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hidden" name="User data - excel" sheetId="2" r:id="rId5"/>
    <sheet state="hidden" name="User data - airtable" sheetId="3" r:id="rId6"/>
    <sheet state="hidden" name="payment_ids" sheetId="4" r:id="rId7"/>
    <sheet state="visible" name="Transaction data" sheetId="5" r:id="rId8"/>
    <sheet state="hidden" name="Live Plan Data" sheetId="6" r:id="rId9"/>
    <sheet state="visible" name="All plan data" sheetId="7" r:id="rId10"/>
    <sheet state="visible" name="All community members" sheetId="8" r:id="rId11"/>
    <sheet state="visible" name="Paid Communities" sheetId="9" r:id="rId12"/>
    <sheet state="hidden" name="Exempted members" sheetId="10" r:id="rId13"/>
    <sheet state="hidden" name="LLC" sheetId="11" r:id="rId14"/>
    <sheet state="hidden" name="Pivot Table 1" sheetId="12" r:id="rId15"/>
  </sheets>
  <definedNames>
    <definedName hidden="1" localSheetId="0" name="_xlnm._FilterDatabase">Checklist!$A$1:$E$32</definedName>
    <definedName hidden="1" localSheetId="2" name="_xlnm._FilterDatabase">'User data - airtable'!$A$1:$T$2753</definedName>
    <definedName hidden="1" localSheetId="4" name="_xlnm._FilterDatabase">'Transaction data'!$A$1:$R$3885</definedName>
    <definedName hidden="1" localSheetId="5" name="_xlnm._FilterDatabase">'Live Plan Data'!$A$1:$I$265</definedName>
    <definedName hidden="1" localSheetId="6" name="_xlnm._FilterDatabase">'All plan data'!$A$1:$M$615</definedName>
    <definedName hidden="1" localSheetId="7" name="_xlnm._FilterDatabase">'All community members'!$A$1:$G$6075</definedName>
    <definedName hidden="1" localSheetId="8" name="_xlnm._FilterDatabase">'Paid Communities'!$A$1:$K$71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<sst xmlns="http://schemas.openxmlformats.org/spreadsheetml/2006/main" count="80514" uniqueCount="19699">
  <si>
    <t>#</t>
  </si>
  <si>
    <t>Task</t>
  </si>
  <si>
    <t>Responsible</t>
  </si>
  <si>
    <t>When?</t>
  </si>
  <si>
    <t>Status</t>
  </si>
  <si>
    <t>Paid Community Data</t>
  </si>
  <si>
    <t>Himanshu</t>
  </si>
  <si>
    <t>Pre launch</t>
  </si>
  <si>
    <t>Completed</t>
  </si>
  <si>
    <t>Static code deployment</t>
  </si>
  <si>
    <t>Mahir</t>
  </si>
  <si>
    <t>WIP</t>
  </si>
  <si>
    <t xml:space="preserve">Cron jobs </t>
  </si>
  <si>
    <t>International Payments</t>
  </si>
  <si>
    <t>Old data from Excel</t>
  </si>
  <si>
    <t>Old data from Airtable</t>
  </si>
  <si>
    <t>Well being data from airtable</t>
  </si>
  <si>
    <t>Remove testing data</t>
  </si>
  <si>
    <t>Data migration script for old data</t>
  </si>
  <si>
    <t>Pending</t>
  </si>
  <si>
    <t>Offset handling script for current members + CM + Owner (create subscription models)</t>
  </si>
  <si>
    <t>Launch</t>
  </si>
  <si>
    <t>Exempted user list</t>
  </si>
  <si>
    <t>Active plan List from webflow CMS</t>
  </si>
  <si>
    <t>Active plan List from webflow pages</t>
  </si>
  <si>
    <t>Data Migration test for old data</t>
  </si>
  <si>
    <t>Prod machine setup</t>
  </si>
  <si>
    <t>Live data setup</t>
  </si>
  <si>
    <t>Webflow changes for OTL - prod</t>
  </si>
  <si>
    <t>Yuvraj</t>
  </si>
  <si>
    <t>Airtable changes for OTL - prod</t>
  </si>
  <si>
    <t>Plan Migration script (SQL + Excel)</t>
  </si>
  <si>
    <t>Dropped + paused communities</t>
  </si>
  <si>
    <t>Community conversion to paid community</t>
  </si>
  <si>
    <t>Post Launch</t>
  </si>
  <si>
    <t>Lifetime plan for super thane moms - 50041</t>
  </si>
  <si>
    <t>Accepting event payments in transaction table</t>
  </si>
  <si>
    <t xml:space="preserve">Dont remove python geek yet </t>
  </si>
  <si>
    <t>Community Migration cases - Unchai + Garv</t>
  </si>
  <si>
    <t>Manage Refunds</t>
  </si>
  <si>
    <t>Email CM about the release plan + free till 30th (Android only)</t>
  </si>
  <si>
    <t>Create excel for sql plan data</t>
  </si>
  <si>
    <t>Email CM about the release plan + free till 7th July (iOS only)</t>
  </si>
  <si>
    <t>Events for subscriptions segment</t>
  </si>
  <si>
    <t>is removbed case for cron job</t>
  </si>
  <si>
    <t>payment_id</t>
  </si>
  <si>
    <t>plan_id</t>
  </si>
  <si>
    <t>Community Name</t>
  </si>
  <si>
    <t>Community_id</t>
  </si>
  <si>
    <t>plan_name</t>
  </si>
  <si>
    <t>plan_duration</t>
  </si>
  <si>
    <t>plan_cost</t>
  </si>
  <si>
    <t>renew</t>
  </si>
  <si>
    <t>amount</t>
  </si>
  <si>
    <t>email</t>
  </si>
  <si>
    <t>contact</t>
  </si>
  <si>
    <t>currency</t>
  </si>
  <si>
    <t>is_international</t>
  </si>
  <si>
    <t>method</t>
  </si>
  <si>
    <t>status</t>
  </si>
  <si>
    <t>created_at</t>
  </si>
  <si>
    <t>Users</t>
  </si>
  <si>
    <t>payment_page_url</t>
  </si>
  <si>
    <t>pay_GMMPqMJQVOgxYx</t>
  </si>
  <si>
    <t>Defence tribe</t>
  </si>
  <si>
    <t>Quarterly Plan Plan</t>
  </si>
  <si>
    <t>vedanshved25dec@gmail.com</t>
  </si>
  <si>
    <t>INR</t>
  </si>
  <si>
    <t>upi</t>
  </si>
  <si>
    <t>captured</t>
  </si>
  <si>
    <t>pay_GMMajKdG9UC7y0</t>
  </si>
  <si>
    <t>deepakkumar3624@gmail.com</t>
  </si>
  <si>
    <t>pay_GMRtiGOOiByLTp</t>
  </si>
  <si>
    <t>dalalnishant2@gmail.com</t>
  </si>
  <si>
    <t>card</t>
  </si>
  <si>
    <t>pay_GNCHuNu1kJ0zaa</t>
  </si>
  <si>
    <t>Deutsch In Tandem</t>
  </si>
  <si>
    <t>Half Yearly Plan</t>
  </si>
  <si>
    <t>yogitash22@gmail.com</t>
  </si>
  <si>
    <t>pay_GNd6dnCUooNQKs</t>
  </si>
  <si>
    <t>hdsinghima@gmail.com</t>
  </si>
  <si>
    <t>pay_GOQEpIS7XcKoir</t>
  </si>
  <si>
    <t>lkmdbani@gmail.com</t>
  </si>
  <si>
    <t>NF V2</t>
  </si>
  <si>
    <t>pay_GPTXtXi4wSTtNa</t>
  </si>
  <si>
    <t>Quarterly Plan</t>
  </si>
  <si>
    <t>khanolkardivya@gmail.com</t>
  </si>
  <si>
    <t>pay_GPy0NlVHv4QR0L</t>
  </si>
  <si>
    <t>padmeshsavaratkar3256@gmail.com</t>
  </si>
  <si>
    <t>pay_GR4mKgIV1C5RN5</t>
  </si>
  <si>
    <t>prathampatel7700@gmail.com</t>
  </si>
  <si>
    <t>pay_GRqz0J18NyaIQD</t>
  </si>
  <si>
    <t>ashishbisht336@gmail.com</t>
  </si>
  <si>
    <t>pay_GRvBKZGHwgPRjm</t>
  </si>
  <si>
    <t>mauryanitesh484@gmail.com</t>
  </si>
  <si>
    <t>pay_GSPU6pt7WJaZ5w</t>
  </si>
  <si>
    <t>aniket.kulkarni2912@gmail.com</t>
  </si>
  <si>
    <t>netbanking</t>
  </si>
  <si>
    <t>pay_GTAIl8R5CKBaBV</t>
  </si>
  <si>
    <t>maheshdond1998@gmail.com</t>
  </si>
  <si>
    <t>pay_GUNy0tcPxVDLj1</t>
  </si>
  <si>
    <t>akharbanda1@hotmail.com</t>
  </si>
  <si>
    <t>pay_GUZbjXvudoeP9s</t>
  </si>
  <si>
    <t>sahilshaikh19702@gmail.com</t>
  </si>
  <si>
    <t>pay_GV4jzgzMpB8TC4</t>
  </si>
  <si>
    <t>56modinaren56@gmail.com</t>
  </si>
  <si>
    <t>pay_GVODTfpfo5aMnJ</t>
  </si>
  <si>
    <t>riyay4892@gmail.com</t>
  </si>
  <si>
    <t>pay_GVRCPtovigqIVp</t>
  </si>
  <si>
    <t>ku.rkrishna86@gmail.com</t>
  </si>
  <si>
    <t>pay_GVVFZ0WR0ZCrEw</t>
  </si>
  <si>
    <t>sakshisharad01@gmail.com</t>
  </si>
  <si>
    <t>pay_GVxsYaKlbtgSSk</t>
  </si>
  <si>
    <t>msrathore245@gmail.com</t>
  </si>
  <si>
    <t>pay_GW6xiEDpehVAgv</t>
  </si>
  <si>
    <t>vjagadeeshsurya9@gmail.com</t>
  </si>
  <si>
    <t>pay_GZ8ESWCuUQreEd</t>
  </si>
  <si>
    <t>sushamavarghese2002@gmail.com</t>
  </si>
  <si>
    <t>pay_GZNVgRMMeT8onU</t>
  </si>
  <si>
    <t>abhishektiwarippndc@gmail.com</t>
  </si>
  <si>
    <t>pay_GaGH4uY9r0ki7N</t>
  </si>
  <si>
    <t>deepanshujhariya2@gmail.com</t>
  </si>
  <si>
    <t>pay_GaGL6h52VdxV33</t>
  </si>
  <si>
    <t>akashprajapati959819@gmail.com</t>
  </si>
  <si>
    <t>pay_GaJdX5gcvc0hza</t>
  </si>
  <si>
    <t>rheaa131@gmail.com</t>
  </si>
  <si>
    <t>pay_GaZLrT73PaUIbc</t>
  </si>
  <si>
    <t>sksharma26121999@gmail.com</t>
  </si>
  <si>
    <t>pay_GaaJY8e9MsBTbQ</t>
  </si>
  <si>
    <t>shivanibkdas@gmail.com</t>
  </si>
  <si>
    <t>pay_GbucskLB1arRI6</t>
  </si>
  <si>
    <t>singhshashank199947@gmail.com</t>
  </si>
  <si>
    <t>pay_Gc8SndGFUF1kwZ</t>
  </si>
  <si>
    <t>sonitsharma44@gmail.com</t>
  </si>
  <si>
    <t>pay_GcVw6wVgdlIZQh</t>
  </si>
  <si>
    <t>imaarunkumar300@gmail.com</t>
  </si>
  <si>
    <t>pay_GchG4y9exuSn4n</t>
  </si>
  <si>
    <t>Defence Tribe</t>
  </si>
  <si>
    <t>resonitesiddharthasingh@gmail.com</t>
  </si>
  <si>
    <t>pay_Gd1goaLuN4w8Bo</t>
  </si>
  <si>
    <t>shrinath3012@gmail.com</t>
  </si>
  <si>
    <t>pay_Geeu4ArIW4khBO</t>
  </si>
  <si>
    <t>jaydpatel1572003@gmail.com</t>
  </si>
  <si>
    <t>pay_GevvaHxFvxPCOn</t>
  </si>
  <si>
    <t>ichdineshkumar@gmail.com</t>
  </si>
  <si>
    <t>pay_GfJAq8epiUlmKl</t>
  </si>
  <si>
    <t>rahulyad23082000@gmail.com</t>
  </si>
  <si>
    <t>pay_GyDzZZqseMDdFW</t>
  </si>
  <si>
    <t>De battlers</t>
  </si>
  <si>
    <t>Monthly Plan</t>
  </si>
  <si>
    <t>tarunjee@gmail.com</t>
  </si>
  <si>
    <t>wallet</t>
  </si>
  <si>
    <t>pay_GfoTo3JVytmg90</t>
  </si>
  <si>
    <t>matthew_merv@rediffmail.com</t>
  </si>
  <si>
    <t>pay_GfrtO0uKuZh4vu</t>
  </si>
  <si>
    <t>rishikeshgangurde786@gmail.com</t>
  </si>
  <si>
    <t>pay_GgBCsMZjIX7udt</t>
  </si>
  <si>
    <t>sachin9653@gmail.com</t>
  </si>
  <si>
    <t>pay_GykBz2wf3NPPoB</t>
  </si>
  <si>
    <t>mahodaytamankar@gmail.com</t>
  </si>
  <si>
    <t>pay_GhjzmN2xutPTUo</t>
  </si>
  <si>
    <t>aunishsingh2@gmail.com</t>
  </si>
  <si>
    <t>pay_Gho6SlmcgJ8pBD</t>
  </si>
  <si>
    <t>shvineet123@gmail.com</t>
  </si>
  <si>
    <t>pay_GiEluXNGNJIuZy</t>
  </si>
  <si>
    <t>girja.textiles@gmail.com</t>
  </si>
  <si>
    <t>pay_GiKGQvIEjyo6f4</t>
  </si>
  <si>
    <t>mdatifalam4@gmail.com</t>
  </si>
  <si>
    <t>pay_GiZESjfLV3JEGB</t>
  </si>
  <si>
    <t>chirag34upqdhyay@gmail.com</t>
  </si>
  <si>
    <t>pay_GiZR0CKP2WwoBa</t>
  </si>
  <si>
    <t>itzcuteansari@gmail.com</t>
  </si>
  <si>
    <t>pay_Gj3xrba3DwfjRb</t>
  </si>
  <si>
    <t>gr.venkateshyadav@gmail.com</t>
  </si>
  <si>
    <t>pay_Gk6gPvgP3OjcV3</t>
  </si>
  <si>
    <t>morenilesh732@gmail.com</t>
  </si>
  <si>
    <t>pay_GyglY0KRtoIQ2s</t>
  </si>
  <si>
    <t>araithatha3@gmail.com</t>
  </si>
  <si>
    <t>pay_Gz8R6cdZRM5Uh1</t>
  </si>
  <si>
    <t>raniponmathip@yahoo.com</t>
  </si>
  <si>
    <t>pay_GpBsM14H3em3gQ</t>
  </si>
  <si>
    <t>Artists Commercialization</t>
  </si>
  <si>
    <t>aishwarya.kulkarni23@gmail.com</t>
  </si>
  <si>
    <t>pay_GnGZpniHLVgRyc</t>
  </si>
  <si>
    <t>HanHangul</t>
  </si>
  <si>
    <t>tanmayee.maiya@gmail.com</t>
  </si>
  <si>
    <t>pay_GpGzmW4hRqSAdd</t>
  </si>
  <si>
    <t>official.kpsingh@gmail.com</t>
  </si>
  <si>
    <t>pay_GnJB9nKLOKPlks</t>
  </si>
  <si>
    <t>rinhamuneer24@gmail.com</t>
  </si>
  <si>
    <t>pay_GpNHUIDGBDqvHZ</t>
  </si>
  <si>
    <t>das.sagar15@gmail.com</t>
  </si>
  <si>
    <t>pay_GnKAEATxPDBpwq</t>
  </si>
  <si>
    <t>debbie.roy9@gmail.com</t>
  </si>
  <si>
    <t>pay_GnKEXYGHIeUjsw</t>
  </si>
  <si>
    <t>subhashree.4991@gmail.com</t>
  </si>
  <si>
    <t>pay_GnKN6sv0wMH790</t>
  </si>
  <si>
    <t>er.shaktiprasadpatra@gmail.com</t>
  </si>
  <si>
    <t>pay_Gpw8g5EVBQQzdK</t>
  </si>
  <si>
    <t>arttherapyformind@gmail.com</t>
  </si>
  <si>
    <t>pay_GnO3mrfqXRmoQY</t>
  </si>
  <si>
    <t>sprajahamsa@gmail.com</t>
  </si>
  <si>
    <t>pay_GnOFFJ981DHiX5</t>
  </si>
  <si>
    <t>amansawala14@gmail.com</t>
  </si>
  <si>
    <t>pay_GnOOlgdOPhYb2p</t>
  </si>
  <si>
    <t>jschetanareddy@gmail.com</t>
  </si>
  <si>
    <t>pay_GnPGMt1CkBiInj</t>
  </si>
  <si>
    <t>harshinineralla@gmail.com</t>
  </si>
  <si>
    <t>pay_GpxXJvzcNJBWqS</t>
  </si>
  <si>
    <t>mroysingh@gmail.com</t>
  </si>
  <si>
    <t>pay_GnPs7zaIzbFJTT</t>
  </si>
  <si>
    <t>priyagsk98@gmail.com</t>
  </si>
  <si>
    <t>pay_GzTtfzux886Ijy</t>
  </si>
  <si>
    <t>bharti.jhurani@gmail.com</t>
  </si>
  <si>
    <t>pay_Gnd7wibNOBDlxQ</t>
  </si>
  <si>
    <t>mansi14051999@gmail.com</t>
  </si>
  <si>
    <t>pay_GnfGs7LV9W4gdP</t>
  </si>
  <si>
    <t>nehavenugopal91@gmail.com</t>
  </si>
  <si>
    <t>pay_Gpz84Hz6gnwhYy</t>
  </si>
  <si>
    <t>priyajuhi98@gmail.com</t>
  </si>
  <si>
    <t>pay_GnfbmTY9jaKteA</t>
  </si>
  <si>
    <t>kavyah830@gmail.com</t>
  </si>
  <si>
    <t>pay_GngGY6FpZgCM69</t>
  </si>
  <si>
    <t>marinafndes654@gmail.com</t>
  </si>
  <si>
    <t>pay_GnhjhgvHf14C3X</t>
  </si>
  <si>
    <t>fnoman37@gmail.com</t>
  </si>
  <si>
    <t>pay_Gnif9nnHfkbNBR</t>
  </si>
  <si>
    <t>vaanipandit574@gmail.com</t>
  </si>
  <si>
    <t>pay_GqDriOATdUGUOJ</t>
  </si>
  <si>
    <t>dilipabnave@gmail.com</t>
  </si>
  <si>
    <t>pay_Go0JnsSxAZHIJ3</t>
  </si>
  <si>
    <t>ananyad326@gmail.com</t>
  </si>
  <si>
    <t>pay_Go1MC7koCPnzgI</t>
  </si>
  <si>
    <t>maluchulliparambil@gmail.com</t>
  </si>
  <si>
    <t>pay_Go1kTEFM234nDZ</t>
  </si>
  <si>
    <t>mdasmail12@gmail.com</t>
  </si>
  <si>
    <t>pay_GqkjSNvUsPIcKr</t>
  </si>
  <si>
    <t>artist.cilffordpeacock@gmail.com</t>
  </si>
  <si>
    <t>pay_Go7AvHTvZgXaCU</t>
  </si>
  <si>
    <t>gayu9121991@gmail.com</t>
  </si>
  <si>
    <t>pay_GqnHbKaEwoCkZK</t>
  </si>
  <si>
    <t>popartisto@gmail.com</t>
  </si>
  <si>
    <t>pay_GzVUH9uO6P7Yjq</t>
  </si>
  <si>
    <t>rajeshreebotre@hotmail.com</t>
  </si>
  <si>
    <t>pay_GoCGaAze1hqt41</t>
  </si>
  <si>
    <t>HAWC</t>
  </si>
  <si>
    <t>ankitrai2227@gmail.com</t>
  </si>
  <si>
    <t>pay_GoCKzU8WrWPE1h</t>
  </si>
  <si>
    <t>ssurbhi1229@gmail.com</t>
  </si>
  <si>
    <t>pay_GqtMtBEqw54E9A</t>
  </si>
  <si>
    <t>payalsthalekar33@gmail.com</t>
  </si>
  <si>
    <t>pay_GoNn3rLuZJkaAn</t>
  </si>
  <si>
    <t>hudamajeed500@gmail.com</t>
  </si>
  <si>
    <t>pay_GoNou2j4bP6Rd0</t>
  </si>
  <si>
    <t>manishaparven111@gmail.com</t>
  </si>
  <si>
    <t>pay_Gr791e3trG4x2p</t>
  </si>
  <si>
    <t>ramneet1980@gmail.com</t>
  </si>
  <si>
    <t>pay_Gr7g6PPgMDRZ7t</t>
  </si>
  <si>
    <t>niveditasahu0007@gmail.com</t>
  </si>
  <si>
    <t>pay_GrH0UeYh8iM7Y5</t>
  </si>
  <si>
    <t>shreyamusings@gmail.com</t>
  </si>
  <si>
    <t>paylater</t>
  </si>
  <si>
    <t>pay_GoOU2LhWcvBaO9</t>
  </si>
  <si>
    <t>ishuu8295@gmail.com</t>
  </si>
  <si>
    <t>pay_GoPS20wNXdgkTV</t>
  </si>
  <si>
    <t>ektapande96@gmail.com</t>
  </si>
  <si>
    <t>pay_GoPcLpC5k6jdph</t>
  </si>
  <si>
    <t>swetagusain609@gmail.com</t>
  </si>
  <si>
    <t>pay_GoPorMHlYEApNB</t>
  </si>
  <si>
    <t>chippimuthu96@gmail.com</t>
  </si>
  <si>
    <t>10242*</t>
  </si>
  <si>
    <t>pay_Grjo9mX1PvCi57</t>
  </si>
  <si>
    <t>datta2209@gmail.com</t>
  </si>
  <si>
    <t>pay_Grz6TblrVUlJUv</t>
  </si>
  <si>
    <t>mehbabujb@gmail.com</t>
  </si>
  <si>
    <t>pay_Gs1TqUT15ZigCE</t>
  </si>
  <si>
    <t>bunti.singh222@gmail.com</t>
  </si>
  <si>
    <t>pay_GoSjb0TG71Fle2</t>
  </si>
  <si>
    <t>suruchi.jain19@ibsindia.org</t>
  </si>
  <si>
    <t>pay_GoUpY0LDJy1S2L</t>
  </si>
  <si>
    <t>Hiraeth</t>
  </si>
  <si>
    <t>shweta.bagaddeo@gmail.com</t>
  </si>
  <si>
    <t>pay_GoWJqNDRSC0ze2</t>
  </si>
  <si>
    <t>manishaaa10@gmail.com</t>
  </si>
  <si>
    <t>pay_GoXTiOHBT0dlJK</t>
  </si>
  <si>
    <t>saraperry44444444@gmail.com</t>
  </si>
  <si>
    <t>pay_GoYfdYYyaAwZK7</t>
  </si>
  <si>
    <t>asim.mathur1002@gmail.com</t>
  </si>
  <si>
    <t>pay_GoaQ5tespfRHzj</t>
  </si>
  <si>
    <t>shampaliroy80@gmail.com</t>
  </si>
  <si>
    <t>pay_Gob8032MzacEFV</t>
  </si>
  <si>
    <t>snehaestam123@gmail.com</t>
  </si>
  <si>
    <t>pay_GodCw1NSxRTZv5</t>
  </si>
  <si>
    <t>zahabiaakhan@gmail.com</t>
  </si>
  <si>
    <t>pay_GogUZb6uONI6la</t>
  </si>
  <si>
    <t>jyothidirector@gmail.com</t>
  </si>
  <si>
    <t>pay_GzXuetNk5uc45m</t>
  </si>
  <si>
    <t>nkrishnakishore@gmail.com</t>
  </si>
  <si>
    <t>pay_H0TJJs83UBuAwB</t>
  </si>
  <si>
    <t>niikhiilverma@gmail.com</t>
  </si>
  <si>
    <t>pay_GoqJ3Vckrhc4QY</t>
  </si>
  <si>
    <t>taameenshabir@gmail.com</t>
  </si>
  <si>
    <t>pay_GoqQJG7civxkwo</t>
  </si>
  <si>
    <t>aanchal.sawhney18@gmail.com</t>
  </si>
  <si>
    <t>pay_H0o9oVmmpCfexd</t>
  </si>
  <si>
    <t>bhu.abhishek111@gmail.com</t>
  </si>
  <si>
    <t>pay_GosBQUHOPpMk7q</t>
  </si>
  <si>
    <t>ksavgun1@gmail.com</t>
  </si>
  <si>
    <t>pay_GosKYABBv6XW9O</t>
  </si>
  <si>
    <t>amitgahlawat471@gmail.com</t>
  </si>
  <si>
    <t>pay_GosRhZCWCpbJAh</t>
  </si>
  <si>
    <t>ajay24463@gmail.com</t>
  </si>
  <si>
    <t>pay_GotnwTVFaj81Dj</t>
  </si>
  <si>
    <t>machinaogracy@gmail.com</t>
  </si>
  <si>
    <t>pay_Gotvw1RLjoVj3Q</t>
  </si>
  <si>
    <t>sahishnavi.sweety@gmail.com</t>
  </si>
  <si>
    <t>pay_H1cXF0iStGnFMN</t>
  </si>
  <si>
    <t>sk.ismail.sk@gmail.com</t>
  </si>
  <si>
    <t>pay_GounUfW8g4vnW3</t>
  </si>
  <si>
    <t>mondalsangita220@gmail.com</t>
  </si>
  <si>
    <t>pay_GouqCLe7E7SVRu</t>
  </si>
  <si>
    <t>mandovras@gmail.com</t>
  </si>
  <si>
    <t>pay_Gov9S61CxdxNc5</t>
  </si>
  <si>
    <t>kajalcharu65@gmail.com</t>
  </si>
  <si>
    <t>pay_GsLtv7J3Pyncn8</t>
  </si>
  <si>
    <t>krishadaida12@gmail.com</t>
  </si>
  <si>
    <t>pay_GsRLPmYjBnQ7ty</t>
  </si>
  <si>
    <t>targe.shalaka@gmail.com</t>
  </si>
  <si>
    <t>pay_H1etEFSWgZBujb</t>
  </si>
  <si>
    <t>gurmeet108@yahoo.com</t>
  </si>
  <si>
    <t>pay_GoyMYQ9THFUbnY</t>
  </si>
  <si>
    <t>tejaswini.j28@gmail.com</t>
  </si>
  <si>
    <t>pay_GoziNIvsVqGt7p</t>
  </si>
  <si>
    <t>tangreyampati@gmail.com</t>
  </si>
  <si>
    <t>pay_H2FCzXSLnGzATJ</t>
  </si>
  <si>
    <t>onlineaboo@gmail.com</t>
  </si>
  <si>
    <t>pay_H2LlnpicqeOuJC</t>
  </si>
  <si>
    <t>anujahohil90@gmail.com</t>
  </si>
  <si>
    <t>pay_GpAbP8VsreQTKj</t>
  </si>
  <si>
    <t>sahotaharpreet776@gmail.com</t>
  </si>
  <si>
    <t>pay_GsSrNVwuTo0AWR</t>
  </si>
  <si>
    <t>ajaymakwana6791@gmail.com</t>
  </si>
  <si>
    <t>pay_GsW58aUygHfz4j</t>
  </si>
  <si>
    <t>alna3@outlook.com</t>
  </si>
  <si>
    <t>pay_H2PBL7GgvTQfXl</t>
  </si>
  <si>
    <t>vilasnagdawne@gmail.com</t>
  </si>
  <si>
    <t>pay_GsXvauRgeT8xio</t>
  </si>
  <si>
    <t>mohitkumar1410@gmail.com</t>
  </si>
  <si>
    <t>pay_GsncLk3DOZInhw</t>
  </si>
  <si>
    <t>meenakshigoel73@gmail.com</t>
  </si>
  <si>
    <t>pay_H2oo9KsxnzxTjH</t>
  </si>
  <si>
    <t>asees2810@gmail.com</t>
  </si>
  <si>
    <t>pay_H2owruTPoucR6R</t>
  </si>
  <si>
    <t>pay_GpJk3WIqbZIyk3</t>
  </si>
  <si>
    <t>akanksha.abrol3@gmail.com</t>
  </si>
  <si>
    <t>pay_GpKApZwUlghe8W</t>
  </si>
  <si>
    <t>janani.prasad97@gmail.com</t>
  </si>
  <si>
    <t>pay_GpKHV0LCpNH9Q1</t>
  </si>
  <si>
    <t>rathodnitisha759@gmail.com</t>
  </si>
  <si>
    <t>pay_H2trixYPirQHri</t>
  </si>
  <si>
    <t>singhdiksha1305@gmail.com</t>
  </si>
  <si>
    <t>pay_GpKTE13qMRDu1j</t>
  </si>
  <si>
    <t>mailme.vignesh@gmail.com</t>
  </si>
  <si>
    <t>pay_GtDtWbdhfR5Kra</t>
  </si>
  <si>
    <t>kalli.mask@gmail.com</t>
  </si>
  <si>
    <t>pay_H3Qb9Sn7B6rD8z</t>
  </si>
  <si>
    <t>write.to.vaishali@gmail.com</t>
  </si>
  <si>
    <t>pay_GtFmhAlP31KXqV</t>
  </si>
  <si>
    <t>ruuttadole24@gmail.com</t>
  </si>
  <si>
    <t>pay_H3Tv6QrMSguOGg</t>
  </si>
  <si>
    <t>kushpatel6440@gmail.com</t>
  </si>
  <si>
    <t>pay_H3ofMVk1h2koLQ</t>
  </si>
  <si>
    <t>greatnessformula@gmail.com</t>
  </si>
  <si>
    <t>pay_H4AzkAG2ZB9tje</t>
  </si>
  <si>
    <t>satish37.tripathi@gmail.com</t>
  </si>
  <si>
    <t>pay_GpN6JFxSV8WdE3</t>
  </si>
  <si>
    <t>Good Vibes</t>
  </si>
  <si>
    <t>mjha4021@gmail.com</t>
  </si>
  <si>
    <t>pay_Gtbxz3Y3QcnwD7</t>
  </si>
  <si>
    <t>vinod.phoenix@gmail.com</t>
  </si>
  <si>
    <t>pay_GpPowTkStzj8mM</t>
  </si>
  <si>
    <t>mansi.rajput8844@gmail.com</t>
  </si>
  <si>
    <t>pay_GpYIFZ7g7qnMRe</t>
  </si>
  <si>
    <t>priyankashetty26@gmail.com</t>
  </si>
  <si>
    <t>pay_GpYPyodlr4Ynrt</t>
  </si>
  <si>
    <t>sapnagomes1607@gmail.com</t>
  </si>
  <si>
    <t>pay_GpYi6YnXDQENbn</t>
  </si>
  <si>
    <t>madhumita.nayak21@gmail.com</t>
  </si>
  <si>
    <t>pay_GpaiyXIccXurXG</t>
  </si>
  <si>
    <t>yadavmegha878@gmail.com</t>
  </si>
  <si>
    <t>pay_GpbP3EB43A50MQ</t>
  </si>
  <si>
    <t>shridande1994@gmail.com</t>
  </si>
  <si>
    <t>pay_GpbVQ77i4138dm</t>
  </si>
  <si>
    <t>ashwinip.mysore@gmail.com</t>
  </si>
  <si>
    <t>pay_H4CNxHkt3mSQpA</t>
  </si>
  <si>
    <t>shrikant712@gmail.com</t>
  </si>
  <si>
    <t>pay_GpcPK8nq1b0FSh</t>
  </si>
  <si>
    <t>nagishantanu11@gmail.com</t>
  </si>
  <si>
    <t>pay_Gtddx1tjCK30B8</t>
  </si>
  <si>
    <t>pujam8721@gmail.com</t>
  </si>
  <si>
    <t>pay_Gpcibvj4Z3jLJm</t>
  </si>
  <si>
    <t>official.shashwat@gmail.com</t>
  </si>
  <si>
    <t>pay_GpcmT1MS5h1wez</t>
  </si>
  <si>
    <t>bhattbhoomi2@gmail.com</t>
  </si>
  <si>
    <t>pay_GpeA9MabrjKtoI</t>
  </si>
  <si>
    <t>dhanubhava99@gmail.com</t>
  </si>
  <si>
    <t>pay_GperpD04iSdVvK</t>
  </si>
  <si>
    <t>susmacoraya1244@gmail.com</t>
  </si>
  <si>
    <t>pay_GtznbVihRnEWhu</t>
  </si>
  <si>
    <t>hasitanh@gmail.com</t>
  </si>
  <si>
    <t>pay_GpgLT0vwQOhyVT</t>
  </si>
  <si>
    <t>babgay@yahoo.co.in</t>
  </si>
  <si>
    <t>pay_Gpgdc3CFwTqnjz</t>
  </si>
  <si>
    <t>rajub.bathini@gmail.com</t>
  </si>
  <si>
    <t>pay_Gpi03OWxYyxVTQ</t>
  </si>
  <si>
    <t>sukhjindersidhu813@gmail.com</t>
  </si>
  <si>
    <t>pay_GplB2O9Aza2uuJ</t>
  </si>
  <si>
    <t>siddhantparasar@gmail.com</t>
  </si>
  <si>
    <t>pay_H4DM1kravPiu3W</t>
  </si>
  <si>
    <t>tvnarendra758@gmail.com</t>
  </si>
  <si>
    <t>pay_H4HF9yJWiJLr38</t>
  </si>
  <si>
    <t>aditi.khera022@gmail.com</t>
  </si>
  <si>
    <t>pay_Gpr3QXvqBnin3m</t>
  </si>
  <si>
    <t>rumana.bhuyan@gmail.com</t>
  </si>
  <si>
    <t>pay_GpvWZTaXDusMw8</t>
  </si>
  <si>
    <t>csarunmala@gmail.com</t>
  </si>
  <si>
    <t>pay_H4I9bsc30587ZA</t>
  </si>
  <si>
    <t>ranjjith98@gmail.com</t>
  </si>
  <si>
    <t>pay_GuIxOFgso0FSMN</t>
  </si>
  <si>
    <t>naviullal@gmail.com</t>
  </si>
  <si>
    <t>pay_H4XIArQuhELXcv</t>
  </si>
  <si>
    <t>lakshmimadeti23@gmail.com</t>
  </si>
  <si>
    <t>pay_H4d9vbbVoB1fDt</t>
  </si>
  <si>
    <t>amol21061987@gmail.com</t>
  </si>
  <si>
    <t>pay_GzcSDSUrvmYvco</t>
  </si>
  <si>
    <t>DME</t>
  </si>
  <si>
    <t>pulisnap@gmail.com</t>
  </si>
  <si>
    <t>pay_GuRMKKqDW1El72</t>
  </si>
  <si>
    <t>amtvsengupta@gmail.com</t>
  </si>
  <si>
    <t>pay_Gpy5G32n9TcYgw</t>
  </si>
  <si>
    <t>anup.kashyap24@gmail.com</t>
  </si>
  <si>
    <t>pay_GpyqvjCTNpqOWa</t>
  </si>
  <si>
    <t>kumargbharath33@gmail.com</t>
  </si>
  <si>
    <t>pay_Gpz18BYKS18RKU</t>
  </si>
  <si>
    <t>ashdharashini17@gmail.com</t>
  </si>
  <si>
    <t>pay_GuheNJoTF7REMt</t>
  </si>
  <si>
    <t>ra500820@gmail.com</t>
  </si>
  <si>
    <t>pay_GukQAA6M7JOWsQ</t>
  </si>
  <si>
    <t>yeswanth1805@gmail.com</t>
  </si>
  <si>
    <t>pay_Gq1QmXVW67vLid</t>
  </si>
  <si>
    <t>shreyadahat@gmail.com</t>
  </si>
  <si>
    <t>pay_Gq1iceBjoB3YPc</t>
  </si>
  <si>
    <t>hoihzokimgangte@gmail.com</t>
  </si>
  <si>
    <t>pay_Gq1mOejwuI2fxw</t>
  </si>
  <si>
    <t>smita1agarwal@gmail.com</t>
  </si>
  <si>
    <t>pay_Gq2PlpAWWxRNzs</t>
  </si>
  <si>
    <t>amreeta.plac@gmail.com</t>
  </si>
  <si>
    <t>pay_Gq2VsZjWCL50lw</t>
  </si>
  <si>
    <t>surya.sathya1192@gmail.com</t>
  </si>
  <si>
    <t>pay_Gq2VuekDAJnyp3</t>
  </si>
  <si>
    <t>sachinpanwar693@gmail.com</t>
  </si>
  <si>
    <t>pay_Gq2bTM8XealaJf</t>
  </si>
  <si>
    <t>patrakatyayini@gmail.com</t>
  </si>
  <si>
    <t>pay_GzoYyXgvKqJzgi</t>
  </si>
  <si>
    <t>deeksha2190@gmail.com</t>
  </si>
  <si>
    <t>pay_Gq2n5PWuSihorY</t>
  </si>
  <si>
    <t>chaithanya.menon995@gmail.com</t>
  </si>
  <si>
    <t>pay_Gq2yRiS9aivoZN</t>
  </si>
  <si>
    <t>maseerakhan189@gmail.com</t>
  </si>
  <si>
    <t>pay_Gq3W7FtJDePTca</t>
  </si>
  <si>
    <t>maitrinarnaware513@gmail.com</t>
  </si>
  <si>
    <t>pay_GuqmZDtmjtLdtj</t>
  </si>
  <si>
    <t>deepakganeshacharya@gmail.com</t>
  </si>
  <si>
    <t>pay_Gq67vJzkiQOlcn</t>
  </si>
  <si>
    <t>karkibiplove69@gmail.com</t>
  </si>
  <si>
    <t>pay_H0JMN8903BR5WE</t>
  </si>
  <si>
    <t>akashsao@gmaol.com</t>
  </si>
  <si>
    <t>pay_H0Q5lPBWwwn56g</t>
  </si>
  <si>
    <t>narayanimahesh2407@gmail.com</t>
  </si>
  <si>
    <t>pay_H0RibNBC5nKCtV</t>
  </si>
  <si>
    <t>kanchivishroliakv@gmail.com</t>
  </si>
  <si>
    <t>pay_H0oJSoehYVJWLB</t>
  </si>
  <si>
    <t>sankhe.kunal@ymail.com</t>
  </si>
  <si>
    <t>pay_GqC6sVDVJjx27M</t>
  </si>
  <si>
    <t>vinodpawar1625@gmail.com</t>
  </si>
  <si>
    <t>pay_Guu93Ca7PkL0gH</t>
  </si>
  <si>
    <t>dipalidave777@gmail.com</t>
  </si>
  <si>
    <t>pay_H0r5IAyZoqBkc5</t>
  </si>
  <si>
    <t>surabhi.surve.vd@gmail.com</t>
  </si>
  <si>
    <t>pay_H0zI6wYwM4G3o5</t>
  </si>
  <si>
    <t>khanna2908@gmail.com</t>
  </si>
  <si>
    <t>pay_H1H2p32IOl7Ibv</t>
  </si>
  <si>
    <t>gadha98@gmail.com</t>
  </si>
  <si>
    <t>pay_GuuQDGcY96zCxM</t>
  </si>
  <si>
    <t>santoshk.singhvee@gmail.com</t>
  </si>
  <si>
    <t>pay_GqNoDb4fGpHAsg</t>
  </si>
  <si>
    <t>teachenglish82@gmail.com</t>
  </si>
  <si>
    <t>pay_GqNsvuOv8vjM04</t>
  </si>
  <si>
    <t>abhisheksonar@gmail.com</t>
  </si>
  <si>
    <t>pay_GqO0dufcoLlBBC</t>
  </si>
  <si>
    <t>swarnarekha.mohanraj@gmail.com</t>
  </si>
  <si>
    <t>pay_GqPgsyEO7FcJSX</t>
  </si>
  <si>
    <t>varsharwilliam2@gmail.com</t>
  </si>
  <si>
    <t>pay_GqPvvMwoTht9BF</t>
  </si>
  <si>
    <t>psangram42@yahoo.com</t>
  </si>
  <si>
    <t>pay_GqPy0jigj2U4Ma</t>
  </si>
  <si>
    <t>rajani.reddy250987@gmail.com</t>
  </si>
  <si>
    <t>pay_GuxnJBoOh6EdOA</t>
  </si>
  <si>
    <t>sanjuprincess12@gmail.com</t>
  </si>
  <si>
    <t>pay_H1HUZTyJ6ERby0</t>
  </si>
  <si>
    <t>mohanv181@gmail.com</t>
  </si>
  <si>
    <t>pay_H1QPPzzfyiUwBV</t>
  </si>
  <si>
    <t>lakshmijayram4@gmail.com</t>
  </si>
  <si>
    <t>pay_GqXJSb4zpzbgHe</t>
  </si>
  <si>
    <t>olearoy93@gmail.com</t>
  </si>
  <si>
    <t>pay_H1W6PXDGfwoAK9</t>
  </si>
  <si>
    <t>aprajitavaid@gmail.com</t>
  </si>
  <si>
    <t>pay_GqXZVQ9hoqDh7v</t>
  </si>
  <si>
    <t>anushyaanump.21@gmail.com</t>
  </si>
  <si>
    <t>pay_GvJptud4O5LnI8</t>
  </si>
  <si>
    <t>ambikamagotra@rediffmail.com</t>
  </si>
  <si>
    <t>pay_H1tFlOzesIjtwY</t>
  </si>
  <si>
    <t>komal.singhania1222@gmail.com</t>
  </si>
  <si>
    <t>pay_GqZMa2dKSH02TY</t>
  </si>
  <si>
    <t>singhalvanshika01@gmail.com</t>
  </si>
  <si>
    <t>pay_GvZBll2W5rCxjA</t>
  </si>
  <si>
    <t>shubha.roopesh@gmail.com</t>
  </si>
  <si>
    <t>pay_GvcWYbuHWUqyBL</t>
  </si>
  <si>
    <t>creativeexpressionz4u@gmail.com</t>
  </si>
  <si>
    <t>pay_GqmP82nRrUkgBJ</t>
  </si>
  <si>
    <t>ruchiemiddha@gmail.com</t>
  </si>
  <si>
    <t>pay_Gvg7cvQkMvNdXJ</t>
  </si>
  <si>
    <t>artarena27@gmail.com</t>
  </si>
  <si>
    <t>pay_GvyuNXAfVq2DFo</t>
  </si>
  <si>
    <t>ambisudhakaran@gmail.com</t>
  </si>
  <si>
    <t>pay_H3U1xZDcTt9flG</t>
  </si>
  <si>
    <t>jpooja112000@gmail.com</t>
  </si>
  <si>
    <t>pay_GqpqJTkQhjLjwq</t>
  </si>
  <si>
    <t>nimanshu97@gmail.com</t>
  </si>
  <si>
    <t>pay_GqpxHEHwVhO2nU</t>
  </si>
  <si>
    <t>preethim225@gmail.com</t>
  </si>
  <si>
    <t>pay_Gqq7cnVreW6rXK</t>
  </si>
  <si>
    <t>swapanthivarma@gmail.com</t>
  </si>
  <si>
    <t>pay_Gqs0bM9dU55vii</t>
  </si>
  <si>
    <t>yash.saira@gmail.com</t>
  </si>
  <si>
    <t>pay_Gqst6KRtzitsyY</t>
  </si>
  <si>
    <t>tamanna10pun@gmail.com</t>
  </si>
  <si>
    <t>pay_GqszfXaVfmGand</t>
  </si>
  <si>
    <t>bansalgarima26@gmail.com</t>
  </si>
  <si>
    <t>pay_Gqt2FFftbEd5Bz</t>
  </si>
  <si>
    <t>shreyacbhat@gmail.com</t>
  </si>
  <si>
    <t>pay_GvzSWZkJ4EGHZ0</t>
  </si>
  <si>
    <t>sarika9340@gmail.com</t>
  </si>
  <si>
    <t>pay_H3YwdpulRWUFTa</t>
  </si>
  <si>
    <t>harikavayara67136@gmail.com</t>
  </si>
  <si>
    <t>pay_Gw1RKVqFGNNJi9</t>
  </si>
  <si>
    <t>shwetaght84@gmail.com</t>
  </si>
  <si>
    <t>pay_GqtlR4Fbi1g87Z</t>
  </si>
  <si>
    <t>shraddhaanilkantode@gmail.com</t>
  </si>
  <si>
    <t>pay_GquSLuNlGaHUed</t>
  </si>
  <si>
    <t>anjalimurekar01@gmail.com</t>
  </si>
  <si>
    <t>pay_H3oagsr26RvDdX</t>
  </si>
  <si>
    <t>nirikshaburman1328@gnail.com</t>
  </si>
  <si>
    <t>pay_H3rcKGInbe5S99</t>
  </si>
  <si>
    <t>madhav2dec@gmail.com</t>
  </si>
  <si>
    <t>pay_H40sdRFLDU5u8t</t>
  </si>
  <si>
    <t>sreeramvmadhusudhan@gmail.com</t>
  </si>
  <si>
    <t>pay_Gqx3qkKAGm7Ped</t>
  </si>
  <si>
    <t>dimpy.hannah@gmail.com</t>
  </si>
  <si>
    <t>pay_GwK3NM1ZiUQ1Ae</t>
  </si>
  <si>
    <t>mohanish.rao22@gmail.com</t>
  </si>
  <si>
    <t>pay_GwN8c2EhVKzhEm</t>
  </si>
  <si>
    <t>prabhukkds@gmail.com</t>
  </si>
  <si>
    <t>pay_H4CTbrhiuSTSbn</t>
  </si>
  <si>
    <t>apurwa66@gmail.com</t>
  </si>
  <si>
    <t>pay_Gr9qAl18CDIG9B</t>
  </si>
  <si>
    <t>goreswarali2@gmail.com</t>
  </si>
  <si>
    <t>pay_GrB06MuQPCl4jl</t>
  </si>
  <si>
    <t>Furry Paws</t>
  </si>
  <si>
    <t>reddyjayasai@gmail.com</t>
  </si>
  <si>
    <t>pay_GrBI5szXKkPajU</t>
  </si>
  <si>
    <t>dreamcatchermakingitlive@gmail.com</t>
  </si>
  <si>
    <t>pay_GrDhLRNvRmWjeZ</t>
  </si>
  <si>
    <t>sanghvi2436@gmail.com</t>
  </si>
  <si>
    <t>pay_GrEOwFqlDUUsTJ</t>
  </si>
  <si>
    <t>prabhaswarnaflora@gmail.com</t>
  </si>
  <si>
    <t>pay_Gxf3MAvRe4zKgS</t>
  </si>
  <si>
    <t>ExaPython</t>
  </si>
  <si>
    <t>karthikkashyap94@gmail.com</t>
  </si>
  <si>
    <t>pay_GrEbos6XsDCM6X</t>
  </si>
  <si>
    <t>shivanishanvi09@gmail.com</t>
  </si>
  <si>
    <t>pay_GrEetIcJAkW80L</t>
  </si>
  <si>
    <t>gracynorton13@gmail.com</t>
  </si>
  <si>
    <t>pay_GwQseDf5lSjd4S</t>
  </si>
  <si>
    <t>suubhash.wagh@gmail.com</t>
  </si>
  <si>
    <t>pay_GxGv4lA9Ri75WU</t>
  </si>
  <si>
    <t>ramakrishnanabishek10@gmail.com</t>
  </si>
  <si>
    <t>pay_GrGeKTl30JHsvg</t>
  </si>
  <si>
    <t>mswayamsiddha98@gmail.com</t>
  </si>
  <si>
    <t>pay_Gwg0EeGmanchCr</t>
  </si>
  <si>
    <t>k.shayli86@gmail.com</t>
  </si>
  <si>
    <t>pay_GrHIs72ZgMgxTV</t>
  </si>
  <si>
    <t>ajaykchawla2@gmail.com</t>
  </si>
  <si>
    <t>pay_GrKpl8S3xx7hl5</t>
  </si>
  <si>
    <t>jatinvaswani9080@gmail.com</t>
  </si>
  <si>
    <t>pay_GwioUiM0DoZ4xf</t>
  </si>
  <si>
    <t>ksbaviskar9@gmail.com</t>
  </si>
  <si>
    <t>pay_GwlAEFA4lOFgFd</t>
  </si>
  <si>
    <t>livinadh@gmail.com</t>
  </si>
  <si>
    <t>pay_GwnkHpoj11NxSu</t>
  </si>
  <si>
    <t>archanabangera5@gmail.com</t>
  </si>
  <si>
    <t>pay_GrYQKhadGiB3XD</t>
  </si>
  <si>
    <t>sreeharsha.ts10@gmail.com</t>
  </si>
  <si>
    <t>pay_GrYRxF8Akyfovo</t>
  </si>
  <si>
    <t>dudenik@gmail.com</t>
  </si>
  <si>
    <t>pay_GrYVuFLEdItsBA</t>
  </si>
  <si>
    <t>jayshree14tilawat@gmail.com</t>
  </si>
  <si>
    <t>pay_Gx5raHzeuhwJdE</t>
  </si>
  <si>
    <t>amrithaelan95@gmail.com</t>
  </si>
  <si>
    <t>pay_GrbHJl9t9VrMRy</t>
  </si>
  <si>
    <t>snigdhabpd0@gmail.com</t>
  </si>
  <si>
    <t>pay_GxhRbVukBdRN4s</t>
  </si>
  <si>
    <t>deepthi8290@gmail.com</t>
  </si>
  <si>
    <t>pay_GxsMfwJbIfpUlQ</t>
  </si>
  <si>
    <t>nernay.27@gmail.com</t>
  </si>
  <si>
    <t>pay_GxwKuW9yJVHx6F</t>
  </si>
  <si>
    <t>gandhisimi123@gmail.com</t>
  </si>
  <si>
    <t>pay_Gy9r24BiLbgfjs</t>
  </si>
  <si>
    <t>manavpal.8@gmail.com</t>
  </si>
  <si>
    <t>pay_GyO8EXxVxlbJ6t</t>
  </si>
  <si>
    <t>gopalakrishna.yaramati@gmail.com</t>
  </si>
  <si>
    <t>pay_Gy5J3PXXVRv2cM</t>
  </si>
  <si>
    <t>buntyboy.1990@gmail.com</t>
  </si>
  <si>
    <t>pay_GzUTOdFT6dUk0h</t>
  </si>
  <si>
    <t>mayankraghuwanshi123456@gmail.com</t>
  </si>
  <si>
    <t>pay_GxcsmbLv3TBqW2</t>
  </si>
  <si>
    <t>nikitachheda1989@gmail.com</t>
  </si>
  <si>
    <t>pay_GxhCOuTc53SWCq</t>
  </si>
  <si>
    <t>rimisarmah67@gmail.com</t>
  </si>
  <si>
    <t>pay_GxmS5UNuqGoLNj</t>
  </si>
  <si>
    <t>punit_03@outlook.com</t>
  </si>
  <si>
    <t>pay_Grzxjw1PrWuxDT</t>
  </si>
  <si>
    <t>honeydave03@gmail.com</t>
  </si>
  <si>
    <t>pay_GzjEmN3oVaAtMX</t>
  </si>
  <si>
    <t>samshikha16@gmail.com</t>
  </si>
  <si>
    <t>pay_Gy2oiGDv8hVIZi</t>
  </si>
  <si>
    <t>perupally.babu.mfa@gmail.com</t>
  </si>
  <si>
    <t>pay_Gs5PoVKOKfax7i</t>
  </si>
  <si>
    <t>pushkarmicrolabs@gmail.com</t>
  </si>
  <si>
    <t>pay_GzriF51WXtsIoz</t>
  </si>
  <si>
    <t>tejupolapally2@gmail.com</t>
  </si>
  <si>
    <t>pay_GsBUOt8DuuTX8E</t>
  </si>
  <si>
    <t>arina_cb@yahoo.co.in</t>
  </si>
  <si>
    <t>pay_GyKLYik5sk5tJk</t>
  </si>
  <si>
    <t>anchal.drolia@gmail.com</t>
  </si>
  <si>
    <t>pay_GyLS3ABbHEn0fm</t>
  </si>
  <si>
    <t>dhiind.ind@gmail.com</t>
  </si>
  <si>
    <t>pay_GyTov0GyNf7eMw</t>
  </si>
  <si>
    <t>gunjanporwal1978@gmail.co.in</t>
  </si>
  <si>
    <t>pay_GyX7n1RA7dKaEn</t>
  </si>
  <si>
    <t>arati_desai@hotmail.com</t>
  </si>
  <si>
    <t>pay_Gzr0Z1ZNaRzDn1</t>
  </si>
  <si>
    <t>pavan.mtech1989@gmail.com</t>
  </si>
  <si>
    <t>pay_H1Di3Ab4qfaFmZ</t>
  </si>
  <si>
    <t>anaghajayalakshmig@gmail.com</t>
  </si>
  <si>
    <t>pay_H1a8hYFDZjFODI</t>
  </si>
  <si>
    <t>chethandemotest@gmail.com</t>
  </si>
  <si>
    <t>pay_H3mvNiL6YoXWKI</t>
  </si>
  <si>
    <t>sindhu.padma@infolob.com</t>
  </si>
  <si>
    <t>pay_GssVrsOmpKeYSF</t>
  </si>
  <si>
    <t>yajiv85in@gmail.com</t>
  </si>
  <si>
    <t>pay_H3pkxumqbSSqeN</t>
  </si>
  <si>
    <t>dishadelhi16@gmail.com</t>
  </si>
  <si>
    <t>pay_Gsu27HNLJrOWMy</t>
  </si>
  <si>
    <t>avinash.e678@gmail.com</t>
  </si>
  <si>
    <t>pay_H4fmsA7P3sI1Bt</t>
  </si>
  <si>
    <t>ganelskumar@gmail.com</t>
  </si>
  <si>
    <t>pay_GsyyJI4yDWq33S</t>
  </si>
  <si>
    <t>shettyprajwal8@gmail.com</t>
  </si>
  <si>
    <t>pay_GolmKdMrlE6xBF</t>
  </si>
  <si>
    <t>Finstreet</t>
  </si>
  <si>
    <t>srinvas.1982@gmail.com</t>
  </si>
  <si>
    <t>pay_GtD052D0R0M3LP</t>
  </si>
  <si>
    <t>manvi.vishwakarma1@gmail.com</t>
  </si>
  <si>
    <t>pay_GtDFDJoata21QZ</t>
  </si>
  <si>
    <t>akkornepati@gmail.com</t>
  </si>
  <si>
    <t>pay_GtDIfmUQhXHzCT</t>
  </si>
  <si>
    <t>sddsagari4@outlook.com</t>
  </si>
  <si>
    <t>pay_GtDQYUcKZWK3iq</t>
  </si>
  <si>
    <t>mamatha.gm10@gmail.com</t>
  </si>
  <si>
    <t>pay_GtDX7sl3dlOkRV</t>
  </si>
  <si>
    <t>ashwini.ashu883@gmail.com</t>
  </si>
  <si>
    <t>pay_GtDXHejaLbETFL</t>
  </si>
  <si>
    <t>ramank1127@gmail.com</t>
  </si>
  <si>
    <t>pay_GonGr2SENW5qNp</t>
  </si>
  <si>
    <t>mandeep.singhshekhawat42@gmail.com</t>
  </si>
  <si>
    <t>pay_GtEmzLF2wywclD</t>
  </si>
  <si>
    <t>darsanbabucj@gmail.com</t>
  </si>
  <si>
    <t>pay_GtFKd9VNz9X0Cp</t>
  </si>
  <si>
    <t>padhu6488@gmail.com</t>
  </si>
  <si>
    <t>pay_GtHgfgdViXBJiK</t>
  </si>
  <si>
    <t>lavanyamanju2010@gmail.com</t>
  </si>
  <si>
    <t>pay_GorSsscMK4qmy1</t>
  </si>
  <si>
    <t>sainathan1011@gmail.com</t>
  </si>
  <si>
    <t>pay_Gou1hhbVhpzFps</t>
  </si>
  <si>
    <t>krishvred903@gmail.com</t>
  </si>
  <si>
    <t>pay_GoxZDz2biGIEYG</t>
  </si>
  <si>
    <t>sakshamguy@gmail.com</t>
  </si>
  <si>
    <t>pay_GtbzmMpLGdezxj</t>
  </si>
  <si>
    <t>nehagarg.fms@gmail.com</t>
  </si>
  <si>
    <t>pay_Gtdx24p0L8NnR1</t>
  </si>
  <si>
    <t>bbiswas.barnali@gmail.com</t>
  </si>
  <si>
    <t>pay_Gp7gLOks5lSlYl</t>
  </si>
  <si>
    <t>mnmaheshnaik@gmail.com</t>
  </si>
  <si>
    <t>pay_GpAIcEiGG3VDVz</t>
  </si>
  <si>
    <t>bkarthicksaran@gmail.com</t>
  </si>
  <si>
    <t>pay_Gu2KKBWjGskkvw</t>
  </si>
  <si>
    <t>snigdha.soas28@gmail.com</t>
  </si>
  <si>
    <t>pay_Gu2vAU7aQL3JgT</t>
  </si>
  <si>
    <t>imchen.yien@gmail.com</t>
  </si>
  <si>
    <t>pay_GuH2FQwenmKI2R</t>
  </si>
  <si>
    <t>richfreshbread@gmail.com</t>
  </si>
  <si>
    <t>pay_GpGRgy8UnTbwG3</t>
  </si>
  <si>
    <t>dsomaiya2014@gmail.com</t>
  </si>
  <si>
    <t>pay_GuMooHa9TqhbPJ</t>
  </si>
  <si>
    <t>mounicachowdhary949@gmail.com</t>
  </si>
  <si>
    <t>pay_GuMriVPhbUvOUP</t>
  </si>
  <si>
    <t>kalaivanik2482@gmail.com</t>
  </si>
  <si>
    <t>pay_GuMxKp1vQKGNcl</t>
  </si>
  <si>
    <t>nikhathh@yahoo.in</t>
  </si>
  <si>
    <t>pay_GuN4F5x2ldIeMY</t>
  </si>
  <si>
    <t>akanksha18081996@gmail.com</t>
  </si>
  <si>
    <t>pay_GuNC8QQTtmjoDi</t>
  </si>
  <si>
    <t>angelina117@gmail.com</t>
  </si>
  <si>
    <t>pay_GuNKNn2vr8e6g3</t>
  </si>
  <si>
    <t>monalimore29@gmail.com</t>
  </si>
  <si>
    <t>pay_GuNuytLNcd0raH</t>
  </si>
  <si>
    <t>snehakedasi@gmail.com</t>
  </si>
  <si>
    <t>pay_GuRQTbORGJtEr7</t>
  </si>
  <si>
    <t>hpmankan@gmail.com</t>
  </si>
  <si>
    <t>pay_GuSMNUa8WQw1E1</t>
  </si>
  <si>
    <t>kavyas0512@gmail.com</t>
  </si>
  <si>
    <t>pay_GuXffZSqH3YRKl</t>
  </si>
  <si>
    <t>tshering53@gmail.com</t>
  </si>
  <si>
    <t>pay_GuYa7ODo2zDw6a</t>
  </si>
  <si>
    <t>raje.kasturi09@gmail.com</t>
  </si>
  <si>
    <t>pay_GugQUNQ8QJ66EW</t>
  </si>
  <si>
    <t>kavyadevarakonda@gmail.com</t>
  </si>
  <si>
    <t>pay_GpHJOpdzvXJCCG</t>
  </si>
  <si>
    <t>sambandamsmhs@gmail.com</t>
  </si>
  <si>
    <t>pay_GujmpPZa3C8Uvu</t>
  </si>
  <si>
    <t>rhythmgauba2000@gmail.com</t>
  </si>
  <si>
    <t>pay_GpHmz4EQsUougs</t>
  </si>
  <si>
    <t>pradeep_4u2k@yahoo.co.in</t>
  </si>
  <si>
    <t>pay_GulVAKrzXjkklS</t>
  </si>
  <si>
    <t>nikitalsharma91@gmail.com</t>
  </si>
  <si>
    <t>pay_Gulv9oXJbCwn39</t>
  </si>
  <si>
    <t>ulkadas201@gmail.com</t>
  </si>
  <si>
    <t>pay_Gun562e2InR2CL</t>
  </si>
  <si>
    <t>apragya53@gmail.com</t>
  </si>
  <si>
    <t>pay_GunwzUjuWDsmPw</t>
  </si>
  <si>
    <t>itshreyajain@gmail.com</t>
  </si>
  <si>
    <t>pay_GuoD1wAG3XOsG0</t>
  </si>
  <si>
    <t>sonalis2507@gmail.com</t>
  </si>
  <si>
    <t>pay_GuohAtw5KgZcIZ</t>
  </si>
  <si>
    <t>at564271@gmail.com</t>
  </si>
  <si>
    <t>pay_GuoiuKz2HWbjAr</t>
  </si>
  <si>
    <t>pm16hyndavi@iimidr.ac.in</t>
  </si>
  <si>
    <t>pay_GuovjL9mgyRj3T</t>
  </si>
  <si>
    <t>adityi.k@gmail.com</t>
  </si>
  <si>
    <t>pay_Gup42RRgYewqKw</t>
  </si>
  <si>
    <t>prakritinegi17@gmail.com</t>
  </si>
  <si>
    <t>pay_GupH8tSaSlK9a4</t>
  </si>
  <si>
    <t>pmsihracm@gmail.com</t>
  </si>
  <si>
    <t>pay_GpILDgEpto7r5I</t>
  </si>
  <si>
    <t>neetin.bansod@gmail.com</t>
  </si>
  <si>
    <t>pay_Guq9gxDzge0pyc</t>
  </si>
  <si>
    <t>kiru2779@gmail.com</t>
  </si>
  <si>
    <t>pay_GuqCCqCaKVr9XD</t>
  </si>
  <si>
    <t>khanaleena0@gmail.com</t>
  </si>
  <si>
    <t>pay_GQLXVnXoVLFvzl</t>
  </si>
  <si>
    <t>goppranshu1362@gmail.com</t>
  </si>
  <si>
    <t>9846*</t>
  </si>
  <si>
    <t>pay_GusMlCvSmFI06z</t>
  </si>
  <si>
    <t>mariamdavid.48@gmail.com</t>
  </si>
  <si>
    <t>pay_GpJTnjAE97vLDm</t>
  </si>
  <si>
    <t>nighojkarprateek@gmail.com</t>
  </si>
  <si>
    <t>pay_GZtBJZ0LsDOXh2</t>
  </si>
  <si>
    <t>r16797amit@dpsrkp.net</t>
  </si>
  <si>
    <t>pay_GZtDtb5IB5JjVn</t>
  </si>
  <si>
    <t>pay_Go45JfTHpGN26e</t>
  </si>
  <si>
    <t>Zhongwen community</t>
  </si>
  <si>
    <t>vnvidya5@gmail.com</t>
  </si>
  <si>
    <t>pay_GuvG0BIvkVitgV</t>
  </si>
  <si>
    <t>bavatharinee.madanraj@hotmail.com</t>
  </si>
  <si>
    <t>pay_GuwGqTnGqdwMzb</t>
  </si>
  <si>
    <t>rashichatterjee6@gmail.com</t>
  </si>
  <si>
    <t>pay_GoMkfQhk5MrguR</t>
  </si>
  <si>
    <t>puranijeans201119@gmail.com</t>
  </si>
  <si>
    <t>pay_Gv13DbNhxNPrfF</t>
  </si>
  <si>
    <t>farswansandhya@gmail.com</t>
  </si>
  <si>
    <t>pay_GoOM6IWg49vdE1</t>
  </si>
  <si>
    <t>mubarak00091@gmail.com</t>
  </si>
  <si>
    <t>pay_Gv49J1XAqaFVCb</t>
  </si>
  <si>
    <t>piyushchaudhari21@gmail.com</t>
  </si>
  <si>
    <t>pay_Gv5EjgGFbCaQmn</t>
  </si>
  <si>
    <t>shruti1998.17@gmail.com</t>
  </si>
  <si>
    <t>pay_GpKJJ8LnOmtVcu</t>
  </si>
  <si>
    <t>srudgirkar6783.su@gmail.com</t>
  </si>
  <si>
    <t>pay_Gv6eNlumCt3r0d</t>
  </si>
  <si>
    <t>preeti.7arbole@gmail.com</t>
  </si>
  <si>
    <t>pay_Gv6ewBzZNnRQcX</t>
  </si>
  <si>
    <t>kalyanikoda.98@gmail.com</t>
  </si>
  <si>
    <t>pay_Gv7IDScX4amuH7</t>
  </si>
  <si>
    <t>writerkarnik@gmail.com</t>
  </si>
  <si>
    <t>pay_Gv8f32u5XWPxz1</t>
  </si>
  <si>
    <t>sharmarashi209@gmail.com</t>
  </si>
  <si>
    <t>pay_Gv94cKn4FhnYFN</t>
  </si>
  <si>
    <t>amitasurvase96@gmail.com</t>
  </si>
  <si>
    <t>pay_Gv9Fy9B9tocoiw</t>
  </si>
  <si>
    <t>anuhyabaki175@gmail.com</t>
  </si>
  <si>
    <t>pay_GvABnzTt7tHaDB</t>
  </si>
  <si>
    <t>cbmidhunbs@gmail.com</t>
  </si>
  <si>
    <t>pay_GvAuvAttFLBmQp</t>
  </si>
  <si>
    <t>jennifer4991@gmail.com</t>
  </si>
  <si>
    <t>pay_GpKyzCfvOkmXHT</t>
  </si>
  <si>
    <t>vinayakail79@gmail.com</t>
  </si>
  <si>
    <t>pay_GvBrs6iRXAnIkg</t>
  </si>
  <si>
    <t>gitanjali.warrier@gmail.com</t>
  </si>
  <si>
    <t>pay_GoRRB1blXy3mBs</t>
  </si>
  <si>
    <t>manojkumar234425@gmail.com</t>
  </si>
  <si>
    <t>pay_GpMT6DfcDoLcHQ</t>
  </si>
  <si>
    <t>heenamakwana22@gmail.com</t>
  </si>
  <si>
    <t>pay_GvDm6GsY7qB6A9</t>
  </si>
  <si>
    <t>tattarde8@gmail.com</t>
  </si>
  <si>
    <t>pay_GpMho5KQXaJe4y</t>
  </si>
  <si>
    <t>rauljidhrumil@yahoo.com.au</t>
  </si>
  <si>
    <t>pay_GowRVFw9M6ANYt</t>
  </si>
  <si>
    <t>gajananjadhav3668@gmail.com</t>
  </si>
  <si>
    <t>pay_GvGbu55VFyMIzF</t>
  </si>
  <si>
    <t>geethikaparat@gmail.com</t>
  </si>
  <si>
    <t>pay_GvGrXmUhPrQAi7</t>
  </si>
  <si>
    <t>nandini.chowdary.2001@gmail.com</t>
  </si>
  <si>
    <t>pay_GvHZZwudMDkR47</t>
  </si>
  <si>
    <t>unnatisinghchauhan07@gmail.com</t>
  </si>
  <si>
    <t>pay_Gox9NmeD3m422R</t>
  </si>
  <si>
    <t>shruti.chaklader.dc@gmail.com</t>
  </si>
  <si>
    <t>pay_GvJ8ruR8bKiCcd</t>
  </si>
  <si>
    <t>priyachintalapati02@gmail.com</t>
  </si>
  <si>
    <t>pay_GpN2IXh47Qk8Gb</t>
  </si>
  <si>
    <t>gladwin.rosh@gmail.com</t>
  </si>
  <si>
    <t>pay_GpCJDHZTnpWDrk</t>
  </si>
  <si>
    <t>pavithra21pavithra@gmail.com</t>
  </si>
  <si>
    <t>pay_GvKgE9D2yK5dMK</t>
  </si>
  <si>
    <t>nehachowke16@gmail.com</t>
  </si>
  <si>
    <t>pay_GvNSeStwMZf7Vs</t>
  </si>
  <si>
    <t>kashyadav39@gmail.com</t>
  </si>
  <si>
    <t>pay_GpIKlruo8aauym</t>
  </si>
  <si>
    <t>Write your wrong</t>
  </si>
  <si>
    <t>amariah.desa@gmail.com</t>
  </si>
  <si>
    <t>pay_GpKvi5WUG9bE4W</t>
  </si>
  <si>
    <t>godboledipti1986@gmail.com</t>
  </si>
  <si>
    <t>pay_GvSs6qtn8LIa1S</t>
  </si>
  <si>
    <t>noorsaba65262@gmail.com</t>
  </si>
  <si>
    <t>pay_GvU9edJ7SDrKRD</t>
  </si>
  <si>
    <t>arundhatishete@gmail.com</t>
  </si>
  <si>
    <t>pay_GvUYkoNJeD6fEl</t>
  </si>
  <si>
    <t>shraddha.ss1.sb@gmail.com</t>
  </si>
  <si>
    <t>pay_GvUo1V0546bMqL</t>
  </si>
  <si>
    <t>shubhahm1998@gmail.com</t>
  </si>
  <si>
    <t>pay_GvUxSLeyVyLLuw</t>
  </si>
  <si>
    <t>priyankathakur916@gmail.com</t>
  </si>
  <si>
    <t>pay_GvVBqb8gH2sQpf</t>
  </si>
  <si>
    <t>shivangime22@gmail.com</t>
  </si>
  <si>
    <t>pay_GvVJktY4L32UR0</t>
  </si>
  <si>
    <t>dighelalita@gmail.com</t>
  </si>
  <si>
    <t>pay_GvWCTSQRFaI1YD</t>
  </si>
  <si>
    <t>kairyasharma17@gmail.com</t>
  </si>
  <si>
    <t>pay_GvX9ly9saWaIEq</t>
  </si>
  <si>
    <t>kalyani.chinni27@gmail.com</t>
  </si>
  <si>
    <t>pay_GpbqzCeWsQ1qq5</t>
  </si>
  <si>
    <t>simanchal320@gmail.com</t>
  </si>
  <si>
    <t>pay_Gpq5QhXNamWVqi</t>
  </si>
  <si>
    <t>krishna110904@gmail.com</t>
  </si>
  <si>
    <t>pay_GvYugD7QLaNsvJ</t>
  </si>
  <si>
    <t>Pharmacology Insiders</t>
  </si>
  <si>
    <t>ababdul966@gmail.com</t>
  </si>
  <si>
    <t>pay_GpLMBiisBY2exN</t>
  </si>
  <si>
    <t>sahana.kum05@gmail.com</t>
  </si>
  <si>
    <t>pay_Gpvj5XrsM2em57</t>
  </si>
  <si>
    <t>s.nimbalkar@yahoo.com</t>
  </si>
  <si>
    <t>pay_GvcFExMFtIsw8i</t>
  </si>
  <si>
    <t>samhita96@gmail.com</t>
  </si>
  <si>
    <t>pay_GvcHW719wVYnXj</t>
  </si>
  <si>
    <t>chaitanyakoushiki1998@gmail.com</t>
  </si>
  <si>
    <t>pay_GvcVao1ku0dVhX</t>
  </si>
  <si>
    <t>yadavallysahithi@gmail.com</t>
  </si>
  <si>
    <t>pay_GpcYmAjKiEpuh0</t>
  </si>
  <si>
    <t>ramesh.socialnetwork@gmail.com</t>
  </si>
  <si>
    <t>pay_GpwuwSpaVPndM8</t>
  </si>
  <si>
    <t>rahulsisodiya08@gmail.com</t>
  </si>
  <si>
    <t>pay_Gpx0HgYUFpJCff</t>
  </si>
  <si>
    <t>ojash200050@gmail.com</t>
  </si>
  <si>
    <t>pay_GveaXA9oasjMhl</t>
  </si>
  <si>
    <t>tiwarisurbhi22@gmail.com</t>
  </si>
  <si>
    <t>pay_Gvf7hJdA4byDWp</t>
  </si>
  <si>
    <t>malinimaharanisinha@gmail.com</t>
  </si>
  <si>
    <t>pay_GvfP7Te2erKSLq</t>
  </si>
  <si>
    <t>febaannthomas@gmail.com</t>
  </si>
  <si>
    <t>pay_GvfyM9CHFCJPWQ</t>
  </si>
  <si>
    <t>shreya9339@gmail.com</t>
  </si>
  <si>
    <t>pay_GpflUWLfP8KDXQ</t>
  </si>
  <si>
    <t>onlineclasses187@gmail.com</t>
  </si>
  <si>
    <t>pay_GvgZfnTkJqCCUc</t>
  </si>
  <si>
    <t>bhawanarawat007@gmail.com</t>
  </si>
  <si>
    <t>pay_GvgoL8gyFt8XQP</t>
  </si>
  <si>
    <t>triptijsr29@gmail.com</t>
  </si>
  <si>
    <t>pay_Gq19m2HiJWI0WE</t>
  </si>
  <si>
    <t>ritikaarora2612@gmail.com</t>
  </si>
  <si>
    <t>pay_Gq4jFxEeLxTT11</t>
  </si>
  <si>
    <t>drmahi2906@gmail.com</t>
  </si>
  <si>
    <t>pay_Gvhm5oXh6OmbI6</t>
  </si>
  <si>
    <t>palsgroup2001@hotmail.com</t>
  </si>
  <si>
    <t>pay_GvhqhJITZyWPvA</t>
  </si>
  <si>
    <t>neko.celine13@gmail.com</t>
  </si>
  <si>
    <t>pay_Gvi5R0AEDhAHNh</t>
  </si>
  <si>
    <t>advstutisingh@gmail.com</t>
  </si>
  <si>
    <t>pay_Gvieqtpo9QAabF</t>
  </si>
  <si>
    <t>ranaaniya531@gmail.com</t>
  </si>
  <si>
    <t>pay_GpxDtPU5T82RG4</t>
  </si>
  <si>
    <t>mirasdarm@yahoo.in</t>
  </si>
  <si>
    <t>pay_Gvt4Wx9OgPGZbe</t>
  </si>
  <si>
    <t>rohinishende.rs@gmail.com</t>
  </si>
  <si>
    <t>pay_GvwBPTVbMiROA3</t>
  </si>
  <si>
    <t>rahul958961@gmail.com</t>
  </si>
  <si>
    <t>pay_GvyJDI88792AbE</t>
  </si>
  <si>
    <t>sarkarchayanika4@gmail.com</t>
  </si>
  <si>
    <t>pay_GqNO0LjYYCpMXk</t>
  </si>
  <si>
    <t>niharikarandheri@gmail.com</t>
  </si>
  <si>
    <t>pay_GvzJTkkI1HIdWg</t>
  </si>
  <si>
    <t>mahimaraghuram6101@gmail.com</t>
  </si>
  <si>
    <t>pay_GqQ2M3KptA1ojs</t>
  </si>
  <si>
    <t>pnmshrsat@gmail.com</t>
  </si>
  <si>
    <t>pay_GvzYwhIB8UDRn9</t>
  </si>
  <si>
    <t>stay1alive1@gmail.com</t>
  </si>
  <si>
    <t>pay_Gw0IWBuZFEEzcw</t>
  </si>
  <si>
    <t>anandofficialacc@gmail.com</t>
  </si>
  <si>
    <t>pay_GqY86yXzVn4Ytk</t>
  </si>
  <si>
    <t>srishtivarshney15@gmail.com</t>
  </si>
  <si>
    <t>pay_Gw0VJ5KVZ7r0hJ</t>
  </si>
  <si>
    <t>sushmitashahi143@gmail.com</t>
  </si>
  <si>
    <t>pay_Gql5XZ6GBr8KJK</t>
  </si>
  <si>
    <t>shraddha96.mail@gmail.com</t>
  </si>
  <si>
    <t>pay_GqnN2gNIaJMxe7</t>
  </si>
  <si>
    <t>frankieriosity@gmail.com</t>
  </si>
  <si>
    <t>pay_Gw3AbUasKOeMWQ</t>
  </si>
  <si>
    <t>shreyanshh17@outlook.com</t>
  </si>
  <si>
    <t>pay_Gw5YuNIGi1VzBU</t>
  </si>
  <si>
    <t>dipannita2709@gmail.com</t>
  </si>
  <si>
    <t>pay_Gqt7WMHYfQ1HRq</t>
  </si>
  <si>
    <t>Deutsch in Tandem</t>
  </si>
  <si>
    <t>swarnendusengupta29@gmail.com</t>
  </si>
  <si>
    <t>pay_GwI0NQ0CQfS0lF</t>
  </si>
  <si>
    <t>shah.shilpa@yahoo.co.in</t>
  </si>
  <si>
    <t>pay_GrF1BwlckqJpyj</t>
  </si>
  <si>
    <t>pay_GrLQOAvYBB8B0D</t>
  </si>
  <si>
    <t>niharikayadav808@gmail.com</t>
  </si>
  <si>
    <t>pay_GrLReNlQ2aJqHE</t>
  </si>
  <si>
    <t>joy1tigerj@gmail.com</t>
  </si>
  <si>
    <t>pay_GrMuwvEwCMdxAd</t>
  </si>
  <si>
    <t>joanneclimend2705@gmail.com</t>
  </si>
  <si>
    <t>pay_GrYbWnXEhWyTEl</t>
  </si>
  <si>
    <t>epooruvasavijyothi99@gmail.com</t>
  </si>
  <si>
    <t>pay_GrghDmcWQCNHTY</t>
  </si>
  <si>
    <t>varnika.parupally33@gmail.com</t>
  </si>
  <si>
    <t>pay_GsXpj74wfYU4HF</t>
  </si>
  <si>
    <t>kanchana22804@gmail.com</t>
  </si>
  <si>
    <t>pay_GwORdl56WjTJEb</t>
  </si>
  <si>
    <t>saloni.abn@gmail.com</t>
  </si>
  <si>
    <t>pay_GwOnr46UIHZE5b</t>
  </si>
  <si>
    <t>ajoyashwinthm@gmail.com</t>
  </si>
  <si>
    <t>pay_Gt9neADWF1WlJJ</t>
  </si>
  <si>
    <t>mohitsethi281190@gmail.com</t>
  </si>
  <si>
    <t>pay_Gtf4NThSnDpQy9</t>
  </si>
  <si>
    <t>victoriakhashimwo@gmail.com</t>
  </si>
  <si>
    <t>pay_GwR6AybyrGoVma</t>
  </si>
  <si>
    <t>pay_GtiT1j6iJ8bdWN</t>
  </si>
  <si>
    <t>bpreynka1@yahoo.com</t>
  </si>
  <si>
    <t>pay_Gu8rfVaQsNQiEA</t>
  </si>
  <si>
    <t>yashkulkarni2198@gmail.com</t>
  </si>
  <si>
    <t>pay_Gq2d246hhup3p7</t>
  </si>
  <si>
    <t>i.pattan88@gmail.com</t>
  </si>
  <si>
    <t>pay_Gwa9NpReLmDVgp</t>
  </si>
  <si>
    <t>priyanksingh1993@gmail.com</t>
  </si>
  <si>
    <t>pay_GuVDcwkTexYHte</t>
  </si>
  <si>
    <t>chiranjibbordoloye123@gmail.com</t>
  </si>
  <si>
    <t>pay_GuuwkTR1KgTQVY</t>
  </si>
  <si>
    <t>vinaykatragadda9@gmail.com</t>
  </si>
  <si>
    <t>pay_Gv22ajsWcGAIif</t>
  </si>
  <si>
    <t>prabirkdey@yahoo.co.in</t>
  </si>
  <si>
    <t>pay_GvC1tOtxYEUJUw</t>
  </si>
  <si>
    <t>anshu.chappanmath@gmail.com</t>
  </si>
  <si>
    <t>pay_GwjBUj5J3dtrQQ</t>
  </si>
  <si>
    <t>iveebak@gmail.com</t>
  </si>
  <si>
    <t>pay_GwjxFe1XXELwib</t>
  </si>
  <si>
    <t>budhadityachakarboty92@gmail.com</t>
  </si>
  <si>
    <t>pay_GvGbOWr3UeaT5Z</t>
  </si>
  <si>
    <t>shivanishetty42@gmail.com</t>
  </si>
  <si>
    <t>16700*</t>
  </si>
  <si>
    <t>pay_GvHcgYcekE2vWf</t>
  </si>
  <si>
    <t>rushaliverma1711@gmail.com</t>
  </si>
  <si>
    <t>pay_GvOjCacKSZoPEJ</t>
  </si>
  <si>
    <t>ruth.tribhuvan@gmail.com</t>
  </si>
  <si>
    <t>pay_GvS8GX0V8udIgP</t>
  </si>
  <si>
    <t>08.sumitkr@gmail.com</t>
  </si>
  <si>
    <t>pay_GwscuyJpLn5T8d</t>
  </si>
  <si>
    <t>The Data Talk</t>
  </si>
  <si>
    <t>dasguptagourab92@gmail.com</t>
  </si>
  <si>
    <t>pay_Gvh66tWUoUp4vD</t>
  </si>
  <si>
    <t>drkrishnapriyavk@gmail.com</t>
  </si>
  <si>
    <t>pay_GvhA3ZFXZxS4OD</t>
  </si>
  <si>
    <t>kunalchdh24@gmail.com</t>
  </si>
  <si>
    <t>pay_GwtIp9RaqE3GxM</t>
  </si>
  <si>
    <t>pawar.madhuri@rocketmail.com</t>
  </si>
  <si>
    <t>pay_Gx3wWnhMo92Eyn</t>
  </si>
  <si>
    <t>Zhongwen</t>
  </si>
  <si>
    <t>ananthmathiyazhagan@gmail.com</t>
  </si>
  <si>
    <t>pay_Gx4eIOgZX5Be7q</t>
  </si>
  <si>
    <t>sushantarora48@gmail.com</t>
  </si>
  <si>
    <t>pay_Gx5egVI7Fa3BB2</t>
  </si>
  <si>
    <t>kdramashillpa@gmail.com</t>
  </si>
  <si>
    <t>pay_Gw0RBT5iDdc0U4</t>
  </si>
  <si>
    <t>manaswipatil17247@gmail.com</t>
  </si>
  <si>
    <t>pay_GxAQmTO4P2cGuk</t>
  </si>
  <si>
    <t>namitakarnatak@yahoo.in</t>
  </si>
  <si>
    <t>pay_Gq6A40YmqR2yCy</t>
  </si>
  <si>
    <t>lomma78@rediffmail.com</t>
  </si>
  <si>
    <t>pay_Gw63sQGFX64lhw</t>
  </si>
  <si>
    <t>suman120997@gmail.com</t>
  </si>
  <si>
    <t>pay_GxDjAOCGdAoZdu</t>
  </si>
  <si>
    <t>knatigou@gmail.com</t>
  </si>
  <si>
    <t>pay_GwIlPhEGkvzeFi</t>
  </si>
  <si>
    <t>pay_GwK7QpnDgObiqm</t>
  </si>
  <si>
    <t>abm09002@gmail.com</t>
  </si>
  <si>
    <t>pay_GwLm3XkkVenGQj</t>
  </si>
  <si>
    <t>ds23105@gmail.com</t>
  </si>
  <si>
    <t>pay_GxHyL5nM0RUWPD</t>
  </si>
  <si>
    <t>roseria1995@gmail.com</t>
  </si>
  <si>
    <t>pay_GxKZksvmNcSh7A</t>
  </si>
  <si>
    <t>ash4go@gmail.com</t>
  </si>
  <si>
    <t>pay_GwNcLVgEwWCVNs</t>
  </si>
  <si>
    <t>997mounika@gmail.com</t>
  </si>
  <si>
    <t>pay_GxQS48d4fCgjLJ</t>
  </si>
  <si>
    <t>thehomeoplus@gmail.com</t>
  </si>
  <si>
    <t>pay_GxQpUuFuzs0nnd</t>
  </si>
  <si>
    <t>kapilgupte@gmail.com</t>
  </si>
  <si>
    <t>pay_GxSFAmUUwfxCUL</t>
  </si>
  <si>
    <t>akashrsagar699@gmail.com</t>
  </si>
  <si>
    <t>pay_GxSpaBq9cQBwXO</t>
  </si>
  <si>
    <t>Ahoj</t>
  </si>
  <si>
    <t>rahulsahutraining@gmail.com</t>
  </si>
  <si>
    <t>pay_GxTFEddK1oPbv9</t>
  </si>
  <si>
    <t>prakash27.prachi@gmail.com</t>
  </si>
  <si>
    <t>pay_GxVqNnoThyorTP</t>
  </si>
  <si>
    <t>14droadindia@gmail.com</t>
  </si>
  <si>
    <t>pay_GxWcfxmk8rVgun</t>
  </si>
  <si>
    <t>khuranaradhika89@gmail.com</t>
  </si>
  <si>
    <t>pay_GwO8k8nfBxun4J</t>
  </si>
  <si>
    <t>priyabajaj7916@gmail.com</t>
  </si>
  <si>
    <t>pay_GqAqY6ZEm8yQJC</t>
  </si>
  <si>
    <t>irfan.principia@gmail.com</t>
  </si>
  <si>
    <t>pay_GqB0eiVIyw48LS</t>
  </si>
  <si>
    <t>mayurkelur@gmail.com</t>
  </si>
  <si>
    <t>pay_GxayyM5JEJyVVu</t>
  </si>
  <si>
    <t>aggarsugandha@gmail.com</t>
  </si>
  <si>
    <t>pay_GwVpWg3c1Hm8ky</t>
  </si>
  <si>
    <t>vaibhavpce@gmail.com</t>
  </si>
  <si>
    <t>pay_GwjBLuRPYx7KPc</t>
  </si>
  <si>
    <t>mdyousufpsy@gmail.com</t>
  </si>
  <si>
    <t>pay_GwlcpbAqanyoxW</t>
  </si>
  <si>
    <t>writer.aditi@gmail.com</t>
  </si>
  <si>
    <t>pay_Gxcx7gUg8oV9lB</t>
  </si>
  <si>
    <t>amanranka96@gmail.com</t>
  </si>
  <si>
    <t>pay_GqBud6NSR2R1BX</t>
  </si>
  <si>
    <t>priyeshpbalani@gmail.com</t>
  </si>
  <si>
    <t>pay_Gwt6kNPOdhWSU5</t>
  </si>
  <si>
    <t>sulagna.kaushik@gmail.com</t>
  </si>
  <si>
    <t>pay_GxeIEnjFh51PGy</t>
  </si>
  <si>
    <t>sudhanshutope@gmail.com</t>
  </si>
  <si>
    <t>pay_GqKRkGUB9uk9AQ</t>
  </si>
  <si>
    <t>sureshlaishram111@gmail.com</t>
  </si>
  <si>
    <t>pay_Gxf3QqDCAhGZN1</t>
  </si>
  <si>
    <t>arunpratap2211@gmail.com</t>
  </si>
  <si>
    <t>pay_Gxf5XNSDy48APx</t>
  </si>
  <si>
    <t>tahaayaz4@gmail.com</t>
  </si>
  <si>
    <t>pay_GxfGPMm4Z2hNPM</t>
  </si>
  <si>
    <t>avppatil106@gmail.com</t>
  </si>
  <si>
    <t>pay_GxBAwFNAtiMpJ8</t>
  </si>
  <si>
    <t>kunalbanshingek@gmail.com</t>
  </si>
  <si>
    <t>pay_GxGbHw4JjHEUnn</t>
  </si>
  <si>
    <t>sarojajinkya@rediffmail.com</t>
  </si>
  <si>
    <t>pay_GqLJ8oaFT7eyOj</t>
  </si>
  <si>
    <t>hardikkaushal999@gmail.com</t>
  </si>
  <si>
    <t>pay_GxQPOiufIQz7vp</t>
  </si>
  <si>
    <t>Sketch Hub</t>
  </si>
  <si>
    <t>babithaneesh@gmail.com</t>
  </si>
  <si>
    <t>pay_GqMM8mFXXIbfWh</t>
  </si>
  <si>
    <t>sutharshivraj@yahoo.in</t>
  </si>
  <si>
    <t>pay_GxhYvBnHGhXSiA</t>
  </si>
  <si>
    <t>jayashreedevaraj23@gmail.com</t>
  </si>
  <si>
    <t>pay_GxheieGMEyt47x</t>
  </si>
  <si>
    <t>jays.genesissoft@gmail.com</t>
  </si>
  <si>
    <t>pay_GxXQwIClxOjy49</t>
  </si>
  <si>
    <t>ranusanath@gmail.com</t>
  </si>
  <si>
    <t>pay_GxiruRf5a7H6XT</t>
  </si>
  <si>
    <t>f20190809@pilani.bits-pilani.ac.in</t>
  </si>
  <si>
    <t>pay_Gxj2HIrL5xWNPP</t>
  </si>
  <si>
    <t>jubyj.designz@gmail.com</t>
  </si>
  <si>
    <t>pay_GqVZPkU5mR4qmq</t>
  </si>
  <si>
    <t>sandeepchowdary212@gmail.com</t>
  </si>
  <si>
    <t>pay_GxkIStRzxREBxN</t>
  </si>
  <si>
    <t>kulpooja1980@gmail.com</t>
  </si>
  <si>
    <t>pay_GxaNK7xPVmItRw</t>
  </si>
  <si>
    <t>parekhniyati08@gmail.com</t>
  </si>
  <si>
    <t>pay_GxbA7ZhTr6eQSK</t>
  </si>
  <si>
    <t>aruncena123@gmail.com</t>
  </si>
  <si>
    <t>pay_Gxpl7yVTj7WRYD</t>
  </si>
  <si>
    <t>vachalata@gmail.com</t>
  </si>
  <si>
    <t>pay_GxbgU2B2pH80gG</t>
  </si>
  <si>
    <t>shashankkodhati@gmail.com</t>
  </si>
  <si>
    <t>pay_GxdAOFQa7eMxbP</t>
  </si>
  <si>
    <t>dipti.shetye@gmail.com</t>
  </si>
  <si>
    <t>pay_GxuoDXCCsNh8CK</t>
  </si>
  <si>
    <t>Ladies &amp; Gentlemen</t>
  </si>
  <si>
    <t>anujb17695@gmail.com</t>
  </si>
  <si>
    <t>pay_GxvC4KKKT8GNdi</t>
  </si>
  <si>
    <t>rveeru55@gmail.com</t>
  </si>
  <si>
    <t>pay_Gxvkmxt8rbAbnO</t>
  </si>
  <si>
    <t>vivekjadhav5152@gmail.com</t>
  </si>
  <si>
    <t>pay_GxwHFY4d3K48ou</t>
  </si>
  <si>
    <t>ssdevda9740@gmail.com</t>
  </si>
  <si>
    <t>pay_Gxdo57209ZtaxY</t>
  </si>
  <si>
    <t>sksubhamkumar81@gmail.com</t>
  </si>
  <si>
    <t>pay_GxwNrZk94e0f6r</t>
  </si>
  <si>
    <t>niveditha.r09@gmail.com</t>
  </si>
  <si>
    <t>pay_GqXYPSIts3ON5N</t>
  </si>
  <si>
    <t>harishponugupati@gmail.com</t>
  </si>
  <si>
    <t>pay_GxgDDrRKMzf0lp</t>
  </si>
  <si>
    <t>mishrakanksha0514@gmail.com</t>
  </si>
  <si>
    <t>pay_GxgfPAxco4IcMp</t>
  </si>
  <si>
    <t>malvika.mayur@gmail.com</t>
  </si>
  <si>
    <t>pay_GqYBJrtIyAad3K</t>
  </si>
  <si>
    <t>mr.sirisekhar@gmail.com</t>
  </si>
  <si>
    <t>pay_Gxib5VlzfLrlLE</t>
  </si>
  <si>
    <t>zikraammarah@gmail.com</t>
  </si>
  <si>
    <t>pay_Gy2JoQvUtRhYMx</t>
  </si>
  <si>
    <t>sonuarora3@gmail.com</t>
  </si>
  <si>
    <t>pay_Gy2MeH7jbZMLNZ</t>
  </si>
  <si>
    <t>khareprachi21@gmail.com</t>
  </si>
  <si>
    <t>pay_GxjckMt4OTOQRQ</t>
  </si>
  <si>
    <t>jyotimohite1980@gmail.com</t>
  </si>
  <si>
    <t>pay_Gy3GHNdAYohOQZ</t>
  </si>
  <si>
    <t>prashantgupta.iift@gmail.com</t>
  </si>
  <si>
    <t>pay_GqnRrB5PwDCJPh</t>
  </si>
  <si>
    <t>jigu2177@gmail.com</t>
  </si>
  <si>
    <t>pay_Gqt8L1DYleQ2XB</t>
  </si>
  <si>
    <t>sachinbamte@gmail.com</t>
  </si>
  <si>
    <t>pay_Gqv6VKLa1DTkCC</t>
  </si>
  <si>
    <t>sahusantosh1963@gmail.com</t>
  </si>
  <si>
    <t>pay_GqvgyRi43UkBba</t>
  </si>
  <si>
    <t>ramaranjith0@gmail.com</t>
  </si>
  <si>
    <t>pay_Gy5TNSvIZ44jA1</t>
  </si>
  <si>
    <t>asmithaar16@gmail.com</t>
  </si>
  <si>
    <t>pay_GxyFyI9iBLXKv5</t>
  </si>
  <si>
    <t>Pharmacology</t>
  </si>
  <si>
    <t>kiruthika.kp@gmail.com</t>
  </si>
  <si>
    <t>pay_Gy1Ma1yuVgUcQs</t>
  </si>
  <si>
    <t>ishumande@gmail.com</t>
  </si>
  <si>
    <t>pay_Gqwp6u8PDmf7ZM</t>
  </si>
  <si>
    <t>s.hemlata88@gmail.com</t>
  </si>
  <si>
    <t>pay_Gy1Yi4JPB3vj6B</t>
  </si>
  <si>
    <t>sree3481@gmail.com</t>
  </si>
  <si>
    <t>pay_Gy1YroHhBGgLQL</t>
  </si>
  <si>
    <t>pooja.ari96@gmail.com</t>
  </si>
  <si>
    <t>pay_Gy3vnJK9JkrYPF</t>
  </si>
  <si>
    <t>rejeesh5069@gmail.com</t>
  </si>
  <si>
    <t>pay_Gy4f8QMAenNrOt</t>
  </si>
  <si>
    <t>khushichughani04@gmail.com</t>
  </si>
  <si>
    <t>pay_GyNQiNaDSUs9eH</t>
  </si>
  <si>
    <t>ankitathakur8696@gmail.com</t>
  </si>
  <si>
    <t>pay_GyNviAgcD1EloG</t>
  </si>
  <si>
    <t>archna.nagarajan@gmail.com</t>
  </si>
  <si>
    <t>pay_Gr9Mj3kUuTI6EM</t>
  </si>
  <si>
    <t>amitganar619@gmail.com</t>
  </si>
  <si>
    <t>pay_GrFU58oUzG2EL5</t>
  </si>
  <si>
    <t>tsonu1864@gmail.com</t>
  </si>
  <si>
    <t>pay_Grd2as9kO0fXwF</t>
  </si>
  <si>
    <t>kansagarahiren@gmail.com</t>
  </si>
  <si>
    <t>pay_Gy6tzRd52WXoEU</t>
  </si>
  <si>
    <t>swarnavosen15@gmail.com</t>
  </si>
  <si>
    <t>pay_Gy6ySPIt6BkIMl</t>
  </si>
  <si>
    <t>komal.choudhary90@gmail.com</t>
  </si>
  <si>
    <t>pay_GyUZ7Rr587PK7P</t>
  </si>
  <si>
    <t>aspire.aastha@gmail.com</t>
  </si>
  <si>
    <t>pay_Grd9glblWjbjMf</t>
  </si>
  <si>
    <t>varadhu270205@yahoo.co.in</t>
  </si>
  <si>
    <t>pay_GyKF3DTWqVYAXh</t>
  </si>
  <si>
    <t>shruthinambissan15@gmail.com</t>
  </si>
  <si>
    <t>pay_Grd9xig6a2PcGG</t>
  </si>
  <si>
    <t>namanbhatia129@gmail.com</t>
  </si>
  <si>
    <t>pay_GyTzPgBRfGpPIo</t>
  </si>
  <si>
    <t>chawlaishika73@gmail.com</t>
  </si>
  <si>
    <t>pay_GyVfsw6uBVadZ7</t>
  </si>
  <si>
    <t>sukanya.iyer15@gmail.com</t>
  </si>
  <si>
    <t>pay_GyZzc0S6xTKJXu</t>
  </si>
  <si>
    <t>kaavyapurohit@gmail.com</t>
  </si>
  <si>
    <t>pay_GyVzrRHc6HkHAo</t>
  </si>
  <si>
    <t>b.dassourav@gmail.com</t>
  </si>
  <si>
    <t>pay_GyerqZ2wAlqPcX</t>
  </si>
  <si>
    <t>sanjanakajol96@gmail.com</t>
  </si>
  <si>
    <t>pay_GrdDGN6zSkBovP</t>
  </si>
  <si>
    <t>prithianivijay@gmail.com</t>
  </si>
  <si>
    <t>pay_GrdGPbw9u64jMZ</t>
  </si>
  <si>
    <t>sugan172@gmail.com</t>
  </si>
  <si>
    <t>pay_GyhsI2KD7fPtiA</t>
  </si>
  <si>
    <t>jhashreya621@gmail.com</t>
  </si>
  <si>
    <t>pay_Gyi28f0xm5Lcm8</t>
  </si>
  <si>
    <t>prince.varun14@gmail.com</t>
  </si>
  <si>
    <t>pay_Gre5rYg86XrtjU</t>
  </si>
  <si>
    <t>choudharykishorbhakal1991@gmail.com</t>
  </si>
  <si>
    <t>pay_GyfPoMEdhJ8gIp</t>
  </si>
  <si>
    <t>gayatrithakur8@gmail.com</t>
  </si>
  <si>
    <t>pay_GreWVeT2K3R9q4</t>
  </si>
  <si>
    <t>amar_mishra24@hotmail.com</t>
  </si>
  <si>
    <t>pay_GymaMoA6dUK4ft</t>
  </si>
  <si>
    <t>survedisha17@gmail.com</t>
  </si>
  <si>
    <t>pay_Gs0n9zSvRVnX89</t>
  </si>
  <si>
    <t>avrbharathi@gmail.com</t>
  </si>
  <si>
    <t>pay_Gyr7muKXTq15RW</t>
  </si>
  <si>
    <t>pay_Gym3w6oQ1EdwIJ</t>
  </si>
  <si>
    <t>kale.sanjana98@gmail.com</t>
  </si>
  <si>
    <t>pay_GyuSmZNtLHDvly</t>
  </si>
  <si>
    <t>chittanshi@gmail.com</t>
  </si>
  <si>
    <t>pay_Gz2ttzvCUCk38G</t>
  </si>
  <si>
    <t>vrundarajgor1397@gmail.com</t>
  </si>
  <si>
    <t>pay_Gz348VYBO8m1t7</t>
  </si>
  <si>
    <t>tejal1123@yahoo.com</t>
  </si>
  <si>
    <t>pay_Gz3U5BJAgdfRXm</t>
  </si>
  <si>
    <t>panditv09@gmail.com</t>
  </si>
  <si>
    <t>pay_Gz3mnzR94rXK9O</t>
  </si>
  <si>
    <t>brinda9saphire@gmail.com</t>
  </si>
  <si>
    <t>pay_Gz5HC51Lm6hROR</t>
  </si>
  <si>
    <t>guri96727@gmail.com</t>
  </si>
  <si>
    <t>pay_Gz6OztVh2FM5oX</t>
  </si>
  <si>
    <t>kkmithunjith@gmail.com</t>
  </si>
  <si>
    <t>pay_Gz7JmsbBSaGXY5</t>
  </si>
  <si>
    <t>gayatri.sangitrao@gmail.com</t>
  </si>
  <si>
    <t>pay_Gyq99W4TRLh69w</t>
  </si>
  <si>
    <t>nandusi5@gmail.com</t>
  </si>
  <si>
    <t>pay_Gz9G1VtvO1PMHO</t>
  </si>
  <si>
    <t>amitsumitrana@gmail.com</t>
  </si>
  <si>
    <t>pay_Gs7MUoZzE5OnVw</t>
  </si>
  <si>
    <t>msdalavi1@gmail.com</t>
  </si>
  <si>
    <t>pay_Gys46hczMjTVxE</t>
  </si>
  <si>
    <t>Yo Geek</t>
  </si>
  <si>
    <t>ashishmansichawla@rediffmail.com</t>
  </si>
  <si>
    <t>pay_GsnnHR7qQR6MBV</t>
  </si>
  <si>
    <t>mylamohansaikrishna@gmail.com</t>
  </si>
  <si>
    <t>pay_GzBYVpElk9LHeI</t>
  </si>
  <si>
    <t>neelimacvs27@gmail.com</t>
  </si>
  <si>
    <t>pay_GsoAN1c3e5zpSR</t>
  </si>
  <si>
    <t>rguntuka@gmail.com</t>
  </si>
  <si>
    <t>pay_GzCiV3sAiSmpdu</t>
  </si>
  <si>
    <t>kirti.mane2702@gmail.com</t>
  </si>
  <si>
    <t>pay_GssyYPLTP4ST1U</t>
  </si>
  <si>
    <t>jithudvg@gmail.com</t>
  </si>
  <si>
    <t>pay_GzA1sJoGzVpP9t</t>
  </si>
  <si>
    <t>halankarakshaya@yahoo.in</t>
  </si>
  <si>
    <t>pay_GzD9mbLq3UMolq</t>
  </si>
  <si>
    <t>sharada.sep@gmail.com</t>
  </si>
  <si>
    <t>pay_GzEBuwjy3OLG0U</t>
  </si>
  <si>
    <t>ludzlobo@hotmail.com</t>
  </si>
  <si>
    <t>pay_GzEs8rNv6WrR84</t>
  </si>
  <si>
    <t>ishitawriter96@gmail.com</t>
  </si>
  <si>
    <t>pay_GzFiT9UGMT8pWW</t>
  </si>
  <si>
    <t>iamsanjeevoriginals@gmail.com</t>
  </si>
  <si>
    <t>pay_GzGAUB3Jc8BM4P</t>
  </si>
  <si>
    <t>urvi.ganatra1998@gmail.com</t>
  </si>
  <si>
    <t>pay_Gsumrt80b6Y61W</t>
  </si>
  <si>
    <t>kailash_arvind@rediffmail.com</t>
  </si>
  <si>
    <t>pay_GzTiw2lXJrrUL1</t>
  </si>
  <si>
    <t>gagandec05@gmail.com</t>
  </si>
  <si>
    <t>pay_GtBtLT7duPuVIt</t>
  </si>
  <si>
    <t>kaish1786@yahoo.co.in</t>
  </si>
  <si>
    <t>pay_GzUJWaHYk4yq9D</t>
  </si>
  <si>
    <t>jvaishnavi97@gmail.com</t>
  </si>
  <si>
    <t>pay_GzUMTb05REJ8o0</t>
  </si>
  <si>
    <t>rosalynstandford98@gmail.com</t>
  </si>
  <si>
    <t>pay_GtEcT0yfxKEr4L</t>
  </si>
  <si>
    <t>engineerput@gmail.com</t>
  </si>
  <si>
    <t>pay_GzHdoBjIYT2uHu</t>
  </si>
  <si>
    <t>dhawlesudhir@gmail.com</t>
  </si>
  <si>
    <t>pay_GtXzpwumwJx36f</t>
  </si>
  <si>
    <t>hp71573@gmail.com</t>
  </si>
  <si>
    <t>pay_GzVifDoCqkwu2f</t>
  </si>
  <si>
    <t>shristi2sahay@gmail.com</t>
  </si>
  <si>
    <t>pay_GtYusoUPSZvQvo</t>
  </si>
  <si>
    <t>ravishankarmanglam1000@gmail.com</t>
  </si>
  <si>
    <t>pay_GtZ7RI3BCu2r0J</t>
  </si>
  <si>
    <t>pay_GzVE8C3LrPrR2P</t>
  </si>
  <si>
    <t>akshatkumar10@gmail.com</t>
  </si>
  <si>
    <t>pay_Gu0X6p5BM5uHxu</t>
  </si>
  <si>
    <t>niks.kul7@gmail.com</t>
  </si>
  <si>
    <t>pay_GzX7ZR1HGqmDw9</t>
  </si>
  <si>
    <t>anuja.0397@gmail.com</t>
  </si>
  <si>
    <t>pay_Gu1LEjXkGhr0cD</t>
  </si>
  <si>
    <t>vinod.gangula@gmail.com</t>
  </si>
  <si>
    <t>pay_GuHtrAyNqT5fBt</t>
  </si>
  <si>
    <t>cdushyanth@gmail.com</t>
  </si>
  <si>
    <t>pay_GzYv1d88JmsGOH</t>
  </si>
  <si>
    <t>PowerPoint Pro</t>
  </si>
  <si>
    <t>mkarmakar_1970@yahoo.co.in</t>
  </si>
  <si>
    <t>pay_GzZDVomkC1GgYW</t>
  </si>
  <si>
    <t>21shreyavats@gmail.com</t>
  </si>
  <si>
    <t>pay_GzZp7su4zEsCV1</t>
  </si>
  <si>
    <t>bmkr9119@gmail.com</t>
  </si>
  <si>
    <t>pay_Gzbgph0WBQdHh6</t>
  </si>
  <si>
    <t>nikittanataraj@gmail.com</t>
  </si>
  <si>
    <t>pay_GuhjuGJs6RnM7S</t>
  </si>
  <si>
    <t>ridhamnaik263@gmail.com</t>
  </si>
  <si>
    <t>pay_GukvqkhVaCoAxb</t>
  </si>
  <si>
    <t>yash.laharia2007@gmail.com</t>
  </si>
  <si>
    <t>pay_Gzd4XaMpYsstK5</t>
  </si>
  <si>
    <t>debleenabiswas23@gmail.com</t>
  </si>
  <si>
    <t>pay_Gzds2rA1jumdJO</t>
  </si>
  <si>
    <t>ilovekeerthysuresh1992@gmail.com</t>
  </si>
  <si>
    <t>pay_GupPqzWZ06mPzp</t>
  </si>
  <si>
    <t>viswajeet.solanki@gmail.com</t>
  </si>
  <si>
    <t>pay_Guu4PAdOIb7NwS</t>
  </si>
  <si>
    <t>raghu.raman@live.com</t>
  </si>
  <si>
    <t>pay_GzeKScYSl20m33</t>
  </si>
  <si>
    <t>aasthambatra0@gmail.com</t>
  </si>
  <si>
    <t>pay_GzeuNzdNJZYrhN</t>
  </si>
  <si>
    <t>naveen6063@gmail.com</t>
  </si>
  <si>
    <t>pay_Gzf4x3lizUaiYQ</t>
  </si>
  <si>
    <t>ramconquers@gmail.com</t>
  </si>
  <si>
    <t>pay_GzgDsqLKAJsb2I</t>
  </si>
  <si>
    <t>hungry.delhiwala@gmail.com</t>
  </si>
  <si>
    <t>pay_GzgLPw1NwqRvlT</t>
  </si>
  <si>
    <t>thanapanjavarnamno1@gmail.com</t>
  </si>
  <si>
    <t>pay_Gzf8IVDCi6pI4B</t>
  </si>
  <si>
    <t>akanksharai@outlook.com</t>
  </si>
  <si>
    <t>pay_GzhNsgaCfiubsV</t>
  </si>
  <si>
    <t>pay_GzfTijMToPFkWa</t>
  </si>
  <si>
    <t>shaikhkausar43@gmail.com</t>
  </si>
  <si>
    <t>pay_GzoWgQMhMVbJX2</t>
  </si>
  <si>
    <t>shilparao.143@gmail.com</t>
  </si>
  <si>
    <t>pay_GzgN9VbT3jh5mw</t>
  </si>
  <si>
    <t>fatimarajyee99t@gmail.com</t>
  </si>
  <si>
    <t>pay_Gv6GWSgj9YNAmV</t>
  </si>
  <si>
    <t>bharath2006bhavi@gmail.com</t>
  </si>
  <si>
    <t>pay_Gzrh9AlIhW4zNC</t>
  </si>
  <si>
    <t>jmadhura282@gmail.com</t>
  </si>
  <si>
    <t>pay_GvBHvmdfAg5uve</t>
  </si>
  <si>
    <t>muhammedsahil02@gmail.com</t>
  </si>
  <si>
    <t>pay_GvCNkHmM3p1fXZ</t>
  </si>
  <si>
    <t>ravi.2838@gmail.com</t>
  </si>
  <si>
    <t>pay_GvEXJrtOkqW5f6</t>
  </si>
  <si>
    <t>jmisquith@gmail.com</t>
  </si>
  <si>
    <t>pay_GzsEhCbQaliuLB</t>
  </si>
  <si>
    <t>mihirksoni@gmail.com</t>
  </si>
  <si>
    <t>pay_GzsXwXZZIsgPUM</t>
  </si>
  <si>
    <t>tiwari.amit0989@gmail.com</t>
  </si>
  <si>
    <t>pay_GzsmbjATNhkfvU</t>
  </si>
  <si>
    <t>1811321@gmail.com</t>
  </si>
  <si>
    <t>pay_GzrtxiO4y9aSNt</t>
  </si>
  <si>
    <t>ankitgaba203@gmail.com</t>
  </si>
  <si>
    <t>pay_Gzu9ZvziUHSYX2</t>
  </si>
  <si>
    <t>bhavya.anupoju@gmail.com</t>
  </si>
  <si>
    <t>pay_GzupQaXD2IZzzl</t>
  </si>
  <si>
    <t>prakashsarkar733@outlook.com</t>
  </si>
  <si>
    <t>pay_Gzs1RUjF21ubPm</t>
  </si>
  <si>
    <t>surujkaushik750@gmail.com</t>
  </si>
  <si>
    <t>pay_GvJoQuwkcwaQc0</t>
  </si>
  <si>
    <t>napore@gmail.com</t>
  </si>
  <si>
    <t>pay_Gzu8FdsyIpR7fH</t>
  </si>
  <si>
    <t>bhavyadhawan17@gmail.com</t>
  </si>
  <si>
    <t>pay_GzzFfz8DoASjql</t>
  </si>
  <si>
    <t>easwaryakumar@gmail.com</t>
  </si>
  <si>
    <t>pay_Gzy9wUuLt1ZuA2</t>
  </si>
  <si>
    <t>akhileshcloud7@gmail.com</t>
  </si>
  <si>
    <t>pay_H00RKx35g4T7bT</t>
  </si>
  <si>
    <t>senoritalobo88@gmail.com</t>
  </si>
  <si>
    <t>pay_H00UAlq4sutkXN</t>
  </si>
  <si>
    <t>utsavmuley@gmail.com</t>
  </si>
  <si>
    <t>pay_H01Dt4oLKjQdPX</t>
  </si>
  <si>
    <t>pramodj_2008@gmail.com</t>
  </si>
  <si>
    <t>pay_H02InL9M766toB</t>
  </si>
  <si>
    <t>chaitu.kalwala@gmail.com</t>
  </si>
  <si>
    <t>pay_H03G3AlWg83aAr</t>
  </si>
  <si>
    <t>uditraj79@gmail.com</t>
  </si>
  <si>
    <t>pay_Gzzk2XlVjJ5PXD</t>
  </si>
  <si>
    <t>aby3878@gmail.com</t>
  </si>
  <si>
    <t>pay_H04FiqzpuQ5pGx</t>
  </si>
  <si>
    <t>shreyatarafdar18@gmail.com</t>
  </si>
  <si>
    <t>pay_H0AOv1prSk33JR</t>
  </si>
  <si>
    <t>sushma.3122@gmail.com</t>
  </si>
  <si>
    <t>pay_H0DDGH1MXK5D8b</t>
  </si>
  <si>
    <t>nileshkesri@gmail.com</t>
  </si>
  <si>
    <t>pay_GvXNOjrW0q2Xio</t>
  </si>
  <si>
    <t>mukunddayama@gmail.com</t>
  </si>
  <si>
    <t>pay_H0DINx4NX0qRz5</t>
  </si>
  <si>
    <t>gomathimohan1399@gmail.com</t>
  </si>
  <si>
    <t>pay_H0GFCCgGR7Sgd2</t>
  </si>
  <si>
    <t>baldesakshi2206@gmail.com</t>
  </si>
  <si>
    <t>pay_H0G5clUgrzm50V</t>
  </si>
  <si>
    <t>jj188062@gmail.com</t>
  </si>
  <si>
    <t>pay_H0IlWYk1uZFXAn</t>
  </si>
  <si>
    <t>harshbhati22@gmail.com</t>
  </si>
  <si>
    <t>pay_H0IuMVtINmSALP</t>
  </si>
  <si>
    <t>animesh.sharma18@gmail.com</t>
  </si>
  <si>
    <t>pay_H0HltrvO2cvkXo</t>
  </si>
  <si>
    <t>deepannitagupta99@gmail.com</t>
  </si>
  <si>
    <t>pay_H0J5Wer9kTmqpX</t>
  </si>
  <si>
    <t>pankhurijain031@gmail.com</t>
  </si>
  <si>
    <t>pay_GvcfcgzK1FAVnH</t>
  </si>
  <si>
    <t>shivdas0809@gmail.com</t>
  </si>
  <si>
    <t>pay_GveTEhtJYXobUG</t>
  </si>
  <si>
    <t>mourya.dasgupta@gmail.com</t>
  </si>
  <si>
    <t>pay_H0JvlqPYVhT2VQ</t>
  </si>
  <si>
    <t>sajikhaleel@gmail.com</t>
  </si>
  <si>
    <t>pay_H0K0rkzfXCzGP5</t>
  </si>
  <si>
    <t>tanumay.dr@gmail.com</t>
  </si>
  <si>
    <t>pay_GvsEegIb2hgbaq</t>
  </si>
  <si>
    <t>visuaruran@gmail.com</t>
  </si>
  <si>
    <t>pay_H0O6cbWC7qFd15</t>
  </si>
  <si>
    <t>Thane super moms</t>
  </si>
  <si>
    <t>Monthly plan</t>
  </si>
  <si>
    <t>shweta.nay@gmail.com</t>
  </si>
  <si>
    <t>pay_H3o1ZcW9586eBo</t>
  </si>
  <si>
    <t>mayank.tomar@likeminds.community</t>
  </si>
  <si>
    <t>pay_H0O9D4qkvggvyQ</t>
  </si>
  <si>
    <t>Quarterly plan</t>
  </si>
  <si>
    <t>poorabiekhare@yahoo.co.uk</t>
  </si>
  <si>
    <t>pay_H0OxOJViFGVsZe</t>
  </si>
  <si>
    <t>jain.24.tanvi@gmail.com</t>
  </si>
  <si>
    <t>pay_H2SkQvdhL9XZC2</t>
  </si>
  <si>
    <t>Khushi se yoga</t>
  </si>
  <si>
    <t>anky05@gmail.com</t>
  </si>
  <si>
    <t>pay_H0PCSupQk3c4Nh</t>
  </si>
  <si>
    <t>harika.niddavole1997@gmail.com</t>
  </si>
  <si>
    <t>pay_H0O8I32vpR7Yrx</t>
  </si>
  <si>
    <t>mooroy1982@yahoo.com</t>
  </si>
  <si>
    <t>pay_H2SuOQe21VcV2X</t>
  </si>
  <si>
    <t>itspurnima@hotmail.com</t>
  </si>
  <si>
    <t>pay_H0Qi225EUDl3VC</t>
  </si>
  <si>
    <t>littletravelings@gmail.com</t>
  </si>
  <si>
    <t>pay_H2g45XkYuFXlh1</t>
  </si>
  <si>
    <t>geetaraut@gmail.com</t>
  </si>
  <si>
    <t>pay_H0STWwZX2iy8ii</t>
  </si>
  <si>
    <t>jayanthiskcet@gmail.com</t>
  </si>
  <si>
    <t>pay_H2lexNAlIZwb4Z</t>
  </si>
  <si>
    <t>jrsesha1982@gmail.com</t>
  </si>
  <si>
    <t>pay_H3E9ZFf9CR7GfS</t>
  </si>
  <si>
    <t>p_priya@hotmail.com</t>
  </si>
  <si>
    <t>pay_H3HROk8Tp8pvKS</t>
  </si>
  <si>
    <t>vismitachauhan@hotmail.com</t>
  </si>
  <si>
    <t>pay_H0WOp4sgygqvXC</t>
  </si>
  <si>
    <t>tanmaysharma2010@gmail.com</t>
  </si>
  <si>
    <t>pay_H3VlD6z0Z0NSrX</t>
  </si>
  <si>
    <t>rupsaray@gmail.com</t>
  </si>
  <si>
    <t>pay_H0Xc5QUX1xSlVn</t>
  </si>
  <si>
    <t>anukarshjain@gmail.com</t>
  </si>
  <si>
    <t>pay_H0cHb7xEoxfZ12</t>
  </si>
  <si>
    <t>yogapardeshi88@gmail.com</t>
  </si>
  <si>
    <t>pay_H0dGEnjzaa5bOa</t>
  </si>
  <si>
    <t>Blooming Rush</t>
  </si>
  <si>
    <t>guptashweta25@gmail.com</t>
  </si>
  <si>
    <t>pay_H0dIi3G8T5F1q8</t>
  </si>
  <si>
    <t>shwetaraddi08@gmail.com</t>
  </si>
  <si>
    <t>pay_H0dSivSWObO2RS</t>
  </si>
  <si>
    <t>preeti.tri18@gmail.com</t>
  </si>
  <si>
    <t>pay_H3xL4zr7pi9wsr</t>
  </si>
  <si>
    <t>subhashsindhu2@gmail.com</t>
  </si>
  <si>
    <t>pay_H0eu5SQ5Yb2Hxl</t>
  </si>
  <si>
    <t>kawyap1@gmail.com</t>
  </si>
  <si>
    <t>pay_H0fXbmVVAAOf0z</t>
  </si>
  <si>
    <t>varnikaworks@gmail.com</t>
  </si>
  <si>
    <t>pay_H0fa2NsrrfQCfT</t>
  </si>
  <si>
    <t>eishika.kochhar12345@gmail.com</t>
  </si>
  <si>
    <t>pay_H0himTUojbMYTD</t>
  </si>
  <si>
    <t>rishabh875611@gmail.com</t>
  </si>
  <si>
    <t>pay_H0jYnvUliIFvqg</t>
  </si>
  <si>
    <t>tanvikarekar2403@gmail.com</t>
  </si>
  <si>
    <t>pay_H0kJuyIPU2ZxMe</t>
  </si>
  <si>
    <t>dnshukla20@gmail.com</t>
  </si>
  <si>
    <t>pay_H0l8QYxZZvXHX3</t>
  </si>
  <si>
    <t>ojagtap32@gmail.com</t>
  </si>
  <si>
    <t>pay_H4Dj8d7ZAMm7gQ</t>
  </si>
  <si>
    <t>anushammu2104@gmail.com</t>
  </si>
  <si>
    <t>pay_H0mPI1lR7RnNtA</t>
  </si>
  <si>
    <t>tanveer.oasis@gmail.com</t>
  </si>
  <si>
    <t>pay_H0mz8POW4EzzYD</t>
  </si>
  <si>
    <t>charuta.rajadhyaksha@gmail.com</t>
  </si>
  <si>
    <t>pay_H4GJXvRVcMlpFf</t>
  </si>
  <si>
    <t>verma.shweta1277@gmail.com</t>
  </si>
  <si>
    <t>pay_GncFyHNH6NZFkG</t>
  </si>
  <si>
    <t>Ladies and Gentlemen</t>
  </si>
  <si>
    <t>pragyasancheti12@gmail.com</t>
  </si>
  <si>
    <t>pay_GoAuiXwxpflmFo</t>
  </si>
  <si>
    <t>yuvrajgunsola1063@gmail.com</t>
  </si>
  <si>
    <t>pay_GxYFiQ9bmXok6B</t>
  </si>
  <si>
    <t>emceemanoj.india@gmail.com</t>
  </si>
  <si>
    <t>pay_H0L94skLHBlqao</t>
  </si>
  <si>
    <t>dhananjayanair26@yahoo.com</t>
  </si>
  <si>
    <t>pay_H0pgihcwTK4L6q</t>
  </si>
  <si>
    <t>Language careers</t>
  </si>
  <si>
    <t>sjn296@gmail.com</t>
  </si>
  <si>
    <t>pay_H0pipWHavgh24t</t>
  </si>
  <si>
    <t>simrandaryani98@gmail.com</t>
  </si>
  <si>
    <t>pay_H0pq6s49oZYXEq</t>
  </si>
  <si>
    <t>chiranjeevigiri34@gmail.com</t>
  </si>
  <si>
    <t>pay_H0pujteJmC8f73</t>
  </si>
  <si>
    <t>priya.vohra29@gmail.com</t>
  </si>
  <si>
    <t>pay_H0qFzm3FRFV7yp</t>
  </si>
  <si>
    <t>princekamboj@gmail.com</t>
  </si>
  <si>
    <t>pay_H0qkTXKV6vnvuU</t>
  </si>
  <si>
    <t>shivam.anand6256@gmail.com</t>
  </si>
  <si>
    <t>pay_H0Wgf9pn8sw8lc</t>
  </si>
  <si>
    <t>raeemenon@gmail.com</t>
  </si>
  <si>
    <t>pay_H145wMeNUQJ0FN</t>
  </si>
  <si>
    <t>nirupamsaha235@gmail.com</t>
  </si>
  <si>
    <t>pay_H0sfUFYf3CKCJq</t>
  </si>
  <si>
    <t>tanmayohol46@gmail.com</t>
  </si>
  <si>
    <t>pay_H0tqI3PLXWyFMW</t>
  </si>
  <si>
    <t>karishmabais9697@gmail.com</t>
  </si>
  <si>
    <t>pay_H0vKeEoZ4NERND</t>
  </si>
  <si>
    <t>neelanjana_ghosh@yahoo.com</t>
  </si>
  <si>
    <t>pay_H0yieONlRuDBnq</t>
  </si>
  <si>
    <t>Blooming rush</t>
  </si>
  <si>
    <t>menon.mit@gmail.com</t>
  </si>
  <si>
    <t>pay_H2FdtZYkwvTvPO</t>
  </si>
  <si>
    <t>shobhnathnath261998@gmail.com</t>
  </si>
  <si>
    <t>pay_H0zIqwqI7wV4jS</t>
  </si>
  <si>
    <t>dharmenderdd200@gmail.com</t>
  </si>
  <si>
    <t>pay_H30IrMQcPRiJys</t>
  </si>
  <si>
    <t>kulkarnidhanashri2@gmail.com</t>
  </si>
  <si>
    <t>pay_H13smm49P4cPca</t>
  </si>
  <si>
    <t>gowthamss18@gmail.com</t>
  </si>
  <si>
    <t>pay_H3EBP5140RUYEJ</t>
  </si>
  <si>
    <t>gudivadasandhyarani@gmail.com</t>
  </si>
  <si>
    <t>pay_H14IH280TZG1XH</t>
  </si>
  <si>
    <t>jayalaxmi0719@gmail.com</t>
  </si>
  <si>
    <t>pay_H3NpwBC1iMLAdC</t>
  </si>
  <si>
    <t>inactionparth@gmail.com</t>
  </si>
  <si>
    <t>pay_H3TypNIoJ4EFcL</t>
  </si>
  <si>
    <t>sujay.joseph@gmail.com</t>
  </si>
  <si>
    <t>pay_H15LDMqSaF6qlo</t>
  </si>
  <si>
    <t>paridhi7391@gmail.com</t>
  </si>
  <si>
    <t>pay_H15LcG9hncR7NK</t>
  </si>
  <si>
    <t>reetish1723@gmail.com</t>
  </si>
  <si>
    <t>pay_H15lId2xXK2R58</t>
  </si>
  <si>
    <t>abhisheksingh.asm@gmail.com</t>
  </si>
  <si>
    <t>pay_H3wHIRz1HRa4IK</t>
  </si>
  <si>
    <t>pratichyapriyasarma@gmail.com</t>
  </si>
  <si>
    <t>pay_H16bnDQzJVm8Oq</t>
  </si>
  <si>
    <t>pragatipiano@gmail.com</t>
  </si>
  <si>
    <t>pay_H16k64OBXfyceb</t>
  </si>
  <si>
    <t>meenakshis.1980@gmail.com</t>
  </si>
  <si>
    <t>pay_H17DJ6W5N1BSvw</t>
  </si>
  <si>
    <t>ritukomal@gmail.com</t>
  </si>
  <si>
    <t>pay_H18DEyfDpfXZn7</t>
  </si>
  <si>
    <t>shabeenabaig1@gmail.com</t>
  </si>
  <si>
    <t>pay_H18GzAkrWmaRpS</t>
  </si>
  <si>
    <t>jay001amera@gmail.com</t>
  </si>
  <si>
    <t>pay_H18b94o98Pwjpc</t>
  </si>
  <si>
    <t>singhankita800@yahoo.com</t>
  </si>
  <si>
    <t>pay_H1A2OPBXO8Zpzj</t>
  </si>
  <si>
    <t>prodigy10918@gmail.com</t>
  </si>
  <si>
    <t>pay_H1AxBnWnxQU8mD</t>
  </si>
  <si>
    <t>vaishu_lotus@rediffmail.com</t>
  </si>
  <si>
    <t>pay_H1AyPraYQa9Pvu</t>
  </si>
  <si>
    <t>Thane Super Moms</t>
  </si>
  <si>
    <t>rolismail13@gmail.com</t>
  </si>
  <si>
    <t>pay_H3emRw463T074j</t>
  </si>
  <si>
    <t>Life Algorithms</t>
  </si>
  <si>
    <t>namaninikhil@gmail.com</t>
  </si>
  <si>
    <t>pay_H3qo9Nxrqj4RKi</t>
  </si>
  <si>
    <t>rsaipranithachowdary18@gmail.com</t>
  </si>
  <si>
    <t>pay_H1Cty4gIE7kK5N</t>
  </si>
  <si>
    <t>ananditapaul171@gmail.com</t>
  </si>
  <si>
    <t>pay_GwXxyJxQAmplFk</t>
  </si>
  <si>
    <t>MomShares Club</t>
  </si>
  <si>
    <t>inculcar@outlook.com</t>
  </si>
  <si>
    <t>pay_Gw32S8OiuH3Gog</t>
  </si>
  <si>
    <t>harleensingh.w@gmail.com</t>
  </si>
  <si>
    <t>pay_GwQM9EPyEvcEA2</t>
  </si>
  <si>
    <t>kosha.shah87@gmail.com</t>
  </si>
  <si>
    <t>pay_GwREUlFGwYMHX5</t>
  </si>
  <si>
    <t>nairshripa@gmail.com</t>
  </si>
  <si>
    <t>pay_H1E1uUkyqXB5TS</t>
  </si>
  <si>
    <t>shrutisinghal7041@gmail.com</t>
  </si>
  <si>
    <t>pay_Gwt6Qfz7RHw5Ww</t>
  </si>
  <si>
    <t>tripti.baghel12@gmail.com</t>
  </si>
  <si>
    <t>pay_H1EhoO9x3lYzFk</t>
  </si>
  <si>
    <t>neha.malani@gmail.com</t>
  </si>
  <si>
    <t>pay_H1Ej62kFGI8soo</t>
  </si>
  <si>
    <t>amitsingh.select@gmail.com</t>
  </si>
  <si>
    <t>pay_GxxWl9lrsVrao1</t>
  </si>
  <si>
    <t>cubemoms@gmail.com</t>
  </si>
  <si>
    <t>pay_Gxh7uUIPg3cZjD</t>
  </si>
  <si>
    <t>moushmidas@gmail.com</t>
  </si>
  <si>
    <t>pay_Gxp87PWutl5Qq5</t>
  </si>
  <si>
    <t>varshajoshi5@gmail.com</t>
  </si>
  <si>
    <t>pay_GxquJVtyRPNirA</t>
  </si>
  <si>
    <t>jaipurmomsclub@yahoo.com</t>
  </si>
  <si>
    <t>pay_GyTnb2y8k3Kvjh</t>
  </si>
  <si>
    <t>shalinipaul.17@gmail.com</t>
  </si>
  <si>
    <t>pay_H1QpLYpVKSc5Xq</t>
  </si>
  <si>
    <t>sanjaybaxla35@gmail.com</t>
  </si>
  <si>
    <t>pay_H1RCnpCPsfTEPT</t>
  </si>
  <si>
    <t>consultayan@gmail.com</t>
  </si>
  <si>
    <t>pay_H1RpuVzozgE4UA</t>
  </si>
  <si>
    <t>dua.manish16@gmail.com</t>
  </si>
  <si>
    <t>pay_H1S4AVCf37H0I1</t>
  </si>
  <si>
    <t>ashleshabarua@gmail.com</t>
  </si>
  <si>
    <t>pay_H1SRkbA0dcz0eB</t>
  </si>
  <si>
    <t>kolidashrath121@gmail.com</t>
  </si>
  <si>
    <t>pay_H1Sg2n1fzHS4VV</t>
  </si>
  <si>
    <t>esther.ninan@gmail.com</t>
  </si>
  <si>
    <t>pay_H1SxhrnqHczrNp</t>
  </si>
  <si>
    <t>evecarolinesmith@gmail.com</t>
  </si>
  <si>
    <t>pay_H1TIARXz43HuK5</t>
  </si>
  <si>
    <t>rastogisonali41@gmail.com</t>
  </si>
  <si>
    <t>pay_H1Tn4rrjV73ue0</t>
  </si>
  <si>
    <t>ganesh_borhade@yahoo.com</t>
  </si>
  <si>
    <t>pay_H1UFmZ6yVHcf5h</t>
  </si>
  <si>
    <t>vraina50@gmail.com</t>
  </si>
  <si>
    <t>pay_H1UVMPNQCPgm1I</t>
  </si>
  <si>
    <t>vivekanand.ila@gmail.com</t>
  </si>
  <si>
    <t>pay_GyOTiepa7Vfvq8</t>
  </si>
  <si>
    <t>shrinkimehta30@gmail.com</t>
  </si>
  <si>
    <t>pay_GyXekyCeqy9LgR</t>
  </si>
  <si>
    <t>kavitamishra77@gmail.com</t>
  </si>
  <si>
    <t>pay_H1WFivBLCuDM6Z</t>
  </si>
  <si>
    <t>r0099k@gmail.com</t>
  </si>
  <si>
    <t>pay_H1WL6jqdySLBo3</t>
  </si>
  <si>
    <t>aditi2531@gmail.com</t>
  </si>
  <si>
    <t>pay_GyenPWXEv5LnYT</t>
  </si>
  <si>
    <t>swati.sharma.bb@gmail.com</t>
  </si>
  <si>
    <t>pay_H1XLlli7w09gai</t>
  </si>
  <si>
    <t>prachirupolia@gmail.com</t>
  </si>
  <si>
    <t>pay_GykHOga3xFERt1</t>
  </si>
  <si>
    <t>gupta.anchal.39@gmail.com</t>
  </si>
  <si>
    <t>pay_H1ZAjeXkBZPHS0</t>
  </si>
  <si>
    <t>sinhajee28339@gmail.com</t>
  </si>
  <si>
    <t>pay_Gz9vftPnnSnmqG</t>
  </si>
  <si>
    <t>sandhyanishanth07@gmail.com</t>
  </si>
  <si>
    <t>pay_H1b0szpl1vAdzD</t>
  </si>
  <si>
    <t>singhishu440@gmail.com</t>
  </si>
  <si>
    <t>pay_H1bGnDH33fGkHv</t>
  </si>
  <si>
    <t>attilidivya291@gmail.com</t>
  </si>
  <si>
    <t>pay_H1biVg0gbngZlG</t>
  </si>
  <si>
    <t>bondita.m007@gmail.com</t>
  </si>
  <si>
    <t>pay_H1cBCxnxngf2qe</t>
  </si>
  <si>
    <t>shruti.kukreti29@gmail.com</t>
  </si>
  <si>
    <t>pay_GzAAsRHphgwWty</t>
  </si>
  <si>
    <t>zeniapatel@ymail.com</t>
  </si>
  <si>
    <t>pay_H1cXO1fMxipYyj</t>
  </si>
  <si>
    <t>themomflair@gmail.com</t>
  </si>
  <si>
    <t>pay_H1cc09gavQD3SP</t>
  </si>
  <si>
    <t>baijugeorges@gmail.com</t>
  </si>
  <si>
    <t>pay_H1cjyhtr4pGXJG</t>
  </si>
  <si>
    <t>benazeerbadshahkhan@gmail.com</t>
  </si>
  <si>
    <t>pay_H1cvc9fPhf4Ixj</t>
  </si>
  <si>
    <t>soumeemajumder99@gmail.com</t>
  </si>
  <si>
    <t>pay_H1e44GgBlyDIUh</t>
  </si>
  <si>
    <t>mustaqjunaid@gmail.com</t>
  </si>
  <si>
    <t>pay_GzGTjRgaV3JIix</t>
  </si>
  <si>
    <t>anusha.shreedhar@gmail.com</t>
  </si>
  <si>
    <t>pay_GzSDpSWGfpoqJA</t>
  </si>
  <si>
    <t>arpitabakshi14@gmail.com</t>
  </si>
  <si>
    <t>pay_GzVp5DLy6f4Y5q</t>
  </si>
  <si>
    <t>priyanka.anil10@gmail.com</t>
  </si>
  <si>
    <t>pay_H1fjPncplBcTym</t>
  </si>
  <si>
    <t>hemanth1903@gmail.com</t>
  </si>
  <si>
    <t>pay_GzWMPwftk1ax7s</t>
  </si>
  <si>
    <t>asudi1003@gmail.com</t>
  </si>
  <si>
    <t>pay_H1lecaBNmzTWG8</t>
  </si>
  <si>
    <t>sunilkumar01992@rediffmail.com</t>
  </si>
  <si>
    <t>pay_GzcBxO6eK0rrb4</t>
  </si>
  <si>
    <t>manisharamlani@gmail.com</t>
  </si>
  <si>
    <t>pay_H1nAGiKa6BB7ig</t>
  </si>
  <si>
    <t>tanaya1992ghosh@gmail.com</t>
  </si>
  <si>
    <t>pay_H1pBFQvHgEUKlo</t>
  </si>
  <si>
    <t>abhishek.soni2707@gmail.com</t>
  </si>
  <si>
    <t>pay_H1pd9625Pte9fK</t>
  </si>
  <si>
    <t>ugyenlhamo786@gmail.com</t>
  </si>
  <si>
    <t>pay_H1pvQHKulLkGp2</t>
  </si>
  <si>
    <t>pradnyashinde05@gmail.com</t>
  </si>
  <si>
    <t>pay_H1qqkxUvOnx1wW</t>
  </si>
  <si>
    <t>prshnthiannamraju@gmail.com</t>
  </si>
  <si>
    <t>pay_H1r3VN6wQFQajJ</t>
  </si>
  <si>
    <t>vasudhag38@gmail.com</t>
  </si>
  <si>
    <t>pay_GzX2QUU69S6Sbu</t>
  </si>
  <si>
    <t>nikita.v.gori@gmail.com</t>
  </si>
  <si>
    <t>pay_H1tUHE7GB76gGE</t>
  </si>
  <si>
    <t>sri.laxmi.dv@gmail.com</t>
  </si>
  <si>
    <t>pay_GzxYSrWe33Lj3l</t>
  </si>
  <si>
    <t>skinjal84@gmail.com</t>
  </si>
  <si>
    <t>pay_H1u8OFggKNiGEm</t>
  </si>
  <si>
    <t>vnshanbhag@gmail.com</t>
  </si>
  <si>
    <t>pay_H1uBS89skD0XB7</t>
  </si>
  <si>
    <t>gpallavijoshi@gmail.com</t>
  </si>
  <si>
    <t>pay_H1vYNQhN0qtGhb</t>
  </si>
  <si>
    <t>ankyangel022@gmail.com</t>
  </si>
  <si>
    <t>pay_H1wF8GwLGYI2j8</t>
  </si>
  <si>
    <t>pragnya9292@gmail.com</t>
  </si>
  <si>
    <t>pay_H0736HQnfLhnAg</t>
  </si>
  <si>
    <t>talk2sanmati@gmail.com</t>
  </si>
  <si>
    <t>pay_H1xkoBbOneo8kV</t>
  </si>
  <si>
    <t>rupika.alekhya@gmail.com</t>
  </si>
  <si>
    <t>pay_H1yXlgWwQajqtH</t>
  </si>
  <si>
    <t>theshreystory@gmail.com</t>
  </si>
  <si>
    <t>pay_H1ywbNGobhs1YA</t>
  </si>
  <si>
    <t>physioashokpatil@rediffmail.com</t>
  </si>
  <si>
    <t>pay_H1zNsuZMMMRaRU</t>
  </si>
  <si>
    <t>Python Geeks</t>
  </si>
  <si>
    <t>indiinda85@gmail.com</t>
  </si>
  <si>
    <t>pay_H1zhqMfby1U1XD</t>
  </si>
  <si>
    <t>kanchangusain007@gmail.com</t>
  </si>
  <si>
    <t>pay_H1zxJ10jQEDmnV</t>
  </si>
  <si>
    <t>minalashwin@gmail.com</t>
  </si>
  <si>
    <t>pay_H207GzEvHzvXJd</t>
  </si>
  <si>
    <t>nims_81@hotmail.com</t>
  </si>
  <si>
    <t>pay_H20LNFTI7TR6hY</t>
  </si>
  <si>
    <t>shruti23391@gmail.com</t>
  </si>
  <si>
    <t>pay_H0JZjjtTWMLAAe</t>
  </si>
  <si>
    <t>nishita.kaushik.03@gmail.com</t>
  </si>
  <si>
    <t>pay_H20xFLE0asbTFR</t>
  </si>
  <si>
    <t>preethithiruvan82@gmail.com</t>
  </si>
  <si>
    <t>pay_H22iJfpLLAeI8N</t>
  </si>
  <si>
    <t>7738790260s@gmail.com</t>
  </si>
  <si>
    <t>pay_H23Jh5E7i4lvDu</t>
  </si>
  <si>
    <t>k.bharanidharan@ymail.com</t>
  </si>
  <si>
    <t>pay_H24kyZbWWVEESt</t>
  </si>
  <si>
    <t>anubabar19@gmail.com</t>
  </si>
  <si>
    <t>pay_H26cE3M7HaEMVD</t>
  </si>
  <si>
    <t>tinkupreetham@gmail.com</t>
  </si>
  <si>
    <t>pay_H2CO1oNJkyCv6V</t>
  </si>
  <si>
    <t>ruchikahsuryshi@gmail.com</t>
  </si>
  <si>
    <t>pay_H0QSGNHTFRcEuz</t>
  </si>
  <si>
    <t>drdhru@gmail.com</t>
  </si>
  <si>
    <t>pay_H2ERUmgFnUpKro</t>
  </si>
  <si>
    <t>saimansha001@gmail.com</t>
  </si>
  <si>
    <t>pay_H2Ed2ic7nb68O4</t>
  </si>
  <si>
    <t>carolinedsouza2097@gmail.com</t>
  </si>
  <si>
    <t>pay_H2EvvPJVVSiN3x</t>
  </si>
  <si>
    <t>vkshah98@gmail.com</t>
  </si>
  <si>
    <t>pay_H0Sm6bV8l8QGed</t>
  </si>
  <si>
    <t>tina.shringarpure@gmail.com</t>
  </si>
  <si>
    <t>pay_H0mLIAHxJZRkaK</t>
  </si>
  <si>
    <t>swatiagrawal.303@gmail.com</t>
  </si>
  <si>
    <t>pay_H2G9eODAKNzQOe</t>
  </si>
  <si>
    <t>mansi.koul2020@gmail.com</t>
  </si>
  <si>
    <t>pay_H2GGahpp1uSH3C</t>
  </si>
  <si>
    <t>emmanual.virgo@gmail.com</t>
  </si>
  <si>
    <t>pay_H2HHGhKImyJf43</t>
  </si>
  <si>
    <t>delfie10@gmail.com</t>
  </si>
  <si>
    <t>pay_H0nAP2Ux4x5W1O</t>
  </si>
  <si>
    <t>twinks.m@gmail.com</t>
  </si>
  <si>
    <t>pay_H2HeyTRmrMypi6</t>
  </si>
  <si>
    <t>nishant.tiwari38333@gmail.com</t>
  </si>
  <si>
    <t>pay_H2IJ8sA5Ijbw7P</t>
  </si>
  <si>
    <t>madhurima.sonawane@gmail.com</t>
  </si>
  <si>
    <t>pay_H2IO5MJMTGJAfa</t>
  </si>
  <si>
    <t>parulmourya0510@gmail.com</t>
  </si>
  <si>
    <t>pay_H0oD8YQgF6RW9b</t>
  </si>
  <si>
    <t>shabanaas01@gmail.com</t>
  </si>
  <si>
    <t>pay_H2Jet9QWF49uwP</t>
  </si>
  <si>
    <t>khushithamke25@gmail.com</t>
  </si>
  <si>
    <t>pay_H2Jfi5KEVNBLmB</t>
  </si>
  <si>
    <t>vedangi.patil.mech@gmail.com</t>
  </si>
  <si>
    <t>pay_H2KEcv2mM5wzfN</t>
  </si>
  <si>
    <t>roshipru@yahoo.com</t>
  </si>
  <si>
    <t>pay_H2KQNXqWziRXGm</t>
  </si>
  <si>
    <t>secrettouch1610@gmail.com</t>
  </si>
  <si>
    <t>pay_H2KoB6qz8MSgsL</t>
  </si>
  <si>
    <t>sonalisah95@gmail.com</t>
  </si>
  <si>
    <t>pay_H2L4koLn0pAZvX</t>
  </si>
  <si>
    <t>gayatrijhaveri@gmail.com</t>
  </si>
  <si>
    <t>pay_H0pgiD03oWRGXX</t>
  </si>
  <si>
    <t>renu.singh2310@gmail.com</t>
  </si>
  <si>
    <t>pay_H2LizN9sonhhIy</t>
  </si>
  <si>
    <t>patisanatan7@gmail.com</t>
  </si>
  <si>
    <t>pay_H153XNjiAqs4bq</t>
  </si>
  <si>
    <t>devangi.thapar@gmail.com</t>
  </si>
  <si>
    <t>pay_H2LzYiUStwYdZ2</t>
  </si>
  <si>
    <t>sharvarirajurkar@gmail.com</t>
  </si>
  <si>
    <t>pay_H2MdZoENQjZGbV</t>
  </si>
  <si>
    <t>neerajgupta1991@gmail.com</t>
  </si>
  <si>
    <t>pay_H2NP09KBCvbZbN</t>
  </si>
  <si>
    <t>dr.snehalade88@gmail.com</t>
  </si>
  <si>
    <t>pay_H16aFSjbncRl7l</t>
  </si>
  <si>
    <t>payal.madan10@gmail.com</t>
  </si>
  <si>
    <t>pay_H2OEw41zGsJ6r0</t>
  </si>
  <si>
    <t>deepti321@gmail.com</t>
  </si>
  <si>
    <t>pay_H2OGrdVeA8uBHs</t>
  </si>
  <si>
    <t>lovely.kamal81@gmail.com</t>
  </si>
  <si>
    <t>pay_H2OLzcvHZSYK28</t>
  </si>
  <si>
    <t>passionms54@gmail.com</t>
  </si>
  <si>
    <t>pay_H2OhM0070bffiA</t>
  </si>
  <si>
    <t>kk377282@gmail.com</t>
  </si>
  <si>
    <t>pay_H1DDNcaKcSPyD8</t>
  </si>
  <si>
    <t>gurmeen.kalra@gmail.com</t>
  </si>
  <si>
    <t>pay_H1KcJZl9uLlYyC</t>
  </si>
  <si>
    <t>risenshine505@gmail.com</t>
  </si>
  <si>
    <t>pay_H2PAnHlRFiDAk6</t>
  </si>
  <si>
    <t>mansi.sharma2ks@gmail.com</t>
  </si>
  <si>
    <t>pay_H1Wd4LvzdgrI1D</t>
  </si>
  <si>
    <t>poonam.tdwivedi@rediffmail.com</t>
  </si>
  <si>
    <t>pay_H2PHDulvDnL18p</t>
  </si>
  <si>
    <t>bhaktij591@gmail.com</t>
  </si>
  <si>
    <t>pay_H1g7h6WUWiUpzm</t>
  </si>
  <si>
    <t>srilakshmiiyengar@gmail.com</t>
  </si>
  <si>
    <t>pay_H2PtqXvS4Dx1Dq</t>
  </si>
  <si>
    <t>ravneet.rkau@gmail.com</t>
  </si>
  <si>
    <t>pay_H2PwMG6UPepaFC</t>
  </si>
  <si>
    <t>cogentprateek@hotmail.com</t>
  </si>
  <si>
    <t>pay_H2QHP2CIF9GHzu</t>
  </si>
  <si>
    <t>kanisfatima31@gmail.com</t>
  </si>
  <si>
    <t>pay_H2R2y2Gwy1vcR5</t>
  </si>
  <si>
    <t>dr.sonisrawat239@gmail.com</t>
  </si>
  <si>
    <t>pay_H2Rh4BgYozgUbQ</t>
  </si>
  <si>
    <t>madjay.jay@gmail.com</t>
  </si>
  <si>
    <t>pay_H1tvV0ITkZs5Dk</t>
  </si>
  <si>
    <t>sandhyarocks.gaikwad@gmail.com</t>
  </si>
  <si>
    <t>pay_H2HTQGjRFAWenE</t>
  </si>
  <si>
    <t>manasavisharma47@gmail.com</t>
  </si>
  <si>
    <t>pay_H2LWfH3H26xetW</t>
  </si>
  <si>
    <t>bhamra.jasneet@gmail.com</t>
  </si>
  <si>
    <t>pay_H2T2PH5MREzu9d</t>
  </si>
  <si>
    <t>shalmalienterprises6@gmail.com</t>
  </si>
  <si>
    <t>pay_H2TR9FsY92Ns8k</t>
  </si>
  <si>
    <t>dnsumariya@gmail.com</t>
  </si>
  <si>
    <t>pay_H2NR715HtrNCi6</t>
  </si>
  <si>
    <t>kidsactivityprints@gmail.com</t>
  </si>
  <si>
    <t>pay_H2Tk8etbvjxabV</t>
  </si>
  <si>
    <t>karthigailakshmibt@gmail.com</t>
  </si>
  <si>
    <t>pay_H2OselGJhOetIy</t>
  </si>
  <si>
    <t>mommyandreyansh@gmail.com</t>
  </si>
  <si>
    <t>pay_H2br84ACu8sQdU</t>
  </si>
  <si>
    <t>anjaleeyem@gmail.com</t>
  </si>
  <si>
    <t>pay_H2c4pW6yXA04Bm</t>
  </si>
  <si>
    <t>malik.richa@gmail.com</t>
  </si>
  <si>
    <t>pay_H2cCZzwM66gwRr</t>
  </si>
  <si>
    <t>morajkar.mandar@gmail.com</t>
  </si>
  <si>
    <t>pay_H2cxX9opMqu39G</t>
  </si>
  <si>
    <t>aminashamla1@gmail.com</t>
  </si>
  <si>
    <t>pay_H2P04aPnqFpn2Z</t>
  </si>
  <si>
    <t>taani.pahuja@gmail.com</t>
  </si>
  <si>
    <t>pay_H2f9jZtw6DmTJ6</t>
  </si>
  <si>
    <t>marydeepadavid@gmail.com</t>
  </si>
  <si>
    <t>pay_H2PoX9nNQ8tbQo</t>
  </si>
  <si>
    <t>shreyal16.shah@gmail.com</t>
  </si>
  <si>
    <t>pay_H2fQuqiLJxkQHk</t>
  </si>
  <si>
    <t>paddygodse234@gmail.com</t>
  </si>
  <si>
    <t>pay_H2TXhgomHQgtm1</t>
  </si>
  <si>
    <t>rupal.travelogue@gmail.com</t>
  </si>
  <si>
    <t>pay_H2h6Y70CfCa0zJ</t>
  </si>
  <si>
    <t>aktr007@gmail.com</t>
  </si>
  <si>
    <t>pay_H2bgWit5YVZ4Ti</t>
  </si>
  <si>
    <t>arti.apandey@gmail.com</t>
  </si>
  <si>
    <t>pay_H2iYzRwbfkBN8C</t>
  </si>
  <si>
    <t>rohit.marchande@outlook.com</t>
  </si>
  <si>
    <t>pay_H2jILQYIQy0A7h</t>
  </si>
  <si>
    <t>eirabothra1@gmail.com</t>
  </si>
  <si>
    <t>pay_H2kO2Ak7KQC2aG</t>
  </si>
  <si>
    <t>guptajayshree85@gmail.com</t>
  </si>
  <si>
    <t>pay_H2kZv8smjJccmc</t>
  </si>
  <si>
    <t>dikshaa12@gmail.com</t>
  </si>
  <si>
    <t>pay_H2knz5zrNSAuVz</t>
  </si>
  <si>
    <t>me@alpesh.info</t>
  </si>
  <si>
    <t>pay_H2l7cEIiook5Vk</t>
  </si>
  <si>
    <t>soumya.reddy80@gmail.com</t>
  </si>
  <si>
    <t>pay_H2lcHuIa0mypGi</t>
  </si>
  <si>
    <t>supriyab17@gmail.com</t>
  </si>
  <si>
    <t>pay_H2iVSXGFXxOCd4</t>
  </si>
  <si>
    <t>upasanashukla2008@gmail.com</t>
  </si>
  <si>
    <t>pay_H2mLUs0WNBV1vs</t>
  </si>
  <si>
    <t>joykarthik03@gmail.com</t>
  </si>
  <si>
    <t>pay_H2xlppB3YpW11a</t>
  </si>
  <si>
    <t>rishithasuresh25@gmail.com</t>
  </si>
  <si>
    <t>pay_H2mtlVL2UGPC8L</t>
  </si>
  <si>
    <t>priyabhatia1988@gmail.com</t>
  </si>
  <si>
    <t>pay_H375kG5n0DS0iz</t>
  </si>
  <si>
    <t>aru.arunayar@gmail.com</t>
  </si>
  <si>
    <t>pay_H38csJI65DCQBt</t>
  </si>
  <si>
    <t>shrutipatil101@gmail.com</t>
  </si>
  <si>
    <t>pay_H2nefHbjts89Nv</t>
  </si>
  <si>
    <t>sharma.anshika.451@gmail.com</t>
  </si>
  <si>
    <t>pay_H2nvxKRuwi5vFS</t>
  </si>
  <si>
    <t>pratikshavpatil99@gmail.com</t>
  </si>
  <si>
    <t>pay_H3UMFepLv8SEo4</t>
  </si>
  <si>
    <t>ankita.sahni04@gmail.com</t>
  </si>
  <si>
    <t>pay_H3XEgFikOERIfU</t>
  </si>
  <si>
    <t>deepali.k90@gmail.com</t>
  </si>
  <si>
    <t>pay_H3YG1KcozQzpnc</t>
  </si>
  <si>
    <t>brightstarsinternational@gmail.com</t>
  </si>
  <si>
    <t>pay_H2rVW9CO7nBJ88</t>
  </si>
  <si>
    <t>advaitkr91@gmail.com</t>
  </si>
  <si>
    <t>pay_H2sGlyWIZd2mti</t>
  </si>
  <si>
    <t>surbhi.pisces@gmail.com</t>
  </si>
  <si>
    <t>pay_H2siybgjblcMLi</t>
  </si>
  <si>
    <t>devsoni0497@gmail.com</t>
  </si>
  <si>
    <t>pay_H2tndENLGvojIu</t>
  </si>
  <si>
    <t>amitaggarwalindia@yahoo.in</t>
  </si>
  <si>
    <t>pay_H3YI2ii7Xjv4bO</t>
  </si>
  <si>
    <t>jaindimple221@gmail.com</t>
  </si>
  <si>
    <t>pay_H2uTmEYnqhdcOT</t>
  </si>
  <si>
    <t>kanchan.punjani@gmail.com</t>
  </si>
  <si>
    <t>pay_H3pzGZqUFmI4CB</t>
  </si>
  <si>
    <t>suji_p4u@yahoo.co.in</t>
  </si>
  <si>
    <t>pay_H2zEXg5ApEkvwP</t>
  </si>
  <si>
    <t>milindpillai31@gmail.com</t>
  </si>
  <si>
    <t>pay_H2zceUdiob4MbC</t>
  </si>
  <si>
    <t>new_stars2002@yahoo.co.in</t>
  </si>
  <si>
    <t>pay_H3vB1i77g0qB5F</t>
  </si>
  <si>
    <t>suchira.jalui@gmail.com</t>
  </si>
  <si>
    <t>pay_H30es2ekBp292g</t>
  </si>
  <si>
    <t>samdran86@gmail.com</t>
  </si>
  <si>
    <t>pay_H30mw1sUdsJPGF</t>
  </si>
  <si>
    <t>She splash</t>
  </si>
  <si>
    <t>influencer.tanussri@gmail.com</t>
  </si>
  <si>
    <t>pay_H314jL7g77c5A1</t>
  </si>
  <si>
    <t>swathipolishetty8@gmail.com</t>
  </si>
  <si>
    <t>pay_H31FDv418Ozi2g</t>
  </si>
  <si>
    <t>pay_H335Yzp2zp9Rj1</t>
  </si>
  <si>
    <t>krishnanalka410@gmail.com</t>
  </si>
  <si>
    <t>pay_H33FlArgE62r6r</t>
  </si>
  <si>
    <t>rohiniskumar2@gmail.com</t>
  </si>
  <si>
    <t>pay_H3wBpwTrPj45lK</t>
  </si>
  <si>
    <t>kalpanaa.naik@gmail.com</t>
  </si>
  <si>
    <t>pay_H33dI6hotEsCiK</t>
  </si>
  <si>
    <t>akshajuvekar6@gmail.com</t>
  </si>
  <si>
    <t>pay_H33n52x1FWg3gf</t>
  </si>
  <si>
    <t>akshaya.upadhyaya@gmail.com</t>
  </si>
  <si>
    <t>pay_H33rxGCsPZnRCR</t>
  </si>
  <si>
    <t>gailpunja.77@gmail.com</t>
  </si>
  <si>
    <t>pay_H33yz9D5LDBFTE</t>
  </si>
  <si>
    <t>grmtkr25@gmail.com</t>
  </si>
  <si>
    <t>pay_H34ypii0gnejn8</t>
  </si>
  <si>
    <t>docsucheta75@yahoo.com</t>
  </si>
  <si>
    <t>pay_H350DH21fHNzLX</t>
  </si>
  <si>
    <t>vjcult@gmail.com</t>
  </si>
  <si>
    <t>pay_H353Z2C71n9Ql5</t>
  </si>
  <si>
    <t>Power of communications</t>
  </si>
  <si>
    <t>prateekvarshney85@gmail.com</t>
  </si>
  <si>
    <t>pay_H35oA91QcMrqOb</t>
  </si>
  <si>
    <t>Pet parents &amp; wellness</t>
  </si>
  <si>
    <t>nehadb01@gmail.com</t>
  </si>
  <si>
    <t>pay_H36tFqZeXKPkRN</t>
  </si>
  <si>
    <t>beeswapna@gmail.com</t>
  </si>
  <si>
    <t>pay_H36tU5hEGPhkcB</t>
  </si>
  <si>
    <t>nafisaafnan4@gmail.com</t>
  </si>
  <si>
    <t>pay_H36tanZLYDqp8P</t>
  </si>
  <si>
    <t>197sonal.badkur@gmail.com</t>
  </si>
  <si>
    <t>pay_H3wm36e4W2sBR4</t>
  </si>
  <si>
    <t>poojakalyani@gmail.com</t>
  </si>
  <si>
    <t>pay_H37gyL3TwJMgUb</t>
  </si>
  <si>
    <t>mayankkumar77952@gmail.com</t>
  </si>
  <si>
    <t>pay_H38P2YOovWFxFz</t>
  </si>
  <si>
    <t>snehaktrivedi@gmail.com</t>
  </si>
  <si>
    <t>pay_H4ImYZ7Q8LiUA5</t>
  </si>
  <si>
    <t>connectwithpooja4@gmail.com</t>
  </si>
  <si>
    <t>pay_H39AQSHoe1jqIp</t>
  </si>
  <si>
    <t>pay_H3AZsV4jeNBXhl</t>
  </si>
  <si>
    <t>harleen.sweethoney@gmail.com</t>
  </si>
  <si>
    <t>pay_H3Ae7gN0JShbrk</t>
  </si>
  <si>
    <t>Digital writopreneur</t>
  </si>
  <si>
    <t>varsha.science@gmail.com</t>
  </si>
  <si>
    <t>pay_H3ArTcCtWBKvdM</t>
  </si>
  <si>
    <t>Magic Mind</t>
  </si>
  <si>
    <t>shreeya.kharbanda@gmail.com</t>
  </si>
  <si>
    <t>pay_H3AuxZzF5NSmk0</t>
  </si>
  <si>
    <t>kaursurjeet007@gmail.com</t>
  </si>
  <si>
    <t>pay_H3BCMuTX1ocDKp</t>
  </si>
  <si>
    <t>komalkamd@gmail.com</t>
  </si>
  <si>
    <t>pay_H3CXxiSxsUUtPz</t>
  </si>
  <si>
    <t>abhishekagrawal408@gmail.com</t>
  </si>
  <si>
    <t>pay_H3CwVrOCHziLf9</t>
  </si>
  <si>
    <t>dollywelcome@gmail.com</t>
  </si>
  <si>
    <t>pay_H3E6t9wm60DKLL</t>
  </si>
  <si>
    <t>chadha.divyanshi@gmail.com</t>
  </si>
  <si>
    <t>pay_H4OyLL1Lt5tQqp</t>
  </si>
  <si>
    <t>neethashree.s@outlook.com</t>
  </si>
  <si>
    <t>pay_H3EAdzke19EXFO</t>
  </si>
  <si>
    <t>meera1680@gmail.com</t>
  </si>
  <si>
    <t>pay_H4YoeMDj02u2p6</t>
  </si>
  <si>
    <t>silpiscraftbox@gmail.com</t>
  </si>
  <si>
    <t>pay_H3EaT5cbCw1P9z</t>
  </si>
  <si>
    <t>pratibha.shinde2360@gmail.com</t>
  </si>
  <si>
    <t>pay_H4aLxD0TMV7Tk7</t>
  </si>
  <si>
    <t>vatulashwini@gmail.com</t>
  </si>
  <si>
    <t>pay_H0s2ZIcMv3Rjlt</t>
  </si>
  <si>
    <t>Networking Business</t>
  </si>
  <si>
    <t>aymanhulmani@ymail.com</t>
  </si>
  <si>
    <t>pay_H1C0ZYen9JHIW2</t>
  </si>
  <si>
    <t>kruthimakeovers@gmail.com</t>
  </si>
  <si>
    <t>pay_H3MFqgdxE75q5y</t>
  </si>
  <si>
    <t>deepikavinay42@yahoo.com</t>
  </si>
  <si>
    <t>pay_H3MIFpHCL1pd65</t>
  </si>
  <si>
    <t>comppy.jain@gmail.com</t>
  </si>
  <si>
    <t>pay_H3MXgV1Tn7hDxV</t>
  </si>
  <si>
    <t>dncc1969@gmail.com</t>
  </si>
  <si>
    <t>pay_H3Nd2e0jrr9stB</t>
  </si>
  <si>
    <t>gayathricr15@yahoo.in</t>
  </si>
  <si>
    <t>pay_H1E8B7ZOcgtSnr</t>
  </si>
  <si>
    <t>sharulsharma16@gmail.com</t>
  </si>
  <si>
    <t>pay_H3PchB5SYYjp5M</t>
  </si>
  <si>
    <t>hey.foundation11@gmail.com</t>
  </si>
  <si>
    <t>pay_H3QNME7xqUqhWa</t>
  </si>
  <si>
    <t>neeradasheen@gmail.com</t>
  </si>
  <si>
    <t>pay_H1YCUR662RGisV</t>
  </si>
  <si>
    <t>devyanisethia@gmail.com</t>
  </si>
  <si>
    <t>pay_H3Qc7MNZroIHSI</t>
  </si>
  <si>
    <t>sarayuiimc@gmail.com</t>
  </si>
  <si>
    <t>pay_H3RWo3WF8Yjj5u</t>
  </si>
  <si>
    <t>panwarshivani460@gmail.com</t>
  </si>
  <si>
    <t>pay_H3RhqMkKxfJLuk</t>
  </si>
  <si>
    <t>kiranpatidar8332@gmail.com</t>
  </si>
  <si>
    <t>pay_H3S7dPKsQ7ZHwD</t>
  </si>
  <si>
    <t>yadavjyoti044@gmail.com</t>
  </si>
  <si>
    <t>pay_H3SEQDqMpGjEuf</t>
  </si>
  <si>
    <t>abhishekpathak1525@gmail.com</t>
  </si>
  <si>
    <t>pay_H3SUP4X7ZskuiB</t>
  </si>
  <si>
    <t>rutbhoi@gmail.com</t>
  </si>
  <si>
    <t>pay_H3SzgpFM4wUL1m</t>
  </si>
  <si>
    <t>kuldocs03@gmail.com</t>
  </si>
  <si>
    <t>pay_H3TLEJ5wx94AVm</t>
  </si>
  <si>
    <t>vidu.7363@gmail.com</t>
  </si>
  <si>
    <t>pay_H3TR7cE1PsdO1Z</t>
  </si>
  <si>
    <t>sugehna@gmail.com</t>
  </si>
  <si>
    <t>pay_H1eOzZ4CttKHdK</t>
  </si>
  <si>
    <t>fshaikh254@yahoo.com</t>
  </si>
  <si>
    <t>pay_H1fDbDT5dWm9YB</t>
  </si>
  <si>
    <t>sheelahsuvarna@gmail.com</t>
  </si>
  <si>
    <t>pay_H1wg3fJkT6hTqp</t>
  </si>
  <si>
    <t>sangaynew19@gmail.com</t>
  </si>
  <si>
    <t>pay_H3U8tvDHnbLESu</t>
  </si>
  <si>
    <t>divyasingh2123@gmail.com</t>
  </si>
  <si>
    <t>pay_H2DmkowDNv15GJ</t>
  </si>
  <si>
    <t>pooja.raina92@gmail.com</t>
  </si>
  <si>
    <t>pay_H3Uirv8ZSe9bGg</t>
  </si>
  <si>
    <t>ruchikarathee98@gmail.com</t>
  </si>
  <si>
    <t>pay_H3UkLtGdEO6e4E</t>
  </si>
  <si>
    <t>half yearly plan</t>
  </si>
  <si>
    <t>natasha92mohanty@gmail.com</t>
  </si>
  <si>
    <t>pay_H3UoMQXz0W7PdE</t>
  </si>
  <si>
    <t>vidishagogoi1@gmail.com</t>
  </si>
  <si>
    <t>pay_H3UuP6oR2Cm9Kq</t>
  </si>
  <si>
    <t>rasikamuley297@gmail.com</t>
  </si>
  <si>
    <t>pay_H3V38LWgaUM5K5</t>
  </si>
  <si>
    <t>official.vimalgarg1@gmail.com</t>
  </si>
  <si>
    <t>pay_H2Sbuh9SFmRdNW</t>
  </si>
  <si>
    <t>dhanawadesapna@gmail.com</t>
  </si>
  <si>
    <t>pay_H3V6WBxH9Fhxdb</t>
  </si>
  <si>
    <t>kamalika333@gmail.com</t>
  </si>
  <si>
    <t>pay_H2en74GwdOSz4C</t>
  </si>
  <si>
    <t>tejalam9@gmail.com</t>
  </si>
  <si>
    <t>pay_H3W0vpB49TuCWK</t>
  </si>
  <si>
    <t>aanirudh21@gmail.com</t>
  </si>
  <si>
    <t>pay_H2fDJEUD8Tsvnr</t>
  </si>
  <si>
    <t>saniyasatardekar@yahoo.in</t>
  </si>
  <si>
    <t>pay_H2mrmHJOYhysmP</t>
  </si>
  <si>
    <t>sahibasodhi5217@gmail.com</t>
  </si>
  <si>
    <t>pay_H3XPINgvvdebje</t>
  </si>
  <si>
    <t>yoyopriyaanka22@gmail.com</t>
  </si>
  <si>
    <t>pay_H2pQAOknWVWWIS</t>
  </si>
  <si>
    <t>drishtisaxena2020@gmail.com</t>
  </si>
  <si>
    <t>pay_H33Jxxv8tryE18</t>
  </si>
  <si>
    <t>chaitalilimaye0@gmail.com</t>
  </si>
  <si>
    <t>pay_H3Ycm7XC9qvYyP</t>
  </si>
  <si>
    <t>bablu_ki58@yahoo.com</t>
  </si>
  <si>
    <t>pay_H3G4lg4PmhmtR6</t>
  </si>
  <si>
    <t>rheabhel@gmail.com</t>
  </si>
  <si>
    <t>pay_H3Z8o1CVinhBTG</t>
  </si>
  <si>
    <t>bhavna.gupta125@gmail.com</t>
  </si>
  <si>
    <t>pay_H3bsYCMSEFojEN</t>
  </si>
  <si>
    <t>yogitachitte@gmail.com</t>
  </si>
  <si>
    <t>pay_H3M6pfpZUW7pe4</t>
  </si>
  <si>
    <t>ashref.0202@gmail.com</t>
  </si>
  <si>
    <t>pay_H3c6DCokG98Ecr</t>
  </si>
  <si>
    <t>jyotichettri02@gmail.com</t>
  </si>
  <si>
    <t>pay_H3cDhnQX7vEjUp</t>
  </si>
  <si>
    <t>saialekhyaganugapati31@outlook.com</t>
  </si>
  <si>
    <t>pay_H3cTXNDKveq4p5</t>
  </si>
  <si>
    <t>meghabokil@gmail.com</t>
  </si>
  <si>
    <t>pay_H3ci65L7U8LtlB</t>
  </si>
  <si>
    <t>sarang1517@hotmail.com</t>
  </si>
  <si>
    <t>pay_H3coOaMxvltQae</t>
  </si>
  <si>
    <t>anujbarooah111@gmail.com</t>
  </si>
  <si>
    <t>pay_H3dAhsJsqdAD9N</t>
  </si>
  <si>
    <t>pankhuriwadhwa1@gmail.com</t>
  </si>
  <si>
    <t>pay_H3dGTKqGl3ZZci</t>
  </si>
  <si>
    <t>nehagoyal49@gmail.com</t>
  </si>
  <si>
    <t>pay_H3dcrpjv8eGLRs</t>
  </si>
  <si>
    <t>harikrishna.ca2018@gmail.com</t>
  </si>
  <si>
    <t>pay_H3eZ16p5vuIXal</t>
  </si>
  <si>
    <t>lamyarassiwala@gmail.com</t>
  </si>
  <si>
    <t>pay_H3V56P1w31jtXh</t>
  </si>
  <si>
    <t>neha30may98@gmail.com</t>
  </si>
  <si>
    <t>pay_H3fMoNKIwaUnI9</t>
  </si>
  <si>
    <t>decorsnwrappers@gmail.com</t>
  </si>
  <si>
    <t>pay_H3fSeO0jNdBYB3</t>
  </si>
  <si>
    <t>xpressionsbyanisha@gmail.com</t>
  </si>
  <si>
    <t>pay_H3WquZAvG4hbwD</t>
  </si>
  <si>
    <t>trishamittal47@gmail.com</t>
  </si>
  <si>
    <t>pay_H3yl440ZAWmksU</t>
  </si>
  <si>
    <t>abeen.thakur@gmail.com</t>
  </si>
  <si>
    <t>pay_H4EqeyXOwRIYdL</t>
  </si>
  <si>
    <t>shampa_shahi@yahoo.co.in</t>
  </si>
  <si>
    <t>pay_H4brSm4NFAG3Of</t>
  </si>
  <si>
    <t>kavyadeepika25@gmail.com</t>
  </si>
  <si>
    <t>pay_H3mrE6KD8T2o2Q</t>
  </si>
  <si>
    <t>anushka.palshetkara@gmail.com</t>
  </si>
  <si>
    <t>pay_H4htWuQjbWPppO</t>
  </si>
  <si>
    <t>begumraaz@gmail.com</t>
  </si>
  <si>
    <t>pay_H3n4v8UnD2oT7E</t>
  </si>
  <si>
    <t>hirengudaliyacug2015@gmail.com</t>
  </si>
  <si>
    <t>pay_H3nQyaOJ9MmbNT</t>
  </si>
  <si>
    <t>surbhi0009@gmail.com</t>
  </si>
  <si>
    <t>pay_H3nYVcReNxoH2y</t>
  </si>
  <si>
    <t>honeythakar786@gmail.com</t>
  </si>
  <si>
    <t>pay_GzVx0NI6PFrJAS</t>
  </si>
  <si>
    <t>Startup Change leaders</t>
  </si>
  <si>
    <t>shivamacharya007@gmail.com</t>
  </si>
  <si>
    <t>pay_H0NxA8K43HuO1s</t>
  </si>
  <si>
    <t>csmadan2108@gmail.com</t>
  </si>
  <si>
    <t>pay_H3o5uLNBy0nGrf</t>
  </si>
  <si>
    <t>drawinfo1@gmail.com</t>
  </si>
  <si>
    <t>pay_H3o9JMnIopBGp4</t>
  </si>
  <si>
    <t>shwetaotari72@gmail.con</t>
  </si>
  <si>
    <t>pay_H0P2PgmQuIG0Kz</t>
  </si>
  <si>
    <t>amarec@gmail.com</t>
  </si>
  <si>
    <t>pay_H2J3xxAxdQ9ieJ</t>
  </si>
  <si>
    <t>csnayanhanda@outlook.com</t>
  </si>
  <si>
    <t>pay_H3p1SYJnwdkl7n</t>
  </si>
  <si>
    <t>gadnidhi.99@gmail.com</t>
  </si>
  <si>
    <t>pay_H4m9NFtortFaQL</t>
  </si>
  <si>
    <t>Startup Change Leaders</t>
  </si>
  <si>
    <t>bchaneelkumar@gmail.com</t>
  </si>
  <si>
    <t>pay_H3ppOuTqCDU7BE</t>
  </si>
  <si>
    <t>bharathivgowda1@gmail.com</t>
  </si>
  <si>
    <t>pay_H51Ip3nlDTp2Af</t>
  </si>
  <si>
    <t>aditya@spatial.digital</t>
  </si>
  <si>
    <t>pay_H3qDQfIXvzRsuH</t>
  </si>
  <si>
    <t>princemaddhesiya786@gmail.com</t>
  </si>
  <si>
    <t>pay_H3qJa0bfwFjvzW</t>
  </si>
  <si>
    <t>write2swikriti@gmail.com</t>
  </si>
  <si>
    <t>pay_Gfj1VsPzArOehE</t>
  </si>
  <si>
    <t>Well Being</t>
  </si>
  <si>
    <t>tejaschhallani@gmail.com</t>
  </si>
  <si>
    <t>pay_Gh176HegdwcFp8</t>
  </si>
  <si>
    <t>s.sridevi409@gmail.com</t>
  </si>
  <si>
    <t>pay_H3qtiOT3dNmsRW</t>
  </si>
  <si>
    <t>m.satyendra@gmail.com</t>
  </si>
  <si>
    <t>pay_H3qy26EvGY1GxI</t>
  </si>
  <si>
    <t>mohitssw7@gmail.com</t>
  </si>
  <si>
    <t>pay_Gmw0EiIOJPEqWq</t>
  </si>
  <si>
    <t>pathakhbti@gmail.com</t>
  </si>
  <si>
    <t>pay_H3rbRU1O2pcAV6</t>
  </si>
  <si>
    <t>ruchetshlok@gmail.com</t>
  </si>
  <si>
    <t>pay_Gmx85OseHeTLGF</t>
  </si>
  <si>
    <t>mehta.prakruti@gmail.com</t>
  </si>
  <si>
    <t>pay_H3rguxayPlzmpe</t>
  </si>
  <si>
    <t>shivelokcreations@gmail.com</t>
  </si>
  <si>
    <t>pay_Gpmm9i4WeOYOUX</t>
  </si>
  <si>
    <t>naiduritesh138@gmail.com</t>
  </si>
  <si>
    <t>pay_H3s50OyjxC6aa3</t>
  </si>
  <si>
    <t>mranjitha24@gmail.com</t>
  </si>
  <si>
    <t>pay_H3sVHnLcqs5Fb5</t>
  </si>
  <si>
    <t>srishhi28@gmail.com</t>
  </si>
  <si>
    <t>pay_H3seKDbNLzPL2i</t>
  </si>
  <si>
    <t>zohebp@gmail.com</t>
  </si>
  <si>
    <t>pay_H3t62BHYuAev6M</t>
  </si>
  <si>
    <t>adivannae.supriya@gmail.com</t>
  </si>
  <si>
    <t>pay_H3uIv2hn4eissn</t>
  </si>
  <si>
    <t>singh.sapna.24@gmail.com</t>
  </si>
  <si>
    <t>pay_GqVdrh1cJqF6FL</t>
  </si>
  <si>
    <t>rama.fuke@gmail.com</t>
  </si>
  <si>
    <t>pay_H3vOTTVahHL9nB</t>
  </si>
  <si>
    <t>ankita.srivastava99@gmail.com</t>
  </si>
  <si>
    <t>pay_GrEWyiU91f2wJm</t>
  </si>
  <si>
    <t>prashantjaintdh@rediff.com</t>
  </si>
  <si>
    <t>17985*</t>
  </si>
  <si>
    <t>pay_Gsh5ppFwSZz21F</t>
  </si>
  <si>
    <t>vinaybr2008@gmail.com</t>
  </si>
  <si>
    <t>pay_H3wVA1OCUxgAFH</t>
  </si>
  <si>
    <t>tripureswari.p@gmail.com</t>
  </si>
  <si>
    <t>pay_H3waqgKKL4XIih</t>
  </si>
  <si>
    <t>naliniravindra90@gmail.com</t>
  </si>
  <si>
    <t>pay_GshGc1HBwKIowJ</t>
  </si>
  <si>
    <t>16532*</t>
  </si>
  <si>
    <t>pay_GvXXxVBDPtWiXM</t>
  </si>
  <si>
    <t>kapil35@gmail.com</t>
  </si>
  <si>
    <t>pay_H3xTNE68xIFZOG</t>
  </si>
  <si>
    <t>nabi.hu@yahoo.co.in</t>
  </si>
  <si>
    <t>pay_Gva66pvOptjstE</t>
  </si>
  <si>
    <t>ivanarayan@rediffmail.com</t>
  </si>
  <si>
    <t>pay_GzByeWe67Q4Qvc</t>
  </si>
  <si>
    <t>dhanam1956@gmail.com</t>
  </si>
  <si>
    <t>pay_H3ymKAHaS76zb3</t>
  </si>
  <si>
    <t>naveen.dig@gmail.com</t>
  </si>
  <si>
    <t>pay_H3ypEUzVExIaoP</t>
  </si>
  <si>
    <t>smritijoshi2k@gmail.com</t>
  </si>
  <si>
    <t>pay_GzY3267S4MY7X3</t>
  </si>
  <si>
    <t>pay_H3zkiL5HPsINjn</t>
  </si>
  <si>
    <t>tiwari.nishi1@gmail.com</t>
  </si>
  <si>
    <t>pay_H3zzBWPVqyGnaV</t>
  </si>
  <si>
    <t>anandr06@gmail.com</t>
  </si>
  <si>
    <t>pay_H40DmVELeQLc04</t>
  </si>
  <si>
    <t>dorthi123rajkumari@gmail.com</t>
  </si>
  <si>
    <t>pay_H0e3AqdqMap8rh</t>
  </si>
  <si>
    <t>shilpaganeshshram@gmail.com</t>
  </si>
  <si>
    <t>pay_H40eNhCqsjePzO</t>
  </si>
  <si>
    <t>veenaparthan@gmail.com</t>
  </si>
  <si>
    <t>pay_H10mtLYLvBb5Xw</t>
  </si>
  <si>
    <t>sowjanya.kalidindi@gmail.com</t>
  </si>
  <si>
    <t>pay_H40uR5FI29PrlC</t>
  </si>
  <si>
    <t>rahipmonker@gmail.com</t>
  </si>
  <si>
    <t>pay_H42VQFx3wS3pOx</t>
  </si>
  <si>
    <t>hashim2806@gmail.com</t>
  </si>
  <si>
    <t>pay_H42foXH2IaT4mn</t>
  </si>
  <si>
    <t>maheswarishraddha64@gmail.com</t>
  </si>
  <si>
    <t>pay_H43BG91CLOmHtv</t>
  </si>
  <si>
    <t>pay_H43DzO3ZxY6ow5</t>
  </si>
  <si>
    <t>poojasunder28@gmail.com</t>
  </si>
  <si>
    <t>pay_H43pAewiRu8QAd</t>
  </si>
  <si>
    <t>vashisht.aditi91@gmail.com</t>
  </si>
  <si>
    <t>pay_H48gTqNQgaZut3</t>
  </si>
  <si>
    <t>brijshrm2@gmail.com</t>
  </si>
  <si>
    <t>pay_H14KXYtHUFlOhO</t>
  </si>
  <si>
    <t>aggaekta339@gmail.com</t>
  </si>
  <si>
    <t>pay_H4BN26YL8DvDoh</t>
  </si>
  <si>
    <t>vijaymarrapu1998@gmail.com</t>
  </si>
  <si>
    <t>pay_H4BpPn8GTyinlF</t>
  </si>
  <si>
    <t>shrutispatil0795@gmail.com</t>
  </si>
  <si>
    <t>pay_H4C9WUnNu1peF2</t>
  </si>
  <si>
    <t>kanojiaswabhika@gmail.com</t>
  </si>
  <si>
    <t>pay_H1BhRgBcwneQ4N</t>
  </si>
  <si>
    <t>aduvanaparthy@gmail.com</t>
  </si>
  <si>
    <t>pay_H1CwtlDTBblXN8</t>
  </si>
  <si>
    <t>swetarane54@gmail.com</t>
  </si>
  <si>
    <t>pay_H1D74BjFzncNbI</t>
  </si>
  <si>
    <t>sumitsawhney2000@gmail.com</t>
  </si>
  <si>
    <t>pay_H1F7pjihJo5Egu</t>
  </si>
  <si>
    <t>amruta.parihar@yahoo.com</t>
  </si>
  <si>
    <t>pay_H4E9Dk5cbtLzz6</t>
  </si>
  <si>
    <t>akkumohanbarthwal@gmail.com</t>
  </si>
  <si>
    <t>pay_H4EtS2cHW59OFz</t>
  </si>
  <si>
    <t>dranwarfm@gmail.com</t>
  </si>
  <si>
    <t>pay_H4ExFrE3KlIcIp</t>
  </si>
  <si>
    <t>baradnidhi@gmail.com</t>
  </si>
  <si>
    <t>pay_H4FEWUtc5JoB3e</t>
  </si>
  <si>
    <t>mail.harshvsingh@gmail.com</t>
  </si>
  <si>
    <t>pay_H1n4QtXsmtHCJ4</t>
  </si>
  <si>
    <t>kuwalgudiya@gmail.com</t>
  </si>
  <si>
    <t>pay_H4GUJT0kDOI2Jt</t>
  </si>
  <si>
    <t>vrushalishetty@aol.com</t>
  </si>
  <si>
    <t>pay_H4H7zxhoBLXgl0</t>
  </si>
  <si>
    <t>rahul.kambli1987@gmail.com</t>
  </si>
  <si>
    <t>pay_H20lraHnt33TVE</t>
  </si>
  <si>
    <t>pooja.18chohan@gmail.com</t>
  </si>
  <si>
    <t>pay_H4HuNs6PzKy4S1</t>
  </si>
  <si>
    <t>sheetalganapathiraju@gmail.com</t>
  </si>
  <si>
    <t>pay_H4I9XPdXMOsTOR</t>
  </si>
  <si>
    <t>manngrover@gmail.com</t>
  </si>
  <si>
    <t>pay_H3by0xmAPgWROs</t>
  </si>
  <si>
    <t>santo2909@gmail.com</t>
  </si>
  <si>
    <t>pay_H4IC8LqBkXYi01</t>
  </si>
  <si>
    <t>bottaprathyusha8692@gmail.com</t>
  </si>
  <si>
    <t>pay_H4IWUkXJ5rxqEi</t>
  </si>
  <si>
    <t>deepakh_2004@yahoo.com</t>
  </si>
  <si>
    <t>pay_H3lmQQk8Tc7rBz</t>
  </si>
  <si>
    <t>amit.kumar3560@gmail.com</t>
  </si>
  <si>
    <t>pay_H4JDFzWTlXLImu</t>
  </si>
  <si>
    <t>rinkusukhwani@yahoo.com</t>
  </si>
  <si>
    <t>pay_H4JL4NkmzXDID5</t>
  </si>
  <si>
    <t>amansnx644@gmail.com</t>
  </si>
  <si>
    <t>pay_H4JoFMbiEAoJOH</t>
  </si>
  <si>
    <t>jatinmalhotra0098@gmail.com</t>
  </si>
  <si>
    <t>pay_H4JrLscpKnCGpc</t>
  </si>
  <si>
    <t>mittal44patel@gmail.com</t>
  </si>
  <si>
    <t>pay_H4KEy8W6dxyy43</t>
  </si>
  <si>
    <t>akshitagupta@anvilmedia.in</t>
  </si>
  <si>
    <t>pay_H4L9VBw4K9oU0a</t>
  </si>
  <si>
    <t>chakrasou@gmail.com</t>
  </si>
  <si>
    <t>pay_H4LWtDv7IbMcjx</t>
  </si>
  <si>
    <t>bhupendra_iab@yahoo.com</t>
  </si>
  <si>
    <t>pay_H4LvR0b452qpAY</t>
  </si>
  <si>
    <t>tikekar.vishakha@gmail.com</t>
  </si>
  <si>
    <t>pay_H4MTaBUZyEXh0G</t>
  </si>
  <si>
    <t>fashquake@gmail.com</t>
  </si>
  <si>
    <t>pay_H4MTqN8SuKBAof</t>
  </si>
  <si>
    <t>smitanairr@gmail.com</t>
  </si>
  <si>
    <t>pay_H4MdkflTq5YZ3d</t>
  </si>
  <si>
    <t>revankarsheets@gmail.com</t>
  </si>
  <si>
    <t>pay_H4N5aPWmeqlTrF</t>
  </si>
  <si>
    <t>toai.ruchu1990@gmail.com</t>
  </si>
  <si>
    <t>pay_H4Nfx2jZlXcFl7</t>
  </si>
  <si>
    <t>poojha1550@gmail.com</t>
  </si>
  <si>
    <t>pay_H4O2ugRSmtxhbT</t>
  </si>
  <si>
    <t>sonalikakabi@gmail.com</t>
  </si>
  <si>
    <t>pay_H4OJUQYJOXFaXm</t>
  </si>
  <si>
    <t>chandra.arunita@gmail.com</t>
  </si>
  <si>
    <t>pay_H3lqjH4qmKBQwN</t>
  </si>
  <si>
    <t>sridharan89@live.com</t>
  </si>
  <si>
    <t>pay_H4PFuYdEn2ha4C</t>
  </si>
  <si>
    <t>jsnn7595@gmail.com</t>
  </si>
  <si>
    <t>pay_H4POtPfSHgvBbM</t>
  </si>
  <si>
    <t>ehuang144@gmail.com</t>
  </si>
  <si>
    <t>pay_H4QL6FikI39kma</t>
  </si>
  <si>
    <t>hastak.yogita@gmail.com</t>
  </si>
  <si>
    <t>pay_H4QNpxarNdGCKb</t>
  </si>
  <si>
    <t>abbasvalinabu@gmail.com</t>
  </si>
  <si>
    <t>pay_H4QWTgBh6eae94</t>
  </si>
  <si>
    <t>shivaniwaikar09@gmail.com</t>
  </si>
  <si>
    <t>pay_H4QavpqbEYAwVA</t>
  </si>
  <si>
    <t>toibamalik78667@gmail.com</t>
  </si>
  <si>
    <t>pay_H4QeVfFwLjY933</t>
  </si>
  <si>
    <t>vipul.msrmc@gmail.com</t>
  </si>
  <si>
    <t>pay_H4Qgaw8pYDI0PO</t>
  </si>
  <si>
    <t>akshaynirala1@gmail.com</t>
  </si>
  <si>
    <t>pay_H4TxoTV3ptDWlf</t>
  </si>
  <si>
    <t>vemulabhuvani@gmail.com</t>
  </si>
  <si>
    <t>pay_H3mUETw0majv0s</t>
  </si>
  <si>
    <t>mail.ruchikarastogi@gmail.com</t>
  </si>
  <si>
    <t>pay_H4XtXBcOJWDEwv</t>
  </si>
  <si>
    <t>anitakale75@gmail.com</t>
  </si>
  <si>
    <t>pay_H4YHhcT4sgUIIs</t>
  </si>
  <si>
    <t>arpit999sharma@gmail.com</t>
  </si>
  <si>
    <t>pay_H3mbIEZVG97REE</t>
  </si>
  <si>
    <t>debjanibose4319@gmail.com</t>
  </si>
  <si>
    <t>pay_H3o5pXmDsJhsum</t>
  </si>
  <si>
    <t>khan.raveena786@gmail.com</t>
  </si>
  <si>
    <t>pay_H4anPdOFkKDfBc</t>
  </si>
  <si>
    <t>divyapandey.hp001@gmail.com</t>
  </si>
  <si>
    <t>pay_H4avaobkFObfZI</t>
  </si>
  <si>
    <t>ank10474@gmail.com</t>
  </si>
  <si>
    <t>pay_H4bEipxdW4EsFe</t>
  </si>
  <si>
    <t>srilathagoud5445@gmail.com</t>
  </si>
  <si>
    <t>pay_H4bMODLWtRuRxb</t>
  </si>
  <si>
    <t>tanujahalder3595@gmail.com</t>
  </si>
  <si>
    <t>pay_H4bniT49CS3xkb</t>
  </si>
  <si>
    <t>chaitrareddy1417@gmail.com</t>
  </si>
  <si>
    <t>pay_H3qatsmA7H7KVa</t>
  </si>
  <si>
    <t>pujas98@gmail.com</t>
  </si>
  <si>
    <t>pay_H4c3AEk2BOCL72</t>
  </si>
  <si>
    <t>hegdessh93@gmail.com</t>
  </si>
  <si>
    <t>pay_H4cW9rWQuC5mR2</t>
  </si>
  <si>
    <t>rsvidya12@gmail.com</t>
  </si>
  <si>
    <t>pay_H4chido0d8Wcfk</t>
  </si>
  <si>
    <t>shubhadapande39@gmail.com</t>
  </si>
  <si>
    <t>pay_H4ckCQeTS35EKg</t>
  </si>
  <si>
    <t>Blogging life</t>
  </si>
  <si>
    <t>meghn09@gmail.com</t>
  </si>
  <si>
    <t>pay_H3r6BhOVPiMAkE</t>
  </si>
  <si>
    <t>elishachetty12@gmail.com</t>
  </si>
  <si>
    <t>pay_H4dC2nBYgPLJNs</t>
  </si>
  <si>
    <t>sumakurup7@gmail.com</t>
  </si>
  <si>
    <t>pay_H4dePEh1frb7V0</t>
  </si>
  <si>
    <t>thealchemystwrites@gmail.com</t>
  </si>
  <si>
    <t>pay_H4eUemANk93VMl</t>
  </si>
  <si>
    <t>amsatul@gmail.com</t>
  </si>
  <si>
    <t>pay_H4eabZ01YSqT6A</t>
  </si>
  <si>
    <t>sarvaanipoo@gmail.com</t>
  </si>
  <si>
    <t>pay_H4ebqlh6BKFALe</t>
  </si>
  <si>
    <t>safarukader@gmail.com</t>
  </si>
  <si>
    <t>pay_H3rsrmD0KRfZLT</t>
  </si>
  <si>
    <t>rini.bhowal77@gmail.com</t>
  </si>
  <si>
    <t>pay_H3xf8sdZj3i5Jn</t>
  </si>
  <si>
    <t>bhavneetk87@gmail.com</t>
  </si>
  <si>
    <t>pay_H4hHJbHmmdArG4</t>
  </si>
  <si>
    <t>priti.lahoti@gmail.com</t>
  </si>
  <si>
    <t>pay_H4hMrZeq6M3kjN</t>
  </si>
  <si>
    <t>akankshasogani@gmail.com</t>
  </si>
  <si>
    <t>pay_H4hXV7wfdB5C8h</t>
  </si>
  <si>
    <t>nj.vpns@gmail.com</t>
  </si>
  <si>
    <t>pay_H4hk1mu8HmZBnQ</t>
  </si>
  <si>
    <t>richaqt@gmail.com</t>
  </si>
  <si>
    <t>pay_H4hn3cLprB3zh4</t>
  </si>
  <si>
    <t>shalaka.adhikari97@gmail.com</t>
  </si>
  <si>
    <t>pay_H4hpVf4Q7fdWCH</t>
  </si>
  <si>
    <t>vjpanchal190@gmail.com</t>
  </si>
  <si>
    <t>pay_H3zCO595yDKJ5F</t>
  </si>
  <si>
    <t>28.veena@gmail.com</t>
  </si>
  <si>
    <t>pay_H4iHHxsKQ1BXSa</t>
  </si>
  <si>
    <t>krutimaster151@gmail.com</t>
  </si>
  <si>
    <t>pay_H40L6scRnJE0QO</t>
  </si>
  <si>
    <t>raghavmaggu239@gmail.com</t>
  </si>
  <si>
    <t>pay_H4kFT5GKiz0sKc</t>
  </si>
  <si>
    <t>pay_H4l3332v4LydtN</t>
  </si>
  <si>
    <t>charm151089@gmail.com</t>
  </si>
  <si>
    <t>pay_H4lbn16gVJEsbj</t>
  </si>
  <si>
    <t>sharma.prats27@gmail.com</t>
  </si>
  <si>
    <t>pay_H4lx8ElqSe2Vlq</t>
  </si>
  <si>
    <t>shaikshameer072@icloud.com</t>
  </si>
  <si>
    <t>pay_H4h9E2oeCHo5tz</t>
  </si>
  <si>
    <t>vempati.jyothi1@gmail.com</t>
  </si>
  <si>
    <t>pay_H4mCZZryJId6xU</t>
  </si>
  <si>
    <t>aditbhatnagar@gmail.com</t>
  </si>
  <si>
    <t>pay_H4mOdNKjh43lKh</t>
  </si>
  <si>
    <t>ramsi2k@gmail.com</t>
  </si>
  <si>
    <t>pay_H4mgLzfB7xqhY5</t>
  </si>
  <si>
    <t>abhiruchi57@gmail.com</t>
  </si>
  <si>
    <t>pay_H4n7trvkNzF8QN</t>
  </si>
  <si>
    <t>vilas.surkule43@gmail.com</t>
  </si>
  <si>
    <t>pay_H4nP9sq9ymFj0n</t>
  </si>
  <si>
    <t>akshay.kspl@gmail.com</t>
  </si>
  <si>
    <t>pay_H4npeaQSINsLsP</t>
  </si>
  <si>
    <t>anushaofficial@gmail.com</t>
  </si>
  <si>
    <t>pay_H4ydVEjTMFFXS4</t>
  </si>
  <si>
    <t>venkata.prathima.kumarapu@gmail.com</t>
  </si>
  <si>
    <t>pay_H5261B6QUjVtPr</t>
  </si>
  <si>
    <t>aditisuri07@gmail.com</t>
  </si>
  <si>
    <t>pay_H56olhbpHgbZQZ</t>
  </si>
  <si>
    <t>amy01703@gmail.com</t>
  </si>
  <si>
    <t>pay_H55NyuZCUZ2dBq</t>
  </si>
  <si>
    <t>anantak1602@gmail.com</t>
  </si>
  <si>
    <t>pay_H5AgKZip85gffq</t>
  </si>
  <si>
    <t>jinglebellpanipat@gmail.com</t>
  </si>
  <si>
    <t>pay_H5AlIc8aayXRco</t>
  </si>
  <si>
    <t>nrjmshr14@gmail.com</t>
  </si>
  <si>
    <t>pay_H4k9f84Vv2sND1</t>
  </si>
  <si>
    <t>Xylem community</t>
  </si>
  <si>
    <t>Yearly Plan</t>
  </si>
  <si>
    <t>bernard.muyl@safe-trade.fr</t>
  </si>
  <si>
    <t>phone</t>
  </si>
  <si>
    <t>user_id</t>
  </si>
  <si>
    <t>payment_type</t>
  </si>
  <si>
    <t>A Blue Lotus Life</t>
  </si>
  <si>
    <t>thehappypankaj@yahoo.com</t>
  </si>
  <si>
    <t>https://hi.likeminds.community/d/a-blue-lotus-life</t>
  </si>
  <si>
    <t>Subscription</t>
  </si>
  <si>
    <t>pakhi.garg95@gmail.com</t>
  </si>
  <si>
    <t>6/15/2021 10:33 AM</t>
  </si>
  <si>
    <t>bhawna.sandeep1130@gmail.com</t>
  </si>
  <si>
    <t>6/16/2021 2:12 AM</t>
  </si>
  <si>
    <t>saumyajoshi89@gmail.com</t>
  </si>
  <si>
    <t>6/16/2021 6:44 PM</t>
  </si>
  <si>
    <t>krishnaraj.bhatns@gmail.com</t>
  </si>
  <si>
    <t>6/20/2021 12:11 PM</t>
  </si>
  <si>
    <t>https://hi.likeminds.community/d/a-blue-lotus-life#Pricing</t>
  </si>
  <si>
    <t>6/20/2021 12:28 PM</t>
  </si>
  <si>
    <t>Ahoj: Let's Blog</t>
  </si>
  <si>
    <t>tara.lanba1999@gmail.com</t>
  </si>
  <si>
    <t>https://community.likeminds.community/ahoj-lets-blog</t>
  </si>
  <si>
    <t>mahirgupta98@gmail.com</t>
  </si>
  <si>
    <t>tanvimhatre001@gmail.com</t>
  </si>
  <si>
    <t>nawatheygaurav@gmail.com</t>
  </si>
  <si>
    <t>leshanimehra1998@gmail.com</t>
  </si>
  <si>
    <t>dezikakol@gmail.com</t>
  </si>
  <si>
    <t>iamagsusfreak@gmail.com</t>
  </si>
  <si>
    <t>abhijit.jha33@gmail.com</t>
  </si>
  <si>
    <t>crupam714@gmail.com</t>
  </si>
  <si>
    <t>benadikam@gmail.com</t>
  </si>
  <si>
    <t>travelwithfreddie@gmail.com</t>
  </si>
  <si>
    <t>pallspallavi56789@gmail.com</t>
  </si>
  <si>
    <t>debajyoti_wr@hotmail.com</t>
  </si>
  <si>
    <t>contact.nandini01@gmail.com</t>
  </si>
  <si>
    <t>kartikbalwan@gmail.com</t>
  </si>
  <si>
    <t>ajaypanampet@gmail.com</t>
  </si>
  <si>
    <t>ritusmita01@gmail.com</t>
  </si>
  <si>
    <t>raimap994@gmail.com</t>
  </si>
  <si>
    <t>devrahulsingh2104@gmail.com</t>
  </si>
  <si>
    <t>sachin225sandy@gmail.com</t>
  </si>
  <si>
    <t>anuradhashukla143@gmail.com</t>
  </si>
  <si>
    <t>sandhya.rajan03@gmail.com</t>
  </si>
  <si>
    <t>opgodara93@gmail.com</t>
  </si>
  <si>
    <t>guru_3@yahoo.com</t>
  </si>
  <si>
    <t>5/16/2021 9:20 PM</t>
  </si>
  <si>
    <t>khyatimehta0@gmail.com</t>
  </si>
  <si>
    <t>5/17/2021 9:29 AM</t>
  </si>
  <si>
    <t>krishan.bora1990@gmail.com</t>
  </si>
  <si>
    <t>5/17/2021 11:54 AM</t>
  </si>
  <si>
    <t>princeparmar6@gmail.com</t>
  </si>
  <si>
    <t>5/18/2021 3:39 PM</t>
  </si>
  <si>
    <t>muskannagdev342@gmail.com</t>
  </si>
  <si>
    <t>5/21/2021 10:39 AM</t>
  </si>
  <si>
    <t>outdoorrebellions@gmail.com</t>
  </si>
  <si>
    <t>5/21/2021 12:12 PM</t>
  </si>
  <si>
    <t>5/21/2021 6:37 PM</t>
  </si>
  <si>
    <t>ishaan17maxx@gmail.com</t>
  </si>
  <si>
    <t>5/22/2021 3:12 PM</t>
  </si>
  <si>
    <t>dua.ankit@gmail.com</t>
  </si>
  <si>
    <t>5/22/2021 6:24 PM</t>
  </si>
  <si>
    <t>raveenakaur544@gmail.com</t>
  </si>
  <si>
    <t>5/24/2021 12:12 PM</t>
  </si>
  <si>
    <t>priya19pop@gmail.com</t>
  </si>
  <si>
    <t>5/24/2021 8:13 PM</t>
  </si>
  <si>
    <t>annubhati540@gmail.com</t>
  </si>
  <si>
    <t>5/24/2021 8:39 PM</t>
  </si>
  <si>
    <t>simranjitsinghsimar89@gmail.com</t>
  </si>
  <si>
    <t>5/25/2021 5:57 AM</t>
  </si>
  <si>
    <t>pradeepvatturi@gmail.com</t>
  </si>
  <si>
    <t>5/25/2021 1:53 PM</t>
  </si>
  <si>
    <t>smritipragya@gmail.com</t>
  </si>
  <si>
    <t>5/25/2021 4:27 PM</t>
  </si>
  <si>
    <t>5/26/2021 12:33 PM</t>
  </si>
  <si>
    <t>dranoopvet07@gmail.com</t>
  </si>
  <si>
    <t>5/26/2021 2:46 PM</t>
  </si>
  <si>
    <t>pratham76761@gmail.com</t>
  </si>
  <si>
    <t>5/26/2021 5:22 PM</t>
  </si>
  <si>
    <t>5/26/2021 6:43 PM</t>
  </si>
  <si>
    <t>shoghi07@gmail.com</t>
  </si>
  <si>
    <t>5/27/2021 12:41 AM</t>
  </si>
  <si>
    <t>sharad1093@gmail.com</t>
  </si>
  <si>
    <t>5/28/2021 11:39 AM</t>
  </si>
  <si>
    <t>janet9963@gmail.com</t>
  </si>
  <si>
    <t>5/28/2021 1:34 PM</t>
  </si>
  <si>
    <t>shadab3247@gmail.com</t>
  </si>
  <si>
    <t>5/28/2021 2:46 PM</t>
  </si>
  <si>
    <t>soham.mungikar2019@ssca.edu.in</t>
  </si>
  <si>
    <t>5/28/2021 5:23 PM</t>
  </si>
  <si>
    <t>theedajahnavee@gmail.com</t>
  </si>
  <si>
    <t>5/29/2021 10:24 AM</t>
  </si>
  <si>
    <t>akkcrusier@gmail.com</t>
  </si>
  <si>
    <t>5/30/2021 1:06 PM</t>
  </si>
  <si>
    <t>ankitkumar8941@gmail.com</t>
  </si>
  <si>
    <t>5/30/2021 10:38 PM</t>
  </si>
  <si>
    <t>ddas2172@gmail.com</t>
  </si>
  <si>
    <t>5/31/2021 8:29 AM</t>
  </si>
  <si>
    <t>nehaaricag7@gmail.com</t>
  </si>
  <si>
    <t>5/31/2021 3:38 PM</t>
  </si>
  <si>
    <t>anjali.patra2110@gmail.com</t>
  </si>
  <si>
    <t>5/31/2021 7:15 PM</t>
  </si>
  <si>
    <t>sbh981214@gmail.com</t>
  </si>
  <si>
    <t>5/31/2021 8:20 PM</t>
  </si>
  <si>
    <t>phiranandani@gmail.com</t>
  </si>
  <si>
    <t>sunnylalwani07@gmail.com</t>
  </si>
  <si>
    <t>rupalimahla@gmail.com</t>
  </si>
  <si>
    <t>deepanshi.ashri@gmail.com</t>
  </si>
  <si>
    <t>amareshsingh1995@gmail.com</t>
  </si>
  <si>
    <t>harshan0498@gmail.com</t>
  </si>
  <si>
    <t>hiya2199@gmail.com</t>
  </si>
  <si>
    <t>abhijit.jha33@gmail.con</t>
  </si>
  <si>
    <t>rakeshnature68@gnail.com</t>
  </si>
  <si>
    <t>karsangnini4@gmail.com</t>
  </si>
  <si>
    <t>satyendrakrchauhan@gmail.com</t>
  </si>
  <si>
    <t>manasi.chauhan19@gmail.com</t>
  </si>
  <si>
    <t>suniltrue@gmail.com</t>
  </si>
  <si>
    <t>vanshikathakur2811@gmail.com</t>
  </si>
  <si>
    <t>ayushijain0624@gmail.com</t>
  </si>
  <si>
    <t>adesarakhyati9@gmail.com</t>
  </si>
  <si>
    <t>laxminegi2105@gmail.com</t>
  </si>
  <si>
    <t>umarr3776@gmail.com</t>
  </si>
  <si>
    <t>nikhildhingaun@gmail.com</t>
  </si>
  <si>
    <t>rguditeamworks@gmail.com</t>
  </si>
  <si>
    <t>6/13/2021 11:19 AM</t>
  </si>
  <si>
    <t>kaman3724@gmail.com</t>
  </si>
  <si>
    <t>6/14/2021 12:57 AM</t>
  </si>
  <si>
    <t>nikhilchauhan633@gmail.com</t>
  </si>
  <si>
    <t>6/14/2021 10:33 AM</t>
  </si>
  <si>
    <t>ppsweetanny12011993@gmail.com</t>
  </si>
  <si>
    <t>6/14/2021 10:57 AM</t>
  </si>
  <si>
    <t>pratiush.dhiman1994@gmail.com</t>
  </si>
  <si>
    <t>6/14/2021 12:12 PM</t>
  </si>
  <si>
    <t>mukund@paarthholidays.com</t>
  </si>
  <si>
    <t>6/15/2021 9:58 AM</t>
  </si>
  <si>
    <t>sujit.jena2000@gmail.com</t>
  </si>
  <si>
    <t>6/15/2021 10:10 AM</t>
  </si>
  <si>
    <t>saumikmanc@gmail.com</t>
  </si>
  <si>
    <t>6/15/2021 6:52 PM</t>
  </si>
  <si>
    <t>adityaphulsundar5@gmail.com</t>
  </si>
  <si>
    <t>6/16/2021 4:20 PM</t>
  </si>
  <si>
    <t>thilakamk18@gmail.com</t>
  </si>
  <si>
    <t>6/16/2021 7:27 PM</t>
  </si>
  <si>
    <t>amitabh.madhuri94@gmail.com</t>
  </si>
  <si>
    <t>6/16/2021 11:00 PM</t>
  </si>
  <si>
    <t>katariamanish899@gmail.com</t>
  </si>
  <si>
    <t>6/17/2021 10:33 AM</t>
  </si>
  <si>
    <t>https://community.likeminds.community/ahoj-lets-blog#Pricing</t>
  </si>
  <si>
    <t>mailme.utkarsh@gmail.com</t>
  </si>
  <si>
    <t>6/17/2021 3:15 PM</t>
  </si>
  <si>
    <t>swati.pushkar11@gmail.com</t>
  </si>
  <si>
    <t>6/17/2021 4:14 PM</t>
  </si>
  <si>
    <t>kirti23kalonia@gmail.com</t>
  </si>
  <si>
    <t>6/17/2021 11:05 PM</t>
  </si>
  <si>
    <t>vyaspratibha7@gmail.com</t>
  </si>
  <si>
    <t>6/18/2021 9:10 AM</t>
  </si>
  <si>
    <t>manavjhaveri2000@gmail.com</t>
  </si>
  <si>
    <t>6/18/2021 4:54 PM</t>
  </si>
  <si>
    <t>praroop.trivedi149@gmail.com</t>
  </si>
  <si>
    <t>6/19/2021 9:51 AM</t>
  </si>
  <si>
    <t>faizanpashu@gmail.com</t>
  </si>
  <si>
    <t>6/19/2021 1:23 PM</t>
  </si>
  <si>
    <t>premkumarvalapala@gmail.com</t>
  </si>
  <si>
    <t>6/20/2021 9:00 AM</t>
  </si>
  <si>
    <t>mona.mukherjee89@gmail.com</t>
  </si>
  <si>
    <t>6/22/2021 1:11 AM</t>
  </si>
  <si>
    <t>Being Earthable</t>
  </si>
  <si>
    <t>prajaktathakre8@gmail.com</t>
  </si>
  <si>
    <t>5/15/2021 11:12 PM</t>
  </si>
  <si>
    <t>https://hi.likeminds.community/d/being-earthable</t>
  </si>
  <si>
    <t>vickysharma3@gmail.com</t>
  </si>
  <si>
    <t>5/16/2021 2:31 PM</t>
  </si>
  <si>
    <t>akshitas1706@gmail.com</t>
  </si>
  <si>
    <t>5/16/2021 9:46 AM</t>
  </si>
  <si>
    <t>guptasaksham.87@gmail.com</t>
  </si>
  <si>
    <t>5/16/2021 10:45 PM</t>
  </si>
  <si>
    <t>ektathirani07@gmail.com</t>
  </si>
  <si>
    <t>5/17/2021 1:08 PM</t>
  </si>
  <si>
    <t>sanatkothari1999@gmail.com</t>
  </si>
  <si>
    <t>5/17/2021 1:38 PM</t>
  </si>
  <si>
    <t>aksh.andavar@gmail.com</t>
  </si>
  <si>
    <t>5/18/2021 12:48 AM</t>
  </si>
  <si>
    <t>itsminx@gmail.com</t>
  </si>
  <si>
    <t>5/18/2021 3:59 PM</t>
  </si>
  <si>
    <t>palakjain13@hotmail.com</t>
  </si>
  <si>
    <t>5/18/2021 7:40 PM</t>
  </si>
  <si>
    <t>arnavamaya5@gmail.com</t>
  </si>
  <si>
    <t>5/19/2021 8:51 AM</t>
  </si>
  <si>
    <t>tsedol1959@gmail.com</t>
  </si>
  <si>
    <t>5/19/2021 10:24 AM</t>
  </si>
  <si>
    <t>prasaadsurve@gmail.com</t>
  </si>
  <si>
    <t>5/19/2021 4:49 PM</t>
  </si>
  <si>
    <t>sudhirgang99@gmail.com</t>
  </si>
  <si>
    <t>5/20/2021 6:26 AM</t>
  </si>
  <si>
    <t>pratiksha.bhomle@gmail.com</t>
  </si>
  <si>
    <t>5/20/2021 2:03 PM</t>
  </si>
  <si>
    <t>vineet96.jsh@gmail.com</t>
  </si>
  <si>
    <t>5/20/2021 6:20 PM</t>
  </si>
  <si>
    <t>umendarsethu@gmail.com</t>
  </si>
  <si>
    <t>5/20/2021 8:40 PM</t>
  </si>
  <si>
    <t>deepaoct16@gmail.com</t>
  </si>
  <si>
    <t>5/21/2021 2:51 PM</t>
  </si>
  <si>
    <t>ar.akshaykulkarni@gmail.com</t>
  </si>
  <si>
    <t>5/22/2021 7:54 AM</t>
  </si>
  <si>
    <t>varna.sr@gmail.com</t>
  </si>
  <si>
    <t>5/22/2021 6:16 PM</t>
  </si>
  <si>
    <t>sahumamta3071995@gmail.com</t>
  </si>
  <si>
    <t>5/23/2021 1:32 AM</t>
  </si>
  <si>
    <t>indusukumar@gmail.com</t>
  </si>
  <si>
    <t>5/23/2021 7:54 PM</t>
  </si>
  <si>
    <t>dharitri.satish@gmail.com</t>
  </si>
  <si>
    <t>5/25/2021 3:27 PM</t>
  </si>
  <si>
    <t>padmaja.sreerangam@gmail.com</t>
  </si>
  <si>
    <t>5/27/2021 10:16 AM</t>
  </si>
  <si>
    <t>greensunplanters@gmail.com</t>
  </si>
  <si>
    <t>5/27/2021 3:47 PM</t>
  </si>
  <si>
    <t>singhmanogya1@gmail.com</t>
  </si>
  <si>
    <t>5/28/2021 12:10 AM</t>
  </si>
  <si>
    <t>jrsukesh@gmail.com</t>
  </si>
  <si>
    <t>5/28/2021 8:09 AM</t>
  </si>
  <si>
    <t>pankajbhikusethbansal@gmail.com</t>
  </si>
  <si>
    <t>5/28/2021 8:34 AM</t>
  </si>
  <si>
    <t>shakshi.patel25@gmail.com</t>
  </si>
  <si>
    <t>5/28/2021 3:26 PM</t>
  </si>
  <si>
    <t>tholiamanan@gmail.com</t>
  </si>
  <si>
    <t>5/29/2021 9:56 AM</t>
  </si>
  <si>
    <t>seemapaib@gmail.com</t>
  </si>
  <si>
    <t>5/29/2021 10:47 PM</t>
  </si>
  <si>
    <t>roan.aga@gmail.com</t>
  </si>
  <si>
    <t>5/30/2021 2:55 AM</t>
  </si>
  <si>
    <t>kastooree@gmail.com</t>
  </si>
  <si>
    <t>5/30/2021 12:03 PM</t>
  </si>
  <si>
    <t>tushangi.rastogi55@gmail.com</t>
  </si>
  <si>
    <t>5/30/2021 4:44 PM</t>
  </si>
  <si>
    <t>mail.jainsunayana@gmail.com</t>
  </si>
  <si>
    <t>5/31/2021 9:49 AM</t>
  </si>
  <si>
    <t>svetlanadcosta17@gmail.com</t>
  </si>
  <si>
    <t>5/31/2021 12:03 PM</t>
  </si>
  <si>
    <t>swathi_1994@yahoo.com</t>
  </si>
  <si>
    <t>5/31/2021 3:09 PM</t>
  </si>
  <si>
    <t>adventpoonam@gmail.com</t>
  </si>
  <si>
    <t>5/31/2021 8:04 PM</t>
  </si>
  <si>
    <t>divyarsakundarwar@gmail.com</t>
  </si>
  <si>
    <t>rakeshnotification@gmail.com</t>
  </si>
  <si>
    <t>geetpurkayastha@gmail.com</t>
  </si>
  <si>
    <t>jyothigoud98@gmail.com</t>
  </si>
  <si>
    <t>van.diagram@gmail.com</t>
  </si>
  <si>
    <t>namrataidnani@gmail.com</t>
  </si>
  <si>
    <t>arunabjames@gmail.com</t>
  </si>
  <si>
    <t>ckelkar@gmail.com</t>
  </si>
  <si>
    <t>https://hi.likeminds.community/d/being-earthable#Pricing</t>
  </si>
  <si>
    <t>rishirathi1989@gmail.com</t>
  </si>
  <si>
    <t>riya.jain1297@gmail.com</t>
  </si>
  <si>
    <t>ipsitaaagarwal@gmail.com</t>
  </si>
  <si>
    <t>tripryagarwal05@gmail.com</t>
  </si>
  <si>
    <t>amitagupta72@gmail.com</t>
  </si>
  <si>
    <t>bsk@kambargroup.com</t>
  </si>
  <si>
    <t>revathypanicker93@gmail.com</t>
  </si>
  <si>
    <t>virtuousvp@gmail.com</t>
  </si>
  <si>
    <t>navyachandragiri.nc@gmail.com</t>
  </si>
  <si>
    <t>sreelkshmy@gmail.com</t>
  </si>
  <si>
    <t>soldiernida@gmail.com</t>
  </si>
  <si>
    <t>purnimaroy0807@gmail.com</t>
  </si>
  <si>
    <t>adas.apple7@gmail.com</t>
  </si>
  <si>
    <t>aashna.arora2912@gmail.com</t>
  </si>
  <si>
    <t>kuwalekar.prajakta@gmail.com</t>
  </si>
  <si>
    <t>6/18/2021 9:04 AM</t>
  </si>
  <si>
    <t>Blogging Life</t>
  </si>
  <si>
    <t>akshita.bpsmv@gmail.com</t>
  </si>
  <si>
    <t>https://hi.likeminds.community/d/blogging-life</t>
  </si>
  <si>
    <t>freelanceryunesh@gmail.com</t>
  </si>
  <si>
    <t>drsumeetneurology@gmail.com</t>
  </si>
  <si>
    <t>roopak@ncredibles.com</t>
  </si>
  <si>
    <t>chawat.ravi@gmail.com</t>
  </si>
  <si>
    <t>toprpr@gmail.com</t>
  </si>
  <si>
    <t>amanvashist@gmail.com</t>
  </si>
  <si>
    <t>research_kriti12@yahoo.co.in</t>
  </si>
  <si>
    <t>poornibubloo25@gmail.com</t>
  </si>
  <si>
    <t>sambeetraman12@gmail.com</t>
  </si>
  <si>
    <t>5/15/2021 2:20 PM</t>
  </si>
  <si>
    <t>pulkitsankhla95@gamil.com</t>
  </si>
  <si>
    <t>5/15/2021 2:43 PM</t>
  </si>
  <si>
    <t>darpandatta.m@gmail.com</t>
  </si>
  <si>
    <t>5/17/2021 8:11 AM</t>
  </si>
  <si>
    <t>bharatdivya.dhingra@gmail.com</t>
  </si>
  <si>
    <t>5/19/2021 11:14 PM</t>
  </si>
  <si>
    <t>aditi.creativity9@gmail.com</t>
  </si>
  <si>
    <t>5/23/2021 7:21 PM</t>
  </si>
  <si>
    <t>shreyachopda24@gmail.com</t>
  </si>
  <si>
    <t>5/23/2021 10:53 PM</t>
  </si>
  <si>
    <t>gopadutta24@gmail.com</t>
  </si>
  <si>
    <t>5/26/2021 11:53 AM</t>
  </si>
  <si>
    <t>kantiroymihir@gmail.com</t>
  </si>
  <si>
    <t>5/27/2021 11:06 PM</t>
  </si>
  <si>
    <t>rajeevvarma441@gmail.com</t>
  </si>
  <si>
    <t>5/28/2021 3:29 AM</t>
  </si>
  <si>
    <t>vlgpk006@gmail.com</t>
  </si>
  <si>
    <t>5/29/2021 6:54 PM</t>
  </si>
  <si>
    <t>6/16/2021 12:11 AM</t>
  </si>
  <si>
    <t>meghabatra94@gmail.com</t>
  </si>
  <si>
    <t>6/16/2021 10:00 PM</t>
  </si>
  <si>
    <t>hrkrishaan@gmail.com</t>
  </si>
  <si>
    <t>6/18/2021 1:12 PM</t>
  </si>
  <si>
    <t>homesgentle@gmail.com</t>
  </si>
  <si>
    <t>6/21/2021 12:55 AM</t>
  </si>
  <si>
    <t>innovationandtechnologylabs@gmail.com</t>
  </si>
  <si>
    <t>6/21/2021 9:12 AM</t>
  </si>
  <si>
    <t>mehraj.mmd1@gmail.com</t>
  </si>
  <si>
    <t>6/22/2021 11:07 AM</t>
  </si>
  <si>
    <t>swethareddyv@gmail.com</t>
  </si>
  <si>
    <t>https://hi.likeminds.community/blooming-rush</t>
  </si>
  <si>
    <t>nehadhamija126@gmail.com</t>
  </si>
  <si>
    <t>bindiya.anurudh@gmail.com</t>
  </si>
  <si>
    <t>shoppersadda2020@gmail.com</t>
  </si>
  <si>
    <t>ritusky2@gmail.com</t>
  </si>
  <si>
    <t>jm.2907@gmail.com</t>
  </si>
  <si>
    <t>chavibehl@gmail.com</t>
  </si>
  <si>
    <t>sailidxt22@gmail.com</t>
  </si>
  <si>
    <t>sheensimon33@gmail.com</t>
  </si>
  <si>
    <t>sahiba1bajaj@gmail.com</t>
  </si>
  <si>
    <t>ratnapurkayastha7@gmail.com</t>
  </si>
  <si>
    <t>anjalivijayakumar26@gmail.com</t>
  </si>
  <si>
    <t>dimpysharma2008@gmail.com</t>
  </si>
  <si>
    <t>sandhyapareek@gmail.com</t>
  </si>
  <si>
    <t>pruthavdhr99@gmail.com</t>
  </si>
  <si>
    <t>pragatisachan2507@gmail.com</t>
  </si>
  <si>
    <t>Bonjour Amis French</t>
  </si>
  <si>
    <t>arunanilgupta@gmail.com</t>
  </si>
  <si>
    <t>https://hi.likeminds.community/d/bonjour-amis-french</t>
  </si>
  <si>
    <t>asish.aryan@gmail.com</t>
  </si>
  <si>
    <t>surabhi_rana21@yahoo.com</t>
  </si>
  <si>
    <t>manlaksh.inc@gmail.com</t>
  </si>
  <si>
    <t>nanwanipoonam@gmail.com</t>
  </si>
  <si>
    <t>anjalityagi2014@gmail.com</t>
  </si>
  <si>
    <t>chethna.p@gmail.com</t>
  </si>
  <si>
    <t>saifsyd92@gmail.com</t>
  </si>
  <si>
    <t>soujannyadiwan121@gmail.com</t>
  </si>
  <si>
    <t>zulfikar.ahmed1@hotmail.com</t>
  </si>
  <si>
    <t>sanjunairis444@gmail.com</t>
  </si>
  <si>
    <t>suk1997.ma@gmail.com</t>
  </si>
  <si>
    <t>hariprasad3785@gmail.com</t>
  </si>
  <si>
    <t>singh199386@gmail.com</t>
  </si>
  <si>
    <t>phebethomas02@gmail.com</t>
  </si>
  <si>
    <t>getmanas.ghosh@gmail.com</t>
  </si>
  <si>
    <t>5/14/2021 1:14 PM</t>
  </si>
  <si>
    <t>ayushipandey925@gmail.com</t>
  </si>
  <si>
    <t>5/15/2021 2:56 PM</t>
  </si>
  <si>
    <t>5/15/2021 6:21 PM</t>
  </si>
  <si>
    <t>ejanthkarh@gmail.com</t>
  </si>
  <si>
    <t>5/15/2021 8:26 PM</t>
  </si>
  <si>
    <t>mahakmittal0526@gmail.com</t>
  </si>
  <si>
    <t>5/15/2021 8:47 PM</t>
  </si>
  <si>
    <t>putrada.kulkarni@gmail.com</t>
  </si>
  <si>
    <t>5/15/2021 9:55 AM</t>
  </si>
  <si>
    <t>mano.aug89@gmail.com</t>
  </si>
  <si>
    <t>5/17/2021 1:47 PM</t>
  </si>
  <si>
    <t>divya.friendly1@gmail.com</t>
  </si>
  <si>
    <t>5/17/2021 3:54 PM</t>
  </si>
  <si>
    <t>vjanvi09@gmail.com</t>
  </si>
  <si>
    <t>5/17/2021 8:41 AM</t>
  </si>
  <si>
    <t>gaikwadabhishek5@gmail.com</t>
  </si>
  <si>
    <t>5/17/2021 10:37 PM</t>
  </si>
  <si>
    <t>spranali1417@gmail.com</t>
  </si>
  <si>
    <t>5/19/2021 9:36 AM</t>
  </si>
  <si>
    <t>saisree.ballarapu@gmail.com</t>
  </si>
  <si>
    <t>5/19/2021 10:16 PM</t>
  </si>
  <si>
    <t>satyamhihtan@gmail.com</t>
  </si>
  <si>
    <t>5/20/2021 4:54 PM</t>
  </si>
  <si>
    <t>kayara.me.2213@gmail.com</t>
  </si>
  <si>
    <t>5/21/2021 12:47 AM</t>
  </si>
  <si>
    <t>archita.nanda17@gmail.com</t>
  </si>
  <si>
    <t>5/21/2021 9:20 AM</t>
  </si>
  <si>
    <t>mailrichamail6@gmail.com</t>
  </si>
  <si>
    <t>5/21/2021 2:28 PM</t>
  </si>
  <si>
    <t>harmanbenipal7@gmail.com</t>
  </si>
  <si>
    <t>5/22/2021 3:56 PM</t>
  </si>
  <si>
    <t>5/22/2021 5:13 PM</t>
  </si>
  <si>
    <t>mirtahmid18@gmail.com</t>
  </si>
  <si>
    <t>5/22/2021 5:42 PM</t>
  </si>
  <si>
    <t>sukanyamishra3062@gmail.com</t>
  </si>
  <si>
    <t>5/22/2021 7:13 PM</t>
  </si>
  <si>
    <t>imcool.surjeet@gmail.com</t>
  </si>
  <si>
    <t>5/23/2021 7:47 AM</t>
  </si>
  <si>
    <t>adyaanuragdas@gmail.com</t>
  </si>
  <si>
    <t>5/23/2021 12:14 PM</t>
  </si>
  <si>
    <t>thoriasagar@gmail.com</t>
  </si>
  <si>
    <t>5/23/2021 1:57 PM</t>
  </si>
  <si>
    <t>nedasiraj098@gmail.com</t>
  </si>
  <si>
    <t>5/23/2021 2:40 PM</t>
  </si>
  <si>
    <t>nambiar_jishnu@yahoo.co.in</t>
  </si>
  <si>
    <t>5/24/2021 12:16 AM</t>
  </si>
  <si>
    <t>smsimran626@gmail.com</t>
  </si>
  <si>
    <t>5/24/2021 9:32 AM</t>
  </si>
  <si>
    <t>dakshita.sehgal@gmail.com</t>
  </si>
  <si>
    <t>5/24/2021 10:13 AM</t>
  </si>
  <si>
    <t>knock4jayashree@gmail.com</t>
  </si>
  <si>
    <t>5/24/2021 12:54 PM</t>
  </si>
  <si>
    <t>ashokarumugham2000@gmail.com</t>
  </si>
  <si>
    <t>5/24/2021 3:36 PM</t>
  </si>
  <si>
    <t>suja1223@gmail.com</t>
  </si>
  <si>
    <t>5/24/2021 7:31 PM</t>
  </si>
  <si>
    <t>romigupta194@gmail.com</t>
  </si>
  <si>
    <t>5/24/2021 10:43 PM</t>
  </si>
  <si>
    <t>rashu_mittal@yahoo.com</t>
  </si>
  <si>
    <t>5/25/2021 1:06 PM</t>
  </si>
  <si>
    <t>zubair.khanfilms@gmail.com</t>
  </si>
  <si>
    <t>5/25/2021 1:51 PM</t>
  </si>
  <si>
    <t>anveshas03@gmail.com</t>
  </si>
  <si>
    <t>5/25/2021 10:08 PM</t>
  </si>
  <si>
    <t>scarysai@gmail.com</t>
  </si>
  <si>
    <t>5/25/2021 10:39 PM</t>
  </si>
  <si>
    <t>dr.dev2210@gmail.com</t>
  </si>
  <si>
    <t>5/25/2021 10:50 PM</t>
  </si>
  <si>
    <t>nvpavana@gmail.com</t>
  </si>
  <si>
    <t>5/26/2021 5:58 PM</t>
  </si>
  <si>
    <t>sereenekour@gmail.com</t>
  </si>
  <si>
    <t>5/27/2021 11:44 AM</t>
  </si>
  <si>
    <t>bushra.khan555.bk@gmail.com</t>
  </si>
  <si>
    <t>5/28/2021 11:25 AM</t>
  </si>
  <si>
    <t>noopur.jayaswal@gmail.com</t>
  </si>
  <si>
    <t>5/28/2021 12:16 PM</t>
  </si>
  <si>
    <t>deepthip.32@gmail.com</t>
  </si>
  <si>
    <t>5/28/2021 2:02 PM</t>
  </si>
  <si>
    <t>vinod.meda777@gmail.com</t>
  </si>
  <si>
    <t>5/29/2021 12:31 PM</t>
  </si>
  <si>
    <t>jay_chennai@ymail.com</t>
  </si>
  <si>
    <t>5/29/2021 1:00 PM</t>
  </si>
  <si>
    <t>robertbennetwankhar@gmail.com</t>
  </si>
  <si>
    <t>5/30/2021 1:31 AM</t>
  </si>
  <si>
    <t>kellmahesh@gmail.com</t>
  </si>
  <si>
    <t>5/30/2021 10:26 AM</t>
  </si>
  <si>
    <t>melbamendonca@gmail.com</t>
  </si>
  <si>
    <t>5/30/2021 12:00 PM</t>
  </si>
  <si>
    <t>creativefx87@gmail.com</t>
  </si>
  <si>
    <t>5/30/2021 9:23 PM</t>
  </si>
  <si>
    <t>globuscurehealthcare@gmail.com</t>
  </si>
  <si>
    <t>poornamgk@gmail.com</t>
  </si>
  <si>
    <t>srijith.asianp@gmail.com</t>
  </si>
  <si>
    <t>purplesandblues@gmail.com</t>
  </si>
  <si>
    <t>vipindaspd@gmail.com</t>
  </si>
  <si>
    <t>navdeep2000nk@gmail.com</t>
  </si>
  <si>
    <t>https://hi.likeminds.community/d/bonjour-amis-french#Pricing</t>
  </si>
  <si>
    <t>sonupincha.sp@gmail.com</t>
  </si>
  <si>
    <t>sravani1789@gmail.com</t>
  </si>
  <si>
    <t>vishnupriya.st@yahoo.com</t>
  </si>
  <si>
    <t>shantna37@gmail.com</t>
  </si>
  <si>
    <t>jyotsnavanjankar@gmail.com</t>
  </si>
  <si>
    <t>amar75643@gmail.com</t>
  </si>
  <si>
    <t>rutujamukne@gmail.com</t>
  </si>
  <si>
    <t>prabhakar.mourthy@gmail.com</t>
  </si>
  <si>
    <t>kanchanajayan2@gmail.com</t>
  </si>
  <si>
    <t>mehaksharma2606@gmail.com</t>
  </si>
  <si>
    <t>hegdevinay96@gmail.com</t>
  </si>
  <si>
    <t>manasalbodapati@gmail.com</t>
  </si>
  <si>
    <t>ysrehaan@gmail.com</t>
  </si>
  <si>
    <t>shirshendubharadwaj@gmail.com</t>
  </si>
  <si>
    <t>dharamehta18@gmail.com</t>
  </si>
  <si>
    <t>sudha943@gmail.com</t>
  </si>
  <si>
    <t>6/13/2021 9:32 AM</t>
  </si>
  <si>
    <t>elizakdutta@gmail.com</t>
  </si>
  <si>
    <t>6/15/2021 12:13 PM</t>
  </si>
  <si>
    <t>asasadaf01@gmail.c</t>
  </si>
  <si>
    <t>6/16/2021 12:33 AM</t>
  </si>
  <si>
    <t>chandana.vidz@gmail.com</t>
  </si>
  <si>
    <t>6/16/2021 11:16 PM</t>
  </si>
  <si>
    <t>6/17/2021 6:00 PM</t>
  </si>
  <si>
    <t>liveonishan@gmail.com</t>
  </si>
  <si>
    <t>6/18/2021 12:00 AM</t>
  </si>
  <si>
    <t>janhavi.yadwad@gmail.com</t>
  </si>
  <si>
    <t>6/18/2021 8:49 AM</t>
  </si>
  <si>
    <t>sidthegame@gmail.com</t>
  </si>
  <si>
    <t>6/18/2021 12:36 PM</t>
  </si>
  <si>
    <t>6/18/2021 3:05 PM</t>
  </si>
  <si>
    <t>6/20/2021 4:34 PM</t>
  </si>
  <si>
    <t>sunnyyashu178@gmail.com</t>
  </si>
  <si>
    <t>6/21/2021 9:49 PM</t>
  </si>
  <si>
    <t>BSB Life Academy</t>
  </si>
  <si>
    <t>drkirtigehlot@yahoo.com</t>
  </si>
  <si>
    <t>https://hi.likeminds.community/d/bsb-life-academy</t>
  </si>
  <si>
    <t>ashutosh.phadke@outlook.com</t>
  </si>
  <si>
    <t>sumedhapunkar@gmail.com</t>
  </si>
  <si>
    <t>ujjwalakasbekar70@gmail.com</t>
  </si>
  <si>
    <t>am3100753@gmail.com</t>
  </si>
  <si>
    <t>joecoolvikram@gmail.com</t>
  </si>
  <si>
    <t>ronakdahiya8@gmail.com</t>
  </si>
  <si>
    <t>madhavisoham7@gmail.com</t>
  </si>
  <si>
    <t>snvetri@gmail.com</t>
  </si>
  <si>
    <t>its_prabha@rediffmail.com</t>
  </si>
  <si>
    <t>sonali.karnik19@gmail.com</t>
  </si>
  <si>
    <t>karaashilp@gmail.com</t>
  </si>
  <si>
    <t>5/14/2021 2:36 PM</t>
  </si>
  <si>
    <t>vatsshreedevi@gmail.com</t>
  </si>
  <si>
    <t>5/14/2021 5:48 PM</t>
  </si>
  <si>
    <t>achadha59@gmail.com</t>
  </si>
  <si>
    <t>5/14/2021 6:55 AM</t>
  </si>
  <si>
    <t>shambavsspectrum@gmail.com</t>
  </si>
  <si>
    <t>5/15/2021 4:22 PM</t>
  </si>
  <si>
    <t>santosh.akellas@gmail.com</t>
  </si>
  <si>
    <t>5/15/2021 4:41 PM</t>
  </si>
  <si>
    <t>nishant1211@gmail.com</t>
  </si>
  <si>
    <t>5/15/2021 4:58 PM</t>
  </si>
  <si>
    <t>adwaitpitkar@rediffmail.com</t>
  </si>
  <si>
    <t>5/15/2021 6:37 PM</t>
  </si>
  <si>
    <t>dashrath.koli@gmail.com</t>
  </si>
  <si>
    <t>5/15/2021 6:57 PM</t>
  </si>
  <si>
    <t>fif@mediclownacademy.org</t>
  </si>
  <si>
    <t>5/15/2021 7:59 PM</t>
  </si>
  <si>
    <t>heenadani76@gmail.com</t>
  </si>
  <si>
    <t>5/15/2021 8:01 PM</t>
  </si>
  <si>
    <t>ushatammu@gmail.com</t>
  </si>
  <si>
    <t>debobanib@gmail.com</t>
  </si>
  <si>
    <t>5/15/2021 8:18 PM</t>
  </si>
  <si>
    <t>nanichouty@gmail.com</t>
  </si>
  <si>
    <t>5/15/2021 10:15 PM</t>
  </si>
  <si>
    <t>vinayakj@proexceltech.com</t>
  </si>
  <si>
    <t>5/16/2021 4:33 AM</t>
  </si>
  <si>
    <t>pavithra@accrescentlpo.com</t>
  </si>
  <si>
    <t>5/16/2021 5:17 PM</t>
  </si>
  <si>
    <t>author.tissh.lafp@gmail.com</t>
  </si>
  <si>
    <t>5/16/2021 5:23 PM</t>
  </si>
  <si>
    <t>cdrvijay123@yahoo.co.in</t>
  </si>
  <si>
    <t>5/16/2021 8:12 PM</t>
  </si>
  <si>
    <t>yasmin.mondol@gmail.com</t>
  </si>
  <si>
    <t>5/17/2021 8:36 PM</t>
  </si>
  <si>
    <t>nvigneshamrita@gmail.com</t>
  </si>
  <si>
    <t>5/17/2021 8:45 PM</t>
  </si>
  <si>
    <t>jitendrakumarbothra@gmail.com</t>
  </si>
  <si>
    <t>5/17/2021 8:46 PM</t>
  </si>
  <si>
    <t>kazhar180606@gmail.com</t>
  </si>
  <si>
    <t>5/17/2021 8:47 PM</t>
  </si>
  <si>
    <t>hetalr1982@gmail.com</t>
  </si>
  <si>
    <t>resolveasia@gmail.com</t>
  </si>
  <si>
    <t>5/17/2021 8:51 PM</t>
  </si>
  <si>
    <t>radhika.ramakrishnan12@gmail.com</t>
  </si>
  <si>
    <t>5/17/2021 9:01 PM</t>
  </si>
  <si>
    <t>vivektrivedi05@gmail.com</t>
  </si>
  <si>
    <t>5/17/2021 9:02 PM</t>
  </si>
  <si>
    <t>mnbb9394@gmail.com</t>
  </si>
  <si>
    <t>lata3140@gmail.com</t>
  </si>
  <si>
    <t>5/17/2021 9:03 PM</t>
  </si>
  <si>
    <t>soulfulyogafc@gmail.com</t>
  </si>
  <si>
    <t>5/17/2021 9:05 PM</t>
  </si>
  <si>
    <t>dhrutidedhia.dd@gmail.com</t>
  </si>
  <si>
    <t>5/17/2021 9:45 PM</t>
  </si>
  <si>
    <t>alpashah5678@gmail.coml</t>
  </si>
  <si>
    <t>5/17/2021 11:25 PM</t>
  </si>
  <si>
    <t>amir@cynergi.org</t>
  </si>
  <si>
    <t>5/17/2021 12:50 PM</t>
  </si>
  <si>
    <t>kamalmehta17@hotmail.com</t>
  </si>
  <si>
    <t>5/18/2021 8:57 AM</t>
  </si>
  <si>
    <t>deepthii.narayan@gmail.com</t>
  </si>
  <si>
    <t>5/18/2021 9:54 PM</t>
  </si>
  <si>
    <t>madhavisood@gmail.com</t>
  </si>
  <si>
    <t>5/18/2021 10:13 PM</t>
  </si>
  <si>
    <t>otsfounder@gmail.com</t>
  </si>
  <si>
    <t>5/19/2021 12:17 AM</t>
  </si>
  <si>
    <t>poojavsharma25@gmail.com</t>
  </si>
  <si>
    <t>5/19/2021 11:11 AM</t>
  </si>
  <si>
    <t>abs_shri@yahoo.com</t>
  </si>
  <si>
    <t>5/19/2021 4:17 PM</t>
  </si>
  <si>
    <t>jyoti.g.tejwani@gmail.com</t>
  </si>
  <si>
    <t>5/19/2021 4:22 PM</t>
  </si>
  <si>
    <t>manidip.ganguly@gmail.com</t>
  </si>
  <si>
    <t>sh1@shnworld.in</t>
  </si>
  <si>
    <t>5/19/2021 4:35 PM</t>
  </si>
  <si>
    <t>rubywadhwa50@gmail.com</t>
  </si>
  <si>
    <t>5/21/2021 1:48 PM</t>
  </si>
  <si>
    <t>5/31/2021 7:49 PM</t>
  </si>
  <si>
    <t>sofee9@gmail.com</t>
  </si>
  <si>
    <t>6/15/2021 2:49 PM</t>
  </si>
  <si>
    <t>manthaprak007@gmail.com</t>
  </si>
  <si>
    <t>6/17/2021 4:09 PM</t>
  </si>
  <si>
    <t>https://hi.likeminds.community/d/bsb-life-academy#Pricing</t>
  </si>
  <si>
    <t>Budding Teachers</t>
  </si>
  <si>
    <t>pjcommerceacademy@gmail.com</t>
  </si>
  <si>
    <t>https://hi.likeminds.community/budding-teachers</t>
  </si>
  <si>
    <t>raj_mayura68@yahoo.com</t>
  </si>
  <si>
    <t>energenieacademy@gmail.com</t>
  </si>
  <si>
    <t>kaushika.badal@gmail.com</t>
  </si>
  <si>
    <t>jayashree.raut2911@gmail.com</t>
  </si>
  <si>
    <t>hemanthkumarjitta8912@gmail.com</t>
  </si>
  <si>
    <t>chandwanisudham@gmail.com</t>
  </si>
  <si>
    <t>5/15/2021 2:09 PM</t>
  </si>
  <si>
    <t>shamsia2082@gmail.com</t>
  </si>
  <si>
    <t>5/17/2021 2:14 PM</t>
  </si>
  <si>
    <t>mepraviien@gmail.com</t>
  </si>
  <si>
    <t>5/17/2021 4:11 PM</t>
  </si>
  <si>
    <t>monaharjai@gmail.com</t>
  </si>
  <si>
    <t>5/17/2021 11:59 PM</t>
  </si>
  <si>
    <t>naserr.mak2017@gmail.com</t>
  </si>
  <si>
    <t>5/18/2021 10:27 AM</t>
  </si>
  <si>
    <t>arthikamleshjain@gmail.com</t>
  </si>
  <si>
    <t>5/20/2021 2:14 PM</t>
  </si>
  <si>
    <t>ektak2020ahlconintl@gmail.com</t>
  </si>
  <si>
    <t>5/22/2021 3:44 AM</t>
  </si>
  <si>
    <t>nagendrababu785@gmail.com</t>
  </si>
  <si>
    <t>5/22/2021 5:58 PM</t>
  </si>
  <si>
    <t>psiddhita@gmail.com</t>
  </si>
  <si>
    <t>5/22/2021 9:55 PM</t>
  </si>
  <si>
    <t>lopanayak1993@gmail.com</t>
  </si>
  <si>
    <t>5/24/2021 1:31 AM</t>
  </si>
  <si>
    <t>bage.education000@gmail.com</t>
  </si>
  <si>
    <t>5/24/2021 3:56 PM</t>
  </si>
  <si>
    <t>sangogishiv@gmail.com</t>
  </si>
  <si>
    <t>5/24/2021 5:42 PM</t>
  </si>
  <si>
    <t>saumyasingh7688@gmail.com</t>
  </si>
  <si>
    <t>5/24/2021 10:02 PM</t>
  </si>
  <si>
    <t>ralf9219@gmail.com</t>
  </si>
  <si>
    <t>5/25/2021 2:48 PM</t>
  </si>
  <si>
    <t>bhavnarjha@gmail.com</t>
  </si>
  <si>
    <t>5/27/2021 8:26 AM</t>
  </si>
  <si>
    <t>akshaya.padma@gmail.com</t>
  </si>
  <si>
    <t>5/28/2021 4:10 AM</t>
  </si>
  <si>
    <t>kabeerputhoor@gmail.com</t>
  </si>
  <si>
    <t>https://hi.likeminds.community/budding-teachers#Pricing</t>
  </si>
  <si>
    <t>poojaparashar90@gmail.com</t>
  </si>
  <si>
    <t>sureka.shubham1@gmail.com</t>
  </si>
  <si>
    <t>maryamnawaz.in@gmail.com</t>
  </si>
  <si>
    <t>kaustubh.khandelwal4@gmail.com</t>
  </si>
  <si>
    <t>6/16/2021 2:58 PM</t>
  </si>
  <si>
    <t>DeBattlers</t>
  </si>
  <si>
    <t>msnidhi.sharma09@gmail.com</t>
  </si>
  <si>
    <t>https://community.likeminds.community/debattlers</t>
  </si>
  <si>
    <t>charakmandalrahul@gmail.com</t>
  </si>
  <si>
    <t>ajitrai.ajit@gmail.com</t>
  </si>
  <si>
    <t>pratikbh14@gmail.com</t>
  </si>
  <si>
    <t>varun.vkm@gmail.com</t>
  </si>
  <si>
    <t>vishaltaswin25@gmail.com</t>
  </si>
  <si>
    <t>srinidhiisriram712@gmail.com</t>
  </si>
  <si>
    <t>shreyaskamble2019@gmail.com</t>
  </si>
  <si>
    <t>dbschandana14@gmail.com</t>
  </si>
  <si>
    <t>neelimakaur84@gmail.com</t>
  </si>
  <si>
    <t>5/15/2021 10:39 PM</t>
  </si>
  <si>
    <t>rmkshyp.rk@gmail.com</t>
  </si>
  <si>
    <t>5/15/2021 10:49 AM</t>
  </si>
  <si>
    <t>emunipalli@gmail.com</t>
  </si>
  <si>
    <t>5/15/2021 10:50 PM</t>
  </si>
  <si>
    <t>deepthi.thirukovela@gmail.com</t>
  </si>
  <si>
    <t>5/15/2021 11:44 PM</t>
  </si>
  <si>
    <t>karimlakhani99@gmail.com</t>
  </si>
  <si>
    <t>5/16/2021 7:48 AM</t>
  </si>
  <si>
    <t>ritvik014@gmail.com</t>
  </si>
  <si>
    <t>5/16/2021 9:37 AM</t>
  </si>
  <si>
    <t>ghimakarreddy@gmail.com</t>
  </si>
  <si>
    <t>5/17/2021 11:06 PM</t>
  </si>
  <si>
    <t>5/18/2021 6:59 AM</t>
  </si>
  <si>
    <t>5/18/2021 10:42 AM</t>
  </si>
  <si>
    <t>malviaravi0000@gmail.com</t>
  </si>
  <si>
    <t>dipak.biswal@gmail.com</t>
  </si>
  <si>
    <t>5/18/2021 8:39 PM</t>
  </si>
  <si>
    <t>ashvgr8@gmail.com</t>
  </si>
  <si>
    <t>5/19/2021 12:49 PM</t>
  </si>
  <si>
    <t>skagarwal76@gmail.com</t>
  </si>
  <si>
    <t>5/19/2021 4:20 PM</t>
  </si>
  <si>
    <t>5/19/2021 4:36 PM</t>
  </si>
  <si>
    <t>5/20/2021 6:43 AM</t>
  </si>
  <si>
    <t>piyush.10895@gmail.com</t>
  </si>
  <si>
    <t>5/20/2021 11:16 PM</t>
  </si>
  <si>
    <t>hatim52badshahaa@gmail.com</t>
  </si>
  <si>
    <t>5/22/2021 1:22 PM</t>
  </si>
  <si>
    <t>smomeerut@gmail.com</t>
  </si>
  <si>
    <t>5/22/2021 3:29 PM</t>
  </si>
  <si>
    <t>madhanpradeepn@gmail.com</t>
  </si>
  <si>
    <t>5/22/2021 9:47 PM</t>
  </si>
  <si>
    <t>pujabharara21@gmail.com</t>
  </si>
  <si>
    <t>5/23/2021 2:17 PM</t>
  </si>
  <si>
    <t>aakash.raghu1@gmail.com</t>
  </si>
  <si>
    <t>5/23/2021 6:02 PM</t>
  </si>
  <si>
    <t>vivekbari2@gmail.com</t>
  </si>
  <si>
    <t>5/23/2021 10:34 PM</t>
  </si>
  <si>
    <t>saurabhd89@gmail.com</t>
  </si>
  <si>
    <t>5/24/2021 8:38 AM</t>
  </si>
  <si>
    <t>8007joshi@gmail.com</t>
  </si>
  <si>
    <t>5/24/2021 11:13 AM</t>
  </si>
  <si>
    <t>parchakeamit@gmail.com</t>
  </si>
  <si>
    <t>5/24/2021 4:38 PM</t>
  </si>
  <si>
    <t>bhavesh.hemnani@gmail.com</t>
  </si>
  <si>
    <t>5/25/2021 1:01 AM</t>
  </si>
  <si>
    <t>akshay.mpl@gmail.com</t>
  </si>
  <si>
    <t>5/25/2021 10:14 AM</t>
  </si>
  <si>
    <t>ritikanair192003@gmail.com</t>
  </si>
  <si>
    <t>5/27/2021 7:05 PM</t>
  </si>
  <si>
    <t>amareshnagaral015@gmail.com</t>
  </si>
  <si>
    <t>5/28/2021 5:52 PM</t>
  </si>
  <si>
    <t>5/29/2021 11:56 AM</t>
  </si>
  <si>
    <t>manishkembral@gmail.com</t>
  </si>
  <si>
    <t>5/29/2021 5:26 PM</t>
  </si>
  <si>
    <t>foldministry@gmail.com</t>
  </si>
  <si>
    <t>5/30/2021 12:10 AM</t>
  </si>
  <si>
    <t>p.satya.nitw@gmail.com</t>
  </si>
  <si>
    <t>5/30/2021 6:16 PM</t>
  </si>
  <si>
    <t>mehradiya20@gmail.com</t>
  </si>
  <si>
    <t>5/30/2021 10:14 PM</t>
  </si>
  <si>
    <t>anuragmal064@gmail.com</t>
  </si>
  <si>
    <t>5/30/2021 10:21 PM</t>
  </si>
  <si>
    <t>pillimaheshratan@gmail.com</t>
  </si>
  <si>
    <t>5/31/2021 2:13 PM</t>
  </si>
  <si>
    <t>vineethn86@gmail.com</t>
  </si>
  <si>
    <t>5/31/2021 2:41 PM</t>
  </si>
  <si>
    <t>jyotidora21@gmail.com</t>
  </si>
  <si>
    <t>bajigamd@gmail.com</t>
  </si>
  <si>
    <t>adivipallesravani99@gmail.com</t>
  </si>
  <si>
    <t>shireesh_jain@rediffmail.com</t>
  </si>
  <si>
    <t>hasanzaiba084@gmail.com</t>
  </si>
  <si>
    <t>uparnachatterjee06@gmail.com</t>
  </si>
  <si>
    <t>vaheethraj250@gmail.com</t>
  </si>
  <si>
    <t>janvimalviya21@gmail.com</t>
  </si>
  <si>
    <t>https://community.likeminds.community/debattlers#Pricing</t>
  </si>
  <si>
    <t>shephali864@gmail.com</t>
  </si>
  <si>
    <t>arivg25@gmail.com</t>
  </si>
  <si>
    <t>gunjankr5416@gmail.com</t>
  </si>
  <si>
    <t>dilip.rg@hotmail.com</t>
  </si>
  <si>
    <t>kavya100899@gmail.com</t>
  </si>
  <si>
    <t>pragnya199820@gmail.com</t>
  </si>
  <si>
    <t>aashnadhakan00@gmail.com</t>
  </si>
  <si>
    <t>https://hi.likeminds.community/debattlers#Pricing</t>
  </si>
  <si>
    <t>abhinavtuteja1997@gmail.com</t>
  </si>
  <si>
    <t>saidheeraj1998@gmail.com</t>
  </si>
  <si>
    <t>krishnakantsinha5@gmail.com</t>
  </si>
  <si>
    <t>keenlearner2016@gmail.com</t>
  </si>
  <si>
    <t>neeronetop@gmail.com</t>
  </si>
  <si>
    <t>sashwatp9@gmail.com</t>
  </si>
  <si>
    <t>saijalkaushal@gmail.com</t>
  </si>
  <si>
    <t>venkidu2012@gmail.com</t>
  </si>
  <si>
    <t>mishrashruti202@gmail.com</t>
  </si>
  <si>
    <t>anamika23.t@gmail.com</t>
  </si>
  <si>
    <t>sathyanarayanan.r2.2019.mct@rajalakshmi.edu.in</t>
  </si>
  <si>
    <t>kukreja.shreya@gmail.com</t>
  </si>
  <si>
    <t>menon.here@gmail.com</t>
  </si>
  <si>
    <t>raksever25@gmail.com</t>
  </si>
  <si>
    <t>soniabareja76@gmail.com</t>
  </si>
  <si>
    <t>vicky.gk15@gmail.com</t>
  </si>
  <si>
    <t>6/13/2021 8:38 PM</t>
  </si>
  <si>
    <t>anirvan24@gmail.com</t>
  </si>
  <si>
    <t>6/13/2021 11:31 PM</t>
  </si>
  <si>
    <t>shreyansh40590@gmail.com</t>
  </si>
  <si>
    <t>6/15/2021 1:42 AM</t>
  </si>
  <si>
    <t>harish.ag10@gmail.com</t>
  </si>
  <si>
    <t>6/15/2021 2:51 PM</t>
  </si>
  <si>
    <t>niravmajithia10@gmail.com</t>
  </si>
  <si>
    <t>6/15/2021 9:15 PM</t>
  </si>
  <si>
    <t>suryavamsireddy000@gmail.com</t>
  </si>
  <si>
    <t>6/16/2021 8:00 AM</t>
  </si>
  <si>
    <t>snehasrahman@gmail.com</t>
  </si>
  <si>
    <t>6/16/2021 11:49 AM</t>
  </si>
  <si>
    <t>haripriyavaralakshmi@gmail.com</t>
  </si>
  <si>
    <t>6/16/2021 11:59 AM</t>
  </si>
  <si>
    <t>kapoorshruthi07@gmail.com</t>
  </si>
  <si>
    <t>6/16/2021 12:29 PM</t>
  </si>
  <si>
    <t>saiuware@gmail.com</t>
  </si>
  <si>
    <t>6/16/2021 2:36 PM</t>
  </si>
  <si>
    <t>dhruvisatikuvar26@gmail.com</t>
  </si>
  <si>
    <t>6/17/2021 5:38 PM</t>
  </si>
  <si>
    <t>ekta314@gmail.com</t>
  </si>
  <si>
    <t>6/18/2021 12:11 PM</t>
  </si>
  <si>
    <t>rakesh.raman94@gmail.com</t>
  </si>
  <si>
    <t>6/20/2021 11:23 PM</t>
  </si>
  <si>
    <t>rhnbansal@gmail.com</t>
  </si>
  <si>
    <t>6/22/2021 10:24 AM</t>
  </si>
  <si>
    <t>sanchit@likeminds.community</t>
  </si>
  <si>
    <t>Design Forward</t>
  </si>
  <si>
    <t>abhinav.ux@gmail.com</t>
  </si>
  <si>
    <t>https://hi.likeminds.community/d/design-forward</t>
  </si>
  <si>
    <t>saumyaswarup1997@gmail.com</t>
  </si>
  <si>
    <t>shinjinimudgil@gmail.com</t>
  </si>
  <si>
    <t>shreeyogalakkumi1998@gmail.com</t>
  </si>
  <si>
    <t>5/15/2021 2:44 PM</t>
  </si>
  <si>
    <t>tania468m@yahoo.com</t>
  </si>
  <si>
    <t>5/17/2021 6:46 PM</t>
  </si>
  <si>
    <t>manyakumar.93@gmail.com</t>
  </si>
  <si>
    <t>5/20/2021 10:30 AM</t>
  </si>
  <si>
    <t>kalyanijoshi96@gmail.com</t>
  </si>
  <si>
    <t>5/20/2021 12:18 PM</t>
  </si>
  <si>
    <t>shishir.creativemind@gmail.com</t>
  </si>
  <si>
    <t>5/20/2021 6:26 PM</t>
  </si>
  <si>
    <t>venkateshnikhil123@gmail.com</t>
  </si>
  <si>
    <t>5/20/2021 9:13 PM</t>
  </si>
  <si>
    <t>prashantkanade00856@gmail.com</t>
  </si>
  <si>
    <t>5/21/2021 5:18 PM</t>
  </si>
  <si>
    <t>pradnyavidha88@gmail.com</t>
  </si>
  <si>
    <t>5/22/2021 8:03 PM</t>
  </si>
  <si>
    <t>swathigurram11@gmail.com</t>
  </si>
  <si>
    <t>5/22/2021 8:32 PM</t>
  </si>
  <si>
    <t>shridange21@gmail.com</t>
  </si>
  <si>
    <t>5/23/2021 7:34 AM</t>
  </si>
  <si>
    <t>priyadarshinipradhan1601@gmail.com</t>
  </si>
  <si>
    <t>5/23/2021 11:01 AM</t>
  </si>
  <si>
    <t>kuldeepmgoswami@gmail.com</t>
  </si>
  <si>
    <t>5/23/2021 3:33 PM</t>
  </si>
  <si>
    <t>vineethvp.882@gmail.com</t>
  </si>
  <si>
    <t>5/23/2021 5:05 PM</t>
  </si>
  <si>
    <t>kashi.gyl0905@gmail.com</t>
  </si>
  <si>
    <t>5/24/2021 12:48 AM</t>
  </si>
  <si>
    <t>sahmi87@gmail.com</t>
  </si>
  <si>
    <t>5/24/2021 3:23 AM</t>
  </si>
  <si>
    <t>alururakeshreddy@gmail.com</t>
  </si>
  <si>
    <t>5/24/2021 12:08 PM</t>
  </si>
  <si>
    <t>pnavsreddy@gmail.com</t>
  </si>
  <si>
    <t>5/24/2021 3:40 PM</t>
  </si>
  <si>
    <t>ruksarshaikh596@gmail.com</t>
  </si>
  <si>
    <t>5/24/2021 7:36 PM</t>
  </si>
  <si>
    <t>manasa.vasavakala@gmail.com</t>
  </si>
  <si>
    <t>5/25/2021 6:01 PM</t>
  </si>
  <si>
    <t>mithrachalla@gmail.com</t>
  </si>
  <si>
    <t>5/25/2021 8:25 PM</t>
  </si>
  <si>
    <t>chauhanajitsingh2508@gmail.com</t>
  </si>
  <si>
    <t>5/27/2021 8:15 PM</t>
  </si>
  <si>
    <t>deepikag.designer@gmail.com</t>
  </si>
  <si>
    <t>5/28/2021 12:30 PM</t>
  </si>
  <si>
    <t>dineshviswanathan77@gmail.com</t>
  </si>
  <si>
    <t>5/28/2021 2:07 PM</t>
  </si>
  <si>
    <t>vishakhahegde19@gmail.com</t>
  </si>
  <si>
    <t>5/28/2021 8:09 PM</t>
  </si>
  <si>
    <t>rutujanilvarna@gmail.com</t>
  </si>
  <si>
    <t>5/30/2021 8:25 PM</t>
  </si>
  <si>
    <t>mansviparmani@gmail.com</t>
  </si>
  <si>
    <t>5/30/2021 9:00 PM</t>
  </si>
  <si>
    <t>sameer1140@gmail.com</t>
  </si>
  <si>
    <t>5/31/2021 3:42 PM</t>
  </si>
  <si>
    <t>hunnygrover96@gmail.com</t>
  </si>
  <si>
    <t>aga972@gmail.com</t>
  </si>
  <si>
    <t>akshith.doddi129@gmail.com</t>
  </si>
  <si>
    <t>rupa.shakena89@gmail.com</t>
  </si>
  <si>
    <t>mercurymonster@gmail.com</t>
  </si>
  <si>
    <t>gunjanj550@gmail.com</t>
  </si>
  <si>
    <t>chauhany7@gmail.com</t>
  </si>
  <si>
    <t>https://hi.likeminds.community/d/design-forward#Pricing</t>
  </si>
  <si>
    <t>aman.chat335@gmail.com</t>
  </si>
  <si>
    <t>prasenjitbiswas86@gmail.com</t>
  </si>
  <si>
    <t>rvykuntham@gmail.com</t>
  </si>
  <si>
    <t>24mohityadav@gmail.com</t>
  </si>
  <si>
    <t>singh.anuj6@gmail.com</t>
  </si>
  <si>
    <t>nohalalex070@gmail.com</t>
  </si>
  <si>
    <t>anushkaaa.2701@gmail.com</t>
  </si>
  <si>
    <t>sonejikaran2@gmail.com</t>
  </si>
  <si>
    <t>nkalonia5@gmail.com</t>
  </si>
  <si>
    <t>tanuj101199@gmail.com</t>
  </si>
  <si>
    <t>drahul.mku@yahoo.com</t>
  </si>
  <si>
    <t>aishtekawade@gmail.com</t>
  </si>
  <si>
    <t>sivakrishnamanyam97@gmail.com</t>
  </si>
  <si>
    <t>jahanvi.virmani@gmail.com</t>
  </si>
  <si>
    <t>triptivjadhav@gmail.com</t>
  </si>
  <si>
    <t>dhanushcachar@gmail.com</t>
  </si>
  <si>
    <t>tejshreeamankar@gmail.com</t>
  </si>
  <si>
    <t>rzenjith@gmail.com</t>
  </si>
  <si>
    <t>upasana.gupta1993@gmail.com</t>
  </si>
  <si>
    <t>6/13/2021 2:48 PM</t>
  </si>
  <si>
    <t>javadmra@gmail.com</t>
  </si>
  <si>
    <t>6/14/2021 6:40 PM</t>
  </si>
  <si>
    <t>chiragmore7@gmail.com</t>
  </si>
  <si>
    <t>6/15/2021 1:50 AM</t>
  </si>
  <si>
    <t>Designing Made Easy</t>
  </si>
  <si>
    <t>techp911@gmail.com</t>
  </si>
  <si>
    <t>https://community.likeminds.community/dme-deigning-made-easy</t>
  </si>
  <si>
    <t>swarask98@gmail.com</t>
  </si>
  <si>
    <t>vrushtimehta05@gmail.com</t>
  </si>
  <si>
    <t>shivamtulsyan25@gmail.com</t>
  </si>
  <si>
    <t>5/16/2021 11:26 PM</t>
  </si>
  <si>
    <t>bejaditi@gmail.com</t>
  </si>
  <si>
    <t>5/18/2021 2:24 PM</t>
  </si>
  <si>
    <t>geetameer88@gmail.com</t>
  </si>
  <si>
    <t>5/19/2021 3:14 PM</t>
  </si>
  <si>
    <t>4/29/2021 9:18 PM</t>
  </si>
  <si>
    <t>https://community.likeminds.community/deutsch-in-tandem</t>
  </si>
  <si>
    <t>srishtituteja08@gmail.com</t>
  </si>
  <si>
    <t>pkb.bijoy@gmail.com</t>
  </si>
  <si>
    <t>vaidyasaurabh97@gmail.com</t>
  </si>
  <si>
    <t>victor89roy21@gmail.com</t>
  </si>
  <si>
    <t>srikarchintalapally@gmail.com</t>
  </si>
  <si>
    <t>shreesinha2000@gmail.com</t>
  </si>
  <si>
    <t>harinsrini@gmail.com</t>
  </si>
  <si>
    <t>ridhima7@gmail.com</t>
  </si>
  <si>
    <t>nagarjunaedx@gmail.com</t>
  </si>
  <si>
    <t>kalsfru@gmail.com</t>
  </si>
  <si>
    <t>yash.vyas53@gmail.com</t>
  </si>
  <si>
    <t>veonaveo@gmail.com</t>
  </si>
  <si>
    <t>martinjoseph26@gmail.com</t>
  </si>
  <si>
    <t>ujagtap@gmail.com</t>
  </si>
  <si>
    <t>himanshusaleria@gmail.com</t>
  </si>
  <si>
    <t>vinay.vinay.v@gmail.com</t>
  </si>
  <si>
    <t>subhakalak@gmail.com</t>
  </si>
  <si>
    <t>sendsayan1@gmail.com</t>
  </si>
  <si>
    <t>gangurde.sumit34@gmail.com</t>
  </si>
  <si>
    <t>5/13/2021 12:12 AM</t>
  </si>
  <si>
    <t>5/17/2021 8:34 PM</t>
  </si>
  <si>
    <t>5/21/2021 5:43 PM</t>
  </si>
  <si>
    <t>5/22/2021 12:45 AM</t>
  </si>
  <si>
    <t>nipungoyal.iitd@gmail.com</t>
  </si>
  <si>
    <t>5/22/2021 12:48 AM</t>
  </si>
  <si>
    <t>5/22/2021 12:53 AM</t>
  </si>
  <si>
    <t>hpravesh@rediffmail.com</t>
  </si>
  <si>
    <t>Digital Writopreneur Hub</t>
  </si>
  <si>
    <t>kalyanee.bhake@gmail.com</t>
  </si>
  <si>
    <t>https://hi.likeminds.community/d/digital-writopreneurs-hub</t>
  </si>
  <si>
    <t>shwetakarkera.sk@gmail.com</t>
  </si>
  <si>
    <t>bhavikadenod28@gmail.com</t>
  </si>
  <si>
    <t>123tanveen@gmail.com</t>
  </si>
  <si>
    <t>maglinarun04@gmail.com</t>
  </si>
  <si>
    <t>omi.sini.7492@gmail.com</t>
  </si>
  <si>
    <t>sonalghai24@gmail.com</t>
  </si>
  <si>
    <t>ankithnair05@gmail.com</t>
  </si>
  <si>
    <t>shyamjithuralath2211@gmail.com</t>
  </si>
  <si>
    <t>ashwani.acharya.che11@itbhu.ac.in</t>
  </si>
  <si>
    <t>srish2225@gmail.com</t>
  </si>
  <si>
    <t>imrexankit@gmail.com</t>
  </si>
  <si>
    <t>shivalikakant@gmail.com</t>
  </si>
  <si>
    <t>kamalsandhu35@icloud.com</t>
  </si>
  <si>
    <t>rahulluthra8819@gmail.com</t>
  </si>
  <si>
    <t>gc.shyam@gmail.com</t>
  </si>
  <si>
    <t>kunder.akshay3@gmail.com</t>
  </si>
  <si>
    <t>harshita.sripada@gmail.com</t>
  </si>
  <si>
    <t>meenakshimanuja@gmail.com</t>
  </si>
  <si>
    <t>cherrykittu06@gmail.com</t>
  </si>
  <si>
    <t>darshiniaa@gmail.com</t>
  </si>
  <si>
    <t>pavan_7719@yahoo.co.in</t>
  </si>
  <si>
    <t>5/13/2021 7:51 PM</t>
  </si>
  <si>
    <t>shibangidas119@gmail.com</t>
  </si>
  <si>
    <t>5/13/2021 7:55 PM</t>
  </si>
  <si>
    <t>abhilasha.namdeo24@gmail.com</t>
  </si>
  <si>
    <t>5/13/2021 9:44 PM</t>
  </si>
  <si>
    <t>arpanprasadrakshit@gmail.com</t>
  </si>
  <si>
    <t>5/13/2021 11:04 PM</t>
  </si>
  <si>
    <t>sunitachaudhari3@gmail.com</t>
  </si>
  <si>
    <t>5/14/2021 3:23 PM</t>
  </si>
  <si>
    <t>swati.khandelwal4@gmail.com</t>
  </si>
  <si>
    <t>5/14/2021 4:06 PM</t>
  </si>
  <si>
    <t>rajeevnayan1632@gmail.com</t>
  </si>
  <si>
    <t>5/14/2021 4:30 PM</t>
  </si>
  <si>
    <t>royalnavin@gmail.com</t>
  </si>
  <si>
    <t>5/14/2021 4:52 PM</t>
  </si>
  <si>
    <t>titasg2013@gmail.com</t>
  </si>
  <si>
    <t>5/14/2021 8:39 PM</t>
  </si>
  <si>
    <t>prvnbhtngr@gmail.com</t>
  </si>
  <si>
    <t>5/14/2021 10:45 PM</t>
  </si>
  <si>
    <t>ghoshalsuchismita019@gmail.com</t>
  </si>
  <si>
    <t>5/15/2021 1:11 PM</t>
  </si>
  <si>
    <t>workemails.93@gmail.com</t>
  </si>
  <si>
    <t>5/15/2021 1:45 PM</t>
  </si>
  <si>
    <t>skarchie09@gmail.com</t>
  </si>
  <si>
    <t>5/15/2021 7:53 PM</t>
  </si>
  <si>
    <t>arajasantosh.16@gmail.com</t>
  </si>
  <si>
    <t>5/15/2021 8:16 AM</t>
  </si>
  <si>
    <t>amol.joshi.v@gmail.com</t>
  </si>
  <si>
    <t>5/15/2021 10:30 AM</t>
  </si>
  <si>
    <t>duraickkd@gmail.com</t>
  </si>
  <si>
    <t>5/15/2021 11:00 AM</t>
  </si>
  <si>
    <t>rohankalonia@gmail.com</t>
  </si>
  <si>
    <t>5/15/2021 11:57 AM</t>
  </si>
  <si>
    <t>thehirald@gmail.com</t>
  </si>
  <si>
    <t>5/15/2021 12:03 PM</t>
  </si>
  <si>
    <t>saruna24@gmail.com</t>
  </si>
  <si>
    <t>5/15/2021 12:34 PM</t>
  </si>
  <si>
    <t>iacharya1998@gmail.com</t>
  </si>
  <si>
    <t>5/16/2021 1:52 PM</t>
  </si>
  <si>
    <t>p20ashish@iimnagpur.ac.in</t>
  </si>
  <si>
    <t>5/16/2021 1:55 PM</t>
  </si>
  <si>
    <t>akreddu065@gmail.com</t>
  </si>
  <si>
    <t>5/16/2021 10:20 AM</t>
  </si>
  <si>
    <t>skkady@gmail.com</t>
  </si>
  <si>
    <t>5/16/2021 10:31 AM</t>
  </si>
  <si>
    <t>ameykavathekar12@gmail.com</t>
  </si>
  <si>
    <t>5/16/2021 12:08 AM</t>
  </si>
  <si>
    <t>ankitabehera73@gmail.com</t>
  </si>
  <si>
    <t>5/19/2021 11:25 AM</t>
  </si>
  <si>
    <t>jacob.reshma@gmail.com</t>
  </si>
  <si>
    <t>5/18/2021 12:17 PM</t>
  </si>
  <si>
    <t>ajay45822@gmail.com</t>
  </si>
  <si>
    <t>5/19/2021 12:23 PM</t>
  </si>
  <si>
    <t>raks921@gmail.com</t>
  </si>
  <si>
    <t>5/20/2021 7:52 PM</t>
  </si>
  <si>
    <t>anubhat268@gmail.com</t>
  </si>
  <si>
    <t>5/21/2021 6:22 AM</t>
  </si>
  <si>
    <t>awi00@hotmail.com</t>
  </si>
  <si>
    <t>5/21/2021 6:06 PM</t>
  </si>
  <si>
    <t>bibhursamal@gmail.com</t>
  </si>
  <si>
    <t>5/22/2021 12:43 AM</t>
  </si>
  <si>
    <t>nandini18prabhu@gmail.com</t>
  </si>
  <si>
    <t>5/22/2021 8:15 AM</t>
  </si>
  <si>
    <t>viplove1998bhardwaj@gmail.com</t>
  </si>
  <si>
    <t>5/22/2021 12:58 PM</t>
  </si>
  <si>
    <t>tarunchauhan199908@gmail.com</t>
  </si>
  <si>
    <t>5/22/2021 1:32 PM</t>
  </si>
  <si>
    <t>manojjraja.m@gmail.com</t>
  </si>
  <si>
    <t>5/23/2021 8:21 AM</t>
  </si>
  <si>
    <t>rsraviravi555@gmail.com</t>
  </si>
  <si>
    <t>5/23/2021 8:53 PM</t>
  </si>
  <si>
    <t>5/24/2021 1:48 AM</t>
  </si>
  <si>
    <t>devi.senth17@gmail.com</t>
  </si>
  <si>
    <t>5/24/2021 8:02 AM</t>
  </si>
  <si>
    <t>srishti.tomar2209@gmail.com</t>
  </si>
  <si>
    <t>5/24/2021 9:01 AM</t>
  </si>
  <si>
    <t>yasodhavijibhat@gmail.com</t>
  </si>
  <si>
    <t>5/24/2021 12:03 PM</t>
  </si>
  <si>
    <t>ambitiousshefali131@gmail.com</t>
  </si>
  <si>
    <t>5/24/2021 5:17 PM</t>
  </si>
  <si>
    <t>ankitishan14@gmail.com</t>
  </si>
  <si>
    <t>5/24/2021 7:50 PM</t>
  </si>
  <si>
    <t>sambraninagraj@gmail.com</t>
  </si>
  <si>
    <t>5/25/2021 12:24 AM</t>
  </si>
  <si>
    <t>varunmahale1993@gmail.com</t>
  </si>
  <si>
    <t>5/25/2021 2:57 PM</t>
  </si>
  <si>
    <t>nitu@decluttersolutions.in</t>
  </si>
  <si>
    <t>5/25/2021 8:04 PM</t>
  </si>
  <si>
    <t>manvinder.minni78@gmail.com</t>
  </si>
  <si>
    <t>5/25/2021 10:42 PM</t>
  </si>
  <si>
    <t>bhumip4@gmail.com</t>
  </si>
  <si>
    <t>5/26/2021 9:34 AM</t>
  </si>
  <si>
    <t>anmol.agnihotri.98@gmail.com</t>
  </si>
  <si>
    <t>5/26/2021 12:07 PM</t>
  </si>
  <si>
    <t>aditisharmaaadi1735@gmail.com</t>
  </si>
  <si>
    <t>5/28/2021 9:45 AM</t>
  </si>
  <si>
    <t>krunika07@gmail.com</t>
  </si>
  <si>
    <t>5/28/2021 10:07 AM</t>
  </si>
  <si>
    <t>suserifuchimoto@gmail.com</t>
  </si>
  <si>
    <t>5/28/2021 12:45 PM</t>
  </si>
  <si>
    <t>s31.korekar@gmail.com</t>
  </si>
  <si>
    <t>anshu.baliyan@gmail.com</t>
  </si>
  <si>
    <t>5/28/2021 4:53 PM</t>
  </si>
  <si>
    <t>gklaavanyakesavan@gmail.com</t>
  </si>
  <si>
    <t>5/28/2021 6:07 PM</t>
  </si>
  <si>
    <t>aditibhadury3@gmail.com</t>
  </si>
  <si>
    <t>5/28/2021 6:35 PM</t>
  </si>
  <si>
    <t>roofnraft@gmail.com</t>
  </si>
  <si>
    <t>5/29/2021 9:43 AM</t>
  </si>
  <si>
    <t>arpitawadhawan@gmail.com</t>
  </si>
  <si>
    <t>5/29/2021 2:01 PM</t>
  </si>
  <si>
    <t>ganeshkumarakvip@gmail.com</t>
  </si>
  <si>
    <t>5/29/2021 5:40 PM</t>
  </si>
  <si>
    <t>saisiddha81@gmail.com</t>
  </si>
  <si>
    <t>5/30/2021 12:30 PM</t>
  </si>
  <si>
    <t>jyotsna077@gmail.com</t>
  </si>
  <si>
    <t>5/30/2021 12:59 PM</t>
  </si>
  <si>
    <t>pritiwork1995@gmail.com</t>
  </si>
  <si>
    <t>5/30/2021 2:19 PM</t>
  </si>
  <si>
    <t>springshines11@gmail.com</t>
  </si>
  <si>
    <t>5/30/2021 5:01 PM</t>
  </si>
  <si>
    <t>hariajv_007@hotmail.com</t>
  </si>
  <si>
    <t>5/30/2021 9:03 PM</t>
  </si>
  <si>
    <t>khanhamujahid@gmail.com</t>
  </si>
  <si>
    <t>5/31/2021 9:20 AM</t>
  </si>
  <si>
    <t>sarathlearner@gmail.com</t>
  </si>
  <si>
    <t>5/31/2021 9:24 AM</t>
  </si>
  <si>
    <t>alishaahmad588@gmail.com</t>
  </si>
  <si>
    <t>5/31/2021 8:17 PM</t>
  </si>
  <si>
    <t>luckycharm846003@gmail.com</t>
  </si>
  <si>
    <t>pwani365@outlook.com</t>
  </si>
  <si>
    <t>bridgingthespace@gmail.com</t>
  </si>
  <si>
    <t>gokkulnathts@gmail.com</t>
  </si>
  <si>
    <t>phukanpuja744@gmail.com</t>
  </si>
  <si>
    <t>arpithadas@gmail.com</t>
  </si>
  <si>
    <t>ankitadas.ib@gmail.com</t>
  </si>
  <si>
    <t>ramapriyassj@gmail.com</t>
  </si>
  <si>
    <t>kushagrarastogi17@gmail.com</t>
  </si>
  <si>
    <t>shilpaprabhakar991@gmail.com</t>
  </si>
  <si>
    <t>h.vipparla3@gmail.com</t>
  </si>
  <si>
    <t>specialmeah1@gmail.com</t>
  </si>
  <si>
    <t>swarnl567@gmail.com</t>
  </si>
  <si>
    <t>priyaparjapath@gmail.com</t>
  </si>
  <si>
    <t>chaitalisinghthakur@gmail.com</t>
  </si>
  <si>
    <t>shashankgupta598@gmail.com</t>
  </si>
  <si>
    <t>satnam8698@gmail.com</t>
  </si>
  <si>
    <t>dixitarya02@gmail.com</t>
  </si>
  <si>
    <t>ashrith.writes@gmail.com</t>
  </si>
  <si>
    <t>k.jaitly07@gmail.com</t>
  </si>
  <si>
    <t>subhalaxmi.sr@gmail.com</t>
  </si>
  <si>
    <t>ritusneha9@gmail.com</t>
  </si>
  <si>
    <t>shailleshtannu@gmail.com</t>
  </si>
  <si>
    <t>komal20kharat@gmail.com</t>
  </si>
  <si>
    <t>mainaktito9@gmail.com</t>
  </si>
  <si>
    <t>shailendra.vijay@gmail.com</t>
  </si>
  <si>
    <t>https://hi.likeminds.community/d/digital-writopreneurs-hub#Pricing</t>
  </si>
  <si>
    <t>ashishg.jnv@gmail.com</t>
  </si>
  <si>
    <t>wordzone335@gmail.com</t>
  </si>
  <si>
    <t>dsaijari@gmail.com</t>
  </si>
  <si>
    <t>adityasanyal.bits@gmail.com</t>
  </si>
  <si>
    <t>pavangk308@gmail.com</t>
  </si>
  <si>
    <t>ramnath2609@gmail.com</t>
  </si>
  <si>
    <t>bkvaani@gmail.com</t>
  </si>
  <si>
    <t>sauravd40@gmail.com</t>
  </si>
  <si>
    <t>ats.talha20@gmail.com</t>
  </si>
  <si>
    <t>dipti.david@gmail.com</t>
  </si>
  <si>
    <t>20ba013@nluo.ac.in</t>
  </si>
  <si>
    <t>6/13/2021 3:41 AM</t>
  </si>
  <si>
    <t>smitamahto@gmail.com</t>
  </si>
  <si>
    <t>6/13/2021 5:08 PM</t>
  </si>
  <si>
    <t>namratalib08@gmail.com</t>
  </si>
  <si>
    <t>6/13/2021 8:04 PM</t>
  </si>
  <si>
    <t>elvina.densy@gmail.com</t>
  </si>
  <si>
    <t>6/13/2021 10:19 PM</t>
  </si>
  <si>
    <t>pragatiagarwal30@gmail.com</t>
  </si>
  <si>
    <t>6/13/2021 10:33 PM</t>
  </si>
  <si>
    <t>aashij809@gmail.com</t>
  </si>
  <si>
    <t>6/14/2021 1:59 AM</t>
  </si>
  <si>
    <t>sreyak.1998@gmail.com</t>
  </si>
  <si>
    <t>6/14/2021 11:12 AM</t>
  </si>
  <si>
    <t>rahulkkarn@gmail.com</t>
  </si>
  <si>
    <t>6/14/2021 5:03 PM</t>
  </si>
  <si>
    <t>arnaba.saha@gmail.com</t>
  </si>
  <si>
    <t>6/14/2021 5:29 PM</t>
  </si>
  <si>
    <t>nastyfriendraza@gmail.com</t>
  </si>
  <si>
    <t>6/14/2021 5:35 PM</t>
  </si>
  <si>
    <t>prashantbunty21@gmail.com</t>
  </si>
  <si>
    <t>6/14/2021 9:14 PM</t>
  </si>
  <si>
    <t>grenu89@gmail.com</t>
  </si>
  <si>
    <t>6/15/2021 12:34 AM</t>
  </si>
  <si>
    <t>6/15/2021 2:24 PM</t>
  </si>
  <si>
    <t>sarahmcwann@gmail.com</t>
  </si>
  <si>
    <t>6/15/2021 2:33 PM</t>
  </si>
  <si>
    <t>i.nnooori@gmail.com</t>
  </si>
  <si>
    <t>6/15/2021 5:44 PM</t>
  </si>
  <si>
    <t>pagarkarapsara@gmail.com</t>
  </si>
  <si>
    <t>6/16/2021 3:11 AM</t>
  </si>
  <si>
    <t>tandon.aakansha1910@gmail.com</t>
  </si>
  <si>
    <t>6/16/2021 8:59 AM</t>
  </si>
  <si>
    <t>charuchauhan1103@gmail.com</t>
  </si>
  <si>
    <t>6/16/2021 12:04 PM</t>
  </si>
  <si>
    <t>shilpagaya1@gmail.com</t>
  </si>
  <si>
    <t>6/16/2021 12:11 PM</t>
  </si>
  <si>
    <t>ankitasinghdhn@gmail.com</t>
  </si>
  <si>
    <t>6/16/2021 1:21 PM</t>
  </si>
  <si>
    <t>pushvinder1606@gmail.com</t>
  </si>
  <si>
    <t>6/16/2021 1:24 PM</t>
  </si>
  <si>
    <t>shubhamghosh9304@gmail.com</t>
  </si>
  <si>
    <t>6/16/2021 3:09 PM</t>
  </si>
  <si>
    <t>shahabaspengattiri@gmail.com</t>
  </si>
  <si>
    <t>6/16/2021 4:01 PM</t>
  </si>
  <si>
    <t>nikhil.joshi.339@gmail.com</t>
  </si>
  <si>
    <t>6/16/2021 7:05 PM</t>
  </si>
  <si>
    <t>janorikartejshree@gmail.com</t>
  </si>
  <si>
    <t>6/16/2021 7:21 PM</t>
  </si>
  <si>
    <t>6/17/2021 8:51 AM</t>
  </si>
  <si>
    <t>gunmeet.muchhal@gmail.com</t>
  </si>
  <si>
    <t>6/17/2021 9:28 AM</t>
  </si>
  <si>
    <t>premrajaparna@gmail.com</t>
  </si>
  <si>
    <t>6/17/2021 12:46 PM</t>
  </si>
  <si>
    <t>anjummulla70@gmail.com</t>
  </si>
  <si>
    <t>6/17/2021 1:06 PM</t>
  </si>
  <si>
    <t>kartikvasisht12597@gmail.com</t>
  </si>
  <si>
    <t>6/17/2021 3:23 PM</t>
  </si>
  <si>
    <t>ya.yogesh.patil@gmail.com</t>
  </si>
  <si>
    <t>6/17/2021 3:27 PM</t>
  </si>
  <si>
    <t>sowrabhalakshman@gmail.com</t>
  </si>
  <si>
    <t>6/17/2021 4:10 PM</t>
  </si>
  <si>
    <t>kanika.galena@gmail.com</t>
  </si>
  <si>
    <t>6/17/2021 11:19 PM</t>
  </si>
  <si>
    <t>moitrarashi@gmail.com</t>
  </si>
  <si>
    <t>6/18/2021 10:40 AM</t>
  </si>
  <si>
    <t>kchamling15@gmail.com</t>
  </si>
  <si>
    <t>6/18/2021 6:59 PM</t>
  </si>
  <si>
    <t>prathameshkamble0002@gmail.com</t>
  </si>
  <si>
    <t>6/19/2021 12:09 PM</t>
  </si>
  <si>
    <t>arpit.shrivastava93@gmail.com</t>
  </si>
  <si>
    <t>6/19/2021 5:31 PM</t>
  </si>
  <si>
    <t>nekramsen@gmail.com</t>
  </si>
  <si>
    <t>6/19/2021 7:41 PM</t>
  </si>
  <si>
    <t>shalini.maurya41@gmail.com</t>
  </si>
  <si>
    <t>6/19/2021 10:27 PM</t>
  </si>
  <si>
    <t>shindevinita357@gmail.com</t>
  </si>
  <si>
    <t>6/21/2021 11:37 AM</t>
  </si>
  <si>
    <t>moll964y@gmail.com</t>
  </si>
  <si>
    <t>6/21/2021 1:18 PM</t>
  </si>
  <si>
    <t>sunny619jp@gmail.com</t>
  </si>
  <si>
    <t>6/21/2021 3:59 PM</t>
  </si>
  <si>
    <t>varshaamohan@gmail.com</t>
  </si>
  <si>
    <t>6/21/2021 4:52 PM</t>
  </si>
  <si>
    <t>incharasukumar20@gmail.com</t>
  </si>
  <si>
    <t>6/21/2021 4:57 PM</t>
  </si>
  <si>
    <t>mukherjee.uma01@gmail.com</t>
  </si>
  <si>
    <t>6/21/2021 9:58 PM</t>
  </si>
  <si>
    <t>krismaniar84@gmail.com</t>
  </si>
  <si>
    <t>6/21/2021 10:29 PM</t>
  </si>
  <si>
    <t>jainkaushiki88@gmail.com</t>
  </si>
  <si>
    <t>6/22/2021 2:45 PM</t>
  </si>
  <si>
    <t>babbithaaks@gmail.com</t>
  </si>
  <si>
    <t>6/22/2021 3:21 PM</t>
  </si>
  <si>
    <t>DME: Designing Made Easy</t>
  </si>
  <si>
    <t>rohan.reginald@gmail.com</t>
  </si>
  <si>
    <t>aditya.ketan@gmail.com</t>
  </si>
  <si>
    <t>yoshitha.k11@gmail.com</t>
  </si>
  <si>
    <t>dhanpreet@apexemail.net</t>
  </si>
  <si>
    <t>prernasaraf7@gmail.com</t>
  </si>
  <si>
    <t>itzshaikhaayat12@gmail.com</t>
  </si>
  <si>
    <t>5/22/2021 12:29 PM</t>
  </si>
  <si>
    <t>Empty Cup</t>
  </si>
  <si>
    <t>99jainansh@gmail.com</t>
  </si>
  <si>
    <t>6/14/2021 11:07 AM</t>
  </si>
  <si>
    <t>https://hi.likeminds.community/d/emptycup#Pricing</t>
  </si>
  <si>
    <t>hafiz06@gmail.com</t>
  </si>
  <si>
    <t>6/15/2021 1:41 PM</t>
  </si>
  <si>
    <t>https://hi.likeminds.community/d/emptycup</t>
  </si>
  <si>
    <t>salilt.001@gmail.com</t>
  </si>
  <si>
    <t>6/15/2021 1:59 PM</t>
  </si>
  <si>
    <t>mehranmajeed06@gmail.com</t>
  </si>
  <si>
    <t>6/15/2021 2:22 PM</t>
  </si>
  <si>
    <t>rksarpit@gmail.com</t>
  </si>
  <si>
    <t>6/15/2021 2:39 PM</t>
  </si>
  <si>
    <t>tusharagrawal147@gmail.com</t>
  </si>
  <si>
    <t>6/15/2021 3:08 PM</t>
  </si>
  <si>
    <t>https://hi.likeminds.community/d/emptycup#FAQ</t>
  </si>
  <si>
    <t>gowrishkar@gmail.com</t>
  </si>
  <si>
    <t>6/15/2021 7:08 PM</t>
  </si>
  <si>
    <t>harisud1313@gmail.com</t>
  </si>
  <si>
    <t>6/15/2021 7:44 PM</t>
  </si>
  <si>
    <t>4727abhi@gmail.com</t>
  </si>
  <si>
    <t>6/15/2021 9:13 PM</t>
  </si>
  <si>
    <t>igvikas@gmail.com</t>
  </si>
  <si>
    <t>6/15/2021 11:12 PM</t>
  </si>
  <si>
    <t>saikiran3963@gmail.com</t>
  </si>
  <si>
    <t>6/16/2021 3:04 AM</t>
  </si>
  <si>
    <t>chauhanvinod87@ymail.com</t>
  </si>
  <si>
    <t>6/16/2021 3:04 PM</t>
  </si>
  <si>
    <t>cs.akshata18@gmail.com</t>
  </si>
  <si>
    <t>6/16/2021 6:56 PM</t>
  </si>
  <si>
    <t>sudhanshu.maheshwari23@gmail.com</t>
  </si>
  <si>
    <t>6/16/2021 7:08 PM</t>
  </si>
  <si>
    <t>akash.e2912@gmail.com</t>
  </si>
  <si>
    <t>6/16/2021 8:04 PM</t>
  </si>
  <si>
    <t>ghoshrudrakshi@gmail.com</t>
  </si>
  <si>
    <t>6/16/2021 9:53 PM</t>
  </si>
  <si>
    <t>rahul.prasad59336@gmail.com</t>
  </si>
  <si>
    <t>6/17/2021 8:30 AM</t>
  </si>
  <si>
    <t>vamsi.palems@gmail.com</t>
  </si>
  <si>
    <t>6/17/2021 8:55 AM</t>
  </si>
  <si>
    <t>duttguru085@gmail.com</t>
  </si>
  <si>
    <t>6/17/2021 9:17 AM</t>
  </si>
  <si>
    <t>jainamgandhi54@gmail.com</t>
  </si>
  <si>
    <t>6/17/2021 5:48 PM</t>
  </si>
  <si>
    <t>iifasarfaraz@gmail.com</t>
  </si>
  <si>
    <t>6/17/2021 9:01 PM</t>
  </si>
  <si>
    <t>niteshmahalwal@yahoo.com</t>
  </si>
  <si>
    <t>6/17/2021 9:15 PM</t>
  </si>
  <si>
    <t>6/17/2021 11:11 PM</t>
  </si>
  <si>
    <t>6/17/2021 11:18 PM</t>
  </si>
  <si>
    <t>nishi2827@gmail.com</t>
  </si>
  <si>
    <t>6/18/2021 2:29 AM</t>
  </si>
  <si>
    <t>thoibanong.122@gmail.com</t>
  </si>
  <si>
    <t>6/18/2021 7:15 AM</t>
  </si>
  <si>
    <t>rajeshatmakuri@gmail.com</t>
  </si>
  <si>
    <t>6/18/2021 2:57 PM</t>
  </si>
  <si>
    <t>venkateshambala14@gmail.com</t>
  </si>
  <si>
    <t>6/18/2021 10:27 PM</t>
  </si>
  <si>
    <t>6/19/2021 1:00 AM</t>
  </si>
  <si>
    <t>sukriti2626@yahoo.in</t>
  </si>
  <si>
    <t>6/19/2021 1:29 PM</t>
  </si>
  <si>
    <t>nirajshah51@gmail.com</t>
  </si>
  <si>
    <t>6/19/2021 1:38 PM</t>
  </si>
  <si>
    <t>soodio@neogi.com</t>
  </si>
  <si>
    <t>6/19/2021 4:35 PM</t>
  </si>
  <si>
    <t>kbsdental@gmail.com</t>
  </si>
  <si>
    <t>6/19/2021 10:10 PM</t>
  </si>
  <si>
    <t>6/19/2021 11:37 PM</t>
  </si>
  <si>
    <t>venkattadkod@yahoo.com</t>
  </si>
  <si>
    <t>6/20/2021 11:06 AM</t>
  </si>
  <si>
    <t>arvindreddy191@gmail.com</t>
  </si>
  <si>
    <t>6/20/2021 3:33 PM</t>
  </si>
  <si>
    <t>harikumar.vishnu46@gmail.com</t>
  </si>
  <si>
    <t>6/20/2021 9:16 PM</t>
  </si>
  <si>
    <t>keswanik@gmail.com</t>
  </si>
  <si>
    <t>6/20/2021 9:30 PM</t>
  </si>
  <si>
    <t>ksuriya0304@gmail.com</t>
  </si>
  <si>
    <t>6/20/2021 9:36 PM</t>
  </si>
  <si>
    <t>sandeep1872@gmail.com</t>
  </si>
  <si>
    <t>6/21/2021 8:57 AM</t>
  </si>
  <si>
    <t>amaansakware4249@gmail.com</t>
  </si>
  <si>
    <t>6/21/2021 12:12 PM</t>
  </si>
  <si>
    <t>bibhudutt.pattnaik@gmail.com</t>
  </si>
  <si>
    <t>6/21/2021 1:50 PM</t>
  </si>
  <si>
    <t>ashish.dsc@gmail.com</t>
  </si>
  <si>
    <t>6/22/2021 5:08 AM</t>
  </si>
  <si>
    <t>ashwin76@gmail.com</t>
  </si>
  <si>
    <t>6/22/2021 12:25 PM</t>
  </si>
  <si>
    <t>vishwasvish1998@gmail.com</t>
  </si>
  <si>
    <t>6/22/2021 1:38 PM</t>
  </si>
  <si>
    <t>Energy Healing</t>
  </si>
  <si>
    <t>brindhals052@gmail.com</t>
  </si>
  <si>
    <t>https://hi.likeminds.community/d/energy-healing-by-dr-bharti-dua</t>
  </si>
  <si>
    <t>landlinlanson23@gmail.com</t>
  </si>
  <si>
    <t>jnshiva@gmail.com</t>
  </si>
  <si>
    <t>munishsharma3644@gmail.com</t>
  </si>
  <si>
    <t>lavanyaarora1996@gmail.com</t>
  </si>
  <si>
    <t>joydebmandal22@gmail.com</t>
  </si>
  <si>
    <t>https://hi.likeminds.community/d/energy-healing-by-dr-bharti-dua#Pricing</t>
  </si>
  <si>
    <t>praggy.revu@gmail.com</t>
  </si>
  <si>
    <t>guhanjune@gmail.com</t>
  </si>
  <si>
    <t>nj88765@gmail.com</t>
  </si>
  <si>
    <t>ritwikghosh3112@gmail.com</t>
  </si>
  <si>
    <t>dmit2163@gmail.com</t>
  </si>
  <si>
    <t>shikhagupta2392@gmail.com</t>
  </si>
  <si>
    <t>ritikamail18@gmail.com</t>
  </si>
  <si>
    <t>animeshpradhan27@gmail.com</t>
  </si>
  <si>
    <t>srishti.amity@gmail.com</t>
  </si>
  <si>
    <t>rakeshprajapati2012@gmail.com</t>
  </si>
  <si>
    <t>rahulsangral36@gmail.com</t>
  </si>
  <si>
    <t>shuubhaamkudikalwar@gmail.com</t>
  </si>
  <si>
    <t>divyakejriwal@hotmail.com</t>
  </si>
  <si>
    <t>sarngal555@gmail.com</t>
  </si>
  <si>
    <t>jooliep9@gmail.com</t>
  </si>
  <si>
    <t>6/13/2021 7:53 AM</t>
  </si>
  <si>
    <t>actorrandheer@gmail.com</t>
  </si>
  <si>
    <t>6/13/2021 11:18 PM</t>
  </si>
  <si>
    <t>niranjansujatha@gmail.com</t>
  </si>
  <si>
    <t>6/13/2021 11:33 PM</t>
  </si>
  <si>
    <t>soumyashrm@gmail.com</t>
  </si>
  <si>
    <t>6/14/2021 10:46 AM</t>
  </si>
  <si>
    <t>urvi33soulart@rediffmail.com</t>
  </si>
  <si>
    <t>6/14/2021 6:32 PM</t>
  </si>
  <si>
    <t>akannksha.rawat@gmail.com</t>
  </si>
  <si>
    <t>6/15/2021 12:36 PM</t>
  </si>
  <si>
    <t>rrishwanth78@gmail.com</t>
  </si>
  <si>
    <t>6/15/2021 6:30 PM</t>
  </si>
  <si>
    <t>shailjag256@gmail.com</t>
  </si>
  <si>
    <t>6/15/2021 10:22 PM</t>
  </si>
  <si>
    <t>mohit75991@gmail.com</t>
  </si>
  <si>
    <t>6/16/2021 8:54 AM</t>
  </si>
  <si>
    <t>nikhilshirsagar@freshvnf.com</t>
  </si>
  <si>
    <t>6/16/2021 9:26 AM</t>
  </si>
  <si>
    <t>dubeyashutosh310@gmail.com</t>
  </si>
  <si>
    <t>6/16/2021 10:51 AM</t>
  </si>
  <si>
    <t>bhumeetgupta2207@gmail.com</t>
  </si>
  <si>
    <t>6/17/2021 8:14 AM</t>
  </si>
  <si>
    <t>mmuthu28007@gmail.com</t>
  </si>
  <si>
    <t>6/17/2021 4:22 PM</t>
  </si>
  <si>
    <t>patelankit8597@gmail.com</t>
  </si>
  <si>
    <t>6/17/2021 9:06 PM</t>
  </si>
  <si>
    <t>sourabhjain29@gmai.lcom</t>
  </si>
  <si>
    <t>6/17/2021 10:27 PM</t>
  </si>
  <si>
    <t>6/19/2021 11:13 PM</t>
  </si>
  <si>
    <t>rupesh.pothugunta@gmail.com</t>
  </si>
  <si>
    <t>6/20/2021 2:35 PM</t>
  </si>
  <si>
    <t>koushik0910@gmail.com</t>
  </si>
  <si>
    <t>6/20/2021 7:41 PM</t>
  </si>
  <si>
    <t>shrinidhigs96@gmail.com</t>
  </si>
  <si>
    <t>6/21/2021 10:05 AM</t>
  </si>
  <si>
    <t>hvsharma63@gmail.com</t>
  </si>
  <si>
    <t>6/21/2021 10:57 PM</t>
  </si>
  <si>
    <t>lrswathi27@gmail.com</t>
  </si>
  <si>
    <t>6/22/2021 11:52 AM</t>
  </si>
  <si>
    <t>raman_anuradha@yahoo.com</t>
  </si>
  <si>
    <t>6/22/2021 2:49 PM</t>
  </si>
  <si>
    <t>https://community.likeminds.community/exapython</t>
  </si>
  <si>
    <t>tech.tejesh76@gmail.com</t>
  </si>
  <si>
    <t>bhargav.thota18@gmail.com</t>
  </si>
  <si>
    <t>singhsagar65@gmail.com</t>
  </si>
  <si>
    <t>gawdeakshay28@gmail.com</t>
  </si>
  <si>
    <t>ankur.bhatia89@gmail.com</t>
  </si>
  <si>
    <t>5/22/2021 11:25 AM</t>
  </si>
  <si>
    <t>drj819@gmail.com</t>
  </si>
  <si>
    <t>5/23/2021 2:57 PM</t>
  </si>
  <si>
    <t>5/24/2021 5:39 PM</t>
  </si>
  <si>
    <t>5/24/2021 8:30 PM</t>
  </si>
  <si>
    <t>pranayrawat92@gmail.com</t>
  </si>
  <si>
    <t>5/25/2021 3:07 PM</t>
  </si>
  <si>
    <t>aseefshaik2.0@gmail.com</t>
  </si>
  <si>
    <t>5/25/2021 8:19 PM</t>
  </si>
  <si>
    <t>pratap.gangi@gmail.com</t>
  </si>
  <si>
    <t>5/27/2021 8:05 AM</t>
  </si>
  <si>
    <t>vvssharini2000@gmail.com</t>
  </si>
  <si>
    <t>5/27/2021 2:25 PM</t>
  </si>
  <si>
    <t>meenayogendra001@gmail.com</t>
  </si>
  <si>
    <t>5/28/2021 10:11 PM</t>
  </si>
  <si>
    <t>phamaddu@gmail.com</t>
  </si>
  <si>
    <t>5/29/2021 12:13 PM</t>
  </si>
  <si>
    <t>gautamr082@gmail.com</t>
  </si>
  <si>
    <t>5/30/2021 3:45 PM</t>
  </si>
  <si>
    <t>bapun1226@gmail.com</t>
  </si>
  <si>
    <t>5/30/2021 7:01 PM</t>
  </si>
  <si>
    <t>yathesh@outlook.com</t>
  </si>
  <si>
    <t>5/30/2021 8:57 PM</t>
  </si>
  <si>
    <t>vineet675@gmail.com</t>
  </si>
  <si>
    <t>5/31/2021 12:35 AM</t>
  </si>
  <si>
    <t>ashok.crt@gmail.com</t>
  </si>
  <si>
    <t>5/31/2021 5:49 AM</t>
  </si>
  <si>
    <t>alexsjpuc@gmail.com</t>
  </si>
  <si>
    <t>5/31/2021 7:00 PM</t>
  </si>
  <si>
    <t>chaitanya.oct25@gmail.com</t>
  </si>
  <si>
    <t>5/31/2021 8:12 PM</t>
  </si>
  <si>
    <t>pandeyshiksha000@gmail.com</t>
  </si>
  <si>
    <t>rajcse09@gmail.com</t>
  </si>
  <si>
    <t>sharmith67@gmail.com</t>
  </si>
  <si>
    <t>praveenkumar.venk96@gmail.com</t>
  </si>
  <si>
    <t>sagar210188@gmail.com</t>
  </si>
  <si>
    <t>sharadmathur75@yahoo.com</t>
  </si>
  <si>
    <t>nemadevivek@gmail.com</t>
  </si>
  <si>
    <t>sunil.edupuganti29@gmail.com</t>
  </si>
  <si>
    <t>harishamugesh@gmail.com</t>
  </si>
  <si>
    <t>ksabaareeshguptha@gmail.com</t>
  </si>
  <si>
    <t>grvnarang32@gmail.com</t>
  </si>
  <si>
    <t>https://community.likeminds.community/exapython#Pricing</t>
  </si>
  <si>
    <t>amith.ghosh821@gmail.com</t>
  </si>
  <si>
    <t>tejaspalwe@gmail.com</t>
  </si>
  <si>
    <t>santhoshreddynelapatla@gmail.com</t>
  </si>
  <si>
    <t>shivarampeddapaka1311@gmail.com</t>
  </si>
  <si>
    <t>anupkanna69@gmail.com</t>
  </si>
  <si>
    <t>vikaskoul92@gmail.com</t>
  </si>
  <si>
    <t>ratanmanoj888@gmail.com</t>
  </si>
  <si>
    <t>abhi973@live.com</t>
  </si>
  <si>
    <t>somu769876@gmail.com</t>
  </si>
  <si>
    <t>chayankh@gmail.com</t>
  </si>
  <si>
    <t>kolleparayuvaraj@gmail.com</t>
  </si>
  <si>
    <t>ujjwal.anand0123@gmail.com</t>
  </si>
  <si>
    <t>gaurangkhode04@gmail.com</t>
  </si>
  <si>
    <t>vbkrishna228@gmail.com</t>
  </si>
  <si>
    <t>mnaudu40@gmail.com</t>
  </si>
  <si>
    <t>raj.rajuu1995@gmail.com</t>
  </si>
  <si>
    <t>raghu2890@gmail.com</t>
  </si>
  <si>
    <t>mohammed.kanor.07@gmail.com</t>
  </si>
  <si>
    <t>saurabhshitole31@gmail.com</t>
  </si>
  <si>
    <t>kanakavallichunduri2002@gmail.com</t>
  </si>
  <si>
    <t>deep92002@gmail.com</t>
  </si>
  <si>
    <t>titikshya.maharana91@gmail.com</t>
  </si>
  <si>
    <t>6/13/2021 6:03 PM</t>
  </si>
  <si>
    <t>nagakn26@gmail.com</t>
  </si>
  <si>
    <t>6/13/2021 6:53 PM</t>
  </si>
  <si>
    <t>phdeshmukh11@gmail.com</t>
  </si>
  <si>
    <t>6/13/2021 9:07 PM</t>
  </si>
  <si>
    <t>mayankrsjobs@gmail.com</t>
  </si>
  <si>
    <t>6/13/2021 9:33 PM</t>
  </si>
  <si>
    <t>kunaljoshi210@gmail.com</t>
  </si>
  <si>
    <t>6/14/2021 7:49 AM</t>
  </si>
  <si>
    <t>kothapallisatyasai95@gmail.com</t>
  </si>
  <si>
    <t>6/14/2021 9:13 AM</t>
  </si>
  <si>
    <t>bharat.oberoi.9@gmail.com</t>
  </si>
  <si>
    <t>6/15/2021 1:49 AM</t>
  </si>
  <si>
    <t>naveenreddy9959@gmail.com</t>
  </si>
  <si>
    <t>6/15/2021 7:20 PM</t>
  </si>
  <si>
    <t>ashaymgirgaonkar@gmail.com</t>
  </si>
  <si>
    <t>6/16/2021 2:06 PM</t>
  </si>
  <si>
    <t>vinita2015.nsec@gmail.com</t>
  </si>
  <si>
    <t>6/16/2021 6:13 PM</t>
  </si>
  <si>
    <t>dinesh.kacee@gmail.com</t>
  </si>
  <si>
    <t>6/16/2021 8:57 PM</t>
  </si>
  <si>
    <t>rajluc143@gmail.com</t>
  </si>
  <si>
    <t>6/17/2021 7:03 AM</t>
  </si>
  <si>
    <t>jj14916@gmail.com</t>
  </si>
  <si>
    <t>6/17/2021 8:51 PM</t>
  </si>
  <si>
    <t>pradeepjoshi228@gmail.com</t>
  </si>
  <si>
    <t>6/19/2021 12:13 PM</t>
  </si>
  <si>
    <t>narula.dhruv05@gmail.com</t>
  </si>
  <si>
    <t>6/19/2021 6:15 PM</t>
  </si>
  <si>
    <t>manishvjb@outlook.com</t>
  </si>
  <si>
    <t>6/19/2021 8:25 PM</t>
  </si>
  <si>
    <t>phanindra.bollineni17@gmail.com</t>
  </si>
  <si>
    <t>6/20/2021 1:06 AM</t>
  </si>
  <si>
    <t>Finowiz - The Financial Wizard</t>
  </si>
  <si>
    <t>meghaseth148@gmail.com</t>
  </si>
  <si>
    <t>6/18/2021 7:15 PM</t>
  </si>
  <si>
    <t>https://hi.likeminds.community/d/finowiz</t>
  </si>
  <si>
    <t>canitinkataria@gmail.com</t>
  </si>
  <si>
    <t>6/18/2021 9:38 PM</t>
  </si>
  <si>
    <t>noufalkopu@yahoo.com</t>
  </si>
  <si>
    <t>6/19/2021 8:45 AM</t>
  </si>
  <si>
    <t>https://hi.likeminds.community/d/finowiz#Pricing</t>
  </si>
  <si>
    <t>dcbs13simranbajaj@gmail.com</t>
  </si>
  <si>
    <t>https://community.likeminds.community/finstreet</t>
  </si>
  <si>
    <t>trade4anand@gmail.com</t>
  </si>
  <si>
    <t>kovarthan2603@gmail.com</t>
  </si>
  <si>
    <t>anirudhkishore188@gmail.com</t>
  </si>
  <si>
    <t>thummala.ajayreddy@gmail.com</t>
  </si>
  <si>
    <t>5/19/2021 9:40 PM</t>
  </si>
  <si>
    <t>sunilsharma5470@gmail.com</t>
  </si>
  <si>
    <t>5/23/2021 10:21 AM</t>
  </si>
  <si>
    <t>lohith7794@gmail.com</t>
  </si>
  <si>
    <t>5/23/2021 10:17 PM</t>
  </si>
  <si>
    <t>ratrasaneer@gmail.com</t>
  </si>
  <si>
    <t>5/25/2021 5:16 PM</t>
  </si>
  <si>
    <t>simhadribhargava285@gmail.com</t>
  </si>
  <si>
    <t>5/25/2021 11:16 PM</t>
  </si>
  <si>
    <t>akshataanilurs@gmail.com</t>
  </si>
  <si>
    <t>5/27/2021 12:01 AM</t>
  </si>
  <si>
    <t>5/27/2021 3:23 AM</t>
  </si>
  <si>
    <t>manisinghrajput22@gmail.com</t>
  </si>
  <si>
    <t>5/27/2021 5:45 PM</t>
  </si>
  <si>
    <t>gerardmark619@gmail.com</t>
  </si>
  <si>
    <t>5/27/2021 9:13 PM</t>
  </si>
  <si>
    <t>kadambhaskar202@gmail.com</t>
  </si>
  <si>
    <t>5/27/2021 10:58 PM</t>
  </si>
  <si>
    <t>prateekkumar9505@gmail.com</t>
  </si>
  <si>
    <t>5/29/2021 3:20 PM</t>
  </si>
  <si>
    <t>aniketlandge4848@gmail.com</t>
  </si>
  <si>
    <t>5/29/2021 3:46 PM</t>
  </si>
  <si>
    <t>pratapnikam2008@gmail.com</t>
  </si>
  <si>
    <t>5/30/2021 7:08 PM</t>
  </si>
  <si>
    <t>chakri.junna@gmail.com</t>
  </si>
  <si>
    <t>5/31/2021 1:01 PM</t>
  </si>
  <si>
    <t>planks24@gmail.com</t>
  </si>
  <si>
    <t>5/31/2021 1:29 PM</t>
  </si>
  <si>
    <t>aryan.20dhiman@gmail.com</t>
  </si>
  <si>
    <t>5/31/2021 3:41 PM</t>
  </si>
  <si>
    <t>dhanjeetmalakar87@gmail.com</t>
  </si>
  <si>
    <t>hardikkatne@gmail.com</t>
  </si>
  <si>
    <t>manideep.vicky@gmail.com</t>
  </si>
  <si>
    <t>abhijeetshaji8@gmail.com</t>
  </si>
  <si>
    <t>walim674@gmail.com</t>
  </si>
  <si>
    <t>vvidya2411@gmail.com</t>
  </si>
  <si>
    <t>shanthan29398@gmail.com</t>
  </si>
  <si>
    <t>bikash36b@gmail.com</t>
  </si>
  <si>
    <t>ayushjotani224@gmail.com</t>
  </si>
  <si>
    <t>johnnoel86@gmail.com</t>
  </si>
  <si>
    <t>info.lalsar@gmail.com</t>
  </si>
  <si>
    <t>gauravlange8181@gmail.com</t>
  </si>
  <si>
    <t>sthacker1535@gmail.com</t>
  </si>
  <si>
    <t>ds.dhanush31@gmail.com</t>
  </si>
  <si>
    <t>hskiran20@yahoo.com</t>
  </si>
  <si>
    <t>cachethan7@gmail.com</t>
  </si>
  <si>
    <t>rohitsm0711@gmail.com</t>
  </si>
  <si>
    <t>prashantnikose31@gmail.com</t>
  </si>
  <si>
    <t>maheshkunder07@gmail.com</t>
  </si>
  <si>
    <t>vprforever@gmail.com</t>
  </si>
  <si>
    <t>rai4875@gmail.com</t>
  </si>
  <si>
    <t>drramprasad85@gmail.com</t>
  </si>
  <si>
    <t>6/13/2021 7:31 PM</t>
  </si>
  <si>
    <t>6/13/2021 8:43 PM</t>
  </si>
  <si>
    <t>6/14/2021 3:31 AM</t>
  </si>
  <si>
    <t>rajat.shirdhankar25@gmail.com</t>
  </si>
  <si>
    <t>6/14/2021 5:43 PM</t>
  </si>
  <si>
    <t>ozoneservicesolutions@gmail.com</t>
  </si>
  <si>
    <t>6/14/2021 9:04 PM</t>
  </si>
  <si>
    <t>https://community.likeminds.community/finstreet#Pricing</t>
  </si>
  <si>
    <t>swapnil.khotkar@gmail.com</t>
  </si>
  <si>
    <t>6/15/2021 7:56 PM</t>
  </si>
  <si>
    <t>mharish.explorer@gmail.com</t>
  </si>
  <si>
    <t>6/16/2021 6:54 AM</t>
  </si>
  <si>
    <t>raghavendira.sankaran@gmail.com</t>
  </si>
  <si>
    <t>6/16/2021 12:18 PM</t>
  </si>
  <si>
    <t>chavan.kirtan@gmail.com</t>
  </si>
  <si>
    <t>6/16/2021 12:40 PM</t>
  </si>
  <si>
    <t>sankaractive@gmail.com</t>
  </si>
  <si>
    <t>6/17/2021 2:01 PM</t>
  </si>
  <si>
    <t>srkrahul2479@gmail.com</t>
  </si>
  <si>
    <t>6/17/2021 3:29 PM</t>
  </si>
  <si>
    <t>r2k.195@gmail.com</t>
  </si>
  <si>
    <t>6/17/2021 6:45 PM</t>
  </si>
  <si>
    <t>swatisengar23@gmail.com</t>
  </si>
  <si>
    <t>6/17/2021 8:04 PM</t>
  </si>
  <si>
    <t>rajraghu0131@gmail.com</t>
  </si>
  <si>
    <t>6/18/2021 12:09 AM</t>
  </si>
  <si>
    <t>gaurav.kumar2128@gmail.com</t>
  </si>
  <si>
    <t>6/19/2021 8:28 AM</t>
  </si>
  <si>
    <t>bharadwaj175@gmail.com</t>
  </si>
  <si>
    <t>6/19/2021 4:56 PM</t>
  </si>
  <si>
    <t>anoop9007@gmail.com</t>
  </si>
  <si>
    <t>6/21/2021 11:05 PM</t>
  </si>
  <si>
    <t>6/22/2021 1:43 PM</t>
  </si>
  <si>
    <t>Flavors N Fitness</t>
  </si>
  <si>
    <t>srukanthkavi@gmail.com</t>
  </si>
  <si>
    <t>5/26/2021 4:35 PM</t>
  </si>
  <si>
    <t>https://hi.likeminds.community/d/flavors-n-fitness</t>
  </si>
  <si>
    <t>kvanamurthy@gmail.com</t>
  </si>
  <si>
    <t>5/27/2021 4:07 PM</t>
  </si>
  <si>
    <t>tanuswany@yahoo.com</t>
  </si>
  <si>
    <t>5/29/2021 6:00 AM</t>
  </si>
  <si>
    <t>Garv Malik</t>
  </si>
  <si>
    <t>mayank.tomarvk@gmail.com</t>
  </si>
  <si>
    <t>https://hi.likeminds.community/d/garv-malik#Pricing</t>
  </si>
  <si>
    <t>sisintyvaibhav@gmail.com</t>
  </si>
  <si>
    <t>5/28/2021 1:13 PM</t>
  </si>
  <si>
    <t>prashanttrupani@yahoo.com</t>
  </si>
  <si>
    <t>kripi46@gmail.com</t>
  </si>
  <si>
    <t>pavithran7777@gmail.com</t>
  </si>
  <si>
    <t>tarunchaudhary30.tc@gmail.com</t>
  </si>
  <si>
    <t>avinashrox@gmail.com</t>
  </si>
  <si>
    <t>asmita1617@gmail.com</t>
  </si>
  <si>
    <t>pisturoxan@gmail.com</t>
  </si>
  <si>
    <t>05poojapatil@gmail.com</t>
  </si>
  <si>
    <t>ankita.dasgupta04@gmail.com</t>
  </si>
  <si>
    <t>ksheth22@gmail.com</t>
  </si>
  <si>
    <t>https://hi.likeminds.community/d/garv-malik</t>
  </si>
  <si>
    <t>akshaykgore123@gmail.com</t>
  </si>
  <si>
    <t>daminisharma9540@gmail.com</t>
  </si>
  <si>
    <t>pulkit.jmi@gmail.com</t>
  </si>
  <si>
    <t>utsavkhare123@gmail.com</t>
  </si>
  <si>
    <t>sapna.sikarwar0611@gmail.com</t>
  </si>
  <si>
    <t>nshusain@outlook.com</t>
  </si>
  <si>
    <t>6/13/2021 1:31 PM</t>
  </si>
  <si>
    <t>rishikeshranjjan@gmail.com</t>
  </si>
  <si>
    <t>6/13/2021 8:48 PM</t>
  </si>
  <si>
    <t>6/14/2021 10:59 AM</t>
  </si>
  <si>
    <t>devteli28@gmail.com</t>
  </si>
  <si>
    <t>6/14/2021 11:06 AM</t>
  </si>
  <si>
    <t>yashwiz@gmail.com</t>
  </si>
  <si>
    <t>6/16/2021 10:22 PM</t>
  </si>
  <si>
    <t>parthbudhraja04@gmail.com</t>
  </si>
  <si>
    <t>6/16/2021 11:01 PM</t>
  </si>
  <si>
    <t>giri.scotty@gmail.com</t>
  </si>
  <si>
    <t>6/17/2021 11:37 PM</t>
  </si>
  <si>
    <t>cantebury119@gmail.com</t>
  </si>
  <si>
    <t>6/18/2021 2:33 AM</t>
  </si>
  <si>
    <t>mohitd_mht@hotmail.com</t>
  </si>
  <si>
    <t>6/19/2021 5:19 PM</t>
  </si>
  <si>
    <t>hrkone@icloud.com</t>
  </si>
  <si>
    <t>6/19/2021 7:58 PM</t>
  </si>
  <si>
    <t>yashdubey71@gmail.com</t>
  </si>
  <si>
    <t>6/19/2021 11:32 PM</t>
  </si>
  <si>
    <t>connexioncctv@gmail.com</t>
  </si>
  <si>
    <t>6/20/2021 12:14 AM</t>
  </si>
  <si>
    <t>Han Hangul</t>
  </si>
  <si>
    <t>rao.diksha30@gmail.com</t>
  </si>
  <si>
    <t>5/18/2021 8:03 PM</t>
  </si>
  <si>
    <t>https://community.likeminds.community/hanhangul</t>
  </si>
  <si>
    <t>snhptwrdhn@gmail.com</t>
  </si>
  <si>
    <t>5/21/2021 1:50 PM</t>
  </si>
  <si>
    <t>priyasaumyadubey@gmail.com</t>
  </si>
  <si>
    <t>5/22/2021 9:43 AM</t>
  </si>
  <si>
    <t>amruthapalukuri@gmail.com</t>
  </si>
  <si>
    <t>5/22/2021 10:41 AM</t>
  </si>
  <si>
    <t>siddapratyusha1@gmail.com</t>
  </si>
  <si>
    <t>5/22/2021 10:42 AM</t>
  </si>
  <si>
    <t>ssareyoufine9@gmail.com</t>
  </si>
  <si>
    <t>5/22/2021 6:41 PM</t>
  </si>
  <si>
    <t>gandhiriya31@gmail.com</t>
  </si>
  <si>
    <t>5/22/2021 6:52 PM</t>
  </si>
  <si>
    <t>pratikshathakur251001@gmail.com</t>
  </si>
  <si>
    <t>5/23/2021 8:36 AM</t>
  </si>
  <si>
    <t>chhotushruti@gmail.com</t>
  </si>
  <si>
    <t>5/23/2021 10:53 AM</t>
  </si>
  <si>
    <t>jyots.gaur@gmail.com</t>
  </si>
  <si>
    <t>5/23/2021 12:29 PM</t>
  </si>
  <si>
    <t>miruthujegan@gmail.com</t>
  </si>
  <si>
    <t>5/23/2021 1:23 PM</t>
  </si>
  <si>
    <t>poojachoudhary640@gmail.com</t>
  </si>
  <si>
    <t>5/23/2021 3:25 PM</t>
  </si>
  <si>
    <t>kmansheen@gmail.com</t>
  </si>
  <si>
    <t>5/23/2021 5:22 PM</t>
  </si>
  <si>
    <t>grishadongrani@gmail.com</t>
  </si>
  <si>
    <t>5/23/2021 8:49 PM</t>
  </si>
  <si>
    <t>ujjayoniroy@gmail.com</t>
  </si>
  <si>
    <t>5/24/2021 12:14 AM</t>
  </si>
  <si>
    <t>nbajrachrya15@gmail.com</t>
  </si>
  <si>
    <t>5/24/2021 8:27 AM</t>
  </si>
  <si>
    <t>madhurapawade1995@gmail.com</t>
  </si>
  <si>
    <t>5/24/2021 8:44 AM</t>
  </si>
  <si>
    <t>5/24/2021 8:45 AM</t>
  </si>
  <si>
    <t>bluegirlazura1010@gmail.com</t>
  </si>
  <si>
    <t>5/24/2021 12:14 PM</t>
  </si>
  <si>
    <t>iwonder2k16@gmail.com</t>
  </si>
  <si>
    <t>5/24/2021 12:27 PM</t>
  </si>
  <si>
    <t>pavaninune2001@gmail.com</t>
  </si>
  <si>
    <t>5/24/2021 1:05 PM</t>
  </si>
  <si>
    <t>dhivya1371999@gmail.com</t>
  </si>
  <si>
    <t>5/24/2021 3:42 PM</t>
  </si>
  <si>
    <t>kuhusharma324@gmail.com</t>
  </si>
  <si>
    <t>5/24/2021 4:09 PM</t>
  </si>
  <si>
    <t>amits12978@gmail.com</t>
  </si>
  <si>
    <t>5/24/2021 5:07 PM</t>
  </si>
  <si>
    <t>dr.ys1403@gmail.com</t>
  </si>
  <si>
    <t>5/24/2021 5:18 PM</t>
  </si>
  <si>
    <t>merlyndaimari62@gmail.com</t>
  </si>
  <si>
    <t>5/24/2021 11:12 PM</t>
  </si>
  <si>
    <t>rigzinamo99@gmail.com</t>
  </si>
  <si>
    <t>5/25/2021 12:16 AM</t>
  </si>
  <si>
    <t>niki.pearl006@gmail.com</t>
  </si>
  <si>
    <t>5/25/2021 7:52 AM</t>
  </si>
  <si>
    <t>lhamyuton28@gmail.com</t>
  </si>
  <si>
    <t>5/25/2021 8:26 AM</t>
  </si>
  <si>
    <t>amruthas935@gmail.com</t>
  </si>
  <si>
    <t>5/25/2021 9:53 AM</t>
  </si>
  <si>
    <t>pragatii.dixit4299@gmail.com</t>
  </si>
  <si>
    <t>5/25/2021 10:06 AM</t>
  </si>
  <si>
    <t>5/25/2021 10:38 AM</t>
  </si>
  <si>
    <t>bhagyshree.nitin@gmail.com</t>
  </si>
  <si>
    <t>5/25/2021 10:54 AM</t>
  </si>
  <si>
    <t>anamikaxaxa92@gmail.com</t>
  </si>
  <si>
    <t>5/25/2021 11:14 AM</t>
  </si>
  <si>
    <t>ananyawarakeri@gmail.com</t>
  </si>
  <si>
    <t>5/25/2021 12:16 PM</t>
  </si>
  <si>
    <t>alejasmine@gmail.com</t>
  </si>
  <si>
    <t>5/25/2021 6:52 PM</t>
  </si>
  <si>
    <t>reenay0@gmail.com</t>
  </si>
  <si>
    <t>5/25/2021 7:09 PM</t>
  </si>
  <si>
    <t>scsowbhagya@gmail.com</t>
  </si>
  <si>
    <t>5/25/2021 7:13 PM</t>
  </si>
  <si>
    <t>ace.ap6@gmail.com</t>
  </si>
  <si>
    <t>5/25/2021 10:31 PM</t>
  </si>
  <si>
    <t>bhmthi8@gmail.com</t>
  </si>
  <si>
    <t>5/26/2021 6:15 AM</t>
  </si>
  <si>
    <t>akshu.nadig@gmail.com</t>
  </si>
  <si>
    <t>5/26/2021 10:16 AM</t>
  </si>
  <si>
    <t>paridhoke2d@gmail.com</t>
  </si>
  <si>
    <t>5/26/2021 10:19 AM</t>
  </si>
  <si>
    <t>mailmevijusha@gmail.com</t>
  </si>
  <si>
    <t>5/26/2021 11:23 AM</t>
  </si>
  <si>
    <t>dhanug632@gmail.com</t>
  </si>
  <si>
    <t>5/26/2021 1:08 PM</t>
  </si>
  <si>
    <t>blue_skyy_bee00@gmail.com</t>
  </si>
  <si>
    <t>5/26/2021 3:04 PM</t>
  </si>
  <si>
    <t>wanderlust0509@gmail.com</t>
  </si>
  <si>
    <t>5/26/2021 3:46 PM</t>
  </si>
  <si>
    <t>sharmashwet35@gmail.com</t>
  </si>
  <si>
    <t>5/26/2021 5:32 PM</t>
  </si>
  <si>
    <t>bhavana.mallavaram.18@gmail.com</t>
  </si>
  <si>
    <t>5/26/2021 9:18 PM</t>
  </si>
  <si>
    <t>bhumikarajput1510@gmail.com</t>
  </si>
  <si>
    <t>5/26/2021 10:28 PM</t>
  </si>
  <si>
    <t>surekhabangari06@gmail.com</t>
  </si>
  <si>
    <t>5/26/2021 10:43 PM</t>
  </si>
  <si>
    <t>subilal@outlook.com</t>
  </si>
  <si>
    <t>5/26/2021 11:50 PM</t>
  </si>
  <si>
    <t>mlalekhya3@gmail.com</t>
  </si>
  <si>
    <t>5/26/2021 11:59 PM</t>
  </si>
  <si>
    <t>vaishnavigparande@gmail.com</t>
  </si>
  <si>
    <t>5/27/2021 2:04 AM</t>
  </si>
  <si>
    <t>avnarana@gmail.com</t>
  </si>
  <si>
    <t>5/27/2021 10:30 AM</t>
  </si>
  <si>
    <t>gitanjanapaul@gmail.com</t>
  </si>
  <si>
    <t>5/27/2021 11:45 AM</t>
  </si>
  <si>
    <t>hardiksuneja@gmail.com</t>
  </si>
  <si>
    <t>5/27/2021 12:19 PM</t>
  </si>
  <si>
    <t>sskall90@gmail.com</t>
  </si>
  <si>
    <t>5/27/2021 2:50 PM</t>
  </si>
  <si>
    <t>rahulsinghmp968@gmail.com</t>
  </si>
  <si>
    <t>5/27/2021 3:05 PM</t>
  </si>
  <si>
    <t>ryashika712@gmail.com</t>
  </si>
  <si>
    <t>5/27/2021 4:23 PM</t>
  </si>
  <si>
    <t>5/27/2021 8:05 PM</t>
  </si>
  <si>
    <t>gyanvijaiswal349@gmail.com</t>
  </si>
  <si>
    <t>5/28/2021 8:38 AM</t>
  </si>
  <si>
    <t>ssingh.ishita@gmail.com</t>
  </si>
  <si>
    <t>5/28/2021 9:49 PM</t>
  </si>
  <si>
    <t>pawarpallu14@gmail.com</t>
  </si>
  <si>
    <t>5/28/2021 10:16 PM</t>
  </si>
  <si>
    <t>sawantarya2000@gmail.com</t>
  </si>
  <si>
    <t>5/28/2021 10:19 PM</t>
  </si>
  <si>
    <t>ashisaxena6409@gmail.com</t>
  </si>
  <si>
    <t>5/28/2021 10:28 PM</t>
  </si>
  <si>
    <t>5/29/2021 8:13 AM</t>
  </si>
  <si>
    <t>shweta.jaiswal9005@gmail.com</t>
  </si>
  <si>
    <t>5/29/2021 10:38 AM</t>
  </si>
  <si>
    <t>hansdahmaina10@gmail.com</t>
  </si>
  <si>
    <t>5/29/2021 4:49 PM</t>
  </si>
  <si>
    <t>ayushivansh239@gmail.com</t>
  </si>
  <si>
    <t>5/30/2021 9:16 AM</t>
  </si>
  <si>
    <t>mahajanshriyaa@gmail.com</t>
  </si>
  <si>
    <t>5/30/2021 11:32 AM</t>
  </si>
  <si>
    <t>venisa20@gmail.com</t>
  </si>
  <si>
    <t>5/30/2021 12:36 PM</t>
  </si>
  <si>
    <t>shruti.boddu92@gmail.com</t>
  </si>
  <si>
    <t>5/30/2021 2:57 PM</t>
  </si>
  <si>
    <t>manerahana@gmail.com</t>
  </si>
  <si>
    <t>5/30/2021 3:38 PM</t>
  </si>
  <si>
    <t>kapoorharpreet19@gmail.com</t>
  </si>
  <si>
    <t>5/30/2021 4:59 PM</t>
  </si>
  <si>
    <t>nirbhikasachdev22@gmail.com</t>
  </si>
  <si>
    <t>5/31/2021 10:31 AM</t>
  </si>
  <si>
    <t>mohdabuzar465@gmail.com</t>
  </si>
  <si>
    <t>5/31/2021 12:33 PM</t>
  </si>
  <si>
    <t>sharmamusk32@gmail.com</t>
  </si>
  <si>
    <t>5/31/2021 4:58 PM</t>
  </si>
  <si>
    <t>fareenhussain786@gmail.com</t>
  </si>
  <si>
    <t>priyankaayadav1807@gmail.com</t>
  </si>
  <si>
    <t>sravaninaidu499@gmail.com</t>
  </si>
  <si>
    <t>amruth.kumarnn@iipr.in</t>
  </si>
  <si>
    <t>dutta99anindita@gmail.com</t>
  </si>
  <si>
    <t>anshikachugh5@gmail.com</t>
  </si>
  <si>
    <t>tsukjem.aj@gmail.com</t>
  </si>
  <si>
    <t>meghana.chintapalli09@gmail.com</t>
  </si>
  <si>
    <t>jayshree.awle1503@gmail.com</t>
  </si>
  <si>
    <t>aishwaryabala69@gmail.com</t>
  </si>
  <si>
    <t>act.shivani12@gmail.com</t>
  </si>
  <si>
    <t>vaishprakash2001@gmail.com</t>
  </si>
  <si>
    <t>pchenna61@gmail.com</t>
  </si>
  <si>
    <t>sweetaarti1976@gmail.com</t>
  </si>
  <si>
    <t>s880115424@gmail.com</t>
  </si>
  <si>
    <t>aishwaryarajulu.p@gmail.com</t>
  </si>
  <si>
    <t>aarthi865@gmail.com</t>
  </si>
  <si>
    <t>saitejaswi66@gmail.com</t>
  </si>
  <si>
    <t>preritanama7023@gmail.com</t>
  </si>
  <si>
    <t>cherianjmerlin@gmail.com</t>
  </si>
  <si>
    <t>https://community.likeminds.community/hanhangul#Pricing</t>
  </si>
  <si>
    <t>satviksadh13@gamil.com</t>
  </si>
  <si>
    <t>ayonachanda28@gmail.com</t>
  </si>
  <si>
    <t>bianca.skumar@gmail.com</t>
  </si>
  <si>
    <t>avishapoojari10@gmail.com</t>
  </si>
  <si>
    <t>kanodialata@gmail.com</t>
  </si>
  <si>
    <t>nikhilkalia1991@gmail.com</t>
  </si>
  <si>
    <t>aasthagoel797@gmail.com</t>
  </si>
  <si>
    <t>girijacr24@gmail.com</t>
  </si>
  <si>
    <t>unnati300999@gmail.com</t>
  </si>
  <si>
    <t>surabhi.bhosale1772@gmail.com</t>
  </si>
  <si>
    <t>gichu92@gmail.com</t>
  </si>
  <si>
    <t>sonalini.rai@gmail.com</t>
  </si>
  <si>
    <t>diyab929@gmail.com</t>
  </si>
  <si>
    <t>mihir@likeminds.community</t>
  </si>
  <si>
    <t>vishaljayanth931@gmail.com</t>
  </si>
  <si>
    <t>jayalakshmip101@gmail.com</t>
  </si>
  <si>
    <t>chinmaiekarlapudi1998@gmail.com</t>
  </si>
  <si>
    <t>anniekashyap7019@gmail.com</t>
  </si>
  <si>
    <t>lakshmishree202@gmail.com</t>
  </si>
  <si>
    <t>aditi242408@gmail.com</t>
  </si>
  <si>
    <t>komalkashyap01999@gmail.com</t>
  </si>
  <si>
    <t>shananair00@gmail.com</t>
  </si>
  <si>
    <t>smeeta551@gmail.com</t>
  </si>
  <si>
    <t>rupalimundle0309@gmail.com</t>
  </si>
  <si>
    <t>amrutashant08@gmail.com</t>
  </si>
  <si>
    <t>gowthamiramesh98@gmail.com</t>
  </si>
  <si>
    <t>fenellalopez@gmail.com</t>
  </si>
  <si>
    <t>akshita.sharma2901@gmail.com</t>
  </si>
  <si>
    <t>mehermemon2@gmail.com</t>
  </si>
  <si>
    <t>https://hi.likeminds.community/hanhangul</t>
  </si>
  <si>
    <t>vaishnavi.gore812@gmail.com</t>
  </si>
  <si>
    <t>rashmijagtap63@gmail.com</t>
  </si>
  <si>
    <t>6/13/2021 12:46 AM</t>
  </si>
  <si>
    <t>layndaynasha@gmail.com</t>
  </si>
  <si>
    <t>ayanshmediahouse@gmail.com</t>
  </si>
  <si>
    <t>6/14/2021 10:04 PM</t>
  </si>
  <si>
    <t>fizamanu1234@gmail.com</t>
  </si>
  <si>
    <t>6/15/2021 1:45 PM</t>
  </si>
  <si>
    <t>6/15/2021 7:21 PM</t>
  </si>
  <si>
    <t>6/16/2021 9:54 AM</t>
  </si>
  <si>
    <t>6/16/2021 10:58 AM</t>
  </si>
  <si>
    <t>6/16/2021 11:53 AM</t>
  </si>
  <si>
    <t>viviennekhaiyar@gmail.com</t>
  </si>
  <si>
    <t>6/16/2021 5:59 PM</t>
  </si>
  <si>
    <t>shreyayonhi@gmail.com</t>
  </si>
  <si>
    <t>amruthapalukuri01@gmail.com</t>
  </si>
  <si>
    <t>6/17/2021 7:17 AM</t>
  </si>
  <si>
    <t>6/17/2021 7:50 AM</t>
  </si>
  <si>
    <t>phrangsngi15@gmail.com</t>
  </si>
  <si>
    <t>6/17/2021 8:53 AM</t>
  </si>
  <si>
    <t>saipranavi488@gmail.com</t>
  </si>
  <si>
    <t>6/19/2021 4:03 PM</t>
  </si>
  <si>
    <t>nayakabhinanda1998@gmail.com</t>
  </si>
  <si>
    <t>6/20/2021 12:25 PM</t>
  </si>
  <si>
    <t>barik.laxmi92@gmail.com</t>
  </si>
  <si>
    <t>6/20/2021 12:56 PM</t>
  </si>
  <si>
    <t>ananyadutta2910@gmail.com</t>
  </si>
  <si>
    <t>6/20/2021 1:41 PM</t>
  </si>
  <si>
    <t>payaldhar41@gmail.com</t>
  </si>
  <si>
    <t>6/20/2021 5:48 PM</t>
  </si>
  <si>
    <t>kritisha5252@gmail.com</t>
  </si>
  <si>
    <t>6/20/2021 10:12 PM</t>
  </si>
  <si>
    <t>kamalibaby3@gmail.com</t>
  </si>
  <si>
    <t>6/21/2021 10:17 AM</t>
  </si>
  <si>
    <t>tarandeepkaurladhar@gmail.com</t>
  </si>
  <si>
    <t>6/21/2021 10:57 AM</t>
  </si>
  <si>
    <t>vartikarajput1@gmail.com</t>
  </si>
  <si>
    <t>6/21/2021 11:55 AM</t>
  </si>
  <si>
    <t>6/21/2021 1:24 PM</t>
  </si>
  <si>
    <t>tejaswini97.tm@gmail.com</t>
  </si>
  <si>
    <t>6/21/2021 9:39 PM</t>
  </si>
  <si>
    <t>sehar1507@gmail.com</t>
  </si>
  <si>
    <t>6/21/2021 11:52 PM</t>
  </si>
  <si>
    <t>4/29/2021 8:35 PM</t>
  </si>
  <si>
    <t>jeevikamehta@gmail.com</t>
  </si>
  <si>
    <t>sonalavarku@gmail.com</t>
  </si>
  <si>
    <t>asrithagrace123@gmail.com</t>
  </si>
  <si>
    <t>nandanijaiswal193@gmail.com</t>
  </si>
  <si>
    <t>Happiness Fountain</t>
  </si>
  <si>
    <t>rahulraj6028@gmail.com</t>
  </si>
  <si>
    <t>5/20/2021 5:49 PM</t>
  </si>
  <si>
    <t>https://hi.likeminds.community/d/happiness-fountain</t>
  </si>
  <si>
    <t>5/21/2021 7:13 AM</t>
  </si>
  <si>
    <t>deepakmukundan2012@gmail.com</t>
  </si>
  <si>
    <t>5/21/2021 12:35 PM</t>
  </si>
  <si>
    <t>rajshreerajoria897@gmail.com</t>
  </si>
  <si>
    <t>5/22/2021 11:35 AM</t>
  </si>
  <si>
    <t>ammacare.pani@gmail.com</t>
  </si>
  <si>
    <t>5/22/2021 4:02 PM</t>
  </si>
  <si>
    <t>sanya.sabharwal@gmail.com</t>
  </si>
  <si>
    <t>5/22/2021 6:25 PM</t>
  </si>
  <si>
    <t>luke.desouza7@gmail.com</t>
  </si>
  <si>
    <t>5/23/2021 12:37 PM</t>
  </si>
  <si>
    <t>somyayadavsy2001@gmail.com</t>
  </si>
  <si>
    <t>5/24/2021 5:32 PM</t>
  </si>
  <si>
    <t>poojitha9.siripurapu@gmail.com</t>
  </si>
  <si>
    <t>5/24/2021 7:45 PM</t>
  </si>
  <si>
    <t>vksndhle@gmail.com</t>
  </si>
  <si>
    <t>5/24/2021 11:16 PM</t>
  </si>
  <si>
    <t>soharehman7838@gmail.com</t>
  </si>
  <si>
    <t>5/26/2021 4:08 AM</t>
  </si>
  <si>
    <t>kavita.iyer22@gmail.com</t>
  </si>
  <si>
    <t>5/26/2021 11:49 AM</t>
  </si>
  <si>
    <t>namrqthq.mpmp@gmail.com</t>
  </si>
  <si>
    <t>5/26/2021 12:46 PM</t>
  </si>
  <si>
    <t>innovationcarepune@gmail.com</t>
  </si>
  <si>
    <t>5/26/2021 7:23 PM</t>
  </si>
  <si>
    <t>deepaseren@gmail.com</t>
  </si>
  <si>
    <t>5/26/2021 10:10 PM</t>
  </si>
  <si>
    <t>rjbhardwaj216@gmail.com</t>
  </si>
  <si>
    <t>5/27/2021 7:54 PM</t>
  </si>
  <si>
    <t>ishakdubai2788@gmail.com</t>
  </si>
  <si>
    <t>5/28/2021 4:05 PM</t>
  </si>
  <si>
    <t>chandansharma010028@gmail.com</t>
  </si>
  <si>
    <t>5/28/2021 9:32 PM</t>
  </si>
  <si>
    <t>chandruit8@gmail.com</t>
  </si>
  <si>
    <t>5/28/2021 11:02 PM</t>
  </si>
  <si>
    <t>dhaval.chandaranaaz@gmail.com</t>
  </si>
  <si>
    <t>5/30/2021 12:40 PM</t>
  </si>
  <si>
    <t>bsukrutha22@gmail.com</t>
  </si>
  <si>
    <t>5/30/2021 11:19 PM</t>
  </si>
  <si>
    <t>chaitanyakuppala12@gmail.com</t>
  </si>
  <si>
    <t>5/31/2021 11:30 AM</t>
  </si>
  <si>
    <t>leenapoulose1971@gmail.com</t>
  </si>
  <si>
    <t>5/31/2021 11:32 PM</t>
  </si>
  <si>
    <t>ruchimm12@gmail.com</t>
  </si>
  <si>
    <t>priyasinghal527@gmail.com</t>
  </si>
  <si>
    <t>silky.arora8@gmail.com</t>
  </si>
  <si>
    <t>jayanthiv761@gmail.com</t>
  </si>
  <si>
    <t>sonaladdu361@gmail.com</t>
  </si>
  <si>
    <t>mkumar147258@gmail.com</t>
  </si>
  <si>
    <t>msquareinternationalm@gmail.com</t>
  </si>
  <si>
    <t>kunalgour.gour@gmail.com</t>
  </si>
  <si>
    <t>himanichauhan699@gmail.com</t>
  </si>
  <si>
    <t>suruchighaiye@yahoo.com</t>
  </si>
  <si>
    <t>mitali8989@gmail.com</t>
  </si>
  <si>
    <t>sonybagga@gmail.com</t>
  </si>
  <si>
    <t>ambadevaid@gmail.com</t>
  </si>
  <si>
    <t>Happy Ashram</t>
  </si>
  <si>
    <t>nittalayamini@gmail.com</t>
  </si>
  <si>
    <t>https://hi.likeminds.community/d/happy-ashram</t>
  </si>
  <si>
    <t>s.swethadri@gmail.com</t>
  </si>
  <si>
    <t>sonalmtech89@gmail.com</t>
  </si>
  <si>
    <t>awasthiswapnil@gmail.com</t>
  </si>
  <si>
    <t>amit.m.waghmare@gmail.com</t>
  </si>
  <si>
    <t>alagates@gmail.com</t>
  </si>
  <si>
    <t>5/16/2021 1:42 AM</t>
  </si>
  <si>
    <t>5/16/2021 1:57 AM</t>
  </si>
  <si>
    <t>amritap004@gmail.com</t>
  </si>
  <si>
    <t>5/16/2021 11:24 AM</t>
  </si>
  <si>
    <t>venkat247@gmail.com</t>
  </si>
  <si>
    <t>5/21/2021 12:52 PM</t>
  </si>
  <si>
    <t>madhur0206@gmail.com</t>
  </si>
  <si>
    <t>5/21/2021 2:52 PM</t>
  </si>
  <si>
    <t>satishagrawal629@gmail.com</t>
  </si>
  <si>
    <t>5/21/2021 4:09 PM</t>
  </si>
  <si>
    <t>bhavnadamania9@gmail.com</t>
  </si>
  <si>
    <t>5/21/2021 4:28 PM</t>
  </si>
  <si>
    <t>4590sudhir@gmail.com</t>
  </si>
  <si>
    <t>5/22/2021 4:43 PM</t>
  </si>
  <si>
    <t>preetisha.kaur@gmail.com</t>
  </si>
  <si>
    <t>5/23/2021 7:06 PM</t>
  </si>
  <si>
    <t>niharikagupta365@gmail.com</t>
  </si>
  <si>
    <t>5/24/2021 6:25 PM</t>
  </si>
  <si>
    <t>vijusmoon@gmail.com</t>
  </si>
  <si>
    <t>5/24/2021 10:48 PM</t>
  </si>
  <si>
    <t>divya.batraconnect@gmail.com</t>
  </si>
  <si>
    <t>5/25/2021 7:58 PM</t>
  </si>
  <si>
    <t>jaideep.abichandani@gmail.com</t>
  </si>
  <si>
    <t>5/26/2021 2:53 PM</t>
  </si>
  <si>
    <t>nimkarchitrangana@gmail.com</t>
  </si>
  <si>
    <t>5/26/2021 8:42 PM</t>
  </si>
  <si>
    <t>biswajit.bage@gmail.com</t>
  </si>
  <si>
    <t>5/27/2021 8:58 AM</t>
  </si>
  <si>
    <t>nagarjun316@gmail.com</t>
  </si>
  <si>
    <t>5/29/2021 10:08 PM</t>
  </si>
  <si>
    <t>9kbhardwaj@gmail.com</t>
  </si>
  <si>
    <t>5/30/2021 3:52 PM</t>
  </si>
  <si>
    <t>srinivishvarun@gmail.com</t>
  </si>
  <si>
    <t>future.nag@gmail.com</t>
  </si>
  <si>
    <t>balarajumallikarjuna@gmail.com</t>
  </si>
  <si>
    <t>patel.zil245@gmail.com</t>
  </si>
  <si>
    <t>adityaparhimfc@gmail.com</t>
  </si>
  <si>
    <t>roseramaa@gmail.com</t>
  </si>
  <si>
    <t>neetunt@hotmail.com</t>
  </si>
  <si>
    <t>https://hi.likeminds.community/d/happy-ashram#Pricing</t>
  </si>
  <si>
    <t>sandeepsheshadri.m@gmail.com</t>
  </si>
  <si>
    <t>amolchitale11@gmail.com</t>
  </si>
  <si>
    <t>sapre.anita1202@gmail.com</t>
  </si>
  <si>
    <t>drvidhinshah@gmail.com</t>
  </si>
  <si>
    <t>6/16/2021 11:46 AM</t>
  </si>
  <si>
    <t>choudharymani20@gmail.com</t>
  </si>
  <si>
    <t>6/16/2021 2:28 PM</t>
  </si>
  <si>
    <t>inbox.aayushi@gmail.com</t>
  </si>
  <si>
    <t>6/18/2021 12:01 PM</t>
  </si>
  <si>
    <t>6/22/2021 9:25 AM</t>
  </si>
  <si>
    <t>Happy Living</t>
  </si>
  <si>
    <t>sndhabu98e@gmail.com</t>
  </si>
  <si>
    <t>5/26/2021 11:43 AM</t>
  </si>
  <si>
    <t>https://hi.likeminds.community/d/happy-living</t>
  </si>
  <si>
    <t>samridhikhanna55@gmail.com</t>
  </si>
  <si>
    <t>5/26/2021 2:34 PM</t>
  </si>
  <si>
    <t>dashingabhishek@gmail.com</t>
  </si>
  <si>
    <t>5/28/2021 11:10 PM</t>
  </si>
  <si>
    <t>mallupavani22@gmail.com</t>
  </si>
  <si>
    <t>5/31/2021 1:36 PM</t>
  </si>
  <si>
    <t>anujaggl1980@gmail.com</t>
  </si>
  <si>
    <t>sumega24@gmail.com</t>
  </si>
  <si>
    <t>micheal0827@gmail.com</t>
  </si>
  <si>
    <t>https://hi.likeminds.community/d/happy-living#Pricing</t>
  </si>
  <si>
    <t>purnima.bisht21@gmail.com</t>
  </si>
  <si>
    <t>arul.georginal@gmail.com</t>
  </si>
  <si>
    <t>shraddhakunmun97@gmail.com</t>
  </si>
  <si>
    <t>gaurav.chandwani@gmail.com</t>
  </si>
  <si>
    <t>6/13/2021 11:44 PM</t>
  </si>
  <si>
    <t>ashutoshkundan2020@gmail.com</t>
  </si>
  <si>
    <t>6/14/2021 1:23 PM</t>
  </si>
  <si>
    <t>diyaredsy21@gmail.com</t>
  </si>
  <si>
    <t>6/14/2021 2:44 PM</t>
  </si>
  <si>
    <t>HEAL-Journey to Happiness</t>
  </si>
  <si>
    <t>spoojac@outlook.com</t>
  </si>
  <si>
    <t>https://hi.likeminds.community/d/heal-journey-to-happiness</t>
  </si>
  <si>
    <t>yugantika2313@gmail.con</t>
  </si>
  <si>
    <t>5/16/2021 5:27 PM</t>
  </si>
  <si>
    <t>smyk.kejriwal@gmail.com</t>
  </si>
  <si>
    <t>5/18/2021 10:10 PM</t>
  </si>
  <si>
    <t>ajibujji98@gmail.com</t>
  </si>
  <si>
    <t>https://hi.likeminds.community/d/heal-journey-to-happiness#Pricing</t>
  </si>
  <si>
    <t>preranagawde08@gmail.com</t>
  </si>
  <si>
    <t>6/18/2021 8:05 PM</t>
  </si>
  <si>
    <t>Ishavasya Yoga &amp; Relaxation</t>
  </si>
  <si>
    <t>yogitha0b47@gmail.com</t>
  </si>
  <si>
    <t>https://hi.likeminds.community/d/ishavasya-yoga-relaxation</t>
  </si>
  <si>
    <t>udspat1964@gmail.com</t>
  </si>
  <si>
    <t>baggapavan@hotmail.com</t>
  </si>
  <si>
    <t>purvikhandelwal.pk@gmail.com</t>
  </si>
  <si>
    <t>sravan93.davagni@gmail.com</t>
  </si>
  <si>
    <t>5/14/2021 10:47 PM</t>
  </si>
  <si>
    <t>sdhruve2016@gmail.com</t>
  </si>
  <si>
    <t>5/21/2021 2:44 AM</t>
  </si>
  <si>
    <t>shilpa24822@gmail.com</t>
  </si>
  <si>
    <t>5/21/2021 4:56 PM</t>
  </si>
  <si>
    <t>bansalanchal18@gmail.com</t>
  </si>
  <si>
    <t>5/22/2021 10:50 AM</t>
  </si>
  <si>
    <t>niksarode09@gmail.com</t>
  </si>
  <si>
    <t>5/22/2021 8:17 PM</t>
  </si>
  <si>
    <t>aiswaryakalle888@gmail.com</t>
  </si>
  <si>
    <t>5/22/2021 10:29 PM</t>
  </si>
  <si>
    <t>ingleshubham3093@gmail.com</t>
  </si>
  <si>
    <t>5/24/2021 11:39 AM</t>
  </si>
  <si>
    <t>maliniraman030390@gmail.com</t>
  </si>
  <si>
    <t>5/25/2021 11:25 AM</t>
  </si>
  <si>
    <t>koushik.gajulapalle22@gmail.com</t>
  </si>
  <si>
    <t>5/25/2021 7:50 PM</t>
  </si>
  <si>
    <t>bsaisatvika33@gmail.com</t>
  </si>
  <si>
    <t>5/25/2021 7:57 PM</t>
  </si>
  <si>
    <t>dr.narayan.mitra@gmail.com</t>
  </si>
  <si>
    <t>5/26/2021 8:18 AM</t>
  </si>
  <si>
    <t>mokkapatigeethasri@gmail.com</t>
  </si>
  <si>
    <t>5/26/2021 4:09 PM</t>
  </si>
  <si>
    <t>123movierock@gmail.com</t>
  </si>
  <si>
    <t>5/27/2021 9:37 AM</t>
  </si>
  <si>
    <t>kamatham.samhitha@gmail.com</t>
  </si>
  <si>
    <t>5/27/2021 4:10 PM</t>
  </si>
  <si>
    <t>ramalnavar@gmail.com</t>
  </si>
  <si>
    <t>5/27/2021 8:22 PM</t>
  </si>
  <si>
    <t>srikanthgasiganti@gmail.com</t>
  </si>
  <si>
    <t>5/28/2021 12:44 PM</t>
  </si>
  <si>
    <t>shweta.sh2@gmail.com</t>
  </si>
  <si>
    <t>5/30/2021 3:46 PM</t>
  </si>
  <si>
    <t>ashakale9893@gmail.com</t>
  </si>
  <si>
    <t>5/31/2021 7:28 AM</t>
  </si>
  <si>
    <t>minalloke@gmail.com</t>
  </si>
  <si>
    <t>5/31/2021 7:43 AM</t>
  </si>
  <si>
    <t>bhajan920@gmail.com</t>
  </si>
  <si>
    <t>5/31/2021 11:13 AM</t>
  </si>
  <si>
    <t>nasrins1905@gmail.com</t>
  </si>
  <si>
    <t>5/31/2021 6:49 PM</t>
  </si>
  <si>
    <t>zainabizzynotsobusy@gmail.com</t>
  </si>
  <si>
    <t>5/31/2021 8:22 PM</t>
  </si>
  <si>
    <t>sasuke11400374@gmail.com</t>
  </si>
  <si>
    <t>nazz7867@gmail.com</t>
  </si>
  <si>
    <t>erevathi21@gmail.com</t>
  </si>
  <si>
    <t>saraniangelbanerjee@gmail.com</t>
  </si>
  <si>
    <t>jyothi8008@gmail.com</t>
  </si>
  <si>
    <t>padmawatirajput94@gmail.com</t>
  </si>
  <si>
    <t>selvarajanj97@gmail.com</t>
  </si>
  <si>
    <t>ppatidardivya740@gmail.com</t>
  </si>
  <si>
    <t>anita.korade@gmail.com</t>
  </si>
  <si>
    <t>deshu97@gmail.com</t>
  </si>
  <si>
    <t>venkateshg4562@gmail.com</t>
  </si>
  <si>
    <t>agarwals112@live.com</t>
  </si>
  <si>
    <t>nanitha.dulam97@gmail.com</t>
  </si>
  <si>
    <t>suchi@idaksh.in</t>
  </si>
  <si>
    <t>abilashsp@gmail.com</t>
  </si>
  <si>
    <t>aksamicheal@gmail.com</t>
  </si>
  <si>
    <t>darshitashah1920@gmail.com</t>
  </si>
  <si>
    <t>deekshithasims@gmail.com</t>
  </si>
  <si>
    <t>gupta.atulgupta@gmail.com</t>
  </si>
  <si>
    <t>garg_dheeraj@ymail.com</t>
  </si>
  <si>
    <t>pavee4all@gmail.com</t>
  </si>
  <si>
    <t>silentchords@gmail.com</t>
  </si>
  <si>
    <t>suhasinisubramani@gmail.com</t>
  </si>
  <si>
    <t>binnymurria@gmail.com</t>
  </si>
  <si>
    <t>kundekarvikram910@gmail.com</t>
  </si>
  <si>
    <t>sumit.laxane@gmail.com</t>
  </si>
  <si>
    <t>prajinst@gmail.com</t>
  </si>
  <si>
    <t>akshugor@gmail.com</t>
  </si>
  <si>
    <t>6/13/2021 10:42 AM</t>
  </si>
  <si>
    <t>https://hi.likeminds.community/d/ishavasya-yoga-relaxation#Pricing</t>
  </si>
  <si>
    <t>rajanthangap@gmail.com</t>
  </si>
  <si>
    <t>pswbpl@gmail.com</t>
  </si>
  <si>
    <t>6/13/2021 9:27 PM</t>
  </si>
  <si>
    <t>pratikachauhan1002@gmail.c</t>
  </si>
  <si>
    <t>6/13/2021 11:39 PM</t>
  </si>
  <si>
    <t>sheenusivaraj@sahrdaya.ac.in</t>
  </si>
  <si>
    <t>6/14/2021 12:13 AM</t>
  </si>
  <si>
    <t>arbhavani@gmail.com</t>
  </si>
  <si>
    <t>6/14/2021 9:39 AM</t>
  </si>
  <si>
    <t>yuktasgi@gmail.com</t>
  </si>
  <si>
    <t>6/15/2021 12:03 AM</t>
  </si>
  <si>
    <t>kalpanareddy27594@gmail.com</t>
  </si>
  <si>
    <t>6/15/2021 5:07 PM</t>
  </si>
  <si>
    <t>shirisha.kurra38@gmail.com</t>
  </si>
  <si>
    <t>6/16/2021 8:18 AM</t>
  </si>
  <si>
    <t>sunraysalapati@yahoo.com</t>
  </si>
  <si>
    <t>6/16/2021 12:34 PM</t>
  </si>
  <si>
    <t>sharantejashivakumar@gmail.com</t>
  </si>
  <si>
    <t>6/17/2021 8:36 PM</t>
  </si>
  <si>
    <t>sahilsinghal@gmail.com</t>
  </si>
  <si>
    <t>6/18/2021 6:48 AM</t>
  </si>
  <si>
    <t>farhazareen@yahoo.com</t>
  </si>
  <si>
    <t>6/18/2021 11:46 AM</t>
  </si>
  <si>
    <t>anirudhshastry77@gmail.com</t>
  </si>
  <si>
    <t>6/19/2021 9:16 AM</t>
  </si>
  <si>
    <t>shazia.sayeed@gmail.com</t>
  </si>
  <si>
    <t>6/19/2021 11:57 AM</t>
  </si>
  <si>
    <t>namitha.vir@gmail.com</t>
  </si>
  <si>
    <t>6/19/2021 12:50 PM</t>
  </si>
  <si>
    <t>geeta23002@gmail.com</t>
  </si>
  <si>
    <t>6/19/2021 9:51 PM</t>
  </si>
  <si>
    <t>datta.rup1311@gmail.com</t>
  </si>
  <si>
    <t>6/20/2021 11:44 AM</t>
  </si>
  <si>
    <t>swarnarg1974@gmail.com</t>
  </si>
  <si>
    <t>6/20/2021 10:10 PM</t>
  </si>
  <si>
    <t>ayelin@thebravenewworld.com</t>
  </si>
  <si>
    <t>6/21/2021 6:53 AM</t>
  </si>
  <si>
    <t>6/21/2021 12:26 PM</t>
  </si>
  <si>
    <t>ppatil.301@gmail.com</t>
  </si>
  <si>
    <t>6/22/2021 9:56 AM</t>
  </si>
  <si>
    <t>vinzie1810@gmail.com</t>
  </si>
  <si>
    <t>6/22/2021 10:05 AM</t>
  </si>
  <si>
    <t>shanshui.moss614@gmail.com</t>
  </si>
  <si>
    <t>6/22/2021 10:18 AM</t>
  </si>
  <si>
    <t>neerajkumari.nk25@gmail.com</t>
  </si>
  <si>
    <t>6/22/2021 2:20 PM</t>
  </si>
  <si>
    <t>anjalidlalwani0@gmail.com</t>
  </si>
  <si>
    <t>6/22/2021 2:51 PM</t>
  </si>
  <si>
    <t>Khushi Se Yoga</t>
  </si>
  <si>
    <t>ashajohns@gmail.com</t>
  </si>
  <si>
    <t>https://hi.likeminds.community/khushi-se-yoga</t>
  </si>
  <si>
    <t>priya.u911@gmail.com</t>
  </si>
  <si>
    <t>saurabhhsingh1@gmail.com</t>
  </si>
  <si>
    <t>shirisha.yadav@gmail.com</t>
  </si>
  <si>
    <t>sksurendraiitb3@gmail.com</t>
  </si>
  <si>
    <t>vivekn.19@gmail.com</t>
  </si>
  <si>
    <t>rahulraghavan94@gmail.com</t>
  </si>
  <si>
    <t>priyankad.july@gmail.com</t>
  </si>
  <si>
    <t>rustagivipul@gmail.com</t>
  </si>
  <si>
    <t>guptamona911@gmail.com</t>
  </si>
  <si>
    <t>harsha.mehrotra@gmail.com</t>
  </si>
  <si>
    <t>diptipadhye7@gmail.com</t>
  </si>
  <si>
    <t>pattanayakargha@gmail.com</t>
  </si>
  <si>
    <t>veshakha.gulati@gmail.com</t>
  </si>
  <si>
    <t>fareeda.i.k@gmail.com</t>
  </si>
  <si>
    <t>umasnairassocham@gmail.com</t>
  </si>
  <si>
    <t>subh.85sharma@gmail.com</t>
  </si>
  <si>
    <t>amahante@gmail.com</t>
  </si>
  <si>
    <t>visionandmission2021@gmail.com</t>
  </si>
  <si>
    <t>5/16/2021 10:44 PM</t>
  </si>
  <si>
    <t>ramagopal.nr65@gmail.com</t>
  </si>
  <si>
    <t>5/16/2021 12:51 PM</t>
  </si>
  <si>
    <t>jaipathre@gmail.com</t>
  </si>
  <si>
    <t>5/17/2021 8:38 PM</t>
  </si>
  <si>
    <t>sudharao63@gmail.com</t>
  </si>
  <si>
    <t>5/17/2021 8:40 PM</t>
  </si>
  <si>
    <t>rsindhu79@yahoo.com</t>
  </si>
  <si>
    <t>5/17/2021 12:44 PM</t>
  </si>
  <si>
    <t>manushka49@gmail.com</t>
  </si>
  <si>
    <t>5/18/2021 11:43 AM</t>
  </si>
  <si>
    <t>anshikarana@outlook.com</t>
  </si>
  <si>
    <t>5/18/2021 12:38 AM</t>
  </si>
  <si>
    <t>abhilasha.shah27@gmail.com</t>
  </si>
  <si>
    <t>5/18/2021 4:42 PM</t>
  </si>
  <si>
    <t>subbaramireddy305@gmail.com</t>
  </si>
  <si>
    <t>5/18/2021 7:38 PM</t>
  </si>
  <si>
    <t>honeysibi@idrr.org</t>
  </si>
  <si>
    <t>5/19/2021 11:03 AM</t>
  </si>
  <si>
    <t>5/19/2021 2:56 PM</t>
  </si>
  <si>
    <t>prashantcse14@gmail.com</t>
  </si>
  <si>
    <t>5/20/2021 8:49 PM</t>
  </si>
  <si>
    <t>deepa.mailbox@gmail.com</t>
  </si>
  <si>
    <t>5/21/2021 8:22 AM</t>
  </si>
  <si>
    <t>sagar3@gmail.com</t>
  </si>
  <si>
    <t>5/22/2021 10:39 AM</t>
  </si>
  <si>
    <t>manjeetantil.antil@gmail.com</t>
  </si>
  <si>
    <t>5/22/2021 2:31 PM</t>
  </si>
  <si>
    <t>sdubara@gmail.com</t>
  </si>
  <si>
    <t>5/22/2021 3:40 PM</t>
  </si>
  <si>
    <t>shree_sumu@yahoo.co.in</t>
  </si>
  <si>
    <t>5/22/2021 5:02 PM</t>
  </si>
  <si>
    <t>aman20tiwari@gmail.com</t>
  </si>
  <si>
    <t>5/23/2021 7:05 PM</t>
  </si>
  <si>
    <t>5/30/2021 11:39 PM</t>
  </si>
  <si>
    <t>poojarathore1071992@gmail.com</t>
  </si>
  <si>
    <t>https://hi.likeminds.community/khushi-se-yoga#Pricing</t>
  </si>
  <si>
    <t>m.dharan85@gmail.com</t>
  </si>
  <si>
    <t>https://community.likeminds.community/ladies-and-gentlemen</t>
  </si>
  <si>
    <t>pranaviarora19@gmail.com</t>
  </si>
  <si>
    <t>najeebnajiya1@gmail.com</t>
  </si>
  <si>
    <t>krupapanchal1999@gmail.com</t>
  </si>
  <si>
    <t>aritrikap123@gmail.com</t>
  </si>
  <si>
    <t>sarjitchoksi950@gmail.com</t>
  </si>
  <si>
    <t>prakashd9991@gmail.com</t>
  </si>
  <si>
    <t>arjuncshetty@gmail.com</t>
  </si>
  <si>
    <t>lakshmi.illinda05@gmail.com</t>
  </si>
  <si>
    <t>kumar.avinab@yahoo.com</t>
  </si>
  <si>
    <t>jaysingh.1999jay@gmail.com</t>
  </si>
  <si>
    <t>connect@tejassarvankar.com</t>
  </si>
  <si>
    <t>sharafatmulla@gmail.com</t>
  </si>
  <si>
    <t>surya.aqu10@gmail.com</t>
  </si>
  <si>
    <t>samartha2899@gmail.com</t>
  </si>
  <si>
    <t>harshmsharma00@gmail.com</t>
  </si>
  <si>
    <t>khushiaher@gmail.com</t>
  </si>
  <si>
    <t>mskohly@gmail.com</t>
  </si>
  <si>
    <t>torakeshr@gmail.com</t>
  </si>
  <si>
    <t>rachanayadav3july@gmail.com</t>
  </si>
  <si>
    <t>hrkambsinha@outlook.com</t>
  </si>
  <si>
    <t>hvardhini1994@gmail.com</t>
  </si>
  <si>
    <t>5/17/2021 1:45 PM</t>
  </si>
  <si>
    <t>5/17/2021 1:59 PM</t>
  </si>
  <si>
    <t>5/17/2021 4:34 PM</t>
  </si>
  <si>
    <t>sriyamdigitalmarketing@gmail.com</t>
  </si>
  <si>
    <t>5/17/2021 10:38 AM</t>
  </si>
  <si>
    <t>awdpawan@gmail.com</t>
  </si>
  <si>
    <t>5/18/2021 11:45 AM</t>
  </si>
  <si>
    <t>5/20/2021 2:04 PM</t>
  </si>
  <si>
    <t>sumanshikha04@gmail.com</t>
  </si>
  <si>
    <t>5/21/2021 10:27 AM</t>
  </si>
  <si>
    <t>rawatchinu71@gmail.com</t>
  </si>
  <si>
    <t>5/22/2021 7:45 PM</t>
  </si>
  <si>
    <t>bgokuleee1997@gmail.com</t>
  </si>
  <si>
    <t>5/23/2021 2:11 PM</t>
  </si>
  <si>
    <t>kedarb21@gmail.com</t>
  </si>
  <si>
    <t>5/23/2021 9:57 PM</t>
  </si>
  <si>
    <t>sidpatson@gmail.com</t>
  </si>
  <si>
    <t>5/24/2021 9:18 AM</t>
  </si>
  <si>
    <t>transformyourself2021@gmail.com</t>
  </si>
  <si>
    <t>5/24/2021 3:03 PM</t>
  </si>
  <si>
    <t>raj7389171998@gmail.com</t>
  </si>
  <si>
    <t>5/24/2021 9:05 PM</t>
  </si>
  <si>
    <t>sohanroy0294@gmail.com</t>
  </si>
  <si>
    <t>5/25/2021 12:02 PM</t>
  </si>
  <si>
    <t>kukrejakaran48@gmail.com</t>
  </si>
  <si>
    <t>5/25/2021 1:09 PM</t>
  </si>
  <si>
    <t>ak4522912@gmail.com</t>
  </si>
  <si>
    <t>5/25/2021 5:41 PM</t>
  </si>
  <si>
    <t>jyotiyb@gmail.com</t>
  </si>
  <si>
    <t>5/25/2021 9:32 PM</t>
  </si>
  <si>
    <t>ankitrockstar064@gmail.com</t>
  </si>
  <si>
    <t>5/25/2021 11:21 PM</t>
  </si>
  <si>
    <t>chandrakant.ingale@gmail.com</t>
  </si>
  <si>
    <t>5/26/2021 6:49 AM</t>
  </si>
  <si>
    <t>kakh.patil@gmail.com</t>
  </si>
  <si>
    <t>5/26/2021 9:28 AM</t>
  </si>
  <si>
    <t>abhilash.cv@gmail.com</t>
  </si>
  <si>
    <t>5/26/2021 4:22 PM</t>
  </si>
  <si>
    <t>trishna.sagar@likeminds.community</t>
  </si>
  <si>
    <t>5/26/2021 8:13 PM</t>
  </si>
  <si>
    <t>tauhid.co786@gmail.com</t>
  </si>
  <si>
    <t>5/27/2021 1:34 AM</t>
  </si>
  <si>
    <t>nag@brainovision.in</t>
  </si>
  <si>
    <t>5/27/2021 5:48 AM</t>
  </si>
  <si>
    <t>nikita.prasad01@gmail.com</t>
  </si>
  <si>
    <t>5/27/2021 8:11 AM</t>
  </si>
  <si>
    <t>sanvi2805@gmail.com</t>
  </si>
  <si>
    <t>5/27/2021 12:14 PM</t>
  </si>
  <si>
    <t>shikha29102016@gmail.com</t>
  </si>
  <si>
    <t>5/28/2021 7:37 AM</t>
  </si>
  <si>
    <t>vaidekis@gmail.com</t>
  </si>
  <si>
    <t>5/28/2021 2:44 PM</t>
  </si>
  <si>
    <t>gayatrikarnatapu2@gmail.com</t>
  </si>
  <si>
    <t>5/29/2021 10:47 AM</t>
  </si>
  <si>
    <t>mdfarhan1801@gmail.com</t>
  </si>
  <si>
    <t>5/29/2021 3:22 PM</t>
  </si>
  <si>
    <t>sspavan999@gmail.com</t>
  </si>
  <si>
    <t>5/29/2021 5:17 PM</t>
  </si>
  <si>
    <t>kanhar.kuntala552@gmail.com</t>
  </si>
  <si>
    <t>5/30/2021 9:44 AM</t>
  </si>
  <si>
    <t>shivanisuman37@gmail.com</t>
  </si>
  <si>
    <t>5/30/2021 12:28 PM</t>
  </si>
  <si>
    <t>aimanfatma2001@gmail.com</t>
  </si>
  <si>
    <t>5/30/2021 4:26 PM</t>
  </si>
  <si>
    <t>yuvrajgunsola7453@gmail.com</t>
  </si>
  <si>
    <t>5/30/2021 4:28 PM</t>
  </si>
  <si>
    <t>jhanvijoshi790@gmail.com</t>
  </si>
  <si>
    <t>5/30/2021 5:16 PM</t>
  </si>
  <si>
    <t>cakarthiksharma@gmail.com</t>
  </si>
  <si>
    <t>5/30/2021 7:22 PM</t>
  </si>
  <si>
    <t>rashme290@gmail.com</t>
  </si>
  <si>
    <t>5/30/2021 10:26 PM</t>
  </si>
  <si>
    <t>sheetal240024@gmail.com</t>
  </si>
  <si>
    <t>5/31/2021 8:09 AM</t>
  </si>
  <si>
    <t>english@joshtalks.com</t>
  </si>
  <si>
    <t>5/31/2021 10:21 AM</t>
  </si>
  <si>
    <t>nishantsingh10081008@gmail.com</t>
  </si>
  <si>
    <t>5/31/2021 10:47 AM</t>
  </si>
  <si>
    <t>swetankmehrotra@gmail.com</t>
  </si>
  <si>
    <t>5/31/2021 1:04 PM</t>
  </si>
  <si>
    <t>aruninfo19@gmail.com</t>
  </si>
  <si>
    <t>5/31/2021 3:18 PM</t>
  </si>
  <si>
    <t>bharathipunithavathi@gmail.com</t>
  </si>
  <si>
    <t>ikrock88@gmail.com</t>
  </si>
  <si>
    <t>nk32293@gmail.com</t>
  </si>
  <si>
    <t>rudraagrawal2004@gmail.com</t>
  </si>
  <si>
    <t>anandm4m@gmail.com</t>
  </si>
  <si>
    <t>mrmdrizwan09@gmail.com</t>
  </si>
  <si>
    <t>chaitanyakumarsc@gmail.com</t>
  </si>
  <si>
    <t>prabirbera23@gmail.com</t>
  </si>
  <si>
    <t>gurudepandurang@gmail.com</t>
  </si>
  <si>
    <t>siyadshameera70@gmail.com</t>
  </si>
  <si>
    <t>pratikjadhav027@gmail.com</t>
  </si>
  <si>
    <t>singhshivamlaw93@gmail.com</t>
  </si>
  <si>
    <t>https://hi.likeminds.community/ladies-and-gentlemen</t>
  </si>
  <si>
    <t>pema.jamson@gmail.com</t>
  </si>
  <si>
    <t>nayazbashaa01@gmail.com</t>
  </si>
  <si>
    <t>singhsangeet120@gmail.com</t>
  </si>
  <si>
    <t>farhataisha@gmail.com</t>
  </si>
  <si>
    <t>https://hi.likeminds.community/ladies-and-gentlemen#Pricing</t>
  </si>
  <si>
    <t>shivamthakkar79@gmail.com</t>
  </si>
  <si>
    <t>malleshkattera420@gmail.com</t>
  </si>
  <si>
    <t>gssoni1999@gmail.com</t>
  </si>
  <si>
    <t>kaminisushmitha@gmail.com</t>
  </si>
  <si>
    <t>anuja382000@gmail.com</t>
  </si>
  <si>
    <t>bhavishyajn7@gmail.com</t>
  </si>
  <si>
    <t>mrmohammed939@gmail.com</t>
  </si>
  <si>
    <t>pandeypooja4618@gmail.com</t>
  </si>
  <si>
    <t>gaquravsihani27@gmail.com</t>
  </si>
  <si>
    <t>vandanarawat197@yahoo.com</t>
  </si>
  <si>
    <t>sumeetdba@gmail.com</t>
  </si>
  <si>
    <t>firozshaikh622@gmail.com</t>
  </si>
  <si>
    <t>leeminho123mansi0607@gmail.com</t>
  </si>
  <si>
    <t>savindra20nov@gmail.com</t>
  </si>
  <si>
    <t>abhishekmodi1991@gmail.com</t>
  </si>
  <si>
    <t>cgbijustephen@gmail.com</t>
  </si>
  <si>
    <t>devjosh.boddu@gmail.com</t>
  </si>
  <si>
    <t>keerthivasanb24@gmail.com</t>
  </si>
  <si>
    <t>6/13/2021 11:44 AM</t>
  </si>
  <si>
    <t>hlsowmya19@gmail.com</t>
  </si>
  <si>
    <t>6/13/2021 11:54 AM</t>
  </si>
  <si>
    <t>riteshgupta2582010@gmail.com</t>
  </si>
  <si>
    <t>6/14/2021 12:22 PM</t>
  </si>
  <si>
    <t>madhu.hifi7@gmail.com</t>
  </si>
  <si>
    <t>6/15/2021 5:46 AM</t>
  </si>
  <si>
    <t>6/15/2021 8:17 AM</t>
  </si>
  <si>
    <t>khandelwalpratham12@gmail.com</t>
  </si>
  <si>
    <t>6/16/2021 7:33 AM</t>
  </si>
  <si>
    <t>kiyer4802@gmail.com</t>
  </si>
  <si>
    <t>6/16/2021 11:17 AM</t>
  </si>
  <si>
    <t>asbalan87@gmail.com</t>
  </si>
  <si>
    <t>6/16/2021 11:25 AM</t>
  </si>
  <si>
    <t>komalch1409@gmail.com</t>
  </si>
  <si>
    <t>6/17/2021 12:46 AM</t>
  </si>
  <si>
    <t>hbandaru.mss@gmail.com</t>
  </si>
  <si>
    <t>6/17/2021 10:51 AM</t>
  </si>
  <si>
    <t>kanhaiya15397@gmail.com</t>
  </si>
  <si>
    <t>pritiswarnkar@gmail.com</t>
  </si>
  <si>
    <t>6/18/2021 6:26 PM</t>
  </si>
  <si>
    <t>gedelak99@gmail.com</t>
  </si>
  <si>
    <t>6/18/2021 9:31 PM</t>
  </si>
  <si>
    <t>ssidrah69@gmail.com</t>
  </si>
  <si>
    <t>6/18/2021 11:22 PM</t>
  </si>
  <si>
    <t>mehta.sushir@gmail.com</t>
  </si>
  <si>
    <t>6/18/2021 11:40 PM</t>
  </si>
  <si>
    <t>6/20/2021 7:42 PM</t>
  </si>
  <si>
    <t>naveen.mhrod2012@gmail.com</t>
  </si>
  <si>
    <t>6/20/2021 10:09 PM</t>
  </si>
  <si>
    <t>pragatipatnaik29@gmail.com</t>
  </si>
  <si>
    <t>6/21/2021 2:01 AM</t>
  </si>
  <si>
    <t>ramizmustak@gmail.com</t>
  </si>
  <si>
    <t>6/21/2021 5:16 PM</t>
  </si>
  <si>
    <t>sipu.biswal2k16@gmail.com</t>
  </si>
  <si>
    <t>6/21/2021 7:57 PM</t>
  </si>
  <si>
    <t>Language Careers</t>
  </si>
  <si>
    <t>ppruthvi09@gmail.com</t>
  </si>
  <si>
    <t>5/15/2021 2:10 PM</t>
  </si>
  <si>
    <t>https://community.likeminds.community/language-careers</t>
  </si>
  <si>
    <t>atulbansilalpatil@yahoo.com</t>
  </si>
  <si>
    <t>5/16/2021 11:29 PM</t>
  </si>
  <si>
    <t>deepikajananibala@gmail.com</t>
  </si>
  <si>
    <t>5/16/2021 12:43 PM</t>
  </si>
  <si>
    <t>santosmakam@gmail.com</t>
  </si>
  <si>
    <t>5/17/2021 2:57 PM</t>
  </si>
  <si>
    <t>ktrsmart@gmail.com</t>
  </si>
  <si>
    <t>5/17/2021 12:46 PM</t>
  </si>
  <si>
    <t>paramhdfc@yahoo.com</t>
  </si>
  <si>
    <t>5/18/2021 5:57 AM</t>
  </si>
  <si>
    <t>sylvester.kunder@gmail.com</t>
  </si>
  <si>
    <t>5/19/2021 1:36 PM</t>
  </si>
  <si>
    <t>priyankabaravkar1086@gmail.com</t>
  </si>
  <si>
    <t>5/20/2021 4:09 PM</t>
  </si>
  <si>
    <t>ruchira.klki16@gmail.com</t>
  </si>
  <si>
    <t>5/22/2021 8:00 AM</t>
  </si>
  <si>
    <t>eenaarora07@gmail.com</t>
  </si>
  <si>
    <t>5/22/2021 3:20 PM</t>
  </si>
  <si>
    <t>vohrag19@gmail.com</t>
  </si>
  <si>
    <t>5/23/2021 10:35 AM</t>
  </si>
  <si>
    <t>vijaygupta701@gmail.com</t>
  </si>
  <si>
    <t>5/23/2021 12:24 PM</t>
  </si>
  <si>
    <t>mahimagupta733@gmail.com</t>
  </si>
  <si>
    <t>5/24/2021 10:58 AM</t>
  </si>
  <si>
    <t>mouryaa.vijayy2012@gmail.com</t>
  </si>
  <si>
    <t>du07rga@gmail.com</t>
  </si>
  <si>
    <t>5/25/2021 6:10 PM</t>
  </si>
  <si>
    <t>prajaktasbarve@gmail.com</t>
  </si>
  <si>
    <t>5/28/2021 1:45 PM</t>
  </si>
  <si>
    <t>chitra7588@gmail.com</t>
  </si>
  <si>
    <t>5/28/2021 5:32 PM</t>
  </si>
  <si>
    <t>iamsiddhantdhawan@gmail.com</t>
  </si>
  <si>
    <t>5/29/2021 8:05 AM</t>
  </si>
  <si>
    <t>namithadasvk@gmail.com</t>
  </si>
  <si>
    <t>5/31/2021 1:33 PM</t>
  </si>
  <si>
    <t>ashwineephatak@gmail.com</t>
  </si>
  <si>
    <t>5/31/2021 4:32 PM</t>
  </si>
  <si>
    <t>pink.meenu84@gmail.com</t>
  </si>
  <si>
    <t>sandeshmagar1982@gmail.com</t>
  </si>
  <si>
    <t>anamikayadavakkaldev@gmail.com</t>
  </si>
  <si>
    <t>tariquealam8090@gmail.com</t>
  </si>
  <si>
    <t>kulkarnivainayaki@gmail.com</t>
  </si>
  <si>
    <t>diptig2831996@gmail.com</t>
  </si>
  <si>
    <t>https://community.likeminds.community/language-careers#Pricing</t>
  </si>
  <si>
    <t>himasainee3@gmail.com</t>
  </si>
  <si>
    <t>layekayon@gmail.com</t>
  </si>
  <si>
    <t>tummanaren@gmail.com</t>
  </si>
  <si>
    <t>jaishnaa19@gmail.com</t>
  </si>
  <si>
    <t>vaishnavibaniya05@gmail.com</t>
  </si>
  <si>
    <t>mukherjeeaprajita14@gmail.com</t>
  </si>
  <si>
    <t>mdarmaan13@gmail.com</t>
  </si>
  <si>
    <t>shrutisethi292@gmail.com</t>
  </si>
  <si>
    <t>poulami87roy@gmail.com</t>
  </si>
  <si>
    <t>rowenaalwin@gmail.com</t>
  </si>
  <si>
    <t>nadafsalma490@gmail.com</t>
  </si>
  <si>
    <t>mayura2309@yahoo.com</t>
  </si>
  <si>
    <t>carrotleaf13@gmail.com</t>
  </si>
  <si>
    <t>saklani.arvind@gmail.com</t>
  </si>
  <si>
    <t>6/13/2021 7:10 AM</t>
  </si>
  <si>
    <t>skshweta97@gmail.com</t>
  </si>
  <si>
    <t>6/13/2021 8:53 AM</t>
  </si>
  <si>
    <t>poorniparam@gmail.com</t>
  </si>
  <si>
    <t>6/13/2021 10:12 AM</t>
  </si>
  <si>
    <t>alizaloyolite@gmail.com</t>
  </si>
  <si>
    <t>6/13/2021 10:23 AM</t>
  </si>
  <si>
    <t>msrajput1196@gmail.com</t>
  </si>
  <si>
    <t>6/14/2021 7:35 PM</t>
  </si>
  <si>
    <t>sangitasingh087@gmail.com</t>
  </si>
  <si>
    <t>6/15/2021 12:18 PM</t>
  </si>
  <si>
    <t>gk127890@gmail.com</t>
  </si>
  <si>
    <t>6/16/2021 10:26 AM</t>
  </si>
  <si>
    <t>aartigarje7@gmail.com</t>
  </si>
  <si>
    <t>6/16/2021 11:39 AM</t>
  </si>
  <si>
    <t>dilipkumarloganathan@gmail.com</t>
  </si>
  <si>
    <t>6/17/2021 5:59 PM</t>
  </si>
  <si>
    <t>chaitanya4v@gmail.com</t>
  </si>
  <si>
    <t>6/18/2021 12:21 AM</t>
  </si>
  <si>
    <t>parul280897@gmail.com</t>
  </si>
  <si>
    <t>6/19/2021 10:28 AM</t>
  </si>
  <si>
    <t>jyoti1408singh@gmail.com</t>
  </si>
  <si>
    <t>6/19/2021 11:36 PM</t>
  </si>
  <si>
    <t>debdattachakraborty15@gmail.com</t>
  </si>
  <si>
    <t>6/20/2021 12:25 AM</t>
  </si>
  <si>
    <t>shyamalaxmi1991@gmail.com</t>
  </si>
  <si>
    <t>6/21/2021 11:15 AM</t>
  </si>
  <si>
    <t>alinaakhtar72@gmail.com</t>
  </si>
  <si>
    <t>6/21/2021 12:23 PM</t>
  </si>
  <si>
    <t>Lazy Gamers</t>
  </si>
  <si>
    <t>devilsheel@gmail.com</t>
  </si>
  <si>
    <t>https://hi.likeminds.community/lazy-gamers</t>
  </si>
  <si>
    <t>anuranjanverma9@gmail.com</t>
  </si>
  <si>
    <t>dhwaani@gmail.com</t>
  </si>
  <si>
    <t>navinmax@gmail.com</t>
  </si>
  <si>
    <t>5/16/2021 8:17 AM</t>
  </si>
  <si>
    <t>siddharthnair350@gmail.com</t>
  </si>
  <si>
    <t>5/16/2021 8:24 AM</t>
  </si>
  <si>
    <t>allenec1998@gmail.com</t>
  </si>
  <si>
    <t>5/22/2021 2:49 PM</t>
  </si>
  <si>
    <t>tandon.yajvin31@gmail.com</t>
  </si>
  <si>
    <t>5/22/2021 7:42 PM</t>
  </si>
  <si>
    <t>pavanganesh990011@gmail.com</t>
  </si>
  <si>
    <t>5/23/2021 5:07 PM</t>
  </si>
  <si>
    <t>sahu.adityanarayan91@gmail.com</t>
  </si>
  <si>
    <t>5/23/2021 10:41 PM</t>
  </si>
  <si>
    <t>sohailm074@gmail.com</t>
  </si>
  <si>
    <t>5/25/2021 11:26 AM</t>
  </si>
  <si>
    <t>architgupta0001@gmail.com</t>
  </si>
  <si>
    <t>5/25/2021 11:45 AM</t>
  </si>
  <si>
    <t>jamespayyon2301@gmail.com</t>
  </si>
  <si>
    <t>5/27/2021 12:20 AM</t>
  </si>
  <si>
    <t>manoj3123@gmail.com</t>
  </si>
  <si>
    <t>5/27/2021 7:23 PM</t>
  </si>
  <si>
    <t>rohitjha30891@yahoo.com</t>
  </si>
  <si>
    <t>5/28/2021 1:27 PM</t>
  </si>
  <si>
    <t>Learn German with Heer</t>
  </si>
  <si>
    <t>PLATINUM</t>
  </si>
  <si>
    <t>shrutikamamulkar@gmail.com</t>
  </si>
  <si>
    <t>5/26/2021 9:56 PM</t>
  </si>
  <si>
    <t>https://hi.likeminds.community/d/heer-haria#Pricing</t>
  </si>
  <si>
    <t>SILVER</t>
  </si>
  <si>
    <t>sushmitasgoswami@gmail.com</t>
  </si>
  <si>
    <t>5/28/2021 10:30 AM</t>
  </si>
  <si>
    <t>lahotijeet235@gmail.com</t>
  </si>
  <si>
    <t>5/28/2021 10:37 AM</t>
  </si>
  <si>
    <t>aadityavaru@gmail.com</t>
  </si>
  <si>
    <t>5/28/2021 11:06 AM</t>
  </si>
  <si>
    <t>ciya182010@gmail.com</t>
  </si>
  <si>
    <t>5/28/2021 3:11 PM</t>
  </si>
  <si>
    <t>5/29/2021 11:22 AM</t>
  </si>
  <si>
    <t>anudeep1770@gmail.com</t>
  </si>
  <si>
    <t>5/29/2021 5:56 PM</t>
  </si>
  <si>
    <t>GOLD</t>
  </si>
  <si>
    <t>aayushsurana12@gmail.com</t>
  </si>
  <si>
    <t>5/30/2021 10:08 AM</t>
  </si>
  <si>
    <t>nirav.shinde@gmail.com</t>
  </si>
  <si>
    <t>5/31/2021 2:00 PM</t>
  </si>
  <si>
    <t>5/31/2021 10:07 PM</t>
  </si>
  <si>
    <t>sayanghosh987@gmail.com</t>
  </si>
  <si>
    <t>juhi.momaya91@gmail.com</t>
  </si>
  <si>
    <t>https://hi.likeminds.community/d/heer-haria</t>
  </si>
  <si>
    <t>sahaankita2010@gmail.com</t>
  </si>
  <si>
    <t>darshana.d1011@gmail.com</t>
  </si>
  <si>
    <t>Let's speak english</t>
  </si>
  <si>
    <t>rajkumarjagdale9696@gmail.com</t>
  </si>
  <si>
    <t>5/20/2021 3:07 PM</t>
  </si>
  <si>
    <t>https://community.likeminds.community/d/lets-speak-english</t>
  </si>
  <si>
    <t>5/20/2021 5:39 PM</t>
  </si>
  <si>
    <t>5/21/2021 9:01 AM</t>
  </si>
  <si>
    <t>69aaks@gmail.com</t>
  </si>
  <si>
    <t>5/22/2021 8:11 AM</t>
  </si>
  <si>
    <t>wahibalnuzaili101@gmail.com</t>
  </si>
  <si>
    <t>5/22/2021 8:54 AM</t>
  </si>
  <si>
    <t>varshadurgempudi@gmail.com</t>
  </si>
  <si>
    <t>5/22/2021 9:11 AM</t>
  </si>
  <si>
    <t>tandeljigar27@gmail.com</t>
  </si>
  <si>
    <t>5/22/2021 5:16 PM</t>
  </si>
  <si>
    <t>mathan_tech@rediffmail.com</t>
  </si>
  <si>
    <t>5/22/2021 9:42 PM</t>
  </si>
  <si>
    <t>jitendrabisoi21@gmail.com</t>
  </si>
  <si>
    <t>5/23/2021 7:44 AM</t>
  </si>
  <si>
    <t>rokhimunnisa@gmail.com</t>
  </si>
  <si>
    <t>5/23/2021 7:53 AM</t>
  </si>
  <si>
    <t>vinaydharpure97@gmail.com</t>
  </si>
  <si>
    <t>5/23/2021 10:40 AM</t>
  </si>
  <si>
    <t>pwani2021@gmail.com</t>
  </si>
  <si>
    <t>5/23/2021 11:14 AM</t>
  </si>
  <si>
    <t>ankit_231990@yahoo.co.in</t>
  </si>
  <si>
    <t>5/23/2021 6:54 PM</t>
  </si>
  <si>
    <t>akulanikitha01@gmail.com</t>
  </si>
  <si>
    <t>5/23/2021 11:50 PM</t>
  </si>
  <si>
    <t>nadimmeeranavar@gmail.com</t>
  </si>
  <si>
    <t>5/24/2021 2:00 AM</t>
  </si>
  <si>
    <t>bunykartik@gmail.com</t>
  </si>
  <si>
    <t>5/24/2021 11:31 AM</t>
  </si>
  <si>
    <t>prabha.viji@gmail.com</t>
  </si>
  <si>
    <t>5/24/2021 1:25 PM</t>
  </si>
  <si>
    <t>bisanidiksha65@gmail.com</t>
  </si>
  <si>
    <t>gurumahajan21@gmail.com</t>
  </si>
  <si>
    <t>5/24/2021 4:27 PM</t>
  </si>
  <si>
    <t>aniket.dodke@gmail.com</t>
  </si>
  <si>
    <t>mahmoodeadnan881@gmail.com</t>
  </si>
  <si>
    <t>5/24/2021 5:27 PM</t>
  </si>
  <si>
    <t>aakash8699952797@gmail.com</t>
  </si>
  <si>
    <t>5/25/2021 12:13 AM</t>
  </si>
  <si>
    <t>prashantkumarsanu66@gmail.com</t>
  </si>
  <si>
    <t>5/25/2021 1:03 AM</t>
  </si>
  <si>
    <t>kuldeep.s.singh94@gnail.com</t>
  </si>
  <si>
    <t>5/25/2021 1:02 PM</t>
  </si>
  <si>
    <t>ajay.prosupp@gmail.com</t>
  </si>
  <si>
    <t>5/25/2021 5:12 PM</t>
  </si>
  <si>
    <t>ayanhalder242@gmail.com</t>
  </si>
  <si>
    <t>5/25/2021 6:13 PM</t>
  </si>
  <si>
    <t>vishnumt7872@gmail.com</t>
  </si>
  <si>
    <t>5/26/2021 12:35 PM</t>
  </si>
  <si>
    <t>sxnlovely@gmail.com</t>
  </si>
  <si>
    <t>5/26/2021 1:12 PM</t>
  </si>
  <si>
    <t>abhisheknirala900@gmail.com</t>
  </si>
  <si>
    <t>5/26/2021 5:30 PM</t>
  </si>
  <si>
    <t>kalyankadium2@gmail.com</t>
  </si>
  <si>
    <t>5/26/2021 7:10 PM</t>
  </si>
  <si>
    <t>mailtoarulkumar602@gmail.com</t>
  </si>
  <si>
    <t>5/26/2021 10:04 PM</t>
  </si>
  <si>
    <t>hamzahussein61@gmail.com</t>
  </si>
  <si>
    <t>5/27/2021 3:07 AM</t>
  </si>
  <si>
    <t>sundararajkrishnakumar@gmail.com</t>
  </si>
  <si>
    <t>5/27/2021 9:10 AM</t>
  </si>
  <si>
    <t>kabir.rawal009@gmail.com</t>
  </si>
  <si>
    <t>5/27/2021 10:01 AM</t>
  </si>
  <si>
    <t>mumuthukamaraj.10@gmail.c</t>
  </si>
  <si>
    <t>sdas10135@gmail.com</t>
  </si>
  <si>
    <t>raj@vishwastratis.com</t>
  </si>
  <si>
    <t>5/27/2021 4:46 PM</t>
  </si>
  <si>
    <t>sakhavseeyes@gmail.com</t>
  </si>
  <si>
    <t>5/27/2021 10:52 PM</t>
  </si>
  <si>
    <t>sourav26saha@gmail.com</t>
  </si>
  <si>
    <t>5/28/2021 1:36 AM</t>
  </si>
  <si>
    <t>chingkam997@gmail.com</t>
  </si>
  <si>
    <t>5/28/2021 8:22 AM</t>
  </si>
  <si>
    <t>mohanprabukongu@gmail.com</t>
  </si>
  <si>
    <t>5/28/2021 12:28 PM</t>
  </si>
  <si>
    <t>mohantykousik@gmail.com</t>
  </si>
  <si>
    <t>5/28/2021 9:11 PM</t>
  </si>
  <si>
    <t>harjas619@gmail.com</t>
  </si>
  <si>
    <t>5/29/2021 12:12 AM</t>
  </si>
  <si>
    <t>balarakesh490@gmail.com</t>
  </si>
  <si>
    <t>5/29/2021 1:33 PM</t>
  </si>
  <si>
    <t>subashkanth007@gmail.com</t>
  </si>
  <si>
    <t>5/29/2021 6:48 PM</t>
  </si>
  <si>
    <t>charugrover59@gmail.com</t>
  </si>
  <si>
    <t>5/29/2021 9:34 PM</t>
  </si>
  <si>
    <t>akankshapaliwal8989@gmail.com</t>
  </si>
  <si>
    <t>5/30/2021 8:35 AM</t>
  </si>
  <si>
    <t>patrachandan087@gmail.com</t>
  </si>
  <si>
    <t>sushmita1998shukla@gmail.com</t>
  </si>
  <si>
    <t>5/30/2021 12:25 PM</t>
  </si>
  <si>
    <t>parvathyk285@gmail.com</t>
  </si>
  <si>
    <t>5/31/2021 12:58 PM</t>
  </si>
  <si>
    <t>naveenmandlekar07@gmail.com</t>
  </si>
  <si>
    <t>5/31/2021 4:01 PM</t>
  </si>
  <si>
    <t>preeti1.mdl@gmail.com</t>
  </si>
  <si>
    <t>5/31/2021 6:21 PM</t>
  </si>
  <si>
    <t>ysaloni872@gmail.com</t>
  </si>
  <si>
    <t>soumik.bhattacharya55@gmail.com</t>
  </si>
  <si>
    <t>adithyakochoos@gmail.com</t>
  </si>
  <si>
    <t>prakashsingh427427@gmail.com</t>
  </si>
  <si>
    <t>tripathishreya072@gmail.com</t>
  </si>
  <si>
    <t>vinodkumar11125@gmail.com</t>
  </si>
  <si>
    <t>y.v.v.hemanth981@gmail.com</t>
  </si>
  <si>
    <t>dadas.com.dep@gmail.com</t>
  </si>
  <si>
    <t>pandey1sushila@gmail.com</t>
  </si>
  <si>
    <t>sonisamudrala22@gmail.com</t>
  </si>
  <si>
    <t>kajalrathore772@gmail.com</t>
  </si>
  <si>
    <t>sowndharyasakthivel30@gmail.com</t>
  </si>
  <si>
    <t>aartilad13@gmail.com</t>
  </si>
  <si>
    <t>https://hi.likeminds.community/d/lets-speak-english</t>
  </si>
  <si>
    <t>akshaykhaire13@gmail.com</t>
  </si>
  <si>
    <t>nishj456@gmail.com</t>
  </si>
  <si>
    <t>saitejapanagatla9999@gmail.com</t>
  </si>
  <si>
    <t>sahanabhmtwinkle@gmail.com</t>
  </si>
  <si>
    <t>6/13/2021 2:14 PM</t>
  </si>
  <si>
    <t>mamathahc410@gmail.com</t>
  </si>
  <si>
    <t>6/13/2021 10:03 PM</t>
  </si>
  <si>
    <t>tripurasoni0430@gmail.com</t>
  </si>
  <si>
    <t>6/14/2021 4:22 PM</t>
  </si>
  <si>
    <t>avinashgrandhi9@gmail.com</t>
  </si>
  <si>
    <t>6/14/2021 11:45 PM</t>
  </si>
  <si>
    <t>ishantpatel172@gmail.com</t>
  </si>
  <si>
    <t>6/15/2021 12:31 PM</t>
  </si>
  <si>
    <t>deepalivermasml@gmail.com</t>
  </si>
  <si>
    <t>6/15/2021 1:46 PM</t>
  </si>
  <si>
    <t>abhay2680@gmail.com</t>
  </si>
  <si>
    <t>6/15/2021 3:07 PM</t>
  </si>
  <si>
    <t>https://hi.likeminds.community/d/lets-speak-english#Pricing</t>
  </si>
  <si>
    <t>damunadipalli68@gmail.com</t>
  </si>
  <si>
    <t>6/15/2021 10:23 PM</t>
  </si>
  <si>
    <t>harists99@gmail.com</t>
  </si>
  <si>
    <t>lohiarachna5@gmail.com</t>
  </si>
  <si>
    <t>6/16/2021 12:59 PM</t>
  </si>
  <si>
    <t>vigneshvenkatesan5@gmail.com</t>
  </si>
  <si>
    <t>6/17/2021 9:33 AM</t>
  </si>
  <si>
    <t>nidhi8oct1997@gmail.com</t>
  </si>
  <si>
    <t>6/17/2021 11:18 AM</t>
  </si>
  <si>
    <t>akhilaveeragandham@gmail.com</t>
  </si>
  <si>
    <t>6/17/2021 9:08 PM</t>
  </si>
  <si>
    <t>udayduggireddy@gmail.com</t>
  </si>
  <si>
    <t>6/19/2021 9:41 AM</t>
  </si>
  <si>
    <t>prlgupta34@gmail.com</t>
  </si>
  <si>
    <t>6/19/2021 11:50 PM</t>
  </si>
  <si>
    <t>lalswamy.b@gmail.com</t>
  </si>
  <si>
    <t>6/21/2021 1:31 AM</t>
  </si>
  <si>
    <t>basheershana46@gmail.com</t>
  </si>
  <si>
    <t>6/21/2021 11:31 PM</t>
  </si>
  <si>
    <t>chamanmeeranaver786@gmail.com</t>
  </si>
  <si>
    <t>6/22/2021 12:37 AM</t>
  </si>
  <si>
    <t>dikshajhamtani01@gmail.com</t>
  </si>
  <si>
    <t>meclinejosefl@gmail.com</t>
  </si>
  <si>
    <t>anushka51200@gmail.com</t>
  </si>
  <si>
    <t>thakur.raghav1993m@gmail.com</t>
  </si>
  <si>
    <t>sailpatnala@gmail.com</t>
  </si>
  <si>
    <t>sakshig98@gmail.com</t>
  </si>
  <si>
    <t>prajwalbs76@gmail.com</t>
  </si>
  <si>
    <t>samarthchugh99@gmail.com</t>
  </si>
  <si>
    <t>mohit.damani@ymail.com</t>
  </si>
  <si>
    <t>tanyamuralibpl@gmail.com</t>
  </si>
  <si>
    <t>nivedita.roy03@gmail.com</t>
  </si>
  <si>
    <t>Magical parenting</t>
  </si>
  <si>
    <t>5/23/2021 11:55 PM</t>
  </si>
  <si>
    <t>https://hi.likeminds.community/d/magical-parenting</t>
  </si>
  <si>
    <t>shraddhar88@gmail.com</t>
  </si>
  <si>
    <t>5/27/2021 11:46 AM</t>
  </si>
  <si>
    <t>Mentor Mate</t>
  </si>
  <si>
    <t>anurag.kesarwani1@gmail.com</t>
  </si>
  <si>
    <t>5/18/2021 7:33 PM</t>
  </si>
  <si>
    <t>https://hi.likeminds.community/d/mentor-mate</t>
  </si>
  <si>
    <t>Mom Shares Club</t>
  </si>
  <si>
    <t>tobindiya@gmail.com</t>
  </si>
  <si>
    <t>https://community.likeminds.community/mom-shares-club</t>
  </si>
  <si>
    <t>iyer.priya92@gmail.com</t>
  </si>
  <si>
    <t>sparvathi28@gmail.com</t>
  </si>
  <si>
    <t>aparnabhat.14@gmail.com</t>
  </si>
  <si>
    <t>ssarita4484@gmail.com</t>
  </si>
  <si>
    <t>capt_prerna@yahoo.com</t>
  </si>
  <si>
    <t>nehasingh.vijayrajindia@gmail.com</t>
  </si>
  <si>
    <t>yogitalabrath@gmail.com</t>
  </si>
  <si>
    <t>sugandhi.dawar@gmail.com</t>
  </si>
  <si>
    <t>shefalipoojary@gmail.com</t>
  </si>
  <si>
    <t>udeesha@gmail.com</t>
  </si>
  <si>
    <t>dr.sofia77@gmail.com</t>
  </si>
  <si>
    <t>panditpaulomi@gmail.com</t>
  </si>
  <si>
    <t>devanshi_bhatt2004@yahoo.com</t>
  </si>
  <si>
    <t>research_kriti12@uahoo.co.in</t>
  </si>
  <si>
    <t>5/15/2021 4:44 PM</t>
  </si>
  <si>
    <t>diveatwal94@gmail.com</t>
  </si>
  <si>
    <t>5/15/2021 6:29 AM</t>
  </si>
  <si>
    <t>patulitengg@gmail.com</t>
  </si>
  <si>
    <t>5/15/2021 9:17 AM</t>
  </si>
  <si>
    <t>drmanaswitabiswas@gmail.com</t>
  </si>
  <si>
    <t>5/16/2021 10:08 PM</t>
  </si>
  <si>
    <t>malhotrashikpa@gmail.com</t>
  </si>
  <si>
    <t>5/17/2021 7:52 AM</t>
  </si>
  <si>
    <t>5/18/2021 5:13 PM</t>
  </si>
  <si>
    <t>gleneysaldhana@gmail.com</t>
  </si>
  <si>
    <t>5/20/2021 7:18 PM</t>
  </si>
  <si>
    <t>shehnazpowergal@gmail.com</t>
  </si>
  <si>
    <t>5/22/2021 11:48 AM</t>
  </si>
  <si>
    <t>nbhunjoun@gmail.com</t>
  </si>
  <si>
    <t>dee@inkpotters.com</t>
  </si>
  <si>
    <t>5/23/2021 10:11 AM</t>
  </si>
  <si>
    <t>littlemistersmommy@gmail.com</t>
  </si>
  <si>
    <t>5/23/2021 8:26 PM</t>
  </si>
  <si>
    <t>mini24.singh@gmail.com</t>
  </si>
  <si>
    <t>5/23/2021 10:48 PM</t>
  </si>
  <si>
    <t>petalyash@gmail.com</t>
  </si>
  <si>
    <t>5/24/2021 2:26 AM</t>
  </si>
  <si>
    <t>sonam.nagpal12@gmail.com</t>
  </si>
  <si>
    <t>5/24/2021 7:52 PM</t>
  </si>
  <si>
    <t>himanirathour2430@gmail.com</t>
  </si>
  <si>
    <t>5/25/2021 10:18 AM</t>
  </si>
  <si>
    <t>curiousmindseduventure@gmail.com</t>
  </si>
  <si>
    <t>5/31/2021 3:35 PM</t>
  </si>
  <si>
    <t>ranjaniflutter@gmail.com</t>
  </si>
  <si>
    <t>oakgroves.drbs@gmail.com</t>
  </si>
  <si>
    <t>https://community.likeminds.community/mom-shares-club#Pricing</t>
  </si>
  <si>
    <t>rumanashamim8@gmail.com</t>
  </si>
  <si>
    <t>richa.haware@gmail.com</t>
  </si>
  <si>
    <t>metraveller89@gmail.com</t>
  </si>
  <si>
    <t>sicher.vani@gmail.com</t>
  </si>
  <si>
    <t>sowmyagaikwad25@gmail.com</t>
  </si>
  <si>
    <t>tuliruchika89@gmail.com</t>
  </si>
  <si>
    <t>sakchi.sethi@gmail.com</t>
  </si>
  <si>
    <t>sainijyoti1986@yahoo.com</t>
  </si>
  <si>
    <t>momsquadkol@gmail.com</t>
  </si>
  <si>
    <t>nimme5888@gmail.com</t>
  </si>
  <si>
    <t>6/14/2021 9:19 PM</t>
  </si>
  <si>
    <t>priya0810@yahoo.com</t>
  </si>
  <si>
    <t>6/16/2021 2:18 PM</t>
  </si>
  <si>
    <t>6/21/2021 3:45 PM</t>
  </si>
  <si>
    <t>prachij921@gmail.com</t>
  </si>
  <si>
    <t>6/22/2021 6:47 AM</t>
  </si>
  <si>
    <t>taralimzmdr@gmail.com</t>
  </si>
  <si>
    <t>6/22/2021 3:19 PM</t>
  </si>
  <si>
    <t>Nature Enthusiasts</t>
  </si>
  <si>
    <t>nandanvangardensolutions@gmail.com</t>
  </si>
  <si>
    <t>https://hi.likeminds.community/d/nature-enthusiasts-fareenavblogs</t>
  </si>
  <si>
    <t>adeshtdesigner@gmail.com</t>
  </si>
  <si>
    <t>lilitm@live.com</t>
  </si>
  <si>
    <t>aapkaameet@gmail.com</t>
  </si>
  <si>
    <t>kavita.rudagi@gmail.com</t>
  </si>
  <si>
    <t>arn76881@gmail.comcom</t>
  </si>
  <si>
    <t>supriyaladdu97@gmail.com</t>
  </si>
  <si>
    <t>prisspa@gmail.com</t>
  </si>
  <si>
    <t>bandibhargavi97@gmail.com</t>
  </si>
  <si>
    <t>pritirajsheth@gmail.com</t>
  </si>
  <si>
    <t>prithvibabu9@gmail.com</t>
  </si>
  <si>
    <t>pyushkankane1994@gmail.com</t>
  </si>
  <si>
    <t>5/16/2021 5:01 PM</t>
  </si>
  <si>
    <t>sunith@gehnaindia.com</t>
  </si>
  <si>
    <t>5/17/2021 6:05 PM</t>
  </si>
  <si>
    <t>n13mish@gmail.com</t>
  </si>
  <si>
    <t>5/17/2021 6:41 PM</t>
  </si>
  <si>
    <t>priti.charate@gmail.com</t>
  </si>
  <si>
    <t>5/17/2021 9:00 AM</t>
  </si>
  <si>
    <t>krishnavenirao69@gmail.com</t>
  </si>
  <si>
    <t>5/17/2021 11:18 AM</t>
  </si>
  <si>
    <t>mmmanjuliet84@gmail.com</t>
  </si>
  <si>
    <t>5/18/2021 9:02 PM</t>
  </si>
  <si>
    <t>sindhundk@gmail.com</t>
  </si>
  <si>
    <t>5/19/2021 4:04 PM</t>
  </si>
  <si>
    <t>tirthani.komal@gmail.com</t>
  </si>
  <si>
    <t>5/19/2021 6:02 PM</t>
  </si>
  <si>
    <t>jyotiapril30@gmail.com</t>
  </si>
  <si>
    <t>5/20/2021 12:38 PM</t>
  </si>
  <si>
    <t>sakshi.walker@gmail.com</t>
  </si>
  <si>
    <t>5/20/2021 2:01 PM</t>
  </si>
  <si>
    <t>ankitajaiswal2890@gmail.com</t>
  </si>
  <si>
    <t>5/20/2021 8:41 PM</t>
  </si>
  <si>
    <t>nehap2176@gmail.com</t>
  </si>
  <si>
    <t>5/21/2021 3:17 PM</t>
  </si>
  <si>
    <t>myworld07interiors@gmail.com</t>
  </si>
  <si>
    <t>5/21/2021 8:34 PM</t>
  </si>
  <si>
    <t>vasudha.sood@yahoo.in</t>
  </si>
  <si>
    <t>5/22/2021 1:47 PM</t>
  </si>
  <si>
    <t>ydandgavhal@gmail.com</t>
  </si>
  <si>
    <t>5/22/2021 1:59 PM</t>
  </si>
  <si>
    <t>parikshit.taksande17@gmail.com</t>
  </si>
  <si>
    <t>5/23/2021 2:11 AM</t>
  </si>
  <si>
    <t>radhakankarwal@gmail.com</t>
  </si>
  <si>
    <t>tharnu@gmail.com</t>
  </si>
  <si>
    <t>5/23/2021 10:49 AM</t>
  </si>
  <si>
    <t>mattanisandhya@gmail.com</t>
  </si>
  <si>
    <t>5/23/2021 11:49 AM</t>
  </si>
  <si>
    <t>ramagummalla@gmail.com</t>
  </si>
  <si>
    <t>5/23/2021 12:31 PM</t>
  </si>
  <si>
    <t>vikraman23@gmail.com</t>
  </si>
  <si>
    <t>5/23/2021 3:48 PM</t>
  </si>
  <si>
    <t>ncarolmary@gmail.com</t>
  </si>
  <si>
    <t>5/24/2021 9:00 AM</t>
  </si>
  <si>
    <t>kriti.mahajan@gmail.com</t>
  </si>
  <si>
    <t>5/24/2021 3:31 PM</t>
  </si>
  <si>
    <t>aarti.micro2010@gmail.com</t>
  </si>
  <si>
    <t>5/24/2021 3:57 PM</t>
  </si>
  <si>
    <t>aneesh11.2000@gmail.com</t>
  </si>
  <si>
    <t>5/24/2021 4:22 PM</t>
  </si>
  <si>
    <t>sanjutha16@gmail.com</t>
  </si>
  <si>
    <t>5/24/2021 7:14 PM</t>
  </si>
  <si>
    <t>bharatiktrivedi@gmail.com</t>
  </si>
  <si>
    <t>annapurnamalineni99@gmail.com</t>
  </si>
  <si>
    <t>5/26/2021 10:40 AM</t>
  </si>
  <si>
    <t>garima2525@gmail.com</t>
  </si>
  <si>
    <t>5/26/2021 10:56 AM</t>
  </si>
  <si>
    <t>amitdevrajchawla@gmail.com</t>
  </si>
  <si>
    <t>5/26/2021 11:28 AM</t>
  </si>
  <si>
    <t>shivanibenerjee@gmail.com</t>
  </si>
  <si>
    <t>5/26/2021 4:07 PM</t>
  </si>
  <si>
    <t>mascarenhassancho32@gmail.com</t>
  </si>
  <si>
    <t>5/26/2021 11:04 PM</t>
  </si>
  <si>
    <t>bt.sindhu@gmail.com</t>
  </si>
  <si>
    <t>5/27/2021 11:38 AM</t>
  </si>
  <si>
    <t>vaidyagayatri03@gmail.com</t>
  </si>
  <si>
    <t>5/27/2021 2:11 PM</t>
  </si>
  <si>
    <t>mahathinama@gmail.com</t>
  </si>
  <si>
    <t>5/27/2021 2:21 PM</t>
  </si>
  <si>
    <t>thechetnajha@gmail.com</t>
  </si>
  <si>
    <t>5/28/2021 3:57 PM</t>
  </si>
  <si>
    <t>pratyusha1309@gmail.com</t>
  </si>
  <si>
    <t>5/28/2021 7:54 PM</t>
  </si>
  <si>
    <t>toshniwalar@indianoil.in</t>
  </si>
  <si>
    <t>5/29/2021 8:18 AM</t>
  </si>
  <si>
    <t>vivdoon@gmail.com</t>
  </si>
  <si>
    <t>5/29/2021 10:02 AM</t>
  </si>
  <si>
    <t>alishachandna2011@gmail.com</t>
  </si>
  <si>
    <t>5/29/2021 11:46 AM</t>
  </si>
  <si>
    <t>lyfofdream@gmail.com</t>
  </si>
  <si>
    <t>5/29/2021 7:45 PM</t>
  </si>
  <si>
    <t>manikmd2006@gmail.com</t>
  </si>
  <si>
    <t>keniajkomal@gmail.com</t>
  </si>
  <si>
    <t>5/30/2021 6:14 PM</t>
  </si>
  <si>
    <t>anjalikesarwani410@gmail.com</t>
  </si>
  <si>
    <t>5/31/2021 7:30 PM</t>
  </si>
  <si>
    <t>geetarao926@gmail.com</t>
  </si>
  <si>
    <t>raj.divyansh3@gmail.com</t>
  </si>
  <si>
    <t>bankapur.shruti@gmail.com</t>
  </si>
  <si>
    <t>kalyaninair86@gmail.com</t>
  </si>
  <si>
    <t>satyamrrr8@gmail.com</t>
  </si>
  <si>
    <t>hanumanthappa.shubha32@gmail.com</t>
  </si>
  <si>
    <t>jainmamta17866@gmail.com</t>
  </si>
  <si>
    <t>https://hi.likeminds.community/d/nature-enthusiasts-fareenavblogs#Pricing</t>
  </si>
  <si>
    <t>pavanuppar17@gmail.com</t>
  </si>
  <si>
    <t>barkha1657@gmail.com</t>
  </si>
  <si>
    <t>rn3641@gmail.com</t>
  </si>
  <si>
    <t>mlpgayathri@gmail.com</t>
  </si>
  <si>
    <t>ssg009008@gmail.com</t>
  </si>
  <si>
    <t>yajan.singh0@gmail.com</t>
  </si>
  <si>
    <t>sivavij2000@gmail.com</t>
  </si>
  <si>
    <t>samyak.jain1298@gmail.com</t>
  </si>
  <si>
    <t>piyush.shah91@gmail.com</t>
  </si>
  <si>
    <t>padmajamanchanapalli@gmail.com</t>
  </si>
  <si>
    <t>6/13/2021 11:16 AM</t>
  </si>
  <si>
    <t>ar.mohsin.ahmed@gmail.com</t>
  </si>
  <si>
    <t>yashisharma52@gmail.com</t>
  </si>
  <si>
    <t>6/14/2021 1:38 PM</t>
  </si>
  <si>
    <t>ghategastishweta@gmail.com</t>
  </si>
  <si>
    <t>6/14/2021 7:23 PM</t>
  </si>
  <si>
    <t>cmharikrishna89@gmail.com</t>
  </si>
  <si>
    <t>6/15/2021 12:28 PM</t>
  </si>
  <si>
    <t>vimalarora789@gmail.com</t>
  </si>
  <si>
    <t>6/16/2021 7:12 AM</t>
  </si>
  <si>
    <t>jigishanitin@yahoo.com</t>
  </si>
  <si>
    <t>6/17/2021 2:05 PM</t>
  </si>
  <si>
    <t>ketansinghi@gmail.com</t>
  </si>
  <si>
    <t>6/17/2021 8:54 PM</t>
  </si>
  <si>
    <t>shwetha.126.merill@gmail.com</t>
  </si>
  <si>
    <t>6/18/2021 11:54 AM</t>
  </si>
  <si>
    <t>ranjanisriharsha@gmail.com</t>
  </si>
  <si>
    <t>6/20/2021 6:05 PM</t>
  </si>
  <si>
    <t>6/21/2021 11:11 AM</t>
  </si>
  <si>
    <t>purshottam@anj.co.in</t>
  </si>
  <si>
    <t>6/21/2021 12:34 PM</t>
  </si>
  <si>
    <t>radhikaanil1998@gmail.com</t>
  </si>
  <si>
    <t>6/21/2021 1:23 PM</t>
  </si>
  <si>
    <t>6/21/2021 5:43 PM</t>
  </si>
  <si>
    <t>Network Marketing</t>
  </si>
  <si>
    <t>mammai.sravanthi@gmail.com</t>
  </si>
  <si>
    <t>https://hi.likeminds.community/networking-business</t>
  </si>
  <si>
    <t>drashtiartistry@gmail.com</t>
  </si>
  <si>
    <t>sohinistill21@gmail.com</t>
  </si>
  <si>
    <t>mamta.taliwala2@gmail.com</t>
  </si>
  <si>
    <t>adv.akansha@gmail.com</t>
  </si>
  <si>
    <t>blessypvgeorge@gmail.com</t>
  </si>
  <si>
    <t>leenasarode24@gmail.com</t>
  </si>
  <si>
    <t>sabrigain17@gmail.com</t>
  </si>
  <si>
    <t>hachikocharlie1822@gmail.com</t>
  </si>
  <si>
    <t>princezzmaahi45@gmail.com</t>
  </si>
  <si>
    <t>mainactually@gmail.com</t>
  </si>
  <si>
    <t>neha.goyal.1190@gmail.com</t>
  </si>
  <si>
    <t>nivedita.krishnan@ymail.com</t>
  </si>
  <si>
    <t>fouziapkhan24@gmail.com</t>
  </si>
  <si>
    <t>harpreet.hunjan29@gmail.com</t>
  </si>
  <si>
    <t>ambikanaiky@gmail.com</t>
  </si>
  <si>
    <t>vdhvr15@gmail.com</t>
  </si>
  <si>
    <t>5/14/2021 9:47 PM</t>
  </si>
  <si>
    <t>navinait@aol.com</t>
  </si>
  <si>
    <t>5/15/2021 3:15 PM</t>
  </si>
  <si>
    <t>srisriabinayasri11998@gmail.com</t>
  </si>
  <si>
    <t>5/15/2021 3:24 PM</t>
  </si>
  <si>
    <t>5/16/2021 7:52 AM</t>
  </si>
  <si>
    <t>anushkapillai24@gmail.com</t>
  </si>
  <si>
    <t>5/16/2021 7:54 PM</t>
  </si>
  <si>
    <t>dips161@gmail.com</t>
  </si>
  <si>
    <t>5/16/2021 9:35 PM</t>
  </si>
  <si>
    <t>varshamakeup2927@gmail.com</t>
  </si>
  <si>
    <t>5/16/2021 10:12 PM</t>
  </si>
  <si>
    <t>susmita2128@gmail.com</t>
  </si>
  <si>
    <t>5/17/2021 4:13 PM</t>
  </si>
  <si>
    <t>malikchaaru.25@gmail.com</t>
  </si>
  <si>
    <t>5/18/2021 8:20 PM</t>
  </si>
  <si>
    <t>shesamalinisivamani@gmail.com</t>
  </si>
  <si>
    <t>5/19/2021 11:24 AM</t>
  </si>
  <si>
    <t>ayishaparveen1966@gmail.com</t>
  </si>
  <si>
    <t>5/19/2021 6:13 PM</t>
  </si>
  <si>
    <t>alvina.megh27@gmail.com</t>
  </si>
  <si>
    <t>5/19/2021 6:43 PM</t>
  </si>
  <si>
    <t>faceandthefeast@gmail.com</t>
  </si>
  <si>
    <t>5/20/2021 12:01 AM</t>
  </si>
  <si>
    <t>loveleensidhu95@gmail.com</t>
  </si>
  <si>
    <t>5/20/2021 1:54 PM</t>
  </si>
  <si>
    <t>5/20/2021 2:12 PM</t>
  </si>
  <si>
    <t>shivani.nirupam@gmail.com</t>
  </si>
  <si>
    <t>5/21/2021 1:26 PM</t>
  </si>
  <si>
    <t>rakshi.shetty7@gmail.com</t>
  </si>
  <si>
    <t>5/21/2021 1:51 PM</t>
  </si>
  <si>
    <t>kavitathakur59@yahoo.com</t>
  </si>
  <si>
    <t>5/21/2021 4:58 PM</t>
  </si>
  <si>
    <t>simranksnet@gmail.com</t>
  </si>
  <si>
    <t>5/22/2021 8:42 AM</t>
  </si>
  <si>
    <t>atunoyalie01dec@gmail.com</t>
  </si>
  <si>
    <t>5/22/2021 9:30 AM</t>
  </si>
  <si>
    <t>gandhiharshita@rocketmail.com</t>
  </si>
  <si>
    <t>5/22/2021 10:48 AM</t>
  </si>
  <si>
    <t>deepaliawasthi.311@gmail.com</t>
  </si>
  <si>
    <t>5/22/2021 12:25 PM</t>
  </si>
  <si>
    <t>5/23/2021 12:30 AM</t>
  </si>
  <si>
    <t>sbmraji@gmail.com</t>
  </si>
  <si>
    <t>5/23/2021 3:22 PM</t>
  </si>
  <si>
    <t>junkee56@gmail.com</t>
  </si>
  <si>
    <t>5/23/2021 4:17 PM</t>
  </si>
  <si>
    <t>sandhiyakaruna1997@gmail.com</t>
  </si>
  <si>
    <t>5/23/2021 8:35 PM</t>
  </si>
  <si>
    <t>muskansuri06@gmail.com</t>
  </si>
  <si>
    <t>5/24/2021 11:08 AM</t>
  </si>
  <si>
    <t>basusreedebbarman@gmail.com</t>
  </si>
  <si>
    <t>5/25/2021 11:30 PM</t>
  </si>
  <si>
    <t>kinnarigky6@gmail.com</t>
  </si>
  <si>
    <t>5/26/2021 11:35 AM</t>
  </si>
  <si>
    <t>sandadkhar28@gmail.com</t>
  </si>
  <si>
    <t>5/26/2021 7:51 PM</t>
  </si>
  <si>
    <t>juhi.kumari.5150@gmail.com</t>
  </si>
  <si>
    <t>tanreetmakeover@gmail.com</t>
  </si>
  <si>
    <t>6/18/2021 2:37 PM</t>
  </si>
  <si>
    <t>https://hi.likeminds.community/networking-business#Pricing</t>
  </si>
  <si>
    <t>Pet Parents &amp; Wellness</t>
  </si>
  <si>
    <t>drpallawibishnoi@gmail.com</t>
  </si>
  <si>
    <t>https://hi.likeminds.community/d/pet-parents-wellness</t>
  </si>
  <si>
    <t>jasleen2892@gmail.com</t>
  </si>
  <si>
    <t>meghavirdi89@gmail.com</t>
  </si>
  <si>
    <t>ashwineemodak2006@gmail.com</t>
  </si>
  <si>
    <t>gowsisekar.29@yahoo.com</t>
  </si>
  <si>
    <t>amrutachavan306@gmail.com</t>
  </si>
  <si>
    <t>satheeshurs@gmail.com</t>
  </si>
  <si>
    <t>gaursam@yahoo.in</t>
  </si>
  <si>
    <t>5/15/2021 3:14 PM</t>
  </si>
  <si>
    <t>kushwah.akansha@gmail.com</t>
  </si>
  <si>
    <t>nabonitaa@gmail.com</t>
  </si>
  <si>
    <t>5/15/2021 7:02 PM</t>
  </si>
  <si>
    <t>shreejitahh@gmail.com</t>
  </si>
  <si>
    <t>5/15/2021 10:58 PM</t>
  </si>
  <si>
    <t>nehaaraja0804@gmail.com</t>
  </si>
  <si>
    <t>5/15/2021 11:30 AM</t>
  </si>
  <si>
    <t>apc1253@yahoo.com</t>
  </si>
  <si>
    <t>5/16/2021 2:06 PM</t>
  </si>
  <si>
    <t>priyagc@yahoo.com</t>
  </si>
  <si>
    <t>5/16/2021 6:50 PM</t>
  </si>
  <si>
    <t>vineelaammu9@gmail.com</t>
  </si>
  <si>
    <t>5/16/2021 10:01 AM</t>
  </si>
  <si>
    <t>jayanairp@rediffmail.com</t>
  </si>
  <si>
    <t>5/16/2021 11:48 PM</t>
  </si>
  <si>
    <t>mansiaggarwal1004@gmail.com</t>
  </si>
  <si>
    <t>5/18/2021 1:55 PM</t>
  </si>
  <si>
    <t>nihardave14@gmail.com</t>
  </si>
  <si>
    <t>5/20/2021 4:29 PM</t>
  </si>
  <si>
    <t>sonal441@gmail.com</t>
  </si>
  <si>
    <t>5/22/2021 10:02 AM</t>
  </si>
  <si>
    <t>5/22/2021 10:46 AM</t>
  </si>
  <si>
    <t>anurekhathebest@gmail.com</t>
  </si>
  <si>
    <t>singhchetan1989@gmail.com</t>
  </si>
  <si>
    <t>5/24/2021 12:19 AM</t>
  </si>
  <si>
    <t>aprajitavashistha11@gmail.com</t>
  </si>
  <si>
    <t>5/24/2021 9:22 PM</t>
  </si>
  <si>
    <t>aishwarya94krishh@gmail.com</t>
  </si>
  <si>
    <t>5/24/2021 11:45 PM</t>
  </si>
  <si>
    <t>shakthikrishna75l@gmail.com</t>
  </si>
  <si>
    <t>5/25/2021 10:00 AM</t>
  </si>
  <si>
    <t>jyoti.kullu12@gmail.com</t>
  </si>
  <si>
    <t>5/26/2021 3:18 PM</t>
  </si>
  <si>
    <t>pakhi.chakraborty@outlook.com</t>
  </si>
  <si>
    <t>https://community.likeminds.community/pharmacology-insiders#Pricing</t>
  </si>
  <si>
    <t>ashutoshpatelhp22@gmail.com</t>
  </si>
  <si>
    <t>tusharkamat123@gmail.com</t>
  </si>
  <si>
    <t>manoharimeenakshi1904@gmail.com</t>
  </si>
  <si>
    <t>surindivyarani@gmail.com</t>
  </si>
  <si>
    <t>shivani.singh6980@gmail.com</t>
  </si>
  <si>
    <t>gourab93dey@gmail.com</t>
  </si>
  <si>
    <t>drayeshashah786@gmail.com</t>
  </si>
  <si>
    <t>guptaanand1009@gmail.com</t>
  </si>
  <si>
    <t>4489005@gmail.com</t>
  </si>
  <si>
    <t>rxshah14@gmail.com</t>
  </si>
  <si>
    <t>rahila.gulnazwork@gmail.com</t>
  </si>
  <si>
    <t>sparsha.srinivas27595@gmail.com</t>
  </si>
  <si>
    <t>mithileshkesari1997@gmail.com</t>
  </si>
  <si>
    <t>5/28/2021 2:01 PM</t>
  </si>
  <si>
    <t>rajkatariya4@gmail.com</t>
  </si>
  <si>
    <t>5/28/2021 9:55 PM</t>
  </si>
  <si>
    <t>deepthiannie8@gmail.com</t>
  </si>
  <si>
    <t>5/30/2021 9:15 PM</t>
  </si>
  <si>
    <t>amritamallick00@gmail.com</t>
  </si>
  <si>
    <t>5/31/2021 6:08 PM</t>
  </si>
  <si>
    <t>habsihab2@gmail.com</t>
  </si>
  <si>
    <t>5/31/2021 8:09 PM</t>
  </si>
  <si>
    <t>s.ramsaiaravindh@gmail.com</t>
  </si>
  <si>
    <t>srshshobi@gmail.com</t>
  </si>
  <si>
    <t>vinay4607.19@kgmcindia.edu</t>
  </si>
  <si>
    <t>maliniprithivakumari@gmail.com</t>
  </si>
  <si>
    <t>aligetilokesh@gmail.com</t>
  </si>
  <si>
    <t>istiyaqmansuri29@gmail.com</t>
  </si>
  <si>
    <t>kinjalmehta0108@gmail.com</t>
  </si>
  <si>
    <t>ayushjain1309@gmail.com</t>
  </si>
  <si>
    <t>https://community.likeminds.community/pharmacology-insiders</t>
  </si>
  <si>
    <t>chetanreddy19@gmail.com</t>
  </si>
  <si>
    <t>das.anik3@gmail.com</t>
  </si>
  <si>
    <t>tadasareniraj@gmail.com</t>
  </si>
  <si>
    <t>vmittalvishalmittal1234@gmail.com</t>
  </si>
  <si>
    <t>japman.dang@gmail.com</t>
  </si>
  <si>
    <t>sharmamanisha081198@gmail.com</t>
  </si>
  <si>
    <t>saikrishnasanil@gmail.com</t>
  </si>
  <si>
    <t>madhuapugol111@gmail.com</t>
  </si>
  <si>
    <t>sanketchanda17@gmail.com</t>
  </si>
  <si>
    <t>aslam.muhammadaslam15@gmail.com</t>
  </si>
  <si>
    <t>anuskachakraborty0098@gmail.com</t>
  </si>
  <si>
    <t>sanket.seksaria@gmail.com</t>
  </si>
  <si>
    <t>kamothidhaval@gmail.com</t>
  </si>
  <si>
    <t>pranshulsethiptl@gmail.com</t>
  </si>
  <si>
    <t>anaghakhade31@gmail.com</t>
  </si>
  <si>
    <t>hameedsyed98@yahoo.com</t>
  </si>
  <si>
    <t>prajakta7089.pv@gmail.com</t>
  </si>
  <si>
    <t>divyanshisingh196@gmail.com</t>
  </si>
  <si>
    <t>sagniksnow@gmail.com</t>
  </si>
  <si>
    <t>dhingrag50@gmail.com</t>
  </si>
  <si>
    <t>dr.anand1420@gmail.com</t>
  </si>
  <si>
    <t>premchand220895@gmail.com</t>
  </si>
  <si>
    <t>6/13/2021 11:32 PM</t>
  </si>
  <si>
    <t>lechusree666@gmail.com</t>
  </si>
  <si>
    <t>6/14/2021 5:36 PM</t>
  </si>
  <si>
    <t>vukecharishma1@gmail.com</t>
  </si>
  <si>
    <t>6/17/2021 9:02 PM</t>
  </si>
  <si>
    <t>anshaynagpal22@gmail.com</t>
  </si>
  <si>
    <t>6/18/2021 11:35 PM</t>
  </si>
  <si>
    <t>psitsme3@gmail.com</t>
  </si>
  <si>
    <t>6/20/2021 7:47 AM</t>
  </si>
  <si>
    <t>Power of Communications</t>
  </si>
  <si>
    <t>kushagra249@gmail.com</t>
  </si>
  <si>
    <t>https://hi.likeminds.community/d/power-of-communications</t>
  </si>
  <si>
    <t>arpanhsingh@gmail.com</t>
  </si>
  <si>
    <t>omprakashutaha@gmail.com</t>
  </si>
  <si>
    <t>naikanil0831@gmail.com</t>
  </si>
  <si>
    <t>vtyagivivek@gmail.com</t>
  </si>
  <si>
    <t>5/22/2021 11:46 AM</t>
  </si>
  <si>
    <t>chandersoni2360842@gmail.com</t>
  </si>
  <si>
    <t>5/24/2021 9:13 PM</t>
  </si>
  <si>
    <t>priyatuteja3@gmail.com</t>
  </si>
  <si>
    <t>5/25/2021 2:18 PM</t>
  </si>
  <si>
    <t>5/25/2021 5:10 PM</t>
  </si>
  <si>
    <t>disa7.sai@gmail.com</t>
  </si>
  <si>
    <t>5/29/2021 9:13 AM</t>
  </si>
  <si>
    <t>lovelysinghknp583@gmail.com</t>
  </si>
  <si>
    <t>5/29/2021 10:55 PM</t>
  </si>
  <si>
    <t>yuktikumar15@yahoo.in</t>
  </si>
  <si>
    <t>5/30/2021 12:38 AM</t>
  </si>
  <si>
    <t>girirajsingh652@gmail.com</t>
  </si>
  <si>
    <t>5/30/2021 9:18 AM</t>
  </si>
  <si>
    <t>englishwithjasmeet@gmail.com</t>
  </si>
  <si>
    <t>5/30/2021 1:45 PM</t>
  </si>
  <si>
    <t>mohammedjameel4545@gmail.com</t>
  </si>
  <si>
    <t>5/30/2021 3:14 PM</t>
  </si>
  <si>
    <t>kharemeenal01@gmail.com</t>
  </si>
  <si>
    <t>5/30/2021 10:55 PM</t>
  </si>
  <si>
    <t>choprakirti2009@gmail.com</t>
  </si>
  <si>
    <t>pramod31095@gmail.com</t>
  </si>
  <si>
    <t>5/31/2021 5:01 PM</t>
  </si>
  <si>
    <t>theraoharsh@gmail.com</t>
  </si>
  <si>
    <t>5/31/2021 6:51 PM</t>
  </si>
  <si>
    <t>sourab62@gmail.com</t>
  </si>
  <si>
    <t>5/31/2021 11:30 PM</t>
  </si>
  <si>
    <t>gauravsoni10123@gmail.com</t>
  </si>
  <si>
    <t>jayashreepanda091@gmail.com</t>
  </si>
  <si>
    <t>eng.arpit420@gmail.com</t>
  </si>
  <si>
    <t>ns001670@gmail.com</t>
  </si>
  <si>
    <t>mathurdevesh37@gmail.com</t>
  </si>
  <si>
    <t>romika747.rs@gmail.com</t>
  </si>
  <si>
    <t>swapniloct22@gmail.com</t>
  </si>
  <si>
    <t>gopi.sahane@gmail.com</t>
  </si>
  <si>
    <t>kritikathakur12001312@gmail.com</t>
  </si>
  <si>
    <t>pawankt@yahoo.com</t>
  </si>
  <si>
    <t>cooladityavats@gmail.com</t>
  </si>
  <si>
    <t>prajapatiayu148@gmail.com</t>
  </si>
  <si>
    <t>monicaselesallampalli@gmail.com</t>
  </si>
  <si>
    <t>mishrareetika11@gmail.com</t>
  </si>
  <si>
    <t>bgv.2195@gmail.com</t>
  </si>
  <si>
    <t>demonrana1997@gmail.com</t>
  </si>
  <si>
    <t>rahulnagar3532@gmail.com</t>
  </si>
  <si>
    <t>raneshreyangi1994@gmail.com</t>
  </si>
  <si>
    <t>hvats1603@gmail.com</t>
  </si>
  <si>
    <t>jaineha4294@gmail.com</t>
  </si>
  <si>
    <t>shubhampansare141@gmail.com</t>
  </si>
  <si>
    <t>janmejayhero367@gmail.com</t>
  </si>
  <si>
    <t>jainpunit9983@gmail.com</t>
  </si>
  <si>
    <t>sapkaler2000@gmail.com</t>
  </si>
  <si>
    <t>imranpasha4828@gmail.com</t>
  </si>
  <si>
    <t>rockstar9919525413@gmail.com</t>
  </si>
  <si>
    <t>harshitakhandelwal83830@gmail.com</t>
  </si>
  <si>
    <t>yogeshyadav9300@gmail.com</t>
  </si>
  <si>
    <t>harshitha.viriventi5@gmail.com</t>
  </si>
  <si>
    <t>mk2721970@gmail.com</t>
  </si>
  <si>
    <t>arpitagupta3500@gmail.com</t>
  </si>
  <si>
    <t>drganesh53@gmail.com</t>
  </si>
  <si>
    <t>gurjeetkaur20060@gmail.com</t>
  </si>
  <si>
    <t>hkakde1998@gmail.com</t>
  </si>
  <si>
    <t>mayankmalik0006@gmail.com</t>
  </si>
  <si>
    <t>gaman6794@gmail.com</t>
  </si>
  <si>
    <t>snehasmriti44@gmail.com</t>
  </si>
  <si>
    <t>vanishree709@gmail.com</t>
  </si>
  <si>
    <t>kateteerthraj14@gmail.com</t>
  </si>
  <si>
    <t>razzsatish000@gmail.com</t>
  </si>
  <si>
    <t>sharmavibhuti1507@gmail.com</t>
  </si>
  <si>
    <t>click2rohit03@gmail.com</t>
  </si>
  <si>
    <t>https://hi.likeminds.community/d/power-of-communications#Pricing</t>
  </si>
  <si>
    <t>djha2099@gmail.com</t>
  </si>
  <si>
    <t>arpittiwari827@gmail.com</t>
  </si>
  <si>
    <t>vaibhavjainavantika@gmail.com</t>
  </si>
  <si>
    <t>dilipsaini2296@gmail.com</t>
  </si>
  <si>
    <t>ankitasinha248@gmail.com</t>
  </si>
  <si>
    <t>abhishekk25407@gmail.com</t>
  </si>
  <si>
    <t>riyachand794@gmail.com</t>
  </si>
  <si>
    <t>pranitbandre005@gmail.com</t>
  </si>
  <si>
    <t>sanyogeeta999@gmail.com</t>
  </si>
  <si>
    <t>karishmasain7@gmail.com</t>
  </si>
  <si>
    <t>sushantb0007@gmail.com</t>
  </si>
  <si>
    <t>sanjiv.monu94@gmail.com</t>
  </si>
  <si>
    <t>gauravkalal10@gmail.com</t>
  </si>
  <si>
    <t>manoharmd79@gmail.com</t>
  </si>
  <si>
    <t>ankit.kaushal4@gmail.com</t>
  </si>
  <si>
    <t>saudurrahman4u@gmail.com</t>
  </si>
  <si>
    <t>kuhusharma20@gmail.com</t>
  </si>
  <si>
    <t>deepakjenda501@gmail.com</t>
  </si>
  <si>
    <t>dograkritika99@gmail.com</t>
  </si>
  <si>
    <t>chhayapandeydigital@gmail.com</t>
  </si>
  <si>
    <t>mubashirshafizargar444@gmail.com</t>
  </si>
  <si>
    <t>raghavajagannatham9@gmail.com</t>
  </si>
  <si>
    <t>devendrav231@gmail.com</t>
  </si>
  <si>
    <t>sahaaditya296@gmail.com</t>
  </si>
  <si>
    <t>cc640050@gmail.com</t>
  </si>
  <si>
    <t>dhanashreeramteke814@gmail.com</t>
  </si>
  <si>
    <t>poojashinde2353@gmail.com</t>
  </si>
  <si>
    <t>bhaviknarigara12@gmail.com</t>
  </si>
  <si>
    <t>6/13/2021 2:15 AM</t>
  </si>
  <si>
    <t>riyakate1503@gmail.com</t>
  </si>
  <si>
    <t>6/13/2021 1:46 PM</t>
  </si>
  <si>
    <t>anishkum915571@gmail.com</t>
  </si>
  <si>
    <t>6/13/2021 8:09 PM</t>
  </si>
  <si>
    <t>panchalsgroup@gmail.com</t>
  </si>
  <si>
    <t>6/13/2021 8:59 PM</t>
  </si>
  <si>
    <t>babu.jaiswal99@gmail.com</t>
  </si>
  <si>
    <t>6/13/2021 10:52 PM</t>
  </si>
  <si>
    <t>js4746135@gmail.com</t>
  </si>
  <si>
    <t>6/14/2021 3:37 AM</t>
  </si>
  <si>
    <t>ravindrabeniwal027@gmail.com</t>
  </si>
  <si>
    <t>6/14/2021 9:54 AM</t>
  </si>
  <si>
    <t>mohitgoswami190@gmail.com</t>
  </si>
  <si>
    <t>6/14/2021 10:45 AM</t>
  </si>
  <si>
    <t>phanindra022@gmail.com</t>
  </si>
  <si>
    <t>6/14/2021 1:18 PM</t>
  </si>
  <si>
    <t>yogeshraje1995@gmail.com</t>
  </si>
  <si>
    <t>6/14/2021 4:43 PM</t>
  </si>
  <si>
    <t>mohitprajapati888@gmail.com</t>
  </si>
  <si>
    <t>6/14/2021 5:55 PM</t>
  </si>
  <si>
    <t>naveenjarwal05@gmail.com</t>
  </si>
  <si>
    <t>6/14/2021 7:20 PM</t>
  </si>
  <si>
    <t>avhadsanket4@gmail.com</t>
  </si>
  <si>
    <t>6/14/2021 8:45 PM</t>
  </si>
  <si>
    <t>suchitpatil2612@gmail.com</t>
  </si>
  <si>
    <t>6/15/2021 1:23 AM</t>
  </si>
  <si>
    <t>vruddhipanchal1481@gmail.com</t>
  </si>
  <si>
    <t>amitrajput763@gmail.com</t>
  </si>
  <si>
    <t>6/15/2021 10:40 AM</t>
  </si>
  <si>
    <t>priyanshupriyadarship@gmail.com</t>
  </si>
  <si>
    <t>6/15/2021 12:39 PM</t>
  </si>
  <si>
    <t>manishiit900@gmail.com</t>
  </si>
  <si>
    <t>6/15/2021 6:27 PM</t>
  </si>
  <si>
    <t>parmeetkour9858@gmail.com</t>
  </si>
  <si>
    <t>6/15/2021 7:05 PM</t>
  </si>
  <si>
    <t>joshinancy7700@gmail.com</t>
  </si>
  <si>
    <t>6/15/2021 9:22 PM</t>
  </si>
  <si>
    <t>krsonudilli@gmail.com</t>
  </si>
  <si>
    <t>6/15/2021 10:14 PM</t>
  </si>
  <si>
    <t>prashant.prajapati225@gmail.com</t>
  </si>
  <si>
    <t>6/16/2021 7:54 AM</t>
  </si>
  <si>
    <t>sumer1309@gmail.com</t>
  </si>
  <si>
    <t>6/16/2021 10:04 AM</t>
  </si>
  <si>
    <t>shweta913.singh@gmail.com</t>
  </si>
  <si>
    <t>6/16/2021 10:43 AM</t>
  </si>
  <si>
    <t>onkarjadhavoj.61@gmail.com</t>
  </si>
  <si>
    <t>6/16/2021 11:19 AM</t>
  </si>
  <si>
    <t>parvathi.sriram7@gmail.com</t>
  </si>
  <si>
    <t>6/16/2021 2:43 PM</t>
  </si>
  <si>
    <t>runalpawar0.55@gmail.com</t>
  </si>
  <si>
    <t>6/16/2021 4:29 PM</t>
  </si>
  <si>
    <t>dk5483159.star@gmail.com</t>
  </si>
  <si>
    <t>6/16/2021 8:35 PM</t>
  </si>
  <si>
    <t>shubhamkishor3@gmail.com</t>
  </si>
  <si>
    <t>6/16/2021 9:52 PM</t>
  </si>
  <si>
    <t>abhirajsinh6@gmail.com</t>
  </si>
  <si>
    <t>6/16/2021 10:15 PM</t>
  </si>
  <si>
    <t>spot_shaan@rediffmail.com</t>
  </si>
  <si>
    <t>6/16/2021 11:17 PM</t>
  </si>
  <si>
    <t>rahulshivam867@gmail.com</t>
  </si>
  <si>
    <t>6/17/2021 10:25 AM</t>
  </si>
  <si>
    <t>srikanthgoud.bathula@gmail.com</t>
  </si>
  <si>
    <t>6/17/2021 3:14 PM</t>
  </si>
  <si>
    <t>sankalpmittal305@gmail.com</t>
  </si>
  <si>
    <t>6/17/2021 7:09 PM</t>
  </si>
  <si>
    <t>sahil.s45531@gmail.com</t>
  </si>
  <si>
    <t>6/17/2021 8:11 PM</t>
  </si>
  <si>
    <t>vk463841@gmail.com</t>
  </si>
  <si>
    <t>6/17/2021 8:24 PM</t>
  </si>
  <si>
    <t>saiteja3660@gmail.com</t>
  </si>
  <si>
    <t>6/17/2021 9:32 PM</t>
  </si>
  <si>
    <t>masayeprabodhan@gmail.com</t>
  </si>
  <si>
    <t>6/17/2021 11:26 PM</t>
  </si>
  <si>
    <t>avinashkr846@gmail.com</t>
  </si>
  <si>
    <t>6/18/2021 7:23 AM</t>
  </si>
  <si>
    <t>diamondrathore44@gmail.com</t>
  </si>
  <si>
    <t>6/18/2021 8:25 AM</t>
  </si>
  <si>
    <t>ashishbelwal2@gmail.com</t>
  </si>
  <si>
    <t>6/18/2021 9:50 AM</t>
  </si>
  <si>
    <t>dodiyanarendrasingh76@gmail.com</t>
  </si>
  <si>
    <t>6/18/2021 10:32 AM</t>
  </si>
  <si>
    <t>deeppuware41@gmail.com</t>
  </si>
  <si>
    <t>6/18/2021 3:59 PM</t>
  </si>
  <si>
    <t>dhanishtiwari07@gmail.com</t>
  </si>
  <si>
    <t>6/19/2021 3:25 AM</t>
  </si>
  <si>
    <t>sksarfarazkhan3438@gmail.com</t>
  </si>
  <si>
    <t>6/19/2021 7:58 AM</t>
  </si>
  <si>
    <t>6/19/2021 8:03 PM</t>
  </si>
  <si>
    <t>riyab932@gmail.com</t>
  </si>
  <si>
    <t>6/20/2021 9:54 AM</t>
  </si>
  <si>
    <t>rk8735080@gmail.com</t>
  </si>
  <si>
    <t>6/21/2021 3:07 PM</t>
  </si>
  <si>
    <t>chinmayamallick99@gmail.com</t>
  </si>
  <si>
    <t>6/21/2021 7:50 PM</t>
  </si>
  <si>
    <t>jyotsnab@mdi.ac.in</t>
  </si>
  <si>
    <t>https://hi.likeminds.community/d/powerpoint-pro#Pricing</t>
  </si>
  <si>
    <t>amanpreet.singh1085@gmail.com</t>
  </si>
  <si>
    <t>pallavi@alokindustries.com</t>
  </si>
  <si>
    <t>shipra@alokindustries.com</t>
  </si>
  <si>
    <t>laxhminarayan@yahoo.com</t>
  </si>
  <si>
    <t>5/16/2021 1:20 PM</t>
  </si>
  <si>
    <t>ankitrockstar321@gmail.com</t>
  </si>
  <si>
    <t>5/16/2021 6:43 PM</t>
  </si>
  <si>
    <t>beems9999@gmail.com</t>
  </si>
  <si>
    <t>5/18/2021 5:36 PM</t>
  </si>
  <si>
    <t>5/20/2021 12:16 PM</t>
  </si>
  <si>
    <t>shrabandutta@gmail.com</t>
  </si>
  <si>
    <t>5/22/2021 7:17 AM</t>
  </si>
  <si>
    <t>5/22/2021 9:26 AM</t>
  </si>
  <si>
    <t>5/26/2021 2:48 PM</t>
  </si>
  <si>
    <t>reddyyogeshwari@yahoo.co.in</t>
  </si>
  <si>
    <t>bhatnagar.jyo@gmail.com</t>
  </si>
  <si>
    <t>https://hi.likeminds.community/d/powerpoint-pro</t>
  </si>
  <si>
    <t>ankitanurag1991@gmail.com</t>
  </si>
  <si>
    <t>writetomeet@icloud.com</t>
  </si>
  <si>
    <t>6/20/2021 5:11 PM</t>
  </si>
  <si>
    <t>ajaychalam.m@gmail.com</t>
  </si>
  <si>
    <t>https://hi.likeminds.community/python-geeks</t>
  </si>
  <si>
    <t>mahatopanchanan@gmail.com</t>
  </si>
  <si>
    <t>tchirag1996@gmail.com</t>
  </si>
  <si>
    <t>ramana.saps4hana@gmail.com</t>
  </si>
  <si>
    <t>guptaravi374@gmail.com</t>
  </si>
  <si>
    <t>ashwinraod@gmail.com</t>
  </si>
  <si>
    <t>prashanthkasthuri@gmail.com</t>
  </si>
  <si>
    <t>aveshmishra345@gmail.com</t>
  </si>
  <si>
    <t>mayurlokhande584@gmail.com</t>
  </si>
  <si>
    <t>lipoktoshilongkumer@gmail.com</t>
  </si>
  <si>
    <t>kulkarnikaustubh017@gmail.com</t>
  </si>
  <si>
    <t>khan.anwar1994@gmail.com</t>
  </si>
  <si>
    <t>ritwikkumar1412@gmail.com</t>
  </si>
  <si>
    <t>zainahmedd@gmail.com</t>
  </si>
  <si>
    <t>ravijeet106@gmail.com</t>
  </si>
  <si>
    <t>sy205112055@gmail.com</t>
  </si>
  <si>
    <t>mayank.anku@gmail.com</t>
  </si>
  <si>
    <t>madhureddy2019cse@gmail.com</t>
  </si>
  <si>
    <t>dkumar2105@gmail.com</t>
  </si>
  <si>
    <t>ysivakireeti@gmail.com</t>
  </si>
  <si>
    <t>avvariraviraja@gmail.com</t>
  </si>
  <si>
    <t>pdc11011@gmail.com</t>
  </si>
  <si>
    <t>dilkash.azam@gmail.com</t>
  </si>
  <si>
    <t>rayillasaiprakash@gmail.com</t>
  </si>
  <si>
    <t>hemu.monu3@gmail.com</t>
  </si>
  <si>
    <t>amitabh.verma21@gmail.com</t>
  </si>
  <si>
    <t>5/15/2021 7:44 AM</t>
  </si>
  <si>
    <t>abuzar.ansari2010@gmail.com</t>
  </si>
  <si>
    <t>5/15/2021 12:04 AM</t>
  </si>
  <si>
    <t>sushil.saprukm@gmail.com</t>
  </si>
  <si>
    <t>5/16/2021 2:54 AM</t>
  </si>
  <si>
    <t>devendrapratheek@gmail.com</t>
  </si>
  <si>
    <t>5/16/2021 3:11 PM</t>
  </si>
  <si>
    <t>chekka.kesava41@gmail.com</t>
  </si>
  <si>
    <t>5/16/2021 5:03 PM</t>
  </si>
  <si>
    <t>abhi789b@gmail.com</t>
  </si>
  <si>
    <t>5/16/2021 7:25 PM</t>
  </si>
  <si>
    <t>raj.company88@gmail.com</t>
  </si>
  <si>
    <t>5/16/2021 8:14 PM</t>
  </si>
  <si>
    <t>hemant.41073@gmail.com</t>
  </si>
  <si>
    <t>5/16/2021 10:00 PM</t>
  </si>
  <si>
    <t>keesswinharis@gmail.com</t>
  </si>
  <si>
    <t>5/16/2021 10:10 AM</t>
  </si>
  <si>
    <t>route2rajkumar@gmail.com</t>
  </si>
  <si>
    <t>5/17/2021 1:03 PM</t>
  </si>
  <si>
    <t>satyakrishna.chitturi@gmail.com</t>
  </si>
  <si>
    <t>5/17/2021 1:53 PM</t>
  </si>
  <si>
    <t>sreenidhpenta@gmail.com</t>
  </si>
  <si>
    <t>5/17/2021 2:19 PM</t>
  </si>
  <si>
    <t>ravishuklawwe@gmail.com</t>
  </si>
  <si>
    <t>5/17/2021 6:11 PM</t>
  </si>
  <si>
    <t>kush28shukla@gmail.com</t>
  </si>
  <si>
    <t>5/17/2021 7:38 AM</t>
  </si>
  <si>
    <t>sagarpanchal2810@gmail.com</t>
  </si>
  <si>
    <t>5/17/2021 9:43 PM</t>
  </si>
  <si>
    <t>prashanthchowdary258@gmail.com</t>
  </si>
  <si>
    <t>5/17/2021 12:25 PM</t>
  </si>
  <si>
    <t>abhirambeem@gmail.com</t>
  </si>
  <si>
    <t>5/18/2021 1:00 PM</t>
  </si>
  <si>
    <t>navinkr431@gmail.com</t>
  </si>
  <si>
    <t>5/18/2021 2:34 PM</t>
  </si>
  <si>
    <t>ervarunpratap@gmail.com</t>
  </si>
  <si>
    <t>5/18/2021 2:49 PM</t>
  </si>
  <si>
    <t>eswarnagachinna@gmail.com</t>
  </si>
  <si>
    <t>5/18/2021 3:12 AM</t>
  </si>
  <si>
    <t>muthu2648@gmail.com</t>
  </si>
  <si>
    <t>5/18/2021 3:20 PM</t>
  </si>
  <si>
    <t>satyasri777@gmail.com</t>
  </si>
  <si>
    <t>5/18/2021 8:41 AM</t>
  </si>
  <si>
    <t>smoolya17@gmail.com</t>
  </si>
  <si>
    <t>5/18/2021 9:10 AM</t>
  </si>
  <si>
    <t>nareshsailu2301@gmail.com</t>
  </si>
  <si>
    <t>5/18/2021 10:49 AM</t>
  </si>
  <si>
    <t>sndp110491@gmail.com</t>
  </si>
  <si>
    <t>5/18/2021 11:14 AM</t>
  </si>
  <si>
    <t>nakulstar95@gmail.com</t>
  </si>
  <si>
    <t>5/18/2021 11:38 AM</t>
  </si>
  <si>
    <t>itsanoop.07@gmail.com</t>
  </si>
  <si>
    <t>5/18/2021 12:49 AM</t>
  </si>
  <si>
    <t>jneha4298@gmail.com</t>
  </si>
  <si>
    <t>5/18/2021 4:18 PM</t>
  </si>
  <si>
    <t>sairaa1@gmail.com</t>
  </si>
  <si>
    <t>5/20/2021 7:54 PM</t>
  </si>
  <si>
    <t>pillai.anil9@gmail.com</t>
  </si>
  <si>
    <t>5/20/2021 8:30 PM</t>
  </si>
  <si>
    <t>sharonjose123@icloud.com</t>
  </si>
  <si>
    <t>5/20/2021 10:25 PM</t>
  </si>
  <si>
    <t>abhinavchinmai9@yahoo.com</t>
  </si>
  <si>
    <t>5/22/2021 11:47 PM</t>
  </si>
  <si>
    <t>devasamchandu@gmail.com</t>
  </si>
  <si>
    <t>5/23/2021 9:21 PM</t>
  </si>
  <si>
    <t>Rapto Bhara Jeevan</t>
  </si>
  <si>
    <t>chugharleen@gmail.com</t>
  </si>
  <si>
    <t>https://hi.likeminds.community/d/rapto-bhara-jeevan</t>
  </si>
  <si>
    <t>kaushalavantika15@gmail.com</t>
  </si>
  <si>
    <t>manleenk07@gmail.com</t>
  </si>
  <si>
    <t>rahuldev_sahu@yahoo.com</t>
  </si>
  <si>
    <t>vamsiskrisshnaa@gmail.com</t>
  </si>
  <si>
    <t>rashmi.s.sadavarte@gmail.com</t>
  </si>
  <si>
    <t>kenashah204@gmail.com</t>
  </si>
  <si>
    <t>rajsaini.kumar@gmail.com</t>
  </si>
  <si>
    <t>ravi.kapoor2289@gmail.com</t>
  </si>
  <si>
    <t>joggaasingh@gmail.com</t>
  </si>
  <si>
    <t>gaurav.sindhiya@gmail.com</t>
  </si>
  <si>
    <t>manjotkaurrathore@gmail.com</t>
  </si>
  <si>
    <t>nirakardas.tu2@gmail.com</t>
  </si>
  <si>
    <t>vneha416@gmail.com</t>
  </si>
  <si>
    <t>anandagrawql073@gmail.com</t>
  </si>
  <si>
    <t>kamleshganguly1@gmail.com</t>
  </si>
  <si>
    <t>leo.utkarsh.pandey@gmail.com</t>
  </si>
  <si>
    <t>shruti.dmt@gmail.com</t>
  </si>
  <si>
    <t>juunejapreiti@gmail.com</t>
  </si>
  <si>
    <t>sachinnbhallla@hotmail.com</t>
  </si>
  <si>
    <t>5/15/2021 4:07 PM</t>
  </si>
  <si>
    <t>apekshamishra999@gmail.com</t>
  </si>
  <si>
    <t>5/16/2021 1:12 PM</t>
  </si>
  <si>
    <t>akmuralee2@gmail.com</t>
  </si>
  <si>
    <t>rashvas@gmail.com</t>
  </si>
  <si>
    <t>5/16/2021 10:10 PM</t>
  </si>
  <si>
    <t>rohit.kapoor@gmail.com</t>
  </si>
  <si>
    <t>5/17/2021 2:32 PM</t>
  </si>
  <si>
    <t>biswas.pratibha2411@gmail.com</t>
  </si>
  <si>
    <t>5/17/2021 3:11 PM</t>
  </si>
  <si>
    <t>docgalrama@gmail.com</t>
  </si>
  <si>
    <t>5/17/2021 10:10 AM</t>
  </si>
  <si>
    <t>anjiip3004@gmail.com</t>
  </si>
  <si>
    <t>5/17/2021 10:39 PM</t>
  </si>
  <si>
    <t>ajith191@gmail.com</t>
  </si>
  <si>
    <t>5/18/2021 1:36 PM</t>
  </si>
  <si>
    <t>ubasanthi@gmail.com</t>
  </si>
  <si>
    <t>5/18/2021 10:01 AM</t>
  </si>
  <si>
    <t>kumar.sushil.sushil625@gmail.com</t>
  </si>
  <si>
    <t>5/18/2021 4:02 PM</t>
  </si>
  <si>
    <t>rashmisumanth@gmail.com</t>
  </si>
  <si>
    <t>5/20/2021 6:33 AM</t>
  </si>
  <si>
    <t>sanskritipv97@gmail.com</t>
  </si>
  <si>
    <t>5/20/2021 10:27 PM</t>
  </si>
  <si>
    <t>harshanagpal@live.com</t>
  </si>
  <si>
    <t>5/21/2021 1:10 PM</t>
  </si>
  <si>
    <t>pankaj.25929@gmail.com</t>
  </si>
  <si>
    <t>5/22/2021 12:13 PM</t>
  </si>
  <si>
    <t>leenaahuja.edt@gmail.com</t>
  </si>
  <si>
    <t>padhy.chittaranjan06@gmail.com</t>
  </si>
  <si>
    <t>5/26/2021 1:21 PM</t>
  </si>
  <si>
    <t>myplaanet99@gmail.com</t>
  </si>
  <si>
    <t>5/26/2021 10:32 PM</t>
  </si>
  <si>
    <t>krishansandheip@gmail.com</t>
  </si>
  <si>
    <t>5/27/2021 5:49 PM</t>
  </si>
  <si>
    <t>sssharma27387@gmail.com</t>
  </si>
  <si>
    <t>5/27/2021 6:44 PM</t>
  </si>
  <si>
    <t>shabnam1104alam@gmail.com</t>
  </si>
  <si>
    <t>5/28/2021 7:08 AM</t>
  </si>
  <si>
    <t>tanejaanju18@gmail.com</t>
  </si>
  <si>
    <t>5/28/2021 4:32 PM</t>
  </si>
  <si>
    <t>tarotwithsonnyaa@gmail.com</t>
  </si>
  <si>
    <t>5/28/2021 7:30 PM</t>
  </si>
  <si>
    <t>purnimaverma68@yahoo.in</t>
  </si>
  <si>
    <t>5/29/2021 12:30 PM</t>
  </si>
  <si>
    <t>mohankv0904@gmail.com</t>
  </si>
  <si>
    <t>5/29/2021 3:25 PM</t>
  </si>
  <si>
    <t>yedrahul@gmail.com</t>
  </si>
  <si>
    <t>5/29/2021 7:35 PM</t>
  </si>
  <si>
    <t>vinodrameshpaliwal@gmail.com</t>
  </si>
  <si>
    <t>5/30/2021 12:20 AM</t>
  </si>
  <si>
    <t>umarani2004@gmail.com</t>
  </si>
  <si>
    <t>5/30/2021 8:24 AM</t>
  </si>
  <si>
    <t>tarotanjalli@gmail.com</t>
  </si>
  <si>
    <t>5/30/2021 10:43 AM</t>
  </si>
  <si>
    <t>anshu123h@gmail.com</t>
  </si>
  <si>
    <t>banerjeelipi121@gmail.com</t>
  </si>
  <si>
    <t>5/30/2021 5:58 PM</t>
  </si>
  <si>
    <t>rohitkhandelwal21@gmail.com</t>
  </si>
  <si>
    <t>5/30/2021 11:05 PM</t>
  </si>
  <si>
    <t>aritriyabanerjee62@gmail.com</t>
  </si>
  <si>
    <t>5/30/2021 11:28 PM</t>
  </si>
  <si>
    <t>mantrayatra@gmail.com</t>
  </si>
  <si>
    <t>5/31/2021 7:59 AM</t>
  </si>
  <si>
    <t>vijaynareshs272@gmail.com</t>
  </si>
  <si>
    <t>5/31/2021 12:37 PM</t>
  </si>
  <si>
    <t>kumars1979@rediffmail.com</t>
  </si>
  <si>
    <t>5/31/2021 8:26 PM</t>
  </si>
  <si>
    <t>thirupathy.saravanaraju@gmail.com</t>
  </si>
  <si>
    <t>5/31/2021 10:18 PM</t>
  </si>
  <si>
    <t>monicahira29@yahoo.com</t>
  </si>
  <si>
    <t>blackhamelizabeth@gmail.com</t>
  </si>
  <si>
    <t>rajan.karthik7@gmail.com</t>
  </si>
  <si>
    <t>rajpurohotpooja20@gmail.com</t>
  </si>
  <si>
    <t>suparna22277@gmail.com</t>
  </si>
  <si>
    <t>nirakardas.tutu@gmail.com</t>
  </si>
  <si>
    <t>srijoni.s@gmail.com</t>
  </si>
  <si>
    <t>https://hi.likeminds.community/d/rapto-bhara-jeevan#Pricing</t>
  </si>
  <si>
    <t>nehayushi1424@gmail.com</t>
  </si>
  <si>
    <t>sarojssahu@gmail.com</t>
  </si>
  <si>
    <t>bhartiyaashok59@gmail.com</t>
  </si>
  <si>
    <t>saxenaaditya2001@gmail.com</t>
  </si>
  <si>
    <t>mukesh_billa@rediffmail.com</t>
  </si>
  <si>
    <t>arpitalade25@gmail.com</t>
  </si>
  <si>
    <t>manoharchohan@ymail.com</t>
  </si>
  <si>
    <t>adhm2524@gmail.com</t>
  </si>
  <si>
    <t>tejaswini.nimbalkar@gmail.com</t>
  </si>
  <si>
    <t>surabhi.kapsime@gmail.com</t>
  </si>
  <si>
    <t>shreemahalakshmi9@gmail.com</t>
  </si>
  <si>
    <t>rupalibarai6@gmail.com</t>
  </si>
  <si>
    <t>ashishkuril81@gmail.com</t>
  </si>
  <si>
    <t>kalyanidevi0369@gmail.com</t>
  </si>
  <si>
    <t>punitm77@gmail.com</t>
  </si>
  <si>
    <t>h.mishra.250391@gmail.com</t>
  </si>
  <si>
    <t>umesh.me01@gmail.com</t>
  </si>
  <si>
    <t>6/13/2021 7:19 AM</t>
  </si>
  <si>
    <t>ajohn.amit123@gmail.com</t>
  </si>
  <si>
    <t>6/13/2021 10:45 AM</t>
  </si>
  <si>
    <t>aarti.dalal9@gmail.com</t>
  </si>
  <si>
    <t>6/13/2021 6:33 PM</t>
  </si>
  <si>
    <t>shouvikmandal177@gmail.com</t>
  </si>
  <si>
    <t>6/13/2021 6:48 PM</t>
  </si>
  <si>
    <t>rparasher@hotmail.com</t>
  </si>
  <si>
    <t>6/14/2021 5:32 AM</t>
  </si>
  <si>
    <t>deeptitoor28@gmail.com</t>
  </si>
  <si>
    <t>6/14/2021 3:30 PM</t>
  </si>
  <si>
    <t>gunjal.savitri@gmail.com</t>
  </si>
  <si>
    <t>6/15/2021 12:21 AM</t>
  </si>
  <si>
    <t>arnabdebroy48@gmail.com</t>
  </si>
  <si>
    <t>6/15/2021 7:49 PM</t>
  </si>
  <si>
    <t>prashantmats@ymail.com</t>
  </si>
  <si>
    <t>6/16/2021 12:43 AM</t>
  </si>
  <si>
    <t>She Splash</t>
  </si>
  <si>
    <t>irprerna@gmail.com</t>
  </si>
  <si>
    <t>https://hi.likeminds.community/d/she-splash</t>
  </si>
  <si>
    <t>staruchika@gmail.com</t>
  </si>
  <si>
    <t>preeti2910@gmail.com</t>
  </si>
  <si>
    <t>nidhiscatering@gmail.com</t>
  </si>
  <si>
    <t>k.thapaswi@gmail.com</t>
  </si>
  <si>
    <t>5/17/2021 3:14 PM</t>
  </si>
  <si>
    <t>dr.rangolitripathi@gmail.com</t>
  </si>
  <si>
    <t>5/20/2021 9:51 PM</t>
  </si>
  <si>
    <t>sacredherbs.info@gmail.com</t>
  </si>
  <si>
    <t>5/23/2021 12:46 PM</t>
  </si>
  <si>
    <t>gayatrissingh@gmail.com</t>
  </si>
  <si>
    <t>5/27/2021 10:17 PM</t>
  </si>
  <si>
    <t>5/28/2021 11:24 AM</t>
  </si>
  <si>
    <t>pallavi.tauro@gmail.com</t>
  </si>
  <si>
    <t>Community Membership</t>
  </si>
  <si>
    <t>vickiejerry94@gmail.com</t>
  </si>
  <si>
    <t>https://community.likeminds.community/sketch-hub</t>
  </si>
  <si>
    <t>iddishapandey@gmail.com</t>
  </si>
  <si>
    <t>rahulchadha80@yahoo.com</t>
  </si>
  <si>
    <t>suhaswpanchal@gmail.com</t>
  </si>
  <si>
    <t>aashy909@gmail.com</t>
  </si>
  <si>
    <t>nagarra_1982@yahoo.com</t>
  </si>
  <si>
    <t>mpa983484@gmail.com</t>
  </si>
  <si>
    <t>6/14/2021 10:26 AM</t>
  </si>
  <si>
    <t>romidreamzone@gmail.com</t>
  </si>
  <si>
    <t>6/14/2021 12:05 PM</t>
  </si>
  <si>
    <t>Spokken</t>
  </si>
  <si>
    <t>jpadmalochni@gmail.com</t>
  </si>
  <si>
    <t>5/21/2021 6:24 AM</t>
  </si>
  <si>
    <t>https://hi.likeminds.community/d/spokken-2</t>
  </si>
  <si>
    <t>vijaykumardesai93@gmail.com</t>
  </si>
  <si>
    <t>5/21/2021 8:07 AM</t>
  </si>
  <si>
    <t>kksaravanan07@gmail.com</t>
  </si>
  <si>
    <t>5/21/2021 9:25 AM</t>
  </si>
  <si>
    <t>kafilur2000@gmail.com</t>
  </si>
  <si>
    <t>5/21/2021 10:10 AM</t>
  </si>
  <si>
    <t>woundedangel786@gmail.com</t>
  </si>
  <si>
    <t>5/21/2021 12:40 PM</t>
  </si>
  <si>
    <t>anzilpoolakkachalil@gmail.com</t>
  </si>
  <si>
    <t>5/21/2021 2:31 PM</t>
  </si>
  <si>
    <t>5/21/2021 3:15 PM</t>
  </si>
  <si>
    <t>janamca1996@gmail.com</t>
  </si>
  <si>
    <t>5/21/2021 6:45 PM</t>
  </si>
  <si>
    <t>prupak73@gmail.com</t>
  </si>
  <si>
    <t>anup9tot@gmail.com</t>
  </si>
  <si>
    <t>5/22/2021 12:52 PM</t>
  </si>
  <si>
    <t>ravimahatoslg@gmail.com</t>
  </si>
  <si>
    <t>5/22/2021 12:59 PM</t>
  </si>
  <si>
    <t>abhiwait16@gmail.com</t>
  </si>
  <si>
    <t>5/22/2021 1:31 PM</t>
  </si>
  <si>
    <t>ajaynkkrishna@gmaik.com</t>
  </si>
  <si>
    <t>5/22/2021 3:35 PM</t>
  </si>
  <si>
    <t>30jadhavshivani@gmail.com</t>
  </si>
  <si>
    <t>5/22/2021 5:47 PM</t>
  </si>
  <si>
    <t>m.eyebelleyebell1996k@gmail.com</t>
  </si>
  <si>
    <t>5/22/2021 6:42 PM</t>
  </si>
  <si>
    <t>pradhanbiplab.543@gmail.com</t>
  </si>
  <si>
    <t>5/23/2021 12:13 AM</t>
  </si>
  <si>
    <t>gautambudh529@gmail.com</t>
  </si>
  <si>
    <t>5/23/2021 12:34 AM</t>
  </si>
  <si>
    <t>www.yashvadiya9510@gmail.com</t>
  </si>
  <si>
    <t>5/23/2021 8:05 AM</t>
  </si>
  <si>
    <t>sagarmisal3185@gmail.com</t>
  </si>
  <si>
    <t>5/23/2021 9:43 AM</t>
  </si>
  <si>
    <t>rairohitsr@gmail.com</t>
  </si>
  <si>
    <t>5/23/2021 10:32 AM</t>
  </si>
  <si>
    <t>rakes.lveo@gmail.com</t>
  </si>
  <si>
    <t>omprakash17798@gmail.com</t>
  </si>
  <si>
    <t>5/23/2021 11:17 AM</t>
  </si>
  <si>
    <t>kartik1222005@gmail.com</t>
  </si>
  <si>
    <t>5/23/2021 11:28 AM</t>
  </si>
  <si>
    <t>arvindrkt1234@gmail.com</t>
  </si>
  <si>
    <t>5/23/2021 12:09 PM</t>
  </si>
  <si>
    <t>subramanyamk4554@gmail.com</t>
  </si>
  <si>
    <t>5/23/2021 5:14 PM</t>
  </si>
  <si>
    <t>grvonline11@gmail.com</t>
  </si>
  <si>
    <t>5/23/2021 7:11 PM</t>
  </si>
  <si>
    <t>aryaji30@gmail.com</t>
  </si>
  <si>
    <t>5/23/2021 7:46 PM</t>
  </si>
  <si>
    <t>ramanss124@gmail.com</t>
  </si>
  <si>
    <t>5/23/2021 8:38 PM</t>
  </si>
  <si>
    <t>mansijain0603@gmail.com</t>
  </si>
  <si>
    <t>5/23/2021 8:47 PM</t>
  </si>
  <si>
    <t>shubhamprajapati326@gmail.com</t>
  </si>
  <si>
    <t>5/23/2021 9:23 PM</t>
  </si>
  <si>
    <t>mahipalsingh9830@gmail.com</t>
  </si>
  <si>
    <t>5/23/2021 11:15 PM</t>
  </si>
  <si>
    <t>kjeet9545@gmail.com</t>
  </si>
  <si>
    <t>5/24/2021 1:35 AM</t>
  </si>
  <si>
    <t>merajshekh79@gmail.com</t>
  </si>
  <si>
    <t>5/24/2021 7:42 AM</t>
  </si>
  <si>
    <t>santhakumarss7@gmail.com</t>
  </si>
  <si>
    <t>5/24/2021 8:00 AM</t>
  </si>
  <si>
    <t>mohdeqarar@gmail.com</t>
  </si>
  <si>
    <t>5/24/2021 8:19 AM</t>
  </si>
  <si>
    <t>johnnysatish@gmail.com</t>
  </si>
  <si>
    <t>5/24/2021 8:29 AM</t>
  </si>
  <si>
    <t>chittetisaikiranlucky.1997@gmail.com</t>
  </si>
  <si>
    <t>5/24/2021 8:48 AM</t>
  </si>
  <si>
    <t>akashkulkarni81@gmail.com</t>
  </si>
  <si>
    <t>5/24/2021 9:19 AM</t>
  </si>
  <si>
    <t>jaywant9766@gmail.com</t>
  </si>
  <si>
    <t>5/24/2021 9:21 AM</t>
  </si>
  <si>
    <t>prakash.avcce@gmail.com</t>
  </si>
  <si>
    <t>5/24/2021 9:36 AM</t>
  </si>
  <si>
    <t>kkannan436@gmail.com</t>
  </si>
  <si>
    <t>5/24/2021 10:20 AM</t>
  </si>
  <si>
    <t>mohits.cs31@gmail.com</t>
  </si>
  <si>
    <t>udaykiranreddy444@gmail.com</t>
  </si>
  <si>
    <t>5/24/2021 2:43 PM</t>
  </si>
  <si>
    <t>beleyogesh2@gmail.com</t>
  </si>
  <si>
    <t>avibastta@gmail.com</t>
  </si>
  <si>
    <t>5/24/2021 5:10 PM</t>
  </si>
  <si>
    <t>geetanyigang19@gmail.com</t>
  </si>
  <si>
    <t>5/24/2021 5:58 PM</t>
  </si>
  <si>
    <t>priyampathare@gmail.com</t>
  </si>
  <si>
    <t>5/24/2021 6:04 PM</t>
  </si>
  <si>
    <t>galipallipooja@gmail.com</t>
  </si>
  <si>
    <t>5/24/2021 6:28 PM</t>
  </si>
  <si>
    <t>5/24/2021 7:43 PM</t>
  </si>
  <si>
    <t>gprsjapati@gmail.com</t>
  </si>
  <si>
    <t>5/24/2021 7:54 PM</t>
  </si>
  <si>
    <t>jogdandshubham2@gmail.com</t>
  </si>
  <si>
    <t>5/24/2021 8:23 PM</t>
  </si>
  <si>
    <t>pallavikumariseyp@gmail.com</t>
  </si>
  <si>
    <t>5/25/2021 12:03 PM</t>
  </si>
  <si>
    <t>yasminpacrucha2019@gmail.com</t>
  </si>
  <si>
    <t>5/25/2021 1:44 PM</t>
  </si>
  <si>
    <t>sk2400879@gmail.com</t>
  </si>
  <si>
    <t>5/25/2021 6:39 PM</t>
  </si>
  <si>
    <t>akshaybhagwat2721@gmail.com</t>
  </si>
  <si>
    <t>5/26/2021 11:31 AM</t>
  </si>
  <si>
    <t>kavitatanwer93@gmail.com</t>
  </si>
  <si>
    <t>5/26/2021 9:26 PM</t>
  </si>
  <si>
    <t>shilpatagade6@gmail.com</t>
  </si>
  <si>
    <t>5/27/2021 9:20 AM</t>
  </si>
  <si>
    <t>riconpatel1997@gmail.com</t>
  </si>
  <si>
    <t>5/27/2021 5:31 PM</t>
  </si>
  <si>
    <t>himanshu99310@gmail.com</t>
  </si>
  <si>
    <t>vinaysoni447yahoo@gmail.com</t>
  </si>
  <si>
    <t>5/27/2021 8:45 PM</t>
  </si>
  <si>
    <t>arjunraju1176@gmail.com</t>
  </si>
  <si>
    <t>5/28/2021 8:13 AM</t>
  </si>
  <si>
    <t>durgadd3203@gmail.com</t>
  </si>
  <si>
    <t>5/28/2021 8:41 AM</t>
  </si>
  <si>
    <t>srkprasadvarma@gmail.com</t>
  </si>
  <si>
    <t>5/28/2021 12:39 PM</t>
  </si>
  <si>
    <t>nitesh382singh@gmail.com</t>
  </si>
  <si>
    <t>5/29/2021 8:07 AM</t>
  </si>
  <si>
    <t>surbhisingh2476@gmail.com</t>
  </si>
  <si>
    <t>5/29/2021 4:28 PM</t>
  </si>
  <si>
    <t>dittyprathyusham@gmail.com</t>
  </si>
  <si>
    <t>5/29/2021 7:02 PM</t>
  </si>
  <si>
    <t>iasbhaeya@gmail.com</t>
  </si>
  <si>
    <t>5/29/2021 8:03 PM</t>
  </si>
  <si>
    <t>reena7dominic@gmail.com</t>
  </si>
  <si>
    <t>5/29/2021 9:22 PM</t>
  </si>
  <si>
    <t>hardikkumar1001@gmail.com</t>
  </si>
  <si>
    <t>amary0520@gmail.com</t>
  </si>
  <si>
    <t>5/30/2021 12:27 PM</t>
  </si>
  <si>
    <t>vikaspandey0714@gmail.com</t>
  </si>
  <si>
    <t>5/30/2021 3:11 PM</t>
  </si>
  <si>
    <t>fm.gaikwad7@gmail.com</t>
  </si>
  <si>
    <t>5/30/2021 5:20 PM</t>
  </si>
  <si>
    <t>sama.zafarrizvi91@gmail.com</t>
  </si>
  <si>
    <t>yash.sanjay.raghuwanshi@gmail.com</t>
  </si>
  <si>
    <t>5/30/2021 7:13 PM</t>
  </si>
  <si>
    <t>pavan.p.sai@gmail.com</t>
  </si>
  <si>
    <t>5/30/2021 11:21 PM</t>
  </si>
  <si>
    <t>darpanjoshi263@gmail.com</t>
  </si>
  <si>
    <t>5/31/2021 12:49 AM</t>
  </si>
  <si>
    <t>5/31/2021 5:16 AM</t>
  </si>
  <si>
    <t>prasannasg2691@gmail.com</t>
  </si>
  <si>
    <t>5/31/2021 8:55 AM</t>
  </si>
  <si>
    <t>rtdodhiawala@gmail.com</t>
  </si>
  <si>
    <t>5/31/2021 9:07 AM</t>
  </si>
  <si>
    <t>shrutigupta2912@gmail.com</t>
  </si>
  <si>
    <t>5/31/2021 10:27 AM</t>
  </si>
  <si>
    <t>mannu.mk37@gmail.com</t>
  </si>
  <si>
    <t>5/31/2021 8:16 PM</t>
  </si>
  <si>
    <t>sabeenfatima1805@gmail.com</t>
  </si>
  <si>
    <t>100tusharanand@gmail.com</t>
  </si>
  <si>
    <t>mushrifk76@gmail.com</t>
  </si>
  <si>
    <t>jagadhishmcom@gmail.com</t>
  </si>
  <si>
    <t>anandvis@live.com</t>
  </si>
  <si>
    <t>gr8arvind44999@gmail.com</t>
  </si>
  <si>
    <t>drsachinsharma1234.ss@gmail.com</t>
  </si>
  <si>
    <t>dheerendrapalsinghjadon9889@gamil.com</t>
  </si>
  <si>
    <t>2021arijitdeb@gmail.com</t>
  </si>
  <si>
    <t>harshchawla905@gmail.com</t>
  </si>
  <si>
    <t>bashambuniharika33@gmail.com</t>
  </si>
  <si>
    <t>uttamy07@gmail.com</t>
  </si>
  <si>
    <t>a.p.hankare@gmail.com</t>
  </si>
  <si>
    <t>anupam.niift@gmail.com</t>
  </si>
  <si>
    <t>https://hi.likeminds.community/d/spokken-2#Pricing</t>
  </si>
  <si>
    <t>6/17/2021 7:52 AM</t>
  </si>
  <si>
    <t>prashant.khattry@gmail.com</t>
  </si>
  <si>
    <t>5/20/2021 12:26 PM</t>
  </si>
  <si>
    <t>https://hi.likeminds.community/startup-change-leaders#Pricing</t>
  </si>
  <si>
    <t>trinath.ranjan@gmail.com</t>
  </si>
  <si>
    <t>5/29/2021 9:40 PM</t>
  </si>
  <si>
    <t>csvivarthdosar@gmail.com</t>
  </si>
  <si>
    <t>5/29/2021 9:59 PM</t>
  </si>
  <si>
    <t>akshdeeprke@gmail.com</t>
  </si>
  <si>
    <t>5/30/2021 10:04 AM</t>
  </si>
  <si>
    <t>djain0315@gmail.com</t>
  </si>
  <si>
    <t>5/30/2021 11:35 AM</t>
  </si>
  <si>
    <t>vivikt@gmail.com</t>
  </si>
  <si>
    <t>5/30/2021 6:22 PM</t>
  </si>
  <si>
    <t>sandeeppanda2166@gmail.com</t>
  </si>
  <si>
    <t>5/31/2021 3:50 PM</t>
  </si>
  <si>
    <t>dr_amarendra@rediffmail.com</t>
  </si>
  <si>
    <t>https://hi.likeminds.community/startup-change-leaders</t>
  </si>
  <si>
    <t>anjali.gaba@gmail.com</t>
  </si>
  <si>
    <t>6/19/2021 3:35 PM</t>
  </si>
  <si>
    <t>mansun1507@gmail.com</t>
  </si>
  <si>
    <t>https://hi.likeminds.community/d/thane-super-moms</t>
  </si>
  <si>
    <t>Seller</t>
  </si>
  <si>
    <t>chriselle.dsouza@gmail.com</t>
  </si>
  <si>
    <t>5/30/2021 1:58 PM</t>
  </si>
  <si>
    <t>preeti.janwasia@gmail.com</t>
  </si>
  <si>
    <t>https://hi.likeminds.community/d/thane-super-moms#Pricing</t>
  </si>
  <si>
    <t>shubharambhces@gmail.com</t>
  </si>
  <si>
    <t>rajeshillpa25@gmail.com</t>
  </si>
  <si>
    <t>6/17/2021 4:12 PM</t>
  </si>
  <si>
    <t>sepals.antara@gmail.com</t>
  </si>
  <si>
    <t>6/21/2021 11:38 PM</t>
  </si>
  <si>
    <t>manasgarg28@gmail.com</t>
  </si>
  <si>
    <t>https://hi.likeminds.community/the-data-talk#Pricing</t>
  </si>
  <si>
    <t>geeks_techies@yahoo.com</t>
  </si>
  <si>
    <t>talukdar.soumen25@gmail.com</t>
  </si>
  <si>
    <t>5/16/2021 5:54 PM</t>
  </si>
  <si>
    <t>samraat.018@gmail.com</t>
  </si>
  <si>
    <t>5/16/2021 10:39 AM</t>
  </si>
  <si>
    <t>shubhasree.sarkar3103@gmail.com</t>
  </si>
  <si>
    <t>shashankkodati@gmail.com</t>
  </si>
  <si>
    <t>6/15/2021 9:54 PM</t>
  </si>
  <si>
    <t>The FeWh Tribe</t>
  </si>
  <si>
    <t>sunitagutte407@gmail.com</t>
  </si>
  <si>
    <t>https://hi.likeminds.community/d/the-fewh-tribe#Pricing</t>
  </si>
  <si>
    <t>The Fin Street</t>
  </si>
  <si>
    <t>shashwat.kothari1@gmail.com</t>
  </si>
  <si>
    <t>charanraj862@gmail.com</t>
  </si>
  <si>
    <t>5/14/2021 10:38 PM</t>
  </si>
  <si>
    <t>rahulguha.business@gmail.com</t>
  </si>
  <si>
    <t>5/15/2021 7:01 PM</t>
  </si>
  <si>
    <t>shivendwivedi1236@gmail.com</t>
  </si>
  <si>
    <t>5/15/2021 9:57 AM</t>
  </si>
  <si>
    <t>rahul.h.desai@outlook.com</t>
  </si>
  <si>
    <t>5/16/2021 3:13 PM</t>
  </si>
  <si>
    <t>harshmodipersonal@gmail.com</t>
  </si>
  <si>
    <t>5/16/2021 4:18 PM</t>
  </si>
  <si>
    <t>ppalannijaikumar@gmail.com</t>
  </si>
  <si>
    <t>5/16/2021 5:02 PM</t>
  </si>
  <si>
    <t>dilipv31896@gmail.com</t>
  </si>
  <si>
    <t>5/17/2021 7:47 PM</t>
  </si>
  <si>
    <t>5/18/2021 7:28 AM</t>
  </si>
  <si>
    <t>obedkbenjamin.ob@gmail.com</t>
  </si>
  <si>
    <t>5/18/2021 3:45 PM</t>
  </si>
  <si>
    <t>The Man Makeover</t>
  </si>
  <si>
    <t>preeti.manchanda74@gmail.com</t>
  </si>
  <si>
    <t>https://hi.likeminds.community/d/the-man-makeover</t>
  </si>
  <si>
    <t>aparnaahir@yahoo.com</t>
  </si>
  <si>
    <t>nagnishanth94@gmail.com</t>
  </si>
  <si>
    <t>santhosh8975@gmail.com</t>
  </si>
  <si>
    <t>trinaghosh30@yahoo.co.in</t>
  </si>
  <si>
    <t>tabhijit99@gmail.com</t>
  </si>
  <si>
    <t>5/17/2021 1:45 AM</t>
  </si>
  <si>
    <t>nikket@nikket.net</t>
  </si>
  <si>
    <t>5/17/2021 11:18 PM</t>
  </si>
  <si>
    <t>avinash24490@gmail.com</t>
  </si>
  <si>
    <t>5/17/2021 11:27 AM</t>
  </si>
  <si>
    <t>kuldeep.es@gmail.com</t>
  </si>
  <si>
    <t>5/17/2021 12:12 PM</t>
  </si>
  <si>
    <t>nagarjunsk8@gmail.com</t>
  </si>
  <si>
    <t>5/20/2021 6:21 AM</t>
  </si>
  <si>
    <t>5/20/2021 6:12 PM</t>
  </si>
  <si>
    <t>aryanmjha@gmail.com</t>
  </si>
  <si>
    <t>5/23/2021 9:04 PM</t>
  </si>
  <si>
    <t>vanshmanglani01@gmail.com</t>
  </si>
  <si>
    <t>5/24/2021 1:58 PM</t>
  </si>
  <si>
    <t>rachitsharma48@gmail.com</t>
  </si>
  <si>
    <t>5/25/2021 10:10 PM</t>
  </si>
  <si>
    <t>rmkirankumar@gmail.com</t>
  </si>
  <si>
    <t>5/28/2021 11:09 AM</t>
  </si>
  <si>
    <t>lalitkchordiya@gmail.com</t>
  </si>
  <si>
    <t>5/28/2021 7:44 PM</t>
  </si>
  <si>
    <t>bunnykartik@gmail.com</t>
  </si>
  <si>
    <t>atulpandit233@gmail.com</t>
  </si>
  <si>
    <t>6/13/2021 2:18 PM</t>
  </si>
  <si>
    <t>6/14/2021 9:50 AM</t>
  </si>
  <si>
    <t>6/19/2021 10:47 PM</t>
  </si>
  <si>
    <t>The Smart Work for NEET- UG</t>
  </si>
  <si>
    <t>yshiv3040@gmail.com</t>
  </si>
  <si>
    <t>https://community.likeminds.community/the-smart-work-for-neet-ug</t>
  </si>
  <si>
    <t>kratirajak971@gmail.com</t>
  </si>
  <si>
    <t>naman0035@gmail.com</t>
  </si>
  <si>
    <t>pawansikarwar1999@gmail.com</t>
  </si>
  <si>
    <t>ajay27550@gmail.com</t>
  </si>
  <si>
    <t>harshanama28@gmail.com</t>
  </si>
  <si>
    <t>ayushsinha120@gmail.com</t>
  </si>
  <si>
    <t>harshitha.k2736@gmail.com</t>
  </si>
  <si>
    <t>5/15/2021 7:37 PM</t>
  </si>
  <si>
    <t>kavithiru151096@outlook.com</t>
  </si>
  <si>
    <t>5/15/2021 9:42 PM</t>
  </si>
  <si>
    <t>tarunreddi04@gmail.com</t>
  </si>
  <si>
    <t>5/16/2021 5:50 PM</t>
  </si>
  <si>
    <t>simranisha.mallick@gmail.com</t>
  </si>
  <si>
    <t>5/17/2021 1:35 PM</t>
  </si>
  <si>
    <t>nikhilgnikku2123@gmail.com</t>
  </si>
  <si>
    <t>5/18/2021 6:43 PM</t>
  </si>
  <si>
    <t>tirumanyamsham@gmail.com</t>
  </si>
  <si>
    <t>5/19/2021 7:06 AM</t>
  </si>
  <si>
    <t>jf19072003@gmail.com</t>
  </si>
  <si>
    <t>5/19/2021 9:17 AM</t>
  </si>
  <si>
    <t>christinagill084@gmail.com</t>
  </si>
  <si>
    <t>5/20/2021 10:41 AM</t>
  </si>
  <si>
    <t>sohail2250@gmail.com</t>
  </si>
  <si>
    <t>5/22/2021 9:48 PM</t>
  </si>
  <si>
    <t>ananyaa.doglover@gmail.com</t>
  </si>
  <si>
    <t>5/22/2021 10:32 PM</t>
  </si>
  <si>
    <t>vitta.saikishan01@gmail.com</t>
  </si>
  <si>
    <t>5/23/2021 10:27 AM</t>
  </si>
  <si>
    <t>chitrashelly@gmail.com</t>
  </si>
  <si>
    <t>5/23/2021 3:56 PM</t>
  </si>
  <si>
    <t>sohailkal00000@gmail.com</t>
  </si>
  <si>
    <t>5/23/2021 7:10 PM</t>
  </si>
  <si>
    <t>amisha.sharma.3532@gmail.com</t>
  </si>
  <si>
    <t>5/24/2021 7:01 AM</t>
  </si>
  <si>
    <t>patel.sbbarsha@gmail.com</t>
  </si>
  <si>
    <t>5/25/2021 6:38 AM</t>
  </si>
  <si>
    <t>chandanshetty483@gmail.com</t>
  </si>
  <si>
    <t>5/26/2021 9:17 PM</t>
  </si>
  <si>
    <t>nohope0986@gmail.com</t>
  </si>
  <si>
    <t>5/27/2021 12:23 PM</t>
  </si>
  <si>
    <t>vinayabala09@gmail.com</t>
  </si>
  <si>
    <t>5/28/2021 1:36 PM</t>
  </si>
  <si>
    <t>prasadgiri204@gmail.com</t>
  </si>
  <si>
    <t>rubanbalajig05@gmail.com</t>
  </si>
  <si>
    <t>shubhamd4455@gmail.com</t>
  </si>
  <si>
    <t>office.mittal20000@gmail.com</t>
  </si>
  <si>
    <t>js9610352@gmail.com</t>
  </si>
  <si>
    <t>parthraj16ramlvat@gmail.com</t>
  </si>
  <si>
    <t>imrannyaz32@gmail.com</t>
  </si>
  <si>
    <t>triggerprassy@gmail.com</t>
  </si>
  <si>
    <t>prenu413@gmail.com</t>
  </si>
  <si>
    <t>boddulaadarsh0@gmail.com</t>
  </si>
  <si>
    <t>sujoysarkar251@gmail.com</t>
  </si>
  <si>
    <t>rajnishstu22@gmail.com</t>
  </si>
  <si>
    <t>lawanibg787@gmail.com</t>
  </si>
  <si>
    <t>6/13/2021 9:25 AM</t>
  </si>
  <si>
    <t>ryukendu1864@gmail.com</t>
  </si>
  <si>
    <t>6/13/2021 3:58 PM</t>
  </si>
  <si>
    <t>https://community.likeminds.community/the-smart-work-for-neet-ug#Pricing</t>
  </si>
  <si>
    <t>prudhviraj.chukka426@gmail.com</t>
  </si>
  <si>
    <t>6/17/2021 1:37 PM</t>
  </si>
  <si>
    <t>ydvaditya14@gmail.com</t>
  </si>
  <si>
    <t>6/18/2021 9:53 PM</t>
  </si>
  <si>
    <t>tcmanojmanu@gmail.com</t>
  </si>
  <si>
    <t>6/19/2021 2:18 PM</t>
  </si>
  <si>
    <t>ozaprincekumar230@gmail.com</t>
  </si>
  <si>
    <t>6/20/2021 5:24 AM</t>
  </si>
  <si>
    <t>Through Thick and Thin</t>
  </si>
  <si>
    <t>gladiators.eternity@gmail.com</t>
  </si>
  <si>
    <t>https://hi.likeminds.community/d/through-thick-and-thin</t>
  </si>
  <si>
    <t>jesal3ster@gmail.com</t>
  </si>
  <si>
    <t>muskanjain2189@gmail.com</t>
  </si>
  <si>
    <t>guruprasannaakash@gmail.com</t>
  </si>
  <si>
    <t>5/17/2021 9:18 PM</t>
  </si>
  <si>
    <t>kinkini.dasgupta9@gmail.com</t>
  </si>
  <si>
    <t>5/18/2021 1:33 PM</t>
  </si>
  <si>
    <t>parul4us@gmail.com</t>
  </si>
  <si>
    <t>5/18/2021 8:13 AM</t>
  </si>
  <si>
    <t>samarth.sankhi@live.in</t>
  </si>
  <si>
    <t>5/21/2021 12:08 PM</t>
  </si>
  <si>
    <t>5/24/2021 12:12 AM</t>
  </si>
  <si>
    <t>makhija.akriti1611@gmail.com</t>
  </si>
  <si>
    <t>5/24/2021 10:25 PM</t>
  </si>
  <si>
    <t>nikhiljuneja11@gmail.com</t>
  </si>
  <si>
    <t>5/25/2021 9:23 AM</t>
  </si>
  <si>
    <t>geethavs4@gmail.com</t>
  </si>
  <si>
    <t>5/25/2021 9:42 AM</t>
  </si>
  <si>
    <t>sonu.lalitha341@gmail.com</t>
  </si>
  <si>
    <t>5/26/2021 6:40 PM</t>
  </si>
  <si>
    <t>alokitajha@gmail.com</t>
  </si>
  <si>
    <t>5/28/2021 9:27 AM</t>
  </si>
  <si>
    <t>5/28/2021 3:05 PM</t>
  </si>
  <si>
    <t>manshavij31@gmail.com</t>
  </si>
  <si>
    <t>5/30/2021 5:43 PM</t>
  </si>
  <si>
    <t>bluebubbles48@gmail.com</t>
  </si>
  <si>
    <t>5/30/2021 11:00 PM</t>
  </si>
  <si>
    <t>sharath.kh1995@gmail.com</t>
  </si>
  <si>
    <t>5/31/2021 5:10 PM</t>
  </si>
  <si>
    <t>tarunsood.86@gmail.com</t>
  </si>
  <si>
    <t>rohini.kumar89@gmail.com</t>
  </si>
  <si>
    <t>bhagyashreechoudhary@gmail.com</t>
  </si>
  <si>
    <t>sahiway_plusshop@yahoo.com</t>
  </si>
  <si>
    <t>ninjumenon@gmail.com</t>
  </si>
  <si>
    <t>crkhedkar@gmail.com</t>
  </si>
  <si>
    <t>anujjain81@hotmail.com</t>
  </si>
  <si>
    <t>6/14/2021 7:45 AM</t>
  </si>
  <si>
    <t>thisiskoushik@gmail.com</t>
  </si>
  <si>
    <t>6/14/2021 3:18 PM</t>
  </si>
  <si>
    <t>ashokrn999@gmail.com</t>
  </si>
  <si>
    <t>6/15/2021 6:02 AM</t>
  </si>
  <si>
    <t>pratikmakhija@gmail.com</t>
  </si>
  <si>
    <t>6/17/2021 2:39 PM</t>
  </si>
  <si>
    <t>swatibhamboria@gmail.com</t>
  </si>
  <si>
    <t>6/19/2021 9:10 PM</t>
  </si>
  <si>
    <t>Transformed Finance Professionals</t>
  </si>
  <si>
    <t>mohita.rastogi@hotmail.com</t>
  </si>
  <si>
    <t>https://hi.likeminds.community/d/transformed-finance-professionals</t>
  </si>
  <si>
    <t>puramsridharbabu@gmail.com</t>
  </si>
  <si>
    <t>sanket.kondekar4@gmail.com</t>
  </si>
  <si>
    <t>sateeshgovind@gmail.com</t>
  </si>
  <si>
    <t>lamokbagga.92@gmail.com</t>
  </si>
  <si>
    <t>5/16/2021 9:24 AM</t>
  </si>
  <si>
    <t>sureshjv999@gmail.com</t>
  </si>
  <si>
    <t>mayankjain1995@gmail.com</t>
  </si>
  <si>
    <t>5/22/2021 8:41 AM</t>
  </si>
  <si>
    <t>rahulyadav804@gmail.com</t>
  </si>
  <si>
    <t>5/22/2021 10:59 AM</t>
  </si>
  <si>
    <t>shubham_chintawar@yahoo.com</t>
  </si>
  <si>
    <t>5/22/2021 5:05 PM</t>
  </si>
  <si>
    <t>phadnisrohit.42@gmail.com</t>
  </si>
  <si>
    <t>5/22/2021 7:01 PM</t>
  </si>
  <si>
    <t>narendra.walujkar20@ies.edu</t>
  </si>
  <si>
    <t>5/24/2021 9:12 AM</t>
  </si>
  <si>
    <t>tejurdevade@gmail.com</t>
  </si>
  <si>
    <t>5/25/2021 7:39 AM</t>
  </si>
  <si>
    <t>anusha.km1@gmail.com</t>
  </si>
  <si>
    <t>5/25/2021 11:32 AM</t>
  </si>
  <si>
    <t>aniketmendule81183@gmail.com</t>
  </si>
  <si>
    <t>5/25/2021 3:52 PM</t>
  </si>
  <si>
    <t>maddiletireddy232@gmail.com</t>
  </si>
  <si>
    <t>5/26/2021 8:30 AM</t>
  </si>
  <si>
    <t>shubhangirwasu@gmail.com</t>
  </si>
  <si>
    <t>5/26/2021 9:51 AM</t>
  </si>
  <si>
    <t>shubhamlotus@gmail.com</t>
  </si>
  <si>
    <t>5/27/2021 9:52 AM</t>
  </si>
  <si>
    <t>jyotisikder7@gmail.com</t>
  </si>
  <si>
    <t>hmnrathore39@gmail.com</t>
  </si>
  <si>
    <t>5/29/2021 10:21 PM</t>
  </si>
  <si>
    <t>bansaladitya2803@gmail.com</t>
  </si>
  <si>
    <t>5/30/2021 8:05 AM</t>
  </si>
  <si>
    <t>jsr_jeetandar@rediffmail.com</t>
  </si>
  <si>
    <t>mithujain7sep@gmail.com</t>
  </si>
  <si>
    <t>5/30/2021 9:10 PM</t>
  </si>
  <si>
    <t>deepakj917@gmail.com</t>
  </si>
  <si>
    <t>chiranjeevi.injam@gmail.com</t>
  </si>
  <si>
    <t>sharath.thomas@outlook.com</t>
  </si>
  <si>
    <t>5/31/2021 3:31 PM</t>
  </si>
  <si>
    <t>kusu.jaya@gmail.com</t>
  </si>
  <si>
    <t>udhwanimohit@gmail.com</t>
  </si>
  <si>
    <t>5/31/2021 6:13 PM</t>
  </si>
  <si>
    <t>muzaina2000@gmail.com</t>
  </si>
  <si>
    <t>nevilbarai1993@gmail.com</t>
  </si>
  <si>
    <t>collabwithbsy@gmail.com</t>
  </si>
  <si>
    <t>dharsha96@gmail.com</t>
  </si>
  <si>
    <t>shatrughan.dixit@gmail.com</t>
  </si>
  <si>
    <t>bbindu732@gmail.com</t>
  </si>
  <si>
    <t>konkasaraswathi0@gmail.com</t>
  </si>
  <si>
    <t>approachuday@hotmail.com</t>
  </si>
  <si>
    <t>nc3454@yahoo.co.in</t>
  </si>
  <si>
    <t>007shivamgaba@gmail.com</t>
  </si>
  <si>
    <t>chiragaggarwal98@gmail.com</t>
  </si>
  <si>
    <t>m.visdravid@gmail.com</t>
  </si>
  <si>
    <t>imransyed.ayaanss@gmail.com</t>
  </si>
  <si>
    <t>nidhisubash1312@gmail.com</t>
  </si>
  <si>
    <t>susmitakundu255@gmail.com</t>
  </si>
  <si>
    <t>adhipawar@gmail.com</t>
  </si>
  <si>
    <t>hiteshlk@gmail.com</t>
  </si>
  <si>
    <t>aroradolly776@gmail.com</t>
  </si>
  <si>
    <t>apoorwa12.official@gmail.com</t>
  </si>
  <si>
    <t>harshbaldwa1@gmail.com</t>
  </si>
  <si>
    <t>nagashourie@gmail.com</t>
  </si>
  <si>
    <t>ankit.abhinav24@gmail.com</t>
  </si>
  <si>
    <t>arorapranay650@gmail.com</t>
  </si>
  <si>
    <t>sudheerkumar.gss@gmail.com</t>
  </si>
  <si>
    <t>6/13/2021 8:40 AM</t>
  </si>
  <si>
    <t>bharishpatro@gmail.com</t>
  </si>
  <si>
    <t>6/13/2021 2:03 PM</t>
  </si>
  <si>
    <t>krishnajadhav5284@gmail.com</t>
  </si>
  <si>
    <t>6/13/2021 3:49 PM</t>
  </si>
  <si>
    <t>kumarabhinavme0046@gmail.com</t>
  </si>
  <si>
    <t>6/13/2021 8:32 PM</t>
  </si>
  <si>
    <t>rajmadhula@gmail.com</t>
  </si>
  <si>
    <t>ch.abhishekmalik4000@gmail.com</t>
  </si>
  <si>
    <t>6/14/2021 8:40 PM</t>
  </si>
  <si>
    <t>yerawarsomesh@gmail.com</t>
  </si>
  <si>
    <t>6/14/2021 9:39 PM</t>
  </si>
  <si>
    <t>mishram9045@gmail.com</t>
  </si>
  <si>
    <t>6/16/2021 3:39 PM</t>
  </si>
  <si>
    <t>abhinavgupta11097@gmail.com</t>
  </si>
  <si>
    <t>preeti.tris2k2@yahoo.co.in</t>
  </si>
  <si>
    <t>6/19/2021 9:28 AM</t>
  </si>
  <si>
    <t>jiveshbhu@gmail.com</t>
  </si>
  <si>
    <t>6/20/2021 12:35 AM</t>
  </si>
  <si>
    <t>cadvalkar35@gmail.com</t>
  </si>
  <si>
    <t>6/20/2021 3:25 PM</t>
  </si>
  <si>
    <t>choudharyyash1616@gmail.com</t>
  </si>
  <si>
    <t>6/21/2021 9:25 PM</t>
  </si>
  <si>
    <t>katuresandip59@gmail.com</t>
  </si>
  <si>
    <t>6/22/2021 7:04 AM</t>
  </si>
  <si>
    <t>Turning Dreams into Stardom</t>
  </si>
  <si>
    <t>vivek97jain@gmail.com</t>
  </si>
  <si>
    <t>6/20/2021 1:18 PM</t>
  </si>
  <si>
    <t>https://hi.likeminds.community/d/pooja-misra#Pricing</t>
  </si>
  <si>
    <t>well being</t>
  </si>
  <si>
    <t>9322296996@tempuser.com</t>
  </si>
  <si>
    <t>mukta@mfinserve.co.in</t>
  </si>
  <si>
    <t>krishnakis@gmail.com</t>
  </si>
  <si>
    <t>dhirjaspreet8@gmail.com</t>
  </si>
  <si>
    <t>ishukrish21@gmail.com</t>
  </si>
  <si>
    <t>sagaryawale143@gmail.com</t>
  </si>
  <si>
    <t>pallavi.dua008@gmail.com</t>
  </si>
  <si>
    <t>venkatsaipriya1@gmail.com</t>
  </si>
  <si>
    <t>saravanaraaj@rediffmail.com</t>
  </si>
  <si>
    <t>parulmehra84@gmail.com</t>
  </si>
  <si>
    <t>rakhibandhu.rb@gmail.com</t>
  </si>
  <si>
    <t>sunderr20@gmail.com</t>
  </si>
  <si>
    <t>palak1507@gmail.com</t>
  </si>
  <si>
    <t>tanjain3008@gmail.com</t>
  </si>
  <si>
    <t>anjanakhanna1169@gmail.com</t>
  </si>
  <si>
    <t>camabhisnehal@gmail.com</t>
  </si>
  <si>
    <t>inv.anshu@gmail.com</t>
  </si>
  <si>
    <t>humakhanvirgo@gmail.com</t>
  </si>
  <si>
    <t>annusmail@gmail.com</t>
  </si>
  <si>
    <t>nishith@shreefinancial.com</t>
  </si>
  <si>
    <t>mishra.prabhatlko@gmail.com</t>
  </si>
  <si>
    <t>vivekarora1705@gmail.com</t>
  </si>
  <si>
    <t>ma.arora@yahoo.in</t>
  </si>
  <si>
    <t>bharathipaddy@gmail.com</t>
  </si>
  <si>
    <t>singhvineeta.786@gmail.com</t>
  </si>
  <si>
    <t>piyu30mamta@gmail.com</t>
  </si>
  <si>
    <t>rishiti.rao_11@rediffmail.com</t>
  </si>
  <si>
    <t>drtulikasen@gmail.com</t>
  </si>
  <si>
    <t>avanticas@gmail.com</t>
  </si>
  <si>
    <t>muthumozhian@gmail.com</t>
  </si>
  <si>
    <t>https://community.likeminds.community/well-being#Pricing</t>
  </si>
  <si>
    <t>nupurakhot8@gmail.com</t>
  </si>
  <si>
    <t>divyablu7@gmail.com</t>
  </si>
  <si>
    <t>novonilghosh84@gmail.com</t>
  </si>
  <si>
    <t>sreeparnadasnath2015@gmail.com</t>
  </si>
  <si>
    <t>nidhisharma1921@gmail.com</t>
  </si>
  <si>
    <t>rpreet8@gmail.com</t>
  </si>
  <si>
    <t>neerudwivedi@gmail.com</t>
  </si>
  <si>
    <t>rameshveenu@gmail.com</t>
  </si>
  <si>
    <t>5/13/2021 3:07 PM</t>
  </si>
  <si>
    <t>5/15/2021 7:18 PM</t>
  </si>
  <si>
    <t>chitraleena@gmail.com</t>
  </si>
  <si>
    <t>5/15/2021 8:34 PM</t>
  </si>
  <si>
    <t>aarthinatraj2418@gmail.com</t>
  </si>
  <si>
    <t>5/16/2021 1:29 PM</t>
  </si>
  <si>
    <t>rk.neurekar@gmail.com</t>
  </si>
  <si>
    <t>5/16/2021 3:20 PM</t>
  </si>
  <si>
    <t>drgarimasaxena@gmail.com</t>
  </si>
  <si>
    <t>5/16/2021 3:32 PM</t>
  </si>
  <si>
    <t>a111freak@gmail.com</t>
  </si>
  <si>
    <t>5/16/2021 9:29 PM</t>
  </si>
  <si>
    <t>snaya85@gmail.com</t>
  </si>
  <si>
    <t>5/16/2021 9:34 PM</t>
  </si>
  <si>
    <t>rekhagupta.yoga@gmail.com</t>
  </si>
  <si>
    <t>5/16/2021 9:52 PM</t>
  </si>
  <si>
    <t>ga.arora@yahoo.com</t>
  </si>
  <si>
    <t>5/17/2021 1:27 PM</t>
  </si>
  <si>
    <t>pratsingh@rediffmail.com</t>
  </si>
  <si>
    <t>5/17/2021 9:13 PM</t>
  </si>
  <si>
    <t>yuktaanand@yahoo.co.in</t>
  </si>
  <si>
    <t>5/19/2021 7:05 PM</t>
  </si>
  <si>
    <t>namitakothari30@gmail.com</t>
  </si>
  <si>
    <t>5/19/2021 7:11 PM</t>
  </si>
  <si>
    <t>kajuansh@gmail.com</t>
  </si>
  <si>
    <t>5/19/2021 8:51 PM</t>
  </si>
  <si>
    <t>manish.makwana@live.com</t>
  </si>
  <si>
    <t>5/20/2021 10:11 AM</t>
  </si>
  <si>
    <t>arka.icfai@gmail.com</t>
  </si>
  <si>
    <t>5/22/2021 6:12 PM</t>
  </si>
  <si>
    <t>5/24/2021 12:28 PM</t>
  </si>
  <si>
    <t>drankitapatni25@gmail.com</t>
  </si>
  <si>
    <t>5/24/2021 12:55 PM</t>
  </si>
  <si>
    <t>5/24/2021 5:08 PM</t>
  </si>
  <si>
    <t>5/26/2021 5:05 PM</t>
  </si>
  <si>
    <t>5/27/2021 12:25 PM</t>
  </si>
  <si>
    <t>sonaligupta33@gmail.com</t>
  </si>
  <si>
    <t>5/27/2021 4:04 PM</t>
  </si>
  <si>
    <t>shringaar.greatworks@gmail.com</t>
  </si>
  <si>
    <t>5/27/2021 11:28 PM</t>
  </si>
  <si>
    <t>gautamsrane@gmail.com</t>
  </si>
  <si>
    <t>5/28/2021 2:19 PM</t>
  </si>
  <si>
    <t>sankarapu.lyrics@gmail.com</t>
  </si>
  <si>
    <t>5/30/2021 11:33 AM</t>
  </si>
  <si>
    <t>luthra72@gmail.com</t>
  </si>
  <si>
    <t>5/30/2021 8:02 PM</t>
  </si>
  <si>
    <t>rhappycool@gmail.com</t>
  </si>
  <si>
    <t>5/31/2021 7:57 PM</t>
  </si>
  <si>
    <t>shreefinancials@hotmail.com</t>
  </si>
  <si>
    <t>charumaggu@gmail.com</t>
  </si>
  <si>
    <t>sridharan89@hotmail.com</t>
  </si>
  <si>
    <t>dramritaagrawal@gmail.com</t>
  </si>
  <si>
    <t>otwani.nikki@gmail.com</t>
  </si>
  <si>
    <t>deepshikhahore1710@gmail.com</t>
  </si>
  <si>
    <t>abhishek.s.dalal@gmail.com</t>
  </si>
  <si>
    <t>https://hi.likeminds.community/well-being-renewal</t>
  </si>
  <si>
    <t>poppoye0705@gmail.com</t>
  </si>
  <si>
    <t>https://community.likeminds.community/well-being</t>
  </si>
  <si>
    <t>biswas.ssb30@gmail.com</t>
  </si>
  <si>
    <t>shilpi110290@gmail.com</t>
  </si>
  <si>
    <t>saikishore809@gmail.com</t>
  </si>
  <si>
    <t>poojachaudhry21@gmail.com</t>
  </si>
  <si>
    <t>nupurakhot94@gmail.com</t>
  </si>
  <si>
    <t>ankitarajput1978@gmail.com</t>
  </si>
  <si>
    <t>monika300383@gmail.com</t>
  </si>
  <si>
    <t>bhatia.manit@gmail.com</t>
  </si>
  <si>
    <t>deribs77@gmail.com</t>
  </si>
  <si>
    <t>6/13/2021 9:13 PM</t>
  </si>
  <si>
    <t>stellapaul1211@gmail.com</t>
  </si>
  <si>
    <t>6/14/2021 7:38 AM</t>
  </si>
  <si>
    <t>6/14/2021 11:50 AM</t>
  </si>
  <si>
    <t>6/15/2021 12:15 PM</t>
  </si>
  <si>
    <t>6/17/2021 7:27 PM</t>
  </si>
  <si>
    <t>sonowalsilpisikha@gmail.com</t>
  </si>
  <si>
    <t>6/18/2021 7:43 AM</t>
  </si>
  <si>
    <t>rituchauhantomar81@gmail.com</t>
  </si>
  <si>
    <t>6/18/2021 6:54 PM</t>
  </si>
  <si>
    <t>sasya.thakur@gmail.com</t>
  </si>
  <si>
    <t>6/18/2021 7:09 PM</t>
  </si>
  <si>
    <t>6/19/2021 6:08 PM</t>
  </si>
  <si>
    <t>6/20/2021 4:17 PM</t>
  </si>
  <si>
    <t>rajee26@gmail.com</t>
  </si>
  <si>
    <t>6/20/2021 8:09 PM</t>
  </si>
  <si>
    <t>6/22/2021 7:14 AM</t>
  </si>
  <si>
    <t>kamaliganapathy1998@gmail.com</t>
  </si>
  <si>
    <t>https://community.likeminds.community/write-your-wrong</t>
  </si>
  <si>
    <t>Write Your Wrong</t>
  </si>
  <si>
    <t>sheel.crumpee@gmail.com</t>
  </si>
  <si>
    <t>5/22/2021 8:17 AM</t>
  </si>
  <si>
    <t>Write your Wrong</t>
  </si>
  <si>
    <t>mahak_budhraja@yahoo.com</t>
  </si>
  <si>
    <t>5/28/2021 5:46 AM</t>
  </si>
  <si>
    <t>gayatriramani555@gmail.com</t>
  </si>
  <si>
    <t>5/28/2021 12:57 PM</t>
  </si>
  <si>
    <t>armaanshk94@gmail.com</t>
  </si>
  <si>
    <t>5/28/2021 4:47 PM</t>
  </si>
  <si>
    <t>nitya.satheesh111@gmail.com</t>
  </si>
  <si>
    <t>5/28/2021 9:25 PM</t>
  </si>
  <si>
    <t>shubhamkothiyal73@gmail.com</t>
  </si>
  <si>
    <t>5/29/2021 4:37 PM</t>
  </si>
  <si>
    <t>deepaliprabhu34@gmail.com</t>
  </si>
  <si>
    <t>5/29/2021 8:16 PM</t>
  </si>
  <si>
    <t>lowkyabvr@gmail.com</t>
  </si>
  <si>
    <t>5/30/2021 7:20 AM</t>
  </si>
  <si>
    <t>sunilnaidu.digital@gmail.com</t>
  </si>
  <si>
    <t>mamtagodigital@gmail.com</t>
  </si>
  <si>
    <t>5/30/2021 1:11 PM</t>
  </si>
  <si>
    <t>greatword18@gmail.com</t>
  </si>
  <si>
    <t>5/31/2021 12:07 PM</t>
  </si>
  <si>
    <t>https://community.likeminds.community/yo-geek-the-modern-yogi</t>
  </si>
  <si>
    <t>14.priyankaghosh@gmail.com</t>
  </si>
  <si>
    <t>simple.gp7@gmail.com</t>
  </si>
  <si>
    <t>ravi.srivastava0307@gmail.com</t>
  </si>
  <si>
    <t>munz_99@yahoo.com</t>
  </si>
  <si>
    <t>5/22/2021 8:55 PM</t>
  </si>
  <si>
    <t>aditeeshedge@gmail.com</t>
  </si>
  <si>
    <t>5/23/2021 5:58 PM</t>
  </si>
  <si>
    <t>aleenamirium997@gmail.com</t>
  </si>
  <si>
    <t>5/25/2021 1:50 AM</t>
  </si>
  <si>
    <t>kavyasruthi464@gmail.com</t>
  </si>
  <si>
    <t>badalram378@gmail.com</t>
  </si>
  <si>
    <t>5/28/2021 8:40 AM</t>
  </si>
  <si>
    <t>krubanandan@gmail.com</t>
  </si>
  <si>
    <t>5/29/2021 7:27 PM</t>
  </si>
  <si>
    <t>siddhu68@yahoo.com</t>
  </si>
  <si>
    <t>5/29/2021 7:32 PM</t>
  </si>
  <si>
    <t>lalitkdhingrag394@gmail.com</t>
  </si>
  <si>
    <t>5/30/2021 12:37 PM</t>
  </si>
  <si>
    <t>shraddha.ish@gmail.com</t>
  </si>
  <si>
    <t>5/30/2021 1:32 PM</t>
  </si>
  <si>
    <t>renjitharajeev@gmail.com</t>
  </si>
  <si>
    <t>5/30/2021 8:10 PM</t>
  </si>
  <si>
    <t>minisha.shinde@gmail.com</t>
  </si>
  <si>
    <t>5/30/2021 10:35 PM</t>
  </si>
  <si>
    <t>anumaria@gmail.com</t>
  </si>
  <si>
    <t>5/31/2021 3:21 PM</t>
  </si>
  <si>
    <t>nikhithakrishna22@gmail.com</t>
  </si>
  <si>
    <t>5/31/2021 6:55 PM</t>
  </si>
  <si>
    <t>shrink.44@gmail.com</t>
  </si>
  <si>
    <t>5/31/2021 9:37 PM</t>
  </si>
  <si>
    <t>roshnimsubhash@gmail.com</t>
  </si>
  <si>
    <t>pragatisohal@gmail.com</t>
  </si>
  <si>
    <t>divya.ganapathi410@gmail.com</t>
  </si>
  <si>
    <t>chandu80089@gmail.com</t>
  </si>
  <si>
    <t>rakeshpavan4@gmail.com</t>
  </si>
  <si>
    <t>deeps.jans@gmail.com</t>
  </si>
  <si>
    <t>ncgandhi93@gmail.com</t>
  </si>
  <si>
    <t>ss70259@gmail.com</t>
  </si>
  <si>
    <t>shalininewton@gmail.com</t>
  </si>
  <si>
    <t>emc.mohammed@gmail.com</t>
  </si>
  <si>
    <t>nishagshetty99@gmail.com</t>
  </si>
  <si>
    <t>pawan.kumar.verma21@gmail.com</t>
  </si>
  <si>
    <t>san.recruit7@gmail.com</t>
  </si>
  <si>
    <t>6/13/2021 6:27 PM</t>
  </si>
  <si>
    <t>deepaliverma5@gmail.com</t>
  </si>
  <si>
    <t>6/14/2021 1:34 PM</t>
  </si>
  <si>
    <t>pinalsmodi1612@gmail.com</t>
  </si>
  <si>
    <t>6/16/2021 9:02 AM</t>
  </si>
  <si>
    <t>khannasonal94@gmail.com</t>
  </si>
  <si>
    <t>6/16/2021 2:03 PM</t>
  </si>
  <si>
    <t>manjusha.rao1312@gmail.com</t>
  </si>
  <si>
    <t>6/17/2021 5:18 PM</t>
  </si>
  <si>
    <t>sayalipatil5028@gmail.com</t>
  </si>
  <si>
    <t>6/18/2021 10:48 AM</t>
  </si>
  <si>
    <t>awesomeanshu@gmail.com</t>
  </si>
  <si>
    <t>6/18/2021 10:54 PM</t>
  </si>
  <si>
    <t>6/19/2021 8:15 AM</t>
  </si>
  <si>
    <t>akshtasingh4574@gmail.com</t>
  </si>
  <si>
    <t>6/19/2021 10:59 AM</t>
  </si>
  <si>
    <t>sujatav076@gmail.com</t>
  </si>
  <si>
    <t>6/19/2021 11:03 AM</t>
  </si>
  <si>
    <t>sunpreet8888@gmail.com</t>
  </si>
  <si>
    <t>6/20/2021 8:58 PM</t>
  </si>
  <si>
    <t>bhavinjain1111@gmail.com</t>
  </si>
  <si>
    <t>neelu1004@gmail.com</t>
  </si>
  <si>
    <t>6/21/2021 12:46 PM</t>
  </si>
  <si>
    <t>shirin.mukhtyar23@gmail.com</t>
  </si>
  <si>
    <t>6/21/2021 4:01 PM</t>
  </si>
  <si>
    <t>sravyakutty187@gmail.com</t>
  </si>
  <si>
    <t>6/21/2021 9:35 PM</t>
  </si>
  <si>
    <t>Yoga with Ratika | Roooted</t>
  </si>
  <si>
    <t>sparsh.roc1@gmail.com</t>
  </si>
  <si>
    <t>5/13/2021 8:10 AM</t>
  </si>
  <si>
    <t>Yum Bites Food Art</t>
  </si>
  <si>
    <t>payalpopat1993@yahoo.com</t>
  </si>
  <si>
    <t>5/21/2021 7:21 PM</t>
  </si>
  <si>
    <t>https://hi.likeminds.community/d/yum-bites-food-art#Pricing</t>
  </si>
  <si>
    <t>jai.lanba@likeminds.community</t>
  </si>
  <si>
    <t>amartyasaradhi@gmail.com</t>
  </si>
  <si>
    <t>id</t>
  </si>
  <si>
    <t>kesavanp_77@yahoo.co.in</t>
  </si>
  <si>
    <t>pay_H5EkwiultUPr2L</t>
  </si>
  <si>
    <t>pay_H5W1QjuPk82Zxu</t>
  </si>
  <si>
    <t>yesha.aftab@gmail.com</t>
  </si>
  <si>
    <t>pay_H5aZdWmrCOPv8w</t>
  </si>
  <si>
    <t>pay_H5ki0PSCLekk4E</t>
  </si>
  <si>
    <t>pay_H5qCYp90bYY3IR</t>
  </si>
  <si>
    <t>pay_H5seU4HAc7T7Uo</t>
  </si>
  <si>
    <t>pay_H5sj9XXNAE8A94</t>
  </si>
  <si>
    <t>pay_H5slgkMTFrOKTg</t>
  </si>
  <si>
    <t>pay_H5uhDTPxn4p5GB</t>
  </si>
  <si>
    <t>pay_H5voWwvhqvku3U</t>
  </si>
  <si>
    <t>biswas.manjushree@gmail.com</t>
  </si>
  <si>
    <t>pay_H6B6gsl5IQqr4D</t>
  </si>
  <si>
    <t>mihirjoshi42@gmail.com</t>
  </si>
  <si>
    <t>pay_H6BJNaiXBC9lbH</t>
  </si>
  <si>
    <t>pay_H6FI5hqEmx0rQr</t>
  </si>
  <si>
    <t>saurabhprwl0@gmail.com</t>
  </si>
  <si>
    <t>pay_H6HCHMdNg2EBjq</t>
  </si>
  <si>
    <t>pay_H6IQ6rjURebAEN</t>
  </si>
  <si>
    <t>pay_H6IvfhXVSJtsVU</t>
  </si>
  <si>
    <t>pay_H6IwUiKNdHcqOa</t>
  </si>
  <si>
    <t>pay_H6IynnXpQD3vtu</t>
  </si>
  <si>
    <t>pay_H6JewJjwlUQeor</t>
  </si>
  <si>
    <t>pay_H6LyhFlnZPet4L</t>
  </si>
  <si>
    <t>pay_H6M18PniZZxhuH</t>
  </si>
  <si>
    <t>pay_H6MFOmyP0yzmaG</t>
  </si>
  <si>
    <t>jaimaran20@gmail.com</t>
  </si>
  <si>
    <t>pay_H6MUxD3uiq0qMm</t>
  </si>
  <si>
    <t>pay_H6OM6mtc3X24p4</t>
  </si>
  <si>
    <t>pay_H6OZHMGGwhtkMg</t>
  </si>
  <si>
    <t>pay_H6PH7qQXUHgxfu</t>
  </si>
  <si>
    <t>pay_H6PNvHEvhIfTvE</t>
  </si>
  <si>
    <t>pay_H6Y4xoE46plyib</t>
  </si>
  <si>
    <t>pay_H6cZodbxWfXymQ</t>
  </si>
  <si>
    <t>pay_H6dDZuXUs5wJYw</t>
  </si>
  <si>
    <t>pay_H6e19mJSkBnPZl</t>
  </si>
  <si>
    <t>pay_H6ejsTenhxPtgT</t>
  </si>
  <si>
    <t>pay_H6gODrRvIOBR2G</t>
  </si>
  <si>
    <t>jainprachi1385@gmail.com</t>
  </si>
  <si>
    <t>pay_H6gUPHb3HdZe6C</t>
  </si>
  <si>
    <t>pay_H6gVGUdkPWXtHP</t>
  </si>
  <si>
    <t>pay_H6gWqyN5SdktFR</t>
  </si>
  <si>
    <t>pay_H6gmIveChQnJtL</t>
  </si>
  <si>
    <t>pay_H6hFPdEWIAM1A2</t>
  </si>
  <si>
    <t>pay_H6hG9WBnSD7eC3</t>
  </si>
  <si>
    <t>pay_H6hn705iFrnOvn</t>
  </si>
  <si>
    <t>kartiktrogon@gmail.com</t>
  </si>
  <si>
    <t>pay_H6hrVWjE4K9SPx</t>
  </si>
  <si>
    <t>pay_H6i9yA5bbdm02Z</t>
  </si>
  <si>
    <t>pay_H6iAjvZbp5Odhu</t>
  </si>
  <si>
    <t>pay_H6iDXjIQFqmR3f</t>
  </si>
  <si>
    <t>pay_H6iGK8h57Yj6fp</t>
  </si>
  <si>
    <t>pay_H6iHDVrt5x4Jh1</t>
  </si>
  <si>
    <t>pay_H6iXqvSTHDj1v7</t>
  </si>
  <si>
    <t>pay_H6k7fH2VlH0QbR</t>
  </si>
  <si>
    <t>pay_H6kWh8vVU3NDv2</t>
  </si>
  <si>
    <t>pay_H6kkD9JYywKQ69</t>
  </si>
  <si>
    <t>pay_H6km5h7FQFEuL1</t>
  </si>
  <si>
    <t>sharvarinilesh83@gmail.com</t>
  </si>
  <si>
    <t>pay_H6ksnACdqVzbvW</t>
  </si>
  <si>
    <t>saurabhbudhaulia@gmail.com</t>
  </si>
  <si>
    <t>pay_H6kyKMaSiF7l82</t>
  </si>
  <si>
    <t>karthiyes1974@gmail.com</t>
  </si>
  <si>
    <t>pay_H6lDt5RWyqa3U4</t>
  </si>
  <si>
    <t>pay_H6lHCzii2GCyWz</t>
  </si>
  <si>
    <t>ganeshreddy032@gmail.com</t>
  </si>
  <si>
    <t>pay_H6lVQFIqAnVJnH</t>
  </si>
  <si>
    <t>pay_H6lahEhG8taZ1E</t>
  </si>
  <si>
    <t>pay_H6lakmhD6MSWBF</t>
  </si>
  <si>
    <t>pay_H6lbTHOU4ltPL6</t>
  </si>
  <si>
    <t>pay_H6lcsM03oXkFYZ</t>
  </si>
  <si>
    <t>pay_H6lgl4WJbJMGuf</t>
  </si>
  <si>
    <t>pay_H6m2NLQGW20qHZ</t>
  </si>
  <si>
    <t>pay_H6mDmvSzYTAZ1G</t>
  </si>
  <si>
    <t>pay_H6mXfd9acT25Mr</t>
  </si>
  <si>
    <t>pay_H6mdTBWAVKlggZ</t>
  </si>
  <si>
    <t>singh.renu2310@gmail.com</t>
  </si>
  <si>
    <t>pay_H6mlWO8MHbWT18</t>
  </si>
  <si>
    <t>pay_H6mzGpdFagGjob</t>
  </si>
  <si>
    <t>ravurimadhavi@ymail.com</t>
  </si>
  <si>
    <t>pay_H6nDjePTeW4yl6</t>
  </si>
  <si>
    <t>pay_H6nJl9n5Yk8MrB</t>
  </si>
  <si>
    <t>pay_H6o32hjh32pGfa</t>
  </si>
  <si>
    <t>pay_H6oOcVynxOWYMI</t>
  </si>
  <si>
    <t>deepikasha101@gmail.com</t>
  </si>
  <si>
    <t>pay_H6oerOQel7Ikfd</t>
  </si>
  <si>
    <t>pay_H6ohpxiOC10MAn</t>
  </si>
  <si>
    <t>pay_H6oiVghWgQXPng</t>
  </si>
  <si>
    <t>pay_H6ojDrU6gIcqqs</t>
  </si>
  <si>
    <t>pawsomelove10@gmail.com</t>
  </si>
  <si>
    <t>pay_H6okWm1rcL46xM</t>
  </si>
  <si>
    <t>pay_H6qjW9ICOOLM7A</t>
  </si>
  <si>
    <t>pay_H6qzgrdHqxixwf</t>
  </si>
  <si>
    <t>kasagani.swetha@gmail.com</t>
  </si>
  <si>
    <t>pay_H6uaMh49riAXxg</t>
  </si>
  <si>
    <t>pay_H6v2EnTR878sUW</t>
  </si>
  <si>
    <t>pay_H6vqOrOdRHnijW</t>
  </si>
  <si>
    <t>pay_H6wiS8dEIzuvTo</t>
  </si>
  <si>
    <t>pay_H6wm9CYj4pmu3R</t>
  </si>
  <si>
    <t>pay_H6wnNOFzH0zzcL</t>
  </si>
  <si>
    <t>pay_H6x0UVzk0Huagq</t>
  </si>
  <si>
    <t>pay_H6xvuIL5Vvmaww</t>
  </si>
  <si>
    <t>pay_H6y92uQ4R8K0fX</t>
  </si>
  <si>
    <t>meenamundada@gmail.com</t>
  </si>
  <si>
    <t>pay_H6yZStlMPWcVYF</t>
  </si>
  <si>
    <t>shreymaheshwari007@gmail.com</t>
  </si>
  <si>
    <t>pay_H6ycnDJxYToOqt</t>
  </si>
  <si>
    <t>pay_H6ykqhq4Ec9r3X</t>
  </si>
  <si>
    <t>pay_H6yxNC4t4oGEnj</t>
  </si>
  <si>
    <t>bahulika26@gmail.com</t>
  </si>
  <si>
    <t>pay_H6zxAwi7kO6fTS</t>
  </si>
  <si>
    <t>pay_H6zyEsrCZfMcov</t>
  </si>
  <si>
    <t>niveditachaudhary7@gmail.com</t>
  </si>
  <si>
    <t>pay_H70JBrjNLqWyAI</t>
  </si>
  <si>
    <t>rathinandhu8378@gmail.com</t>
  </si>
  <si>
    <t>pay_H70Q0yvycc14eV</t>
  </si>
  <si>
    <t>rajpreettomar@gmail.com</t>
  </si>
  <si>
    <t>pay_H70eSyfVcAh8Oh</t>
  </si>
  <si>
    <t>pay_H70f2pvlDc6itm</t>
  </si>
  <si>
    <t>pay_H710pMmlAtLRID</t>
  </si>
  <si>
    <t>pay_H71EUCRPLkLTko</t>
  </si>
  <si>
    <t>yugsingh210@gmail.com</t>
  </si>
  <si>
    <t>pay_H71RUPTpYUNJEh</t>
  </si>
  <si>
    <t>pay_H71wN5KgnwmTo3</t>
  </si>
  <si>
    <t>pay_H72ino7CvpaIqG</t>
  </si>
  <si>
    <t>pay_H73lw4pGduQZxV</t>
  </si>
  <si>
    <t>pay_H73nzwWZrADEdc</t>
  </si>
  <si>
    <t>sphurthygattu@gmail.com</t>
  </si>
  <si>
    <t>pay_H7477nxxd2fdqR</t>
  </si>
  <si>
    <t>pay_H74g5qiPdeE4R8</t>
  </si>
  <si>
    <t>pay_H74pj2MBvBCp7o</t>
  </si>
  <si>
    <t>pay_H753l0YoJI1xlK</t>
  </si>
  <si>
    <t>pay_H759KIW1qocg67</t>
  </si>
  <si>
    <t>pay_H75H7U3Vn5F8uO</t>
  </si>
  <si>
    <t>pay_H75i5JzDV9yeMF</t>
  </si>
  <si>
    <t>pay_H75z3DAtP6lxPV</t>
  </si>
  <si>
    <t>sherenesoris@gmail.com</t>
  </si>
  <si>
    <t>pay_H767YMA6aUXvLT</t>
  </si>
  <si>
    <t>pay_H76sKN31BBFsJG</t>
  </si>
  <si>
    <t>pay_H78Oq2bTVvVg4d</t>
  </si>
  <si>
    <t>pay_H78b7JxC97auPd</t>
  </si>
  <si>
    <t>pay_H78ev3MgbVLRT9</t>
  </si>
  <si>
    <t>pay_H793PZb1rHsZCJ</t>
  </si>
  <si>
    <t>pay_H798ruilHTE4HX</t>
  </si>
  <si>
    <t>pay_H799sZuZIu6GUK</t>
  </si>
  <si>
    <t>pay_H79ecxRYLhYp69</t>
  </si>
  <si>
    <t>pay_H79ojClhly2TNw</t>
  </si>
  <si>
    <t>pay_H79xdlMyStPmGO</t>
  </si>
  <si>
    <t>pay_H7A3Ed7cxvJNEr</t>
  </si>
  <si>
    <t>pay_H7A4mKA6uBSDAJ</t>
  </si>
  <si>
    <t>pay_H7AHAJZeQfzKcd</t>
  </si>
  <si>
    <t>pay_H7AVA4rPerdwM1</t>
  </si>
  <si>
    <t>pay_H7AjVAXJGbWjpZ</t>
  </si>
  <si>
    <t>pay_H7AoWjPWQKyOjD</t>
  </si>
  <si>
    <t>saileshbhupalam@gmail.com</t>
  </si>
  <si>
    <t>pay_H7BAG81ILkJLzP</t>
  </si>
  <si>
    <t>pay_H7BOwptQiMxi3F</t>
  </si>
  <si>
    <t>pay_H7BTB9pqiRetdi</t>
  </si>
  <si>
    <t>pay_H7BTQjwiLSAaX5</t>
  </si>
  <si>
    <t>pay_H7C20oNPfjfV1P</t>
  </si>
  <si>
    <t>pay_H7CHzofThyu6ch</t>
  </si>
  <si>
    <t>pay_H7CMHJ0mIF2psI</t>
  </si>
  <si>
    <t>jeninreji@gmail.com</t>
  </si>
  <si>
    <t>pay_H7CNul7ElkTR4P</t>
  </si>
  <si>
    <t>pay_H7CX8lIMzAV7D3</t>
  </si>
  <si>
    <t>pay_H7DRMlhAHelSrX</t>
  </si>
  <si>
    <t>pay_H7EL2KDrj7nTDZ</t>
  </si>
  <si>
    <t>pay_H7EeuB7TGqmgDs</t>
  </si>
  <si>
    <t>pay_H7FGXnTPQNHI8M</t>
  </si>
  <si>
    <t>vasumathi.mohanram@outlook.com</t>
  </si>
  <si>
    <t>pay_H7FK9UpHVxWLXs</t>
  </si>
  <si>
    <t>pay_H7FKV248NwEv0e</t>
  </si>
  <si>
    <t>pay_H7FXeuKX8WVFSB</t>
  </si>
  <si>
    <t>pay_H7InMGrVCIlFUR</t>
  </si>
  <si>
    <t>pay_H7J5GCA1SgC641</t>
  </si>
  <si>
    <t>pay_H7Kj2KE89Pqen5</t>
  </si>
  <si>
    <t>pay_H7KpTD4SXveTKz</t>
  </si>
  <si>
    <t>pay_H7LrwAx0fE1vIX</t>
  </si>
  <si>
    <t>pay_H7M0yw8BTeQLl4</t>
  </si>
  <si>
    <t>pavithrasandeep257@gmail.com</t>
  </si>
  <si>
    <t>pay_H7MBIqjEHoIPGN</t>
  </si>
  <si>
    <t>pay_H7MEW93wry0nkQ</t>
  </si>
  <si>
    <t>kavita.feb3@gmail.com</t>
  </si>
  <si>
    <t>pay_H7Mukgndv0kqay</t>
  </si>
  <si>
    <t>pay_H7MxPsSZlw8YGa</t>
  </si>
  <si>
    <t>pay_H7Nbm5Dv9pLMtM</t>
  </si>
  <si>
    <t>pay_H7NnqxEWxMz4pZ</t>
  </si>
  <si>
    <t>kapoor.jaigopal@gmail.com</t>
  </si>
  <si>
    <t>pay_H7Nwm5NqEk1u4U</t>
  </si>
  <si>
    <t>pay_H7Oe8gLPqGazh5</t>
  </si>
  <si>
    <t>gudoomalik@gmail.com</t>
  </si>
  <si>
    <t>pay_H7PFDW0V0IU6XP</t>
  </si>
  <si>
    <t>pay_H7PTaMkKIv3b0F</t>
  </si>
  <si>
    <t>pay_H7Pk6IcRN0Jofh</t>
  </si>
  <si>
    <t>pay_H7PltBUerzfnEK</t>
  </si>
  <si>
    <t>prernajain1309@gmail.com</t>
  </si>
  <si>
    <t>pay_H7QMQ7zBwE5ZfA</t>
  </si>
  <si>
    <t>pay_H7QYpAnwTTgTZd</t>
  </si>
  <si>
    <t>braingrinding@gmail.com</t>
  </si>
  <si>
    <t>pay_H7QhQbTOcdzLKh</t>
  </si>
  <si>
    <t>pay_H7Ql2EPlpAql5u</t>
  </si>
  <si>
    <t>pay_H7QluV9f7TjuVO</t>
  </si>
  <si>
    <t>pay_H7RDi8MAZPKydn</t>
  </si>
  <si>
    <t>mamoii.khiangte@gmail.com</t>
  </si>
  <si>
    <t>pay_H7RPOr8Br0N6IV</t>
  </si>
  <si>
    <t>pay_H7Rvw4rPGbqMCa</t>
  </si>
  <si>
    <t>edifiedlearners@gmail.com</t>
  </si>
  <si>
    <t>pay_H7S0dQHGC1DXyb</t>
  </si>
  <si>
    <t>labonimitra9@gmail.com</t>
  </si>
  <si>
    <t>pay_H7SH19qjbMpmrV</t>
  </si>
  <si>
    <t>pay_H7SNdKKwICezC0</t>
  </si>
  <si>
    <t>pay_H7SawirRCbQyVU</t>
  </si>
  <si>
    <t>pay_H7TJ2qbQQPY7GM</t>
  </si>
  <si>
    <t>priyabhagey@gmail.com</t>
  </si>
  <si>
    <t>pay_H7TO5L4tX1lUZR</t>
  </si>
  <si>
    <t>pay_H7TnfM2mMKQMww</t>
  </si>
  <si>
    <t>sujatatanwar1886@gmail.com</t>
  </si>
  <si>
    <t>pay_H7ToRbEpVeOfuT</t>
  </si>
  <si>
    <t>pay_H7TtfbqgPJyCmm</t>
  </si>
  <si>
    <t>pay_H7TuNTL5OFYluw</t>
  </si>
  <si>
    <t>pay_H7TxNJ11JW2tG0</t>
  </si>
  <si>
    <t>pay_H7TxyFaL6O5cp0</t>
  </si>
  <si>
    <t>pay_H7Ueh4NcEPraiT</t>
  </si>
  <si>
    <t>pay_H7VFJzTC058KCd</t>
  </si>
  <si>
    <t>pay_H7VdkJ06DVdhrA</t>
  </si>
  <si>
    <t>pay_H7VfVBsz0KMWk3</t>
  </si>
  <si>
    <t>pay_H7VlThLvRDzW8j</t>
  </si>
  <si>
    <t>pay_H7VlzWUJqTxHEA</t>
  </si>
  <si>
    <t>pay_H7WL951gfvIH0v</t>
  </si>
  <si>
    <t>pay_H7WOZFoeRgG2zC</t>
  </si>
  <si>
    <t>pay_H7WQcnVXRTRmkm</t>
  </si>
  <si>
    <t>pay_H7WiRlUeaFzKib</t>
  </si>
  <si>
    <t>pay_H7WwbyTsx1i8nZ</t>
  </si>
  <si>
    <t>pay_H7WxthshNvy0Xa</t>
  </si>
  <si>
    <t>pay_H7X6VL7cQB3PHU</t>
  </si>
  <si>
    <t>nitishaceles07@gmail.com</t>
  </si>
  <si>
    <t>pay_H7XDQm5OmeIxtN</t>
  </si>
  <si>
    <t>pay_H7XGSEZ6XxkYzN</t>
  </si>
  <si>
    <t>pay_H7XQN8S0YfTIuh</t>
  </si>
  <si>
    <t>pay_H7XUhOeWTgzNwp</t>
  </si>
  <si>
    <t>pay_H7XqtdTkWtm29O</t>
  </si>
  <si>
    <t>pay_H7XrwUR8kGmZKl</t>
  </si>
  <si>
    <t>pay_H7YVdyDhJqhA0A</t>
  </si>
  <si>
    <t>pay_H7Ye3cHPJezSiS</t>
  </si>
  <si>
    <t>pay_H7YvW3uVFdNl6F</t>
  </si>
  <si>
    <t>pay_H7Z2yXL6ExAtAy</t>
  </si>
  <si>
    <t>pay_H7ZH7dwQA7xAMu</t>
  </si>
  <si>
    <t>pay_H7ZtCx3flXTYhG</t>
  </si>
  <si>
    <t>nabeelanabz56@gmail.com</t>
  </si>
  <si>
    <t>pay_H7ZvgAWS6aOurZ</t>
  </si>
  <si>
    <t>pay_H7a0slsfV4l5J3</t>
  </si>
  <si>
    <t>pay_H7akglvqfqvM7T</t>
  </si>
  <si>
    <t>piya2492@gmail.com</t>
  </si>
  <si>
    <t>pay_H7b44byULwgzkP</t>
  </si>
  <si>
    <t>pay_H7b4w3CPbc0ziJ</t>
  </si>
  <si>
    <t>pay_H7bF61rvaGeJ8y</t>
  </si>
  <si>
    <t>kimiamang@gmail.com</t>
  </si>
  <si>
    <t>pay_H7bjVe2EnklW6p</t>
  </si>
  <si>
    <t>pay_H7blLvrs22hrWN</t>
  </si>
  <si>
    <t>pay_H7dWP1Cqahv77g</t>
  </si>
  <si>
    <t>pay_H7eD3hW6oydzOY</t>
  </si>
  <si>
    <t>pay_H7gGPw3A5gGb6U</t>
  </si>
  <si>
    <t>pay_H7iflAnoc8rkz3</t>
  </si>
  <si>
    <t>pay_H7jChrQnN5Jat8</t>
  </si>
  <si>
    <t>pay_H7jDEsPC4ztGh3</t>
  </si>
  <si>
    <t>pay_H7kQMceRq8Dn6a</t>
  </si>
  <si>
    <t>pay_H7kU4FTX9EwZjV</t>
  </si>
  <si>
    <t>pay_H7kYIDlL9qm9JT</t>
  </si>
  <si>
    <t>pay_H7kiIcmOi6Mibr</t>
  </si>
  <si>
    <t>pay_H7kyYgvyXjE6rG</t>
  </si>
  <si>
    <t>pay_H7l84g4WgUv7ea</t>
  </si>
  <si>
    <t>pay_H7lAA3odVjou45</t>
  </si>
  <si>
    <t>pay_H7lQdeyyBxsTXO</t>
  </si>
  <si>
    <t>pay_H7lYwgqgBz1Zxu</t>
  </si>
  <si>
    <t>pay_H7lfoFT8Kh0Ekf</t>
  </si>
  <si>
    <t>pay_H7lwDlrwVP3n97</t>
  </si>
  <si>
    <t>pay_H7m0n5RFBTHd4j</t>
  </si>
  <si>
    <t>pay_H7m1PaQOyW3Niy</t>
  </si>
  <si>
    <t>niharika.devagupthapu@gmail.com</t>
  </si>
  <si>
    <t>pay_H7m2BpTDaXnCvz</t>
  </si>
  <si>
    <t>pay_H7mI4IWdxpC9zg</t>
  </si>
  <si>
    <t>geetasharma72938@gmail.com</t>
  </si>
  <si>
    <t>pay_H7mLrSVq6cVuDy</t>
  </si>
  <si>
    <t>pay_H7mP2T4oleypjt</t>
  </si>
  <si>
    <t>pay_H7mhjgyUeKmGtm</t>
  </si>
  <si>
    <t>pay_H7mupvfAob86UZ</t>
  </si>
  <si>
    <t>pay_H7nIPvaUkvmCiO</t>
  </si>
  <si>
    <t>pay_H7nOzlzH8ZV2Sg</t>
  </si>
  <si>
    <t>sanjit.moh@gmail.com</t>
  </si>
  <si>
    <t>pay_H7nSJb4GEAom8a</t>
  </si>
  <si>
    <t>pay_H7nTKVACgCppnh</t>
  </si>
  <si>
    <t>pay_H7nenwVxnni4bn</t>
  </si>
  <si>
    <t>pay_H7nfaaKaI8auFZ</t>
  </si>
  <si>
    <t>pay_H7o9QQoSyRCsa5</t>
  </si>
  <si>
    <t>pay_H7oKGW1e2LPAqo</t>
  </si>
  <si>
    <t>pay_H7oR2S2EA9S4Ll</t>
  </si>
  <si>
    <t>devpushpa@rediffmail.com</t>
  </si>
  <si>
    <t>pay_H7oVVcRb6PolnW</t>
  </si>
  <si>
    <t>chandyoommen@gmail.com</t>
  </si>
  <si>
    <t>pay_H7okPeIwVP8bM9</t>
  </si>
  <si>
    <t>pay_H7omCdJz1axFGX</t>
  </si>
  <si>
    <t>pay_H7omFCsdC360rl</t>
  </si>
  <si>
    <t>pay_H7p2CniBO0pRAf</t>
  </si>
  <si>
    <t>pay_H7pZaJjOlDMAtP</t>
  </si>
  <si>
    <t>pay_H7paykaRKhXVQM</t>
  </si>
  <si>
    <t>pay_H7piNqXhswSy4V</t>
  </si>
  <si>
    <t>pay_H7plT4d2i14vjx</t>
  </si>
  <si>
    <t>pay_H7pricVWbFOcsz</t>
  </si>
  <si>
    <t>pay_H7pvJjnYN33WhN</t>
  </si>
  <si>
    <t>pay_H7pytXyTYg5niZ</t>
  </si>
  <si>
    <t>pay_H7r08WJHNrm19E</t>
  </si>
  <si>
    <t>pay_H7r3HYEmitIBVb</t>
  </si>
  <si>
    <t>pay_H7rIuIYitrB1K9</t>
  </si>
  <si>
    <t>pay_H7rMaOdTNJGCSt</t>
  </si>
  <si>
    <t>pay_H7rNyrJrTcAF5j</t>
  </si>
  <si>
    <t>pay_H7rPlsIO7PsZlv</t>
  </si>
  <si>
    <t>pay_H7rqut1qcTF2Xg</t>
  </si>
  <si>
    <t>pay_H7rtNNp5AlpCFZ</t>
  </si>
  <si>
    <t>pay_H7s90KcgRbvZUb</t>
  </si>
  <si>
    <t>pay_H7sSE4kypNEg4E</t>
  </si>
  <si>
    <t>pay_H7sgiPRbdi52Zn</t>
  </si>
  <si>
    <t>ameya@paradigmplus.in</t>
  </si>
  <si>
    <t>pay_H7t4niyNFuxbSz</t>
  </si>
  <si>
    <t>pay_H7tewZ1Ppf34gG</t>
  </si>
  <si>
    <t>pay_H7tfEV5loA8BGL</t>
  </si>
  <si>
    <t>pay_H7tfXLeyM4TBiE</t>
  </si>
  <si>
    <t>pay_H7tnwkMR9IHdVb</t>
  </si>
  <si>
    <t>pay_H7trhwVRvqAoTH</t>
  </si>
  <si>
    <t>pay_H7u3JcOH4IOVVG</t>
  </si>
  <si>
    <t>pay_H7uI4YYhVf3JxU</t>
  </si>
  <si>
    <t>ashok.jeenwal@gmail.com</t>
  </si>
  <si>
    <t>pay_H7uUBOcNDHbg5q</t>
  </si>
  <si>
    <t>pay_H7uXBlpkytinAd</t>
  </si>
  <si>
    <t>pay_H7uXqnmK8AV7Cw</t>
  </si>
  <si>
    <t>pay_H7uYY84jPjVn6x</t>
  </si>
  <si>
    <t>pay_H7uZtXNtKNLeSB</t>
  </si>
  <si>
    <t>gautami.gangawane30@gmail.com</t>
  </si>
  <si>
    <t>pay_H7vGnVYp7hGOjq</t>
  </si>
  <si>
    <t>pay_H7vVeoiez5c8Tt</t>
  </si>
  <si>
    <t>kansarakomal@gmail.com</t>
  </si>
  <si>
    <t>pay_H7vj1NPEliAr7P</t>
  </si>
  <si>
    <t>pay_H7wGWx9DKYRxxz</t>
  </si>
  <si>
    <t>pay_H7wLxrG0eKHTR1</t>
  </si>
  <si>
    <t>pay_H7wPTsNpFYplRR</t>
  </si>
  <si>
    <t>pay_H7wfzIQre5l8KH</t>
  </si>
  <si>
    <t>pay_H7wjy6dMKciMKk</t>
  </si>
  <si>
    <t>pay_H7wsknT1QusV8C</t>
  </si>
  <si>
    <t>pay_H7x5w5UOV4EwDi</t>
  </si>
  <si>
    <t>pay_H7xHxJXmQcTy3c</t>
  </si>
  <si>
    <t>pay_H7xVspsPam8GHP</t>
  </si>
  <si>
    <t>pay_H7xhW2MYlRJH6r</t>
  </si>
  <si>
    <t>pay_H7xpCfML9Lu9Wz</t>
  </si>
  <si>
    <t>pay_H7y95YDtlKlPkl</t>
  </si>
  <si>
    <t>pay_H7y9xDQGC9woCI</t>
  </si>
  <si>
    <t>pay_H7yXugOI7LmoYi</t>
  </si>
  <si>
    <t>pay_H7ya0HdQLvPMmQ</t>
  </si>
  <si>
    <t>pay_H7yx6iYuiPHDQ7</t>
  </si>
  <si>
    <t>pay_H7z5io1YkNuzDs</t>
  </si>
  <si>
    <t>pay_H7zTnTTJOaywqS</t>
  </si>
  <si>
    <t>pay_H7zbYafq7t9bQ5</t>
  </si>
  <si>
    <t>pay_H80GzOS5wbl5zm</t>
  </si>
  <si>
    <t>pay_H80JLoKhAkMoQz</t>
  </si>
  <si>
    <t>pay_H80aOxulxgqKku</t>
  </si>
  <si>
    <t>pay_H81DrQYnPUsIj8</t>
  </si>
  <si>
    <t>monasanghvi79@gmail.com</t>
  </si>
  <si>
    <t>pay_H81FdGWh5lX7l7</t>
  </si>
  <si>
    <t>pay_H81sbs3ohgdyKe</t>
  </si>
  <si>
    <t>pay_H83FOtr6LRf6lJ</t>
  </si>
  <si>
    <t>pay_H83HYmHAKUGf9z</t>
  </si>
  <si>
    <t>pay_H86MaHLUFrmxgb</t>
  </si>
  <si>
    <t>ashok_anand000@yahoo.co.in</t>
  </si>
  <si>
    <t>pay_H86wxBUKNKjcjT</t>
  </si>
  <si>
    <t>pay_H87CTspG40d4m0</t>
  </si>
  <si>
    <t>pay_H88PGlxvEwXEFx</t>
  </si>
  <si>
    <t>pay_H88xdSjHwew4L9</t>
  </si>
  <si>
    <t>pay_H88ylWfpVyzIUF</t>
  </si>
  <si>
    <t>pay_H88yyhr9Q8CqUD</t>
  </si>
  <si>
    <t>pay_H8961GRZMdIhuf</t>
  </si>
  <si>
    <t>pay_H896PHHNdxLlVs</t>
  </si>
  <si>
    <t>pay_H898Chuj8M8UNX</t>
  </si>
  <si>
    <t>pay_H89Y16qXpbuC8d</t>
  </si>
  <si>
    <t>pay_H89hpsvOwD4ou9</t>
  </si>
  <si>
    <t>lalyogeta8@gmail.com</t>
  </si>
  <si>
    <t>pay_H89lOvWPO5BdJq</t>
  </si>
  <si>
    <t>adnanafridi000786@gmail.com</t>
  </si>
  <si>
    <t>pay_H89mqkZyRMNUnk</t>
  </si>
  <si>
    <t>pay_H8ASBm3J8WiPu1</t>
  </si>
  <si>
    <t>pay_H8AT8Mf1gmusQU</t>
  </si>
  <si>
    <t>pay_H8Ajs6TmcwP2uq</t>
  </si>
  <si>
    <t>pay_H8An4U5m9l9dyL</t>
  </si>
  <si>
    <t>pay_H8AngWIpB0JrsL</t>
  </si>
  <si>
    <t>pay_H8ArZr4fzcp28O</t>
  </si>
  <si>
    <t>pay_H8BiyYv2au5kBX</t>
  </si>
  <si>
    <t>pay_H8BlFf2YtWqSD6</t>
  </si>
  <si>
    <t>gulamkhanpathan020@gmail.com</t>
  </si>
  <si>
    <t>pay_H8CJTTIQs6ZPbY</t>
  </si>
  <si>
    <t>pay_H8CJeXFsjmhipp</t>
  </si>
  <si>
    <t>pay_H8CKbbEN8TiwsE</t>
  </si>
  <si>
    <t>pay_H8CMHwmFyyHYce</t>
  </si>
  <si>
    <t>pay_H8CNawhCwRnUle</t>
  </si>
  <si>
    <t>pay_H8CPjHTPluKXBa</t>
  </si>
  <si>
    <t>pay_H8DPSa3SOBx2TG</t>
  </si>
  <si>
    <t>pay_H8DPVdP243fxMF</t>
  </si>
  <si>
    <t>pay_H8DPjIOJvNzcx2</t>
  </si>
  <si>
    <t>pay_H8DtE8iMVlbKl1</t>
  </si>
  <si>
    <t>aniketkirkan@gmail.com</t>
  </si>
  <si>
    <t>pay_H8EEk2JaEoG2Sd</t>
  </si>
  <si>
    <t>aishwaryakrishnan1819@gmail.com</t>
  </si>
  <si>
    <t>pay_H8EHkmki95tnlu</t>
  </si>
  <si>
    <t>pay_H8EJqte9Lw4lAk</t>
  </si>
  <si>
    <t>pay_H8EU5HKpoznBei</t>
  </si>
  <si>
    <t>chinmaigoyal7@gmail.com</t>
  </si>
  <si>
    <t>pay_H8EcbSyb6ls042</t>
  </si>
  <si>
    <t>pay_H8FD20lAXSn4SM</t>
  </si>
  <si>
    <t>pay_H8FRhmUKx85pZI</t>
  </si>
  <si>
    <t>brewertiffany30@gmail.com</t>
  </si>
  <si>
    <t>pay_H8FxDwMdnK0GQa</t>
  </si>
  <si>
    <t>pay_H8Fxn0fOyMqOv0</t>
  </si>
  <si>
    <t>pay_H8Fz4EYXwEdULj</t>
  </si>
  <si>
    <t>pay_H8G7rnmJZLXbd5</t>
  </si>
  <si>
    <t>pay_H8GEYdARdde6u4</t>
  </si>
  <si>
    <t>pay_H8GFBWMMfXEokC</t>
  </si>
  <si>
    <t>pay_H8GFdoSw8LCJiM</t>
  </si>
  <si>
    <t>pay_H8GMLcczTr22Do</t>
  </si>
  <si>
    <t>pay_H8GUvFif83xB4c</t>
  </si>
  <si>
    <t>pay_H8GWBvoTOaOLFg</t>
  </si>
  <si>
    <t>pay_H8GWORw5RvydvR</t>
  </si>
  <si>
    <t>pay_H8GYRWpj70o5s0</t>
  </si>
  <si>
    <t>c.priyanka16@gmail.com</t>
  </si>
  <si>
    <t>pay_H8GZHEBCchM8HR</t>
  </si>
  <si>
    <t>pay_H8GZpjZtMAGYlR</t>
  </si>
  <si>
    <t>pay_H8Gax1uu4yk2C1</t>
  </si>
  <si>
    <t>pay_H8GrqA6dIz2fiZ</t>
  </si>
  <si>
    <t>pay_H8H3a75f0gWfAL</t>
  </si>
  <si>
    <t>pay_H8H4uuk8byeum7</t>
  </si>
  <si>
    <t>anuya.umate@gmail.com</t>
  </si>
  <si>
    <t>pay_H8H9qWnxvujVAr</t>
  </si>
  <si>
    <t>romabarman17@gmail.com</t>
  </si>
  <si>
    <t>pay_H8HCGKuE01otfX</t>
  </si>
  <si>
    <t>pay_H8HgE6aDcM7wp2</t>
  </si>
  <si>
    <t>kashyapsaharsh@gmail.com</t>
  </si>
  <si>
    <t>pay_H8Hhhqpw5kmWhp</t>
  </si>
  <si>
    <t>pay_H8Hley1nvfpGZS</t>
  </si>
  <si>
    <t>pay_H8Hn3fI97dQXDl</t>
  </si>
  <si>
    <t>vmk.vibha@outlook.com</t>
  </si>
  <si>
    <t>pay_H8IRqBuHZYgdhg</t>
  </si>
  <si>
    <t>vashisht.aparna@gmail.com</t>
  </si>
  <si>
    <t>pay_H8IgXq6DGlnWcJ</t>
  </si>
  <si>
    <t>pay_H8IgevH2n2gGoq</t>
  </si>
  <si>
    <t>pay_H8Igwp98Ls0qxa</t>
  </si>
  <si>
    <t>theresakamath@gmail.com</t>
  </si>
  <si>
    <t>pay_H8JJByffEy9rCY</t>
  </si>
  <si>
    <t>pay_H8JMU2TjZtHmJQ</t>
  </si>
  <si>
    <t>pay_H8JO1FmVnYf1bM</t>
  </si>
  <si>
    <t>yogeshdorwat2006@gmail.com</t>
  </si>
  <si>
    <t>pay_H8JhmQ3YRMV060</t>
  </si>
  <si>
    <t>pay_H8JuvMG5c9y8og</t>
  </si>
  <si>
    <t>shahejad2813@gmail.com</t>
  </si>
  <si>
    <t>pay_H8JzRkxOasVHzm</t>
  </si>
  <si>
    <t>madhumohan4514@gmail.com</t>
  </si>
  <si>
    <t>pay_H8KDeE3bKrINye</t>
  </si>
  <si>
    <t>pay_H8KF228KdikrfD</t>
  </si>
  <si>
    <t>pay_H8KGsJR14bwgPo</t>
  </si>
  <si>
    <t>pay_H8KPUDmdlWPiy4</t>
  </si>
  <si>
    <t>nupur.lyfz@gmail.com</t>
  </si>
  <si>
    <t>pay_H8KQtfbJlx9n1M</t>
  </si>
  <si>
    <t>pay_H8KRY7q9ki7Iad</t>
  </si>
  <si>
    <t>pay_H8KSkBHiOJ7pjE</t>
  </si>
  <si>
    <t>sukanya.banerjee0908@gmail.com</t>
  </si>
  <si>
    <t>pay_H8KbWIPfIJdoGb</t>
  </si>
  <si>
    <t>pay_H8KpyVEDv2yudW</t>
  </si>
  <si>
    <t>pay_H8KqT2RU3qhnFc</t>
  </si>
  <si>
    <t>sanjaysahoo55555@gmail.com</t>
  </si>
  <si>
    <t>pay_H8LGfXUdjJbvuE</t>
  </si>
  <si>
    <t>pay_H8LHeKjcBfSIKL</t>
  </si>
  <si>
    <t>pay_H8LJZO8OgPDB01</t>
  </si>
  <si>
    <t>pay_H8LKZxU0rP1le3</t>
  </si>
  <si>
    <t>pay_H8LtDPE1m52UzA</t>
  </si>
  <si>
    <t>pay_H8MEvkR3N826MB</t>
  </si>
  <si>
    <t>pay_H8MHzCOkVNIv35</t>
  </si>
  <si>
    <t>pay_H8MbgYzXPwCAvF</t>
  </si>
  <si>
    <t>nagalakshmi_n@yahoo.com</t>
  </si>
  <si>
    <t>pay_H8MceikYIMxGdv</t>
  </si>
  <si>
    <t>pay_H8Mcm3HitjZzfL</t>
  </si>
  <si>
    <t>pay_H8MqHQXAxyWfC2</t>
  </si>
  <si>
    <t>pay_H8MwGtgKnIy0Dm</t>
  </si>
  <si>
    <t>pay_H8MyirrLWrb56D</t>
  </si>
  <si>
    <t>pay_H8N4sKDyjXeFXv</t>
  </si>
  <si>
    <t>pay_H8NLt7pLRpsM9z</t>
  </si>
  <si>
    <t>pay_H8NTqheTjJUp7F</t>
  </si>
  <si>
    <t>ambi.goel@yahoo.com</t>
  </si>
  <si>
    <t>pay_H8NUDrCy18Pjm8</t>
  </si>
  <si>
    <t>pay_H8NVhILX5gmNHu</t>
  </si>
  <si>
    <t>pay_H8NXCP6jqHM856</t>
  </si>
  <si>
    <t>pay_H8OncwGBOIh52J</t>
  </si>
  <si>
    <t>pay_H8Ozr9Wivntb9S</t>
  </si>
  <si>
    <t>pay_H8P3i9DX154GEl</t>
  </si>
  <si>
    <t>pay_H8PHZnAnA7tM9q</t>
  </si>
  <si>
    <t>pay_H8Pt6qZtLCZjP5</t>
  </si>
  <si>
    <t>pay_H8PujJC7GjMfY7</t>
  </si>
  <si>
    <t>pay_H8Pw9TVaUNMPOf</t>
  </si>
  <si>
    <t>pay_H8Q3RirYN0V0pG</t>
  </si>
  <si>
    <t>pay_H8QKOhaxaRlraW</t>
  </si>
  <si>
    <t>pay_H8QN95TLRSwGMf</t>
  </si>
  <si>
    <t>sbhasin.2009@gmail.com</t>
  </si>
  <si>
    <t>pay_H8QTgtHQLCMJ0Y</t>
  </si>
  <si>
    <t>pay_H8QVHDwXa0WvM8</t>
  </si>
  <si>
    <t>pay_H8RLnpJdb2BR9U</t>
  </si>
  <si>
    <t>pay_H8S5vGRuhG5UAi</t>
  </si>
  <si>
    <t>pay_H8SPqH2isEFhRv</t>
  </si>
  <si>
    <t>pay_H8SwwatSMSUgq3</t>
  </si>
  <si>
    <t>pay_H8Ta6LgLuqa80F</t>
  </si>
  <si>
    <t>bhumi.s@vaisansar.in</t>
  </si>
  <si>
    <t>pay_H8VQmh9gTJCbst</t>
  </si>
  <si>
    <t>bhumisheth786@gmail.com</t>
  </si>
  <si>
    <t>pay_H8VRb4jb22L85s</t>
  </si>
  <si>
    <t>pay_H8VV1Z4T4dsn6J</t>
  </si>
  <si>
    <t>pay_H8VWBr9XSvhRbI</t>
  </si>
  <si>
    <t>pay_H8Va1vpfvB2vX9</t>
  </si>
  <si>
    <t>pay_H8Ve8Piy0rQOnM</t>
  </si>
  <si>
    <t>rachusam17@gmail.com</t>
  </si>
  <si>
    <t>pay_H8W4Tpn7hVh7Qi</t>
  </si>
  <si>
    <t>pay_H8W8IJF0mrKQzj</t>
  </si>
  <si>
    <t>pay_H8WgZbfhTb655n</t>
  </si>
  <si>
    <t>pay_H8Wq3DE2qgn2ha</t>
  </si>
  <si>
    <t>pay_H8X0AeYzgTR1LP</t>
  </si>
  <si>
    <t>pay_H8X46YbTfVcxHd</t>
  </si>
  <si>
    <t>ramisettysau@gmail.com</t>
  </si>
  <si>
    <t>pay_H8XCz6mmXsPCUL</t>
  </si>
  <si>
    <t>samta.dhamija@gmail.com</t>
  </si>
  <si>
    <t>pay_H8XdexYrKP305k</t>
  </si>
  <si>
    <t>pay_H8XqIbpExHaHeX</t>
  </si>
  <si>
    <t>pay_H8Xrdi4RC1Hugn</t>
  </si>
  <si>
    <t>pay_H8Xs2JgQodEEsD</t>
  </si>
  <si>
    <t>bhavnaprabhu76@gmail.com</t>
  </si>
  <si>
    <t>pay_H8Xyia2veZtkVA</t>
  </si>
  <si>
    <t>pay_H8YnYkdQbLlS2M</t>
  </si>
  <si>
    <t>pay_H8YzqyxtPLgbbq</t>
  </si>
  <si>
    <t>bismi1480@gmail.com</t>
  </si>
  <si>
    <t>pay_H8Z6kRHXFq7qXn</t>
  </si>
  <si>
    <t>pay_H8Z95xWMxmutNU</t>
  </si>
  <si>
    <t>bismikamaruddin@gmail.com</t>
  </si>
  <si>
    <t>pay_H8ZAYtbmWu9d3T</t>
  </si>
  <si>
    <t>debosri.biswas@gmail.com</t>
  </si>
  <si>
    <t>pay_H8ZH3tzsAVijIP</t>
  </si>
  <si>
    <t>pay_H8ZXAPBbxVPUqx</t>
  </si>
  <si>
    <t>pay_H8ZyBOj2BqxEQC</t>
  </si>
  <si>
    <t>pay_H8a15Vrokxn5wr</t>
  </si>
  <si>
    <t>pay_H8a1s3e2C5sU8X</t>
  </si>
  <si>
    <t>pay_H8a2L8mQsyTVxp</t>
  </si>
  <si>
    <t>pay_H8a3b1VMhVQx1C</t>
  </si>
  <si>
    <t>pay_H8aIV3aCzWiI7l</t>
  </si>
  <si>
    <t>pay_H8aYrjresNF6Kh</t>
  </si>
  <si>
    <t>pay_H8adQrmTvwzAlI</t>
  </si>
  <si>
    <t>raheetvts@gmail.com</t>
  </si>
  <si>
    <t>pay_H8ahmBVr4cuE3S</t>
  </si>
  <si>
    <t>pay_H8akPhPXymP1fj</t>
  </si>
  <si>
    <t>pay_H8arMlRnVwwiv1</t>
  </si>
  <si>
    <t>pay_H8arvLrk1GC739</t>
  </si>
  <si>
    <t>pay_H8arz2BX2tAUnN</t>
  </si>
  <si>
    <t>pay_H8b8IdtIkJqtus</t>
  </si>
  <si>
    <t>pay_H8bBs8XdrAiN5M</t>
  </si>
  <si>
    <t>pay_H8bJOICXwEtTXs</t>
  </si>
  <si>
    <t>pay_H8bMfPfHI4wvKY</t>
  </si>
  <si>
    <t>pay_H8bVIGnYX44wZT</t>
  </si>
  <si>
    <t>pay_H8bkoEfXL16fZr</t>
  </si>
  <si>
    <t>pay_H8cwM3kmEeHzIE</t>
  </si>
  <si>
    <t>pay_H8d2CYGkXLOBIS</t>
  </si>
  <si>
    <t>pay_H8dFR9JHtt2Src</t>
  </si>
  <si>
    <t>pay_H8dT52j5BvF282</t>
  </si>
  <si>
    <t>krish.parthi@gmail.com</t>
  </si>
  <si>
    <t>pay_H8dfrbuomnNKpK</t>
  </si>
  <si>
    <t>pay_H8dhJddsUbGKRR</t>
  </si>
  <si>
    <t>pay_H8dlUsJzQydthx</t>
  </si>
  <si>
    <t>pay_H8e4S4ZWXRl4GF</t>
  </si>
  <si>
    <t>sidrabari94@gmail.com</t>
  </si>
  <si>
    <t>pay_H8eARUn0QmHT3B</t>
  </si>
  <si>
    <t>pay_H8eXtowTE6mBX7</t>
  </si>
  <si>
    <t>abhishekiem4@gmail.com</t>
  </si>
  <si>
    <t>pay_H8fPiNSvXdv8r6</t>
  </si>
  <si>
    <t>simransadhwani@gmail.com</t>
  </si>
  <si>
    <t>pay_H8fRJM62ILprKs</t>
  </si>
  <si>
    <t>pay_H8ffcRY6ZHjm0d</t>
  </si>
  <si>
    <t>pay_H8fiuCOfXU2r6R</t>
  </si>
  <si>
    <t>pay_H8fixygNahOaRs</t>
  </si>
  <si>
    <t>pay_H8ghXmKlJzKB6S</t>
  </si>
  <si>
    <t>rastogivishal00011@gmail.com</t>
  </si>
  <si>
    <t>pay_H8giTUQWQhWgOV</t>
  </si>
  <si>
    <t>pay_H8giciUYJb84CO</t>
  </si>
  <si>
    <t>pay_H8gji0JEznHoVP</t>
  </si>
  <si>
    <t>pay_H8gpA6YieTUSWs</t>
  </si>
  <si>
    <t>pay_H8gptsmlgXNBPA</t>
  </si>
  <si>
    <t>pay_H8gpu2z42QNfro</t>
  </si>
  <si>
    <t>pay_H8guijbp0YqFx1</t>
  </si>
  <si>
    <t>pay_H8gz4Pgw3STjUd</t>
  </si>
  <si>
    <t>pay_H8h7Z0hESE86Nv</t>
  </si>
  <si>
    <t>pay_H8hBAb4VHgs664</t>
  </si>
  <si>
    <t>pay_H8hLLRt6P6MZey</t>
  </si>
  <si>
    <t>pay_H8hPcjk6vzb0iA</t>
  </si>
  <si>
    <t>pay_H8hQiIWkt3xQSl</t>
  </si>
  <si>
    <t>pallavi4291@gmail.com</t>
  </si>
  <si>
    <t>pay_H8hgahhmuVLeXP</t>
  </si>
  <si>
    <t>pay_H8hjW2WuEeGSNm</t>
  </si>
  <si>
    <t>pay_H8hq4n96XSWwIq</t>
  </si>
  <si>
    <t>pay_H8hw205XNKRrqg</t>
  </si>
  <si>
    <t>pay_H8iAVcow2LPF55</t>
  </si>
  <si>
    <t>pay_H8iUznqpQgG5Ys</t>
  </si>
  <si>
    <t>pay_H8imrtp1OM1Rno</t>
  </si>
  <si>
    <t>pay_H8islEvXKgyn7K</t>
  </si>
  <si>
    <t>rumamahanti96@gmail.com</t>
  </si>
  <si>
    <t>pay_H8j5eLONoe2HC1</t>
  </si>
  <si>
    <t>pay_H8jdHi3JzsqJSb</t>
  </si>
  <si>
    <t>pay_H8jici6xtW4qW9</t>
  </si>
  <si>
    <t>anuradha.n68@gmail.com</t>
  </si>
  <si>
    <t>pay_H8k1LGIr2DENmK</t>
  </si>
  <si>
    <t>pay_H8k1XbQWfR7uQn</t>
  </si>
  <si>
    <t>pay_H8k2qERpMIkRZa</t>
  </si>
  <si>
    <t>pay_H8k465VyYfJbaG</t>
  </si>
  <si>
    <t>pay_H8kBQLFhTmVAB4</t>
  </si>
  <si>
    <t>pay_H8kGgLjedrMCqV</t>
  </si>
  <si>
    <t>pay_H8kKtxYR8s3iPY</t>
  </si>
  <si>
    <t>pothinenirajani@gmail.com</t>
  </si>
  <si>
    <t>pay_H8kLKAIqncddRg</t>
  </si>
  <si>
    <t>pay_H8kMNr0jIddv9h</t>
  </si>
  <si>
    <t>pay_H8kNt6KxXqVdE0</t>
  </si>
  <si>
    <t>pay_H8kxHoBWHGc3Q9</t>
  </si>
  <si>
    <t>pay_H8lEIXVy4UqHCa</t>
  </si>
  <si>
    <t>pay_H8lEnija5WVNp7</t>
  </si>
  <si>
    <t>pay_H8lFg0TIkqWAat</t>
  </si>
  <si>
    <t>pay_H8lGEBj3Q0VY2u</t>
  </si>
  <si>
    <t>pay_H8lHNo10lx92yS</t>
  </si>
  <si>
    <t>pay_H8lQ5UTVui9dTO</t>
  </si>
  <si>
    <t>pay_H8lV0JHstwIf1n</t>
  </si>
  <si>
    <t>pay_H8llyW3jP3FPJq</t>
  </si>
  <si>
    <t>pay_H8lnVlQhqm2N1x</t>
  </si>
  <si>
    <t>pay_H8lvPH0t2ZeeTV</t>
  </si>
  <si>
    <t>pay_H8m6rgwsbIIrPi</t>
  </si>
  <si>
    <t>pay_H8mAzKriWuxKRh</t>
  </si>
  <si>
    <t>pay_H8mC8TDn9cSJWt</t>
  </si>
  <si>
    <t>pay_H8mLSpVAOW5vnP</t>
  </si>
  <si>
    <t>pay_H8mRro9uKBREWo</t>
  </si>
  <si>
    <t>pay_H8mfx09uJqzwJq</t>
  </si>
  <si>
    <t>vineetshukla0910@gmail.com</t>
  </si>
  <si>
    <t>pay_H8mtFSsNgJWNeB</t>
  </si>
  <si>
    <t>pay_H8naNSnAj5oaR1</t>
  </si>
  <si>
    <t>pay_H8oDPPh4zPfLrs</t>
  </si>
  <si>
    <t>pay_H8opMjGTip44NK</t>
  </si>
  <si>
    <t>thebakery1509@gmail.com</t>
  </si>
  <si>
    <t>pay_H8oujG5j7jIIsk</t>
  </si>
  <si>
    <t>murukuti.sudhakar@gmail.com</t>
  </si>
  <si>
    <t>pay_H8pRWWt5jnR0vn</t>
  </si>
  <si>
    <t>pay_H8qCJdJ6xjtaSh</t>
  </si>
  <si>
    <t>pay_H8qc8HHohGsc2I</t>
  </si>
  <si>
    <t>pay_H8qtojQTZ0E0Jm</t>
  </si>
  <si>
    <t>shivshankarjayanth@gmail.com</t>
  </si>
  <si>
    <t>pay_H8sHpuIcuY8b45</t>
  </si>
  <si>
    <t>pay_H8sL3DYT3LXuCA</t>
  </si>
  <si>
    <t>pay_H8tC7glDnaOmF5</t>
  </si>
  <si>
    <t>pay_H8tndjfz1h2NDB</t>
  </si>
  <si>
    <t>pay_H8toYeUiPNEE75</t>
  </si>
  <si>
    <t>pay_H8uIboerh1MQX3</t>
  </si>
  <si>
    <t>gitika.gharpure@gmail.com</t>
  </si>
  <si>
    <t>pay_H8uqYnBhLuWvmN</t>
  </si>
  <si>
    <t>pay_H8uqiLaeH4lVqy</t>
  </si>
  <si>
    <t>pay_H8uvy6qjtusO1V</t>
  </si>
  <si>
    <t>pay_H8uw9b1AEM4xlE</t>
  </si>
  <si>
    <t>pay_H8uwI479MQNd3R</t>
  </si>
  <si>
    <t>pay_H8v1Up3wM6TWNi</t>
  </si>
  <si>
    <t>jyotipchauhan@gmail.com</t>
  </si>
  <si>
    <t>pay_H8vJpzsKKPN6li</t>
  </si>
  <si>
    <t>pay_H8vPPN1VHDbpfL</t>
  </si>
  <si>
    <t>pay_H8veNj6OxaT5Lw</t>
  </si>
  <si>
    <t>pay_H8veVAo2lBTHyJ</t>
  </si>
  <si>
    <t>pay_H8vfFgvHQA9223</t>
  </si>
  <si>
    <t>pay_H8vhusNyUBtLEF</t>
  </si>
  <si>
    <t>pay_H8vqdL7Jbhi1Tx</t>
  </si>
  <si>
    <t>pay_H8vviClq6mgFB9</t>
  </si>
  <si>
    <t>pay_H8vwWJkCUxrr1J</t>
  </si>
  <si>
    <t>apsprabhu2011@gmail.com</t>
  </si>
  <si>
    <t>pay_H8wKG0USVLpUDX</t>
  </si>
  <si>
    <t>pay_H8wLpKix5n0RqS</t>
  </si>
  <si>
    <t>pay_H8wMfDiAbM53c8</t>
  </si>
  <si>
    <t>pay_H8wNbC5bKacnt2</t>
  </si>
  <si>
    <t>pay_H8wO0m0wbKZTCP</t>
  </si>
  <si>
    <t>pay_H8wQirjJPzy9XL</t>
  </si>
  <si>
    <t>pay_H8wr2M7I2NH6qQ</t>
  </si>
  <si>
    <t>pay_H8x8OqO9wLkc3T</t>
  </si>
  <si>
    <t>pay_H8x969roGQbvwU</t>
  </si>
  <si>
    <t>pay_H8xFaJfb9u0v1i</t>
  </si>
  <si>
    <t>pay_H8xIuQxyelfNdk</t>
  </si>
  <si>
    <t>pay_H8xJeAnAVkcQv7</t>
  </si>
  <si>
    <t>vidushichoudhary16@gmail.com</t>
  </si>
  <si>
    <t>pay_H8xKUHYrHKC7Ls</t>
  </si>
  <si>
    <t>pay_H8xLG8UVMpmNhc</t>
  </si>
  <si>
    <t>pay_H8xLQEZDOaqYAE</t>
  </si>
  <si>
    <t>pay_H8y5sCXoPSZA6t</t>
  </si>
  <si>
    <t>pay_H8y9SFs9eCqGOW</t>
  </si>
  <si>
    <t>pay_H8zJArzluWKjjB</t>
  </si>
  <si>
    <t>istpsnoopy@gmail.com</t>
  </si>
  <si>
    <t>pay_H8zKjTSme6scHG</t>
  </si>
  <si>
    <t>pay_H8zW2N7UwsDguG</t>
  </si>
  <si>
    <t>pay_H8zXdIpEhYrK1z</t>
  </si>
  <si>
    <t>pay_H8zbrRmpbwLJlJ</t>
  </si>
  <si>
    <t>rsruchi.28@gmail.com</t>
  </si>
  <si>
    <t>pay_H8zz8qVtL51nMX</t>
  </si>
  <si>
    <t>pay_H90Dprm1HgNQdC</t>
  </si>
  <si>
    <t>shamimakhtar2294@gmail.com</t>
  </si>
  <si>
    <t>pay_H90Eh8BSq2WyxR</t>
  </si>
  <si>
    <t>pay_H90Wx1NUJt13lD</t>
  </si>
  <si>
    <t>belindaf11@gmail.com</t>
  </si>
  <si>
    <t>pay_H90sH9FUMgGIXE</t>
  </si>
  <si>
    <t>pay_H90sq3bXHG0r59</t>
  </si>
  <si>
    <t>pay_H90u7YdBRZaAHq</t>
  </si>
  <si>
    <t>pay_H91D4XamaUDvi1</t>
  </si>
  <si>
    <t>pay_H91VxHcKE34zws</t>
  </si>
  <si>
    <t>pay_H91WcZs7kqtx0m</t>
  </si>
  <si>
    <t>pay_H91YauearkIfP2</t>
  </si>
  <si>
    <t>pay_H91dOYgsIfi4TR</t>
  </si>
  <si>
    <t>pay_H91izkteFXvEhN</t>
  </si>
  <si>
    <t>sagar.idbi@gmail.com</t>
  </si>
  <si>
    <t>pay_H92JYeQBZDd8aV</t>
  </si>
  <si>
    <t>pay_H92LIapRsyiRQa</t>
  </si>
  <si>
    <t>keziamaddila@gmail.com</t>
  </si>
  <si>
    <t>pay_H92LaTA6X5ARCK</t>
  </si>
  <si>
    <t>pbgwalior@gmail.com</t>
  </si>
  <si>
    <t>pay_H92aFEUVN92EUO</t>
  </si>
  <si>
    <t>pay_H92c9zcqfyJmLg</t>
  </si>
  <si>
    <t>pay_H92clGu2ftaj4Q</t>
  </si>
  <si>
    <t>pay_H92fxXe5T2Hb5H</t>
  </si>
  <si>
    <t>pay_H933cvNmPwjvL5</t>
  </si>
  <si>
    <t>pay_H938684ZVXI648</t>
  </si>
  <si>
    <t>pay_H93CuL1yZagVeu</t>
  </si>
  <si>
    <t>pay_H93EqvnQv8JQIx</t>
  </si>
  <si>
    <t>pay_H93Hqm00084Vu9</t>
  </si>
  <si>
    <t>pay_H93TFnAIUl8PCZ</t>
  </si>
  <si>
    <t>ramramsiddesh@gmail.com</t>
  </si>
  <si>
    <t>pay_H93ZmKlVRXYxyZ</t>
  </si>
  <si>
    <t>pay_H93esTExYjqNY9</t>
  </si>
  <si>
    <t>pay_H93hOHQZpQ4n09</t>
  </si>
  <si>
    <t>meenumaheshwari@gmail.com</t>
  </si>
  <si>
    <t>pay_H93kyCSI1pXTyd</t>
  </si>
  <si>
    <t>pay_H93lnuDSkkybuf</t>
  </si>
  <si>
    <t>pay_H93oXKXZYisYjG</t>
  </si>
  <si>
    <t>pay_H93rY61i54qWa8</t>
  </si>
  <si>
    <t>pay_H93sjJQgFxXEiR</t>
  </si>
  <si>
    <t>pay_H93wtGwe3sotGs</t>
  </si>
  <si>
    <t>pay_H93x0mb3KWKyE0</t>
  </si>
  <si>
    <t>pay_H940ppaonPV9vl</t>
  </si>
  <si>
    <t>pay_H944fMQwVum374</t>
  </si>
  <si>
    <t>pay_H945bBmEjujwEL</t>
  </si>
  <si>
    <t>pay_H945gjWFuRwsIo</t>
  </si>
  <si>
    <t>pay_H947VpmU9Z7kGt</t>
  </si>
  <si>
    <t>simrankaurghai1997@gmail.com</t>
  </si>
  <si>
    <t>pay_H948Wm04Zsh2KR</t>
  </si>
  <si>
    <t>pay_H94GAeo2tdbs0V</t>
  </si>
  <si>
    <t>toshariqueahmed@gmail.com</t>
  </si>
  <si>
    <t>pay_H94Jw4i5CE4ckm</t>
  </si>
  <si>
    <t>pay_H94LjoDwDowWaC</t>
  </si>
  <si>
    <t>pay_H94RNqpU8KSWZb</t>
  </si>
  <si>
    <t>pay_H94fPZSxuNMIJQ</t>
  </si>
  <si>
    <t>pay_H94nyrYxAqIm1e</t>
  </si>
  <si>
    <t>pay_H94ufDfJileniq</t>
  </si>
  <si>
    <t>pay_H94y8Rix062pKR</t>
  </si>
  <si>
    <t>pay_H94yMEihso7qls</t>
  </si>
  <si>
    <t>pay_H952mOHEyQprez</t>
  </si>
  <si>
    <t>sanjayrao.yadav99@gmail.com</t>
  </si>
  <si>
    <t>pay_H95LTo3qvQ0MKH</t>
  </si>
  <si>
    <t>pay_H95OCYb0uqiQZw</t>
  </si>
  <si>
    <t>pay_H95d8zkSYzoZZw</t>
  </si>
  <si>
    <t>pay_H95dNnfgNiefse</t>
  </si>
  <si>
    <t>pay_H95jxoDSI7LEUB</t>
  </si>
  <si>
    <t>pay_H95odI7ceUyWMf</t>
  </si>
  <si>
    <t>pay_H95r0hsJ1w2v44</t>
  </si>
  <si>
    <t>deepu_gdh@yahoo.com</t>
  </si>
  <si>
    <t>pay_H962WIlz2ikZ0E</t>
  </si>
  <si>
    <t>pay_H96AgOMza0aMjd</t>
  </si>
  <si>
    <t>pay_H96BFl2BzzaGb4</t>
  </si>
  <si>
    <t>pay_H96DJrQDfhqjWk</t>
  </si>
  <si>
    <t>pay_H96MUyTS27zcW4</t>
  </si>
  <si>
    <t>pay_H96VxyZWjyL8Ye</t>
  </si>
  <si>
    <t>pay_H96a43raDnN9q7</t>
  </si>
  <si>
    <t>pay_H96chLeecYUif8</t>
  </si>
  <si>
    <t>pay_H96fGtdjG7btx2</t>
  </si>
  <si>
    <t>nishu.sbedi@gmail.com</t>
  </si>
  <si>
    <t>pay_H96hZGYTalYLPy</t>
  </si>
  <si>
    <t>pay_H96hbdgav4QfsZ</t>
  </si>
  <si>
    <t>pay_H96ixAT5AYJTQe</t>
  </si>
  <si>
    <t>pay_H96kFvLlXk0TGz</t>
  </si>
  <si>
    <t>pay_H96lNQzzB1EU8R</t>
  </si>
  <si>
    <t>sandhyasreenivas0606@gmail.com</t>
  </si>
  <si>
    <t>pay_H96qjguDXC2Q9x</t>
  </si>
  <si>
    <t>pay_H96w2OEKTKsmx8</t>
  </si>
  <si>
    <t>pay_H97CCFZ9OX1Ctp</t>
  </si>
  <si>
    <t>pay_H97U2lo9toAHVq</t>
  </si>
  <si>
    <t>pay_H97UoudCNzFDbD</t>
  </si>
  <si>
    <t>pay_H97X5VGTdeDC6t</t>
  </si>
  <si>
    <t>pay_H97cMwUhG0ZEFb</t>
  </si>
  <si>
    <t>alchemyinart@gmail.com</t>
  </si>
  <si>
    <t>pay_H97chRgpdlDj7W</t>
  </si>
  <si>
    <t>pay_H97eWxNUYit5cH</t>
  </si>
  <si>
    <t>pay_H97j9AXCI0mA8l</t>
  </si>
  <si>
    <t>pay_H97t467qVM8339</t>
  </si>
  <si>
    <t>pay_H98Gr4M0gTHZxx</t>
  </si>
  <si>
    <t>karish_shah@hotmail.com</t>
  </si>
  <si>
    <t>pay_H98PzGkhEvkjp5</t>
  </si>
  <si>
    <t>pay_H98T8MojUJR3KD</t>
  </si>
  <si>
    <t>pay_H98iJNYb5VKUDt</t>
  </si>
  <si>
    <t>pay_H98k5RzT1N5D6M</t>
  </si>
  <si>
    <t>pay_H98kfkccQQg1Ck</t>
  </si>
  <si>
    <t>pay_H98lSmubrDkA7v</t>
  </si>
  <si>
    <t>pay_H98mxTG0tctwOs</t>
  </si>
  <si>
    <t>pay_H98nYPFk9rIBeC</t>
  </si>
  <si>
    <t>pay_H98odYvbagXPRl</t>
  </si>
  <si>
    <t>pay_H98p4D0nbEUtfY</t>
  </si>
  <si>
    <t>pay_H98pXOqmGyOaM6</t>
  </si>
  <si>
    <t>pay_H98xTUHg5nGV2O</t>
  </si>
  <si>
    <t>pay_H992DhrjYNkjJf</t>
  </si>
  <si>
    <t>shreya.red9@gmail.com</t>
  </si>
  <si>
    <t>pay_H993siOONpK5cn</t>
  </si>
  <si>
    <t>pay_H999EaUdeHgFYc</t>
  </si>
  <si>
    <t>bhavanapawar175@gmail.com</t>
  </si>
  <si>
    <t>pay_H99L8Y9vud6Exa</t>
  </si>
  <si>
    <t>pay_H99QkzWjuo8slO</t>
  </si>
  <si>
    <t>pay_H99TjzAKLNKddE</t>
  </si>
  <si>
    <t>ramyanairobi@gmail.com</t>
  </si>
  <si>
    <t>pay_H99q914wlzmJd9</t>
  </si>
  <si>
    <t>pay_H99qbABlXHJPDI</t>
  </si>
  <si>
    <t>dinesh19544@gmail.com</t>
  </si>
  <si>
    <t>pay_H99sEvZ2LhkVYI</t>
  </si>
  <si>
    <t>pay_H99uhM4GF7ylAD</t>
  </si>
  <si>
    <t>pay_H99v4bJYUe4114</t>
  </si>
  <si>
    <t>pay_H99vWpwyMW0Y3p</t>
  </si>
  <si>
    <t>pay_H99vqObWlv0o6q</t>
  </si>
  <si>
    <t>pay_H9A3v3TPw3h1c9</t>
  </si>
  <si>
    <t>pay_H9A5xRcwGnrtbM</t>
  </si>
  <si>
    <t>pay_H9AHEX8GOLpXdc</t>
  </si>
  <si>
    <t>pay_H9AIH1pKbDfHPn</t>
  </si>
  <si>
    <t>pay_H9AMO6hoqGljjR</t>
  </si>
  <si>
    <t>pay_H9AvgGD3qpIRZN</t>
  </si>
  <si>
    <t>garima.yadav@likeminds.community</t>
  </si>
  <si>
    <t>pay_H9B32kpbgCCgjU</t>
  </si>
  <si>
    <t>chitra.menon1988@gmail.com</t>
  </si>
  <si>
    <t>pay_H9BjUqxdSNakdq</t>
  </si>
  <si>
    <t>pay_H9C1SDRAVoQFXG</t>
  </si>
  <si>
    <t>pay_H9C2j4HHEQ3NAF</t>
  </si>
  <si>
    <t>shruticgandhi@gmail.com</t>
  </si>
  <si>
    <t>pay_H9C2r0Yi6bKIBe</t>
  </si>
  <si>
    <t>pay_H9C9ETWp3sRzAd</t>
  </si>
  <si>
    <t>pay_H9ChAVcoEmfD62</t>
  </si>
  <si>
    <t>pay_H9Codhmd9R7DjS</t>
  </si>
  <si>
    <t>maitripjoshi@gmail.com</t>
  </si>
  <si>
    <t>pay_H9E1SvPwSL1gbl</t>
  </si>
  <si>
    <t>pay_H9EET3kyibcOYI</t>
  </si>
  <si>
    <t>pay_H9EJOPWGq50p22</t>
  </si>
  <si>
    <t>pay_H9Ghc2CZygWTuZ</t>
  </si>
  <si>
    <t>pay_H9I87XBqaHPqw1</t>
  </si>
  <si>
    <t>pvarma0001@gmail.com</t>
  </si>
  <si>
    <t>pay_H9KYSYn20l4NUv</t>
  </si>
  <si>
    <t>pay_H9Ka0dnW8LAbaY</t>
  </si>
  <si>
    <t>pay_H9KgRySnMYKw7A</t>
  </si>
  <si>
    <t>pay_H9L1XdYPKJ23Sc</t>
  </si>
  <si>
    <t>pay_H9M5oJD8als9Bk</t>
  </si>
  <si>
    <t>pay_H9O2dvMT4E86QX</t>
  </si>
  <si>
    <t>pay_H9O7ZkVMGkNQF4</t>
  </si>
  <si>
    <t>pay_H9O7ikLO48ShVH</t>
  </si>
  <si>
    <t>pay_H9OCe0xDmwfDbb</t>
  </si>
  <si>
    <t>pay_H9OH5jpfHCFkuE</t>
  </si>
  <si>
    <t>pay_H9OMlKyDqMfNmp</t>
  </si>
  <si>
    <t>devanshibhatt766@gmail.com</t>
  </si>
  <si>
    <t>pay_H9OPBh8BW7AhP6</t>
  </si>
  <si>
    <t>pay_H9ObyCKfBBpcyB</t>
  </si>
  <si>
    <t>pay_H9OfXRZQTKCLdG</t>
  </si>
  <si>
    <t>pay_H9OiQ53k3420sH</t>
  </si>
  <si>
    <t>pay_H9OyYOgqgDz048</t>
  </si>
  <si>
    <t>pay_H9P5gblr0mQOcF</t>
  </si>
  <si>
    <t>ramyashree.v@gmail.com</t>
  </si>
  <si>
    <t>pay_H9P5uGAwmRXxD5</t>
  </si>
  <si>
    <t>pay_H9P6dXNO2yyI0q</t>
  </si>
  <si>
    <t>pay_H9PX8Fr4R61tD6</t>
  </si>
  <si>
    <t>pay_H9Pdw0InMq0Psv</t>
  </si>
  <si>
    <t>pay_H9PefV9chuV72W</t>
  </si>
  <si>
    <t>pay_H9Q3C7tKgBZQ5o</t>
  </si>
  <si>
    <t>pay_H9RAq4iXnmFrFT</t>
  </si>
  <si>
    <t>pay_H9RBbrNWhXOHiE</t>
  </si>
  <si>
    <t>pay_H9RG5NM3ReInAb</t>
  </si>
  <si>
    <t>pay_H9Rg6wfQq71x4D</t>
  </si>
  <si>
    <t>pay_H9Tv1DWM9lqjUn</t>
  </si>
  <si>
    <t>pay_H9TvWJmP3DMV9p</t>
  </si>
  <si>
    <t>pay_H9UzxKvORjPziZ</t>
  </si>
  <si>
    <t>pay_H9WTwnqu1VDaQt</t>
  </si>
  <si>
    <t>pay_H9X9ohSWFlOcKS</t>
  </si>
  <si>
    <t>pay_H9Xvzv5CIX4Tvi</t>
  </si>
  <si>
    <t>pay_H9Y5KcBY59iPfo</t>
  </si>
  <si>
    <t>pay_H9YKShkiwcR05U</t>
  </si>
  <si>
    <t>pay_H9YKi5Rhav2Mri</t>
  </si>
  <si>
    <t>pay_H9YLH8NCKCpz6B</t>
  </si>
  <si>
    <t>pay_H9YMXuHExa93Kb</t>
  </si>
  <si>
    <t>pay_H9YbidBev3VfdY</t>
  </si>
  <si>
    <t>nikitayadav1970@gmail.com</t>
  </si>
  <si>
    <t>pay_H9Zr7VrMHKsYFa</t>
  </si>
  <si>
    <t>pay_H9lFGxQpdLktX0</t>
  </si>
  <si>
    <t>pay_H9lUl2AuDknyqn</t>
  </si>
  <si>
    <t>pay_H9lt5xTuI5u4Wk</t>
  </si>
  <si>
    <t>pay_H9m5cGWry6fV5J</t>
  </si>
  <si>
    <t>pay_H9m7Z1jGODowZP</t>
  </si>
  <si>
    <t>pay_H9m8Q8I86jOpcb</t>
  </si>
  <si>
    <t>pay_H9nfeg6feitqxA</t>
  </si>
  <si>
    <t>pay_H9ngtAjVCX3V4V</t>
  </si>
  <si>
    <t>pay_H9pKaK7TBOk8te</t>
  </si>
  <si>
    <t>pay_H9rExOhXDPNrw1</t>
  </si>
  <si>
    <t>pay_H9rIbBmbNILclH</t>
  </si>
  <si>
    <t>pay_H9rZHwM6AQc3Ba</t>
  </si>
  <si>
    <t>pay_H9tt17iZr281dm</t>
  </si>
  <si>
    <t>pay_H9uXldad56MkhZ</t>
  </si>
  <si>
    <t>pay_H9udVISGo74xXc</t>
  </si>
  <si>
    <t>pay_H9uru1DyUL2aLk</t>
  </si>
  <si>
    <t>pay_H9utzNFOYuROSg</t>
  </si>
  <si>
    <t>pay_H9vDxUbyoXY22n</t>
  </si>
  <si>
    <t>pay_H9vWhyCNGYWcZs</t>
  </si>
  <si>
    <t>pay_H9vxMscJMKn9T0</t>
  </si>
  <si>
    <t>pay_H9vxUhkXjdp0Aj</t>
  </si>
  <si>
    <t>pay_H9w4bvfy5X7w0C</t>
  </si>
  <si>
    <t>pay_H9w61jwlDJUATD</t>
  </si>
  <si>
    <t>pay_H9y8FDUlzttDHD</t>
  </si>
  <si>
    <t>pay_H9z3HaaJfJCUEC</t>
  </si>
  <si>
    <t>pay_HA7CHiW2NvcYYB</t>
  </si>
  <si>
    <t>pay_HADbrAXGNyKI9x</t>
  </si>
  <si>
    <t>pay_HADe5VbwcfnLsW</t>
  </si>
  <si>
    <t>pay_HAE6ZBvVmZworO</t>
  </si>
  <si>
    <t>pay_HAEEUmXh6G5AHk</t>
  </si>
  <si>
    <t>pay_HAJ82V0be3gRxg</t>
  </si>
  <si>
    <t>pay_HAJC2ukKfcx0ft</t>
  </si>
  <si>
    <t>pay_HAKyiJsRxG22oa</t>
  </si>
  <si>
    <t>pay_HAMQOTnY1D9s47</t>
  </si>
  <si>
    <t>pay_HAUNYiHOrZFG8m</t>
  </si>
  <si>
    <t>msen63390@gmail.com</t>
  </si>
  <si>
    <t>pay_HAXnWPkkRUJCPp</t>
  </si>
  <si>
    <t>chizoaluyi@gmail.com</t>
  </si>
  <si>
    <t>pay_HAZw6kGKvF11M2</t>
  </si>
  <si>
    <t>pay_HAas0AxkBzRwg5</t>
  </si>
  <si>
    <t>pay_HAcJ36EZXCskDJ</t>
  </si>
  <si>
    <t>pay_HAd6BrFQGArd86</t>
  </si>
  <si>
    <t>pay_HAdlPPrYZgNYtg</t>
  </si>
  <si>
    <t>pay_HAdmtOsiz7mSHf</t>
  </si>
  <si>
    <t>pay_HAdoDKdBdykvE9</t>
  </si>
  <si>
    <t>pay_HAe9miSRpeUev0</t>
  </si>
  <si>
    <t>pay_HAecQ1L4OICnDH</t>
  </si>
  <si>
    <t>pay_HAfX6xfiMov8Ca</t>
  </si>
  <si>
    <t>pay_HAfYZKpjpvcFLb</t>
  </si>
  <si>
    <t>pay_HAfZvKOHs8k5jb</t>
  </si>
  <si>
    <t>pay_HAgn2WWNbLJSSf</t>
  </si>
  <si>
    <t>pay_HAiUXdBR3aUMJK</t>
  </si>
  <si>
    <t>pay_HAjdoR2LWWXq6H</t>
  </si>
  <si>
    <t>sreekar1808@gmail.com</t>
  </si>
  <si>
    <t>pay_HAk3Hi2tj3oGoC</t>
  </si>
  <si>
    <t>pay_HAkWTh97xgSNmt</t>
  </si>
  <si>
    <t>pay_HAkcDpGC9xuy2c</t>
  </si>
  <si>
    <t>pay_HAkfIvBAUBySPN</t>
  </si>
  <si>
    <t>truptibobade8@gmail.com</t>
  </si>
  <si>
    <t>pay_HAlZQ8GNHiEvbK</t>
  </si>
  <si>
    <t>pay_HAlabDoIP8vKTh</t>
  </si>
  <si>
    <t>leenasaju2323@gmail.com</t>
  </si>
  <si>
    <t>pay_HAldwABHllELZs</t>
  </si>
  <si>
    <t>pay_HAlx5fgPxz0Ees</t>
  </si>
  <si>
    <t>pay_HAsXAJR2Tgw4lU</t>
  </si>
  <si>
    <t>pay_HAtoaPBFsDo4fD</t>
  </si>
  <si>
    <t>ushamuthiyeril@gmail.com</t>
  </si>
  <si>
    <t>pay_HAuDbHh6ywmPAZ</t>
  </si>
  <si>
    <t>pay_HAuM6yBeXInvTJ</t>
  </si>
  <si>
    <t>pay_HAvOVMd5mvXdQe</t>
  </si>
  <si>
    <t>pay_HAvzTL7kggOssu</t>
  </si>
  <si>
    <t>pay_HAw2DoSyYSk2Ca</t>
  </si>
  <si>
    <t>pay_HAw5ohpXLMFCHv</t>
  </si>
  <si>
    <t>pay_HAwdZT1MKfKFmF</t>
  </si>
  <si>
    <t>gadigenikhil17890@gmail.com</t>
  </si>
  <si>
    <t>pay_HAwwfm4Mhaj2xB</t>
  </si>
  <si>
    <t>pay_HAwxzY1Q3X9Gvb</t>
  </si>
  <si>
    <t>pay_HAx0I8WSHIcp2u</t>
  </si>
  <si>
    <t>pay_HAx9J6Mna3002q</t>
  </si>
  <si>
    <t>shreelataadep@gmail.com</t>
  </si>
  <si>
    <t>pay_HAxDDdtwBn8avl</t>
  </si>
  <si>
    <t>pay_HAxfUgzpiI0iQe</t>
  </si>
  <si>
    <t>pay_HAxfUClu0Eu3XH</t>
  </si>
  <si>
    <t>pay_HAy7JWq4jvaVcK</t>
  </si>
  <si>
    <t>pay_HAyDvuTWKUcYxu</t>
  </si>
  <si>
    <t>gaddamsrinuvasarao6007@yahoo.com</t>
  </si>
  <si>
    <t>pay_HAybLgP7fGFTna</t>
  </si>
  <si>
    <t>pay_HAykhK8PJ9aaKo</t>
  </si>
  <si>
    <t>pay_HAylNPRHKgjLJ1</t>
  </si>
  <si>
    <t>pay_HAylfvWiQOoqU1</t>
  </si>
  <si>
    <t>manimekalais0703@gmail.com</t>
  </si>
  <si>
    <t>pay_HAyodsZqykSabM</t>
  </si>
  <si>
    <t>ratnakarbhatra16@gmail.com</t>
  </si>
  <si>
    <t>pay_HAz95dYtUfJ5fM</t>
  </si>
  <si>
    <t>9501354237shreya@gmail.com</t>
  </si>
  <si>
    <t>pay_HAzBQF6tXVyGZk</t>
  </si>
  <si>
    <t>rashmeetvirk@outlook.com</t>
  </si>
  <si>
    <t>pay_HAzHLTMP441hQ8</t>
  </si>
  <si>
    <t>pay_HAzMNyxv6uC59Z</t>
  </si>
  <si>
    <t>pay_HAzwT3outZ2ukW</t>
  </si>
  <si>
    <t>pay_HAzxqsifU77J9w</t>
  </si>
  <si>
    <t>pay_HAzyW9pSPFCdlZ</t>
  </si>
  <si>
    <t>pay_HB0LiOT7xoWR1J</t>
  </si>
  <si>
    <t>pay_HB0ONQIXOIfzB7</t>
  </si>
  <si>
    <t>pay_HB0Ybs5Es1lo98</t>
  </si>
  <si>
    <t>manishanirmal247@gmail.com</t>
  </si>
  <si>
    <t>pay_HB0ZjPhyze7y5m</t>
  </si>
  <si>
    <t>pay_HB0xZ8FTaVtw4I</t>
  </si>
  <si>
    <t>pay_HB0xeGjBfOT5VR</t>
  </si>
  <si>
    <t>pay_HB0yEI8QZxXWfh</t>
  </si>
  <si>
    <t>pay_HB1AYAsVtDkte6</t>
  </si>
  <si>
    <t>pay_HB1TmEaokJrrRi</t>
  </si>
  <si>
    <t>pay_HB1Uspp5AeWXnh</t>
  </si>
  <si>
    <t>sirisha22budi@gmail.com</t>
  </si>
  <si>
    <t>pay_HB1ZjGfK8N5Tdg</t>
  </si>
  <si>
    <t>pay_HB1dfPmXjsygBr</t>
  </si>
  <si>
    <t>pay_HB2Nw9Ii58z4I8</t>
  </si>
  <si>
    <t>shambavisspectrum@gmail.com</t>
  </si>
  <si>
    <t>pay_HB2YBWkI7rFLg1</t>
  </si>
  <si>
    <t>pay_HB2dBF83tcJJop</t>
  </si>
  <si>
    <t>pay_HB2xaYq7kshKCO</t>
  </si>
  <si>
    <t>pay_HB30us2dX848Wo</t>
  </si>
  <si>
    <t>pay_HB3G061duCziL2</t>
  </si>
  <si>
    <t>meghamishra08@gmail.com</t>
  </si>
  <si>
    <t>pay_HB3l5dsIt6c32m</t>
  </si>
  <si>
    <t>luniaankit0@gmail.com</t>
  </si>
  <si>
    <t>pay_HB4EcV06dNKhYV</t>
  </si>
  <si>
    <t>pay_HB4fDSru6ukWlD</t>
  </si>
  <si>
    <t>pay_HB4w8R6mpIKb29</t>
  </si>
  <si>
    <t>pay_HB4wb4PBtl6U3I</t>
  </si>
  <si>
    <t>pay_HB5He8ycWxJxOY</t>
  </si>
  <si>
    <t>pay_HB5LnYP4fHvSDv</t>
  </si>
  <si>
    <t>pay_HB5N7MKlhnWJSN</t>
  </si>
  <si>
    <t>pay_HB5dLAduMWcsge</t>
  </si>
  <si>
    <t>ksnivas267@gmail.com</t>
  </si>
  <si>
    <t>pay_HB5gp7Nt3Ru0JU</t>
  </si>
  <si>
    <t>pay_HB5xZO1t6i3pFz</t>
  </si>
  <si>
    <t>pay_HB6EPDGk1qaO3c</t>
  </si>
  <si>
    <t>pay_HB6HJZCVCALE9Z</t>
  </si>
  <si>
    <t>pay_HB6KuMy1kd2ZFa</t>
  </si>
  <si>
    <t>pay_HB6Lp947WAlnEG</t>
  </si>
  <si>
    <t>pay_HB6NNLTS9qfKI7</t>
  </si>
  <si>
    <t>pay_HB6fY6Tyl2T4dx</t>
  </si>
  <si>
    <t>pay_HB6laR3K1MLRvO</t>
  </si>
  <si>
    <t>pay_HB6nrNjUDhEvYv</t>
  </si>
  <si>
    <t>pay_HB6vn3uYB4O29y</t>
  </si>
  <si>
    <t>pay_HB79umVSzUfGE2</t>
  </si>
  <si>
    <t>pay_HB7A7ax0atyk7t</t>
  </si>
  <si>
    <t>pay_HB84u30q6cdrJk</t>
  </si>
  <si>
    <t>pay_HB8deuarNQJ6Es</t>
  </si>
  <si>
    <t>pay_HB945jX5ftRtYc</t>
  </si>
  <si>
    <t>pay_HB9FAWXxEHvi9f</t>
  </si>
  <si>
    <t>pay_HB9KXt6ju76WJO</t>
  </si>
  <si>
    <t>pay_HB9M5Ea6NOKane</t>
  </si>
  <si>
    <t>pay_HB9NOMqpv6UY4w</t>
  </si>
  <si>
    <t>pay_HB9NQweftYZdBJ</t>
  </si>
  <si>
    <t>pay_HB9Q4Z4BLA7UAS</t>
  </si>
  <si>
    <t>pay_HB9WWhHqUhd9i8</t>
  </si>
  <si>
    <t>pay_HB9YoBpJs0Ji2y</t>
  </si>
  <si>
    <t>pay_HB9d4EyeXgxGJo</t>
  </si>
  <si>
    <t>pay_HBAAhB1aBbZlEc</t>
  </si>
  <si>
    <t>pay_HBAZyFpEIFrfm6</t>
  </si>
  <si>
    <t>pay_HBAaaTzEymv660</t>
  </si>
  <si>
    <t>pay_HBAeetMZLiWHf0</t>
  </si>
  <si>
    <t>pay_HBC5xO2pTwDLjt</t>
  </si>
  <si>
    <t>pay_HBC7jaJsK47ikP</t>
  </si>
  <si>
    <t>pay_HBC9C9DEn1zg9u</t>
  </si>
  <si>
    <t>pay_HBCAyGmro4iWCy</t>
  </si>
  <si>
    <t>pay_HBCR6mjenxJD4B</t>
  </si>
  <si>
    <t>pay_HBDOz8Hu56S4Sq</t>
  </si>
  <si>
    <t>pay_HBF60WYsnBKVyd</t>
  </si>
  <si>
    <t>asamansri9@gmail.com</t>
  </si>
  <si>
    <t>pay_HBHigC8V41qPu1</t>
  </si>
  <si>
    <t>pay_HBINW4SoXN3uxu</t>
  </si>
  <si>
    <t>pay_HBIOuFhGTo1qe5</t>
  </si>
  <si>
    <t>pay_HBIPs4mwPG2our</t>
  </si>
  <si>
    <t>pay_HBIUVJS9wtY2zT</t>
  </si>
  <si>
    <t>pay_HBIqWUB0XKGVzX</t>
  </si>
  <si>
    <t>pay_HBJ2FT2m6pcJ75</t>
  </si>
  <si>
    <t>pay_HBK3S39UngdKcB</t>
  </si>
  <si>
    <t>pay_HBKHVSHAsY7T4j</t>
  </si>
  <si>
    <t>pay_HBKQLcy2FSIEem</t>
  </si>
  <si>
    <t>pay_HBKQce9IjBquNb</t>
  </si>
  <si>
    <t>pay_HBKTAwVu60yEBX</t>
  </si>
  <si>
    <t>pay_HBKTfZi6IL3U7l</t>
  </si>
  <si>
    <t>pay_HBKW5vdCl53BFI</t>
  </si>
  <si>
    <t>pay_HBKXbkpOvVHj4i</t>
  </si>
  <si>
    <t>pay_HBKcYb66eZKKPy</t>
  </si>
  <si>
    <t>pay_HBKezTgPKqjWUT</t>
  </si>
  <si>
    <t>pay_HBKgIqXHpVupm2</t>
  </si>
  <si>
    <t>pay_HBKpDVPNaQSsPt</t>
  </si>
  <si>
    <t>pay_HBL0CaPUsCIbIA</t>
  </si>
  <si>
    <t>pay_HBLBbAPGXB1fNi</t>
  </si>
  <si>
    <t>pay_HBLKoi0MgfUqwC</t>
  </si>
  <si>
    <t>sabarigirish28@gmail.com</t>
  </si>
  <si>
    <t>pay_HBLtQpxOot75yw</t>
  </si>
  <si>
    <t>pay_HBM5m4mvG1Vveq</t>
  </si>
  <si>
    <t>pay_HBNOMhBHXa2J4h</t>
  </si>
  <si>
    <t>pay_HBNRM8SRMt89JN</t>
  </si>
  <si>
    <t>pay_HBNYsCjUp0ve15</t>
  </si>
  <si>
    <t>phanindra.mba@gmail.com</t>
  </si>
  <si>
    <t>pay_HBNi7nTv0tcq7o</t>
  </si>
  <si>
    <t>pay_HBNwCGOXamWBHr</t>
  </si>
  <si>
    <t>pay_HBO4DRIDshbLvD</t>
  </si>
  <si>
    <t>pay_HBOEdpvY47lwRM</t>
  </si>
  <si>
    <t>pay_HBOcpGZ6EW6n8t</t>
  </si>
  <si>
    <t>pay_HBOfaK6iJBNGIy</t>
  </si>
  <si>
    <t>pay_HBOnf7CLzzlFFh</t>
  </si>
  <si>
    <t>pay_HBOrN05MuRRvWS</t>
  </si>
  <si>
    <t>pay_HBPHOnWnRrgSKo</t>
  </si>
  <si>
    <t>pay_HBPxeeP6gOd76h</t>
  </si>
  <si>
    <t>pay_HBQ088hajxAy4W</t>
  </si>
  <si>
    <t>pay_HBQ7q0iFaFOc0z</t>
  </si>
  <si>
    <t>pay_HBQIna6y9prxIA</t>
  </si>
  <si>
    <t>pay_HBQJ7Kj79kg8w5</t>
  </si>
  <si>
    <t>pay_HBQTnshMbHl2uP</t>
  </si>
  <si>
    <t>pay_HBQYr7RUlREr2s</t>
  </si>
  <si>
    <t>pay_HBR4x2B9RjSwIg</t>
  </si>
  <si>
    <t>raajeev.ranjann@gmail.com</t>
  </si>
  <si>
    <t>pay_HBRgNG94KfPCK1</t>
  </si>
  <si>
    <t>pay_HBRmhQCuYMayrb</t>
  </si>
  <si>
    <t>pay_HBRq0qZdYMuJVk</t>
  </si>
  <si>
    <t>pay_HBRrUvXKpgqDbB</t>
  </si>
  <si>
    <t>pay_HBRrWrSEjhfnzJ</t>
  </si>
  <si>
    <t>pay_HBS6c77j4AUGJk</t>
  </si>
  <si>
    <t>pay_HBSDM8SUeTPtI7</t>
  </si>
  <si>
    <t>pay_HBSDmL6xDWlPOP</t>
  </si>
  <si>
    <t>pay_HBSEKJvOmTxTCn</t>
  </si>
  <si>
    <t>pay_HBSFP6mFUhEOVK</t>
  </si>
  <si>
    <t>pay_HBSGlwyhV97fZ3</t>
  </si>
  <si>
    <t>pay_HBSHjYa6WSP2de</t>
  </si>
  <si>
    <t>pay_HBSd0hqyVFCICY</t>
  </si>
  <si>
    <t>pay_HBSfQs8TDDZ4tE</t>
  </si>
  <si>
    <t>pay_HBSiCuFMhy8us4</t>
  </si>
  <si>
    <t>pay_HBSjqmDphi4s5B</t>
  </si>
  <si>
    <t>sameerdon082@gmail.com</t>
  </si>
  <si>
    <t>pay_HBSyP5Fx9X2Uja</t>
  </si>
  <si>
    <t>pay_HBTZyo7s4cTwLL</t>
  </si>
  <si>
    <t>pay_HBThBUzp2T5wzK</t>
  </si>
  <si>
    <t>samohapatra19@gmail.com</t>
  </si>
  <si>
    <t>pay_HBTuXyq4b9Ls3D</t>
  </si>
  <si>
    <t>pay_HBUHpZKhQbPiSl</t>
  </si>
  <si>
    <t>pay_HBUnFZ0sKKgPS9</t>
  </si>
  <si>
    <t>pay_HBV4Xa7B6ypkL9</t>
  </si>
  <si>
    <t>pay_HBV7cfGKDiCt1D</t>
  </si>
  <si>
    <t>zakirhussainzakirhussain5804@gmail.com</t>
  </si>
  <si>
    <t>pay_HBVO4dfkNuLVpu</t>
  </si>
  <si>
    <t>janakijanaki057@gmail.com</t>
  </si>
  <si>
    <t>pay_HBVQCKsUOJ055G</t>
  </si>
  <si>
    <t>pay_HBVS07uT6be0OI</t>
  </si>
  <si>
    <t>misfitversion2.0@gmail.com</t>
  </si>
  <si>
    <t>pay_HBVfAw52719hiZ</t>
  </si>
  <si>
    <t>khushishaikh249@gmail.com</t>
  </si>
  <si>
    <t>pay_HBVpUkMWYfSPlL</t>
  </si>
  <si>
    <t>pay_HBWG2W5fG6koig</t>
  </si>
  <si>
    <t>pay_HBWPe8nicljHsK</t>
  </si>
  <si>
    <t>pay_HBWPj0E6LpFqNc</t>
  </si>
  <si>
    <t>pay_HBWTp78611rDmS</t>
  </si>
  <si>
    <t>pay_HBWlw4AXPGsv9X</t>
  </si>
  <si>
    <t>pay_HBWnMx3G22VwYs</t>
  </si>
  <si>
    <t>pay_HBWv8B1fnqVo5M</t>
  </si>
  <si>
    <t>pay_HBWvX8goXXrTOI</t>
  </si>
  <si>
    <t>pay_HBWvZmQjJXy9q0</t>
  </si>
  <si>
    <t>pay_HBX0SBVMFLnMf2</t>
  </si>
  <si>
    <t>pay_HBX66sb5mWTh3J</t>
  </si>
  <si>
    <t>pay_HBX73ZsqzKTmTK</t>
  </si>
  <si>
    <t>pay_HBX8MH1pFZbPD2</t>
  </si>
  <si>
    <t>pay_HBXLLajUvHnkqc</t>
  </si>
  <si>
    <t>pay_HBXgdMphOczVEE</t>
  </si>
  <si>
    <t>pay_HBXh649U4JLKey</t>
  </si>
  <si>
    <t>pay_HBYPKzKYsYsxJb</t>
  </si>
  <si>
    <t>pay_HBYRggreLa6cWE</t>
  </si>
  <si>
    <t>pay_HBYSMlGkJDsQ1y</t>
  </si>
  <si>
    <t>pay_HBYlVQOclOMHxj</t>
  </si>
  <si>
    <t>gahagava4@gmail.com</t>
  </si>
  <si>
    <t>pay_HBaL07ZL86BURT</t>
  </si>
  <si>
    <t>shilpa.swarj@gmail.com</t>
  </si>
  <si>
    <t>pay_HBaYgj6cU8eBs5</t>
  </si>
  <si>
    <t>pay_HBalIiVU94dWdH</t>
  </si>
  <si>
    <t>pay_HBalNKhal9EETE</t>
  </si>
  <si>
    <t>pay_HBgmH32mrFimcv</t>
  </si>
  <si>
    <t>pay_HBh1BhPNbWU4Q5</t>
  </si>
  <si>
    <t>pay_HBhLSwIB57G2Ns</t>
  </si>
  <si>
    <t>pshankar209@gmail.com</t>
  </si>
  <si>
    <t>pay_HBhYFI84Ew5gz3</t>
  </si>
  <si>
    <t>khan.mohseen89@gmail.com</t>
  </si>
  <si>
    <t>pay_HBhd6tUGjdW1XO</t>
  </si>
  <si>
    <t>pay_HBhgHWBU2La5jV</t>
  </si>
  <si>
    <t>pay_HBhr9P9LkO0PvR</t>
  </si>
  <si>
    <t>pay_HBiB82g5EoxIgV</t>
  </si>
  <si>
    <t>pay_HBifDwU9dgPVQZ</t>
  </si>
  <si>
    <t>pay_HBjMv45rmvMOfA</t>
  </si>
  <si>
    <t>pay_HBjQ7aqlImame9</t>
  </si>
  <si>
    <t>pay_HBjrBPajWnnz7L</t>
  </si>
  <si>
    <t>pay_HBkXS9W0JvE1l1</t>
  </si>
  <si>
    <t>pay_HBkfj5oUxjybyb</t>
  </si>
  <si>
    <t>pay_HBl9GiClfs6oRm</t>
  </si>
  <si>
    <t>chakri2271995@gmail.com</t>
  </si>
  <si>
    <t>pay_HBlHM8tGWfDKzW</t>
  </si>
  <si>
    <t>pay_HBlSAp5hAYnPPM</t>
  </si>
  <si>
    <t>pay_HBlg2YhVejsabe</t>
  </si>
  <si>
    <t>tasneemkhatri27@gmail.com</t>
  </si>
  <si>
    <t>pay_HBlsvQnd977uZK</t>
  </si>
  <si>
    <t>pay_HBlzDLQ9ZBYdqw</t>
  </si>
  <si>
    <t>pay_HBlzYALY1yfsuN</t>
  </si>
  <si>
    <t>pay_HBlzrTM6MfqaGA</t>
  </si>
  <si>
    <t>pay_HBm1OGGsNRglWw</t>
  </si>
  <si>
    <t>icubcaa16karthikeyan.g@gail.com</t>
  </si>
  <si>
    <t>pay_HBm3B3HTYhMykF</t>
  </si>
  <si>
    <t>pay_HBmJ9hyp0oWa6f</t>
  </si>
  <si>
    <t>pay_HBmON8z4WoMapL</t>
  </si>
  <si>
    <t>suhasini.counder@gmail.com</t>
  </si>
  <si>
    <t>pay_HBmZ76vdUtHqA9</t>
  </si>
  <si>
    <t>pay_HBmixhvNIcDeGg</t>
  </si>
  <si>
    <t>pay_HBms5sDml5gnMM</t>
  </si>
  <si>
    <t>pay_HBmv9M8fJekGxQ</t>
  </si>
  <si>
    <t>pritipathak.pathak@gmail.com</t>
  </si>
  <si>
    <t>pay_HBmvrOsic6ZFxR</t>
  </si>
  <si>
    <t>pay_HBmx3Bq9PRGF17</t>
  </si>
  <si>
    <t>pay_HBn2H4b1hlswCe</t>
  </si>
  <si>
    <t>pay_HBnBAm6n7x8OBr</t>
  </si>
  <si>
    <t>pay_HBnHaIMIUU8jKc</t>
  </si>
  <si>
    <t>pay_HBnTpAJO07q1LZ</t>
  </si>
  <si>
    <t>pay_HBnZWOEu8sR1UD</t>
  </si>
  <si>
    <t>pay_HBna977zumOsmd</t>
  </si>
  <si>
    <t>anusha.annem5@gmail.com</t>
  </si>
  <si>
    <t>pay_HBnfMhLayTmHsE</t>
  </si>
  <si>
    <t>pay_HBnq7LMHAQhoQo</t>
  </si>
  <si>
    <t>2612swati@gmail.com</t>
  </si>
  <si>
    <t>pay_HBnzlrcQ4BhvYa</t>
  </si>
  <si>
    <t>pay_HBoG0OBUrgjD3g</t>
  </si>
  <si>
    <t>pay_HBoUie2gigwoNU</t>
  </si>
  <si>
    <t>pay_HBoYSystDvlwKS</t>
  </si>
  <si>
    <t>piushsa@gmail.com</t>
  </si>
  <si>
    <t>pay_HBp1PlgbcuS6rH</t>
  </si>
  <si>
    <t>pay_HBpEK9VDAURLu5</t>
  </si>
  <si>
    <t>pay_HBpWbrGAYr2PKL</t>
  </si>
  <si>
    <t>pay_HBpXtWZ2owCg7M</t>
  </si>
  <si>
    <t>pay_HBpujm4peUuk5Q</t>
  </si>
  <si>
    <t>pay_HBrT4n0rMsFAjF</t>
  </si>
  <si>
    <t>pay_HBrZ65XLpjFIUO</t>
  </si>
  <si>
    <t>pay_HBs3zX4lEElws7</t>
  </si>
  <si>
    <t>pay_HBs5D0fGQ6h8VA</t>
  </si>
  <si>
    <t>pay_HBs8xng4Rt6pyU</t>
  </si>
  <si>
    <t>pay_HBs9RtDbOXUx22</t>
  </si>
  <si>
    <t>pay_HBsAXgr7VZ5P9R</t>
  </si>
  <si>
    <t>prathameshskumble@gmail.com</t>
  </si>
  <si>
    <t>pay_HBsifGT78oDBpG</t>
  </si>
  <si>
    <t>pay_HBt1VB57Y0oxJ5</t>
  </si>
  <si>
    <t>pay_HBtBHj9Lku94Hj</t>
  </si>
  <si>
    <t>pay_HBu0rrEzOxpYgD</t>
  </si>
  <si>
    <t>pay_HBu0wbc7QiLDn1</t>
  </si>
  <si>
    <t>pay_HBu1iJCw2bZ7VT</t>
  </si>
  <si>
    <t>pay_HBu439YxKIo8M8</t>
  </si>
  <si>
    <t>pay_HBu70itia4qXzJ</t>
  </si>
  <si>
    <t>pay_HBu9VlfagTzSLQ</t>
  </si>
  <si>
    <t>pay_HBuC6Kuz5fMsk0</t>
  </si>
  <si>
    <t>pay_HBuDzhwJAbs0xJ</t>
  </si>
  <si>
    <t>pay_HBuEa2NQm3f4kQ</t>
  </si>
  <si>
    <t>pay_HBuHgqwpKEGvyF</t>
  </si>
  <si>
    <t>pay_HBuSRFNw46FH17</t>
  </si>
  <si>
    <t>pay_HBuSVZiHNbVolr</t>
  </si>
  <si>
    <t>pay_HBuSrLzlIZOcu8</t>
  </si>
  <si>
    <t>pay_HBuT1JOqmcpwof</t>
  </si>
  <si>
    <t>pay_HBuWIWij4EjCxX</t>
  </si>
  <si>
    <t>pay_HBubUfMEv8XqBz</t>
  </si>
  <si>
    <t>pay_HBuc4MRzaWJO1V</t>
  </si>
  <si>
    <t>pay_HBueHT2dWHFqwJ</t>
  </si>
  <si>
    <t>pay_HBuf6qWAWP2QML</t>
  </si>
  <si>
    <t>pay_HBufuva1MZ3Eo8</t>
  </si>
  <si>
    <t>pay_HBugbtGLIBfeqp</t>
  </si>
  <si>
    <t>pay_HBuhiOb4Y9W6ab</t>
  </si>
  <si>
    <t>pay_HBuiJMADJqrSmg</t>
  </si>
  <si>
    <t>pay_HBukR0KVHaceOu</t>
  </si>
  <si>
    <t>pay_HBvA2I4A2WKGNu</t>
  </si>
  <si>
    <t>pay_HBvCB6R0EjJF0R</t>
  </si>
  <si>
    <t>pay_HBw679QrOF4YjL</t>
  </si>
  <si>
    <t>pay_HBw7t1maNqhTbA</t>
  </si>
  <si>
    <t>pay_HBwbKLZos4qcdO</t>
  </si>
  <si>
    <t>pay_HBwmVH3nF91tmj</t>
  </si>
  <si>
    <t>pay_HBwuQc1N0OW2RA</t>
  </si>
  <si>
    <t>pay_HBxUlUTS0USBoL</t>
  </si>
  <si>
    <t>pay_HByAFEetk8m3JE</t>
  </si>
  <si>
    <t>pay_HByJyIL48YRTpl</t>
  </si>
  <si>
    <t>pay_HByLA8ivUVVdW9</t>
  </si>
  <si>
    <t>haldankarvijay@gmail.com</t>
  </si>
  <si>
    <t>pay_HByhe5gAvCaPyW</t>
  </si>
  <si>
    <t>pay_HBz8xMUJZuv1RE</t>
  </si>
  <si>
    <t>pay_HC0mRQma2wv0yd</t>
  </si>
  <si>
    <t>pay_HC3amxjeqc49CP</t>
  </si>
  <si>
    <t>pay_HC4dnobC3ka9z8</t>
  </si>
  <si>
    <t>pay_HC58Rq9h2gVv0O</t>
  </si>
  <si>
    <t>pay_HC5jn2iC5QehPJ</t>
  </si>
  <si>
    <t>pay_HC5kpSUh8RlNRN</t>
  </si>
  <si>
    <t>pay_HC5nWg2nW7kq3u</t>
  </si>
  <si>
    <t>royalprateek2015@gmail.com</t>
  </si>
  <si>
    <t>pay_HC5rrz069hAhjp</t>
  </si>
  <si>
    <t>pay_HC5v11TlpEc3cF</t>
  </si>
  <si>
    <t>pay_HC5xCVLdvRKGIk</t>
  </si>
  <si>
    <t>pay_HC6O4k7ZxUr75v</t>
  </si>
  <si>
    <t>pay_HC6eVF0g2SzbzK</t>
  </si>
  <si>
    <t>pay_HC6sgoVgJdYtLi</t>
  </si>
  <si>
    <t>joe.cherian05@gmail.com</t>
  </si>
  <si>
    <t>pay_HC7QOkU1M9TbqD</t>
  </si>
  <si>
    <t>pay_HC7l5yNWffeclK</t>
  </si>
  <si>
    <t>pay_HC8BDnSUVr5fZh</t>
  </si>
  <si>
    <t>pay_HC8RyeuuEJlaBd</t>
  </si>
  <si>
    <t>pay_HC8ZNX77z6tat5</t>
  </si>
  <si>
    <t>pay_HC8onOHCwznQPP</t>
  </si>
  <si>
    <t>pay_HC8t8YtNqq4X3G</t>
  </si>
  <si>
    <t>pay_HC8tVONseUukhT</t>
  </si>
  <si>
    <t>pay_HC8uWAjZId7dv7</t>
  </si>
  <si>
    <t>pay_HC8wg8GWu9MAhS</t>
  </si>
  <si>
    <t>pay_HC8xhrjWfh5YEh</t>
  </si>
  <si>
    <t>pay_HC8zEpbXU7aHMY</t>
  </si>
  <si>
    <t>memtombithokchom71@gmail.com</t>
  </si>
  <si>
    <t>pay_HC92yaDqs9tREy</t>
  </si>
  <si>
    <t>pay_HC9PfUHOOwIdh7</t>
  </si>
  <si>
    <t>arvindk41577@gmail.com</t>
  </si>
  <si>
    <t>pay_HC9PteoT9j67fU</t>
  </si>
  <si>
    <t>pay_HC9TsHcZVXwrax</t>
  </si>
  <si>
    <t>pay_HC9WCaoJmZ0uBe</t>
  </si>
  <si>
    <t>pradnyadhole2@gmail.com</t>
  </si>
  <si>
    <t>pay_HC9fTkmauLaUs1</t>
  </si>
  <si>
    <t>eisha.r.mhatre@gmail.com</t>
  </si>
  <si>
    <t>pay_HC9fvWbKI5jF73</t>
  </si>
  <si>
    <t>pay_HC9n1Hna07Toxa</t>
  </si>
  <si>
    <t>pay_HC9nbeUXFYvLWZ</t>
  </si>
  <si>
    <t>muthu2648@outlook.com</t>
  </si>
  <si>
    <t>pay_HC9u3oz3qwYMdN</t>
  </si>
  <si>
    <t>pay_HC9vuJq28MZ2Et</t>
  </si>
  <si>
    <t>pay_HCA0F2FVgOoaN2</t>
  </si>
  <si>
    <t>pay_HCA28qFEJHxcex</t>
  </si>
  <si>
    <t>pay_HCA2iKoQ4Noajb</t>
  </si>
  <si>
    <t>pay_HCA44cmYdMUabb</t>
  </si>
  <si>
    <t>pay_HCAo4Qb0COiJAV</t>
  </si>
  <si>
    <t>pay_HCBMMTHfwJIlqT</t>
  </si>
  <si>
    <t>pay_HCBPkGECXCmSuL</t>
  </si>
  <si>
    <t>mehreenlove9@gmail.com</t>
  </si>
  <si>
    <t>pay_HCBi0mY55Tq3Ga</t>
  </si>
  <si>
    <t>pay_HCBk1yOYZ0pd8w</t>
  </si>
  <si>
    <t>tanyafromktr@gmail.com</t>
  </si>
  <si>
    <t>pay_HCBknjNqTG7HZY</t>
  </si>
  <si>
    <t>vijoysankar97@gmail.com</t>
  </si>
  <si>
    <t>pay_HCBuisB02KFOKV</t>
  </si>
  <si>
    <t>pay_HCCDrA3tnlnhsC</t>
  </si>
  <si>
    <t>pay_HCCOaq1RJtbCjR</t>
  </si>
  <si>
    <t>pay_HCCeEDCgK5M4Lh</t>
  </si>
  <si>
    <t>pay_HCDBDGJXIQsRhy</t>
  </si>
  <si>
    <t>pay_HCDVQQ1ACO1UQ9</t>
  </si>
  <si>
    <t>pay_HCDbpBcHsCDqSp</t>
  </si>
  <si>
    <t>pay_HCDpjeLvN8iM8r</t>
  </si>
  <si>
    <t>pay_HCDr3VwqTPwqCV</t>
  </si>
  <si>
    <t>pay_HCDrKOfOBAhXPd</t>
  </si>
  <si>
    <t>pay_HCDtwy0wVALCu5</t>
  </si>
  <si>
    <t>pay_HCEAC4GOvsujh4</t>
  </si>
  <si>
    <t>pay_HCEEW9g50V0EIe</t>
  </si>
  <si>
    <t>pay_HCEJaboPCYTDhv</t>
  </si>
  <si>
    <t>pay_HCEaWAfi3RdPPo</t>
  </si>
  <si>
    <t>pay_HCEhxRgG2wfXRd</t>
  </si>
  <si>
    <t>smrutic@gmail.com</t>
  </si>
  <si>
    <t>pay_HCF3Ito2D55idm</t>
  </si>
  <si>
    <t>pay_HCF6Ow8cUJg5lj</t>
  </si>
  <si>
    <t>pay_HCFVF26gloeODU</t>
  </si>
  <si>
    <t>pay_HCFrlmm84gvFWW</t>
  </si>
  <si>
    <t>hemavin23@gmail.com</t>
  </si>
  <si>
    <t>pay_HCFs8mzxv17xyr</t>
  </si>
  <si>
    <t>poonam.b7292@gmail.com</t>
  </si>
  <si>
    <t>pay_HCGScttYsHx2e3</t>
  </si>
  <si>
    <t>pay_HCGcRUY57oxwjx</t>
  </si>
  <si>
    <t>pay_HCGdrmqSQGou2H</t>
  </si>
  <si>
    <t>rvmuthal1999@gmail.com</t>
  </si>
  <si>
    <t>pay_HCHOYRH7JHsE9Z</t>
  </si>
  <si>
    <t>pay_HCHUigRHRRtrOe</t>
  </si>
  <si>
    <t>pay_HCHY7r6Uo6UKQP</t>
  </si>
  <si>
    <t>pay_HCHcDrvsyGO3ZT</t>
  </si>
  <si>
    <t>pay_HCHfNQRTKbe0wO</t>
  </si>
  <si>
    <t>pay_HCHkjNkw375POa</t>
  </si>
  <si>
    <t>pay_HCHzAC51jhFECv</t>
  </si>
  <si>
    <t>pay_HCI16J8aD5Tjmp</t>
  </si>
  <si>
    <t>pay_HCIJ6eybd7t2cJ</t>
  </si>
  <si>
    <t>pay_HCIcoMY9bi3MCz</t>
  </si>
  <si>
    <t>pay_HCJ1T8DVNhQWpR</t>
  </si>
  <si>
    <t>pay_HCJQlptCS43rT2</t>
  </si>
  <si>
    <t>pay_HCJbHvRdDojmAv</t>
  </si>
  <si>
    <t>pay_HCJsGT1yYGOv9t</t>
  </si>
  <si>
    <t>pay_HCKAeNix9yiYtq</t>
  </si>
  <si>
    <t>pay_HCKCxKSRvqc0DC</t>
  </si>
  <si>
    <t>prathap2k20@gmail.com</t>
  </si>
  <si>
    <t>pay_HCMGSQGRGicC9n</t>
  </si>
  <si>
    <t>pay_HCMKHzBpbl54Ab</t>
  </si>
  <si>
    <t>prakashpraku453@gmail.com</t>
  </si>
  <si>
    <t>pay_HCMXyVaSSIom8H</t>
  </si>
  <si>
    <t>abhijitbibhujit@gmail.com</t>
  </si>
  <si>
    <t>pay_HCMYMTpbUJCAM0</t>
  </si>
  <si>
    <t>pay_HCMYsBzjk39Jdl</t>
  </si>
  <si>
    <t>subu0659@gmail.com</t>
  </si>
  <si>
    <t>pay_HCN4Mr4QF5uKg8</t>
  </si>
  <si>
    <t>monikapoor1404@gmail.com</t>
  </si>
  <si>
    <t>pay_HCNk2n8wgPzdgf</t>
  </si>
  <si>
    <t>promila.pahuja@gmail.com</t>
  </si>
  <si>
    <t>pay_HCNkYVk6j4YawR</t>
  </si>
  <si>
    <t>pay_HCTJIYErGEH3ot</t>
  </si>
  <si>
    <t>pay_HCV616t3vAj2ex</t>
  </si>
  <si>
    <t>pay_HCVXYwhNbrzbBX</t>
  </si>
  <si>
    <t>pay_HCVrTITJ8gpSbD</t>
  </si>
  <si>
    <t>pay_HCWg4ReDhVUKw5</t>
  </si>
  <si>
    <t>pay_HCX8luNgPW6rGQ</t>
  </si>
  <si>
    <t>pay_HCXKffFJbl6M1N</t>
  </si>
  <si>
    <t>momadada19@gmail.com</t>
  </si>
  <si>
    <t>pay_HCXNFrVTfFkQZd</t>
  </si>
  <si>
    <t>pay_HCXSRN31CMHw73</t>
  </si>
  <si>
    <t>pay_HCXfO9ouPvoPo4</t>
  </si>
  <si>
    <t>pay_HCXhjpE6YxcHMR</t>
  </si>
  <si>
    <t>pay_HCXivRH2u4oHLx</t>
  </si>
  <si>
    <t>pay_HCY1RaGhCDRFFt</t>
  </si>
  <si>
    <t>pay_HCYHJ13D3jK4hp</t>
  </si>
  <si>
    <t>pay_HCYiDv6TODaDfC</t>
  </si>
  <si>
    <t>priyashree.jp123@gmail.com</t>
  </si>
  <si>
    <t>pay_HCYnfD797qrs6Z</t>
  </si>
  <si>
    <t>pay_HCZ6VyQFVMxfCk</t>
  </si>
  <si>
    <t>pay_HCZ8kQSVAzBLr9</t>
  </si>
  <si>
    <t>pay_HCZvUHJMSFO835</t>
  </si>
  <si>
    <t>pay_HCZwDmMy906kHx</t>
  </si>
  <si>
    <t>pay_HCbIhR7hr7kTxY</t>
  </si>
  <si>
    <t>pay_HCbcJCDzSWbvSp</t>
  </si>
  <si>
    <t>nehabhatsmiles@gmail.com</t>
  </si>
  <si>
    <t>pay_HCcG93IGdRYaOi</t>
  </si>
  <si>
    <t>pay_HCcH9o3E4tlGMj</t>
  </si>
  <si>
    <t>pay_HCcI80bYfHQKaP</t>
  </si>
  <si>
    <t>pay_HCcSQ8FHT1SZwJ</t>
  </si>
  <si>
    <t>pay_HCcTB4wSmgTFYm</t>
  </si>
  <si>
    <t>pay_HCcgMhxlRzQZ5B</t>
  </si>
  <si>
    <t>pay_HCcii90NwSkO0o</t>
  </si>
  <si>
    <t>pay_HCckOYAODDei7b</t>
  </si>
  <si>
    <t>pay_HCckSbfnokdzMH</t>
  </si>
  <si>
    <t>pay_HCclWy3VfrZb1K</t>
  </si>
  <si>
    <t>pay_HCczEblczZefh9</t>
  </si>
  <si>
    <t>pay_HCczgQF34x2suS</t>
  </si>
  <si>
    <t>pay_HCd0TKDTJSnPFb</t>
  </si>
  <si>
    <t>pay_HCd0vbw1p0H5Uz</t>
  </si>
  <si>
    <t>pay_HCdEN1uxLabaHp</t>
  </si>
  <si>
    <t>missgunjanofficial@gmail.com</t>
  </si>
  <si>
    <t>pay_HCdvQvdPnHCLGf</t>
  </si>
  <si>
    <t>islamansari252533@gmail.com</t>
  </si>
  <si>
    <t>pay_HCe4H6WgIP79u9</t>
  </si>
  <si>
    <t>pay_HCeFuJM0h4VmeR</t>
  </si>
  <si>
    <t>pay_HCeG2ZQ4AqoR5R</t>
  </si>
  <si>
    <t>yoashish2002@gmail.com</t>
  </si>
  <si>
    <t>pay_HCeHTcbXUVNF36</t>
  </si>
  <si>
    <t>pay_HCeIBmrZBu6B23</t>
  </si>
  <si>
    <t>pay_HCeSZn3yQxfVF2</t>
  </si>
  <si>
    <t>pay_HCeUVIwx9K5epw</t>
  </si>
  <si>
    <t>marveloushari@gmail.com</t>
  </si>
  <si>
    <t>pay_HCeb3XXe73ryyq</t>
  </si>
  <si>
    <t>pay_HCecFk28BlSR6P</t>
  </si>
  <si>
    <t>pay_HCefnef9LC0hfB</t>
  </si>
  <si>
    <t>pay_HCelYpG84OQq37</t>
  </si>
  <si>
    <t>pay_HCemcfNz5TObTQ</t>
  </si>
  <si>
    <t>sreenoud@gmail.com</t>
  </si>
  <si>
    <t>pay_HCf8VFB8hwfeTH</t>
  </si>
  <si>
    <t>pay_HCfBeCcbGFnPmG</t>
  </si>
  <si>
    <t>pay_HCfIMIvPYaHyqL</t>
  </si>
  <si>
    <t>pay_HCfSPJqdAPXi3T</t>
  </si>
  <si>
    <t>md.zulkaifahmad@gmail.com</t>
  </si>
  <si>
    <t>pay_HCfX826uF1bFDr</t>
  </si>
  <si>
    <t>pay_HCfYsDBFvjXcAr</t>
  </si>
  <si>
    <t>pay_HCffEGc7wkWEug</t>
  </si>
  <si>
    <t>dgoel0107@gmail.com</t>
  </si>
  <si>
    <t>pay_HCfmv7hQ0GlyvK</t>
  </si>
  <si>
    <t>barshapriyadarsanisamal@gmail.com</t>
  </si>
  <si>
    <t>pay_HCfw9YG9h3b8Ov</t>
  </si>
  <si>
    <t>pay_HChMFFs7wazCnx</t>
  </si>
  <si>
    <t>smanoj9844@gmail.com</t>
  </si>
  <si>
    <t>pay_HCi46L2MB5T3TC</t>
  </si>
  <si>
    <t>pay_HCi80zHNI1Rg5t</t>
  </si>
  <si>
    <t>pay_HCi9ozqtE2BEsU</t>
  </si>
  <si>
    <t>pay_HCinWXYhqQl1nJ</t>
  </si>
  <si>
    <t>rm9509290210@gmail.com</t>
  </si>
  <si>
    <t>pay_HCjPzewSuBUIKT</t>
  </si>
  <si>
    <t>pay_HCjjrzNx23ERbq</t>
  </si>
  <si>
    <t>pay_HCjnXvB9nyg33C</t>
  </si>
  <si>
    <t>pay_HCkGuFeq3WHlxC</t>
  </si>
  <si>
    <t>pay_HCkaT9YX66ZT8j</t>
  </si>
  <si>
    <t>yashvardhanjain11@gmail.com</t>
  </si>
  <si>
    <t>pay_HCoJI1U5caqzYm</t>
  </si>
  <si>
    <t>pay_HCr4hMFF50hZHo</t>
  </si>
  <si>
    <t>pay_HCr9WaUcn5zKbN</t>
  </si>
  <si>
    <t>pay_HCrHUxaYdZUx7u</t>
  </si>
  <si>
    <t>pay_HCrNBRV2URkTeu</t>
  </si>
  <si>
    <t>pay_HCrO8MUVWjbHvn</t>
  </si>
  <si>
    <t>pay_HCrPYYT0S1icHy</t>
  </si>
  <si>
    <t>pay_HCuzRDXFBjz43X</t>
  </si>
  <si>
    <t>pay_HCvJYEjrvRo7ge</t>
  </si>
  <si>
    <t>pay_HCvS0rmEtFMFfg</t>
  </si>
  <si>
    <t>pay_HCvUsLkxWh9MrP</t>
  </si>
  <si>
    <t>xyz@gamil.com</t>
  </si>
  <si>
    <t>pay_HCvnGhwlFbuIMt</t>
  </si>
  <si>
    <t>pay_HCwreTbkWzNO8W</t>
  </si>
  <si>
    <t>pay_HCwuKZ2rRmfumj</t>
  </si>
  <si>
    <t>pay_HCx7lTk3u1Ihyf</t>
  </si>
  <si>
    <t>pay_HCx8S73VX5rVwm</t>
  </si>
  <si>
    <t>pay_HCx9VxHQj3IkKK</t>
  </si>
  <si>
    <t>pay_HCxAANPbjscxT2</t>
  </si>
  <si>
    <t>pay_HCxHMdicK6Lsre</t>
  </si>
  <si>
    <t>pay_HCxSKAgSHvwE9u</t>
  </si>
  <si>
    <t>draditisolanke27@gmail.com</t>
  </si>
  <si>
    <t>pay_HCyBgAmCpIg3ux</t>
  </si>
  <si>
    <t>pay_HCymZF2CrLX39P</t>
  </si>
  <si>
    <t>pay_HCymcrUO3apFPh</t>
  </si>
  <si>
    <t>pay_HCyt9jiyVT7EUS</t>
  </si>
  <si>
    <t>princekamoj@gmail.com</t>
  </si>
  <si>
    <t>pay_HCyw1dMQWVnK0Z</t>
  </si>
  <si>
    <t>pay_HCyw5lZRTFLiAu</t>
  </si>
  <si>
    <t>pay_HCyw8q45pzpJf2</t>
  </si>
  <si>
    <t>pay_HCywYNKaYERk7J</t>
  </si>
  <si>
    <t>pay_HCyweK1nf1AKiD</t>
  </si>
  <si>
    <t>pay_HCyyFFDMIjptGa</t>
  </si>
  <si>
    <t>pay_HCz6hb6uds6zTD</t>
  </si>
  <si>
    <t>pay_HCz82FwPYHp9uL</t>
  </si>
  <si>
    <t>hiteshhsc1@gmail.com</t>
  </si>
  <si>
    <t>pay_HCzMEf1dfAf23B</t>
  </si>
  <si>
    <t>pay_HD01ogV23FYHBl</t>
  </si>
  <si>
    <t>birendrakumarp70@gmail.com</t>
  </si>
  <si>
    <t>pay_HD0NkslLVstWUk</t>
  </si>
  <si>
    <t>amareshsamrat@gmail.com</t>
  </si>
  <si>
    <t>pay_HD0VbcfDhdnOLs</t>
  </si>
  <si>
    <t>pay_HD15fmupcGSfhC</t>
  </si>
  <si>
    <t>pay_HD16J4ux9QidpT</t>
  </si>
  <si>
    <t>pay_HD1RBnBJjMP4lX</t>
  </si>
  <si>
    <t>pay_HD1RF6vbnPRlPa</t>
  </si>
  <si>
    <t>pay_HD1qFK4Lc3Tvtz</t>
  </si>
  <si>
    <t>hmousumi18@gmail.com</t>
  </si>
  <si>
    <t>pay_HD27rk5coLs2rC</t>
  </si>
  <si>
    <t>pay_HD27urhESEjN2C</t>
  </si>
  <si>
    <t>pay_HD27x8nSj9ltHE</t>
  </si>
  <si>
    <t>shashangkaditya3333@gmail.com</t>
  </si>
  <si>
    <t>pay_HD2Ryf0uZY93cw</t>
  </si>
  <si>
    <t>pay_HD2dOCxrF7MNkP</t>
  </si>
  <si>
    <t>pay_HD2mrtFZA3eX76</t>
  </si>
  <si>
    <t>pay_HD35GKF0BPxeU8</t>
  </si>
  <si>
    <t>pay_HD3BG0TWAnA8jO</t>
  </si>
  <si>
    <t>pay_HD3Jq6BSLIox2f</t>
  </si>
  <si>
    <t>pay_HD3QRjzmvF6GZG</t>
  </si>
  <si>
    <t>pay_HD4Iwip23F2fgk</t>
  </si>
  <si>
    <t>swamydr2002@yahoo.com</t>
  </si>
  <si>
    <t>pay_HD4NEAgsGuAoGU</t>
  </si>
  <si>
    <t>pay_HD4tMJIw8GoTGQ</t>
  </si>
  <si>
    <t>pay_HD4v8fJCSH8QR8</t>
  </si>
  <si>
    <t>aiswaryageddapu@gmail.com</t>
  </si>
  <si>
    <t>pay_HD5Dx4zjB45NvA</t>
  </si>
  <si>
    <t>pay_HD5Gru8ABtvXeM</t>
  </si>
  <si>
    <t>pay_HD5WiDRDxP3rZx</t>
  </si>
  <si>
    <t>karankumargupta@gmail.com</t>
  </si>
  <si>
    <t>pay_HD5hYiLyCV52J0</t>
  </si>
  <si>
    <t>pay_HD5iLLyETne1cH</t>
  </si>
  <si>
    <t>pay_HD5izdJbrDYvpz</t>
  </si>
  <si>
    <t>pay_HD5r7zNBN7Cnnu</t>
  </si>
  <si>
    <t>krmanish.patil@gmail.com</t>
  </si>
  <si>
    <t>pay_HD5srmuiLfqzSa</t>
  </si>
  <si>
    <t>pay_HD5vc3DhhK0gH4</t>
  </si>
  <si>
    <t>pay_HD5xDRgJBLshBC</t>
  </si>
  <si>
    <t>dv1132504@gmail.com</t>
  </si>
  <si>
    <t>pay_HD62QApRqLEMiZ</t>
  </si>
  <si>
    <t>pay_HD67TOWowYDSOP</t>
  </si>
  <si>
    <t>pay_HD67lfZNZEkaAs</t>
  </si>
  <si>
    <t>pay_HD69Ir0oE3MIOZ</t>
  </si>
  <si>
    <t>ruchi.bhawana08@gmail.com</t>
  </si>
  <si>
    <t>pay_HD69KZEX1NMjPQ</t>
  </si>
  <si>
    <t>nikhilvenky.786@gmail.com</t>
  </si>
  <si>
    <t>pay_HD6AecMfqYnpuy</t>
  </si>
  <si>
    <t>pay_HD6BM0Mwpvb8sx</t>
  </si>
  <si>
    <t>drshefaliv@gmail.com</t>
  </si>
  <si>
    <t>pay_HD6DnXS4U8gwYH</t>
  </si>
  <si>
    <t>pay_HD6FV9pTh3rYHC</t>
  </si>
  <si>
    <t>pay_HD6FaMvcohmYkx</t>
  </si>
  <si>
    <t>vj.com.86@gmail.com</t>
  </si>
  <si>
    <t>pay_HD6IIgI8IlVAxE</t>
  </si>
  <si>
    <t>pay_HD6JyhfCUNCrGF</t>
  </si>
  <si>
    <t>pay_HD6tJDvMchDQAS</t>
  </si>
  <si>
    <t>pay_HD7UCOcvOM4OUI</t>
  </si>
  <si>
    <t>ronisha.b@gmail.com</t>
  </si>
  <si>
    <t>pay_HD7WIcxmPhQ3nD</t>
  </si>
  <si>
    <t>pay_HD7XElyCRQncSy</t>
  </si>
  <si>
    <t>pay_HD8MGwhsQS0DJI</t>
  </si>
  <si>
    <t>pay_HD9oJ5sSolWHGJ</t>
  </si>
  <si>
    <t>pay_HD9obQwwYLoOAL</t>
  </si>
  <si>
    <t>pay_HD9qxh4c0Ngomp</t>
  </si>
  <si>
    <t>pay_HD9v1Ob29UbItp</t>
  </si>
  <si>
    <t>pj73709@gmail.com</t>
  </si>
  <si>
    <t>pay_HD9xTumk1GYLcT</t>
  </si>
  <si>
    <t>pay_HD9yFGj1nYSDzZ</t>
  </si>
  <si>
    <t>mirthazaliii@gmail.com</t>
  </si>
  <si>
    <t>pay_HDA3Z0cmkqX40g</t>
  </si>
  <si>
    <t>anirdiya@gmail.com</t>
  </si>
  <si>
    <t>pay_HDACH7GzxBSvPu</t>
  </si>
  <si>
    <t>pay_HDBuLMSiXeiz0z</t>
  </si>
  <si>
    <t>savithapsuresh@gmail.com</t>
  </si>
  <si>
    <t>pay_HDF2O8J4SqgCpv</t>
  </si>
  <si>
    <t>pay_HDF5CsWHidpvjM</t>
  </si>
  <si>
    <t>pay_HDFZOW2cuSTYZS</t>
  </si>
  <si>
    <t>pay_HDFeKrIgZaNcG3</t>
  </si>
  <si>
    <t>pay_HDGU9kZCfeHAZG</t>
  </si>
  <si>
    <t>pay_HDHAczS0X6B3s9</t>
  </si>
  <si>
    <t>pay_HDHB0sqt36iCWm</t>
  </si>
  <si>
    <t>pay_HDHOjXN5SdXXlT</t>
  </si>
  <si>
    <t>pay_HDHfqdBC5egyBq</t>
  </si>
  <si>
    <t>pay_HDIL9ZTINdSS9v</t>
  </si>
  <si>
    <t>pay_HDIdHRTly9mBYI</t>
  </si>
  <si>
    <t>pay_HDIegeesAx2J9c</t>
  </si>
  <si>
    <t>pay_HDIk5fjPcSDFmO</t>
  </si>
  <si>
    <t>chauhananushree8@gmail.com</t>
  </si>
  <si>
    <t>pay_HDJFSaHOHkef1W</t>
  </si>
  <si>
    <t>pay_HDJVh5I5xrdFm3</t>
  </si>
  <si>
    <t>pay_HDJnb8jpOzV7EV</t>
  </si>
  <si>
    <t>ubha99@gmail.com</t>
  </si>
  <si>
    <t>pay_HDJtcOSAkmK7Lk</t>
  </si>
  <si>
    <t>pay_HDJuzFZcarBNpk</t>
  </si>
  <si>
    <t>pay_HDJxWp6K5Xsui8</t>
  </si>
  <si>
    <t>pay_HDJzaI79rF6AC3</t>
  </si>
  <si>
    <t>pay_HDK03pl5Vhfkbb</t>
  </si>
  <si>
    <t>shaurabh1990@gmail.com</t>
  </si>
  <si>
    <t>pay_HDKCuXeOGVBt9w</t>
  </si>
  <si>
    <t>pay_HDLVqLLQxSjJPo</t>
  </si>
  <si>
    <t>pay_HDLaDN509Luscl</t>
  </si>
  <si>
    <t>pay_HDLthg6Y2SeBHZ</t>
  </si>
  <si>
    <t>pay_HDLxc3cp6VfpMC</t>
  </si>
  <si>
    <t>pay_HDM4EKGkvYWoDS</t>
  </si>
  <si>
    <t>pay_HDMH0tqD0hzQKN</t>
  </si>
  <si>
    <t>pay_HDMZTHjA79Rmwt</t>
  </si>
  <si>
    <t>pay_HDMZdJT1Q86s9Y</t>
  </si>
  <si>
    <t>pay_HDMqyh4zbCDMx9</t>
  </si>
  <si>
    <t>isha.arora28@gmail.com</t>
  </si>
  <si>
    <t>pay_HDNBQkba6TLsmF</t>
  </si>
  <si>
    <t>pay_HDNCOdkeNeU6Hf</t>
  </si>
  <si>
    <t>pay_HDNDR170Pcgp5S</t>
  </si>
  <si>
    <t>pay_HDNF5ZAEoAQEzb</t>
  </si>
  <si>
    <t>pay_HDNFXllUXTSmA6</t>
  </si>
  <si>
    <t>ratnaraju884@gmail.com</t>
  </si>
  <si>
    <t>pay_HDNY1TIsM7sUvW</t>
  </si>
  <si>
    <t>pay_HDNq2t4CnDplyz</t>
  </si>
  <si>
    <t>pay_HDNsv5VFQpEZu3</t>
  </si>
  <si>
    <t>pay_HDNtiKg0jwABnr</t>
  </si>
  <si>
    <t>pay_HDNwYN2e0mplQF</t>
  </si>
  <si>
    <t>pay_HDOHhFHFc2aXHU</t>
  </si>
  <si>
    <t>pay_HDOHrMOoeBlxRl</t>
  </si>
  <si>
    <t>pay_HDOIeoWp54QZCY</t>
  </si>
  <si>
    <t>pay_HDOJwCyelvmJBc</t>
  </si>
  <si>
    <t>pay_HDOhoqnHNzmys3</t>
  </si>
  <si>
    <t>pay_HDOhqMnFKmMcDl</t>
  </si>
  <si>
    <t>ajaynkkrishna@gmail.com</t>
  </si>
  <si>
    <t>pay_HDOktyF4n7XEKo</t>
  </si>
  <si>
    <t>aniket.bhalerao@livehealth.in</t>
  </si>
  <si>
    <t>pay_HDPB6lUwRJwXUE</t>
  </si>
  <si>
    <t>pay_HDPDHrREc5xok1</t>
  </si>
  <si>
    <t>pay_HDPcDTe07tAyzu</t>
  </si>
  <si>
    <t>pay_HDPwK6WfL1IHqH</t>
  </si>
  <si>
    <t>savita_rout@yahoo.com</t>
  </si>
  <si>
    <t>pay_HDQJDMP9OywdMM</t>
  </si>
  <si>
    <t>pay_HDQQ5VBxpraqNZ</t>
  </si>
  <si>
    <t>pay_HDQSOpHPXWR7Gy</t>
  </si>
  <si>
    <t>pay_HDQnOAWSNmInRk</t>
  </si>
  <si>
    <t>shivshri9197@gmail.com</t>
  </si>
  <si>
    <t>pay_HDR2EKSxqv1euK</t>
  </si>
  <si>
    <t>pay_HDREJ3KbGFtuI3</t>
  </si>
  <si>
    <t>apeksha666raja@yahoo.in</t>
  </si>
  <si>
    <t>pay_HDRPiKkmfvEHaM</t>
  </si>
  <si>
    <t>pay_HDRcEOMzbhooVk</t>
  </si>
  <si>
    <t>minalhingmire@gmail.com</t>
  </si>
  <si>
    <t>pay_HDRiOhR42Aflai</t>
  </si>
  <si>
    <t>dillieee3011@gmail.com</t>
  </si>
  <si>
    <t>pay_HDRnifCepcnJde</t>
  </si>
  <si>
    <t>pay_HDRv2HXCGiDoQa</t>
  </si>
  <si>
    <t>pay_HDS4rE0mOFuFdG</t>
  </si>
  <si>
    <t>pay_HDS559zoj6Jhah</t>
  </si>
  <si>
    <t>pay_HDS6ZzemMbhGWa</t>
  </si>
  <si>
    <t>pay_HDS9dBWUTWyvWQ</t>
  </si>
  <si>
    <t>pay_HDSHGh64PibQed</t>
  </si>
  <si>
    <t>sk1234@gmail.com</t>
  </si>
  <si>
    <t>pay_HDSeXclsQZf4n9</t>
  </si>
  <si>
    <t>pay_HDSeijt9laoNAL</t>
  </si>
  <si>
    <t>pay_HDSsyS3CjnH2sQ</t>
  </si>
  <si>
    <t>pay_HDStArolH6CiF6</t>
  </si>
  <si>
    <t>iamdeepasreekumar@gmail.com</t>
  </si>
  <si>
    <t>pay_HDSxQ9EP8Ol2T0</t>
  </si>
  <si>
    <t>pay_HDTNdvYa3bHZMw</t>
  </si>
  <si>
    <t>pay_HDTX6iJhhP7pz9</t>
  </si>
  <si>
    <t>pay_HDTXG6clyjVcdW</t>
  </si>
  <si>
    <t>pay_HDTXaOIrIK0H0N</t>
  </si>
  <si>
    <t>pay_HDTYAYfeXWo958</t>
  </si>
  <si>
    <t>pay_HDTaAFQilfQg62</t>
  </si>
  <si>
    <t>pay_HDTaMQErfOWwgE</t>
  </si>
  <si>
    <t>pay_HDU8R52pJ4P55o</t>
  </si>
  <si>
    <t>natashasinghania412@gmail.com</t>
  </si>
  <si>
    <t>pay_HDUYiZytqKUn1b</t>
  </si>
  <si>
    <t>pay_HDUYjU8aKfX47K</t>
  </si>
  <si>
    <t>pay_HDUbVJ09Q4S9rR</t>
  </si>
  <si>
    <t>pay_HDYHZPF7Zh1lcK</t>
  </si>
  <si>
    <t>prachi.shah086@gmail.com</t>
  </si>
  <si>
    <t>pay_HDYIZ6hA3nARop</t>
  </si>
  <si>
    <t>pay_HDYIe5Wer4fjqP</t>
  </si>
  <si>
    <t>pay_HDYIe0AIK8MLbN</t>
  </si>
  <si>
    <t>pay_HDYLa7CWOkq3T7</t>
  </si>
  <si>
    <t>pay_HDYNBdGQOtBwn7</t>
  </si>
  <si>
    <t>pay_HDYNo0BSKOs6Km</t>
  </si>
  <si>
    <t>pay_HDYQ1nUaxgDIqn</t>
  </si>
  <si>
    <t>pay_HDYSl8uNHxfubm</t>
  </si>
  <si>
    <t>pay_HDYY4hK0CkVPau</t>
  </si>
  <si>
    <t>vsrnagabhushan@outlook.com</t>
  </si>
  <si>
    <t>pay_HDYZzyggWFvXRi</t>
  </si>
  <si>
    <t>pay_HDbStflvffFINK</t>
  </si>
  <si>
    <t>rahul957605@gmail.com</t>
  </si>
  <si>
    <t>pay_HDedVT73CPcsxG</t>
  </si>
  <si>
    <t>anua54576@gmail.com</t>
  </si>
  <si>
    <t>pay_HDf2M9mEsaIVP8</t>
  </si>
  <si>
    <t>pay_HDf5pHxWQIQbsg</t>
  </si>
  <si>
    <t>pay_HDfinhACsFHTeq</t>
  </si>
  <si>
    <t>chandanidisha0@gmail.com</t>
  </si>
  <si>
    <t>pay_HDfjOIfmD9Y4Ln</t>
  </si>
  <si>
    <t>pay_HDfpSKdcrHr7Ic</t>
  </si>
  <si>
    <t>savaliarajesh2006@rediffmail.com</t>
  </si>
  <si>
    <t>pay_HDfs9lTdODFhOO</t>
  </si>
  <si>
    <t>pay_HDg0ZzvpcHahbz</t>
  </si>
  <si>
    <t>pay_HDg3SMRCR9Pyuo</t>
  </si>
  <si>
    <t>pay_HDg7UsEanfZDTI</t>
  </si>
  <si>
    <t>pay_HDgA47wzW1FPOj</t>
  </si>
  <si>
    <t>thephantomtrail@gmail.com</t>
  </si>
  <si>
    <t>pay_HDgHNdqzxTXDqg</t>
  </si>
  <si>
    <t>pay_HDgPykOLfglbUW</t>
  </si>
  <si>
    <t>pay_HDgWMGHbLFvMKI</t>
  </si>
  <si>
    <t>pay_HDgXIfZv3LgHMi</t>
  </si>
  <si>
    <t>pay_HDgXVyb21TjTIm</t>
  </si>
  <si>
    <t>pay_HDga0CL8QfN3tO</t>
  </si>
  <si>
    <t>pay_HDgkY6Ksm8WBDj</t>
  </si>
  <si>
    <t>pay_HDgkboWWsT4n80</t>
  </si>
  <si>
    <t>pay_HDgkeEo8ARsAzf</t>
  </si>
  <si>
    <t>natarajaniyer1999@gmail.com</t>
  </si>
  <si>
    <t>pay_HDh0rI1nXEJVXD</t>
  </si>
  <si>
    <t>pay_HDh1jRvu6nDUzh</t>
  </si>
  <si>
    <t>pay_HDhICG4z7J2EJc</t>
  </si>
  <si>
    <t>domanalb@gmail.com</t>
  </si>
  <si>
    <t>pay_HDhLUbEhrQjJcp</t>
  </si>
  <si>
    <t>pay_HDhM1VJmxxXyCu</t>
  </si>
  <si>
    <t>pay_HDhYnTn4kF4f1K</t>
  </si>
  <si>
    <t>pay_HDha1b6iRhG2OK</t>
  </si>
  <si>
    <t>pay_HDhuMzjPxQvcsc</t>
  </si>
  <si>
    <t>pay_HDiXgNFU0SOrDg</t>
  </si>
  <si>
    <t>pay_HDiZUB2LyrJtUq</t>
  </si>
  <si>
    <t>pay_HDiZsHmQrcjMRo</t>
  </si>
  <si>
    <t>pay_HDieMjm9VCtAiq</t>
  </si>
  <si>
    <t>pay_HDih3R3Csh37BG</t>
  </si>
  <si>
    <t>pay_HDihFl5jbjFrJW</t>
  </si>
  <si>
    <t>pay_HDihxkl9HXxlDA</t>
  </si>
  <si>
    <t>pay_HDiicNZTU8Lks2</t>
  </si>
  <si>
    <t>pay_HDisbQSS5UMg2i</t>
  </si>
  <si>
    <t>lokesh.bawal@gmail.com</t>
  </si>
  <si>
    <t>pay_HDj9IqtSVLpM24</t>
  </si>
  <si>
    <t>pay_HDjJzzl2WZEqyW</t>
  </si>
  <si>
    <t>pay_HDjSbDEU36wyaU</t>
  </si>
  <si>
    <t>pay_HDjTsbYBBSevaO</t>
  </si>
  <si>
    <t>pay_HDjeB7wwj2JmyL</t>
  </si>
  <si>
    <t>pay_HDjfv0t6WXKUg3</t>
  </si>
  <si>
    <t>pay_HDjgYe3aRXBrwv</t>
  </si>
  <si>
    <t>pay_HDjiA6T6CS8voV</t>
  </si>
  <si>
    <t>pay_HDk7VTk2jN4vps</t>
  </si>
  <si>
    <t>pay_HDkHInE3Iy9GOM</t>
  </si>
  <si>
    <t>pay_HDkJlxYgBJP1tB</t>
  </si>
  <si>
    <t>pay_HDkKyw90mpRjUM</t>
  </si>
  <si>
    <t>awadeshkumar8168@email.com</t>
  </si>
  <si>
    <t>pay_HDkMuDBKBZybFA</t>
  </si>
  <si>
    <t>pay_HDkOcUASdgkiF5</t>
  </si>
  <si>
    <t>pay_HDkPF8ctagUxx8</t>
  </si>
  <si>
    <t>pay_HDkQBHETQMIsgD</t>
  </si>
  <si>
    <t>pay_HDknl7pfjiKsgK</t>
  </si>
  <si>
    <t>pay_HDktF2vm93p17v</t>
  </si>
  <si>
    <t>pay_HDkv8hG2iK9Tic</t>
  </si>
  <si>
    <t>pay_HDlHTJfcZwtamz</t>
  </si>
  <si>
    <t>pay_HDlHg1bO3DXoEJ</t>
  </si>
  <si>
    <t>pay_HDlJoOx5NLuj18</t>
  </si>
  <si>
    <t>pay_HDlSn5vhNVAIwE</t>
  </si>
  <si>
    <t>pay_HDlSu2LeQorHZj</t>
  </si>
  <si>
    <t>pay_HDljqZwsOez392</t>
  </si>
  <si>
    <t>sankarchiran@gmail.com</t>
  </si>
  <si>
    <t>pay_HDloqsHwD1XvIi</t>
  </si>
  <si>
    <t>pay_HDlvfUvqy90y2m</t>
  </si>
  <si>
    <t>pay_HDmSNMoX1nt2ty</t>
  </si>
  <si>
    <t>pay_HDmUMXeuoZDy0v</t>
  </si>
  <si>
    <t>pay_HDmmKZd7MgN7cB</t>
  </si>
  <si>
    <t>pay_HDnBkPwtPD6cWs</t>
  </si>
  <si>
    <t>pay_HDnDqFcuUXg7Wz</t>
  </si>
  <si>
    <t>pay_HDnKHIRDpJBcXV</t>
  </si>
  <si>
    <t>pay_HDnSDQ2hEtNeYy</t>
  </si>
  <si>
    <t>pay_HDnWAGaK4o7TEZ</t>
  </si>
  <si>
    <t>pay_HDnXWmHHvgxoOb</t>
  </si>
  <si>
    <t>pay_HDneeVONJGNdQ9</t>
  </si>
  <si>
    <t>pay_HDnu8ztV5gSokW</t>
  </si>
  <si>
    <t>pay_HDnvooHfIIpabB</t>
  </si>
  <si>
    <t>pay_HDnwmItIpe8kpT</t>
  </si>
  <si>
    <t>pay_HDo25sgeD9rxS3</t>
  </si>
  <si>
    <t>pay_HDo4cQ2VZegnwv</t>
  </si>
  <si>
    <t>pay_HDo6yzc1ndYVzH</t>
  </si>
  <si>
    <t>pay_HDo9uX71W3lQhU</t>
  </si>
  <si>
    <t>deepankar2206@gmail.com</t>
  </si>
  <si>
    <t>pay_HDoQEFXZwfo9Z1</t>
  </si>
  <si>
    <t>pay_HDoZqGrIT7LGSR</t>
  </si>
  <si>
    <t>pay_HDok5zOeHGIvco</t>
  </si>
  <si>
    <t>syedtayyabali219@gmail.com</t>
  </si>
  <si>
    <t>pay_HDovlEOJ0dMFhd</t>
  </si>
  <si>
    <t>pay_HDp3qFDe4Cm3yI</t>
  </si>
  <si>
    <t>sagarmmmm04@gmail.com</t>
  </si>
  <si>
    <t>pay_HDp3ywvAvjLVGb</t>
  </si>
  <si>
    <t>pay_HDp7C6UuKt3cfQ</t>
  </si>
  <si>
    <t>pay_HDpFHD8kpjYzf7</t>
  </si>
  <si>
    <t>pay_HDpIODldPSW6SK</t>
  </si>
  <si>
    <t>mahadevhoval0707@gmail.com</t>
  </si>
  <si>
    <t>pay_HDpdofH03hxYXM</t>
  </si>
  <si>
    <t>pay_HDpkf96Jj3IAmp</t>
  </si>
  <si>
    <t>pay_HDppiRwly4qgGA</t>
  </si>
  <si>
    <t>pay_HDprYp2ag8y4Rk</t>
  </si>
  <si>
    <t>pay_HDq0Zlga8Enrs7</t>
  </si>
  <si>
    <t>pay_HDqATTVQR40QP2</t>
  </si>
  <si>
    <t>pay_HDqFofdTPSlKmG</t>
  </si>
  <si>
    <t>pay_HDqKIzrqiJygxA</t>
  </si>
  <si>
    <t>pay_HDqS1nWCVitsJy</t>
  </si>
  <si>
    <t>pay_HDqTwJrJrBqUj1</t>
  </si>
  <si>
    <t>pay_HDqjlB2JVL7zVI</t>
  </si>
  <si>
    <t>pay_HDqlIsU9r1AjgO</t>
  </si>
  <si>
    <t>pay_HDqvoLLG22Eo21</t>
  </si>
  <si>
    <t>pay_HDr5CERr3mS2bs</t>
  </si>
  <si>
    <t>pay_HDrI8hC6crw7Y3</t>
  </si>
  <si>
    <t>pay_HDrmMJmDLK4pMh</t>
  </si>
  <si>
    <t>pay_HDrpwSnDn20sa4</t>
  </si>
  <si>
    <t>sonalisalave63@gmail.com</t>
  </si>
  <si>
    <t>pay_HDs5nqq5LHLOc2</t>
  </si>
  <si>
    <t>pay_HDs9iCdaQ4NfA8</t>
  </si>
  <si>
    <t>pay_HDsNrjedwCcvA8</t>
  </si>
  <si>
    <t>pay_HDseErDw9ykMNy</t>
  </si>
  <si>
    <t>dgautre1996@gmail.com</t>
  </si>
  <si>
    <t>pay_HDszwE95Wmktln</t>
  </si>
  <si>
    <t>pay_HDt2SkNRoPXfGr</t>
  </si>
  <si>
    <t>pay_HDt4dnBjLIgLEt</t>
  </si>
  <si>
    <t>tharun.mangattil@gmail.com</t>
  </si>
  <si>
    <t>pay_HDtASClS3FADCf</t>
  </si>
  <si>
    <t>a.alamunnaalam3870@gmail.comm70</t>
  </si>
  <si>
    <t>pay_HDtkoyTnRbvfji</t>
  </si>
  <si>
    <t>pay_HDtli02oOCcmIB</t>
  </si>
  <si>
    <t>hhearttruless1000@gmail.com</t>
  </si>
  <si>
    <t>pay_HDtnJHNysICQ2q</t>
  </si>
  <si>
    <t>pay_HDtnT1H27xkj6b</t>
  </si>
  <si>
    <t>pay_HDtovl4kDVAlMs</t>
  </si>
  <si>
    <t>pay_HDtuJt9LjStnfj</t>
  </si>
  <si>
    <t>pay_HDtvNmWxgoNGtQ</t>
  </si>
  <si>
    <t>pay_HDtvrlTeYkyKyP</t>
  </si>
  <si>
    <t>pay_HDtw0l2xb1Lo2q</t>
  </si>
  <si>
    <t>pay_HDu303Vj5q0Zwp</t>
  </si>
  <si>
    <t>pay_HDu5EcQnTYyLFw</t>
  </si>
  <si>
    <t>shristijina@gmail.com</t>
  </si>
  <si>
    <t>pay_HDuUSsLUdDUt5D</t>
  </si>
  <si>
    <t>pay_HDuZJU3UCZS6Az</t>
  </si>
  <si>
    <t>pay_HDudLpyj2tkBY7</t>
  </si>
  <si>
    <t>pay_HDudORywxtWTCq</t>
  </si>
  <si>
    <t>pay_HDugEuhxiGeqjB</t>
  </si>
  <si>
    <t>pay_HDvxKMq6XQuz8D</t>
  </si>
  <si>
    <t>pay_HDvyPOVgCstIF3</t>
  </si>
  <si>
    <t>sethiroopali@gmail.com</t>
  </si>
  <si>
    <t>pay_HDwLK4t2AFMOLK</t>
  </si>
  <si>
    <t>pay_HDwPGGsoE2NISj</t>
  </si>
  <si>
    <t>pay_HDwgG8vAhNegy5</t>
  </si>
  <si>
    <t>pay_HDwgTQAjPb7kiB</t>
  </si>
  <si>
    <t>pay_HDwhE5q5cdQsTw</t>
  </si>
  <si>
    <t>pay_HDwi1IejQdZYZs</t>
  </si>
  <si>
    <t>chaitalimorajker16@gmail.com</t>
  </si>
  <si>
    <t>pay_HDxO7qZwiXnutU</t>
  </si>
  <si>
    <t>pay_HDxcK8weNDnGU5</t>
  </si>
  <si>
    <t>pay_HDxciNf7iIn6l8</t>
  </si>
  <si>
    <t>sawantrash@gmail.com</t>
  </si>
  <si>
    <t>pay_HDxiRyIDdCWiqX</t>
  </si>
  <si>
    <t>pay_HDyPCnsCwsvpfS</t>
  </si>
  <si>
    <t>anishamandal98@gmail.com</t>
  </si>
  <si>
    <t>pay_HDzI2EYAYekip1</t>
  </si>
  <si>
    <t>pay_HE3tpgakGGPDcL</t>
  </si>
  <si>
    <t>pay_HE3v2O66G8q87G</t>
  </si>
  <si>
    <t>pay_HE45DFiIJEAS1u</t>
  </si>
  <si>
    <t>pay_HE45Kf3kpR6S0p</t>
  </si>
  <si>
    <t>7shirur@gmail.com</t>
  </si>
  <si>
    <t>pay_HE46l0WdxUemiW</t>
  </si>
  <si>
    <t>pay_HE493TXFZ1deun</t>
  </si>
  <si>
    <t>pay_HE498i2a0b5u3Q</t>
  </si>
  <si>
    <t>pay_HE4DhrvZ880Ye6</t>
  </si>
  <si>
    <t>pay_HE4EmG9D6k71CD</t>
  </si>
  <si>
    <t>pay_HE4PmXzW80uKGL</t>
  </si>
  <si>
    <t>pay_HE4RXI80U53czZ</t>
  </si>
  <si>
    <t>pay_HE4TOdNmBOv0ox</t>
  </si>
  <si>
    <t>pay_HE4j9pBCNtXhXv</t>
  </si>
  <si>
    <t>gangulymou99@gmail.com</t>
  </si>
  <si>
    <t>pay_HE4lJVZXZ6zfeA</t>
  </si>
  <si>
    <t>pay_HE4vvbHaeiIxdu</t>
  </si>
  <si>
    <t>pay_HE4y9VEDw2OD3w</t>
  </si>
  <si>
    <t>dharmendra.b@outlook.com</t>
  </si>
  <si>
    <t>pay_HE5b2SSpV6ohAA</t>
  </si>
  <si>
    <t>pay_HE5eFRLFdSc5RN</t>
  </si>
  <si>
    <t>pay_HE5fe21d6t9rdW</t>
  </si>
  <si>
    <t>pay_HE5gjPSCrEa53Z</t>
  </si>
  <si>
    <t>pay_HE5llJFiN2eXej</t>
  </si>
  <si>
    <t>pay_HE66jlvlqTLk6I</t>
  </si>
  <si>
    <t>pay_HE6aeN9TRWLQRn</t>
  </si>
  <si>
    <t>pay_HE6lvKXqjWBnZX</t>
  </si>
  <si>
    <t>pay_HE6lzxTKowDdGL</t>
  </si>
  <si>
    <t>pay_HE6rDEjXD1IRVs</t>
  </si>
  <si>
    <t>pay_HE6xcihhHLHNeZ</t>
  </si>
  <si>
    <t>pay_HE70LFXvqzNsPg</t>
  </si>
  <si>
    <t>pay_HE75LNZPECd4jS</t>
  </si>
  <si>
    <t>pay_HE7F6pBAXrIya1</t>
  </si>
  <si>
    <t>pay_HE7FIogVxNd8mn</t>
  </si>
  <si>
    <t>pay_HE7IRwH0xBkbWF</t>
  </si>
  <si>
    <t>pay_HE7JGKP0vftn6f</t>
  </si>
  <si>
    <t>pay_HE7KanhpKu1kbA</t>
  </si>
  <si>
    <t>pay_HE7dg4E9RBjWQi</t>
  </si>
  <si>
    <t>pay_HE7iOypswZo4nC</t>
  </si>
  <si>
    <t>pay_HE7tqZNsZKNK1N</t>
  </si>
  <si>
    <t>pay_HE8Fv528CRqDbb</t>
  </si>
  <si>
    <t>pay_HE8K0dMmFWaSJA</t>
  </si>
  <si>
    <t>shishupalbkhilery@gmail.com</t>
  </si>
  <si>
    <t>pay_HE8N1UEWPSHj9g</t>
  </si>
  <si>
    <t>pay_HE8PGr1NwRWvsz</t>
  </si>
  <si>
    <t>pay_HE8RGctNjeSL60</t>
  </si>
  <si>
    <t>pay_HE8bgbgDyv2xve</t>
  </si>
  <si>
    <t>pay_HE8flKri7NGRz7</t>
  </si>
  <si>
    <t>luckymk3411@gmail.com</t>
  </si>
  <si>
    <t>pay_HE8mlROiFRcfCG</t>
  </si>
  <si>
    <t>divya.jaykumar3@gmail.com</t>
  </si>
  <si>
    <t>pay_HE8qjUdyoqzFW1</t>
  </si>
  <si>
    <t>pay_HE8r1WxmbFgDP0</t>
  </si>
  <si>
    <t>pay_HE8wFwdLawKMdt</t>
  </si>
  <si>
    <t>pay_HE8y9ThORrss18</t>
  </si>
  <si>
    <t>pay_HE8yD5fOiIC540</t>
  </si>
  <si>
    <t>pay_HE95E0ciKQFyZv</t>
  </si>
  <si>
    <t>balajitaxations@gmail.com</t>
  </si>
  <si>
    <t>pay_HE9AX1ooMSu8NV</t>
  </si>
  <si>
    <t>pay_HE9Ez8a7tgTlc5</t>
  </si>
  <si>
    <t>pay_HE9rhppYLWMKwm</t>
  </si>
  <si>
    <t>pay_HEA95upMTOZbL0</t>
  </si>
  <si>
    <t>amritkaurgill999@gmail.com</t>
  </si>
  <si>
    <t>pay_HEAOoyfonIelni</t>
  </si>
  <si>
    <t>pay_HEARbfbB1NDLIv</t>
  </si>
  <si>
    <t>pay_HEAdFZI3n6DWMO</t>
  </si>
  <si>
    <t>pay_HEAea8DzoCZTPS</t>
  </si>
  <si>
    <t>pay_HEAizRrH4489aG</t>
  </si>
  <si>
    <t>ranjithapathak@gmail.com</t>
  </si>
  <si>
    <t>pay_HEAmf2bkOZoQda</t>
  </si>
  <si>
    <t>pay_HEAmgbLmgkVv9e</t>
  </si>
  <si>
    <t>pay_HEBAd3ALXdK3Zw</t>
  </si>
  <si>
    <t>pay_HEBRJwWvlygcq4</t>
  </si>
  <si>
    <t>ayush.arora2401@gmail.com</t>
  </si>
  <si>
    <t>pay_HEBUnu1uJJqdcB</t>
  </si>
  <si>
    <t>pay_HEBmx9KNFfpQ3E</t>
  </si>
  <si>
    <t>pay_HEBnw1tNthCsCn</t>
  </si>
  <si>
    <t>pay_HEBpl7bUyN8rcT</t>
  </si>
  <si>
    <t>pay_HEBrQhVSZlKaiT</t>
  </si>
  <si>
    <t>pay_HEBt2LUUVKpqDh</t>
  </si>
  <si>
    <t>pay_HEC4tMImSH0aHv</t>
  </si>
  <si>
    <t>pay_HECKDCsmHgEAfa</t>
  </si>
  <si>
    <t>pay_HECTRQxWCVq7C1</t>
  </si>
  <si>
    <t>pay_HECpYFZSxgIf2C</t>
  </si>
  <si>
    <t>guptasampurna@gmail.com</t>
  </si>
  <si>
    <t>pay_HECrE3LTQZ1dfj</t>
  </si>
  <si>
    <t>pay_HEDe5AO2dZWrfj</t>
  </si>
  <si>
    <t>pay_HEDeScxyDFXLGG</t>
  </si>
  <si>
    <t>pay_HEDerGQgedNB1P</t>
  </si>
  <si>
    <t>pay_HEDnMKbKFl8Pm5</t>
  </si>
  <si>
    <t>pay_HEDviBb92OjvIZ</t>
  </si>
  <si>
    <t>pay_HEEH7vzZAaWWRQ</t>
  </si>
  <si>
    <t>pay_HEEWas4mhp3BWV</t>
  </si>
  <si>
    <t>pay_HEEXo9zCK2r1Ij</t>
  </si>
  <si>
    <t>pay_HEEcAg2pxDwbk1</t>
  </si>
  <si>
    <t>pay_HEFMiKsMdytVzk</t>
  </si>
  <si>
    <t>pay_HEFVIxyts5Rx6d</t>
  </si>
  <si>
    <t>pay_HEFgkVgr1DrdAk</t>
  </si>
  <si>
    <t>pay_HEFiHVyt5AsxXP</t>
  </si>
  <si>
    <t>pay_HEFmghBtfh3CHQ</t>
  </si>
  <si>
    <t>pay_HEFn3u2B5ETYCP</t>
  </si>
  <si>
    <t>pay_HEFxj1pK40AkTn</t>
  </si>
  <si>
    <t>bhargavpansuriya1912@gmail.com</t>
  </si>
  <si>
    <t>pay_HEGNaMgxR4MNKO</t>
  </si>
  <si>
    <t>pay_HEGOZNNgIDVKIL</t>
  </si>
  <si>
    <t>pay_HEGWamvnYCCRR1</t>
  </si>
  <si>
    <t>swarnimasajwan6@gmail.com</t>
  </si>
  <si>
    <t>pay_HEGhnxw4bOtepv</t>
  </si>
  <si>
    <t>pay_HEGjVawxb9dHyd</t>
  </si>
  <si>
    <t>pay_HEGnAmVtj5ZTOb</t>
  </si>
  <si>
    <t>pay_HEH4xUldIjJn4d</t>
  </si>
  <si>
    <t>pay_HEHApMI4DXfgGO</t>
  </si>
  <si>
    <t>pay_HEHDqDWJeWwNXe</t>
  </si>
  <si>
    <t>raireshma@gmail.com</t>
  </si>
  <si>
    <t>pay_HEHE24p1i8Pu0B</t>
  </si>
  <si>
    <t>pay_HEHG5As2eQySO3</t>
  </si>
  <si>
    <t>pay_HEHQYpPxiG9Z8H</t>
  </si>
  <si>
    <t>pay_HEHSTfTftSth2K</t>
  </si>
  <si>
    <t>pay_HEHXBlUdF2HV3Z</t>
  </si>
  <si>
    <t>pay_HEHhy54iccuvWQ</t>
  </si>
  <si>
    <t>pay_HEI0ejPzDWhOid</t>
  </si>
  <si>
    <t>pay_HEI2aHt573GG3W</t>
  </si>
  <si>
    <t>vikasprsd99@gmail.com</t>
  </si>
  <si>
    <t>pay_HEIRo3pQ6MW53x</t>
  </si>
  <si>
    <t>pay_HEIcFlHr7AOyAV</t>
  </si>
  <si>
    <t>pay_HEInOLL8oiLF3X</t>
  </si>
  <si>
    <t>pay_HEIqBX7iGbhoaQ</t>
  </si>
  <si>
    <t>pay_HEIu3tTNdKyIL5</t>
  </si>
  <si>
    <t>pay_HEIwfRImydD7cK</t>
  </si>
  <si>
    <t>pay_HEJFfCm7RsVAvl</t>
  </si>
  <si>
    <t>pay_HEJNgEKbnneDYz</t>
  </si>
  <si>
    <t>pay_HEJUxB7EiytYb0</t>
  </si>
  <si>
    <t>pay_HEJZQnAd0EFFKU</t>
  </si>
  <si>
    <t>pay_HEJuHHxqqCIfrX</t>
  </si>
  <si>
    <t>pay_HEKXPjcpsAGwnf</t>
  </si>
  <si>
    <t>pay_HEKbvSq3vXH8MW</t>
  </si>
  <si>
    <t>pay_HEKrFzxFZaYWim</t>
  </si>
  <si>
    <t>pay_HEKtinRA5B6vnX</t>
  </si>
  <si>
    <t>pay_HEKu981cQa5toA</t>
  </si>
  <si>
    <t>pay_HEKxJ79zFgrcCz</t>
  </si>
  <si>
    <t>pay_HEKzDVoHVr3ciE</t>
  </si>
  <si>
    <t>pay_HELWBe7yChdtkB</t>
  </si>
  <si>
    <t>pay_HELWIl4FflDvQB</t>
  </si>
  <si>
    <t>pay_HELWXXpVj7ONlE</t>
  </si>
  <si>
    <t>pay_HELWfi4FXQSXOW</t>
  </si>
  <si>
    <t>pay_HELXrGQXJeWFUg</t>
  </si>
  <si>
    <t>pay_HEMGUMev1LMEeo</t>
  </si>
  <si>
    <t>pay_HEMKcdGTkHtGOw</t>
  </si>
  <si>
    <t>pay_HEMY2r8ngJ1W35</t>
  </si>
  <si>
    <t>tushveen.kaur@gmail.com</t>
  </si>
  <si>
    <t>pay_HEMkmMxrTciYaq</t>
  </si>
  <si>
    <t>pay_HEMlUCKQKzZ3kv</t>
  </si>
  <si>
    <t>pay_HENCGQ8UzMwU6c</t>
  </si>
  <si>
    <t>pay_HEOAsq7e6zAVcI</t>
  </si>
  <si>
    <t>trestsbarua@hotmail.com</t>
  </si>
  <si>
    <t>pay_HEPRlmTNSun8Q9</t>
  </si>
  <si>
    <t>pay_HERL5n40yWNkLe</t>
  </si>
  <si>
    <t>pay_HERtKE1mpm2RbU</t>
  </si>
  <si>
    <t>sahilgiroh0001@gmail.com</t>
  </si>
  <si>
    <t>pay_HESZe9L8tbwxUT</t>
  </si>
  <si>
    <t>pay_HESZhB9jk5XhOr</t>
  </si>
  <si>
    <t>ansilaraichel1997@gmail.com</t>
  </si>
  <si>
    <t>pay_HESpTzOA5X25L8</t>
  </si>
  <si>
    <t>pay_HEStdpo1DqUqIT</t>
  </si>
  <si>
    <t>pay_HESvy44GM9VR1s</t>
  </si>
  <si>
    <t>pay_HETCa1yNZFulGx</t>
  </si>
  <si>
    <t>pay_HETInGAHMkJCFW</t>
  </si>
  <si>
    <t>pay_HETLvCxXCCx3m9</t>
  </si>
  <si>
    <t>pay_HETNrphzQzYbXQ</t>
  </si>
  <si>
    <t>pay_HETTLvyYIWqQ46</t>
  </si>
  <si>
    <t>pay_HETXO49bOPaP15</t>
  </si>
  <si>
    <t>riabangera67@gmail.com</t>
  </si>
  <si>
    <t>pay_HETbQoARvMry3u</t>
  </si>
  <si>
    <t>jananianu10@gmail.com</t>
  </si>
  <si>
    <t>pay_HETcWwXym8XVgZ</t>
  </si>
  <si>
    <t>pay_HETdnJae9RnHD5</t>
  </si>
  <si>
    <t>pay_HETelhgsXYpZd3</t>
  </si>
  <si>
    <t>pay_HEThXkDEiN0i94</t>
  </si>
  <si>
    <t>pay_HETo1lsl86fPjT</t>
  </si>
  <si>
    <t>pay_HETuauYvfl9mXr</t>
  </si>
  <si>
    <t>pay_HETw6G5IiSfsBQ</t>
  </si>
  <si>
    <t>pay_HEU7x1nWTYUo0p</t>
  </si>
  <si>
    <t>pay_HEUDQOtFDKnxjt</t>
  </si>
  <si>
    <t>pay_HEUEfggRrlrnfc</t>
  </si>
  <si>
    <t>pay_HEUG1zDUiYuLSD</t>
  </si>
  <si>
    <t>pay_HEUGpLqYKDh39Y</t>
  </si>
  <si>
    <t>mlikhita178@gmail.com</t>
  </si>
  <si>
    <t>pay_HEUHqh0oGal7bS</t>
  </si>
  <si>
    <t>pay_HEUR2uDExZ0TaV</t>
  </si>
  <si>
    <t>pay_HEUSJkSpT1Ditf</t>
  </si>
  <si>
    <t>pay_HEUWC4TYeAlsM5</t>
  </si>
  <si>
    <t>rahulchandrakesh@gmail.com</t>
  </si>
  <si>
    <t>pay_HEUfmcUmLUHnOW</t>
  </si>
  <si>
    <t>dolavasani@gmail.com</t>
  </si>
  <si>
    <t>pay_HEUg5Zr9uQ4ny8</t>
  </si>
  <si>
    <t>sushiljaki2101@gmail.com</t>
  </si>
  <si>
    <t>pay_HEUpibol01NfXF</t>
  </si>
  <si>
    <t>pay_HEV0s9BGLOk26g</t>
  </si>
  <si>
    <t>pay_HEV7ypylDxYimh</t>
  </si>
  <si>
    <t>pay_HEVGsImRNCFEq1</t>
  </si>
  <si>
    <t>keerthih246@gmail.com</t>
  </si>
  <si>
    <t>pay_HEVONnwSY3z6OB</t>
  </si>
  <si>
    <t>pay_HEVPXsggw2ntx8</t>
  </si>
  <si>
    <t>pay_HEVvCXhL451Y3V</t>
  </si>
  <si>
    <t>pay_HEW5bzE3iwCjVc</t>
  </si>
  <si>
    <t>pay_HEWBiRhuBFJKbe</t>
  </si>
  <si>
    <t>pay_HEWV10ZMQS5Po9</t>
  </si>
  <si>
    <t>pay_HEWbV8UdwSAwtV</t>
  </si>
  <si>
    <t>pay_HEX1mQq07ksPqd</t>
  </si>
  <si>
    <t>pay_HEX813SamODFx8</t>
  </si>
  <si>
    <t>pay_HEX8CW2HdOo7mn</t>
  </si>
  <si>
    <t>pay_HEXBPcJ144OLNK</t>
  </si>
  <si>
    <t>pay_HEXDKCDfLYZ8kG</t>
  </si>
  <si>
    <t>pay_HEXRsy24IqcQpK</t>
  </si>
  <si>
    <t>pay_HEXRzJ8rJq5LDB</t>
  </si>
  <si>
    <t>pay_HEXuNyK5d2699S</t>
  </si>
  <si>
    <t>pay_HEXuZ65nuu23yS</t>
  </si>
  <si>
    <t>pay_HEY4fwUvAT6gG8</t>
  </si>
  <si>
    <t>pay_HEY5W4312E1Wuy</t>
  </si>
  <si>
    <t>pay_HEYPx9893XjPBQ</t>
  </si>
  <si>
    <t>prameelachalumoori2001@gmail.com</t>
  </si>
  <si>
    <t>pay_HEYj2I7ujtje1A</t>
  </si>
  <si>
    <t>pay_HEYnGCWRRGkWDf</t>
  </si>
  <si>
    <t>ruchi.punhani@gmail.com</t>
  </si>
  <si>
    <t>pay_HEYxA8bI2BI5U0</t>
  </si>
  <si>
    <t>pay_HEYxK75NHsjcXs</t>
  </si>
  <si>
    <t>pay_HEZ08IgGb55qLE</t>
  </si>
  <si>
    <t>vish.shekhar93@gmail.com</t>
  </si>
  <si>
    <t>pay_HEZHVYbsMmphHe</t>
  </si>
  <si>
    <t>pay_HEZXJCzsxzMWY0</t>
  </si>
  <si>
    <t>pay_HEZXsvxObSqRF5</t>
  </si>
  <si>
    <t>pay_HEZYTs9JGlD3Ft</t>
  </si>
  <si>
    <t>pay_HEZjMh0to1x5pJ</t>
  </si>
  <si>
    <t>pay_HEZlFJCNWVGKJk</t>
  </si>
  <si>
    <t>pay_HEa6ISd1z2I52o</t>
  </si>
  <si>
    <t>nukkadgirl@gmail.com</t>
  </si>
  <si>
    <t>pay_HEaJHUbIUWIa2x</t>
  </si>
  <si>
    <t>pay_HEaLX2u6r0c7WE</t>
  </si>
  <si>
    <t>pay_HEaZaDgwmuY0so</t>
  </si>
  <si>
    <t>pay_HEaf9GzMOf51cx</t>
  </si>
  <si>
    <t>pay_HEaifOAZKFhd1H</t>
  </si>
  <si>
    <t>pay_HEajIY3yD5Aogd</t>
  </si>
  <si>
    <t>pay_HEajeZtLBDxPRK</t>
  </si>
  <si>
    <t>pay_HEakSijSmMgHyH</t>
  </si>
  <si>
    <t>pay_HEazReIvWnSIuy</t>
  </si>
  <si>
    <t>pay_HEb1S3Ve7qZIBJ</t>
  </si>
  <si>
    <t>narayana245@gmail.com</t>
  </si>
  <si>
    <t>pay_HEb1yU56V6Kceb</t>
  </si>
  <si>
    <t>pay_HEbAb5ATP1rP1S</t>
  </si>
  <si>
    <t>anubhav.verma1615@gmail.com</t>
  </si>
  <si>
    <t>pay_HEbBcw0kd0DBO2</t>
  </si>
  <si>
    <t>pay_HEbDy0ljMEVE2c</t>
  </si>
  <si>
    <t>pay_HEbNhMWlhAtnjo</t>
  </si>
  <si>
    <t>pay_HEbRYik2Tk746m</t>
  </si>
  <si>
    <t>pay_HEbRnZttXh2IJO</t>
  </si>
  <si>
    <t>pay_HEbXds66Un2ekR</t>
  </si>
  <si>
    <t>pay_HEbij8JaV7WwiK</t>
  </si>
  <si>
    <t>pay_HEbpV5M1CuoQvc</t>
  </si>
  <si>
    <t>pay_HEbyDEnosMkwQ4</t>
  </si>
  <si>
    <t>choubeymansi1@gmail.com</t>
  </si>
  <si>
    <t>pay_HEc0i0vaMiY8EC</t>
  </si>
  <si>
    <t>pay_HEcD6vYG6lEIHv</t>
  </si>
  <si>
    <t>pay_HEcDPtUig1aFNB</t>
  </si>
  <si>
    <t>pay_HEcDXynf7hpejk</t>
  </si>
  <si>
    <t>pay_HEcE2oft7fpv91</t>
  </si>
  <si>
    <t>pay_HEcGT1wWEh37i7</t>
  </si>
  <si>
    <t>pay_HEcN3Ndf8aTXTA</t>
  </si>
  <si>
    <t>pay_HEcOb0LpIqh9Pa</t>
  </si>
  <si>
    <t>pay_HEcXsVa1FPtPx4</t>
  </si>
  <si>
    <t>teestabarua@hotmail.com</t>
  </si>
  <si>
    <t>pay_HEcbZcSnbAnFJK</t>
  </si>
  <si>
    <t>pay_HEcdRPj5Se2fgb</t>
  </si>
  <si>
    <t>pay_HEci4pBHdEMbJQ</t>
  </si>
  <si>
    <t>pay_HEclBR0SqCbDES</t>
  </si>
  <si>
    <t>pay_HEcma5znwi0yh7</t>
  </si>
  <si>
    <t>nimisha33333@gmail.com</t>
  </si>
  <si>
    <t>pay_HEcx9SHDgtolU5</t>
  </si>
  <si>
    <t>pay_HEd5p5w4H0tXSa</t>
  </si>
  <si>
    <t>pay_HEdB4oV3VuHRcq</t>
  </si>
  <si>
    <t>pay_HEdJtegiE2LBaO</t>
  </si>
  <si>
    <t>pay_HEdP32gU5tpXas</t>
  </si>
  <si>
    <t>pay_HEdROMK8ljPhV6</t>
  </si>
  <si>
    <t>pay_HEdUEARNDuvLs4</t>
  </si>
  <si>
    <t>pay_HEdXdW43RvXf0k</t>
  </si>
  <si>
    <t>chaubeysantosh8886@gmail.com</t>
  </si>
  <si>
    <t>pay_HEdYiE5hapj6Bx</t>
  </si>
  <si>
    <t>ajay4usr2@gmail.com</t>
  </si>
  <si>
    <t>pay_HEeBjs4BUBwAC9</t>
  </si>
  <si>
    <t>pay_HEeNDhNUUUqtOA</t>
  </si>
  <si>
    <t>pay_HEeXNxng5IYM2G</t>
  </si>
  <si>
    <t>pay_HEefVw6JSGugGi</t>
  </si>
  <si>
    <t>pay_HEekb3C0MHecWb</t>
  </si>
  <si>
    <t>pay_HEerhvpDr4Ra4u</t>
  </si>
  <si>
    <t>pay_HEesMztuvM6cJL</t>
  </si>
  <si>
    <t>pay_HEetv7HK1OdZJQ</t>
  </si>
  <si>
    <t>radskhandelwal394@gmail.com</t>
  </si>
  <si>
    <t>pay_HEeux7zJ0wVE5H</t>
  </si>
  <si>
    <t>shuklashreya380@gmail.com</t>
  </si>
  <si>
    <t>pay_HEevZoSK396oow</t>
  </si>
  <si>
    <t>pay_HEewjbSmsXOQby</t>
  </si>
  <si>
    <t>pay_HEexxYOr0asQO8</t>
  </si>
  <si>
    <t>pay_HEf08GQakXF7FR</t>
  </si>
  <si>
    <t>pay_HEf3KztNEnGsrq</t>
  </si>
  <si>
    <t>nitujoseph@zoho.com</t>
  </si>
  <si>
    <t>pay_HEf8dyt4ghakZ1</t>
  </si>
  <si>
    <t>nikitakalel121@gmail.com</t>
  </si>
  <si>
    <t>pay_HEf8znloNswPCY</t>
  </si>
  <si>
    <t>pay_HEfLz6CpDEh1Gg</t>
  </si>
  <si>
    <t>pay_HEfOGIlzrTbQ61</t>
  </si>
  <si>
    <t>pay_HEfYteNaIoYRXS</t>
  </si>
  <si>
    <t>mohammadvns14@gmail.com</t>
  </si>
  <si>
    <t>pay_HEfe2pfpER0het</t>
  </si>
  <si>
    <t>pay_HEfgBPfCkXIeFY</t>
  </si>
  <si>
    <t>pay_HEfirPgDeEek9X</t>
  </si>
  <si>
    <t>pay_HEfovtM87qXqwO</t>
  </si>
  <si>
    <t>pay_HEgGFM71r85wbe</t>
  </si>
  <si>
    <t>pay_HEgOklcw4pl1bZ</t>
  </si>
  <si>
    <t>pay_HEgYqkWPvd50zf</t>
  </si>
  <si>
    <t>pay_HEhFVJ52wZWQU5</t>
  </si>
  <si>
    <t>pay_HEhd0IEAmZTMau</t>
  </si>
  <si>
    <t>meenakshibhugra@gmail.com</t>
  </si>
  <si>
    <t>pay_HEhgXmBYsg7Iar</t>
  </si>
  <si>
    <t>pay_HEhkSx4W3busIx</t>
  </si>
  <si>
    <t>pay_HEhwAur0ZGqeDL</t>
  </si>
  <si>
    <t>pay_HEi1GtRvLKr3LX</t>
  </si>
  <si>
    <t>iprd12345@gmail.com</t>
  </si>
  <si>
    <t>pay_HEiHq1xax8ca7C</t>
  </si>
  <si>
    <t>pay_HEiQrY9CxG981a</t>
  </si>
  <si>
    <t>pay_HEiUtVAkHdGnv5</t>
  </si>
  <si>
    <t>djraina0121@outlook.com</t>
  </si>
  <si>
    <t>pay_HEibBzEADFptVK</t>
  </si>
  <si>
    <t>pay_HEizfECzn5gc9m</t>
  </si>
  <si>
    <t>pdethe0@gmail.com</t>
  </si>
  <si>
    <t>pay_HEjKsEOPv7VvCL</t>
  </si>
  <si>
    <t>pay_HEjOMOq48THFpO</t>
  </si>
  <si>
    <t>pay_HEjQy8l9MNGKKX</t>
  </si>
  <si>
    <t>pay_HEjSVpqO5QDAAV</t>
  </si>
  <si>
    <t>pay_HEjWjLNMKcoFdg</t>
  </si>
  <si>
    <t>pay_HEjbUbgh4VEDzN</t>
  </si>
  <si>
    <t>pay_HEje1fyew7MUgg</t>
  </si>
  <si>
    <t>amrutapatil.jagtap@gmail.com</t>
  </si>
  <si>
    <t>pay_HEjwCZeTfCSbRh</t>
  </si>
  <si>
    <t>pay_HEkICQs7B7b4uw</t>
  </si>
  <si>
    <t>pay_HEkKLtUvLlPhkI</t>
  </si>
  <si>
    <t>pay_HEl8CAjwo2TbjK</t>
  </si>
  <si>
    <t>pay_HEpKt3n4g7QWRu</t>
  </si>
  <si>
    <t>khatrichaitali31@gmail.com</t>
  </si>
  <si>
    <t>pay_HEpqvCSXDQvvsf</t>
  </si>
  <si>
    <t>pay_HEptx4LJtZFDv0</t>
  </si>
  <si>
    <t>pay_HEq22feLg3IMDe</t>
  </si>
  <si>
    <t>pay_HEqPN6KWKiffEy</t>
  </si>
  <si>
    <t>pay_HEqRbjoyiVDyan</t>
  </si>
  <si>
    <t>pay_HEqS885K8UdWwV</t>
  </si>
  <si>
    <t>pay_HEqT3zAPekG4l1</t>
  </si>
  <si>
    <t>anannya010901@gmail.com</t>
  </si>
  <si>
    <t>pay_HEqld0ilOwpcrU</t>
  </si>
  <si>
    <t>pay_HEqnJfA2Ip3gjX</t>
  </si>
  <si>
    <t>pay_HEr4rqXUMyUIbw</t>
  </si>
  <si>
    <t>sunderprakashkaushik@gmail.com</t>
  </si>
  <si>
    <t>pay_HErBNV26llbGGB</t>
  </si>
  <si>
    <t>pay_HErHrzaItsDn09</t>
  </si>
  <si>
    <t>pay_HErMdfyxKUDYpJ</t>
  </si>
  <si>
    <t>pay_HErsdefNmAjAID</t>
  </si>
  <si>
    <t>pay_HEsqJCXKjSurvv</t>
  </si>
  <si>
    <t>pay_HEt9um1LwdC8Hs</t>
  </si>
  <si>
    <t>rajavinayagam18@gmail.com</t>
  </si>
  <si>
    <t>pay_HEtBpGdp6r1ikR</t>
  </si>
  <si>
    <t>pay_HEtLt6plgSXNQe</t>
  </si>
  <si>
    <t>pay_HEtMD3Vo73uxIs</t>
  </si>
  <si>
    <t>pay_HEtU40HsuYFfRN</t>
  </si>
  <si>
    <t>pay_HEtX92DdHmplTd</t>
  </si>
  <si>
    <t>mamgaisooraj@gmail.com</t>
  </si>
  <si>
    <t>pay_HEtZDOg1uTNEnz</t>
  </si>
  <si>
    <t>pay_HEtih0cNQGk3nd</t>
  </si>
  <si>
    <t>pay_HEtmECvTZyVq40</t>
  </si>
  <si>
    <t>vrmukt.91@gmail.com</t>
  </si>
  <si>
    <t>pay_HEtnaOEwdb1HOj</t>
  </si>
  <si>
    <t>dadas.com.sk@gmail.com</t>
  </si>
  <si>
    <t>pay_HEtuO5WcTOehF4</t>
  </si>
  <si>
    <t>gtushar1993@gmail.com</t>
  </si>
  <si>
    <t>pay_HEu7mh5n9mRHEz</t>
  </si>
  <si>
    <t>pay_HEu7rv3UZCdCKw</t>
  </si>
  <si>
    <t>pay_HEuMOYCOxbMw3w</t>
  </si>
  <si>
    <t>pay_HEuOrxldDra0Iw</t>
  </si>
  <si>
    <t>braghav5123@gmail.com</t>
  </si>
  <si>
    <t>pay_HEuS8ZCNCm4Knb</t>
  </si>
  <si>
    <t>pay_HEuTUCW852Knrj</t>
  </si>
  <si>
    <t>pay_HEufLKcxkGGEsM</t>
  </si>
  <si>
    <t>pay_HEureMtghR8CYT</t>
  </si>
  <si>
    <t>pay_HEuuvQtrlLtIZd</t>
  </si>
  <si>
    <t>pay_HEuvndmMnuMAsH</t>
  </si>
  <si>
    <t>pay_HEvGUb92rrcc33</t>
  </si>
  <si>
    <t>pay_HEvWifbhWHgZ3b</t>
  </si>
  <si>
    <t>pay_HEvYDrWxYkD6vL</t>
  </si>
  <si>
    <t>pay_HEvZB2dqzYNxh1</t>
  </si>
  <si>
    <t>john.candida@gmail.com</t>
  </si>
  <si>
    <t>pay_HEvld3Xm5B7luS</t>
  </si>
  <si>
    <t>pay_HEvmaSsTpZiyS1</t>
  </si>
  <si>
    <t>pay_HEvmrcWXoFzl2g</t>
  </si>
  <si>
    <t>pay_HEvq5FR1sS4G96</t>
  </si>
  <si>
    <t>pay_HEvuVbWkA2FrIy</t>
  </si>
  <si>
    <t>pay_HEwZZ17R448MQG</t>
  </si>
  <si>
    <t>pay_HEwZdspwTk656c</t>
  </si>
  <si>
    <t>pay_HEwe6Kaqem2J6Q</t>
  </si>
  <si>
    <t>pay_HEwhA4Ir2E1BF6</t>
  </si>
  <si>
    <t>pay_HEx8VfgRe18Rrm</t>
  </si>
  <si>
    <t>pay_HExIALenVJUutR</t>
  </si>
  <si>
    <t>pay_HExLl0IbSHPZ9B</t>
  </si>
  <si>
    <t>pay_HExNDYxRr6cFN5</t>
  </si>
  <si>
    <t>pay_HExNUKaD9AhFBC</t>
  </si>
  <si>
    <t>pay_HExOsNodV1TAaw</t>
  </si>
  <si>
    <t>pay_HExQVdTPsX7NSy</t>
  </si>
  <si>
    <t>nagasai5619@gmail.com</t>
  </si>
  <si>
    <t>pay_HExrjzLXgNmpi5</t>
  </si>
  <si>
    <t>pay_HExsEZoNyw7739</t>
  </si>
  <si>
    <t>pay_HEy436f4ZF1eMq</t>
  </si>
  <si>
    <t>pay_HEyNtMg57wXFcL</t>
  </si>
  <si>
    <t>pay_HEyWUu0P2vPCr5</t>
  </si>
  <si>
    <t>pay_HEyd9N3zbQ0THi</t>
  </si>
  <si>
    <t>pay_HEyhhLm9vYU2PP</t>
  </si>
  <si>
    <t>pay_HEz2eVw3G7bI0n</t>
  </si>
  <si>
    <t>pay_HEzLABskxCyosX</t>
  </si>
  <si>
    <t>pay_HEzT4r1zumiq7t</t>
  </si>
  <si>
    <t>pay_HEzVpuAkECmlDQ</t>
  </si>
  <si>
    <t>pay_HEzaqnUhmzYQHI</t>
  </si>
  <si>
    <t>pay_HEzeMnru9KmPjH</t>
  </si>
  <si>
    <t>pay_HF04M7tr6mqtYI</t>
  </si>
  <si>
    <t>bukyavenkatesh@gmail.com</t>
  </si>
  <si>
    <t>pay_HF0DEen538HUoO</t>
  </si>
  <si>
    <t>shaikhheena1314@gmail.com</t>
  </si>
  <si>
    <t>pay_HF0Fsl9FPmbW66</t>
  </si>
  <si>
    <t>pay_HF0TqOqwFxImrD</t>
  </si>
  <si>
    <t>pay_HF0iYfHEjEQ5Lc</t>
  </si>
  <si>
    <t>pay_HF0nDVQmisebZU</t>
  </si>
  <si>
    <t>pay_HF0ojjIw8u96aD</t>
  </si>
  <si>
    <t>pay_HF0sZAcVjy2sTq</t>
  </si>
  <si>
    <t>pay_HF0u1VW0xovN0G</t>
  </si>
  <si>
    <t>pay_HF1KDqSMjPfLaA</t>
  </si>
  <si>
    <t>pay_HF1fnufSRqwZL0</t>
  </si>
  <si>
    <t>pay_HF1odOgzOljNPi</t>
  </si>
  <si>
    <t>pay_HF1sEog8L1Z9t6</t>
  </si>
  <si>
    <t>pay_HF25XlpeVScng2</t>
  </si>
  <si>
    <t>pay_HF2JmSH4wM43S7</t>
  </si>
  <si>
    <t>pay_HF2SCOq7LftpeG</t>
  </si>
  <si>
    <t>pay_HF2oivAV24AmWp</t>
  </si>
  <si>
    <t>pay_HF2suZHHxHYiSw</t>
  </si>
  <si>
    <t>sammungikar@gmail.com</t>
  </si>
  <si>
    <t>pay_HF31kd1Uh1dL9Q</t>
  </si>
  <si>
    <t>pay_HF38j4PuYPy9E2</t>
  </si>
  <si>
    <t>pay_HF3JwZ9JrlBp3v</t>
  </si>
  <si>
    <t>pay_HF3WcHOqigFXKh</t>
  </si>
  <si>
    <t>pay_HF3dA07eHfQabl</t>
  </si>
  <si>
    <t>pay_HF3f6J31iNZ8eZ</t>
  </si>
  <si>
    <t>pay_HF3lEEJwmDcsTO</t>
  </si>
  <si>
    <t>pay_HF41j38UM5CcbJ</t>
  </si>
  <si>
    <t>pay_HF43KaZDfEGVMw</t>
  </si>
  <si>
    <t>pay_HF48OnPZj3afLH</t>
  </si>
  <si>
    <t>ayushijainn251200@gmail.com</t>
  </si>
  <si>
    <t>pay_HF4YdoubnCusQS</t>
  </si>
  <si>
    <t>praneethrajkanakam@gmail.com</t>
  </si>
  <si>
    <t>pay_HF4iTmOopjta2U</t>
  </si>
  <si>
    <t>pay_HF59ERyIRqB0vz</t>
  </si>
  <si>
    <t>pay_HF59Nf64Kd4D18</t>
  </si>
  <si>
    <t>pay_HF5CXSNE01sfGf</t>
  </si>
  <si>
    <t>pay_HF5F0oSSIYU4SR</t>
  </si>
  <si>
    <t>pay_HF5lnE9GiUzzvt</t>
  </si>
  <si>
    <t>pay_HF5mGhgqBP1q0H</t>
  </si>
  <si>
    <t>pay_HF5sSBrkGGIykc</t>
  </si>
  <si>
    <t>pay_HF5tS1fPAlmqH4</t>
  </si>
  <si>
    <t>pay_HF6FIigxozXWsa</t>
  </si>
  <si>
    <t>pay_HF6ORqbCEycgkF</t>
  </si>
  <si>
    <t>pay_HF6SpABDnDi15p</t>
  </si>
  <si>
    <t>pay_HF6af168a5ADtZ</t>
  </si>
  <si>
    <t>pay_HF72aAxHSCxjQf</t>
  </si>
  <si>
    <t>pay_HF77Q73m8RvqWD</t>
  </si>
  <si>
    <t>pay_HF7GlatpD1sQkS</t>
  </si>
  <si>
    <t>ajaysd21@gmail.com</t>
  </si>
  <si>
    <t>pay_HFBdPz8EOoOy24</t>
  </si>
  <si>
    <t>pay_HFC07Nnm4V1wF6</t>
  </si>
  <si>
    <t>pay_HFEB2kkTkoIWKq</t>
  </si>
  <si>
    <t>pay_HFEky5uLQ1FJhE</t>
  </si>
  <si>
    <t>pay_HFGH1FMFhCrESV</t>
  </si>
  <si>
    <t>pay_HFGSniWOe1TO5F</t>
  </si>
  <si>
    <t>kushagra192000@gmail.com</t>
  </si>
  <si>
    <t>pay_HFGWNCyCJSCDYu</t>
  </si>
  <si>
    <t>archanahchauhan.1998@gmail.com</t>
  </si>
  <si>
    <t>pay_HFGkoHVPURrJ1X</t>
  </si>
  <si>
    <t>pay_HFGmgx48G6GY1i</t>
  </si>
  <si>
    <t>pay_HFHRx3VuIddGSm</t>
  </si>
  <si>
    <t>pay_HFHYyskt6G0hkh</t>
  </si>
  <si>
    <t>pay_HFHZOf67LZrCv8</t>
  </si>
  <si>
    <t>vishvjeet270@gmail.com</t>
  </si>
  <si>
    <t>pay_HFHZYhJqslaC1L</t>
  </si>
  <si>
    <t>pay_HFHdsTDB6O825c</t>
  </si>
  <si>
    <t>ameerakunhi97@gmail.com</t>
  </si>
  <si>
    <t>pay_HFHjRIkE4aQglA</t>
  </si>
  <si>
    <t>pay_HFHqR1K4WfSW9O</t>
  </si>
  <si>
    <t>anagha.santosh.pathak@gmail.com</t>
  </si>
  <si>
    <t>pay_HFI6kFBQk2C4rh</t>
  </si>
  <si>
    <t>pay_HFIH5X302gpwa0</t>
  </si>
  <si>
    <t>pay_HFIKoIHLrBtu15</t>
  </si>
  <si>
    <t>pay_HFIgzWE4ClB9eQ</t>
  </si>
  <si>
    <t>pay_HFIxLjMhOneBSc</t>
  </si>
  <si>
    <t>pay_HFJQ1cS0DXanWM</t>
  </si>
  <si>
    <t>pay_HFJW8M5Z5CtyE9</t>
  </si>
  <si>
    <t>juhigoel18@gmail.com</t>
  </si>
  <si>
    <t>pay_HFJX6emHhiY2dl</t>
  </si>
  <si>
    <t>pay_HFJZ7Nccr9vZSS</t>
  </si>
  <si>
    <t>pay_HFJd8wuIrcSeeD</t>
  </si>
  <si>
    <t>pay_HFJdsvlR9FsgEh</t>
  </si>
  <si>
    <t>pay_HFJgEavuHDFwMz</t>
  </si>
  <si>
    <t>pay_HFJgginiobknQj</t>
  </si>
  <si>
    <t>pay_HFJhYTWzGutgvH</t>
  </si>
  <si>
    <t>pay_HFJhlSnyE9TETZ</t>
  </si>
  <si>
    <t>pay_HFJl5tV3xQWFXU</t>
  </si>
  <si>
    <t>pay_HFJlmEsmikeFWN</t>
  </si>
  <si>
    <t>pay_HFJo5Kpt1VJvme</t>
  </si>
  <si>
    <t>pay_HFJpdYMtajAjjL</t>
  </si>
  <si>
    <t>pay_HFJrdEbSeLp5Vo</t>
  </si>
  <si>
    <t>pay_HFJvajvfLwdUUD</t>
  </si>
  <si>
    <t>pay_HFJyPTOBw6YfG1</t>
  </si>
  <si>
    <t>pay_HFK0nSaTPB1G1F</t>
  </si>
  <si>
    <t>pay_HFK73Hr2cp6ORK</t>
  </si>
  <si>
    <t>pay_HFKc1pG7zigNrx</t>
  </si>
  <si>
    <t>pay_HFKewwp7Efh5J7</t>
  </si>
  <si>
    <t>pay_HFKpIfkUIKNTMU</t>
  </si>
  <si>
    <t>pay_HFKpiuFlOXdMeG</t>
  </si>
  <si>
    <t>pay_HFLCpBAhxaBhD8</t>
  </si>
  <si>
    <t>pay_HFLFQ8logie3lV</t>
  </si>
  <si>
    <t>pay_HFLGpa5MvlQILV</t>
  </si>
  <si>
    <t>pay_HFLQQotkTEv3R1</t>
  </si>
  <si>
    <t>sourabhbairagi796@gmail.com</t>
  </si>
  <si>
    <t>pay_HFLTHZ8EkVR5kr</t>
  </si>
  <si>
    <t>yazh1603@gmail.com</t>
  </si>
  <si>
    <t>pay_HFLjzpBxtsEqnG</t>
  </si>
  <si>
    <t>pay_HFLma2Vt3OJ4Vx</t>
  </si>
  <si>
    <t>pay_HFLnnJwebBtWNu</t>
  </si>
  <si>
    <t>christinachrish22@gmail.com</t>
  </si>
  <si>
    <t>pay_HFMSEu4W7ZCKdH</t>
  </si>
  <si>
    <t>pay_HFMg08qrLQvrg7</t>
  </si>
  <si>
    <t>prabhjyot.kaur.chd@gmail.com</t>
  </si>
  <si>
    <t>pay_HFMi7BoyXMbqTm</t>
  </si>
  <si>
    <t>sanamattoo1921@gmail.com</t>
  </si>
  <si>
    <t>pay_HFMqylfa7qo1PY</t>
  </si>
  <si>
    <t>divya.ravichandran@gmail.com</t>
  </si>
  <si>
    <t>pay_HFMsebIBFVCDWR</t>
  </si>
  <si>
    <t>pay_HFMsxVkhgaRoJX</t>
  </si>
  <si>
    <t>pay_HFMtnaE2hQMapw</t>
  </si>
  <si>
    <t>pay_HFMuXfjDZB8jNY</t>
  </si>
  <si>
    <t>blueskyybee00@gmail.com</t>
  </si>
  <si>
    <t>pay_HFMwSyRCCGBg2u</t>
  </si>
  <si>
    <t>pay_HFMxWAh5N0Xksy</t>
  </si>
  <si>
    <t>pay_HFN0GlxPK7qfL6</t>
  </si>
  <si>
    <t>pay_HFN0rKpOwBXlJv</t>
  </si>
  <si>
    <t>pay_HFN28Zp6aJlkgo</t>
  </si>
  <si>
    <t>pay_HFN39ayZ0x7eKn</t>
  </si>
  <si>
    <t>pay_HFN8D8Kjqng2Lp</t>
  </si>
  <si>
    <t>pay_HFNBOzq3CgNwIm</t>
  </si>
  <si>
    <t>pay_HFNBqzV21LkzDk</t>
  </si>
  <si>
    <t>pay_HFNFwEEqM3SWUz</t>
  </si>
  <si>
    <t>pay_HFNQClmsqD2Ly3</t>
  </si>
  <si>
    <t>tsnirupama@gmail.com</t>
  </si>
  <si>
    <t>pay_HFNqscYiSDMjgU</t>
  </si>
  <si>
    <t>pay_HFNtju5Y2NzgR3</t>
  </si>
  <si>
    <t>pavithra4mail@gmail.com</t>
  </si>
  <si>
    <t>pay_HFOCeDTin9xUw0</t>
  </si>
  <si>
    <t>pay_HFOFL2LHknCwqj</t>
  </si>
  <si>
    <t>pay_HFOGlku35vdQ80</t>
  </si>
  <si>
    <t>pay_HFOIR38rPRG5Rp</t>
  </si>
  <si>
    <t>pay_HFOSt3mrxUshWH</t>
  </si>
  <si>
    <t>pay_HFOWkvIygmOWsA</t>
  </si>
  <si>
    <t>pay_HFOkYj1E3PVRLR</t>
  </si>
  <si>
    <t>pay_HFPD86RyhqGqBe</t>
  </si>
  <si>
    <t>ankitagarud855@gmail.com</t>
  </si>
  <si>
    <t>pay_HFPNFJyveiYWww</t>
  </si>
  <si>
    <t>pay_HFPXSa05pMkXjg</t>
  </si>
  <si>
    <t>pay_HFPgJcu7neT3RS</t>
  </si>
  <si>
    <t>pay_HFPiEoB649s7EE</t>
  </si>
  <si>
    <t>rdasgov@gmail.com</t>
  </si>
  <si>
    <t>pay_HFPtUvznTzsYkE</t>
  </si>
  <si>
    <t>rpaularun@gmail.com</t>
  </si>
  <si>
    <t>pay_HFQ17yeCaFdglf</t>
  </si>
  <si>
    <t>pay_HFQ4EBNSdyhzTn</t>
  </si>
  <si>
    <t>smeeta.045@gmail.com</t>
  </si>
  <si>
    <t>pay_HFQ50HyIgMIRsi</t>
  </si>
  <si>
    <t>pay_HFQ5XUxD42k3Po</t>
  </si>
  <si>
    <t>pay_HFQ9OMpedwcTED</t>
  </si>
  <si>
    <t>pay_HFQ9eZS5FPltrX</t>
  </si>
  <si>
    <t>pay_HFQEZ0BImT6v89</t>
  </si>
  <si>
    <t>pay_HFQHLDyJzuNTST</t>
  </si>
  <si>
    <t>pay_HFQsS8fWBpPVO1</t>
  </si>
  <si>
    <t>pay_HFQunuJspib5Jz</t>
  </si>
  <si>
    <t>natasha.tiwari92@gmail.com</t>
  </si>
  <si>
    <t>pay_HFRKto1VVPPmvz</t>
  </si>
  <si>
    <t>pay_HFRLMX5tXT9rnB</t>
  </si>
  <si>
    <t>pay_HFRMB7ZZO5q7rS</t>
  </si>
  <si>
    <t>pay_HFRNYNyU4WrqYQ</t>
  </si>
  <si>
    <t>pay_HFRO2mb971wFia</t>
  </si>
  <si>
    <t>pay_HFRbSqHFb0fnLY</t>
  </si>
  <si>
    <t>badgujarx3335@gmail.com</t>
  </si>
  <si>
    <t>pay_HFRuRNvDc23UeY</t>
  </si>
  <si>
    <t>pay_HFS46BabPhcYbH</t>
  </si>
  <si>
    <t>pay_HFS4cwY5tA8usl</t>
  </si>
  <si>
    <t>pay_HFSRkNXfRLlcuQ</t>
  </si>
  <si>
    <t>chandrahas.nayak83@gmail.com</t>
  </si>
  <si>
    <t>pay_HFSbCMI8V4519A</t>
  </si>
  <si>
    <t>pay_HFSch9kkKB4oK9</t>
  </si>
  <si>
    <t>pay_HFSwz7CZWHeBU6</t>
  </si>
  <si>
    <t>pay_HFTH8uj0hy7UAa</t>
  </si>
  <si>
    <t>pay_HFTMpuKWSStDSr</t>
  </si>
  <si>
    <t>pay_HFTXNsvKvMKqio</t>
  </si>
  <si>
    <t>pay_HFTYVQTaoLTgJo</t>
  </si>
  <si>
    <t>pay_HFTgxV6viKwbOG</t>
  </si>
  <si>
    <t>devivedha326@gmail.com</t>
  </si>
  <si>
    <t>pay_HFUACh1NgAZ0BV</t>
  </si>
  <si>
    <t>pay_HFUCCkz1YtJLvN</t>
  </si>
  <si>
    <t>pay_HFUJuZkW2o5BdQ</t>
  </si>
  <si>
    <t>pay_HFUS5ie5OWKmdv</t>
  </si>
  <si>
    <t>pay_HFUkvF8lB06tbN</t>
  </si>
  <si>
    <t>pay_HFUobr1kpOxwxa</t>
  </si>
  <si>
    <t>pay_HFV0brafOhzD07</t>
  </si>
  <si>
    <t>yuneshchettri@gmail.com</t>
  </si>
  <si>
    <t>pay_HFV2zpLBtGNSew</t>
  </si>
  <si>
    <t>pay_HFV4nL11ZiAL8M</t>
  </si>
  <si>
    <t>a@gmail.com</t>
  </si>
  <si>
    <t>pay_HFVBxMqdxIZOCB</t>
  </si>
  <si>
    <t>pay_HFVCHn6VyHu1lZ</t>
  </si>
  <si>
    <t>pay_HFVCoVdcBXf0FA</t>
  </si>
  <si>
    <t>solomonkodidala@gmail.com</t>
  </si>
  <si>
    <t>pay_HFVGFAcb0esYqP</t>
  </si>
  <si>
    <t>pay_HFVMEaIaZqc1Ao</t>
  </si>
  <si>
    <t>sarahbiblion@gmail.com</t>
  </si>
  <si>
    <t>pay_HFVcsd3YlFvcCC</t>
  </si>
  <si>
    <t>littlebobo2015@gmail.com</t>
  </si>
  <si>
    <t>pay_HFVel7Qx7NVxje</t>
  </si>
  <si>
    <t>pay_HFViqgpZkFcujm</t>
  </si>
  <si>
    <t>padmavathi94487@gmail.com</t>
  </si>
  <si>
    <t>pay_HFVj0rAxcVZusw</t>
  </si>
  <si>
    <t>padmagowda443@gmail.com</t>
  </si>
  <si>
    <t>pay_HFVlORGNBJU842</t>
  </si>
  <si>
    <t>pay_HFVmZWlv6nGoMM</t>
  </si>
  <si>
    <t>pay_HFVnLSyVaX4vIe</t>
  </si>
  <si>
    <t>pay_HFVx3DIENpJQ7E</t>
  </si>
  <si>
    <t>pay_HFW0CLsnvQMc9K</t>
  </si>
  <si>
    <t>pay_HFW3QwA6m0EuGs</t>
  </si>
  <si>
    <t>pay_HFW8s6eFAZI4gQ</t>
  </si>
  <si>
    <t>pay_HFWIZPHSu8hHAK</t>
  </si>
  <si>
    <t>pay_HFWKJ38hMM06i4</t>
  </si>
  <si>
    <t>pay_HFWekyuypP8CLK</t>
  </si>
  <si>
    <t>tauhid.co7786@gmail.com</t>
  </si>
  <si>
    <t>pay_HFWhWPrsn6u9MN</t>
  </si>
  <si>
    <t>pay_HFX1l7WbKPh5DB</t>
  </si>
  <si>
    <t>pay_HFXqgZxCHqIgh1</t>
  </si>
  <si>
    <t>pay_HFXrUWTXiFbR9v</t>
  </si>
  <si>
    <t>pay_HFXs8n9NaYiOC2</t>
  </si>
  <si>
    <t>13mehul01@gmail.com</t>
  </si>
  <si>
    <t>pay_HFXxsEDzwlStks</t>
  </si>
  <si>
    <t>pay_HFYQBRok5iWY0D</t>
  </si>
  <si>
    <t>vidushigupta997@gmail.com</t>
  </si>
  <si>
    <t>pay_HFZRJvPIOHwN4r</t>
  </si>
  <si>
    <t>pay_HFZVXcVJcpd2Jv</t>
  </si>
  <si>
    <t>pay_HFZmTRAoEVhHle</t>
  </si>
  <si>
    <t>pay_HFcFQItl7jOL1M</t>
  </si>
  <si>
    <t>pay_HFeaXfJzM4DMXx</t>
  </si>
  <si>
    <t>pay_HFegmIoyTVS2eu</t>
  </si>
  <si>
    <t>pay_HFewpO44xSpeGo</t>
  </si>
  <si>
    <t>pay_HFfKdjP00gR5fb</t>
  </si>
  <si>
    <t>pay_HFfM9xZ9lE1JxC</t>
  </si>
  <si>
    <t>pay_HFfOdD7DsFptvO</t>
  </si>
  <si>
    <t>pay_HFfRVASD5MkZc2</t>
  </si>
  <si>
    <t>pay_HFfSzFntPiZZsO</t>
  </si>
  <si>
    <t>rajamaharana4011@gmail.com</t>
  </si>
  <si>
    <t>pay_HFfTwgaSYdqb4j</t>
  </si>
  <si>
    <t>pay_HFfgfmtcy5FeF1</t>
  </si>
  <si>
    <t>pay_HFfoQRVXuUuLcq</t>
  </si>
  <si>
    <t>mohangcebe@gmail.com</t>
  </si>
  <si>
    <t>pay_HFg7hCaxJrFdUB</t>
  </si>
  <si>
    <t>pay_HFg9NW5kPmOG3U</t>
  </si>
  <si>
    <t>pay_HFgPARZYh3RHlQ</t>
  </si>
  <si>
    <t>pay_HFgYzcyFEQOeNq</t>
  </si>
  <si>
    <t>pay_HFgoaTyKkqoafQ</t>
  </si>
  <si>
    <t>pay_HFh3ELiiiAGVcT</t>
  </si>
  <si>
    <t>s_gayu@yahoo.com</t>
  </si>
  <si>
    <t>pay_HFhR1pbpyWBMhT</t>
  </si>
  <si>
    <t>diveshnarwani821@gmail.com</t>
  </si>
  <si>
    <t>pay_HFhWCjyS0GbhH2</t>
  </si>
  <si>
    <t>pay_HFhjNgcQPpGi4r</t>
  </si>
  <si>
    <t>pay_HFhkjrZnjxFtxG</t>
  </si>
  <si>
    <t>pay_HFhmbPfJkjpjhe</t>
  </si>
  <si>
    <t>pay_HFiDVtJU3w4sqA</t>
  </si>
  <si>
    <t>pay_HFiGaedmmQBPe0</t>
  </si>
  <si>
    <t>pay_HFiJ2hABANaghD</t>
  </si>
  <si>
    <t>pay_HFiJu6N1ViZPw4</t>
  </si>
  <si>
    <t>pay_HFiK8QGXZDzWJq</t>
  </si>
  <si>
    <t>pay_HFiLA5cWni4s3c</t>
  </si>
  <si>
    <t>sharikiran409@gmail.com</t>
  </si>
  <si>
    <t>pay_HFiWFPIHR9fWtL</t>
  </si>
  <si>
    <t>bhatrifat018@gmail.com</t>
  </si>
  <si>
    <t>pay_HFiaO1pAtGVbya</t>
  </si>
  <si>
    <t>pay_HFioM6U1KbODqq</t>
  </si>
  <si>
    <t>pay_HFiuN0mX1gFqKX</t>
  </si>
  <si>
    <t>pay_HFixAQg9B49FlI</t>
  </si>
  <si>
    <t>pay_HFiyEbEShf1ddH</t>
  </si>
  <si>
    <t>pay_HFj0ujqLyOan0Q</t>
  </si>
  <si>
    <t>moulidella0@gmail.com</t>
  </si>
  <si>
    <t>pay_HFk7lZ8OjzE8Qk</t>
  </si>
  <si>
    <t>pay_HFkoYR4II5KjsU</t>
  </si>
  <si>
    <t>pay_HFkzeh2dNBGBAx</t>
  </si>
  <si>
    <t>pay_HFl2j9AELUimfq</t>
  </si>
  <si>
    <t>pay_HFlTtvMPdgPrQk</t>
  </si>
  <si>
    <t>pay_HFlk4rHmPlgS9z</t>
  </si>
  <si>
    <t>dcbs13sinranbajaj@gmail.com</t>
  </si>
  <si>
    <t>pay_HFm86ekU4FxvOD</t>
  </si>
  <si>
    <t>pay_HFmOqtsTQkrSdG</t>
  </si>
  <si>
    <t>pay_HFmScc7VFTh8aI</t>
  </si>
  <si>
    <t>pay_HFmSlkmVzB9qnn</t>
  </si>
  <si>
    <t>pay_HFmjrmNE0GVJjh</t>
  </si>
  <si>
    <t>pay_HFmlt4MmQS3jhs</t>
  </si>
  <si>
    <t>pay_HFmqCAJVgNHux0</t>
  </si>
  <si>
    <t>pay_HFn4RAd2q65vWB</t>
  </si>
  <si>
    <t>pay_HFnOw0vpK4Anvm</t>
  </si>
  <si>
    <t>pay_HFnPvB0OCLCFRa</t>
  </si>
  <si>
    <t>pay_HFnRrOmhaPSivp</t>
  </si>
  <si>
    <t>pay_HFoDSfoXcdGjTx</t>
  </si>
  <si>
    <t>samiraqureshi060@gmail.com</t>
  </si>
  <si>
    <t>pay_HFoHDtF9ujWOJb</t>
  </si>
  <si>
    <t>pay_HFoScG5UTUYKuT</t>
  </si>
  <si>
    <t>kpraneethin007@gmail.com</t>
  </si>
  <si>
    <t>pay_HFoVd81LcS3O3f</t>
  </si>
  <si>
    <t>pay_HFoWNmgXhHt4JJ</t>
  </si>
  <si>
    <t>vartikaazad@gmail.com</t>
  </si>
  <si>
    <t>pay_HFp8yYG8KaO4Y5</t>
  </si>
  <si>
    <t>pay_HFpTdHWzt4e2gK</t>
  </si>
  <si>
    <t>mohsmmedosmanansari@gmail.com</t>
  </si>
  <si>
    <t>pay_HFpXUVNDyMi5df</t>
  </si>
  <si>
    <t>pay_HFppggyOgrrnvE</t>
  </si>
  <si>
    <t>manoj.muttamsetty@gmail.com</t>
  </si>
  <si>
    <t>pay_HFpvTCaOIQX2J9</t>
  </si>
  <si>
    <t>pay_HFq8115RXDeRD5</t>
  </si>
  <si>
    <t>pay_HFq96ZwMsfr6xS</t>
  </si>
  <si>
    <t>amalrohitha707@gmail.com</t>
  </si>
  <si>
    <t>pay_HFqdqbxhe0QnH1</t>
  </si>
  <si>
    <t>pay_HFqfFAJx1gkZgb</t>
  </si>
  <si>
    <t>pay_HFqqXxtj9Iie8H</t>
  </si>
  <si>
    <t>pay_HFqrOiVUsz6ndm</t>
  </si>
  <si>
    <t>johnsonjohnpter805@gmail.com</t>
  </si>
  <si>
    <t>pay_HFquRilKxNDTRu</t>
  </si>
  <si>
    <t>pay_HFqzNegCwhSJTk</t>
  </si>
  <si>
    <t>pay_HFr16rSBOWbsnm</t>
  </si>
  <si>
    <t>pay_HFr8QAQKVASepn</t>
  </si>
  <si>
    <t>pay_HFrSufYshpsII2</t>
  </si>
  <si>
    <t>pay_HFrUCuXh51R0dG</t>
  </si>
  <si>
    <t>pay_HFrWFRUSkag8AI</t>
  </si>
  <si>
    <t>pay_HFs0wLQ3LdHOhj</t>
  </si>
  <si>
    <t>prashant1papa@gmail.com</t>
  </si>
  <si>
    <t>pay_HFsG5Ijrpi5jfm</t>
  </si>
  <si>
    <t>sharadbhola1234@gmail.com</t>
  </si>
  <si>
    <t>pay_HFsgQYVUriUEgM</t>
  </si>
  <si>
    <t>pay_HFswrIByC24bHS</t>
  </si>
  <si>
    <t>pay_HFsyVDEMeie1Ic</t>
  </si>
  <si>
    <t>pay_HFszTkwGwrv5aU</t>
  </si>
  <si>
    <t>pay_HFt0aA44Z95gOu</t>
  </si>
  <si>
    <t>pay_HFt5xCcIP8bQpK</t>
  </si>
  <si>
    <t>pay_HFt5zx5nTNfzBI</t>
  </si>
  <si>
    <t>pay_HFt6Q2pQf4SZCH</t>
  </si>
  <si>
    <t>pay_HFt8RMvpseb3aU</t>
  </si>
  <si>
    <t>pay_HFtfSZxpdg9Fny</t>
  </si>
  <si>
    <t>pay_HFtnCnXvBSLtsS</t>
  </si>
  <si>
    <t>ahmadjavad19@gmail.com</t>
  </si>
  <si>
    <t>pay_HFtu3jXvKM6lkq</t>
  </si>
  <si>
    <t>pay_HFtur2ZF2SvYbf</t>
  </si>
  <si>
    <t>pay_HFtuxaIxecM7oh</t>
  </si>
  <si>
    <t>pay_HFtvT8S8m59hJ9</t>
  </si>
  <si>
    <t>pay_HFtvwvCmzEkwwT</t>
  </si>
  <si>
    <t>pay_HFtvxIJAcJnuCU</t>
  </si>
  <si>
    <t>pay_HFtzlF49nDJFfz</t>
  </si>
  <si>
    <t>pay_HFuIsJ9vYLNh0l</t>
  </si>
  <si>
    <t>pay_HFv1swBBYJzm8p</t>
  </si>
  <si>
    <t>bid.prabhat@gmail.com</t>
  </si>
  <si>
    <t>pay_HFvcvkR4YVDksi</t>
  </si>
  <si>
    <t>pay_HFvgJ7DZVFEyiu</t>
  </si>
  <si>
    <t>jyoti.singh94@yahoo.com</t>
  </si>
  <si>
    <t>pay_HFvnWztcda4oi0</t>
  </si>
  <si>
    <t>pay_HFvnu2hVCkmZt1</t>
  </si>
  <si>
    <t>pay_HFwUqvbmqlvw2e</t>
  </si>
  <si>
    <t>prabhjot.kaur.arora@gmail.com</t>
  </si>
  <si>
    <t>pay_HFxJzrbQb793qk</t>
  </si>
  <si>
    <t>pay_HFyPNnz73WT2PR</t>
  </si>
  <si>
    <t>pay_HFz773rCt6JFWT</t>
  </si>
  <si>
    <t>pay_HFzdJgIHKX01f4</t>
  </si>
  <si>
    <t>pay_HG0jxIrMs8AVAN</t>
  </si>
  <si>
    <t>pay_HG0kdKseFm3I8p</t>
  </si>
  <si>
    <t>pay_HG29LZSI1qLrkx</t>
  </si>
  <si>
    <t>pay_HG2dlDRb9CHyig</t>
  </si>
  <si>
    <t>pay_HG3BkdtcDnAuKc</t>
  </si>
  <si>
    <t>pay_HG3G9GFTgNT55H</t>
  </si>
  <si>
    <t>pay_HG3PdOgc6xqwCm</t>
  </si>
  <si>
    <t>pay_HG3b52hQD0xx0z</t>
  </si>
  <si>
    <t>namita4580@gmail.com</t>
  </si>
  <si>
    <t>pay_HG3f3S8U3CpS20</t>
  </si>
  <si>
    <t>pay_HG3gSz1coKvbKZ</t>
  </si>
  <si>
    <t>pay_HG3ijSIHyz46LW</t>
  </si>
  <si>
    <t>pay_HG3jcGPSFDXCGw</t>
  </si>
  <si>
    <t>pay_HG4VLLNHxXNeW8</t>
  </si>
  <si>
    <t>callmeronit07@gmail.com</t>
  </si>
  <si>
    <t>pay_HG4i71G3iM6p61</t>
  </si>
  <si>
    <t>sanggeetasood@gmail.com</t>
  </si>
  <si>
    <t>pay_HG4nEtFfWB3t3N</t>
  </si>
  <si>
    <t>pay_HG4oQIKrOxQQpe</t>
  </si>
  <si>
    <t>pay_HG4spmwZrOQVTt</t>
  </si>
  <si>
    <t>sangeeta.chauhan1506@gmail.com</t>
  </si>
  <si>
    <t>pay_HG4wOjMl8yiqgM</t>
  </si>
  <si>
    <t>pay_HG5CYB6bGM0VWj</t>
  </si>
  <si>
    <t>pay_HG5aZFDDpZQ9DI</t>
  </si>
  <si>
    <t>pay_HG5hsMIj5U1M0S</t>
  </si>
  <si>
    <t>pay_HG5iNUtIFUPgEQ</t>
  </si>
  <si>
    <t>pay_HG6CJvenUUxWHp</t>
  </si>
  <si>
    <t>mullaisuba56@gmail.com</t>
  </si>
  <si>
    <t>pay_HG6F6odUQKHLBu</t>
  </si>
  <si>
    <t>pay_HG6FSwNtbpsQAY</t>
  </si>
  <si>
    <t>pay_HG6UrY3twRudvD</t>
  </si>
  <si>
    <t>pay_HG6Vn7kAJ8dJkR</t>
  </si>
  <si>
    <t>pay_HG6lKY2uLkBism</t>
  </si>
  <si>
    <t>vsinghthakur2510@hotmail.com</t>
  </si>
  <si>
    <t>pay_HG7K84gJ7xCkV2</t>
  </si>
  <si>
    <t>pay_HG7O40n8ZjdIFw</t>
  </si>
  <si>
    <t>pay_HG7adC5rInbpqd</t>
  </si>
  <si>
    <t>pay_HG7cn1sSl3Ykmk</t>
  </si>
  <si>
    <t>pay_HG7m79RCQeUP10</t>
  </si>
  <si>
    <t>pay_HG7sdUfX5wQCUj</t>
  </si>
  <si>
    <t>pay_HG7tEmYc14EwKX</t>
  </si>
  <si>
    <t>user12nain@gmail.com</t>
  </si>
  <si>
    <t>pay_HG7vKYMjtM3wRc</t>
  </si>
  <si>
    <t>pay_HG7wdpgLNgeNgs</t>
  </si>
  <si>
    <t>kunalharshiit@gmail.com</t>
  </si>
  <si>
    <t>pay_HG7x9gPi9eouBy</t>
  </si>
  <si>
    <t>pay_HG84zeB068yB26</t>
  </si>
  <si>
    <t>pay_HG8NHlCJqveJr3</t>
  </si>
  <si>
    <t>pay_HG8bf2P76RLkQS</t>
  </si>
  <si>
    <t>pay_HG8bwKjZinm3ci</t>
  </si>
  <si>
    <t>pay_HG8ixTNDo1NNjx</t>
  </si>
  <si>
    <t>pay_HG8k22oiJ5tNIN</t>
  </si>
  <si>
    <t>pay_HG8tuJTwjvYZBZ</t>
  </si>
  <si>
    <t>pavuthramano14@gmail.com</t>
  </si>
  <si>
    <t>pay_HG98fnimXGVsl3</t>
  </si>
  <si>
    <t>pay_HG9Af4W0w1Tewt</t>
  </si>
  <si>
    <t>pay_HG9CqjXPg2zjuK</t>
  </si>
  <si>
    <t>pay_HG9GCt31CTVRrF</t>
  </si>
  <si>
    <t>pay_HG9HagSv6UJxpg</t>
  </si>
  <si>
    <t>pay_HG9Har2A3QQ0DK</t>
  </si>
  <si>
    <t>bhumikagpatil@gmail.com</t>
  </si>
  <si>
    <t>pay_HG9Om7UrCOClAD</t>
  </si>
  <si>
    <t>pay_HG9U2MvruUm3Mw</t>
  </si>
  <si>
    <t>pay_HG9VjssZAXjSHU</t>
  </si>
  <si>
    <t>pay_HG9h8t0NlAnmjz</t>
  </si>
  <si>
    <t>pay_HG9uAGmp9BouAX</t>
  </si>
  <si>
    <t>pay_HG9wRSVtI7orpc</t>
  </si>
  <si>
    <t>gousebablu94@gmail.com</t>
  </si>
  <si>
    <t>pay_HGA25FMuBCTMJ0</t>
  </si>
  <si>
    <t>pay_HGAHGXLPvgneTY</t>
  </si>
  <si>
    <t>pay_HGAMy602r0mJoN</t>
  </si>
  <si>
    <t>pay_HGAdNd0MPXRE18</t>
  </si>
  <si>
    <t>anjulatacharan@gmail.com</t>
  </si>
  <si>
    <t>pay_HGAmaP4NRQbp2b</t>
  </si>
  <si>
    <t>pay_HGB9rTcL0aLACT</t>
  </si>
  <si>
    <t>princrsandhu78@gmail.com</t>
  </si>
  <si>
    <t>pay_HGBAuGBbQJcFbK</t>
  </si>
  <si>
    <t>pay_HGBHUU1wJ8qfd0</t>
  </si>
  <si>
    <t>pay_HGBkZ8MMtALqXw</t>
  </si>
  <si>
    <t>pay_HGC0Vaoo5JBXd2</t>
  </si>
  <si>
    <t>pay_HGC6eLlrAsrgcC</t>
  </si>
  <si>
    <t>pay_HGCbBxDpVhv614</t>
  </si>
  <si>
    <t>pay_HGClaC4qgzxhvO</t>
  </si>
  <si>
    <t>pay_HGD81DxoQitQif</t>
  </si>
  <si>
    <t>sourabha2003@gmail.com</t>
  </si>
  <si>
    <t>pay_HGDGtfIVZFJyHZ</t>
  </si>
  <si>
    <t>pay_HGDNT4eQEjya6X</t>
  </si>
  <si>
    <t>pay_HGDqkzvcIlKigF</t>
  </si>
  <si>
    <t>pay_HGEnNlzd4wnR0R</t>
  </si>
  <si>
    <t>pay_HGF0BnjSqJiNm5</t>
  </si>
  <si>
    <t>pay_HGFC4EjqdJx4tO</t>
  </si>
  <si>
    <t>pay_HGFNzLXIYgpO13</t>
  </si>
  <si>
    <t>pay_HGFO7ZHwERDz7b</t>
  </si>
  <si>
    <t>pay_HGGVfRHBl5lxNi</t>
  </si>
  <si>
    <t>pay_HGGkq4IA34LawZ</t>
  </si>
  <si>
    <t>pay_HGGrglqtwYlpNi</t>
  </si>
  <si>
    <t>pay_HGH5onQnugzIhu</t>
  </si>
  <si>
    <t>pay_HGHAGJ6pKoANZP</t>
  </si>
  <si>
    <t>pay_HGHFtJDdDfsAGV</t>
  </si>
  <si>
    <t>pay_HGHWi5eor4viuo</t>
  </si>
  <si>
    <t>pay_HGHc4bhzrjS28s</t>
  </si>
  <si>
    <t>pay_HGHc9Spw6nKNvd</t>
  </si>
  <si>
    <t>pay_HGHcsZPROKMsKl</t>
  </si>
  <si>
    <t>pay_HGHflPhcw9Prvd</t>
  </si>
  <si>
    <t>pay_HGHlKSguXd3JId</t>
  </si>
  <si>
    <t>pay_HGHmvRkN8ivPAY</t>
  </si>
  <si>
    <t>pay_HGIOlK0lZt4cQh</t>
  </si>
  <si>
    <t>pay_HGIVnQLkwFlgC8</t>
  </si>
  <si>
    <t>pay_HGIXNnGDpda9i6</t>
  </si>
  <si>
    <t>pay_HGJZt3phSMwhXP</t>
  </si>
  <si>
    <t>lakhikantasaikia5@gmail.com</t>
  </si>
  <si>
    <t>pay_HGM7FkC3P3u0TM</t>
  </si>
  <si>
    <t>lvlykriti12@gmail.com</t>
  </si>
  <si>
    <t>pay_HGMsMs8ktJ764F</t>
  </si>
  <si>
    <t>pay_HGMybWSHzfKq1C</t>
  </si>
  <si>
    <t>pay_HGPWCV3l66UIAC</t>
  </si>
  <si>
    <t>manishlahre210@gmail.com</t>
  </si>
  <si>
    <t>pay_HGQwljnryGkZUn</t>
  </si>
  <si>
    <t>pay_HGReVULG7cNWd1</t>
  </si>
  <si>
    <t>pay_HGRgFwRCVEyC2Y</t>
  </si>
  <si>
    <t>pay_HGRnEZ00BhByei</t>
  </si>
  <si>
    <t>pay_HGRsS11zo7lxRI</t>
  </si>
  <si>
    <t>pay_HGRsqtY48fuhVO</t>
  </si>
  <si>
    <t>pay_HGSB3nUOFGRnky</t>
  </si>
  <si>
    <t>pay_HGSo6zw2BJVpob</t>
  </si>
  <si>
    <t>avikkoley100@gmail.com</t>
  </si>
  <si>
    <t>pay_HGSyUu4PzrQD0A</t>
  </si>
  <si>
    <t>aniketdudhe21@gmail.com</t>
  </si>
  <si>
    <t>pay_HGTHq6GqnGTeDo</t>
  </si>
  <si>
    <t>pay_HGTKNhb4Hm4bwT</t>
  </si>
  <si>
    <t>pay_HGTUoDFePgx4l3</t>
  </si>
  <si>
    <t>pay_HGTWyWvFbFgCSy</t>
  </si>
  <si>
    <t>pay_HGTXVADMJoT1es</t>
  </si>
  <si>
    <t>pay_HGTdIwF2VaJxAk</t>
  </si>
  <si>
    <t>shiza9910@gmail.com</t>
  </si>
  <si>
    <t>pay_HGTr2vuz6AfLfQ</t>
  </si>
  <si>
    <t>pay_HGU0VrMkL3u1Uc</t>
  </si>
  <si>
    <t>pay_HGUFzoPv0ABJ6o</t>
  </si>
  <si>
    <t>pay_HGUOFW05uKL1vb</t>
  </si>
  <si>
    <t>shruthi.g08@gmail.com</t>
  </si>
  <si>
    <t>pay_HGUPScWR3UN5m8</t>
  </si>
  <si>
    <t>pay_HGUPaneKm3BbeG</t>
  </si>
  <si>
    <t>pay_HGUQGBfXDbyGrc</t>
  </si>
  <si>
    <t>pay_HGUQQtqlfFPpji</t>
  </si>
  <si>
    <t>pay_HGUQXcTfeSyeBa</t>
  </si>
  <si>
    <t>pay_HGUf5apX1nk0o9</t>
  </si>
  <si>
    <t>pay_HGUgMCHqLdMReO</t>
  </si>
  <si>
    <t>pay_HGV07CdZscdRzd</t>
  </si>
  <si>
    <t>pay_HGVOwRSEUOVQ8T</t>
  </si>
  <si>
    <t>pay_HGVa9nS9Tidm3r</t>
  </si>
  <si>
    <t>pay_HGVqa7qEAxOrsE</t>
  </si>
  <si>
    <t>pay_HGW7RUv8st9ZQF</t>
  </si>
  <si>
    <t>pay_HGW9PIjsOWXobs</t>
  </si>
  <si>
    <t>pay_HGWBFg401EL1g7</t>
  </si>
  <si>
    <t>pay_HGWOcuIkNgbeK6</t>
  </si>
  <si>
    <t>pay_HGWfUEKlooz46o</t>
  </si>
  <si>
    <t>pay_HGWi7IZeoMf1ms</t>
  </si>
  <si>
    <t>kushksyp@gmail.com</t>
  </si>
  <si>
    <t>pay_HGWma0iVGXt8tw</t>
  </si>
  <si>
    <t>pay_HGWsTGKZmMsu9W</t>
  </si>
  <si>
    <t>pay_HGWuoC0PMEjhvC</t>
  </si>
  <si>
    <t>pay_HGX8lEhTlrA5kE</t>
  </si>
  <si>
    <t>pay_HGXBkWU2wGOrz1</t>
  </si>
  <si>
    <t>pay_HGXEUN9QLtPaV8</t>
  </si>
  <si>
    <t>abhandekar9@gmail.com</t>
  </si>
  <si>
    <t>pay_HGXPaUKG9qssA2</t>
  </si>
  <si>
    <t>pay_HGXic9jXxiNhXw</t>
  </si>
  <si>
    <t>gera.lovely94@gmail.com</t>
  </si>
  <si>
    <t>pay_HGXvfiz8HUlDsD</t>
  </si>
  <si>
    <t>payalbhutekar@gmail.com</t>
  </si>
  <si>
    <t>pay_HGY2O7iNkTkUmJ</t>
  </si>
  <si>
    <t>dipikkammahajan@gmail.com</t>
  </si>
  <si>
    <t>pay_HGYBVmUTY83yCs</t>
  </si>
  <si>
    <t>cs.ravipopli@gmail.com</t>
  </si>
  <si>
    <t>pay_HGYE4jPLvnNKik</t>
  </si>
  <si>
    <t>pay_HGYhC1GGUQUCVY</t>
  </si>
  <si>
    <t>pay_HGYnVoJ4XXuSMt</t>
  </si>
  <si>
    <t>pay_HGYtXsfdacl3au</t>
  </si>
  <si>
    <t>pay_HGYwKWE0lTNUO0</t>
  </si>
  <si>
    <t>pay_HGZ4BoXkRan6l4</t>
  </si>
  <si>
    <t>pay_HGZ5HuUdgWdtYb</t>
  </si>
  <si>
    <t>pay_HGZ96ZOIsmXDZ4</t>
  </si>
  <si>
    <t>pay_HGZGgdECkXG47I</t>
  </si>
  <si>
    <t>pay_HGZGtoWpK4LXUt</t>
  </si>
  <si>
    <t>pay_HGZH8b9vvewpfM</t>
  </si>
  <si>
    <t>pay_HGZIT6h4cFGkrO</t>
  </si>
  <si>
    <t>pay_HGZIuw56LZb7ZA</t>
  </si>
  <si>
    <t>pay_HGZV6CXknaitRp</t>
  </si>
  <si>
    <t>pay_HGZV7np8CNbm20</t>
  </si>
  <si>
    <t>pay_HGZceCXHhsEOJ2</t>
  </si>
  <si>
    <t>selvakumarienglish82@gmail.com</t>
  </si>
  <si>
    <t>pay_HGZssmxEjl7VlT</t>
  </si>
  <si>
    <t>pay_HGZtTdyKDLXbT4</t>
  </si>
  <si>
    <t>pay_HGaDi8joHF6ChX</t>
  </si>
  <si>
    <t>pay_HGaL6ODhixOVS6</t>
  </si>
  <si>
    <t>pay_HGaN35lTAjGEQI</t>
  </si>
  <si>
    <t>pay_HGaa6DD1nUnEHr</t>
  </si>
  <si>
    <t>amit.ojha.vns@gmail.com</t>
  </si>
  <si>
    <t>pay_HGaxXAbO2vJPu3</t>
  </si>
  <si>
    <t>pay_HGb37wdyGi2MzU</t>
  </si>
  <si>
    <t>pay_HGbCp0lV9yYJG3</t>
  </si>
  <si>
    <t>pay_HGbPkLuwl8n4s4</t>
  </si>
  <si>
    <t>pay_HGbRWRypl9xPzE</t>
  </si>
  <si>
    <t>pay_HGbjLu1E1Saw6q</t>
  </si>
  <si>
    <t>malavikas34@gmail.com</t>
  </si>
  <si>
    <t>pay_HGbm8CJ3QG0cp8</t>
  </si>
  <si>
    <t>pay_HGbqKmBKvY9yFF</t>
  </si>
  <si>
    <t>batrabags@gmail.com</t>
  </si>
  <si>
    <t>pay_HGcDrXzNzwwWIe</t>
  </si>
  <si>
    <t>pay_HGcPq3ZPqNxTxj</t>
  </si>
  <si>
    <t>pay_HGcbMhuum5gBjB</t>
  </si>
  <si>
    <t>pay_HGciWabf617Wv1</t>
  </si>
  <si>
    <t>vmalukani1911@gmail.com</t>
  </si>
  <si>
    <t>pay_HGcmsC81BME26Z</t>
  </si>
  <si>
    <t>pay_HGcnptqpftIwWN</t>
  </si>
  <si>
    <t>pay_HGcps0TMgjXEat</t>
  </si>
  <si>
    <t>pay_HGd3z1M5oFtW5e</t>
  </si>
  <si>
    <t>pay_HGdHBMWZyKX5bQ</t>
  </si>
  <si>
    <t>pay_HGdJgB7AEPpKPt</t>
  </si>
  <si>
    <t>pay_HGdKq9grpNxWuO</t>
  </si>
  <si>
    <t>pay_HGdNLmkv1S8LmZ</t>
  </si>
  <si>
    <t>pay_HGdYLmz0w2uzWq</t>
  </si>
  <si>
    <t>pay_HGdaAu5DpqBkFB</t>
  </si>
  <si>
    <t>pay_HGdt9O05QQU0Sy</t>
  </si>
  <si>
    <t>pay_HGe6ATiDpWdJKl</t>
  </si>
  <si>
    <t>kripakj1997@gmail.com</t>
  </si>
  <si>
    <t>pay_HGf1AG6mIzJNh3</t>
  </si>
  <si>
    <t>pay_HGfDwUZG27rFfW</t>
  </si>
  <si>
    <t>pay_HGfQDwyADl9u0I</t>
  </si>
  <si>
    <t>pay_HGfU0qAuEOFu1h</t>
  </si>
  <si>
    <t>pay_HGfVmTbyRLLwJJ</t>
  </si>
  <si>
    <t>pay_HGfVt2bXUysQTW</t>
  </si>
  <si>
    <t>pay_HGfWqbp3a0lIct</t>
  </si>
  <si>
    <t>pay_HGfmwVX1Nka8oA</t>
  </si>
  <si>
    <t>pay_HGfyYPgJjU5n7q</t>
  </si>
  <si>
    <t>pay_HGg0iOvRiigsHd</t>
  </si>
  <si>
    <t>pay_HGgBOFGhkqfi8T</t>
  </si>
  <si>
    <t>pay_HGgCoded5HwdID</t>
  </si>
  <si>
    <t>pay_HGgDihOKE1GxeI</t>
  </si>
  <si>
    <t>pay_HGgEebOfbfzauC</t>
  </si>
  <si>
    <t>pay_HGgfZ0NswMA1A7</t>
  </si>
  <si>
    <t>pay_HGgoCeWzpwcufV</t>
  </si>
  <si>
    <t>pay_HGhsyc0ONDMwvP</t>
  </si>
  <si>
    <t>shesammahesh@gmail.com</t>
  </si>
  <si>
    <t>pay_HGi1m8wkJEvtPp</t>
  </si>
  <si>
    <t>pay_HGi5pe3TWXSNJ8</t>
  </si>
  <si>
    <t>pay_HGiGLakukNYCvh</t>
  </si>
  <si>
    <t>pay_HGia4C1WChZuCh</t>
  </si>
  <si>
    <t>pay_HGjU5PTTsJqkk0</t>
  </si>
  <si>
    <t>pay_HGktapfCTbHYfn</t>
  </si>
  <si>
    <t>pay_HGowQcW7sFo5hs</t>
  </si>
  <si>
    <t>pay_HGp4AdVO1rOoqO</t>
  </si>
  <si>
    <t>pay_HGp5NxrmoUx802</t>
  </si>
  <si>
    <t>pay_HGpQTawc3DdTEq</t>
  </si>
  <si>
    <t>cortvishu@gmail.com</t>
  </si>
  <si>
    <t>pay_HGpdeBQbVTotqv</t>
  </si>
  <si>
    <t>ag.harshvardhan@gmail.com</t>
  </si>
  <si>
    <t>pay_HGq0AWC2o7O7bb</t>
  </si>
  <si>
    <t>pay_HGqC1VAhyrFnfz</t>
  </si>
  <si>
    <t>pay_HGqUqpK3UQE2rj</t>
  </si>
  <si>
    <t>pay_HGqdbRzexMNn8u</t>
  </si>
  <si>
    <t>pay_HGqfBgzTXMW3Im</t>
  </si>
  <si>
    <t>naveenmadhwal@gmail.com</t>
  </si>
  <si>
    <t>pay_HGqfVGtuXE6Evj</t>
  </si>
  <si>
    <t>j.kishnani@gmail.com</t>
  </si>
  <si>
    <t>pay_HGqfY0cRxLHheM</t>
  </si>
  <si>
    <t>pay_HGqfrQRHN3UGVd</t>
  </si>
  <si>
    <t>pay_HGqgnnsWk4B0bE</t>
  </si>
  <si>
    <t>pay_HGqhCwefnMflBH</t>
  </si>
  <si>
    <t>pay_HGqsvEQ5qScYFg</t>
  </si>
  <si>
    <t>pay_HGrNgLHuOJpMpr</t>
  </si>
  <si>
    <t>pay_HGrOpwqOYtM9xs</t>
  </si>
  <si>
    <t>pay_HGrOufIww0V31c</t>
  </si>
  <si>
    <t>pay_HGrPhSgg6OxeJ6</t>
  </si>
  <si>
    <t>pay_HGrs7wuqlAbA30</t>
  </si>
  <si>
    <t>jonathan.jefferson98@gmail.com</t>
  </si>
  <si>
    <t>pay_HGs0f2lQPtD6kI</t>
  </si>
  <si>
    <t>pay_HGsDn4vL6chLUT</t>
  </si>
  <si>
    <t>pay_HGsHdqZc9LMmhh</t>
  </si>
  <si>
    <t>pay_HGsbBgMLKpP0eO</t>
  </si>
  <si>
    <t>pay_HGssEhhmAhegaO</t>
  </si>
  <si>
    <t>pay_HGst78P4SAjHLd</t>
  </si>
  <si>
    <t>pay_HGstrDCt7fbSIA</t>
  </si>
  <si>
    <t>latasharma252629@gmail.com</t>
  </si>
  <si>
    <t>pay_HGt7RDnV9RHBNI</t>
  </si>
  <si>
    <t>veronicathokchom1518@gmail.com</t>
  </si>
  <si>
    <t>pay_HGtYnOui8iQ2hL</t>
  </si>
  <si>
    <t>pay_HGtaz9lrz1Lf73</t>
  </si>
  <si>
    <t>pay_HGthcmh1MNftjO</t>
  </si>
  <si>
    <t>pay_HGtiTXJuiUsZL0</t>
  </si>
  <si>
    <t>pay_HGtj8gd6pmzEe9</t>
  </si>
  <si>
    <t>shabana700@gmail.com</t>
  </si>
  <si>
    <t>pay_HGtkSNFtRbtYxh</t>
  </si>
  <si>
    <t>pay_HGtlLg9bgweyKQ</t>
  </si>
  <si>
    <t>priyankatodariya@gmail.com</t>
  </si>
  <si>
    <t>pay_HGtr24EfuauRG3</t>
  </si>
  <si>
    <t>shubhiashutoshpandey@gmail.com</t>
  </si>
  <si>
    <t>pay_HGu81qEqUgRINS</t>
  </si>
  <si>
    <t>pay_HGuBLXo3JN2eft</t>
  </si>
  <si>
    <t>pay_HGuBbJQ2D1ZMaC</t>
  </si>
  <si>
    <t>pay_HGuEEv4SmklFoP</t>
  </si>
  <si>
    <t>pay_HGuErO17qhU2Yy</t>
  </si>
  <si>
    <t>pay_HGuUVNqpHEZ1fI</t>
  </si>
  <si>
    <t>pay_HGubYN8L8hGE08</t>
  </si>
  <si>
    <t>pay_HGudGLeMTYBRRc</t>
  </si>
  <si>
    <t>pay_HGufS04v3WkGty</t>
  </si>
  <si>
    <t>pay_HGuhmVrLS9efo8</t>
  </si>
  <si>
    <t>pay_HGukWkKLjyDCWq</t>
  </si>
  <si>
    <t>pay_HGuncYszCeUaKK</t>
  </si>
  <si>
    <t>pay_HGuoXsGRekPM4V</t>
  </si>
  <si>
    <t>pay_HGupmEUR9LjM9N</t>
  </si>
  <si>
    <t>pay_HGurjHNtVwVBoZ</t>
  </si>
  <si>
    <t>pay_HGuwEAM0HaNht7</t>
  </si>
  <si>
    <t>pay_HGuwXR9cBcSZpo</t>
  </si>
  <si>
    <t>pay_HGvCTENXchhA7R</t>
  </si>
  <si>
    <t>pay_HGvJOjNO1Lszqd</t>
  </si>
  <si>
    <t>pay_HGvP8O5gMUz4V3</t>
  </si>
  <si>
    <t>pay_HGvkz5jbN8inZh</t>
  </si>
  <si>
    <t>pay_HGvyoBuhX3eNOT</t>
  </si>
  <si>
    <t>pay_HGwC1FmsAeQs15</t>
  </si>
  <si>
    <t>pay_HGwY8hFd4P2Pkf</t>
  </si>
  <si>
    <t>pay_HGwZGpeG42QrMy</t>
  </si>
  <si>
    <t>pay_HGxCkwe5R9jyH1</t>
  </si>
  <si>
    <t>vinish.polsani@gmail.com</t>
  </si>
  <si>
    <t>pay_HGxMcU5YZs8Dck</t>
  </si>
  <si>
    <t>pay_HGxMf10nlB3yQO</t>
  </si>
  <si>
    <t>pay_HGxRZ3uyhbBcdM</t>
  </si>
  <si>
    <t>pay_HGxTwP88hIilll</t>
  </si>
  <si>
    <t>akshayvkumarofficial@gmail.com</t>
  </si>
  <si>
    <t>pay_HGxfcBzLnqydKV</t>
  </si>
  <si>
    <t>pay_HGxiTGAyMi1tUT</t>
  </si>
  <si>
    <t>pay_HGxn3qTK4B6WuL</t>
  </si>
  <si>
    <t>pay_HGxuBZi8pbLBZQ</t>
  </si>
  <si>
    <t>baraanita54@gmail.com</t>
  </si>
  <si>
    <t>pay_HGxzBYzNnTDC5I</t>
  </si>
  <si>
    <t>pay_HGy13QgsWWoG8o</t>
  </si>
  <si>
    <t>pay_HGy1gHjbwueRXk</t>
  </si>
  <si>
    <t>pay_HGy2aU7PgmvfEe</t>
  </si>
  <si>
    <t>pay_HGy8TsUnw390W0</t>
  </si>
  <si>
    <t>pay_HGyUaI6yBmkFhQ</t>
  </si>
  <si>
    <t>spratiksha189@gmail.com</t>
  </si>
  <si>
    <t>pay_HGydNxnt7QL9rf</t>
  </si>
  <si>
    <t>pay_HGyede1ldP5TYD</t>
  </si>
  <si>
    <t>pay_HGyibxyvDjotPJ</t>
  </si>
  <si>
    <t>pay_HGyjahgs1GTeV7</t>
  </si>
  <si>
    <t>pay_HGykVjtQycn4WS</t>
  </si>
  <si>
    <t>pay_HGz1relGJYor37</t>
  </si>
  <si>
    <t>pay_HGzGxYusXVHDa6</t>
  </si>
  <si>
    <t>pay_HGzKSLmmIjX3z3</t>
  </si>
  <si>
    <t>pay_HGzZXNp8n8sNSW</t>
  </si>
  <si>
    <t>pay_HGzd6JxL1MI2VF</t>
  </si>
  <si>
    <t>pay_HGzkxaCcwSpPeb</t>
  </si>
  <si>
    <t>pay_HGzy2zRSGHb2Gz</t>
  </si>
  <si>
    <t>pay_HH02tizbQliTbz</t>
  </si>
  <si>
    <t>pay_HH0H0yIxNPtvtH</t>
  </si>
  <si>
    <t>smrvrma16@gmail.com</t>
  </si>
  <si>
    <t>pay_HH0M67frleAYc1</t>
  </si>
  <si>
    <t>pay_HH0NT0bnIHJMCs</t>
  </si>
  <si>
    <t>pay_HH0ZYr3CPKox0h</t>
  </si>
  <si>
    <t>pay_HH0aex0RwXj2hG</t>
  </si>
  <si>
    <t>pay_HH0b6cJiqL2vU7</t>
  </si>
  <si>
    <t>pay_HH0hPwhQVXFGND</t>
  </si>
  <si>
    <t>pay_HH1MIZHBLb3m9h</t>
  </si>
  <si>
    <t>pay_HH1PlitcATaUkq</t>
  </si>
  <si>
    <t>pay_HH1R5HaMmlOOoq</t>
  </si>
  <si>
    <t>pay_HH1U1LnB5WqQYR</t>
  </si>
  <si>
    <t>pay_HH1Zd98vud5DPU</t>
  </si>
  <si>
    <t>pay_HH1iQwrleiFpXu</t>
  </si>
  <si>
    <t>pay_HH2IO1x2QHp80Z</t>
  </si>
  <si>
    <t>pay_HH2PQMg4UePrkc</t>
  </si>
  <si>
    <t>pay_HH2XV5QPKHQDDG</t>
  </si>
  <si>
    <t>jaswinder.rr@gmail.com</t>
  </si>
  <si>
    <t>pay_HH2kNoRdLQTJTL</t>
  </si>
  <si>
    <t>pay_HH2mwLX1as50Bd</t>
  </si>
  <si>
    <t>pay_HH3K95sVAVdq2A</t>
  </si>
  <si>
    <t>pay_HH3Ks45AIq1K5U</t>
  </si>
  <si>
    <t>pay_HH3Njlxb3YimN7</t>
  </si>
  <si>
    <t>pay_HH3RGHwqKR7YvX</t>
  </si>
  <si>
    <t>pay_HH3WUt3Kq9sMOs</t>
  </si>
  <si>
    <t>pay_HH3YHOgJlVjgDc</t>
  </si>
  <si>
    <t>pay_HH3ZbETNL4T6Ff</t>
  </si>
  <si>
    <t>pay_HH3e4oqMgtexUN</t>
  </si>
  <si>
    <t>pay_HH3n0V8JiqiLns</t>
  </si>
  <si>
    <t>pay_HH4eZ6EUHPnko7</t>
  </si>
  <si>
    <t>pay_HH4k0nywbgHqqP</t>
  </si>
  <si>
    <t>pay_HH4l0yziPBiAue</t>
  </si>
  <si>
    <t>pay_HH4lbCh0NYtcIl</t>
  </si>
  <si>
    <t>pay_HH4prfRdPjpiyA</t>
  </si>
  <si>
    <t>pay_HH50Y7NKQuLdV2</t>
  </si>
  <si>
    <t>pay_HH53cIZRPAyFP0</t>
  </si>
  <si>
    <t>pay_HH5LlvRMO21btK</t>
  </si>
  <si>
    <t>pay_HH5Lp802qT7ajH</t>
  </si>
  <si>
    <t>pay_HH5Qgj17ocsCP6</t>
  </si>
  <si>
    <t>pay_HH5VnpBuQUCGIR</t>
  </si>
  <si>
    <t>aajuua@gmail.com</t>
  </si>
  <si>
    <t>pay_HH5XS2GDlIMFwh</t>
  </si>
  <si>
    <t>pay_HH5l9KRRc04qVH</t>
  </si>
  <si>
    <t>pay_HH5maGfwKIVuLt</t>
  </si>
  <si>
    <t>pay_HH5uYVDFO2vlIC</t>
  </si>
  <si>
    <t>pay_HH66LNGUN8TOER</t>
  </si>
  <si>
    <t>rajcheema911@yahoo.com</t>
  </si>
  <si>
    <t>pay_HH68XFkQTykmFB</t>
  </si>
  <si>
    <t>arifansaribhadohi1234@gmail.com</t>
  </si>
  <si>
    <t>pay_HH690s2aIXvpz1</t>
  </si>
  <si>
    <t>pay_HH6EDTw24XJcdO</t>
  </si>
  <si>
    <t>pay_HH6FvFE0BOi788</t>
  </si>
  <si>
    <t>rishabhanandinfo@gmail.com</t>
  </si>
  <si>
    <t>pay_HH6vpF6kudP89e</t>
  </si>
  <si>
    <t>pay_HH72OrUvIH5V21</t>
  </si>
  <si>
    <t>pay_HH7ICRNRTRaykR</t>
  </si>
  <si>
    <t>pay_HHBqVsd4JPCpJn</t>
  </si>
  <si>
    <t>pay_HHCPOWtrV5OFxK</t>
  </si>
  <si>
    <t>ved1990@gmail.com</t>
  </si>
  <si>
    <t>pay_HHCa7XpUCAXFEW</t>
  </si>
  <si>
    <t>pay_HHE4fhWCeIOja9</t>
  </si>
  <si>
    <t>pay_HHEL1Ts9Nlxw15</t>
  </si>
  <si>
    <t>pay_HHEcKHCfAOMTp4</t>
  </si>
  <si>
    <t>pay_HHEmQ78A8aXiTw</t>
  </si>
  <si>
    <t>pay_HHF5zX18LZ9IO4</t>
  </si>
  <si>
    <t>pay_HHF6ypzdkE93rc</t>
  </si>
  <si>
    <t>pay_HHFSJj2ijtacf9</t>
  </si>
  <si>
    <t>aditya.raj2994@gmail.com</t>
  </si>
  <si>
    <t>pay_HHFgrBWJFns72p</t>
  </si>
  <si>
    <t>pay_HHFmZKRL24o6lG</t>
  </si>
  <si>
    <t>pay_HHG0OCepSoJK8B</t>
  </si>
  <si>
    <t>pay_HHG3U6F8XXiY2z</t>
  </si>
  <si>
    <t>pay_HHGM0m3ReONA8P</t>
  </si>
  <si>
    <t>pay_HHGSQxP8ZtyOyK</t>
  </si>
  <si>
    <t>pay_HHGUT3CCAkh9vq</t>
  </si>
  <si>
    <t>pay_HHGzj8YffbtC2Y</t>
  </si>
  <si>
    <t>pay_HHH0D6ANXA3kc1</t>
  </si>
  <si>
    <t>pay_HHH2PpfbT4cSRS</t>
  </si>
  <si>
    <t>pay_HHH2oV55Uk8giF</t>
  </si>
  <si>
    <t>pay_HHH7XEEHcOByZj</t>
  </si>
  <si>
    <t>pay_HHHBH3xkmTk9jS</t>
  </si>
  <si>
    <t>mahesh.d1988@gmail.com</t>
  </si>
  <si>
    <t>pay_HHHGWByspSgHam</t>
  </si>
  <si>
    <t>pay_HHHT2d7NVdwcyf</t>
  </si>
  <si>
    <t>vijayasundari2518@gmail.com</t>
  </si>
  <si>
    <t>pay_HHHf38dDqWhcSP</t>
  </si>
  <si>
    <t>pay_HHHvTwBsEuO14m</t>
  </si>
  <si>
    <t>annewashas@gmail.com</t>
  </si>
  <si>
    <t>pay_HHHwrASpypBwVh</t>
  </si>
  <si>
    <t>pay_HHIDp2O2xQM4JH</t>
  </si>
  <si>
    <t>numatai500@gmail.com</t>
  </si>
  <si>
    <t>pay_HHIEVGiMk6hejB</t>
  </si>
  <si>
    <t>pay_HHIHNpJj4ygFYs</t>
  </si>
  <si>
    <t>anandabc@gmail.com</t>
  </si>
  <si>
    <t>pay_HHIV2IulF5ugi8</t>
  </si>
  <si>
    <t>pay_HHIa2qOlYw2aeb</t>
  </si>
  <si>
    <t>pay_HHIbd2Rf8bEzGL</t>
  </si>
  <si>
    <t>pay_HHIjBGo2VpqabO</t>
  </si>
  <si>
    <t>pay_HHIlRmSIoRjI7l</t>
  </si>
  <si>
    <t>pay_HHIqYhhFLrWbM1</t>
  </si>
  <si>
    <t>pay_HHJII9z9qgKR2N</t>
  </si>
  <si>
    <t>pay_HHJJRuXSzsqQsE</t>
  </si>
  <si>
    <t>rita.katiya2014@gmail.com</t>
  </si>
  <si>
    <t>pay_HHJUDicswuQwhd</t>
  </si>
  <si>
    <t>pay_HHJhZxvTzsH7ft</t>
  </si>
  <si>
    <t>pay_HHJiOao6XsEuFY</t>
  </si>
  <si>
    <t>pay_HHJjdg0nW1AjZv</t>
  </si>
  <si>
    <t>pay_HHJkcx1CzpiCDA</t>
  </si>
  <si>
    <t>pay_HHJlR7n7Lzxtyo</t>
  </si>
  <si>
    <t>pay_HHJoXfqptglGdK</t>
  </si>
  <si>
    <t>bhagyasri596@gmail.com</t>
  </si>
  <si>
    <t>pay_HHK58NAZcLN6AA</t>
  </si>
  <si>
    <t>pay_HHKEZ9p4g9bbs7</t>
  </si>
  <si>
    <t>pay_HHKIXWLIYR493d</t>
  </si>
  <si>
    <t>pay_HHKJ6CPdPGGZZ3</t>
  </si>
  <si>
    <t>pay_HHKKNbVAkgFJsh</t>
  </si>
  <si>
    <t>pay_HHKKvSWcyl9abG</t>
  </si>
  <si>
    <t>pay_HHKLORa27CA8bz</t>
  </si>
  <si>
    <t>pay_HHKM1iGoPuD6aS</t>
  </si>
  <si>
    <t>pay_HHKMng7yUepkXP</t>
  </si>
  <si>
    <t>pay_HHKblOIgGDW3nM</t>
  </si>
  <si>
    <t>pay_HHKlQNY8U5Gkru</t>
  </si>
  <si>
    <t>vengalasettysaiteja@gmail.com</t>
  </si>
  <si>
    <t>pay_HHKvuFcgYKNiOp</t>
  </si>
  <si>
    <t>pay_HHKzjHvbhvwY0W</t>
  </si>
  <si>
    <t>pay_HHLT4vyNozXB1o</t>
  </si>
  <si>
    <t>pay_HHLiSj9sLaIJO2</t>
  </si>
  <si>
    <t>pay_HHLmDgrYRosZyv</t>
  </si>
  <si>
    <t>pay_HHLsqwKsuIp77h</t>
  </si>
  <si>
    <t>pay_HHLwMw5URf0ibo</t>
  </si>
  <si>
    <t>oshon8@gmail.com</t>
  </si>
  <si>
    <t>pay_HHM34VDGmgoW7e</t>
  </si>
  <si>
    <t>pay_HHM6mqqnsbjQmQ</t>
  </si>
  <si>
    <t>pay_HHM8sCXsfEQr9p</t>
  </si>
  <si>
    <t>pay_HHMKCdMYc5kfuc</t>
  </si>
  <si>
    <t>pay_HHMNUv39AcbCRR</t>
  </si>
  <si>
    <t>pay_HHMQNZbqwIxKxI</t>
  </si>
  <si>
    <t>pay_HHMUJUjo2Ycemb</t>
  </si>
  <si>
    <t>pay_HHMVHeaInj7Tts</t>
  </si>
  <si>
    <t>pay_HHMVvMZN1to4K8</t>
  </si>
  <si>
    <t>pay_HHMddPB8BlmR3I</t>
  </si>
  <si>
    <t>pay_HHMheLrcE1Z40A</t>
  </si>
  <si>
    <t>pay_HHMq9UEDE4PaDk</t>
  </si>
  <si>
    <t>kamathneham@yahoo.co.in</t>
  </si>
  <si>
    <t>pay_HHMqbjGDKiKNzN</t>
  </si>
  <si>
    <t>pay_HHNGbb4JYJQoT5</t>
  </si>
  <si>
    <t>pay_HHNJKD0kkJs5pr</t>
  </si>
  <si>
    <t>pay_HHNKFBTPlWdhAW</t>
  </si>
  <si>
    <t>pay_HHNLZSr2omss38</t>
  </si>
  <si>
    <t>pay_HHNM5ICWq3XyhI</t>
  </si>
  <si>
    <t>gwynethpereira15@gmail.com</t>
  </si>
  <si>
    <t>pay_HHNQ8y6TioQsOz</t>
  </si>
  <si>
    <t>pay_HHNR5RHTnfKTdm</t>
  </si>
  <si>
    <t>pay_HHNbAL4dAYP0ru</t>
  </si>
  <si>
    <t>pay_HHNdNuUrhNsjYD</t>
  </si>
  <si>
    <t>pay_HHNn39h1uRso8J</t>
  </si>
  <si>
    <t>pay_HHNqzPteWixNNz</t>
  </si>
  <si>
    <t>pay_HHNwJQyg90iJSH</t>
  </si>
  <si>
    <t>tschaithra15@gmail.com</t>
  </si>
  <si>
    <t>pay_HHNy7Qvb1DG7Ul</t>
  </si>
  <si>
    <t>pay_HHO04sMuEwHB60</t>
  </si>
  <si>
    <t>pay_HHO0zLcLAjOXn9</t>
  </si>
  <si>
    <t>priyagsasidharan9@gmail.com</t>
  </si>
  <si>
    <t>pay_HHO18eusjmMFHu</t>
  </si>
  <si>
    <t>pay_HHO2ZY56rnSeBy</t>
  </si>
  <si>
    <t>palakshjain9@gmail.com</t>
  </si>
  <si>
    <t>pay_HHOaSRyzcgSfpA</t>
  </si>
  <si>
    <t>pay_HHOaotuW81Zzwf</t>
  </si>
  <si>
    <t>pay_HHOcsX6jKEEN9Z</t>
  </si>
  <si>
    <t>pay_HHOgf5UIOdvQsh</t>
  </si>
  <si>
    <t>pay_HHOj51X2diBPGR</t>
  </si>
  <si>
    <t>pay_HHP04B3NY4TWml</t>
  </si>
  <si>
    <t>jencyprathipa96@gmail.com</t>
  </si>
  <si>
    <t>pay_HHP17jdbeL5xCl</t>
  </si>
  <si>
    <t>pay_HHP2avMHG2dA6X</t>
  </si>
  <si>
    <t>pay_HHP4YVKcnal14l</t>
  </si>
  <si>
    <t>pay_HHPDSyj1CZWvdb</t>
  </si>
  <si>
    <t>pay_HHPTE38YoSYw8C</t>
  </si>
  <si>
    <t>pay_HHPgKjiNpwz34j</t>
  </si>
  <si>
    <t>pay_HHPjQQeF7Zx962</t>
  </si>
  <si>
    <t>pay_HHPmtlwTpiOoAm</t>
  </si>
  <si>
    <t>pay_HHPt10xe27Rz9K</t>
  </si>
  <si>
    <t>v.venugopal69@gmail.com</t>
  </si>
  <si>
    <t>pay_HHPyuSGu1J5GT0</t>
  </si>
  <si>
    <t>pay_HHQ9CdZRbyMtcE</t>
  </si>
  <si>
    <t>pay_HHQMWwG4EMkFOA</t>
  </si>
  <si>
    <t>pay_HHQOBikqUCdWHF</t>
  </si>
  <si>
    <t>pay_HHQWtcLZNZxYd0</t>
  </si>
  <si>
    <t>pay_HHQgCavpQVIFq1</t>
  </si>
  <si>
    <t>pay_HHQr5mS1UVeK0I</t>
  </si>
  <si>
    <t>pay_HHQvKZACHHzz84</t>
  </si>
  <si>
    <t>pay_HHQyqQ9QDntspk</t>
  </si>
  <si>
    <t>pay_HHQzCzOAXlXrLe</t>
  </si>
  <si>
    <t>pay_HHR2qmWL4E8oLa</t>
  </si>
  <si>
    <t>pay_HHR6GkNH7lIHuC</t>
  </si>
  <si>
    <t>pay_HHR9PiSutUHSLM</t>
  </si>
  <si>
    <t>pay_HHRArJ4nzzBPmT</t>
  </si>
  <si>
    <t>pay_HHRAywIAGg3WRU</t>
  </si>
  <si>
    <t>pay_HHREo5K2DdYMVl</t>
  </si>
  <si>
    <t>pay_HHRHBjnIE2br80</t>
  </si>
  <si>
    <t>pay_HHRJWY4mMvm3aR</t>
  </si>
  <si>
    <t>shariq.zafar@gmail.com</t>
  </si>
  <si>
    <t>pay_HHRxb7tDDyMN6V</t>
  </si>
  <si>
    <t>bhairido123@gmail.com</t>
  </si>
  <si>
    <t>pay_HHS9fdUSQ1PDct</t>
  </si>
  <si>
    <t>savitha.gowda77@gmail.com</t>
  </si>
  <si>
    <t>pay_HHSHBReFt8ZqL5</t>
  </si>
  <si>
    <t>pay_HHSOq0dG5yAB2A</t>
  </si>
  <si>
    <t>pay_HHSY17q7smRl9E</t>
  </si>
  <si>
    <t>jahidkhan90@gmail.com</t>
  </si>
  <si>
    <t>pay_HHScRdm96GkRKw</t>
  </si>
  <si>
    <t>nr.itphd@gmail.com</t>
  </si>
  <si>
    <t>pay_HHSehMRSMJje8P</t>
  </si>
  <si>
    <t>ramya2408@gmail.com</t>
  </si>
  <si>
    <t>pay_HHSutQlsCdv2vt</t>
  </si>
  <si>
    <t>pay_HHT4ebPo3rsibD</t>
  </si>
  <si>
    <t>pay_HHTFNa1ob84DcW</t>
  </si>
  <si>
    <t>damarisvictor7@gmail.com</t>
  </si>
  <si>
    <t>pay_HHU2iBdQqcXBoY</t>
  </si>
  <si>
    <t>pay_HHUTDOC7ReSnhu</t>
  </si>
  <si>
    <t>pay_HHUVxCoc8XCWvB</t>
  </si>
  <si>
    <t>pay_HHVHUMSu2nZca1</t>
  </si>
  <si>
    <t>pay_HHVSMrPb3AWvYv</t>
  </si>
  <si>
    <t>pay_HHVpYfc8LlK36I</t>
  </si>
  <si>
    <t>pay_HHVqNidjio2MbZ</t>
  </si>
  <si>
    <t>pay_HHVqpToipHSfeO</t>
  </si>
  <si>
    <t>pay_HHVslAFJgGPJcC</t>
  </si>
  <si>
    <t>johnvaidyan4494@gmail.com</t>
  </si>
  <si>
    <t>pay_HHW6M4TajsGT3O</t>
  </si>
  <si>
    <t>pay_HHW7oYW9B85ulY</t>
  </si>
  <si>
    <t>pay_HHW81VoxXjO9dF</t>
  </si>
  <si>
    <t>pay_HHWAQ9oJ7NWDsH</t>
  </si>
  <si>
    <t>pay_HHWu2VIFIBPhhP</t>
  </si>
  <si>
    <t>pay_HHWvesmwFqYQgq</t>
  </si>
  <si>
    <t>pay_HHWxiddNqe1FqL</t>
  </si>
  <si>
    <t>pay_HHXmfWB3PBWTxU</t>
  </si>
  <si>
    <t>pay_HHXuowbZqg61yY</t>
  </si>
  <si>
    <t>pay_HHXz9GwqDVZb38</t>
  </si>
  <si>
    <t>pay_HHaLhNpczQTOdU</t>
  </si>
  <si>
    <t>pay_HHboH5CARB37EP</t>
  </si>
  <si>
    <t>pay_HHboNftCVuPIcs</t>
  </si>
  <si>
    <t>pay_HHbq7mnkD5dPdC</t>
  </si>
  <si>
    <t>pay_HHbqgAXoOALZya</t>
  </si>
  <si>
    <t>pay_HHc1CPhl1zDead</t>
  </si>
  <si>
    <t>pay_HHc4FzXbkT9Jsm</t>
  </si>
  <si>
    <t>pay_HHcQlQ4Nw8uH1l</t>
  </si>
  <si>
    <t>pay_HHcTSXbjxLPpXd</t>
  </si>
  <si>
    <t>ramanshant@gmail.com</t>
  </si>
  <si>
    <t>pay_HHckW44rV0Oxj3</t>
  </si>
  <si>
    <t>pay_HHd04ZBBRKf0il</t>
  </si>
  <si>
    <t>pay_HHdAszMcEI5K5q</t>
  </si>
  <si>
    <t>jaloota@gmail.com</t>
  </si>
  <si>
    <t>pay_HHdBlQeyrDtoc5</t>
  </si>
  <si>
    <t>ashimdatt@gmail.com</t>
  </si>
  <si>
    <t>pay_HHdK96lrESvQ4M</t>
  </si>
  <si>
    <t>pay_HHdQmTRaHK3NgB</t>
  </si>
  <si>
    <t>pay_HHdRoxDKy508sb</t>
  </si>
  <si>
    <t>pay_HHdVUb2StAzj06</t>
  </si>
  <si>
    <t>pay_HHdiSToQKgKFhx</t>
  </si>
  <si>
    <t>pay_HHdtXkVdU5Mwqb</t>
  </si>
  <si>
    <t>pay_HHe2AVQKS1Qeja</t>
  </si>
  <si>
    <t>pay_HHe7bdIGxZqWLv</t>
  </si>
  <si>
    <t>nasvpo@gmail.com</t>
  </si>
  <si>
    <t>pay_HHe9c595iNs88P</t>
  </si>
  <si>
    <t>pay_HHeCPBGhmah755</t>
  </si>
  <si>
    <t>pay_HHeE9kzLpv7SnI</t>
  </si>
  <si>
    <t>pay_HHeIINQbvYIXUl</t>
  </si>
  <si>
    <t>pay_HHeSb61JxQF9Yb</t>
  </si>
  <si>
    <t>pay_HHec96dAyvqFfg</t>
  </si>
  <si>
    <t>pay_HHegxFBakmDrf7</t>
  </si>
  <si>
    <t>pay_HHeh4Rlkai5po3</t>
  </si>
  <si>
    <t>pay_HHei7jt2gOoyx1</t>
  </si>
  <si>
    <t>pay_HHf002yvBLBsC6</t>
  </si>
  <si>
    <t>gautam.rampal@gmail.com</t>
  </si>
  <si>
    <t>pay_HHf473yzemjEH1</t>
  </si>
  <si>
    <t>pay_HHfHaOiBTprVdt</t>
  </si>
  <si>
    <t>pay_HHfNf43R4Qo1qZ</t>
  </si>
  <si>
    <t>pay_HHgH4llq5AV1sf</t>
  </si>
  <si>
    <t>barboraannapurna19@gmail.com</t>
  </si>
  <si>
    <t>pay_HHgN0SDflHCbpe</t>
  </si>
  <si>
    <t>pay_HHgT9RtOt1PTU6</t>
  </si>
  <si>
    <t>pay_HHgiRWwnFvTamp</t>
  </si>
  <si>
    <t>pay_HHgkhzYGFifUGV</t>
  </si>
  <si>
    <t>pay_HHgoC9yuTpwImK</t>
  </si>
  <si>
    <t>priyanka.dheer98@gmail.com</t>
  </si>
  <si>
    <t>pay_HHgqZJO8p3DX9x</t>
  </si>
  <si>
    <t>pay_HHh2KseA9pe8ZK</t>
  </si>
  <si>
    <t>pay_HHh5g2xITkya7X</t>
  </si>
  <si>
    <t>pay_HHhd9djWgCXQvK</t>
  </si>
  <si>
    <t>pay_HHhhUp3nN02fOk</t>
  </si>
  <si>
    <t>pay_HHhkpDwPvUAp34</t>
  </si>
  <si>
    <t>pay_HHhnjIaPrslTyU</t>
  </si>
  <si>
    <t>pay_HHhuqldtyuLxre</t>
  </si>
  <si>
    <t>pay_HHi2MOPxGQ2d54</t>
  </si>
  <si>
    <t>pay_HHi4TKQu1PjbkT</t>
  </si>
  <si>
    <t>pay_HHi61olsDnoUl0</t>
  </si>
  <si>
    <t>pay_HHitUDiFsm67rj</t>
  </si>
  <si>
    <t>pay_HHj7TGCY6OxuU4</t>
  </si>
  <si>
    <t>pay_HHjr4fr0DKzzsJ</t>
  </si>
  <si>
    <t>pay_HHjzYnOcqOF4QO</t>
  </si>
  <si>
    <t>pay_HHk6TSR87ryjbz</t>
  </si>
  <si>
    <t>pay_HHk9Pv48cRTz8q</t>
  </si>
  <si>
    <t>chauhantina708@gmail.com</t>
  </si>
  <si>
    <t>pay_HHkAFrGYxF7Eol</t>
  </si>
  <si>
    <t>vidhawans@gmail.com</t>
  </si>
  <si>
    <t>pay_HHkAzEIRrNgaX3</t>
  </si>
  <si>
    <t>pay_HHkcZCkyyBBCjm</t>
  </si>
  <si>
    <t>pay_HHkh5LjY3RfMNW</t>
  </si>
  <si>
    <t>pay_HHknu7439wee7T</t>
  </si>
  <si>
    <t>pay_HHkrkzZlCzzpZ1</t>
  </si>
  <si>
    <t>pay_HHl9R1K2ZD2wkG</t>
  </si>
  <si>
    <t>mansikallianpur@gmail.com</t>
  </si>
  <si>
    <t>pay_HHlPkJNWe3R8im</t>
  </si>
  <si>
    <t>pay_HHljEo67avUx9F</t>
  </si>
  <si>
    <t>pawar.swapnesh007@gmail.com</t>
  </si>
  <si>
    <t>pay_HHlsDyI7HE2rRw</t>
  </si>
  <si>
    <t>pay_HHm8waF0J4sDcN</t>
  </si>
  <si>
    <t>pay_HHmFhbzkoqXDjP</t>
  </si>
  <si>
    <t>pay_HHmm7cGzCu0PRv</t>
  </si>
  <si>
    <t>pay_HHn4Gg78MqhAQA</t>
  </si>
  <si>
    <t>pay_HHn5xJdtWw2ll4</t>
  </si>
  <si>
    <t>vishnupriyast27@gmail.com</t>
  </si>
  <si>
    <t>pay_HHn9o6w2fK7DY0</t>
  </si>
  <si>
    <t>ghoshdebolina18@gmail.com</t>
  </si>
  <si>
    <t>pay_HHnGOdI74hxP8G</t>
  </si>
  <si>
    <t>1ms19ec015@gmail.com</t>
  </si>
  <si>
    <t>pay_HHnJhSDT0plnyP</t>
  </si>
  <si>
    <t>sonmijey@gmail.com</t>
  </si>
  <si>
    <t>pay_HHnL0UTF0Y5W24</t>
  </si>
  <si>
    <t>pay_HHnisD0t0ChNRK</t>
  </si>
  <si>
    <t>pay_HHnw9eL16Nmx7G</t>
  </si>
  <si>
    <t>pay_HHnxsEXUkbBARh</t>
  </si>
  <si>
    <t>pay_HHnzbmNX0vSLeL</t>
  </si>
  <si>
    <t>pay_HHoTT1aNu6OuVj</t>
  </si>
  <si>
    <t>pay_HHoTiTALTRwWeS</t>
  </si>
  <si>
    <t>aeomorgi28@gmail.com</t>
  </si>
  <si>
    <t>pay_HHoZ9gCTjG1YOM</t>
  </si>
  <si>
    <t>pay_HHotgLP6aKfaJc</t>
  </si>
  <si>
    <t>pay_HHotri1ASMCUND</t>
  </si>
  <si>
    <t>pay_HHowDTD1Gnaikc</t>
  </si>
  <si>
    <t>pay_HHoytVk365rVNs</t>
  </si>
  <si>
    <t>pay_HHozwGNKIKP4u6</t>
  </si>
  <si>
    <t>pay_HHp3Q2OWoXxm42</t>
  </si>
  <si>
    <t>pay_HHp53Y78Zl0jfs</t>
  </si>
  <si>
    <t>pay_HHp599pDF8YYho</t>
  </si>
  <si>
    <t>pay_HHp7XnHmS5MROK</t>
  </si>
  <si>
    <t>pay_HHpC8S9Scg6xw3</t>
  </si>
  <si>
    <t>pay_HHpE7VTOnUJXcE</t>
  </si>
  <si>
    <t>pay_HHpnePX4neDHyR</t>
  </si>
  <si>
    <t>manishbsn188@gmail.com</t>
  </si>
  <si>
    <t>pay_HHpw7c4TRSOL3L</t>
  </si>
  <si>
    <t>kingr5@rediffmail.com</t>
  </si>
  <si>
    <t>pay_HHpzLL7P1q2Nby</t>
  </si>
  <si>
    <t>pay_HHqYiMgHqju0U3</t>
  </si>
  <si>
    <t>iafcr27@gmail.com</t>
  </si>
  <si>
    <t>pay_HHqZccUTCxT3g5</t>
  </si>
  <si>
    <t>pay_HHqk2ctJFb8ifX</t>
  </si>
  <si>
    <t>pay_HHqn9J4pMFg450</t>
  </si>
  <si>
    <t>pay_HHquaUmOE4Ixb0</t>
  </si>
  <si>
    <t>pay_HHr0GPUr283agH</t>
  </si>
  <si>
    <t>pay_HHrDpumUFftppF</t>
  </si>
  <si>
    <t>pay_HHrEZKCP7Q6UN5</t>
  </si>
  <si>
    <t>pay_HHrJ3SUDlH8reK</t>
  </si>
  <si>
    <t>pay_HHrNr70x4ffapA</t>
  </si>
  <si>
    <t>vaidikakashikar@gmail.com</t>
  </si>
  <si>
    <t>pay_HHrO9QeIUSyWrO</t>
  </si>
  <si>
    <t>ramyaravi107@gmail.com</t>
  </si>
  <si>
    <t>pay_HHrPeui4Q7OSDq</t>
  </si>
  <si>
    <t>pay_HHrRd7R4dq1ZAB</t>
  </si>
  <si>
    <t>pay_HHrT8QCMv6svbq</t>
  </si>
  <si>
    <t>pay_HHrXyO55ALwG4t</t>
  </si>
  <si>
    <t>triptimondal.31jan@gmail.com</t>
  </si>
  <si>
    <t>pay_HHrYelTZXXmLON</t>
  </si>
  <si>
    <t>pay_HHrYm0998GWjxh</t>
  </si>
  <si>
    <t>pay_HHraEF8T21CVmr</t>
  </si>
  <si>
    <t>pay_HHrcwqkIteQL5e</t>
  </si>
  <si>
    <t>gouramuli183@gmail.com</t>
  </si>
  <si>
    <t>pay_HHrpF63X3SGAUk</t>
  </si>
  <si>
    <t>pay_HHrpsdb9oWfo5E</t>
  </si>
  <si>
    <t>pay_HHsMfXEsBS8zMV</t>
  </si>
  <si>
    <t>pay_HHsO3HvuD5KN4T</t>
  </si>
  <si>
    <t>pay_HHsgybmKi8fo3P</t>
  </si>
  <si>
    <t>indirakayathar123@gmail.com</t>
  </si>
  <si>
    <t>pay_HHtUTLXvDGkj63</t>
  </si>
  <si>
    <t>pay_HHtcnAqPnFLWBS</t>
  </si>
  <si>
    <t>pay_HHtq6RHiYKbQB8</t>
  </si>
  <si>
    <t>pay_HHtwtgA6gCNWrP</t>
  </si>
  <si>
    <t>pay_HHuDaOwh4msHpP</t>
  </si>
  <si>
    <t>pay_HHuG89fmf3LMIM</t>
  </si>
  <si>
    <t>pay_HHuLF7RyhUMmX3</t>
  </si>
  <si>
    <t>pay_HHugFvw9DfnwOp</t>
  </si>
  <si>
    <t>erprince909@gmail.com</t>
  </si>
  <si>
    <t>pay_HHum3hdBIagoWR</t>
  </si>
  <si>
    <t>pay_HHunsxNpZcRKkw</t>
  </si>
  <si>
    <t>pay_HHyq20hfXppUdC</t>
  </si>
  <si>
    <t>pay_HHzvF0gzMRIOQA</t>
  </si>
  <si>
    <t>kumarpankaj83109@gmail.com</t>
  </si>
  <si>
    <t>pay_HI0rPUNCYDX6KL</t>
  </si>
  <si>
    <t>pay_HI0s8W8YXEvVTz</t>
  </si>
  <si>
    <t>pay_HI1UQVFqQErTKz</t>
  </si>
  <si>
    <t>pay_HI1f4RkC2VhZzm</t>
  </si>
  <si>
    <t>pay_HI20USX8H9cFjO</t>
  </si>
  <si>
    <t>pay_HI25TV0OZUHwNC</t>
  </si>
  <si>
    <t>pay_HI2CizWzsbtOYm</t>
  </si>
  <si>
    <t>pay_HI2LpNTRZKsEAf</t>
  </si>
  <si>
    <t>pay_HI2Nhq5XWzx6rq</t>
  </si>
  <si>
    <t>pay_HI2o467rbADV9c</t>
  </si>
  <si>
    <t>pay_HI3MeCUBBFfnAE</t>
  </si>
  <si>
    <t>pay_HI3SIGAYXpDZNG</t>
  </si>
  <si>
    <t>pay_HI3WertZVfB68H</t>
  </si>
  <si>
    <t>pay_HI3kYycB1rSZZ2</t>
  </si>
  <si>
    <t>pay_HI3zqgfFuveGdq</t>
  </si>
  <si>
    <t>pay_HI400zRU1SUGUJ</t>
  </si>
  <si>
    <t>pay_HI49OlY0qEnxWs</t>
  </si>
  <si>
    <t>pay_HI4A3qB9OKWg5v</t>
  </si>
  <si>
    <t>pay_HI4Aj57GvfLlgQ</t>
  </si>
  <si>
    <t>pay_HI4AkFndYkV21J</t>
  </si>
  <si>
    <t>pay_HI4Fz4wSbnK9j9</t>
  </si>
  <si>
    <t>pay_HI4HKvtLfb1Rdy</t>
  </si>
  <si>
    <t>pay_HI4JRsyYPg7r9S</t>
  </si>
  <si>
    <t>pay_HI4KeS7xKzw6Pb</t>
  </si>
  <si>
    <t>pay_HI4PHWxWZ6Vy6X</t>
  </si>
  <si>
    <t>pay_HI4T1Y3IjK0R44</t>
  </si>
  <si>
    <t>pay_HI4Zbjm8ecP2LZ</t>
  </si>
  <si>
    <t>pay_HI4Zi2ZFjSLOlj</t>
  </si>
  <si>
    <t>pay_HI4eqqByTA9aQa</t>
  </si>
  <si>
    <t>shekharkumarsahu75@gmail.com</t>
  </si>
  <si>
    <t>pay_HI4jj5epVFhxlZ</t>
  </si>
  <si>
    <t>ikhlasyusuf3@gmail.com</t>
  </si>
  <si>
    <t>pay_HI4oXBVZMJNcE9</t>
  </si>
  <si>
    <t>pay_HI4w6xCmI0wuW0</t>
  </si>
  <si>
    <t>pay_HI4y7y4OdcitNC</t>
  </si>
  <si>
    <t>pay_HI53XYyChx1om1</t>
  </si>
  <si>
    <t>pay_HI56ZWNxG0n6rl</t>
  </si>
  <si>
    <t>pay_HI58gJAcJAyHKA</t>
  </si>
  <si>
    <t>pay_HI5BFuTClQCFGB</t>
  </si>
  <si>
    <t>pay_HI5UsRD2gn5gUa</t>
  </si>
  <si>
    <t>rpwasankar2002@gmail.com</t>
  </si>
  <si>
    <t>pay_HI5VMWOpiVSYl3</t>
  </si>
  <si>
    <t>pay_HI5YgTVGUYMKPM</t>
  </si>
  <si>
    <t>veenaswami27@gmail.com</t>
  </si>
  <si>
    <t>pay_HI5jiZBTzwQ9zH</t>
  </si>
  <si>
    <t>pay_HI5nOHyAX30uGC</t>
  </si>
  <si>
    <t>kanupriyakakodia96@gmail.com</t>
  </si>
  <si>
    <t>pay_HI5pgozIjYzwsc</t>
  </si>
  <si>
    <t>dibyendughosh364@gmail.com</t>
  </si>
  <si>
    <t>pay_HI5u1c9owb04rN</t>
  </si>
  <si>
    <t>dibyensdughosj364@gmail.com</t>
  </si>
  <si>
    <t>pay_HI5zauYYEEw0ho</t>
  </si>
  <si>
    <t>pay_HI609CqsM3bBZA</t>
  </si>
  <si>
    <t>pay_HI6BOR0ivIjuoP</t>
  </si>
  <si>
    <t>pay_HI6FUyPmOFCnVN</t>
  </si>
  <si>
    <t>pay_HI6MADGSgIApVq</t>
  </si>
  <si>
    <t>lokeshguptha9@gmail.com</t>
  </si>
  <si>
    <t>pay_HI6UVMEbx7Rc6a</t>
  </si>
  <si>
    <t>pay_HI6hpZRJbOQTKW</t>
  </si>
  <si>
    <t>pay_HI6ooPmUamiEVj</t>
  </si>
  <si>
    <t>pay_HI769SiHlwUgAj</t>
  </si>
  <si>
    <t>pay_HI7JwCOf8LNIqC</t>
  </si>
  <si>
    <t>pay_HI7OJjgRGgdQDU</t>
  </si>
  <si>
    <t>pay_HI7PqLqecwAKYY</t>
  </si>
  <si>
    <t>pay_HI7aLcInU7z7B7</t>
  </si>
  <si>
    <t>singhpriya0608@gmail.com</t>
  </si>
  <si>
    <t>pay_HI7dPrKR91c9kF</t>
  </si>
  <si>
    <t>pay_HI7kD7bT7WEM76</t>
  </si>
  <si>
    <t>pay_HI7q3AT03myws5</t>
  </si>
  <si>
    <t>kumarikt1995@gmail.com</t>
  </si>
  <si>
    <t>pay_HI7sL2NN3nW810</t>
  </si>
  <si>
    <t>pay_HI7u8CerCDYfKU</t>
  </si>
  <si>
    <t>pay_HI7vlrgY4vJCUB</t>
  </si>
  <si>
    <t>pay_HI81d9mN48aXN6</t>
  </si>
  <si>
    <t>seemabhanap@yahoo.in</t>
  </si>
  <si>
    <t>pay_HI89X7wSZulk6T</t>
  </si>
  <si>
    <t>pay_HI8NbsOEVbNJma</t>
  </si>
  <si>
    <t>pay_HI8gcYbBNOlklk</t>
  </si>
  <si>
    <t>pay_HI9Dy9bWVaiWu4</t>
  </si>
  <si>
    <t>pay_HI9O4pVr47tmi6</t>
  </si>
  <si>
    <t>pay_HI9SsucX3hpAac</t>
  </si>
  <si>
    <t>pay_HI9Uxdov3huVwC</t>
  </si>
  <si>
    <t>pay_HI9XoQ163ryYy9</t>
  </si>
  <si>
    <t>pay_HI9iDt0Zeta109</t>
  </si>
  <si>
    <t>sk_samal@yahoo.com</t>
  </si>
  <si>
    <t>pay_HI9klUTCvyWssa</t>
  </si>
  <si>
    <t>pay_HIA6DIgV290Urj</t>
  </si>
  <si>
    <t>pay_HIAIawyc1Rqcpx</t>
  </si>
  <si>
    <t>pay_HIAcBh5VCthhrC</t>
  </si>
  <si>
    <t>pay_HIAhdKe7P7qpMz</t>
  </si>
  <si>
    <t>pay_HIAifJfGh2Zxnd</t>
  </si>
  <si>
    <t>pay_HIAj6Q1rVcFAq5</t>
  </si>
  <si>
    <t>pay_HIAopsQu5L70Xv</t>
  </si>
  <si>
    <t>pay_HIAvNe7ERT55zU</t>
  </si>
  <si>
    <t>mithu.pandey@srmuniversitu.ac.in</t>
  </si>
  <si>
    <t>pay_HIAzP0G8pCQ4eH</t>
  </si>
  <si>
    <t>manoharbhat67@gmail.com</t>
  </si>
  <si>
    <t>pay_HIB5eTqENLKpjv</t>
  </si>
  <si>
    <t>pay_HIB8C3NAXMqWVo</t>
  </si>
  <si>
    <t>pay_HIBeLvbqXHxliv</t>
  </si>
  <si>
    <t>pay_HIBfaA3TiI6Qpt</t>
  </si>
  <si>
    <t>pay_HIBnUYcI3qqf2G</t>
  </si>
  <si>
    <t>ruchisuccess55@gmail.com</t>
  </si>
  <si>
    <t>pay_HIBoYAjibOviXb</t>
  </si>
  <si>
    <t>pay_HIBqRdwrBn7vMC</t>
  </si>
  <si>
    <t>pay_HIC0caU2KFTI8D</t>
  </si>
  <si>
    <t>disharidey38@gmail.com</t>
  </si>
  <si>
    <t>pay_HIC1YzZXxNppZb</t>
  </si>
  <si>
    <t>pay_HIC2KgxpgjK3cq</t>
  </si>
  <si>
    <t>swarnapandu16@gmail.com</t>
  </si>
  <si>
    <t>pay_HICFQBdKlQNrOJ</t>
  </si>
  <si>
    <t>pay_HICPAv92c7ugGo</t>
  </si>
  <si>
    <t>pay_HICeD6FQvER5BU</t>
  </si>
  <si>
    <t>pay_HICfP8pbpsixop</t>
  </si>
  <si>
    <t>pay_HIChyNXmwYW5YX</t>
  </si>
  <si>
    <t>pay_HID2bXkigUpaW8</t>
  </si>
  <si>
    <t>pay_HID8Kic2qI4s7H</t>
  </si>
  <si>
    <t>pay_HIDAiKzLlb2xqc</t>
  </si>
  <si>
    <t>pay_HIDF4llQLYDGYb</t>
  </si>
  <si>
    <t>pay_HIDGLYt8zEYmV8</t>
  </si>
  <si>
    <t>pay_HIDRwXq5Geowpl</t>
  </si>
  <si>
    <t>pay_HIDZtVphhMiUwp</t>
  </si>
  <si>
    <t>pay_HIDbGVxSCOecy0</t>
  </si>
  <si>
    <t>pay_HIDudWPi3rBT9F</t>
  </si>
  <si>
    <t>pay_HIDyUZ5iKVtpOI</t>
  </si>
  <si>
    <t>pay_HIE7wpRX7qvBbI</t>
  </si>
  <si>
    <t>pay_HIEBZixSGoceBu</t>
  </si>
  <si>
    <t>pay_HIEu9a9TWfDbUT</t>
  </si>
  <si>
    <t>mousumibiswas2102@gmal.com</t>
  </si>
  <si>
    <t>pay_HIF78KpFrQZsKA</t>
  </si>
  <si>
    <t>diksha.priyanka15@gamil.com</t>
  </si>
  <si>
    <t>pay_HIFLqSX35Hj1QE</t>
  </si>
  <si>
    <t>pay_HIFOxNI6vzHrGS</t>
  </si>
  <si>
    <t>pay_HIFRucTrHGWVIt</t>
  </si>
  <si>
    <t>pay_HIFU6XstGdAqVl</t>
  </si>
  <si>
    <t>pay_HIFiSWcEJ2yBlt</t>
  </si>
  <si>
    <t>dagurrj05@gmail.com</t>
  </si>
  <si>
    <t>pay_HIFq5CJs0W3RLX</t>
  </si>
  <si>
    <t>pay_HIFzL0lS6fVu9E</t>
  </si>
  <si>
    <t>pay_HIG0gkRYynQxPD</t>
  </si>
  <si>
    <t>pay_HIG45m5vKBwZox</t>
  </si>
  <si>
    <t>maheshtech50@gmail.com</t>
  </si>
  <si>
    <t>pay_HIGBT5rYSfTjcm</t>
  </si>
  <si>
    <t>pay_HIGIzrTXB9ON1l</t>
  </si>
  <si>
    <t>pay_HIGKaDWtw8GspZ</t>
  </si>
  <si>
    <t>pay_HIGmwYnqLicOtr</t>
  </si>
  <si>
    <t>pay_HIH61nPokSOAdp</t>
  </si>
  <si>
    <t>amanikajjam@gmail.com</t>
  </si>
  <si>
    <t>pay_HIHJtpkjjHfhB0</t>
  </si>
  <si>
    <t>pay_HIHKk13Ufw6t6I</t>
  </si>
  <si>
    <t>pay_HIHRNMy5NOtoqC</t>
  </si>
  <si>
    <t>pay_HIHYCpf0VKtxSu</t>
  </si>
  <si>
    <t>pay_HIHcLZ5otiUfQF</t>
  </si>
  <si>
    <t>pay_HIHlr5MJKmVV07</t>
  </si>
  <si>
    <t>pay_HII9SaXr7r6krp</t>
  </si>
  <si>
    <t>pay_HIICXPQBggYud1</t>
  </si>
  <si>
    <t>pay_HIJ3dlGYqEWorM</t>
  </si>
  <si>
    <t>pay_HIJ4xNfaEVfHQr</t>
  </si>
  <si>
    <t>pay_HIJ7QNTjBg2Chd</t>
  </si>
  <si>
    <t>pay_HIJsXYOvvBVZoQ</t>
  </si>
  <si>
    <t>pay_HIKXUzngIDkviu</t>
  </si>
  <si>
    <t>pay_HILiVgI9FldYHC</t>
  </si>
  <si>
    <t>slakshmipathi205@gmail.com</t>
  </si>
  <si>
    <t>pay_HIP6LM3kX0I8YC</t>
  </si>
  <si>
    <t>pay_HIPKex2JVbFVnj</t>
  </si>
  <si>
    <t>boykafighter143@gmail.com</t>
  </si>
  <si>
    <t>pay_HIPNCKsGXUaKL7</t>
  </si>
  <si>
    <t>pay_HIPSBqSDy9fjkg</t>
  </si>
  <si>
    <t>pay_HIPbY9G7DBU3pc</t>
  </si>
  <si>
    <t>pay_HIPrhP0BKMkeBQ</t>
  </si>
  <si>
    <t>pay_HIPsXvsgRRLbPg</t>
  </si>
  <si>
    <t>pay_HIQSXeYYSE2MMJ</t>
  </si>
  <si>
    <t>pay_HIQgfHna3JJurV</t>
  </si>
  <si>
    <t>pay_HIQhgenwgAFMkc</t>
  </si>
  <si>
    <t>pay_HIQqfMMhOXlvy7</t>
  </si>
  <si>
    <t>pay_HIQyhYAOdxdCxr</t>
  </si>
  <si>
    <t>pay_HIR5IhIQXia71R</t>
  </si>
  <si>
    <t>desaipramod56@gmail.com</t>
  </si>
  <si>
    <t>pay_HIR5qihnZyNIFQ</t>
  </si>
  <si>
    <t>pay_HIR9NLnellz1eL</t>
  </si>
  <si>
    <t>prashantchhaliwal@gmail.com</t>
  </si>
  <si>
    <t>pay_HIRKQMn2LDKSKf</t>
  </si>
  <si>
    <t>pay_HIRKZ26mJmjFb5</t>
  </si>
  <si>
    <t>pay_HIRLbyrSuojMYn</t>
  </si>
  <si>
    <t>pay_HIRMlu5Iwts6q4</t>
  </si>
  <si>
    <t>pay_HIRNv6sQZz1v1x</t>
  </si>
  <si>
    <t>pay_HIRceh0uVqV1W1</t>
  </si>
  <si>
    <t>pay_HIRlyE3q49BfWj</t>
  </si>
  <si>
    <t>pay_HIS3sglx1L7pym</t>
  </si>
  <si>
    <t>pay_HISJr1iNJa3MKU</t>
  </si>
  <si>
    <t>pay_HISNXCeCPUTxFd</t>
  </si>
  <si>
    <t>jyothi_bohra@gmail.com</t>
  </si>
  <si>
    <t>pay_HISWRau9Zla5l3</t>
  </si>
  <si>
    <t>shanusansu@gmail.com</t>
  </si>
  <si>
    <t>pay_HISdU4tvlWLBSk</t>
  </si>
  <si>
    <t>ayudhraj26@gmail.com</t>
  </si>
  <si>
    <t>pay_HISeNF1wg0mxSz</t>
  </si>
  <si>
    <t>pay_HIShmLCO4wkXyM</t>
  </si>
  <si>
    <t>pay_HIT8lWy6He50F4</t>
  </si>
  <si>
    <t>pay_HITLh2J8FD18n1</t>
  </si>
  <si>
    <t>pay_HITQrqemYp0D7W</t>
  </si>
  <si>
    <t>pay_HITZ8ZdvalXxj9</t>
  </si>
  <si>
    <t>pay_HITbHipCPsdDYI</t>
  </si>
  <si>
    <t>devyaniimishra96@gmail.com</t>
  </si>
  <si>
    <t>pay_HITbrLlLBctEg5</t>
  </si>
  <si>
    <t>pay_HITo8ktcYowWyj</t>
  </si>
  <si>
    <t>pay_HITwNjNA0lld6P</t>
  </si>
  <si>
    <t>pay_HIU9mRY686H3eX</t>
  </si>
  <si>
    <t>pay_HIUDyia3jU8c8W</t>
  </si>
  <si>
    <t>pay_HIUECTBkYZboNK</t>
  </si>
  <si>
    <t>pay_HIUF0TUbrizqtN</t>
  </si>
  <si>
    <t>pay_HIUFkTgkFX42so</t>
  </si>
  <si>
    <t>pay_HIUHZs943Pxxjh</t>
  </si>
  <si>
    <t>pay_HIUHdF1wnRKP0U</t>
  </si>
  <si>
    <t>pay_HIUIb60q9BkCBT</t>
  </si>
  <si>
    <t>pay_HIUIlNysFM5LXR</t>
  </si>
  <si>
    <t>pay_HIUMuZkL4EsU6B</t>
  </si>
  <si>
    <t>riya.nain1297@gmail.com</t>
  </si>
  <si>
    <t>pay_HIUPM5pEn2DSaQ</t>
  </si>
  <si>
    <t>pay_HIUR75BgUUSOqI</t>
  </si>
  <si>
    <t>pay_HIURXYtKsQCagS</t>
  </si>
  <si>
    <t>pay_HIUTPWW8Y3O3hQ</t>
  </si>
  <si>
    <t>pay_HIUdSceBMhcOg5</t>
  </si>
  <si>
    <t>pay_HIUwbOzGrEYYA6</t>
  </si>
  <si>
    <t>pay_HIV16hW40fCVjZ</t>
  </si>
  <si>
    <t>pay_HIV5fgjN0JnOpz</t>
  </si>
  <si>
    <t>mittaldipesh4@gmail.com</t>
  </si>
  <si>
    <t>pay_HIVN6M7SvSBOvN</t>
  </si>
  <si>
    <t>pay_HIVby9ewSOrd9A</t>
  </si>
  <si>
    <t>ssuparna22277@gmail.com</t>
  </si>
  <si>
    <t>pay_HIVrb4IZtGv6Hw</t>
  </si>
  <si>
    <t>pay_HIVsAmwVo6HdUI</t>
  </si>
  <si>
    <t>sharumethaa78@gmail.com</t>
  </si>
  <si>
    <t>pay_HIVyHKLjmB02HO</t>
  </si>
  <si>
    <t>pay_HIVyQcYFvslG5p</t>
  </si>
  <si>
    <t>pay_HIW2xWULLS8ru4</t>
  </si>
  <si>
    <t>deesha.1404.dv@gmail.com</t>
  </si>
  <si>
    <t>pay_HIW8ek39ljwwcH</t>
  </si>
  <si>
    <t>pay_HIWFpdOQjtWfHp</t>
  </si>
  <si>
    <t>gautsahuja32@yahoo.co.in</t>
  </si>
  <si>
    <t>pay_HIWPCCwS7Ncs3i</t>
  </si>
  <si>
    <t>vedumahajan3344@gmail.com</t>
  </si>
  <si>
    <t>pay_HIWPxKj4orDqfg</t>
  </si>
  <si>
    <t>pay_HIWZiflI0gI92A</t>
  </si>
  <si>
    <t>pay_HIWamjQYUvQ2uj</t>
  </si>
  <si>
    <t>pay_HIWc02oPmCw00T</t>
  </si>
  <si>
    <t>pay_HIWcmysxQRR9qZ</t>
  </si>
  <si>
    <t>pay_HIWedxTudBPxls</t>
  </si>
  <si>
    <t>pay_HIWfFJ7hAOyJnd</t>
  </si>
  <si>
    <t>pay_HIWfwpZ2gK5wJ5</t>
  </si>
  <si>
    <t>pay_HIWgOTy7ez2B0S</t>
  </si>
  <si>
    <t>pay_HIWy3d9VKKwazx</t>
  </si>
  <si>
    <t>pay_HIXBqSzLGwNFrx</t>
  </si>
  <si>
    <t>pay_HIXDzalSTEhoAt</t>
  </si>
  <si>
    <t>pay_HIXbyLbsXCqebr</t>
  </si>
  <si>
    <t>pay_HIY84bbEqOk0Cr</t>
  </si>
  <si>
    <t>sarfrazkhan248@gmail.com</t>
  </si>
  <si>
    <t>pay_HIYD2VHwA6BIIc</t>
  </si>
  <si>
    <t>liveimages@ymail.com</t>
  </si>
  <si>
    <t>pay_HIYKNGdrUE4068</t>
  </si>
  <si>
    <t>pay_HIYMgHFGFLXuQY</t>
  </si>
  <si>
    <t>pay_HIYPwRgZbCm0Wd</t>
  </si>
  <si>
    <t>pay_HIYR4iMLiYUq43</t>
  </si>
  <si>
    <t>pay_HIYi9A7CBEMEwb</t>
  </si>
  <si>
    <t>pay_HIYism5n7QdO6s</t>
  </si>
  <si>
    <t>pay_HIZ0YgxK0kvmwP</t>
  </si>
  <si>
    <t>pay_HIZ80PkWB0lBuR</t>
  </si>
  <si>
    <t>kggroupsurat@gmail.com</t>
  </si>
  <si>
    <t>pay_HIZGdzLmsL40nO</t>
  </si>
  <si>
    <t>pay_HIZI3Czj5bZlfx</t>
  </si>
  <si>
    <t>pay_HIZUGVNJtB9rIN</t>
  </si>
  <si>
    <t>pay_HIZc3phvZ7emCh</t>
  </si>
  <si>
    <t>pay_HIZgUFdGSr9KL0</t>
  </si>
  <si>
    <t>pay_HIZioaGmwvpi0s</t>
  </si>
  <si>
    <t>pay_HIa3jq2N7YnAeq</t>
  </si>
  <si>
    <t>pay_HIaLLWA5T8kmRR</t>
  </si>
  <si>
    <t>pay_HIaakkQY14pA8z</t>
  </si>
  <si>
    <t>pay_HIaf8OWXZpH1b9</t>
  </si>
  <si>
    <t>pay_HIahbEJTmTnQ8T</t>
  </si>
  <si>
    <t>pay_HIalpLEkfejToG</t>
  </si>
  <si>
    <t>pay_HIar7ubbIBqhYO</t>
  </si>
  <si>
    <t>pay_HIaxynM6vMZKMk</t>
  </si>
  <si>
    <t>deepa011sharma1311@gmail.com</t>
  </si>
  <si>
    <t>pay_HIbJTtK86wiQB5</t>
  </si>
  <si>
    <t>pay_HIbMdHivus0mTF</t>
  </si>
  <si>
    <t>pay_HIbO3iHGQR4hqq</t>
  </si>
  <si>
    <t>pay_HIbOTFUalzBrqo</t>
  </si>
  <si>
    <t>hemajarande1111@gmail.com</t>
  </si>
  <si>
    <t>pay_HIbeKs5nSRoW0y</t>
  </si>
  <si>
    <t>pay_HIbsY4AZfiE0cK</t>
  </si>
  <si>
    <t>pay_HIbuUwHyTn1UfT</t>
  </si>
  <si>
    <t>pay_HIcE1cXpFsdM2N</t>
  </si>
  <si>
    <t>pay_HIcHeQLbAGT3CS</t>
  </si>
  <si>
    <t>aarun1234singh@gmail.com</t>
  </si>
  <si>
    <t>pay_HIczZnM4aZTP4h</t>
  </si>
  <si>
    <t>pay_HId3qFnOxbJ1vo</t>
  </si>
  <si>
    <t>pay_HIdFxH28NJoiF4</t>
  </si>
  <si>
    <t>pay_HIdT7wVqHNVYqM</t>
  </si>
  <si>
    <t>pay_HIdgIhj3Hvhhrr</t>
  </si>
  <si>
    <t>pay_HIdiW1LDVtjSbq</t>
  </si>
  <si>
    <t>pay_HIdkb3pe2ivUwv</t>
  </si>
  <si>
    <t>pay_HIdyrkKljLDoI2</t>
  </si>
  <si>
    <t>pay_HIe60fqWphkOFQ</t>
  </si>
  <si>
    <t>pay_HIeKcrHaQ6RZDV</t>
  </si>
  <si>
    <t>pay_HIeM5j982U9Uyx</t>
  </si>
  <si>
    <t>pay_HIfxz1OGhfWxtX</t>
  </si>
  <si>
    <t>pay_HIjlPMEU9HPR8c</t>
  </si>
  <si>
    <t>pay_HInGM0UY9Zmu1j</t>
  </si>
  <si>
    <t>pay_HIoefYIAohqzHm</t>
  </si>
  <si>
    <t>pay_HIpQlY9QCFUl9l</t>
  </si>
  <si>
    <t>pay_HIpQuvSIW1JbZi</t>
  </si>
  <si>
    <t>pay_HIpqHpB3VELTTu</t>
  </si>
  <si>
    <t>pay_HIptCHBukj3PQh</t>
  </si>
  <si>
    <t>pay_HIqsOugF7OJZZj</t>
  </si>
  <si>
    <t>pay_HIsbIwZrdQlRES</t>
  </si>
  <si>
    <t>pay_HIsoj3vwwFx3zt</t>
  </si>
  <si>
    <t>pay_HIt7jixZUZao21</t>
  </si>
  <si>
    <t>pay_HIuUIEFyrLfojy</t>
  </si>
  <si>
    <t>pay_HIuUnGkCCp9IuG</t>
  </si>
  <si>
    <t>pay_HIv7ZYSNSX7dvV</t>
  </si>
  <si>
    <t>pay_HIvHfIh4PPxbXG</t>
  </si>
  <si>
    <t>pay_HIvIWECQ1i85RT</t>
  </si>
  <si>
    <t>pay_HIvJO1YY3oSp48</t>
  </si>
  <si>
    <t>pay_HIvnSCAxcDBGHs</t>
  </si>
  <si>
    <t>pay_HIvpnbNZeedZLO</t>
  </si>
  <si>
    <t>pay_HIwtxX4qCjZazf</t>
  </si>
  <si>
    <t>pay_HIxFZGfg6Tt8Wl</t>
  </si>
  <si>
    <t>pay_HIzLPtCajvk0v0</t>
  </si>
  <si>
    <t>pay_HIzLvWEIkpMuvO</t>
  </si>
  <si>
    <t>pay_HIzXpcYpWr5kCk</t>
  </si>
  <si>
    <t>pay_HIzZLw4eToYEyv</t>
  </si>
  <si>
    <t>pay_HIzeaHWB8vaN77</t>
  </si>
  <si>
    <t>pay_HJ0OyJ4QvE4ug1</t>
  </si>
  <si>
    <t>pay_HJ0WXo9d5Cg4gR</t>
  </si>
  <si>
    <t>pay_HJ0WtXwOuT0kBk</t>
  </si>
  <si>
    <t>pay_HJ0f7MAjQSakIv</t>
  </si>
  <si>
    <t>pay_HJ1pVVteJXFbCi</t>
  </si>
  <si>
    <t>pay_HJFG3s7Nu7yMvi</t>
  </si>
  <si>
    <t>pay_HJFHaMS13ZJlSe</t>
  </si>
  <si>
    <t>pay_HJFJGKtGwFYD1F</t>
  </si>
  <si>
    <t>pay_HJFbQQkoDFwQHU</t>
  </si>
  <si>
    <t>pay_HJFuoWNrH8lrHB</t>
  </si>
  <si>
    <t>pay_HJHUozOpNdJYH6</t>
  </si>
  <si>
    <t>pay_HJHXahIPFTA1Mz</t>
  </si>
  <si>
    <t>pay_HJHYkFLIbiXR0a</t>
  </si>
  <si>
    <t>pay_HJHvR5W6Pi4gJQ</t>
  </si>
  <si>
    <t>pay_HJI3gHgWXx2B6o</t>
  </si>
  <si>
    <t>pay_HJK59lVnbQ5pKV</t>
  </si>
  <si>
    <t>pay_HJKVdqR9dkfIo6</t>
  </si>
  <si>
    <t>pay_HJLbxBIH5jJNCR</t>
  </si>
  <si>
    <t>pay_HJLccMuCuXVH2C</t>
  </si>
  <si>
    <t>pay_HJLkplv6yUZSHo</t>
  </si>
  <si>
    <t>pay_HJMhIZHANsVzfD</t>
  </si>
  <si>
    <t>gssystem14@gmail.com</t>
  </si>
  <si>
    <t>pay_HJOASrjnOtD3LQ</t>
  </si>
  <si>
    <t>pay_HJOCT55xVQtJuh</t>
  </si>
  <si>
    <t>pay_HJOG3MGJiAYddn</t>
  </si>
  <si>
    <t>pay_HJOGkptSXvCOmW</t>
  </si>
  <si>
    <t>pay_HJOIZel5abdEY0</t>
  </si>
  <si>
    <t>pay_HJOfyyY2M0Wb9j</t>
  </si>
  <si>
    <t>pay_HJPGtpgnz034JK</t>
  </si>
  <si>
    <t>pay_HJRp3oI7I1wEDo</t>
  </si>
  <si>
    <t>pay_HJSMzjrCs0D10P</t>
  </si>
  <si>
    <t>pay_HJbtvsclMpEaBf</t>
  </si>
  <si>
    <t>pay_HJcYWhApCEMglJ</t>
  </si>
  <si>
    <t>pay_HJciuqtk2tLGPo</t>
  </si>
  <si>
    <t>bhavanimannu1993@gmail.com</t>
  </si>
  <si>
    <t>pay_HJdRaGWZPb2DF6</t>
  </si>
  <si>
    <t>pay_HJdSxbeqgpXjSD</t>
  </si>
  <si>
    <t>sacha.mumbai@gmail.com</t>
  </si>
  <si>
    <t>pay_HJdfM0LKEZURuv</t>
  </si>
  <si>
    <t>pay_HJe14bAwIKmneN</t>
  </si>
  <si>
    <t>pay_HJe2hm4LrvPLJF</t>
  </si>
  <si>
    <t>pay_HJeERhXtjFKJpS</t>
  </si>
  <si>
    <t>coolji1212@gmail.com</t>
  </si>
  <si>
    <t>pay_HJeIazEH2RJgJx</t>
  </si>
  <si>
    <t>pay_HJefXc1KC5eMkY</t>
  </si>
  <si>
    <t>pay_HJeffHCth2pTE0</t>
  </si>
  <si>
    <t>saurabhnandekar@ymail.com</t>
  </si>
  <si>
    <t>pay_HJemtExba1DFq2</t>
  </si>
  <si>
    <t>pay_HJexokd1ESQEkf</t>
  </si>
  <si>
    <t>pay_HJfd5Cw7lq5yhz</t>
  </si>
  <si>
    <t>pay_HJfmQ7MjwkzvrE</t>
  </si>
  <si>
    <t>pay_HJfmlnJHEibmZK</t>
  </si>
  <si>
    <t>abarse12@gmail.com</t>
  </si>
  <si>
    <t>pay_HJg1IwJHpm9pfd</t>
  </si>
  <si>
    <t>pay_HJg6YsphKwAcIM</t>
  </si>
  <si>
    <t>pay_HJgAYwYod7P0yx</t>
  </si>
  <si>
    <t>samrakamal786@gmail.com</t>
  </si>
  <si>
    <t>pay_HJgcU2Dv1Yt7iE</t>
  </si>
  <si>
    <t>pay_HJhEKANrjkNJYp</t>
  </si>
  <si>
    <t>pay_HJhEUcW9MelUBl</t>
  </si>
  <si>
    <t>pay_HJhV2XzNsCmAfa</t>
  </si>
  <si>
    <t>pay_HJhXq1fg4SxGE0</t>
  </si>
  <si>
    <t>pay_HJheQHNSeghjtl</t>
  </si>
  <si>
    <t>pay_HJhig8wOld7St1</t>
  </si>
  <si>
    <t>pay_HJi4XgdyCjIro4</t>
  </si>
  <si>
    <t>pay_HJi8GPPXzdWve0</t>
  </si>
  <si>
    <t>pay_HJiPTVQF2xAupe</t>
  </si>
  <si>
    <t>pay_HJibRf9bWpZNws</t>
  </si>
  <si>
    <t>pay_HJif7SGZlZPFj5</t>
  </si>
  <si>
    <t>pay_HJik21zcZTpj1c</t>
  </si>
  <si>
    <t>pay_HJiwgQQ6cJvBfI</t>
  </si>
  <si>
    <t>pay_HJj6nIZzP6ovLe</t>
  </si>
  <si>
    <t>pay_HJjL2GBFHu1GF7</t>
  </si>
  <si>
    <t>pay_HJjMaRM2y4LBzy</t>
  </si>
  <si>
    <t>pay_HJjQKZ7puy2kKg</t>
  </si>
  <si>
    <t>pay_HJjYGMrAjDRGNa</t>
  </si>
  <si>
    <t>pay_HJjYqHPm11GhE2</t>
  </si>
  <si>
    <t>settlershweta@gmail.com</t>
  </si>
  <si>
    <t>pay_HJjiQGCuvvHwtz</t>
  </si>
  <si>
    <t>pay_HJjsKMUAoKivAj</t>
  </si>
  <si>
    <t>pay_HJk8oxrlofOEcZ</t>
  </si>
  <si>
    <t>pay_HJkG9WVP9TXCMi</t>
  </si>
  <si>
    <t>pay_HJkGdg8qAwFh49</t>
  </si>
  <si>
    <t>amulya.bhatnagar06@gmail.com</t>
  </si>
  <si>
    <t>pay_HJkJRPN4aKN9S0</t>
  </si>
  <si>
    <t>pay_HJkZ4KLZXbkueQ</t>
  </si>
  <si>
    <t>pay_HJknThjGn0wxad</t>
  </si>
  <si>
    <t>pay_HJkoXfMVZa10X3</t>
  </si>
  <si>
    <t>pay_HJkqL1qEmydLcX</t>
  </si>
  <si>
    <t>pay_HJkwT6OkfcZKqs</t>
  </si>
  <si>
    <t>pay_HJltNyAVxNHu2C</t>
  </si>
  <si>
    <t>pay_HJlugKlinOcW2i</t>
  </si>
  <si>
    <t>pay_HJm6mhja13keRu</t>
  </si>
  <si>
    <t>pay_HJmGlwh0eS5ITG</t>
  </si>
  <si>
    <t>pay_HJmSbN99Y64nmq</t>
  </si>
  <si>
    <t>pay_HJmTxzFc32oOiS</t>
  </si>
  <si>
    <t>pay_HJmc6Fc318nI0G</t>
  </si>
  <si>
    <t>pay_HJmerY6fz3aP9h</t>
  </si>
  <si>
    <t>pay_HJmfbFSX1MPsrm</t>
  </si>
  <si>
    <t>vidkha03@gmail.com</t>
  </si>
  <si>
    <t>pay_HJmqWqTDNQLgJJ</t>
  </si>
  <si>
    <t>pay_HJmtVnK7yOiQxt</t>
  </si>
  <si>
    <t>pay_HJnI3iyXiZCHKz</t>
  </si>
  <si>
    <t>pay_HJnOdlGiNjnPl8</t>
  </si>
  <si>
    <t>csan.nn08@gmail.com</t>
  </si>
  <si>
    <t>pay_HJnTyMS0bphuWa</t>
  </si>
  <si>
    <t>preetigujjr@gmail.com</t>
  </si>
  <si>
    <t>pay_HJnUtt4d1rTpyB</t>
  </si>
  <si>
    <t>pay_HJnY31iBWWz2ZI</t>
  </si>
  <si>
    <t>pay_HJnZS4W9KlviyP</t>
  </si>
  <si>
    <t>pay_HJnbjyHoUJJulI</t>
  </si>
  <si>
    <t>pay_HJncXbdsYpUNsV</t>
  </si>
  <si>
    <t>pay_HJnjRLnz1r84Kz</t>
  </si>
  <si>
    <t>pay_HJnnPeof1Bitk1</t>
  </si>
  <si>
    <t>pay_HJnnmzrW5aR7Ql</t>
  </si>
  <si>
    <t>pay_HJnpMsa4qsavuL</t>
  </si>
  <si>
    <t>pay_HJny2qz60ChOvB</t>
  </si>
  <si>
    <t>pay_HJo1TR6WIBO6zn</t>
  </si>
  <si>
    <t>pay_HJo834xSZ3Wt1e</t>
  </si>
  <si>
    <t>sharmarohan0077@gmail.com</t>
  </si>
  <si>
    <t>pay_HJoYvB4X6kWDey</t>
  </si>
  <si>
    <t>pay_HJonvg7B5j14Wt</t>
  </si>
  <si>
    <t>pay_HJpB123QgJJnlg</t>
  </si>
  <si>
    <t>pay_HJps8tmLi0kUWh</t>
  </si>
  <si>
    <t>pay_HJptZeLgYA7DHz</t>
  </si>
  <si>
    <t>pay_HJpuAXJWRzmvNq</t>
  </si>
  <si>
    <t>pay_HJpuvjawba2hq5</t>
  </si>
  <si>
    <t>pay_HJpvxOWDG2kjDc</t>
  </si>
  <si>
    <t>pay_HJpxhhVPaKU9AS</t>
  </si>
  <si>
    <t>pay_HJpxmZuX3jR1wz</t>
  </si>
  <si>
    <t>pay_HJqdP1bP5jlpdy</t>
  </si>
  <si>
    <t>pay_HJrZuAGwPY88ar</t>
  </si>
  <si>
    <t>pay_HJrbk7IpzVixAS</t>
  </si>
  <si>
    <t>pay_HJre9hNzP5za87</t>
  </si>
  <si>
    <t>pay_HJrfNJmum1Nei7</t>
  </si>
  <si>
    <t>pay_HJryEPXBm8gn7a</t>
  </si>
  <si>
    <t>pay_HJrzAUmQ1tzwpI</t>
  </si>
  <si>
    <t>pay_HJsfQEodFJFHib</t>
  </si>
  <si>
    <t>pay_HJsis2gS4USNvl</t>
  </si>
  <si>
    <t>sharmilabhat513@gmail.com</t>
  </si>
  <si>
    <t>pay_HJszPil5qwrBY6</t>
  </si>
  <si>
    <t>pay_HJt01YgeczMUDq</t>
  </si>
  <si>
    <t>pay_HJt0igLHXtpNNQ</t>
  </si>
  <si>
    <t>pay_HJtPSEJ2El7c0b</t>
  </si>
  <si>
    <t>pay_HJtQVduCRYe5Zg</t>
  </si>
  <si>
    <t>pay_HJxvH1AwAabIrr</t>
  </si>
  <si>
    <t>pay_HK01O931Q6jmL7</t>
  </si>
  <si>
    <t>pay_HK05P0ZgUfIUAG</t>
  </si>
  <si>
    <t>pay_HK0DfAwMH8FnO6</t>
  </si>
  <si>
    <t>pay_HK0Jp1IcDsJotO</t>
  </si>
  <si>
    <t>pay_HK0LYIjJZeZwjf</t>
  </si>
  <si>
    <t>pay_HK0QQ3Va0ntveX</t>
  </si>
  <si>
    <t>pay_HK0YwyHhgCdIVF</t>
  </si>
  <si>
    <t>pay_HK0hygMUn9LWLl</t>
  </si>
  <si>
    <t>pay_HK0ifvyfqF5tRr</t>
  </si>
  <si>
    <t>pay_HK1EfoqgWNC6At</t>
  </si>
  <si>
    <t>pay_HK2bsXkqU1NqXg</t>
  </si>
  <si>
    <t>pay_HK2ckbwphPl7eG</t>
  </si>
  <si>
    <t>pay_HK2dGwFPrvfYmz</t>
  </si>
  <si>
    <t>pay_HK2rRcyvQGCJaq</t>
  </si>
  <si>
    <t>pay_HK3NSlIu1sAIqV</t>
  </si>
  <si>
    <t>pay_HK3U1ihircO880</t>
  </si>
  <si>
    <t>pay_HK3iex6sR6sGov</t>
  </si>
  <si>
    <t>pay_HK3pSUfuZyAXcr</t>
  </si>
  <si>
    <t>pay_HK3wQ9Xsh8JTv2</t>
  </si>
  <si>
    <t>pay_HK47vjoCIXaJno</t>
  </si>
  <si>
    <t>akansha.johri06@gmail.com</t>
  </si>
  <si>
    <t>pay_HK4BRUjRacFg1I</t>
  </si>
  <si>
    <t>pay_HK4BTCRCE4SEMc</t>
  </si>
  <si>
    <t>pay_HK4DGe1Ih958bf</t>
  </si>
  <si>
    <t>pay_HK4DbYcjOnKZFl</t>
  </si>
  <si>
    <t>pay_HK4GLOixTdk2eE</t>
  </si>
  <si>
    <t>pay_HK4LODCcVUnrNK</t>
  </si>
  <si>
    <t>pay_HK4TeBpWyotWGI</t>
  </si>
  <si>
    <t>pay_HK4p69Ep1OddF7</t>
  </si>
  <si>
    <t>pay_HK4weAoBzz2BBg</t>
  </si>
  <si>
    <t>pay_HK4x2g64e5N7Xw</t>
  </si>
  <si>
    <t>pay_HK565mV787tAeT</t>
  </si>
  <si>
    <t>pay_HK5BSopLaxmo17</t>
  </si>
  <si>
    <t>pay_HK5kt0tWfZiRug</t>
  </si>
  <si>
    <t>pay_HK5ofmM4UU5eqV</t>
  </si>
  <si>
    <t>pay_HK6BH1nvGMFmOL</t>
  </si>
  <si>
    <t>pay_HK6KuAAwrScHcf</t>
  </si>
  <si>
    <t>pay_HK6dDlRXGKPT4W</t>
  </si>
  <si>
    <t>pay_HK73p6YcRPktv3</t>
  </si>
  <si>
    <t>pay_HK77PrALCA1Y8n</t>
  </si>
  <si>
    <t>pay_HK77zeXM15ZW3K</t>
  </si>
  <si>
    <t>reminisce.h12@gmail.com</t>
  </si>
  <si>
    <t>pay_HK7ARAHKaV2Tof</t>
  </si>
  <si>
    <t>pay_HK7PIwI8xFI5Kx</t>
  </si>
  <si>
    <t>pay_HK7QCn22lpCkdP</t>
  </si>
  <si>
    <t>vaibhavkhambayat27@gmail.com</t>
  </si>
  <si>
    <t>pay_HK7mZa7leDwhDi</t>
  </si>
  <si>
    <t>pay_HK7pyVJYSBdP7c</t>
  </si>
  <si>
    <t>pay_HK85L7CvBupdLG</t>
  </si>
  <si>
    <t>pay_HK8VaK5CcJHgHv</t>
  </si>
  <si>
    <t>pay_HK8lWJnCOMQ8pQ</t>
  </si>
  <si>
    <t>pay_HK8rj1X3V03Cd7</t>
  </si>
  <si>
    <t>pay_HK9CsGmnyj4yUB</t>
  </si>
  <si>
    <t>pay_HK9IveZaK8Tinf</t>
  </si>
  <si>
    <t>pay_HK9LfpLlGdckZv</t>
  </si>
  <si>
    <t>pay_HK9PisExjQnOL9</t>
  </si>
  <si>
    <t>pay_HK9ojcavHBb9aa</t>
  </si>
  <si>
    <t>pay_HK9tHoLJDWIlvX</t>
  </si>
  <si>
    <t>pay_HK9vpGVTwx77mr</t>
  </si>
  <si>
    <t>sahilkwatra40@gmail.com</t>
  </si>
  <si>
    <t>pay_HKA7dEc69xxZFG</t>
  </si>
  <si>
    <t>pay_HKA97mDcKDrgMZ</t>
  </si>
  <si>
    <t>anusasi06@gmail.com</t>
  </si>
  <si>
    <t>pay_HKAYTHnE9ubCgg</t>
  </si>
  <si>
    <t>pay_HKAaiXqWOk27Dv</t>
  </si>
  <si>
    <t>pay_HKAf5aGRVwLcjt</t>
  </si>
  <si>
    <t>pay_HKApseeN0q1FQd</t>
  </si>
  <si>
    <t>pay_HKB6RSvcgJEsKY</t>
  </si>
  <si>
    <t>pay_HKB9MacBlWWDQJ</t>
  </si>
  <si>
    <t>pay_HKBQCN26qRTM5M</t>
  </si>
  <si>
    <t>pay_HKBX9m8IQKzifi</t>
  </si>
  <si>
    <t>pay_HKBXJfLnxtUUQg</t>
  </si>
  <si>
    <t>pay_HKBoaI5skm5mcF</t>
  </si>
  <si>
    <t>pay_HKBpQ5WIyGaTP0</t>
  </si>
  <si>
    <t>pay_HKBsF5UxXFdIKa</t>
  </si>
  <si>
    <t>pay_HKBwnJUmtovIjT</t>
  </si>
  <si>
    <t>pay_HKBzzzeP6o5fL7</t>
  </si>
  <si>
    <t>pay_HKC8zRTqkJgA2Q</t>
  </si>
  <si>
    <t>tulasisrinivas1969@gmail.com</t>
  </si>
  <si>
    <t>pay_HKCjf1sEE3Wint</t>
  </si>
  <si>
    <t>pay_HKClL6BNpoWZjy</t>
  </si>
  <si>
    <t>saran.apr666@gmail.com</t>
  </si>
  <si>
    <t>pay_HKCrV1Uqacv9hk</t>
  </si>
  <si>
    <t>pay_HKCtMfGCBQTiww</t>
  </si>
  <si>
    <t>pay_HKD2WzMSzg8Fhv</t>
  </si>
  <si>
    <t>pay_HKD8z15iUXiEgZ</t>
  </si>
  <si>
    <t>pay_HKD9QNVPik4gcR</t>
  </si>
  <si>
    <t>pay_HKDQFWyhBXA2GP</t>
  </si>
  <si>
    <t>pay_HKDVMaNLNlZrvY</t>
  </si>
  <si>
    <t>yuvrajsinghmidha@gmail.com</t>
  </si>
  <si>
    <t>pay_HKDVV7vsKbZAju</t>
  </si>
  <si>
    <t>pay_HKDW3B6LPmI4TF</t>
  </si>
  <si>
    <t>kavithamuppalla34@gmail.com</t>
  </si>
  <si>
    <t>pay_HKDcin1YflqSg4</t>
  </si>
  <si>
    <t>pay_HKDk4N1WUxPjVo</t>
  </si>
  <si>
    <t>pay_HKDrw4sLG7r5DU</t>
  </si>
  <si>
    <t>pay_HKDstFHsA4tp0H</t>
  </si>
  <si>
    <t>sanjay_sawalkar@rediffmail.com</t>
  </si>
  <si>
    <t>pay_HKEDSx4WtRooop</t>
  </si>
  <si>
    <t>pay_HKEHHohdU1vCAc</t>
  </si>
  <si>
    <t>pay_HKEa2uhqXC53Tl</t>
  </si>
  <si>
    <t>pay_HKEbrJe43yjpHB</t>
  </si>
  <si>
    <t>pay_HKEcsB5aDKWbiR</t>
  </si>
  <si>
    <t>pay_HKEgnXSR3ls0Mc</t>
  </si>
  <si>
    <t>dineshkhushi9462@gmail.com</t>
  </si>
  <si>
    <t>pay_HKEp5VxgEsCIDt</t>
  </si>
  <si>
    <t>pay_HKF2JaDdT2xqbZ</t>
  </si>
  <si>
    <t>pay_HKF52eRjc9As4g</t>
  </si>
  <si>
    <t>pay_HKFBT8Svc3L1YY</t>
  </si>
  <si>
    <t>pay_HKFaTB6ElYB2sU</t>
  </si>
  <si>
    <t>pay_HKGHkFFwl6VOU9</t>
  </si>
  <si>
    <t>pay_HKGKUD8RF03I3M</t>
  </si>
  <si>
    <t>pay_HKGO8TJIUsO2Fk</t>
  </si>
  <si>
    <t>pay_HKGTUkEsdVzPgH</t>
  </si>
  <si>
    <t>nrgupta22@gmail.com</t>
  </si>
  <si>
    <t>pay_HKHCT1v61Fh9tT</t>
  </si>
  <si>
    <t>pay_HKHX3seYV7mVgS</t>
  </si>
  <si>
    <t>pay_HKHYNYkq2iUMQo</t>
  </si>
  <si>
    <t>pay_HKHZtjvJ1eRXYI</t>
  </si>
  <si>
    <t>pay_HKHlkA5dN0kkTa</t>
  </si>
  <si>
    <t>pay_HKKY5whMxW5b1U</t>
  </si>
  <si>
    <t>mahi10909090@gmail.com</t>
  </si>
  <si>
    <t>pay_HKKaqszkS2kdH6</t>
  </si>
  <si>
    <t>jonali.bhatta2804@gmail.com</t>
  </si>
  <si>
    <t>pay_HKMN8ggDqmVKHp</t>
  </si>
  <si>
    <t>pay_HKNjeV35vmSn11</t>
  </si>
  <si>
    <t>pay_HKOMADGYfov7R6</t>
  </si>
  <si>
    <t>pay_HKPbCdvyUZG2Gu</t>
  </si>
  <si>
    <t>pay_HKPtDjcjz1pWY0</t>
  </si>
  <si>
    <t>pay_HKQ934bQaMtAgq</t>
  </si>
  <si>
    <t>pay_HKQaQOuTrvdmUD</t>
  </si>
  <si>
    <t>pay_HKRmSCE93dmjof</t>
  </si>
  <si>
    <t>pay_HKRmT52KTjdKXY</t>
  </si>
  <si>
    <t>hharshi102@gmail.com</t>
  </si>
  <si>
    <t>pay_HKRnF237PnG0MY</t>
  </si>
  <si>
    <t>pay_HKRtVFbFbax6CB</t>
  </si>
  <si>
    <t>pay_HKRxhpxfpaGmCj</t>
  </si>
  <si>
    <t>veenasarath95@gmail.com</t>
  </si>
  <si>
    <t>pay_HKSEjnETI24Ztg</t>
  </si>
  <si>
    <t>patnaiksangeeta23@gmail.com</t>
  </si>
  <si>
    <t>pay_HKSLCNvKywzbXa</t>
  </si>
  <si>
    <t>pay_HKSNqoxa2niOXK</t>
  </si>
  <si>
    <t>pay_HKSQEkxMojypN6</t>
  </si>
  <si>
    <t>saifspanish18@gmail.com</t>
  </si>
  <si>
    <t>pay_HKShj91jFhqUVe</t>
  </si>
  <si>
    <t>pay_HKSi9sD3XvoPmy</t>
  </si>
  <si>
    <t>shubhamsharma6705@gmail.com</t>
  </si>
  <si>
    <t>pay_HKSkDxTciqZGSe</t>
  </si>
  <si>
    <t>pay_HKSkQPwyqw66OO</t>
  </si>
  <si>
    <t>pay_HKStsql2VkOX4C</t>
  </si>
  <si>
    <t>pay_HKSuLlmrJy9ATj</t>
  </si>
  <si>
    <t>pay_HKT3xcoccZ2IU2</t>
  </si>
  <si>
    <t>pay_HKT45PAHjGRXg0</t>
  </si>
  <si>
    <t>pay_HKT4n7GUPQZSWA</t>
  </si>
  <si>
    <t>pay_HKT8KndUNtPXil</t>
  </si>
  <si>
    <t>pay_HKTC2rivNRYlKM</t>
  </si>
  <si>
    <t>pay_HKTHBoBqQZXfGp</t>
  </si>
  <si>
    <t>pay_HKTV1je3C8kuH8</t>
  </si>
  <si>
    <t>pay_HKTYAjWLijl88o</t>
  </si>
  <si>
    <t>pay_HKTinfLCBaafoZ</t>
  </si>
  <si>
    <t>pay_HKTjWBOEXedT85</t>
  </si>
  <si>
    <t>pay_HKTkehyNRkXELh</t>
  </si>
  <si>
    <t>pay_HKTn56BpGn38Ug</t>
  </si>
  <si>
    <t>shrmamonu777@gmail.com</t>
  </si>
  <si>
    <t>pay_HKTwuQxAACaEjK</t>
  </si>
  <si>
    <t>pay_HKU4zUZ23q9mRU</t>
  </si>
  <si>
    <t>pay_HKU6KX4a7NX88c</t>
  </si>
  <si>
    <t>pay_HKU93mJD7JoOEL</t>
  </si>
  <si>
    <t>pay_HKUAMEu2XIZEpY</t>
  </si>
  <si>
    <t>pay_HKUD7chJjZt0fo</t>
  </si>
  <si>
    <t>pay_HKULDeej1WzedX</t>
  </si>
  <si>
    <t>bindhusabu2020@gmail.com</t>
  </si>
  <si>
    <t>pay_HKUVXy7iPfuyra</t>
  </si>
  <si>
    <t>pay_HKUWJBmtq33Bhd</t>
  </si>
  <si>
    <t>komal.rawat1112@gmail.com</t>
  </si>
  <si>
    <t>pay_HKUcI7EVZuH2eo</t>
  </si>
  <si>
    <t>pay_HKUezbzZfvMOOA</t>
  </si>
  <si>
    <t>pay_HKUft2SPom7K7f</t>
  </si>
  <si>
    <t>pay_HKUhM0nJsCc55j</t>
  </si>
  <si>
    <t>pay_HKUkGhkJhFtapz</t>
  </si>
  <si>
    <t>pay_HKV4niEqKtmwf9</t>
  </si>
  <si>
    <t>pay_HKV6IwoBCMAEL2</t>
  </si>
  <si>
    <t>pay_HKV7qF9JsXTtVF</t>
  </si>
  <si>
    <t>pay_HKVAOUn4Jd9tFr</t>
  </si>
  <si>
    <t>pay_HKVBgGeF0PxXOq</t>
  </si>
  <si>
    <t>pay_HKVYLy0QzGgbOG</t>
  </si>
  <si>
    <t>pay_HKVcAPZJPtORkO</t>
  </si>
  <si>
    <t>pay_HKVt9Np0t7bQ5K</t>
  </si>
  <si>
    <t>pay_HKVulAeSk3XliX</t>
  </si>
  <si>
    <t>akshaychoubey457@gmail.com</t>
  </si>
  <si>
    <t>pay_HKWVmHdjMWwIVe</t>
  </si>
  <si>
    <t>mohitpannu20@gmail.com</t>
  </si>
  <si>
    <t>pay_HKXhmas8SY9bl2</t>
  </si>
  <si>
    <t>pay_HKXkkHjL3dF9XN</t>
  </si>
  <si>
    <t>pay_HKXnHjVsnmBt2i</t>
  </si>
  <si>
    <t>pay_HKXtsigitkyKpw</t>
  </si>
  <si>
    <t>pay_HKY1Nf1L1psu9N</t>
  </si>
  <si>
    <t>pay_HKY2XuEN3J6WAj</t>
  </si>
  <si>
    <t>pay_HKY3bF7xW7bC4V</t>
  </si>
  <si>
    <t>pay_HKY3j134sIAyFc</t>
  </si>
  <si>
    <t>pay_HKY5fxvKhw1YDA</t>
  </si>
  <si>
    <t>parasriram@gmail.com</t>
  </si>
  <si>
    <t>pay_HKYAFC32SeyFpA</t>
  </si>
  <si>
    <t>pay_HKYKrsc780bbxF</t>
  </si>
  <si>
    <t>pay_HKYQ6aqhIj0Heg</t>
  </si>
  <si>
    <t>pay_HKYfuUe4qyclL0</t>
  </si>
  <si>
    <t>pay_HKYkt5Kx7Xcvyx</t>
  </si>
  <si>
    <t>pay_HKYl0BmilNNgBA</t>
  </si>
  <si>
    <t>pay_HKYoxMXs7qezMw</t>
  </si>
  <si>
    <t>pay_HKYq0aab86dAIA</t>
  </si>
  <si>
    <t>pay_HKYttm3GK1Uk5o</t>
  </si>
  <si>
    <t>pay_HKZ2Iw95Qsw47p</t>
  </si>
  <si>
    <t>pay_HKZClwGdILOW1d</t>
  </si>
  <si>
    <t>pay_HKZaaklfFetU6J</t>
  </si>
  <si>
    <t>pay_HKZbqtewvrS7V0</t>
  </si>
  <si>
    <t>babinmanihara@gmail.com</t>
  </si>
  <si>
    <t>pay_HKZiMyMpQiRYP4</t>
  </si>
  <si>
    <t>akanshaayadav@gmail.com</t>
  </si>
  <si>
    <t>pay_HKZinhwwXLH95P</t>
  </si>
  <si>
    <t>pay_HKZjTy4ZvllRU9</t>
  </si>
  <si>
    <t>pay_HKa3RNV3FQFgbU</t>
  </si>
  <si>
    <t>pay_HKa8Y5aNgJ3XyI</t>
  </si>
  <si>
    <t>pay_HKaC5cEhT5ndgZ</t>
  </si>
  <si>
    <t>pay_HKadQxvooHj2qr</t>
  </si>
  <si>
    <t>pay_HKaqQjHkCgkdXY</t>
  </si>
  <si>
    <t>pay_HKb3e6FblUD9hF</t>
  </si>
  <si>
    <t>pay_HKbA7JN9xRSb6e</t>
  </si>
  <si>
    <t>pay_HKbN2R0QzZY2RW</t>
  </si>
  <si>
    <t>pay_HKbiHpSxvqtFl8</t>
  </si>
  <si>
    <t>omkagole20@gmail.com</t>
  </si>
  <si>
    <t>pay_HKbuNRqGHBb7vp</t>
  </si>
  <si>
    <t>pay_HKcK3X3nqyVXbo</t>
  </si>
  <si>
    <t>pay_HKcLmqJgIShu8k</t>
  </si>
  <si>
    <t>pay_HKcLsm1Z2DmgBC</t>
  </si>
  <si>
    <t>pay_HKcQdcqVTjD3A4</t>
  </si>
  <si>
    <t>pay_HKcXg1OfxQqgGO</t>
  </si>
  <si>
    <t>pay_HKcYRsUt16yjcB</t>
  </si>
  <si>
    <t>pay_HKdFs5Yum7H1Uz</t>
  </si>
  <si>
    <t>pay_HKdYW2k5SUvpl9</t>
  </si>
  <si>
    <t>pay_HKdccafhwQzfab</t>
  </si>
  <si>
    <t>pay_HKdopcuiIB6Mgx</t>
  </si>
  <si>
    <t>pay_HKdq59yTKo0kY6</t>
  </si>
  <si>
    <t>pay_HKdugyjkXtX4W6</t>
  </si>
  <si>
    <t>pay_HKejQTScXddM60</t>
  </si>
  <si>
    <t>pay_HKeja4XYIUsi0u</t>
  </si>
  <si>
    <t>pay_HKejj6GmkpeqTe</t>
  </si>
  <si>
    <t>pay_HKf6IVctJv3lWO</t>
  </si>
  <si>
    <t>pay_HKg6TE5IsGsGZF</t>
  </si>
  <si>
    <t>pay_HKg6dy4CPp0pqn</t>
  </si>
  <si>
    <t>pay_HKhnh0rZL9ZoOM</t>
  </si>
  <si>
    <t>pay_HKlN62qzbTkBbq</t>
  </si>
  <si>
    <t>pay_HKlRJ5FRFAQVL9</t>
  </si>
  <si>
    <t>pay_HKlSrajNK4V3UT</t>
  </si>
  <si>
    <t>pay_HKlVHHvUdQ9gy8</t>
  </si>
  <si>
    <t>pay_HKnLepflpmoDVB</t>
  </si>
  <si>
    <t>pay_HKni4RJhXr1hly</t>
  </si>
  <si>
    <t>pay_HKoAwFECHZOJsM</t>
  </si>
  <si>
    <t>pay_HKoFpPANhPG5Ws</t>
  </si>
  <si>
    <t>rakeshdalawai78@gmail.com</t>
  </si>
  <si>
    <t>pay_HKoP5IpOOg6D0I</t>
  </si>
  <si>
    <t>pay_HKobaUV2KKtzVt</t>
  </si>
  <si>
    <t>pay_HKosOeTpLOKkCa</t>
  </si>
  <si>
    <t>pay_HKpCAzCqJ45gd9</t>
  </si>
  <si>
    <t>pay_HKpUpKi63EA3b1</t>
  </si>
  <si>
    <t>pay_HKpjRcQ3dkynBW</t>
  </si>
  <si>
    <t>francis.carlsberg@gmail.com</t>
  </si>
  <si>
    <t>pay_HKpk561t18X0ht</t>
  </si>
  <si>
    <t>pay_HKpsmVMmxwn8wn</t>
  </si>
  <si>
    <t>pay_HKpwBUN0Z2PINn</t>
  </si>
  <si>
    <t>pay_HKq2wB7dfBct8B</t>
  </si>
  <si>
    <t>pay_HKq5qRyluRirbu</t>
  </si>
  <si>
    <t>pay_HKq9suQYySlldz</t>
  </si>
  <si>
    <t>pay_HKqA5BvrtYbU4t</t>
  </si>
  <si>
    <t>pay_HKqAax4p3903dr</t>
  </si>
  <si>
    <t>pay_HKqHYRu5q4sNAE</t>
  </si>
  <si>
    <t>pay_HKqIlDmvsCsiau</t>
  </si>
  <si>
    <t>pay_HKqJBmgeQGliCz</t>
  </si>
  <si>
    <t>pay_HKqLX8iLxfAlqE</t>
  </si>
  <si>
    <t>pay_HKqNBWW3C0eAEt</t>
  </si>
  <si>
    <t>pay_HKqT4iUlJW3f3x</t>
  </si>
  <si>
    <t>pay_HKqV33IMPITWtX</t>
  </si>
  <si>
    <t>pay_HKqXiG26azFmDR</t>
  </si>
  <si>
    <t>pay_HKqfGX7djw6kU5</t>
  </si>
  <si>
    <t>abhishekbaldua23@gmail.com</t>
  </si>
  <si>
    <t>pay_HKqfUuYxocAtyu</t>
  </si>
  <si>
    <t>pay_HKqgn2fPT6eqaO</t>
  </si>
  <si>
    <t>pay_HKqsi2OcMx80l1</t>
  </si>
  <si>
    <t>pay_HKqsiIKPadPvr6</t>
  </si>
  <si>
    <t>neenupriyask@gmail.com</t>
  </si>
  <si>
    <t>pay_HKqtB5s73T2BDI</t>
  </si>
  <si>
    <t>pay_HKqtxXMD0S6rv2</t>
  </si>
  <si>
    <t>pay_HKquyuvNksh8eQ</t>
  </si>
  <si>
    <t>dd.anuja@gmail.com</t>
  </si>
  <si>
    <t>pay_HKraVl1vxOTKAC</t>
  </si>
  <si>
    <t>charanjithkaur@gmail.com</t>
  </si>
  <si>
    <t>pay_HKrmeirJpYIzDV</t>
  </si>
  <si>
    <t>pay_HKrtLD2o5kDjCZ</t>
  </si>
  <si>
    <t>pay_HKrxiT23jbUsA4</t>
  </si>
  <si>
    <t>pay_HKs18hkDG9nWQi</t>
  </si>
  <si>
    <t>pay_HKs3FpXJ0GJsZx</t>
  </si>
  <si>
    <t>pay_HKsA41YMeHfT6L</t>
  </si>
  <si>
    <t>athulyagracebiju@gmail.com</t>
  </si>
  <si>
    <t>pay_HKsGZ2BHt609TG</t>
  </si>
  <si>
    <t>pay_HKsGby7fx2TXip</t>
  </si>
  <si>
    <t>pay_HKsGgo0ILdzyVW</t>
  </si>
  <si>
    <t>pay_HKsIKijxKCsMh4</t>
  </si>
  <si>
    <t>pay_HKsSP2KxNXVedE</t>
  </si>
  <si>
    <t>pay_HKsxqCqNdXk6aQ</t>
  </si>
  <si>
    <t>pay_HKt2Er61qHCWY5</t>
  </si>
  <si>
    <t>pay_HKt4IPH8x9b1Fa</t>
  </si>
  <si>
    <t>pay_HKtDx822EnQKjS</t>
  </si>
  <si>
    <t>pay_HKtHD005N8tNlu</t>
  </si>
  <si>
    <t>pay_HKtgUwq2v4NNoB</t>
  </si>
  <si>
    <t>pay_HKtmDI1FZU2MjH</t>
  </si>
  <si>
    <t>sudha.ganesh@gmail.com</t>
  </si>
  <si>
    <t>pay_HKtnQ1QVUDUZFc</t>
  </si>
  <si>
    <t>pay_HKu4Zd29IKmuT3</t>
  </si>
  <si>
    <t>pay_HKulwZn6FwDygG</t>
  </si>
  <si>
    <t>srivastavau59@gmail.com</t>
  </si>
  <si>
    <t>pay_HKunJTvyOFDHgb</t>
  </si>
  <si>
    <t>pay_HKv4gR5j1TOKpZ</t>
  </si>
  <si>
    <t>pay_HKv7s1MzU7BQCW</t>
  </si>
  <si>
    <t>pay_HKvNpXXsLDOLfM</t>
  </si>
  <si>
    <t>pay_HKvm0230BILtCg</t>
  </si>
  <si>
    <t>pay_HKvq3QEF208jUP</t>
  </si>
  <si>
    <t>pay_HKvqpeetNwL0EH</t>
  </si>
  <si>
    <t>pay_HKvwDS145m1KGc</t>
  </si>
  <si>
    <t>pay_HKwQDL43F9a0SU</t>
  </si>
  <si>
    <t>pay_HKwdzPo1dfugNK</t>
  </si>
  <si>
    <t>pay_HKwfym1UJQDd0A</t>
  </si>
  <si>
    <t>pay_HKwlQuoivWcLQJ</t>
  </si>
  <si>
    <t>pay_HKwpLV2kxW9dAh</t>
  </si>
  <si>
    <t>pay_HKwu7A0LR8M5Zd</t>
  </si>
  <si>
    <t>pay_HKwzgaBaa1dBHY</t>
  </si>
  <si>
    <t>pay_HKx2Eezodarw9H</t>
  </si>
  <si>
    <t>pay_HKxHq5i9ZwxRcz</t>
  </si>
  <si>
    <t>pay_HKxMC5r25RaIzv</t>
  </si>
  <si>
    <t>pay_HKxNnsCFQ6SBkk</t>
  </si>
  <si>
    <t>pay_HKxP8lEeXROCei</t>
  </si>
  <si>
    <t>apoorvadube22@gmail.com</t>
  </si>
  <si>
    <t>pay_HKxPeZlMqx1RVG</t>
  </si>
  <si>
    <t>pay_HKxXFHTc2qJ5L0</t>
  </si>
  <si>
    <t>pay_HKxXIWLotTVM36</t>
  </si>
  <si>
    <t>pay_HKxZJgpmxjV7kR</t>
  </si>
  <si>
    <t>pay_HKxa6w0Z3hjZz5</t>
  </si>
  <si>
    <t>pay_HKxard3PtQwhcp</t>
  </si>
  <si>
    <t>pay_HKxidmlHaF1kp5</t>
  </si>
  <si>
    <t>pay_HKxlRlqGokOhLC</t>
  </si>
  <si>
    <t>bhumikamodi4@gmail.com</t>
  </si>
  <si>
    <t>pay_HKxq3PPkNaNDga</t>
  </si>
  <si>
    <t>pay_HKxwKp0WpeTDKi</t>
  </si>
  <si>
    <t>pay_HKxzjkQvrxLfZe</t>
  </si>
  <si>
    <t>mohammad786013@gmail.com</t>
  </si>
  <si>
    <t>pay_HKy649j94w1Ghu</t>
  </si>
  <si>
    <t>pay_HKyPswv4XWCFSG</t>
  </si>
  <si>
    <t>pay_HKyiz7HSE0dagD</t>
  </si>
  <si>
    <t>pay_HKyjWLxDQGqT7D</t>
  </si>
  <si>
    <t>pay_HKyjYDgjQ69IFX</t>
  </si>
  <si>
    <t>vasanth02307@gmail.com</t>
  </si>
  <si>
    <t>pay_HKywCvegQ79tZ0</t>
  </si>
  <si>
    <t>tomailmurugan@gmail.com</t>
  </si>
  <si>
    <t>pay_HKzqPV1tC0Fgej</t>
  </si>
  <si>
    <t>pay_HL05KlojUi7soW</t>
  </si>
  <si>
    <t>pay_HL1ZQAJrbA8QQG</t>
  </si>
  <si>
    <t>pay_HL1iekQfzyec7C</t>
  </si>
  <si>
    <t>pay_HL24FsPDDMsBZL</t>
  </si>
  <si>
    <t>pay_HL25Ckhoq75m6F</t>
  </si>
  <si>
    <t>pay_HL28CzeBf2rx9c</t>
  </si>
  <si>
    <t>pay_HL2F5EOleCDqd7</t>
  </si>
  <si>
    <t>pay_HL2ppO5cIO7FZG</t>
  </si>
  <si>
    <t>pay_HL2s2mj8XAD3oL</t>
  </si>
  <si>
    <t>pay_HL3GA5t0dvIVVe</t>
  </si>
  <si>
    <t>pay_HL3JgNUeMs1NWV</t>
  </si>
  <si>
    <t>pay_HL3MYJ6cWxKhuG</t>
  </si>
  <si>
    <t>pay_HL3P03eydGBtLz</t>
  </si>
  <si>
    <t>pay_HL3QeBdQeSc4qK</t>
  </si>
  <si>
    <t>pay_HL3kITHxvwH7FE</t>
  </si>
  <si>
    <t>pay_HL3yreo8FHWZ9z</t>
  </si>
  <si>
    <t>pay_HL43Mbwl5yYqNh</t>
  </si>
  <si>
    <t>pay_HL80Q8ItA09Ygg</t>
  </si>
  <si>
    <t>pay_HL8388z230uknZ</t>
  </si>
  <si>
    <t>shriimahalakshmi9@gmail.com</t>
  </si>
  <si>
    <t>pay_HL9NIGWOzQpttM</t>
  </si>
  <si>
    <t>pay_HLAB5xZjxvr7hu</t>
  </si>
  <si>
    <t>pay_HLAgzmFvHqLSdH</t>
  </si>
  <si>
    <t>pay_HLAyftFU4iHfpV</t>
  </si>
  <si>
    <t>kaujasreen67@gmail.com</t>
  </si>
  <si>
    <t>pay_HLBRjP0n1wENjR</t>
  </si>
  <si>
    <t>20amitmishra@gmail.com</t>
  </si>
  <si>
    <t>pay_HLBqhO9zGsJrde</t>
  </si>
  <si>
    <t>pay_HLBrfMwcgwo5LU</t>
  </si>
  <si>
    <t>pay_HLC7uQLPNcwP8B</t>
  </si>
  <si>
    <t>pay_HLCAedfdEUD7HB</t>
  </si>
  <si>
    <t>pay_HLCC2Iz8h4UZNC</t>
  </si>
  <si>
    <t>pay_HLCEySP65sTIAO</t>
  </si>
  <si>
    <t>pay_HLCG444v3lEJgm</t>
  </si>
  <si>
    <t>pay_HLCip7X4ve7Bgi</t>
  </si>
  <si>
    <t>pay_HLCpkNKqDkNz1K</t>
  </si>
  <si>
    <t>ar632614@gmail.com</t>
  </si>
  <si>
    <t>pay_HLCtFAzOgi0FiG</t>
  </si>
  <si>
    <t>pay_HLD7mQ3WSKfCAR</t>
  </si>
  <si>
    <t>khomansinha007@gmail.com</t>
  </si>
  <si>
    <t>pay_HLDKhnrgL8ZFso</t>
  </si>
  <si>
    <t>singh.devwardhan@gmail.com</t>
  </si>
  <si>
    <t>pay_HLDRumQRPOFh78</t>
  </si>
  <si>
    <t>pay_HLDVObNsXu4bnw</t>
  </si>
  <si>
    <t>pay_HLE885ax1F5H35</t>
  </si>
  <si>
    <t>pay_HLE8B1ODj8xiHc</t>
  </si>
  <si>
    <t>pay_HLENDEMhZ5TNaw</t>
  </si>
  <si>
    <t>pay_HLEOpnC7bHkm9k</t>
  </si>
  <si>
    <t>pay_HLFDgOhoZT35ZG</t>
  </si>
  <si>
    <t>pay_HLFJOVFwSdNEOA</t>
  </si>
  <si>
    <t>pay_HLFK0BOLt4KMRF</t>
  </si>
  <si>
    <t>pay_HLFKQBT4Ikx53y</t>
  </si>
  <si>
    <t>pay_HLFMGsLhlapAXO</t>
  </si>
  <si>
    <t>pay_HLFMquBzvJYqmd</t>
  </si>
  <si>
    <t>pay_HLFT9uEGCaSELY</t>
  </si>
  <si>
    <t>pay_HLFTJfGn0S9SRq</t>
  </si>
  <si>
    <t>pay_HLFfl5uSNhD87W</t>
  </si>
  <si>
    <t>pay_HLFshTNmtIXYBI</t>
  </si>
  <si>
    <t>pay_HLG0qAK4Ct2Fjj</t>
  </si>
  <si>
    <t>pay_HLGLgwP7sdCkzt</t>
  </si>
  <si>
    <t>pay_HLGPhNrhiJfEkV</t>
  </si>
  <si>
    <t>preciouspearl16@ymail.com</t>
  </si>
  <si>
    <t>pay_HLGQDTpWYwEGNS</t>
  </si>
  <si>
    <t>pay_HLGigg417FNNAf</t>
  </si>
  <si>
    <t>apurvadesale04@gmail.com</t>
  </si>
  <si>
    <t>pay_HLH7R6JQp29kvU</t>
  </si>
  <si>
    <t>pay_HLH9XLiOpyXzbw</t>
  </si>
  <si>
    <t>pay_HLHSTt2betSWIr</t>
  </si>
  <si>
    <t>ntg0411@gmail.com</t>
  </si>
  <si>
    <t>pay_HLHcXZPVgL40Hb</t>
  </si>
  <si>
    <t>pay_HLHhu7s4vwCxK7</t>
  </si>
  <si>
    <t>pay_HLHxg1sBKqYyBR</t>
  </si>
  <si>
    <t>indira1918@gmail.com</t>
  </si>
  <si>
    <t>pay_HLIN8cjKTe5EcB</t>
  </si>
  <si>
    <t>mre172430@gmail.com</t>
  </si>
  <si>
    <t>pay_HLIS7qZX2sDxin</t>
  </si>
  <si>
    <t>jitenmangla20.2015@gmail.com</t>
  </si>
  <si>
    <t>pay_HLISrrriLMhnmC</t>
  </si>
  <si>
    <t>pay_HLITxMhHtDVQeM</t>
  </si>
  <si>
    <t>pay_HLIVDO0RPDozgZ</t>
  </si>
  <si>
    <t>pay_HLIXrOY6H9lEHq</t>
  </si>
  <si>
    <t>jakirhossin6871@gmail.com</t>
  </si>
  <si>
    <t>pay_HLIfF3qWTZgorh</t>
  </si>
  <si>
    <t>nishalakandri319@gmail.com</t>
  </si>
  <si>
    <t>pay_HLIkxeNrujllNO</t>
  </si>
  <si>
    <t>pay_HLJ7dRLxdOXihz</t>
  </si>
  <si>
    <t>neharajputneha074@gmail.com</t>
  </si>
  <si>
    <t>pay_HLJOxGGWLoXXHa</t>
  </si>
  <si>
    <t>pay_HLJRLyBF5dBdVz</t>
  </si>
  <si>
    <t>pay_HLJUEjHfjt2TTu</t>
  </si>
  <si>
    <t>pay_HLJimnNyjMzMRx</t>
  </si>
  <si>
    <t>pay_HLJkTL5stEVWuD</t>
  </si>
  <si>
    <t>punnaa.puneet@gmail.com</t>
  </si>
  <si>
    <t>pay_HLK254tL0cixwR</t>
  </si>
  <si>
    <t>pay_HLK3KXgY2a93dv</t>
  </si>
  <si>
    <t>kuraneeraj18@gmail.com</t>
  </si>
  <si>
    <t>pay_HLK5Ao7W8VJpf1</t>
  </si>
  <si>
    <t>pay_HLKAJ89jSTmoVs</t>
  </si>
  <si>
    <t>pay_HLKOpABDCqpRbS</t>
  </si>
  <si>
    <t>pay_HLKVRMfXhoDsE3</t>
  </si>
  <si>
    <t>rayudugontimukkala@gmail.com</t>
  </si>
  <si>
    <t>pay_HLKfDMX67ciXjw</t>
  </si>
  <si>
    <t>designsbynishita@gmail.com</t>
  </si>
  <si>
    <t>pay_HLKnsajozCBZ95</t>
  </si>
  <si>
    <t>pay_HLKySBkcBtTeq7</t>
  </si>
  <si>
    <t>pay_HLL9l8QjVq22Bu</t>
  </si>
  <si>
    <t>pay_HLLKFVdvLz28CF</t>
  </si>
  <si>
    <t>sanchitdas214@gmail.com</t>
  </si>
  <si>
    <t>pay_HLLLi9mx1E1npk</t>
  </si>
  <si>
    <t>pay_HLLXBSsiDor7s0</t>
  </si>
  <si>
    <t>pay_HLLbbxEgX0sOBp</t>
  </si>
  <si>
    <t>pay_HLM90cksod33k4</t>
  </si>
  <si>
    <t>pay_HLMAfIaTG4CgkH</t>
  </si>
  <si>
    <t>pay_HLMptC9iTTxPYf</t>
  </si>
  <si>
    <t>pay_HLMy1uJ5lWuCtV</t>
  </si>
  <si>
    <t>pay_HLN4QrIoQo1UVS</t>
  </si>
  <si>
    <t>pay_HLNmdFRD6ELGa5</t>
  </si>
  <si>
    <t>pay_HLNoW7GAWVOU8k</t>
  </si>
  <si>
    <t>pay_HLNuFmG6aNQ5Zz</t>
  </si>
  <si>
    <t>yashagarwal45678@gmail.com</t>
  </si>
  <si>
    <t>pay_HLNvs4CBIB3iZx</t>
  </si>
  <si>
    <t>pay_HLNxQrn6moTr18</t>
  </si>
  <si>
    <t>pay_HLO2gsryfs1PXZ</t>
  </si>
  <si>
    <t>pay_HLO3fZu4hDMcPf</t>
  </si>
  <si>
    <t>pay_HLOBFsz4nDKP6L</t>
  </si>
  <si>
    <t>pay_HLOG09vaaRnGXR</t>
  </si>
  <si>
    <t>pay_HLOTODVsf0EqgP</t>
  </si>
  <si>
    <t>dt.dharana@gmail.com</t>
  </si>
  <si>
    <t>pay_HLOdrQPBlvpmBd</t>
  </si>
  <si>
    <t>pay_HLOemMfmmAfx13</t>
  </si>
  <si>
    <t>pay_HLOg6IuceC92aC</t>
  </si>
  <si>
    <t>pay_HLOi3d9fRN78oq</t>
  </si>
  <si>
    <t>pay_HLOk5b3IbIdCI6</t>
  </si>
  <si>
    <t>pay_HLPQ4r5IW4ak0l</t>
  </si>
  <si>
    <t>pay_HLPQoBdyt68IMf</t>
  </si>
  <si>
    <t>pay_HLPR0DIc3iB5BZ</t>
  </si>
  <si>
    <t>pay_HLPSngQwfbv2Zt</t>
  </si>
  <si>
    <t>pg877073@gmail.com</t>
  </si>
  <si>
    <t>pay_HLPVHRZsujxLDk</t>
  </si>
  <si>
    <t>pay_HLPY4ayW7mWHGy</t>
  </si>
  <si>
    <t>pay_HLPaX3lVQozmGf</t>
  </si>
  <si>
    <t>nilesht8@gmail.com</t>
  </si>
  <si>
    <t>pay_HLPfL2JnsOWIOv</t>
  </si>
  <si>
    <t>pay_HLQ1GZ4kgJb6H2</t>
  </si>
  <si>
    <t>pay_HLQ1zwnwxRtENo</t>
  </si>
  <si>
    <t>pay_HLQgGCojdLMbZW</t>
  </si>
  <si>
    <t>pay_HLQgqTfihkLyU1</t>
  </si>
  <si>
    <t>pay_HLQi2w8Qoy1D45</t>
  </si>
  <si>
    <t>pay_HLQingrAiyXu7N</t>
  </si>
  <si>
    <t>priteedhamane85@gmail.com</t>
  </si>
  <si>
    <t>pay_HLQjnQwpnHkK2v</t>
  </si>
  <si>
    <t>pay_HLQof6ClGy34Bm</t>
  </si>
  <si>
    <t>vickynani74@gmail.com</t>
  </si>
  <si>
    <t>pay_HLQxQysSrCN2kO</t>
  </si>
  <si>
    <t>amol.madhale8@gmail.com</t>
  </si>
  <si>
    <t>pay_HLQxsIKxdqfkYE</t>
  </si>
  <si>
    <t>pay_HLR7MudAeZmBQk</t>
  </si>
  <si>
    <t>ksidra09aa@gmail.com</t>
  </si>
  <si>
    <t>pay_HLR8HEBOmwMJXW</t>
  </si>
  <si>
    <t>pay_HLRAfpyKvxtj8s</t>
  </si>
  <si>
    <t>pay_HLRCGyh1jnkakl</t>
  </si>
  <si>
    <t>pay_HLRYyeMVWPGAzA</t>
  </si>
  <si>
    <t>pay_HLRgMq1jr6srtX</t>
  </si>
  <si>
    <t>pay_HLRqd2Leju83He</t>
  </si>
  <si>
    <t>pay_HLSJS96dbxTHGM</t>
  </si>
  <si>
    <t>pay_HLSQySHhXpV0fS</t>
  </si>
  <si>
    <t>pay_HLSxCVJYBkqJIg</t>
  </si>
  <si>
    <t>pay_HLUHxzMYxBkTXu</t>
  </si>
  <si>
    <t>smitarani@yahoo.com</t>
  </si>
  <si>
    <t>pay_HLYJdzlogvUbuj</t>
  </si>
  <si>
    <t>pay_HLYNdDsN11iJUC</t>
  </si>
  <si>
    <t>pay_HLYmJngs1tlQHF</t>
  </si>
  <si>
    <t>lavanyasaini96@gmail.com</t>
  </si>
  <si>
    <t>pay_HLYp2Wqff2dtA6</t>
  </si>
  <si>
    <t>pay_HLYrl4NHE7lYN8</t>
  </si>
  <si>
    <t>sabinahangma94@gmail.com</t>
  </si>
  <si>
    <t>pay_HLa3nDl0dwcPdF</t>
  </si>
  <si>
    <t>raoakshay790@gmail.com</t>
  </si>
  <si>
    <t>pay_HLaQMNLyPLD7Jo</t>
  </si>
  <si>
    <t>pay_HLaRCbFK5OETFI</t>
  </si>
  <si>
    <t>vidyapdubey.09@gmail.com</t>
  </si>
  <si>
    <t>pay_HLaYvIhoNIR3aT</t>
  </si>
  <si>
    <t>mugundh.dhivakar@gmail.com</t>
  </si>
  <si>
    <t>pay_HLaejMXpDQchrB</t>
  </si>
  <si>
    <t>pay_HLafNFi4goAhs2</t>
  </si>
  <si>
    <t>vedant.kadu98@gmail.com</t>
  </si>
  <si>
    <t>pay_HLbV7yr2Uk7dYX</t>
  </si>
  <si>
    <t>pay_HLbW3T7IkgPD3I</t>
  </si>
  <si>
    <t>krishnavamsireddy77@gmail.com</t>
  </si>
  <si>
    <t>pay_HLcc9SnpmgMDqA</t>
  </si>
  <si>
    <t>vsvishu132@gmail.com</t>
  </si>
  <si>
    <t>pay_HLccdiZXHHfJhj</t>
  </si>
  <si>
    <t>pay_HLccrWu8Wl1yNL</t>
  </si>
  <si>
    <t>pay_HLcculgm71uGOZ</t>
  </si>
  <si>
    <t>pay_HLcelEhT7iEUBB</t>
  </si>
  <si>
    <t>pay_HLcgoMSfDpZCnC</t>
  </si>
  <si>
    <t>vedikachouliya1220@gmail.com</t>
  </si>
  <si>
    <t>pay_HLd4SIx41sm1rq</t>
  </si>
  <si>
    <t>nutritionfitone@gmail.com</t>
  </si>
  <si>
    <t>pay_HLdKzyghbQ5Ksa</t>
  </si>
  <si>
    <t>venkatesh.858080@gmail.com</t>
  </si>
  <si>
    <t>pay_HLdLc2MGZxDmpu</t>
  </si>
  <si>
    <t>pay_HLdMNdqEJRlPi7</t>
  </si>
  <si>
    <t>pay_HLdNBMzJtfyGDa</t>
  </si>
  <si>
    <t>pay_HLdPyWWLZHwLYs</t>
  </si>
  <si>
    <t>pay_HLdTiC0Pg1PGtf</t>
  </si>
  <si>
    <t>pay_HLdYNej7LFQoYA</t>
  </si>
  <si>
    <t>pay_HLdrCmweG25Sp0</t>
  </si>
  <si>
    <t>pay_HLeXKS5dGQkjyZ</t>
  </si>
  <si>
    <t>pay_HLeaNgw7jwpHjn</t>
  </si>
  <si>
    <t>wonderarch111@gmail.com</t>
  </si>
  <si>
    <t>pay_HLebn2m78clDLN</t>
  </si>
  <si>
    <t>pay_HLecIhaU0yXz7A</t>
  </si>
  <si>
    <t>nehamarathe1796@gmail.com</t>
  </si>
  <si>
    <t>pay_HLedFacL60nHlF</t>
  </si>
  <si>
    <t>digitalkaran93@gmail.com</t>
  </si>
  <si>
    <t>pay_HLeetj60wuUwS0</t>
  </si>
  <si>
    <t>pay_HLeqDEKVx1ZBQt</t>
  </si>
  <si>
    <t>pay_HLeqWakCFOLnLx</t>
  </si>
  <si>
    <t>manonmayi.m@gmail.com</t>
  </si>
  <si>
    <t>pay_HLex2WpGPFLsKH</t>
  </si>
  <si>
    <t>pay_HLf0iWhcTahfZc</t>
  </si>
  <si>
    <t>pay_HLfPqZRag3yq1p</t>
  </si>
  <si>
    <t>pay_HLfR8Y4kI0gj3p</t>
  </si>
  <si>
    <t>ashidubey50@gmail.com</t>
  </si>
  <si>
    <t>pay_HLfRtqk8ayNaEw</t>
  </si>
  <si>
    <t>pay_HLfV71DDiJNNRC</t>
  </si>
  <si>
    <t>pay_HLfysiUH1jBWtf</t>
  </si>
  <si>
    <t>pay_HLg6KXUS7sbG3x</t>
  </si>
  <si>
    <t>pay_HLg7OujA1BafTt</t>
  </si>
  <si>
    <t>pay_HLg7n8wN6aRP5l</t>
  </si>
  <si>
    <t>jarman@amityonline.com</t>
  </si>
  <si>
    <t>pay_HLgDJywnv6T31e</t>
  </si>
  <si>
    <t>pay_HLggRUovpfMYFi</t>
  </si>
  <si>
    <t>patil.vijaykumar2010@gmail.com</t>
  </si>
  <si>
    <t>pay_HLhDt5ChQgQBLw</t>
  </si>
  <si>
    <t>pay_HLhdj50b5k6KCV</t>
  </si>
  <si>
    <t>pay_HLheCxOn72RSxd</t>
  </si>
  <si>
    <t>pay_HLilQ7zVXUN9mU</t>
  </si>
  <si>
    <t>pay_HLill4cKTqffp2</t>
  </si>
  <si>
    <t>pay_HLitR3n7dKtyQd</t>
  </si>
  <si>
    <t>pay_HLiul4sE9qv2WN</t>
  </si>
  <si>
    <t>pay_HLiw6SrbuOGgWc</t>
  </si>
  <si>
    <t>pay_HLix6FZ4HzLHlR</t>
  </si>
  <si>
    <t>pay_HLix8V38VqRYay</t>
  </si>
  <si>
    <t>pay_HLix9JQm4d1kff</t>
  </si>
  <si>
    <t>pay_HLj1Id8xL72AUB</t>
  </si>
  <si>
    <t>pay_HLj6svWmJu512Z</t>
  </si>
  <si>
    <t>pay_HLjPEG3fQsduql</t>
  </si>
  <si>
    <t>pay_HLjdg3OTYlNCiz</t>
  </si>
  <si>
    <t>asim.mathur1002@yandex.com</t>
  </si>
  <si>
    <t>pay_HLk7lwiXcbbDL7</t>
  </si>
  <si>
    <t>pay_HLkChtl1RaCPfR</t>
  </si>
  <si>
    <t>pay_HLkF6NAHbaGGqr</t>
  </si>
  <si>
    <t>pay_HLkKM5XfwAkvsf</t>
  </si>
  <si>
    <t>pay_HLksW3eXmldjZk</t>
  </si>
  <si>
    <t>pay_HLktW1y0S9z3Eg</t>
  </si>
  <si>
    <t>pay_HLlcyLjQRquHwP</t>
  </si>
  <si>
    <t>pay_HLljjT7l2Mmg3V</t>
  </si>
  <si>
    <t>pay_HLlkDOToiIZYLf</t>
  </si>
  <si>
    <t>soniakulshrestha@gmail.com</t>
  </si>
  <si>
    <t>pay_HLlrIeHEQZDujT</t>
  </si>
  <si>
    <t>pay_HLlsaSvSgtpMcF</t>
  </si>
  <si>
    <t>duapuneet1976@gmail.com</t>
  </si>
  <si>
    <t>pay_HLm8zIlNETMib5</t>
  </si>
  <si>
    <t>pay_HLmAEYCFkhZAEI</t>
  </si>
  <si>
    <t>pay_HLmWryXUmI9y41</t>
  </si>
  <si>
    <t>pay_HLmYQ34SqWwXis</t>
  </si>
  <si>
    <t>pay_HLmaLiAAEp46us</t>
  </si>
  <si>
    <t>pay_HLmf4LJUDiouow</t>
  </si>
  <si>
    <t>pay_HLmpAOhg7oFG3m</t>
  </si>
  <si>
    <t>pay_HLmtnUr2UbA2ch</t>
  </si>
  <si>
    <t>adiaox@gmail.com</t>
  </si>
  <si>
    <t>pay_HLmvwUxnnyK0Hm</t>
  </si>
  <si>
    <t>pay_HLn3PfmlbpA4HQ</t>
  </si>
  <si>
    <t>pay_HLn6do5mYZdTEa</t>
  </si>
  <si>
    <t>yuvakishore.nelakurthi@gmail.com</t>
  </si>
  <si>
    <t>pay_HLn6mPGgRaNcmg</t>
  </si>
  <si>
    <t>ssa.shyamagrawal@gmail.com</t>
  </si>
  <si>
    <t>pay_HLn7WquvXqWQXT</t>
  </si>
  <si>
    <t>pay_HLnApJf0vCCGxd</t>
  </si>
  <si>
    <t>pay_HLnO3BC8QDcba6</t>
  </si>
  <si>
    <t>pay_HLnRDTeTl9nq0O</t>
  </si>
  <si>
    <t>sourabhsahu1776@gmail.com</t>
  </si>
  <si>
    <t>pay_HLnRLklr4kJiUF</t>
  </si>
  <si>
    <t>sujaykusher8@gmail.com</t>
  </si>
  <si>
    <t>pay_HLnZnMeRXlQgoX</t>
  </si>
  <si>
    <t>pay_HLnji4Rlm1avO1</t>
  </si>
  <si>
    <t>pay_HLnpvfTVbpITGW</t>
  </si>
  <si>
    <t>pay_HLnqYcvpkzynt8</t>
  </si>
  <si>
    <t>pay_HLo7or2wq03sul</t>
  </si>
  <si>
    <t>surajpatil9600@gmail.com</t>
  </si>
  <si>
    <t>pay_HLo9NpWQfoFZt9</t>
  </si>
  <si>
    <t>pay_HLoK1tUqVbVR0B</t>
  </si>
  <si>
    <t>pay_HLoRkq1QLcrKDT</t>
  </si>
  <si>
    <t>pay_HLoTToHyOlIsuU</t>
  </si>
  <si>
    <t>vinayyaadav137@gmail.com</t>
  </si>
  <si>
    <t>pay_HLoVV0g0YMpOxQ</t>
  </si>
  <si>
    <t>pay_HLodGKC4eXGa4H</t>
  </si>
  <si>
    <t>pay_HLogodc2u6dH9p</t>
  </si>
  <si>
    <t>pay_HLokRHs6b3BJ04</t>
  </si>
  <si>
    <t>rvp00026@gmail.com</t>
  </si>
  <si>
    <t>pay_HLol06jVTqeMEC</t>
  </si>
  <si>
    <t>pay_HLosRsygZ0Y0Fv</t>
  </si>
  <si>
    <t>pay_HLp4YK1BVWneSW</t>
  </si>
  <si>
    <t>praveenkrishna14@gmail.com</t>
  </si>
  <si>
    <t>pay_HLp9G9aFP5UofK</t>
  </si>
  <si>
    <t>pay_HLpAu0JIG8rbel</t>
  </si>
  <si>
    <t>pay_HLpB4OL0w8bwRb</t>
  </si>
  <si>
    <t>pay_HLpBXdwGhxy26s</t>
  </si>
  <si>
    <t>pay_HLpBl9PlLg5npu</t>
  </si>
  <si>
    <t>dshiriya86@gmail.com</t>
  </si>
  <si>
    <t>pay_HLpCOWvCWAi3Rl</t>
  </si>
  <si>
    <t>pay_HLpFS6EBqNW0MB</t>
  </si>
  <si>
    <t>krrishsoni128@gmail.com</t>
  </si>
  <si>
    <t>pay_HLpGD7BEHRGwtN</t>
  </si>
  <si>
    <t>pay_HLpMfK9ngUrWTl</t>
  </si>
  <si>
    <t>namratarawat89@gmail.com</t>
  </si>
  <si>
    <t>pay_HLpSHNIzMfCCLo</t>
  </si>
  <si>
    <t>pay_HLpTvDjX53lmjz</t>
  </si>
  <si>
    <t>pay_HLpUXlAI9lfOOy</t>
  </si>
  <si>
    <t>pritidodeja430@gmail.com</t>
  </si>
  <si>
    <t>pay_HLpdRlJALkYkmn</t>
  </si>
  <si>
    <t>pay_HLpenBRmy8PXY6</t>
  </si>
  <si>
    <t>pay_HLprwQoqrG9kNs</t>
  </si>
  <si>
    <t>pay_HLpyD1YOlI8EV2</t>
  </si>
  <si>
    <t>pay_HLqNLX8AEUFUNP</t>
  </si>
  <si>
    <t>pay_HLqQEhEJsfIwNO</t>
  </si>
  <si>
    <t>pay_HLrChMLPHN4JtD</t>
  </si>
  <si>
    <t>pay_HLrXgk5Ffcgub6</t>
  </si>
  <si>
    <t>pay_HLrbKELwruOWpX</t>
  </si>
  <si>
    <t>pattanaik1999@gmail.com</t>
  </si>
  <si>
    <t>pay_HLrd3cO6bAOEwS</t>
  </si>
  <si>
    <t>pay_HLrkqfPcaDYhdq</t>
  </si>
  <si>
    <t>nehathaware58@gmail.com</t>
  </si>
  <si>
    <t>pay_HLroLFjN2rG6Ad</t>
  </si>
  <si>
    <t>pay_HLs3urJxoH7eBR</t>
  </si>
  <si>
    <t>sriyanshud5@gmail.com</t>
  </si>
  <si>
    <t>pay_HLt242kAncOD8a</t>
  </si>
  <si>
    <t>pay_HLt3SuUENXSNnv</t>
  </si>
  <si>
    <t>pay_HLt3aCg7nNQdFV</t>
  </si>
  <si>
    <t>pay_HLtd1pDK5qXGx4</t>
  </si>
  <si>
    <t>pay_HLuL73dqqJGKbs</t>
  </si>
  <si>
    <t>pay_HLuNOWMFoXntPw</t>
  </si>
  <si>
    <t>pay_HLuPEQkG09UfCO</t>
  </si>
  <si>
    <t>pay_HLv0UJ2bSQZjvH</t>
  </si>
  <si>
    <t>pay_HLv1NQcnK6x0a2</t>
  </si>
  <si>
    <t>pgmc92.se@gmail.com</t>
  </si>
  <si>
    <t>pay_HLwiZlxDzMYtft</t>
  </si>
  <si>
    <t>pay_HLwltwzMiCyvvZ</t>
  </si>
  <si>
    <t>osingh62@gmail.com</t>
  </si>
  <si>
    <t>pay_HLxBME6Vlcum6L</t>
  </si>
  <si>
    <t>architect.ram4@gmail.com</t>
  </si>
  <si>
    <t>pay_HLyn9PoR2htr8s</t>
  </si>
  <si>
    <t>pay_HLziAVIZpF5fQH</t>
  </si>
  <si>
    <t>lokeshkumar1996949@gmail.com</t>
  </si>
  <si>
    <t>pay_HM0BzzoXWntriY</t>
  </si>
  <si>
    <t>pay_HM0Eloe8BjnbKv</t>
  </si>
  <si>
    <t>civilmalu@gmail.com</t>
  </si>
  <si>
    <t>pay_HM0RUKOQz2un06</t>
  </si>
  <si>
    <t>pay_HM0TRYPFVz7czo</t>
  </si>
  <si>
    <t>pay_HM0Wt6CTRo51HY</t>
  </si>
  <si>
    <t>pay_HM0qLiWZORO70d</t>
  </si>
  <si>
    <t>nehakamath04.nk@gmail.com</t>
  </si>
  <si>
    <t>pay_HM0yRyYoJAm2Tl</t>
  </si>
  <si>
    <t>pay_HM152vDss3GqXh</t>
  </si>
  <si>
    <t>sushmaarikatla@gmail.com</t>
  </si>
  <si>
    <t>pay_HM1Mh2V7UrOlsn</t>
  </si>
  <si>
    <t>pay_HM1TyXoGWXfLet</t>
  </si>
  <si>
    <t>pay_HM1fVqb30IX7aI</t>
  </si>
  <si>
    <t>pay_HM26vqqU2auyQF</t>
  </si>
  <si>
    <t>pay_HM2SJLk55FbBJk</t>
  </si>
  <si>
    <t>pay_HM3GT8R6yY5US4</t>
  </si>
  <si>
    <t>motivationeducation772@gmail.com</t>
  </si>
  <si>
    <t>pay_HM3JgYELfm8QzW</t>
  </si>
  <si>
    <t>pay_HM3OzU4PTWa7y6</t>
  </si>
  <si>
    <t>suruchichoukhany@gmail.com</t>
  </si>
  <si>
    <t>pay_HM3WeGygOi4ouJ</t>
  </si>
  <si>
    <t>sumi.guru7@gmail.com</t>
  </si>
  <si>
    <t>pay_HM3jUBdafsHpZs</t>
  </si>
  <si>
    <t>pay_HM3ni82Z3BHgCA</t>
  </si>
  <si>
    <t>pay_HM4Rmfyb2yDKhT</t>
  </si>
  <si>
    <t>priyankachander3@gmail.com</t>
  </si>
  <si>
    <t>pay_HM4fwaTMkiPTrz</t>
  </si>
  <si>
    <t>pay_HM5BPG7HnT51V2</t>
  </si>
  <si>
    <t>pay_HM5GcZ3Roujo5p</t>
  </si>
  <si>
    <t>pay_HM5IY7uPHKYOrB</t>
  </si>
  <si>
    <t>pay_HM5IliEPatNQZc</t>
  </si>
  <si>
    <t>pay_HM5M95NjT2j8F0</t>
  </si>
  <si>
    <t>pay_HM5N24RL1CN8Ug</t>
  </si>
  <si>
    <t>pay_HM5PlzUHydkTIL</t>
  </si>
  <si>
    <t>pay_HM5QhSFy6IqgcN</t>
  </si>
  <si>
    <t>pay_HM5jw4J9vzKFNV</t>
  </si>
  <si>
    <t>pay_HM6KBJbngvzxor</t>
  </si>
  <si>
    <t>abhanaktode07@gmail.com</t>
  </si>
  <si>
    <t>pay_HM6PbZ2TVQL4TX</t>
  </si>
  <si>
    <t>shivaiyer91@yahoo.com</t>
  </si>
  <si>
    <t>pay_HM6PuHGeOTgunm</t>
  </si>
  <si>
    <t>pay_HM6QpbqFtyAqWe</t>
  </si>
  <si>
    <t>pay_HM6UD9qwAtt7qX</t>
  </si>
  <si>
    <t>kaustubhgogate@gmail.com</t>
  </si>
  <si>
    <t>pay_HM6jpIXnPytiUP</t>
  </si>
  <si>
    <t>pay_HM6zMR1z5TDkHw</t>
  </si>
  <si>
    <t>sheetal.gujral@yahoo.com</t>
  </si>
  <si>
    <t>pay_HM702UM7LJ2pYw</t>
  </si>
  <si>
    <t>pay_HM7254HkXrNrdp</t>
  </si>
  <si>
    <t>pay_HM7gMFZlUQVBy7</t>
  </si>
  <si>
    <t>pay_HM7pzKW5DwvBbq</t>
  </si>
  <si>
    <t>pay_HM7tU8tAn9AHvm</t>
  </si>
  <si>
    <t>shefalisharma1983@gmail.com</t>
  </si>
  <si>
    <t>pay_HM8JBH5wrKl7qB</t>
  </si>
  <si>
    <t>pay_HM90MiH9XjGh07</t>
  </si>
  <si>
    <t>pay_HM94SYmsluLFsh</t>
  </si>
  <si>
    <t>pay_HM9APFIoVuypDz</t>
  </si>
  <si>
    <t>pay_HM9D1hy470NP8g</t>
  </si>
  <si>
    <t>pay_HM9HBiRv1M1z16</t>
  </si>
  <si>
    <t>pay_HM9IU0iQmpvWEL</t>
  </si>
  <si>
    <t>ashokkumarn901@gmail.com</t>
  </si>
  <si>
    <t>pay_HM9PzzAF05hlje</t>
  </si>
  <si>
    <t>pay_HM9gultEPFsgLl</t>
  </si>
  <si>
    <t>dwivedivandana08@gmail.com</t>
  </si>
  <si>
    <t>pay_HM9zarCnOfveXN</t>
  </si>
  <si>
    <t>palak76448@gmail.com</t>
  </si>
  <si>
    <t>pay_HMAGetV2534yjf</t>
  </si>
  <si>
    <t>bhawanabora101@gmail.com</t>
  </si>
  <si>
    <t>pay_HMAVOhKZDHr0OU</t>
  </si>
  <si>
    <t>pay_HMAWzj4ebDPum8</t>
  </si>
  <si>
    <t>pay_HMAdepup3JRSMS</t>
  </si>
  <si>
    <t>aishwaryarawat2711@gmail.com</t>
  </si>
  <si>
    <t>pay_HMAiRgKBxHcQzu</t>
  </si>
  <si>
    <t>pay_HMBVxIOLjm5UnY</t>
  </si>
  <si>
    <t>pay_HMBb0wRIdWsABJ</t>
  </si>
  <si>
    <t>pay_HMBhbyfGbf54b1</t>
  </si>
  <si>
    <t>pay_HMBrwPMNQJLmpx</t>
  </si>
  <si>
    <t>pay_HMBvRlmCDTNmQH</t>
  </si>
  <si>
    <t>pay_HMBwA4pG5GNocy</t>
  </si>
  <si>
    <t>ramyakrd333@gmail.com</t>
  </si>
  <si>
    <t>pay_HMCAc5zpPk3wZY</t>
  </si>
  <si>
    <t>pay_HMCBmlJNqcgzrM</t>
  </si>
  <si>
    <t>pay_HMCEpMfkkGOxcG</t>
  </si>
  <si>
    <t>ramyakr.msa18@gmail.com</t>
  </si>
  <si>
    <t>pay_HMCHFLp8Yuogi3</t>
  </si>
  <si>
    <t>pay_HMCKijKEGrkNi2</t>
  </si>
  <si>
    <t>pay_HMCQ7UFmELETO7</t>
  </si>
  <si>
    <t>hemanthshetty13013@gmail.com</t>
  </si>
  <si>
    <t>pay_HMCQBAPnlI0rhZ</t>
  </si>
  <si>
    <t>pay_HMCfA1A25Upwei</t>
  </si>
  <si>
    <t>pay_HMCmlhvIdZPRZd</t>
  </si>
  <si>
    <t>pay_HMCnOXhc1MRVXj</t>
  </si>
  <si>
    <t>pay_HMCuVkcMXJWKud</t>
  </si>
  <si>
    <t>narendersingh0301@gmail.com</t>
  </si>
  <si>
    <t>pay_HMCzmVEzTQhjVC</t>
  </si>
  <si>
    <t>rajatkain141314@gmail.com</t>
  </si>
  <si>
    <t>pay_HMD0eHH8dV5nJZ</t>
  </si>
  <si>
    <t>pay_HMD1eBqv6iOEeZ</t>
  </si>
  <si>
    <t>pay_HMD63wVD8mDWip</t>
  </si>
  <si>
    <t>apoorva.puvvalu@gmail.com</t>
  </si>
  <si>
    <t>pay_HMD6uddzveBKdm</t>
  </si>
  <si>
    <t>pay_HMDFI4Z166M23C</t>
  </si>
  <si>
    <t>pay_HMDG0Itmv5QF5q</t>
  </si>
  <si>
    <t>pay_HMDHYQsJasWqfn</t>
  </si>
  <si>
    <t>pay_HMDKeBEE2u7nbb</t>
  </si>
  <si>
    <t>nageshkhanvilkar@gmail.com</t>
  </si>
  <si>
    <t>pay_HMDR7lHueOUfYI</t>
  </si>
  <si>
    <t>pay_HMDRLXt63SuCS0</t>
  </si>
  <si>
    <t>pay_HMDRVzUV56bQtA</t>
  </si>
  <si>
    <t>pay_HMDRkWHEznfK2j</t>
  </si>
  <si>
    <t>pay_HMDRu3dsuTCVle</t>
  </si>
  <si>
    <t>pay_HMDSAwWqUB6OvX</t>
  </si>
  <si>
    <t>pay_HMDT7ctFL7AhCW</t>
  </si>
  <si>
    <t>pay_HMDU2a26Tj4ixP</t>
  </si>
  <si>
    <t>pay_HMDWL4gNi3C8tF</t>
  </si>
  <si>
    <t>pay_HMDmY9SN1azjrN</t>
  </si>
  <si>
    <t>pranay.tode@mituniversity.edu.in</t>
  </si>
  <si>
    <t>pay_HMDoRWNcZ4Va3w</t>
  </si>
  <si>
    <t>pay_HMDpEZ9XKQGYy5</t>
  </si>
  <si>
    <t>shailesh.sss2685@gmail.com</t>
  </si>
  <si>
    <t>pay_HMDqz0hw4evK6u</t>
  </si>
  <si>
    <t>pay_HMDrDhRqByrF8F</t>
  </si>
  <si>
    <t>pay_HMDtGlDfd5WiVg</t>
  </si>
  <si>
    <t>pay_HME2FWnsCMk2mf</t>
  </si>
  <si>
    <t>pay_HME2dYJMNSAjJO</t>
  </si>
  <si>
    <t>pay_HME2tRnX2e5MGq</t>
  </si>
  <si>
    <t>sant.singh14jan@gmail.com</t>
  </si>
  <si>
    <t>pay_HME4J3qudVqtqH</t>
  </si>
  <si>
    <t>pay_HMEGI38zafYMqU</t>
  </si>
  <si>
    <t>pay_HMEIX6LN9JHtqX</t>
  </si>
  <si>
    <t>pay_HMELZlQ8Ijl6pR</t>
  </si>
  <si>
    <t>pay_HMEOsjVCJwMvqT</t>
  </si>
  <si>
    <t>pay_HMEZGjhlRaGXYm</t>
  </si>
  <si>
    <t>pay_HMEaQo1Aw4TKbU</t>
  </si>
  <si>
    <t>pay_HMEbgBUuCUinfn</t>
  </si>
  <si>
    <t>pay_HMEngcH5NS1b6W</t>
  </si>
  <si>
    <t>pay_HMGCDlUtbqpVRR</t>
  </si>
  <si>
    <t>pay_HMHhSFaWncGHnh</t>
  </si>
  <si>
    <t>aviralbong@gmail.com</t>
  </si>
  <si>
    <t>pay_HMI3raAyti3aFm</t>
  </si>
  <si>
    <t>pay_HMI6f9XruLsNYC</t>
  </si>
  <si>
    <t>pay_HMIAgxE4pibxe6</t>
  </si>
  <si>
    <t>pay_HMJ9PaZDS4sXLY</t>
  </si>
  <si>
    <t>pay_HMJB3hL4CFwemH</t>
  </si>
  <si>
    <t>pay_HML9NS2kfdYDvv</t>
  </si>
  <si>
    <t>mukund808@gmail.com</t>
  </si>
  <si>
    <t>pay_HMM3JOPIYqsZYM</t>
  </si>
  <si>
    <t>hadgesahil408@gmail.com</t>
  </si>
  <si>
    <t>pay_HMMHawRMEloHz0</t>
  </si>
  <si>
    <t>pay_HMMjcct6VBvnyd</t>
  </si>
  <si>
    <t>pay_HMMsnoOmYL9buY</t>
  </si>
  <si>
    <t>pay_HMNSUSJcSI0bZd</t>
  </si>
  <si>
    <t>abhilash.jango53@gmail.com</t>
  </si>
  <si>
    <t>pay_HMO5IhkisAmdDW</t>
  </si>
  <si>
    <t>pay_HMOGYGomVNDspc</t>
  </si>
  <si>
    <t>pay_HMOThzBvUAWxQH</t>
  </si>
  <si>
    <t>shahsweni@ymail.com</t>
  </si>
  <si>
    <t>pay_HMOr3dwcgkORwD</t>
  </si>
  <si>
    <t>drruupalikshirsager@gmail.com</t>
  </si>
  <si>
    <t>pay_HMOrpjEDH0SzSo</t>
  </si>
  <si>
    <t>pay_HMOxo7vbcFsMOZ</t>
  </si>
  <si>
    <t>pay_HMP2RLSlRpK345</t>
  </si>
  <si>
    <t>pay_HMP3Jj23OcVN3R</t>
  </si>
  <si>
    <t>pay_HMP8WmrWMcuiHd</t>
  </si>
  <si>
    <t>pay_HMPpO2rdJPdAmg</t>
  </si>
  <si>
    <t>suchi.nikam@gmail.com</t>
  </si>
  <si>
    <t>pay_HMPsFiQjlYqLr1</t>
  </si>
  <si>
    <t>pay_HMPxtz7wHmLYML</t>
  </si>
  <si>
    <t>pay_HMPzoIvlE2toR8</t>
  </si>
  <si>
    <t>ajmeriabhishek@gmail.com</t>
  </si>
  <si>
    <t>pay_HMQ6CcEBte0za9</t>
  </si>
  <si>
    <t>parth.mirgal13@nmims.edu.in</t>
  </si>
  <si>
    <t>pay_HMQ9WuSSusZC1L</t>
  </si>
  <si>
    <t>pay_HMQD8eQk7q8TRH</t>
  </si>
  <si>
    <t>pay_HMQIkW1nztVC6x</t>
  </si>
  <si>
    <t>pay_HMQKmyutvm9FHy</t>
  </si>
  <si>
    <t>pay_HMQO2KHBWiH0TL</t>
  </si>
  <si>
    <t>aashaljoshi28@gmail.com</t>
  </si>
  <si>
    <t>pay_HMQRbSD9NZYjK3</t>
  </si>
  <si>
    <t>diwakar.bhati@gmail.com</t>
  </si>
  <si>
    <t>pay_HMQU5ZiuqkZcrb</t>
  </si>
  <si>
    <t>anishkamerkar@gmail.com</t>
  </si>
  <si>
    <t>pay_HMQdAdKCmmAhu8</t>
  </si>
  <si>
    <t>pay_HMQm8Cgxpkz9Fe</t>
  </si>
  <si>
    <t>mayank.mehta1995@gmail.com</t>
  </si>
  <si>
    <t>pay_HMQpVfSLjeV8vU</t>
  </si>
  <si>
    <t>pay_HMQqgyBIURz807</t>
  </si>
  <si>
    <t>pay_HMQvZ60Jw1by0O</t>
  </si>
  <si>
    <t>pay_HMQx9Qv9ibQKig</t>
  </si>
  <si>
    <t>pay_HMQxohj8HcATuA</t>
  </si>
  <si>
    <t>omkarbhangle@gmail.com</t>
  </si>
  <si>
    <t>pay_HMRDsC2MwsGSIV</t>
  </si>
  <si>
    <t>pay_HMRMlrYlyFK0Rf</t>
  </si>
  <si>
    <t>pay_HMROsbsa6l3w3V</t>
  </si>
  <si>
    <t>shuklarachna02@gmail.com</t>
  </si>
  <si>
    <t>pay_HMRRwZBqkZ1pwN</t>
  </si>
  <si>
    <t>pay_HMRSFJwH7CLTP3</t>
  </si>
  <si>
    <t>nithy.nik@gmail.com</t>
  </si>
  <si>
    <t>pay_HMRcN9bnbJijtk</t>
  </si>
  <si>
    <t>aayushbhondekar@gmail.com</t>
  </si>
  <si>
    <t>pay_HMReeXT3f6pEeH</t>
  </si>
  <si>
    <t>mj5124352@gmail.com</t>
  </si>
  <si>
    <t>pay_HMSGavMSg6DndY</t>
  </si>
  <si>
    <t>pay_HMSIC3DPGpE0lV</t>
  </si>
  <si>
    <t>pay_HMSJR3F5e7ihz2</t>
  </si>
  <si>
    <t>arogyasinghkv@gmail.com</t>
  </si>
  <si>
    <t>pay_HMSLdQZipz2WmE</t>
  </si>
  <si>
    <t>pay_HMSgnnFoZWtdN1</t>
  </si>
  <si>
    <t>shubhan0908@gmail.com</t>
  </si>
  <si>
    <t>pay_HMSh8ywORAlYoD</t>
  </si>
  <si>
    <t>pay_HMSiEXg55SaWI8</t>
  </si>
  <si>
    <t>pay_HMSjKFkw6Dn9lx</t>
  </si>
  <si>
    <t>pay_HMT9SJ4g8KbX8k</t>
  </si>
  <si>
    <t>pay_HMTB7lFAq2ZftF</t>
  </si>
  <si>
    <t>pay_HMTTEjIhQwh8Kq</t>
  </si>
  <si>
    <t>tripathi.shivam14@gmail.com</t>
  </si>
  <si>
    <t>pay_HMTVKvCosNhGsW</t>
  </si>
  <si>
    <t>pay_HMTlY7xW3pkqFQ</t>
  </si>
  <si>
    <t>pay_HMTltI7Wdm9ulF</t>
  </si>
  <si>
    <t>pay_HMTxeQJuvGkgJu</t>
  </si>
  <si>
    <t>pay_HMU0mGz0WfIHc0</t>
  </si>
  <si>
    <t>pay_HMUWXOdACsvDA6</t>
  </si>
  <si>
    <t>mayakamblemaya@gmail.com</t>
  </si>
  <si>
    <t>pay_HMUeMV4SWDRg1y</t>
  </si>
  <si>
    <t>pay_HMVa8eVJWYyIRw</t>
  </si>
  <si>
    <t>pay_HMVfzLx5yc0tPH</t>
  </si>
  <si>
    <t>pay_HMVgwN5Z7WTG4t</t>
  </si>
  <si>
    <t>pay_HMVj40iw11IsTR</t>
  </si>
  <si>
    <t>binuhada@hotmail.com</t>
  </si>
  <si>
    <t>pay_HMWKlCYtbQkZcV</t>
  </si>
  <si>
    <t>pay_HMWL6EtINGjfRK</t>
  </si>
  <si>
    <t>pay_HMWMqHQizIkO45</t>
  </si>
  <si>
    <t>pay_HMWudmEP7Ir5hG</t>
  </si>
  <si>
    <t>pay_HMWuwEV6wZPPMn</t>
  </si>
  <si>
    <t>pay_HMXqeNl0WgINYG</t>
  </si>
  <si>
    <t>pay_HMYFsMRC97p2ni</t>
  </si>
  <si>
    <t>pay_HMYLqZBpdItLkY</t>
  </si>
  <si>
    <t>pay_HMYbU0d8tDDrMY</t>
  </si>
  <si>
    <t>pay_HMYd6tmS0qyFZL</t>
  </si>
  <si>
    <t>pay_HMYi5m4z0mitkn</t>
  </si>
  <si>
    <t>rxrakeshkumarpandey@gmail.com</t>
  </si>
  <si>
    <t>pay_HMYvJEisI3OLCw</t>
  </si>
  <si>
    <t>pay_HMZMBQwIQPsCzg</t>
  </si>
  <si>
    <t>amrithabaskarnaidu@gmail.com</t>
  </si>
  <si>
    <t>pay_HMZPewFneZgwjy</t>
  </si>
  <si>
    <t>pay_HMZQzBkYHKhaDS</t>
  </si>
  <si>
    <t>pay_HMZRchsps2Znf9</t>
  </si>
  <si>
    <t>pay_HMZScnaBRl2Vd4</t>
  </si>
  <si>
    <t>pay_HMZuOiGfS6bRLS</t>
  </si>
  <si>
    <t>pay_HMa0ZDCkE6aE77</t>
  </si>
  <si>
    <t>pay_HMaOVdKsW7qPB5</t>
  </si>
  <si>
    <t>pay_HMaRtOy7iiL1Ua</t>
  </si>
  <si>
    <t>pay_HMaUpxjknpiGhr</t>
  </si>
  <si>
    <t>pay_HMaUzhXMPD6Nkc</t>
  </si>
  <si>
    <t>pay_HMaZnDP4jVSTLL</t>
  </si>
  <si>
    <t>pay_HMafZEOnMXuCFS</t>
  </si>
  <si>
    <t>pay_HMapHTYpTYuPlg</t>
  </si>
  <si>
    <t>brinderjasrotia@gmail.com</t>
  </si>
  <si>
    <t>pay_HMaq4EFwfS8mOi</t>
  </si>
  <si>
    <t>pay_HMaqWtlYm3wEdA</t>
  </si>
  <si>
    <t>pay_HMaydrMqyuSCgh</t>
  </si>
  <si>
    <t>pay_HMb2986SEtVVJX</t>
  </si>
  <si>
    <t>pay_HMbFF2wJ9VRHno</t>
  </si>
  <si>
    <t>pay_HMbJxrrHpCequG</t>
  </si>
  <si>
    <t>pay_HMbQknpyn6a2pe</t>
  </si>
  <si>
    <t>pay_HMbwPf5lRbYo3n</t>
  </si>
  <si>
    <t>pay_HMbwzwOOTZnviN</t>
  </si>
  <si>
    <t>samirojha100@gmail.com</t>
  </si>
  <si>
    <t>pay_HMc2JaeVYaDowM</t>
  </si>
  <si>
    <t>pay_HMcDbfyYhIy1gn</t>
  </si>
  <si>
    <t>pay_HMcRcZhArcZ74S</t>
  </si>
  <si>
    <t>pay_HMcmV7I5ZqIRXL</t>
  </si>
  <si>
    <t>nargotrarishu@gmail.com</t>
  </si>
  <si>
    <t>pay_HMd7phj4N6c6CH</t>
  </si>
  <si>
    <t>pay_HMdBxSNIci8HVT</t>
  </si>
  <si>
    <t>bhattkunal161@gmail.com</t>
  </si>
  <si>
    <t>pay_HMdDcDksIs0NiN</t>
  </si>
  <si>
    <t>pay_HMdDxmKGMlrXDO</t>
  </si>
  <si>
    <t>pay_HMdP9yXWihJuQU</t>
  </si>
  <si>
    <t>pay_HMdRRXh9PtRS6H</t>
  </si>
  <si>
    <t>pay_HMdS4kZ02aw8jH</t>
  </si>
  <si>
    <t>pay_HMdTAukjBnVDv4</t>
  </si>
  <si>
    <t>pay_HMda6oKvWDFE5p</t>
  </si>
  <si>
    <t>pay_HMdfLLjIHDXWcs</t>
  </si>
  <si>
    <t>pay_HMe9CRC9aX04jp</t>
  </si>
  <si>
    <t>simplifyingdigital@gmail.com</t>
  </si>
  <si>
    <t>pay_HMefWUdOvQYO4N</t>
  </si>
  <si>
    <t>pay_HMeuFwm5llHvBu</t>
  </si>
  <si>
    <t>pay_HMfxRmxrNareKj</t>
  </si>
  <si>
    <t>pay_HMhWJv5ep7yKHL</t>
  </si>
  <si>
    <t>pay_HMhbuT9XuK5R23</t>
  </si>
  <si>
    <t>pay_HMhdbRnqbLJAwV</t>
  </si>
  <si>
    <t>pay_HMjZSRY3fT3tin</t>
  </si>
  <si>
    <t>pay_HMlkQ8r8OgwpOe</t>
  </si>
  <si>
    <t>pay_HMln1UDfh8fOOa</t>
  </si>
  <si>
    <t>pay_HMlr8zfjtnFzI0</t>
  </si>
  <si>
    <t>pay_HMlsaG2YhB27Ik</t>
  </si>
  <si>
    <t>pay_HMlthdMPnhbyM5</t>
  </si>
  <si>
    <t>pay_HMluZwXn0oCHrX</t>
  </si>
  <si>
    <t>pay_HMlw0g4qmETDHe</t>
  </si>
  <si>
    <t>pay_HMmXjzrcjnUBnS</t>
  </si>
  <si>
    <t>parikatiyar77@gmail.com</t>
  </si>
  <si>
    <t>pay_HMmaVxG9SOZuO0</t>
  </si>
  <si>
    <t>shwetakumari12140197988@gmail.com</t>
  </si>
  <si>
    <t>pay_HMmcss3YubHHN7</t>
  </si>
  <si>
    <t>pay_HMmcwJOyvtCOsu</t>
  </si>
  <si>
    <t>pay_HMnLCUiFqAu6Rv</t>
  </si>
  <si>
    <t>pay_HMnMDymCInf7f1</t>
  </si>
  <si>
    <t>ayushpandey1008@gmail.com</t>
  </si>
  <si>
    <t>pay_HMnQgCZ9ekwUnV</t>
  </si>
  <si>
    <t>pay_HMnnDoT0MuWZUX</t>
  </si>
  <si>
    <t>pay_HMnyhnIfH8AwWP</t>
  </si>
  <si>
    <t>pay_HMo30TxgdkoPZO</t>
  </si>
  <si>
    <t>pay_HMo36ZDxXjwkYw</t>
  </si>
  <si>
    <t>roshnivijay1712@gmail.com</t>
  </si>
  <si>
    <t>pay_HMo7Vf7S6ZKTox</t>
  </si>
  <si>
    <t>pay_HMoAjgXR1yDNwy</t>
  </si>
  <si>
    <t>ssailaja.02@gmail.com</t>
  </si>
  <si>
    <t>pay_HMoV3WbYBmq8hC</t>
  </si>
  <si>
    <t>pay_HMoXVQkXWYvhM3</t>
  </si>
  <si>
    <t>pay_HMoXakp816AruS</t>
  </si>
  <si>
    <t>pay_HMoZJtIv7uohpe</t>
  </si>
  <si>
    <t>valencybraganza21@gmail.com</t>
  </si>
  <si>
    <t>pay_HMobiEbfjgVvxS</t>
  </si>
  <si>
    <t>pay_HMoi6P7LqPE6tv</t>
  </si>
  <si>
    <t>pay_HMovXtrld0DxPi</t>
  </si>
  <si>
    <t>pay_HMowa7NngiRipL</t>
  </si>
  <si>
    <t>pay_HMp8LaCc1oJz9k</t>
  </si>
  <si>
    <t>pay_HMp8UngBpBjfCu</t>
  </si>
  <si>
    <t>pay_HMp8xvvPnLKFcd</t>
  </si>
  <si>
    <t>pay_HMpGDEtb4R1sc5</t>
  </si>
  <si>
    <t>pay_HMpGG7gL0ohubs</t>
  </si>
  <si>
    <t>pay_HMpGb0BrkWZrFc</t>
  </si>
  <si>
    <t>pay_HMpI5hgZiDk0Dh</t>
  </si>
  <si>
    <t>pay_HMpM8TsQXeFH9A</t>
  </si>
  <si>
    <t>pay_HMpNlxFfXqEFCe</t>
  </si>
  <si>
    <t>pay_HMq1tH4wsjIveu</t>
  </si>
  <si>
    <t>prajaktachavan333@gmail.com</t>
  </si>
  <si>
    <t>pay_HMqAufNMZK0Jyi</t>
  </si>
  <si>
    <t>arunr3500@gmail.com</t>
  </si>
  <si>
    <t>pay_HMqCoWlbqbsu4k</t>
  </si>
  <si>
    <t>pay_HMqHWeMjN5IeFt</t>
  </si>
  <si>
    <t>pay_HMqOPwdnSUe5Hf</t>
  </si>
  <si>
    <t>pay_HMqZMADwBZ50G0</t>
  </si>
  <si>
    <t>pay_HMqwwuxxOPSmiT</t>
  </si>
  <si>
    <t>pay_HMqymKGWl9m5WZ</t>
  </si>
  <si>
    <t>pay_HMrWuy1tNdMgD3</t>
  </si>
  <si>
    <t>pay_HMrcNnjwx5h7mq</t>
  </si>
  <si>
    <t>pay_HMrf6TH7zgMCLJ</t>
  </si>
  <si>
    <t>pay_HMrm4N1Fuq09sL</t>
  </si>
  <si>
    <t>pay_HMrrWYfabqGPJS</t>
  </si>
  <si>
    <t>pay_HMt00EWGS3Oahn</t>
  </si>
  <si>
    <t>pay_HMtZ8iG7U0pkfV</t>
  </si>
  <si>
    <t>pay_HMtlwTilpI7zco</t>
  </si>
  <si>
    <t>tejalgadekar132@gmail.com</t>
  </si>
  <si>
    <t>pay_HMu3bGP4ePU8q0</t>
  </si>
  <si>
    <t>pay_HMuKh70J5RYq8m</t>
  </si>
  <si>
    <t>pay_HMuMYWWyJF1GTr</t>
  </si>
  <si>
    <t>pay_HMufe505uFNcnf</t>
  </si>
  <si>
    <t>pay_HMukJFcZhyGo4F</t>
  </si>
  <si>
    <t>pay_HMuwmsG1urgFk7</t>
  </si>
  <si>
    <t>pay_HMuzs5fEY1QrgX</t>
  </si>
  <si>
    <t>pay_HMv1aEs2djT8Vk</t>
  </si>
  <si>
    <t>pay_HMvLHlswmP78Yz</t>
  </si>
  <si>
    <t>pay_HMvMN9kTLsWwVW</t>
  </si>
  <si>
    <t>amansingh.singh63@gmail.com</t>
  </si>
  <si>
    <t>pay_HMvnFBc0xozhcD</t>
  </si>
  <si>
    <t>pay_HMvnsezrJfBs9c</t>
  </si>
  <si>
    <t>pay_HMvqU8YdcEMHwf</t>
  </si>
  <si>
    <t>pay_HMvsajwa10w1Ux</t>
  </si>
  <si>
    <t>pay_HMvu42wm5f8aKS</t>
  </si>
  <si>
    <t>pay_HMvvnGk0ayDGFC</t>
  </si>
  <si>
    <t>pay_HMw3DU9nhALeP7</t>
  </si>
  <si>
    <t>pay_HMwG68XNuaMfun</t>
  </si>
  <si>
    <t>pay_HMwrLVOQSburg1</t>
  </si>
  <si>
    <t>xyz@gmail.com</t>
  </si>
  <si>
    <t>pay_HMwxBQKkSIrBvl</t>
  </si>
  <si>
    <t>pay_HMx1rIPA8OFPOu</t>
  </si>
  <si>
    <t>pay_HMxhp3JTQETJ5d</t>
  </si>
  <si>
    <t>pay_HMxjq680zJ3Q0E</t>
  </si>
  <si>
    <t>nivedhikasasikumar@gmail.com</t>
  </si>
  <si>
    <t>pay_HMxpnrILmIVLgO</t>
  </si>
  <si>
    <t>pay_HMxwkNSj8AqWSH</t>
  </si>
  <si>
    <t>pay_HMxx3icIBV1rCB</t>
  </si>
  <si>
    <t>pay_HMyVdU4ccDkcMU</t>
  </si>
  <si>
    <t>pay_HMyYYtv2FUIFAy</t>
  </si>
  <si>
    <t>pay_HMz2p2rkYioRBD</t>
  </si>
  <si>
    <t>pay_HMz3xiq4yGHO0W</t>
  </si>
  <si>
    <t>pay_HMz91m2neAqcDD</t>
  </si>
  <si>
    <t>pay_HMzIREZOqxNqll</t>
  </si>
  <si>
    <t>pay_HMzJaGQcsOS0mf</t>
  </si>
  <si>
    <t>pay_HMzPb9BzeVBRFw</t>
  </si>
  <si>
    <t>pay_HMzT7AlSYcK3EH</t>
  </si>
  <si>
    <t>pay_HMzdjGfu5vWDh2</t>
  </si>
  <si>
    <t>pay_HMzjAtlqGf1nhh</t>
  </si>
  <si>
    <t>pay_HN04dvbCxyYHVZ</t>
  </si>
  <si>
    <t>pay_HN0V30Ijafvb7A</t>
  </si>
  <si>
    <t>pay_HN2DMUBnnQ9K3S</t>
  </si>
  <si>
    <t>pay_HN2DrGSEwLkv2L</t>
  </si>
  <si>
    <t>pay_HN2W9cBtedtH3C</t>
  </si>
  <si>
    <t>pay_HN2mzJh0u6v68o</t>
  </si>
  <si>
    <t>pay_HN2ownxOsP8HAy</t>
  </si>
  <si>
    <t>pay_HN2pVpkyaGLz4R</t>
  </si>
  <si>
    <t>pay_HN32U25Rxce8QW</t>
  </si>
  <si>
    <t>pay_HN3t5VdqGcOKPp</t>
  </si>
  <si>
    <t>pay_HN3tBD6FiJK7Dq</t>
  </si>
  <si>
    <t>pay_HN42YsLhCmMPJU</t>
  </si>
  <si>
    <t>pay_HN43xGeR3p0ilr</t>
  </si>
  <si>
    <t>pay_HN45vBp4yPqXJ5</t>
  </si>
  <si>
    <t>pay_HN4DLwjgqSPHvy</t>
  </si>
  <si>
    <t>pay_HN4KOGjoIzMQjn</t>
  </si>
  <si>
    <t>pay_HN4LGG4sht0SAg</t>
  </si>
  <si>
    <t>pay_HN4elFG0pAXWau</t>
  </si>
  <si>
    <t>pay_HN8Bmfohbn5KBi</t>
  </si>
  <si>
    <t>pay_HN8Lz0K9emUsGx</t>
  </si>
  <si>
    <t>pay_HN8cwIWm5qDBsw</t>
  </si>
  <si>
    <t>shiv_00009@yahoo.com</t>
  </si>
  <si>
    <t>pay_HN9pCGBi44ai8R</t>
  </si>
  <si>
    <t>pay_HNAwhZWxKxABKc</t>
  </si>
  <si>
    <t>ritikk2315@gmail.com</t>
  </si>
  <si>
    <t>pay_HNCdRoo10hPK5N</t>
  </si>
  <si>
    <t>pay_HNCemmHZdCmV6X</t>
  </si>
  <si>
    <t>kv60877@gmail.com</t>
  </si>
  <si>
    <t>pay_HNCqQm1G76Z7pJ</t>
  </si>
  <si>
    <t>pay_HNCrqJg8lIbNWh</t>
  </si>
  <si>
    <t>pay_HND0M6ofxkLAH9</t>
  </si>
  <si>
    <t>vishalrajavishalraja91365@gmail.com</t>
  </si>
  <si>
    <t>pay_HNDCTH3ZaY7V7T</t>
  </si>
  <si>
    <t>harpreetdhillon1987@yahoo.in</t>
  </si>
  <si>
    <t>pay_HNDFv15TYalnlI</t>
  </si>
  <si>
    <t>pay_HNDFyxw24p8Ojm</t>
  </si>
  <si>
    <t>pay_HNDNqS7ZCpmKPN</t>
  </si>
  <si>
    <t>amanmishra701170@gmail.com</t>
  </si>
  <si>
    <t>pay_HNEWHKfVmpnerJ</t>
  </si>
  <si>
    <t>pay_HNEuW0AEJOf4Kc</t>
  </si>
  <si>
    <t>pay_HNEwrm7zuzwgAA</t>
  </si>
  <si>
    <t>pay_HNF0Glh5RnFwDg</t>
  </si>
  <si>
    <t>pay_HNF3AL5cqhnth4</t>
  </si>
  <si>
    <t>pay_HNFCQW0XEPjzOD</t>
  </si>
  <si>
    <t>pay_HNFCwKDiNn8UfK</t>
  </si>
  <si>
    <t>pay_HNFGobklPEy0Kj</t>
  </si>
  <si>
    <t>pay_HNFMQS2Mv4gw3A</t>
  </si>
  <si>
    <t>pay_HNFOh7trCJ3tyV</t>
  </si>
  <si>
    <t>manish167911@gmail.com</t>
  </si>
  <si>
    <t>pay_HNFydJtYFoZhMt</t>
  </si>
  <si>
    <t>pay_HNG0qOUFbSxJsq</t>
  </si>
  <si>
    <t>mamtaoriflame2020@gmail.com</t>
  </si>
  <si>
    <t>pay_HNG8iaaaJNp7PY</t>
  </si>
  <si>
    <t>pay_HNGSFUZgDmqasu</t>
  </si>
  <si>
    <t>pay_HNGWE8JS0ezHSk</t>
  </si>
  <si>
    <t>pay_HNGXTUcqVlE4si</t>
  </si>
  <si>
    <t>pay_HNGkxCwGyqYr3x</t>
  </si>
  <si>
    <t>pay_HNHA19OeUE3I9m</t>
  </si>
  <si>
    <t>pay_HNHBfDLhKaE7mn</t>
  </si>
  <si>
    <t>amarsinghadhikari1@gmail.com</t>
  </si>
  <si>
    <t>pay_HNHIRdZ3KFEOug</t>
  </si>
  <si>
    <t>pay_HNHIiC7HF6piId</t>
  </si>
  <si>
    <t>pay_HNHLat2UXM6PVw</t>
  </si>
  <si>
    <t>pay_HNHRdZt7rxcUBQ</t>
  </si>
  <si>
    <t>pay_HNHcJCE8DNL2wO</t>
  </si>
  <si>
    <t>pay_HNHeyL1WPhp0qg</t>
  </si>
  <si>
    <t>pay_HNHvtPc0wG3UqO</t>
  </si>
  <si>
    <t>pay_HNHwIFTp4JUudu</t>
  </si>
  <si>
    <t>rachanasahu.live@gmail.com</t>
  </si>
  <si>
    <t>pay_HNI5odyWcCwhHf</t>
  </si>
  <si>
    <t>anu2987@gmail.com</t>
  </si>
  <si>
    <t>pay_HNJTisTKnj2iJd</t>
  </si>
  <si>
    <t>jasonmanakumar@gmail.com</t>
  </si>
  <si>
    <t>pay_HNJkpmLZk4GzEq</t>
  </si>
  <si>
    <t>pay_HNJyJufgrugzUz</t>
  </si>
  <si>
    <t>abhinegi@yahoo.com</t>
  </si>
  <si>
    <t>pay_HNKOz9PGTZD4gP</t>
  </si>
  <si>
    <t>pay_HNKarPpuMv3KjB</t>
  </si>
  <si>
    <t>ajithgnair220@gmail.com</t>
  </si>
  <si>
    <t>pay_HNKz6pMdKcvFwY</t>
  </si>
  <si>
    <t>pay_HNL2PFWeUUH49A</t>
  </si>
  <si>
    <t>janavijangle17@gmail.com</t>
  </si>
  <si>
    <t>pay_HNLEfRGtpE6tNc</t>
  </si>
  <si>
    <t>pay_HNLKkZVWVlzN3O</t>
  </si>
  <si>
    <t>pay_HNLNJHTLU3vWZq</t>
  </si>
  <si>
    <t>pay_HNLkt4VKUgaMtf</t>
  </si>
  <si>
    <t>pay_HNLyb6c9Wh3RoJ</t>
  </si>
  <si>
    <t>pay_HNM0F5JEJPS6O8</t>
  </si>
  <si>
    <t>pay_HNMDI5BkEHIY2l</t>
  </si>
  <si>
    <t>pay_HNMFBndCfmkvoZ</t>
  </si>
  <si>
    <t>patilmadhuree12@gmail.com</t>
  </si>
  <si>
    <t>pay_HNMcIPkcOvcyk9</t>
  </si>
  <si>
    <t>pay_HNMdeBi69143tU</t>
  </si>
  <si>
    <t>pay_HNMef8O0Z32uxP</t>
  </si>
  <si>
    <t>pay_HNMgSfARlgvoQF</t>
  </si>
  <si>
    <t>sarkergourav@gmail.com</t>
  </si>
  <si>
    <t>pay_HNMhoav6X6TL3S</t>
  </si>
  <si>
    <t>pay_HNMq66XlEKNEON</t>
  </si>
  <si>
    <t>pay_HNMyPSisCYF74t</t>
  </si>
  <si>
    <t>pay_HNN0CeI97Z6Dsv</t>
  </si>
  <si>
    <t>sahithivenki@gmail.com</t>
  </si>
  <si>
    <t>pay_HNNX3jSdNm62OC</t>
  </si>
  <si>
    <t>pay_HNNXftfjCp6Wyj</t>
  </si>
  <si>
    <t>pardeep.kumar138@gmail.com</t>
  </si>
  <si>
    <t>pay_HNNhEVqjOfeYg2</t>
  </si>
  <si>
    <t>sneharanalivefree5464@gmail.com</t>
  </si>
  <si>
    <t>pay_HNNwLD6CJskbWB</t>
  </si>
  <si>
    <t>pay_HNO9dmkBp2CO7p</t>
  </si>
  <si>
    <t>pay_HNOC3EgaorAid8</t>
  </si>
  <si>
    <t>pay_HNOJ0Ioxi03Lc4</t>
  </si>
  <si>
    <t>sacha.lifeskills@gmail.com</t>
  </si>
  <si>
    <t>pay_HNOi7s5gSZz8hC</t>
  </si>
  <si>
    <t>pay_HNOqPzoQoyMl07</t>
  </si>
  <si>
    <t>darshansirvi01@gmail.com</t>
  </si>
  <si>
    <t>pay_HNOr4sgUyKNmOl</t>
  </si>
  <si>
    <t>pay_HNPCq5SqPXPySi</t>
  </si>
  <si>
    <t>pay_HNPKZMjNWja3rX</t>
  </si>
  <si>
    <t>pay_HNPLF33uZ1P9mi</t>
  </si>
  <si>
    <t>hs0671@gmail.com</t>
  </si>
  <si>
    <t>pay_HNPjteNvCh2k3k</t>
  </si>
  <si>
    <t>pay_HNPmT04LyhPCYT</t>
  </si>
  <si>
    <t>pay_HNQBHnLE6a4gOH</t>
  </si>
  <si>
    <t>jajatimohanty1990@gmil.com</t>
  </si>
  <si>
    <t>pay_HNQm4ApcdJX2oi</t>
  </si>
  <si>
    <t>pay_HNRBoTRQq0HzDG</t>
  </si>
  <si>
    <t>pay_HNRZd3s2tjRsQb</t>
  </si>
  <si>
    <t>pay_HNRiwwPzoehNkz</t>
  </si>
  <si>
    <t>pay_HNTFkn45M6JhsN</t>
  </si>
  <si>
    <t>pay_HNTvk5Cjvw8BXl</t>
  </si>
  <si>
    <t>pay_HNTzTzB8XjGyWr</t>
  </si>
  <si>
    <t>pay_HNU780cxPsEVVG</t>
  </si>
  <si>
    <t>pay_HNU8Hkt7rtdvWU</t>
  </si>
  <si>
    <t>pay_HNUDoRFOGx6rcy</t>
  </si>
  <si>
    <t>pay_HNUGa4JLKPtHDv</t>
  </si>
  <si>
    <t>pay_HNXTNkd8rimG61</t>
  </si>
  <si>
    <t>pay_HNXYfsdLPeJ5o7</t>
  </si>
  <si>
    <t>pay_HNXdMlrgUeGUg5</t>
  </si>
  <si>
    <t>pay_HNY2Z4gGc4h6sY</t>
  </si>
  <si>
    <t>pay_HNYFde083se2Mv</t>
  </si>
  <si>
    <t>pay_HNYi6pZgMgDPEj</t>
  </si>
  <si>
    <t>agrawalmridul200@gmail.com</t>
  </si>
  <si>
    <t>pay_HNYtIFWIkJHq3e</t>
  </si>
  <si>
    <t>pay_HNZ5jDXAS8G2ji</t>
  </si>
  <si>
    <t>pay_HNZ9bUzzscomFx</t>
  </si>
  <si>
    <t>pay_HNZBkIBZqfF6VG</t>
  </si>
  <si>
    <t>pay_HNZF3VQpJ2eKdt</t>
  </si>
  <si>
    <t>pay_HNZPvvVXOZobpn</t>
  </si>
  <si>
    <t>pay_HNZU64C07i4B9C</t>
  </si>
  <si>
    <t>pay_HNZV87jZZpTTFS</t>
  </si>
  <si>
    <t>pay_HNZWJJuuUdDMQ0</t>
  </si>
  <si>
    <t>jaydeepk7794@gmail.com</t>
  </si>
  <si>
    <t>pay_HNZmVXrCfx57D5</t>
  </si>
  <si>
    <t>sanjanaprakash@gmail.com</t>
  </si>
  <si>
    <t>pay_HNZv25foSZyG9f</t>
  </si>
  <si>
    <t>pay_HNa64aMOA1Hzd1</t>
  </si>
  <si>
    <t>pay_HNaBEQ8kEQuG1f</t>
  </si>
  <si>
    <t>pay_HNaEevaLVvZ0Cj</t>
  </si>
  <si>
    <t>pay_HNaeFNxCqxG0La</t>
  </si>
  <si>
    <t>pay_HNb7QiUPK2ejzs</t>
  </si>
  <si>
    <t>pay_HNbGvJTj67ZssQ</t>
  </si>
  <si>
    <t>bharatnarwar68@gmail.com</t>
  </si>
  <si>
    <t>pay_HNbILDhAAp3ZHe</t>
  </si>
  <si>
    <t>dimpleverma.126504@gmail.com</t>
  </si>
  <si>
    <t>pay_HNbLkzdEkeyb89</t>
  </si>
  <si>
    <t>chattumolla2356@gmail.com</t>
  </si>
  <si>
    <t>pay_HNbPAURbBgxUbz</t>
  </si>
  <si>
    <t>pay_HNbQeBOqMuZPNI</t>
  </si>
  <si>
    <t>pay_HNbU72hfCrUtir</t>
  </si>
  <si>
    <t>pay_HNbfhnbe0imUEy</t>
  </si>
  <si>
    <t>pay_HNbwNjvviYF6d2</t>
  </si>
  <si>
    <t>pay_HNbwUl6lTS4b6K</t>
  </si>
  <si>
    <t>pay_HNc6E5Ywmd0fhi</t>
  </si>
  <si>
    <t>pay_HNcDe6S5gzP1zp</t>
  </si>
  <si>
    <t>pay_HNcX2tQkBVPALz</t>
  </si>
  <si>
    <t>pay_HNcYzpBtsMbzbl</t>
  </si>
  <si>
    <t>pay_HNcgH5hZ6o0ns0</t>
  </si>
  <si>
    <t>roshankhursheed710@gmail.com</t>
  </si>
  <si>
    <t>pay_HNcrBA2RJFXlUh</t>
  </si>
  <si>
    <t>pay_HNcuws7ht3aerE</t>
  </si>
  <si>
    <t>pay_HNd1i7VmaP4a7P</t>
  </si>
  <si>
    <t>pay_HNd2FuYkKsQuc1</t>
  </si>
  <si>
    <t>pay_HNd33AhCGGrjuZ</t>
  </si>
  <si>
    <t>pay_HNd3B4eAm4KPTN</t>
  </si>
  <si>
    <t>pay_HNd3hLrXQBRq0n</t>
  </si>
  <si>
    <t>pay_HNd3vuwx1xhaZU</t>
  </si>
  <si>
    <t>pay_HNd40J3FjmZznU</t>
  </si>
  <si>
    <t>pay_HNd4336RubtnaM</t>
  </si>
  <si>
    <t>pay_HNd4IcwViLrOw3</t>
  </si>
  <si>
    <t>pay_HNd4Mj6MKC19HV</t>
  </si>
  <si>
    <t>pay_HNd4VmrD57eyES</t>
  </si>
  <si>
    <t>pay_HNd4skb18ZIkd3</t>
  </si>
  <si>
    <t>pay_HNd8060k36gqBW</t>
  </si>
  <si>
    <t>pay_HNdEWSsBxu1IQk</t>
  </si>
  <si>
    <t>pay_HNdL77xaFikJCI</t>
  </si>
  <si>
    <t>pay_HNdS41xjDxtg8u</t>
  </si>
  <si>
    <t>pay_HNdSh2OxmKeWzl</t>
  </si>
  <si>
    <t>pay_HNdaDkQ3GCpTxc</t>
  </si>
  <si>
    <t>pay_HNdlAgs9v8kylD</t>
  </si>
  <si>
    <t>pay_HNdqXicjjm13wK</t>
  </si>
  <si>
    <t>pay_HNdvOq5OjVmUnH</t>
  </si>
  <si>
    <t>anirudhgraj7736@hotmail.com</t>
  </si>
  <si>
    <t>pay_HNeA2RsuRmRzTt</t>
  </si>
  <si>
    <t>pay_HNeGzgdfTDBsrg</t>
  </si>
  <si>
    <t>pay_HNedvyyF9xjqlx</t>
  </si>
  <si>
    <t>pay_HNeh4ubaVoEzTW</t>
  </si>
  <si>
    <t>ravinasharma910@gmail.com</t>
  </si>
  <si>
    <t>pay_HNewnksIIbyXuB</t>
  </si>
  <si>
    <t>simran.yadav0896@gmail.com</t>
  </si>
  <si>
    <t>pay_HNfK4aOJPh0Mxe</t>
  </si>
  <si>
    <t>pay_HNfKXzkD2EX8RS</t>
  </si>
  <si>
    <t>pay_HNfMhJuXlxOdlb</t>
  </si>
  <si>
    <t>pay_HNfQkNCjcKv69O</t>
  </si>
  <si>
    <t>pay_HNfcFQGcJNwtZu</t>
  </si>
  <si>
    <t>pay_HNfj0whyot9hN6</t>
  </si>
  <si>
    <t>pay_HNfv8600KbjpcE</t>
  </si>
  <si>
    <t>pay_HNg2K48lVj3cVa</t>
  </si>
  <si>
    <t>pay_HNg2nUNlapbio7</t>
  </si>
  <si>
    <t>pay_HNgJQ6wOo7MhfB</t>
  </si>
  <si>
    <t>pay_HNgPDjGoeBXA0J</t>
  </si>
  <si>
    <t>pay_HNgQoQUtagS6Ng</t>
  </si>
  <si>
    <t>renualokesingh@gmail.com</t>
  </si>
  <si>
    <t>pay_HNgzJO9LOdNrE2</t>
  </si>
  <si>
    <t>pay_HNgzbfZ781pCrf</t>
  </si>
  <si>
    <t>pay_HNhNREENfpaQ7t</t>
  </si>
  <si>
    <t>pay_HNhhnpWgwq1eVf</t>
  </si>
  <si>
    <t>pay_HNhr0f6RGLnxG8</t>
  </si>
  <si>
    <t>pay_HNjI6Mxr3TAsjT</t>
  </si>
  <si>
    <t>pay_HNjc3nwfetpsug</t>
  </si>
  <si>
    <t>pay_HNjqcFTYoWX0yu</t>
  </si>
  <si>
    <t>pay_HNk9i069ggfosZ</t>
  </si>
  <si>
    <t>pay_HNkM6XU8Eict9Q</t>
  </si>
  <si>
    <t>pay_HNkVxbGxBVPG1h</t>
  </si>
  <si>
    <t>pay_HNkXTmNIsA2XxE</t>
  </si>
  <si>
    <t>pay_HNkYYJTzOHuvce</t>
  </si>
  <si>
    <t>pay_HNkYuiNwdTUD70</t>
  </si>
  <si>
    <t>pay_HNklmHGKtOLZsH</t>
  </si>
  <si>
    <t>pay_HNkmh1yKTnpCce</t>
  </si>
  <si>
    <t>pay_HNktUTusGwbdDd</t>
  </si>
  <si>
    <t>pay_HNlWAKxdsCW0An</t>
  </si>
  <si>
    <t>pay_HNlt22EBk4Wzn6</t>
  </si>
  <si>
    <t>pay_HNm2yHTiU3mj9j</t>
  </si>
  <si>
    <t>pay_HNmHiz8qgK09Qc</t>
  </si>
  <si>
    <t>pay_HNmMwNaSM2heBi</t>
  </si>
  <si>
    <t>pay_HNmNOMgO90ymq3</t>
  </si>
  <si>
    <t>pay_HNmQgs2hjMsNmM</t>
  </si>
  <si>
    <t>pay_HNmUDzqppL2WIZ</t>
  </si>
  <si>
    <t>pay_HNnLBXB4q2h4IF</t>
  </si>
  <si>
    <t>pay_HNnMGuReY7ZEM9</t>
  </si>
  <si>
    <t>pay_HNnNPRlt07vXxq</t>
  </si>
  <si>
    <t>pay_HNnNZ36yIWw0vc</t>
  </si>
  <si>
    <t>lekhrajbansal0796@gmail.com</t>
  </si>
  <si>
    <t>pay_HNnRtcBbFNLW59</t>
  </si>
  <si>
    <t>pay_HNnU67MxNyHyym</t>
  </si>
  <si>
    <t>pay_HNnfq7dEFCjNOU</t>
  </si>
  <si>
    <t>kalitakitu@gmail.com</t>
  </si>
  <si>
    <t>pay_HNnitRYxn5idmE</t>
  </si>
  <si>
    <t>pay_HNnjwJ2jKmrpaK</t>
  </si>
  <si>
    <t>pay_HNnkKkmw8eGDiS</t>
  </si>
  <si>
    <t>pay_HNnko3DPHoqX1M</t>
  </si>
  <si>
    <t>pay_HNnrdg0MzOvHzX</t>
  </si>
  <si>
    <t>pay_HNnrlbcs0MFt50</t>
  </si>
  <si>
    <t>bhoimithun63@gmail.com</t>
  </si>
  <si>
    <t>pay_HNo8JzfbWWLIas</t>
  </si>
  <si>
    <t>pay_HNoMr0VPC2P2e5</t>
  </si>
  <si>
    <t>pay_HNoSCqHBTLC6FN</t>
  </si>
  <si>
    <t>pay_HNoUXysZniTjgb</t>
  </si>
  <si>
    <t>pay_HNoWzg3Wprl9Nh</t>
  </si>
  <si>
    <t>pay_HNom27U1xf91ps</t>
  </si>
  <si>
    <t>pay_HNoo7yqGquUX8K</t>
  </si>
  <si>
    <t>pay_HNqJd61XEvIBYz</t>
  </si>
  <si>
    <t>fatimabarira45@gmail.com</t>
  </si>
  <si>
    <t>pay_HNrH3mVg6VvSYp</t>
  </si>
  <si>
    <t>pay_HNrJvQGeYrdLiB</t>
  </si>
  <si>
    <t>pay_HNwjD0tsNV6E3H</t>
  </si>
  <si>
    <t>santoshmayanglambm@gmail.com</t>
  </si>
  <si>
    <t>pay_HNwjDtIkj8I5hn</t>
  </si>
  <si>
    <t>himaanya06@gmail.com</t>
  </si>
  <si>
    <t>pay_HNwjOlpm5Upt6Q</t>
  </si>
  <si>
    <t>pay_HNwkcF13x1LWxh</t>
  </si>
  <si>
    <t>pay_HNwlN2ED9NJdlK</t>
  </si>
  <si>
    <t>pay_HNwzgwZR3WDlhh</t>
  </si>
  <si>
    <t>pay_HNx0fKpu58XPxH</t>
  </si>
  <si>
    <t>ashwini.ookalkar@gmail.com</t>
  </si>
  <si>
    <t>pay_HNxXdYJ4Gxdvvg</t>
  </si>
  <si>
    <t>pay_HNxYGGb4qzKKm3</t>
  </si>
  <si>
    <t>pay_HNxacWHFDQlhnk</t>
  </si>
  <si>
    <t>aj.tanishq@gmail.com</t>
  </si>
  <si>
    <t>pay_HNxjMN12OqXhNX</t>
  </si>
  <si>
    <t>pay_HNxxEsj2lewxZR</t>
  </si>
  <si>
    <t>pay_HNyDReho1kOe2c</t>
  </si>
  <si>
    <t>pay_HNyZNvgrRqJhVZ</t>
  </si>
  <si>
    <t>pay_HNyav9pgnjRLY7</t>
  </si>
  <si>
    <t>pay_HNyeN4hyech8Nf</t>
  </si>
  <si>
    <t>madhuramate2002@gmail.com</t>
  </si>
  <si>
    <t>pay_HNyi4t0DkeJr5J</t>
  </si>
  <si>
    <t>pay_HNz1a7NEJKtudY</t>
  </si>
  <si>
    <t>pay_HNzE1fHvc0vMJG</t>
  </si>
  <si>
    <t>pay_HNzIWmGzJEmvOB</t>
  </si>
  <si>
    <t>pay_HNzr8rEswgznBe</t>
  </si>
  <si>
    <t>srikanthsri4738@gmail.com</t>
  </si>
  <si>
    <t>pay_HNzzQehoarN0OX</t>
  </si>
  <si>
    <t>pay_HO0AEDWuTSrOfK</t>
  </si>
  <si>
    <t>insurdoley123@gmsil.com</t>
  </si>
  <si>
    <t>pay_HO0DUjCnzcB1bH</t>
  </si>
  <si>
    <t>insurdoley123@gmail.com</t>
  </si>
  <si>
    <t>pay_HO0Fd4nBs3Aj4d</t>
  </si>
  <si>
    <t>pay_HO0K2n5jZMkRGi</t>
  </si>
  <si>
    <t>pay_HO0YkUVx0Zio1R</t>
  </si>
  <si>
    <t>pay_HO0cPOW9HBRJ9G</t>
  </si>
  <si>
    <t>sairamtaduri@yahoo.in</t>
  </si>
  <si>
    <t>pay_HO0h9GPZKzgJeu</t>
  </si>
  <si>
    <t>pay_HO14sFn5BXW0Zh</t>
  </si>
  <si>
    <t>parinita.gdg@gmail.com</t>
  </si>
  <si>
    <t>pay_HO1CWnBupehnZo</t>
  </si>
  <si>
    <t>shikmrkk@gmail.com</t>
  </si>
  <si>
    <t>pay_HO1ojoMPmLMJRl</t>
  </si>
  <si>
    <t>pay_HO2aLuRi9f869o</t>
  </si>
  <si>
    <t>pay_HO2v42wLVj2980</t>
  </si>
  <si>
    <t>shivam01anand@gmail.com</t>
  </si>
  <si>
    <t>pay_HO2xei8PvdCcuJ</t>
  </si>
  <si>
    <t>pay_HO3S5NGtimhUkb</t>
  </si>
  <si>
    <t>pay_HO3SedYeFIju8F</t>
  </si>
  <si>
    <t>prakashnpdasari@gmail.com</t>
  </si>
  <si>
    <t>pay_HO3YUj5GTzftzZ</t>
  </si>
  <si>
    <t>pay_HO3s5d1NPSYYXR</t>
  </si>
  <si>
    <t>pay_HO3vfanxywuAGZ</t>
  </si>
  <si>
    <t>rsinha9097@gmail.com</t>
  </si>
  <si>
    <t>pay_HO3yBix1iC1r7Y</t>
  </si>
  <si>
    <t>pay_HO3zNg8MtWy3In</t>
  </si>
  <si>
    <t>kanu1000@gmail.com</t>
  </si>
  <si>
    <t>pay_HO4BKzXBNyYbIo</t>
  </si>
  <si>
    <t>pay_HO4CgIjzn5ca7V</t>
  </si>
  <si>
    <t>pay_HO4VhFmvNQJuKS</t>
  </si>
  <si>
    <t>samridhisharma813@gmail.com</t>
  </si>
  <si>
    <t>pay_HO4r0nEFBYY9tn</t>
  </si>
  <si>
    <t>pay_HO4swCpY9huDeW</t>
  </si>
  <si>
    <t>pay_HO55U8lLrNrxvp</t>
  </si>
  <si>
    <t>pay_HO56xDMOrLuleF</t>
  </si>
  <si>
    <t>pay_HO58Ewgc2hAYjD</t>
  </si>
  <si>
    <t>pay_HO5E34kKly5RI9</t>
  </si>
  <si>
    <t>thepahadimomma@gmail.com</t>
  </si>
  <si>
    <t>pay_HO5Kq95auwzMkv</t>
  </si>
  <si>
    <t>pay_HO5L4Dg35Fx9qy</t>
  </si>
  <si>
    <t>pay_HO5MVDV5zHNqDO</t>
  </si>
  <si>
    <t>pay_HO62TGuwdNhMFg</t>
  </si>
  <si>
    <t>pay_HO63Xns3dRjZF2</t>
  </si>
  <si>
    <t>pay_HO65WBjR3vVMWh</t>
  </si>
  <si>
    <t>pay_HO67CL8PTuU49D</t>
  </si>
  <si>
    <t>sahilparjapati9729@gmail.com</t>
  </si>
  <si>
    <t>pay_HO6DwQRMNEnCNR</t>
  </si>
  <si>
    <t>pay_HO6H46ipP3qYe0</t>
  </si>
  <si>
    <t>pay_HO6J1yUpEb9Ihg</t>
  </si>
  <si>
    <t>pay_HO6Jn1lU3w4qdf</t>
  </si>
  <si>
    <t>idonsavio@gmail.com</t>
  </si>
  <si>
    <t>pay_HO6ugM6JYVNRq6</t>
  </si>
  <si>
    <t>pay_HO7EDoVjHqWHVH</t>
  </si>
  <si>
    <t>pay_HO7ZJmBioh6Fpt</t>
  </si>
  <si>
    <t>pay_HO7jhWToA2mWPM</t>
  </si>
  <si>
    <t>pay_HO7ryC5qGds213</t>
  </si>
  <si>
    <t>pay_HO7v5y19rL73U0</t>
  </si>
  <si>
    <t>pay_HO7vrYG63iCGNY</t>
  </si>
  <si>
    <t>pay_HO7whQcPjj256f</t>
  </si>
  <si>
    <t>pay_HO8A2JR26FIPDG</t>
  </si>
  <si>
    <t>pay_HO8hId66hhJvjF</t>
  </si>
  <si>
    <t>pay_HO97Bv5mxkWdHP</t>
  </si>
  <si>
    <t>pay_HO9PI0vExranEC</t>
  </si>
  <si>
    <t>simranbohraaims@gmail.com</t>
  </si>
  <si>
    <t>pay_HO9XlmgLS47R1d</t>
  </si>
  <si>
    <t>pay_HOA0C4JWm7jSBL</t>
  </si>
  <si>
    <t>test.sdlc@gmail.com</t>
  </si>
  <si>
    <t>pay_HOA2np7eIMkMDS</t>
  </si>
  <si>
    <t>pay_HOA3JFcfri4QWq</t>
  </si>
  <si>
    <t>pay_HOA3oje9553WwY</t>
  </si>
  <si>
    <t>pay_HOABD3bbd0Y6YT</t>
  </si>
  <si>
    <t>kumarinseo@gmail.com</t>
  </si>
  <si>
    <t>pay_HOAL7F5AS0duaY</t>
  </si>
  <si>
    <t>pay_HOAO0XeFId6VZP</t>
  </si>
  <si>
    <t>dhanvin.sap@gmail.com</t>
  </si>
  <si>
    <t>pay_HOATm725nOnAPJ</t>
  </si>
  <si>
    <t>pay_HOAazpPugVneQN</t>
  </si>
  <si>
    <t>pay_HOAbP6VybXQ5Tv</t>
  </si>
  <si>
    <t>pay_HOAiszpck8V9B1</t>
  </si>
  <si>
    <t>pay_HOAqXiWhwnhkN7</t>
  </si>
  <si>
    <t>pay_HOAtxLZyc7BhXN</t>
  </si>
  <si>
    <t>pay_HOB0w1xEljiuX5</t>
  </si>
  <si>
    <t>pay_HOB1EckGhMsZYz</t>
  </si>
  <si>
    <t>pay_HOB1irYBYdpf3m</t>
  </si>
  <si>
    <t>pay_HOB3Waetfa1Q35</t>
  </si>
  <si>
    <t>pay_HOB8gA35kk64uK</t>
  </si>
  <si>
    <t>pay_HOBFgFweFJLxFx</t>
  </si>
  <si>
    <t>pay_HOBX1yxuYwMYx2</t>
  </si>
  <si>
    <t>pay_HOBYNTAXBA9zkD</t>
  </si>
  <si>
    <t>pay_HOCQEjb4zl4HXf</t>
  </si>
  <si>
    <t>pay_HOCR79Nqv3LRjo</t>
  </si>
  <si>
    <t>pay_HOCXZITXc7E4qM</t>
  </si>
  <si>
    <t>pay_HOD7rtEo3akVU7</t>
  </si>
  <si>
    <t>pay_HODDDtsEvp4cQf</t>
  </si>
  <si>
    <t>pay_HODFCZnAAwtfgV</t>
  </si>
  <si>
    <t>pay_HODMUQpfru3FC3</t>
  </si>
  <si>
    <t>pay_HODMkyigzfMCL8</t>
  </si>
  <si>
    <t>pay_HODTzypsdTD4Xx</t>
  </si>
  <si>
    <t>pay_HODgeiVovj0MdG</t>
  </si>
  <si>
    <t>pay_HOE3h3qhH9pk0M</t>
  </si>
  <si>
    <t>pay_HOEEZ5ALNnWtyd</t>
  </si>
  <si>
    <t>pay_HOEQQcErlCWHQT</t>
  </si>
  <si>
    <t>pay_HOGajp6QmQsi9l</t>
  </si>
  <si>
    <t>pay_HOGc3ZvoziyQQe</t>
  </si>
  <si>
    <t>pay_HOGgfYGzPpb9ct</t>
  </si>
  <si>
    <t>pay_HOL1iu424sHnnA</t>
  </si>
  <si>
    <t>pay_HOLN5ADRhOkfe0</t>
  </si>
  <si>
    <t>pay_HOLU0RmtqGZMfo</t>
  </si>
  <si>
    <t>pay_HOLcKgae9AAMKV</t>
  </si>
  <si>
    <t>pay_HOLwoYlLRa7aLi</t>
  </si>
  <si>
    <t>aman.mangat90@gmail.com</t>
  </si>
  <si>
    <t>pay_HOMSZIf4Gzmsl7</t>
  </si>
  <si>
    <t>pay_HOMfwSG0kQR1BN</t>
  </si>
  <si>
    <t>akshanshsoni8@gmail.com</t>
  </si>
  <si>
    <t>pay_HOMkpAvTxHw1Ft</t>
  </si>
  <si>
    <t>sovan2107@yahoo.co.in</t>
  </si>
  <si>
    <t>pay_HOMxTgz32PBrvU</t>
  </si>
  <si>
    <t>pay_HON5u1fwciWQA7</t>
  </si>
  <si>
    <t>pay_HONGRSUAPVNfCS</t>
  </si>
  <si>
    <t>pay_HONJSrpguWDfdY</t>
  </si>
  <si>
    <t>pay_HONKe7M4IoCG13</t>
  </si>
  <si>
    <t>pay_HONRd1pQhUm7jO</t>
  </si>
  <si>
    <t>abhishekvikash234@gmail.com</t>
  </si>
  <si>
    <t>pay_HONsnsn7N9BTlq</t>
  </si>
  <si>
    <t>shindeprasannata098@gmail.com</t>
  </si>
  <si>
    <t>pay_HOO1zv9WtAHGA9</t>
  </si>
  <si>
    <t>pay_HOO5qCm7qaSyjz</t>
  </si>
  <si>
    <t>jlakshmi725@gmail.com</t>
  </si>
  <si>
    <t>pay_HOOUvhn93nVngz</t>
  </si>
  <si>
    <t>pay_HOOVjuKHE6vg3h</t>
  </si>
  <si>
    <t>pay_HOOW5Zlzvm04lt</t>
  </si>
  <si>
    <t>pay_HOOqJqSoHuD687</t>
  </si>
  <si>
    <t>pay_HOOv0F1svQwAu2</t>
  </si>
  <si>
    <t>pay_HOOxa2MoKDWjQ2</t>
  </si>
  <si>
    <t>pay_HOOynrWu7T7xQS</t>
  </si>
  <si>
    <t>pulkitpragmatic@gmail.com</t>
  </si>
  <si>
    <t>pay_HOP1VyZN19etFW</t>
  </si>
  <si>
    <t>pay_HOP7LbfmREZTYn</t>
  </si>
  <si>
    <t>akashilohiya@gmail.com</t>
  </si>
  <si>
    <t>pay_HOPJX71AwsEaH6</t>
  </si>
  <si>
    <t>pay_HOQ5oFdh4mm0eI</t>
  </si>
  <si>
    <t>pay_HOQEXlYcQV6AFz</t>
  </si>
  <si>
    <t>pay_HOQLvOqvVCWoSV</t>
  </si>
  <si>
    <t>pay_HOQWqTxUkyZVHL</t>
  </si>
  <si>
    <t>manasig97@gmail.com</t>
  </si>
  <si>
    <t>pay_HOQs9tj2UEX4zp</t>
  </si>
  <si>
    <t>pay_HOQvCOTVzpPX82</t>
  </si>
  <si>
    <t>pay_HOQxD0nplJDBBs</t>
  </si>
  <si>
    <t>abhimanyu160@gmail.com</t>
  </si>
  <si>
    <t>pay_HORE2vD8wn7DfN</t>
  </si>
  <si>
    <t>pay_HORJde6MbyVNjr</t>
  </si>
  <si>
    <t>pay_HORYAtvGN8b2Nj</t>
  </si>
  <si>
    <t>pay_HORYgDyodK62Wr</t>
  </si>
  <si>
    <t>pay_HOSMYUzc3s8WPK</t>
  </si>
  <si>
    <t>www.eliasmasud786@gmail.com</t>
  </si>
  <si>
    <t>pay_HOSrExzh5wnssj</t>
  </si>
  <si>
    <t>pay_HOT1NWKylgwBv2</t>
  </si>
  <si>
    <t>knazneen5552@gmail.com</t>
  </si>
  <si>
    <t>pay_HOTJ3T5aHAutuK</t>
  </si>
  <si>
    <t>pay_HOTMNHydz5dLFv</t>
  </si>
  <si>
    <t>pay_HOTUXwXvKWQvPi</t>
  </si>
  <si>
    <t>pay_HOUPHAYxT02EZb</t>
  </si>
  <si>
    <t>abharadwaj28@gmail.com</t>
  </si>
  <si>
    <t>pay_HOV6JUbcOl933L</t>
  </si>
  <si>
    <t>valentinakini888@gmail.com</t>
  </si>
  <si>
    <t>pay_HOVE1tnN0AuJfy</t>
  </si>
  <si>
    <t>pay_HOVKkdWtxlbuho</t>
  </si>
  <si>
    <t>pay_HOVLPb33xLNxAF</t>
  </si>
  <si>
    <t>pay_HOVQNiRbmkjHy1</t>
  </si>
  <si>
    <t>pay_HOVx5PHfE7JZLE</t>
  </si>
  <si>
    <t>ruwakitab13@gmail.com</t>
  </si>
  <si>
    <t>pay_HOWowwcTmRuWUG</t>
  </si>
  <si>
    <t>pay_HOWuyM95rEqTTn</t>
  </si>
  <si>
    <t>pay_HOXK3yW9jAzR6a</t>
  </si>
  <si>
    <t>pay_HOXNdfMOimUSjc</t>
  </si>
  <si>
    <t>pay_HOXSoDv10VKWee</t>
  </si>
  <si>
    <t>pay_HOXepooQXYBllz</t>
  </si>
  <si>
    <t>pay_HOXlFr48EsLCnl</t>
  </si>
  <si>
    <t>srshekhar001@gmail.com</t>
  </si>
  <si>
    <t>pay_HOYQDMPHna3b29</t>
  </si>
  <si>
    <t>pay_HOYawbwg6czQzO</t>
  </si>
  <si>
    <t>pay_HOa3dLO0zBKhSK</t>
  </si>
  <si>
    <t>pay_HOaCDbCDjCsOH6</t>
  </si>
  <si>
    <t>sylvesterandrews@yahoo.com</t>
  </si>
  <si>
    <t>pay_HOaFbH1vweXBWz</t>
  </si>
  <si>
    <t>pay_HOaR4C8pc42IGk</t>
  </si>
  <si>
    <t>velerarishikesh@gmail.com</t>
  </si>
  <si>
    <t>pay_HOaV1MnnUmdFZS</t>
  </si>
  <si>
    <t>pay_HOb1RgsHxsrIDN</t>
  </si>
  <si>
    <t>pay_HObTsm7GfizLzi</t>
  </si>
  <si>
    <t>pay_HObxhfRNJuyhaU</t>
  </si>
  <si>
    <t>pay_HOcBvoJBPYYvrS</t>
  </si>
  <si>
    <t>pay_HOcFBQ3aKBzVq3</t>
  </si>
  <si>
    <t>pay_HOcFhYAhu0rTFx</t>
  </si>
  <si>
    <t>pay_HOdca4IgDYWrbp</t>
  </si>
  <si>
    <t>yogeshwari93@gmail.com</t>
  </si>
  <si>
    <t>pay_HOe8NLeEF07aE8</t>
  </si>
  <si>
    <t>pay_HOg6KOfdkHaR6k</t>
  </si>
  <si>
    <t>pay_HOiYZydgartSvc</t>
  </si>
  <si>
    <t>sri.k.111@gmail.com</t>
  </si>
  <si>
    <t>pay_HOiuHDMvCdwEXu</t>
  </si>
  <si>
    <t>pay_HOkkUJgOP4C8Ek</t>
  </si>
  <si>
    <t>pay_HOl2b7wCbdaLB5</t>
  </si>
  <si>
    <t>pay_HOlGVt3LXbXUHb</t>
  </si>
  <si>
    <t>pay_HOlY0WUbZ5KY6F</t>
  </si>
  <si>
    <t>pay_HOm4aaN95qGUzu</t>
  </si>
  <si>
    <t>pay_HOmHWkIGTeWwKs</t>
  </si>
  <si>
    <t>pay_HOmUrdrFOYOkMZ</t>
  </si>
  <si>
    <t>pay_HOmVFPewSKCsEy</t>
  </si>
  <si>
    <t>pay_HOmgHfhodipypK</t>
  </si>
  <si>
    <t>pay_HOnJE6JvD32cQw</t>
  </si>
  <si>
    <t>pay_HOnq0iyhoZmTiL</t>
  </si>
  <si>
    <t>pay_HOnqwT2r8ZZOJ0</t>
  </si>
  <si>
    <t>pay_HOnrSqIuMQSB08</t>
  </si>
  <si>
    <t>pay_HOnro8MHkjKVlV</t>
  </si>
  <si>
    <t>veejaythakker@gmail.com</t>
  </si>
  <si>
    <t>pay_HOonPvyOoGtdgv</t>
  </si>
  <si>
    <t>pay_HOooSJT2MoXa2O</t>
  </si>
  <si>
    <t>pay_HOoyVN3hQFcyUo</t>
  </si>
  <si>
    <t>pay_HOp2Qvymu01hcw</t>
  </si>
  <si>
    <t>priyaa423@gmail.com</t>
  </si>
  <si>
    <t>pay_HOp4L7Ah39KAFV</t>
  </si>
  <si>
    <t>pay_HOp5kkULWOlMIP</t>
  </si>
  <si>
    <t>pay_HOpGvOPhP1yJtv</t>
  </si>
  <si>
    <t>pay_HOpj2ZVygag8sT</t>
  </si>
  <si>
    <t>pay_HOqFhZTatjAoiH</t>
  </si>
  <si>
    <t>pay_HOqMnUVw6y5eHF</t>
  </si>
  <si>
    <t>pay_HOqOjcEuVb27ex</t>
  </si>
  <si>
    <t>pay_HOqP03poWzao6F</t>
  </si>
  <si>
    <t>pay_HOqXpIcdPrm4fJ</t>
  </si>
  <si>
    <t>pay_HOrE9LflP0v689</t>
  </si>
  <si>
    <t>ranjeev17@gmail.com</t>
  </si>
  <si>
    <t>pay_HOriISAuhzpFjs</t>
  </si>
  <si>
    <t>sunilmansi41@gmail.com</t>
  </si>
  <si>
    <t>pay_HOrp6SIH3r0bW2</t>
  </si>
  <si>
    <t>pay_HOsHmdJWsi8V69</t>
  </si>
  <si>
    <t>pay_HOsX2fEJq5QtVD</t>
  </si>
  <si>
    <t>pay_HOt1BJcwmegR5Z</t>
  </si>
  <si>
    <t>reddy.chendana@gmail.com</t>
  </si>
  <si>
    <t>pay_HOt2Qj7OjuZtpx</t>
  </si>
  <si>
    <t>pavanm9883@gmail.com</t>
  </si>
  <si>
    <t>pay_HOtN9M4haXkwob</t>
  </si>
  <si>
    <t>induselvanmurthy15@gmail.com</t>
  </si>
  <si>
    <t>pay_HOtOVt50iKxqPH</t>
  </si>
  <si>
    <t>pay_HOtSB8KUcsO2yl</t>
  </si>
  <si>
    <t>pay_HOtVIWYe1MgK59</t>
  </si>
  <si>
    <t>pay_HOtYZnPzNgOTyl</t>
  </si>
  <si>
    <t>pay_HOtuJy2pDHey5w</t>
  </si>
  <si>
    <t>pay_HOuJbNctaEbkQ4</t>
  </si>
  <si>
    <t>pay_HOuVOdzPjvumXb</t>
  </si>
  <si>
    <t>pay_HOv9f0rjj0os55</t>
  </si>
  <si>
    <t>pay_HOvGAnUbGLOVoB</t>
  </si>
  <si>
    <t>bs6474450@gmail.com</t>
  </si>
  <si>
    <t>pay_HOwXFdVnxlEWPO</t>
  </si>
  <si>
    <t>pay_HOwdL1U01wCPGA</t>
  </si>
  <si>
    <t>palvesharda681@lgmail.com</t>
  </si>
  <si>
    <t>pay_HOwgCaM2ohhgC7</t>
  </si>
  <si>
    <t>pay_HOwiuCkbf8T041</t>
  </si>
  <si>
    <t>pay_HOx0rzgLbUc7cP</t>
  </si>
  <si>
    <t>pay_HOx6I9RgWi2GMj</t>
  </si>
  <si>
    <t>pay_HOxKrumvkhWz1F</t>
  </si>
  <si>
    <t>pay_HOxQcnYBFKtI5u</t>
  </si>
  <si>
    <t>pay_HOxSFEIBeECRI8</t>
  </si>
  <si>
    <t>pay_HOxTuqB6oHA3Te</t>
  </si>
  <si>
    <t>pay_HOxi45aOQFQDvI</t>
  </si>
  <si>
    <t>pay_HOxkvdSVmBuYPm</t>
  </si>
  <si>
    <t>pay_HOy9zX4q0W2MPK</t>
  </si>
  <si>
    <t>pay_HOyBWAHfw902mb</t>
  </si>
  <si>
    <t>pay_HOyF41EHNMucJb</t>
  </si>
  <si>
    <t>pay_HOyrsRtreJIlhO</t>
  </si>
  <si>
    <t>pay_HOywiNN2LHjd2e</t>
  </si>
  <si>
    <t>pay_HOzGvCd0RAXOxi</t>
  </si>
  <si>
    <t>pay_HOzYEhxVRvqABE</t>
  </si>
  <si>
    <t>pay_HOztAWDjQ9PWxF</t>
  </si>
  <si>
    <t>pay_HP0LMi0WEzB1O3</t>
  </si>
  <si>
    <t>pay_HP0fBsIzW3GRqy</t>
  </si>
  <si>
    <t>pay_HP0jM4dKkEebkb</t>
  </si>
  <si>
    <t>pay_HP0kvJhIvcj7wG</t>
  </si>
  <si>
    <t>shet.deepen99@gmail.com</t>
  </si>
  <si>
    <t>pay_HP0pUNBT1FdaVX</t>
  </si>
  <si>
    <t>pay_HP0ydRjiKPKZh7</t>
  </si>
  <si>
    <t>pay_HP1NIhXbHV0eJk</t>
  </si>
  <si>
    <t>pay_HP1ZBFLuqT1DTJ</t>
  </si>
  <si>
    <t>soumyajitm63@gmail.com</t>
  </si>
  <si>
    <t>pay_HP1j1fS09VuxDL</t>
  </si>
  <si>
    <t>pay_HP1k2tMMEm56Sc</t>
  </si>
  <si>
    <t>pay_HP2GB5NviIwyTS</t>
  </si>
  <si>
    <t>pay_HP6fLOMWpRahWj</t>
  </si>
  <si>
    <t>manojtekram2@gmail.com</t>
  </si>
  <si>
    <t>pay_HP8JvtUizvSjfI</t>
  </si>
  <si>
    <t>sgolchha092@gmail.com</t>
  </si>
  <si>
    <t>pay_HP8LmV4mUhlJtB</t>
  </si>
  <si>
    <t>pay_HP93vL6GoOimvU</t>
  </si>
  <si>
    <t>pay_HP96eITUMlsRgt</t>
  </si>
  <si>
    <t>saritasharma2308@rediffmail.com</t>
  </si>
  <si>
    <t>pay_HPA047YOCH2YRh</t>
  </si>
  <si>
    <t>pay_HPALZtl41tVp0m</t>
  </si>
  <si>
    <t>janigogaran98@gmail.com</t>
  </si>
  <si>
    <t>pay_HPAObDKwsP4Y1B</t>
  </si>
  <si>
    <t>devendrajalmi49@gmail.com</t>
  </si>
  <si>
    <t>pay_HPBEFywCdbaG6K</t>
  </si>
  <si>
    <t>pay_HPBFe70eI0baiu</t>
  </si>
  <si>
    <t>mohammedmanaal06@gmail.com</t>
  </si>
  <si>
    <t>pay_HPBKuFXbCS0BmR</t>
  </si>
  <si>
    <t>bhuwanchhetry@gmail.com</t>
  </si>
  <si>
    <t>pay_HPBd5aZY2R0TqZ</t>
  </si>
  <si>
    <t>pay_HPBdDr2JUSiOEp</t>
  </si>
  <si>
    <t>pay_HPBdwaUdr3SGI8</t>
  </si>
  <si>
    <t>pay_HPBfUeMM4ygeEB</t>
  </si>
  <si>
    <t>ravi.satputs25@gmail.com</t>
  </si>
  <si>
    <t>pay_HPBgGd1e3j87S0</t>
  </si>
  <si>
    <t>pay_HPBq2k8d6OQ9Vn</t>
  </si>
  <si>
    <t>pay_HPBuv7bLVVuQT6</t>
  </si>
  <si>
    <t>pay_HPCJWMWwJm1W67</t>
  </si>
  <si>
    <t>pay_HPCJoAlVpiXOL2</t>
  </si>
  <si>
    <t>pay_HPCMJ4Jmrnhy9b</t>
  </si>
  <si>
    <t>pay_HPCMolf2I1M8RB</t>
  </si>
  <si>
    <t>pay_HPCUVsWeIBuOKq</t>
  </si>
  <si>
    <t>chauhanashwani71@gmail.com</t>
  </si>
  <si>
    <t>pay_HPCiE4tysXBSc9</t>
  </si>
  <si>
    <t>pay_HPD8Fp1pI1SE5r</t>
  </si>
  <si>
    <t>pay_HPDbHYgYfZZqv9</t>
  </si>
  <si>
    <t>surdeepchd@gmail.com</t>
  </si>
  <si>
    <t>pay_HPDmOZs5qI45P6</t>
  </si>
  <si>
    <t>pay_HPDqEshiBH0KSP</t>
  </si>
  <si>
    <t>pay_HPDsNe6Eq8Rm6W</t>
  </si>
  <si>
    <t>pay_HPEMr6VIvUG23O</t>
  </si>
  <si>
    <t>pay_HPEk5lGxmMoNOo</t>
  </si>
  <si>
    <t>pay_HPF71I1cgQTZyt</t>
  </si>
  <si>
    <t>pay_HPG2kVFwG3blhe</t>
  </si>
  <si>
    <t>pay_HPGt2VzUHdPvQI</t>
  </si>
  <si>
    <t>hiitsritz@yahoo.co.in</t>
  </si>
  <si>
    <t>pay_HPH0QZzOVSTVG8</t>
  </si>
  <si>
    <t>menonlakshmip21@gmail.com</t>
  </si>
  <si>
    <t>pay_HPH0yclb4FWgrR</t>
  </si>
  <si>
    <t>pay_HPH1bk9GIrygaX</t>
  </si>
  <si>
    <t>pay_HPH1mIXQPFfnGG</t>
  </si>
  <si>
    <t>pay_HPH2bjk61btNBy</t>
  </si>
  <si>
    <t>pay_HPHlrbjkf5lM45</t>
  </si>
  <si>
    <t>pay_HPHmW4vRwFDLAH</t>
  </si>
  <si>
    <t>pay_HPHmpqJ2ev8xN5</t>
  </si>
  <si>
    <t>pay_HPHnI9Et4cWPa0</t>
  </si>
  <si>
    <t>jainam.kothari1986@gmail.com</t>
  </si>
  <si>
    <t>pay_HPHqV0g2t3GKaM</t>
  </si>
  <si>
    <t>bablujsr815@gmail.com</t>
  </si>
  <si>
    <t>pay_HPHv6HKNfpF9ju</t>
  </si>
  <si>
    <t>pay_HPI59wny7qffTa</t>
  </si>
  <si>
    <t>pay_HPIhXEbtFCF8mX</t>
  </si>
  <si>
    <t>pay_HPJJaQIIFNixql</t>
  </si>
  <si>
    <t>pay_HPJLfiZf8cXM1V</t>
  </si>
  <si>
    <t>pay_HPJclh9HpU07u3</t>
  </si>
  <si>
    <t>aarushiwadhwa31.aw@gmail.com</t>
  </si>
  <si>
    <t>pay_HPK1jAq1WDkDs2</t>
  </si>
  <si>
    <t>nikitamodak9494@email.com</t>
  </si>
  <si>
    <t>pay_HPK5T6rGNGkvxL</t>
  </si>
  <si>
    <t>pay_HPK636bdUsH8k9</t>
  </si>
  <si>
    <t>dravi0109@gmail.com</t>
  </si>
  <si>
    <t>pay_HPK8Z0XklOxWXm</t>
  </si>
  <si>
    <t>nikitamodak9494@gmail.com</t>
  </si>
  <si>
    <t>pay_HPK9kETZAA0Or5</t>
  </si>
  <si>
    <t>pay_HPKBUBrRjD7bDd</t>
  </si>
  <si>
    <t>pay_HPKDek013ZaRIs</t>
  </si>
  <si>
    <t>pay_HPLFmYocldDSt8</t>
  </si>
  <si>
    <t>pay_HPLH6U9cY4OREH</t>
  </si>
  <si>
    <t>pay_HPLkGxJ8jPzmy0</t>
  </si>
  <si>
    <t>pay_HPLpbI56Zbbnq4</t>
  </si>
  <si>
    <t>pay_HPLq18hierHKJ2</t>
  </si>
  <si>
    <t>pay_HPMY7QjcL0Veuq</t>
  </si>
  <si>
    <t>pay_HPMYfdt5zc9NL4</t>
  </si>
  <si>
    <t>pay_HPMsHyHFweyhMH</t>
  </si>
  <si>
    <t>pay_HPN7DaVBxGAMOc</t>
  </si>
  <si>
    <t>pay_HPNEF6iTht0JGN</t>
  </si>
  <si>
    <t>golla.prasoona@gmail.com</t>
  </si>
  <si>
    <t>pay_HPNVHDAyn9MUQJ</t>
  </si>
  <si>
    <t>pay_HPNmCrnasVjpoT</t>
  </si>
  <si>
    <t>pay_HPNmab0MU7SM7F</t>
  </si>
  <si>
    <t>pay_HPNnSz7xYMdRQA</t>
  </si>
  <si>
    <t>pay_HPNqVTgk1PywRK</t>
  </si>
  <si>
    <t>russellclub10@gmail.com</t>
  </si>
  <si>
    <t>pay_HPOMl9f8O3zqXt</t>
  </si>
  <si>
    <t>pay_HPOj4cQSj53WYc</t>
  </si>
  <si>
    <t>pay_HPOkjcYZeaHKCB</t>
  </si>
  <si>
    <t>pay_HPOn03U4V4WH0c</t>
  </si>
  <si>
    <t>pay_HPOz5SIA01aZKl</t>
  </si>
  <si>
    <t>pay_HPOzt0MdSZ8uig</t>
  </si>
  <si>
    <t>pay_HPP0Xf0cI6Z0oY</t>
  </si>
  <si>
    <t>pay_HPP0pg5Qk7Tddk</t>
  </si>
  <si>
    <t>pay_HPP2jUVQBQ6Utp</t>
  </si>
  <si>
    <t>pay_HPP3PrIbZAVtKc</t>
  </si>
  <si>
    <t>pay_HPQbULJjO53Lh1</t>
  </si>
  <si>
    <t>shaikh.afshan28@gmail.com</t>
  </si>
  <si>
    <t>pay_HPR2i69GmPVKBe</t>
  </si>
  <si>
    <t>pay_HPRDYoPz5OdpbM</t>
  </si>
  <si>
    <t>pay_HPRkMaUH0WyHHa</t>
  </si>
  <si>
    <t>sherin.antony7@gmail.com</t>
  </si>
  <si>
    <t>pay_HPWfXUr1blyxBA</t>
  </si>
  <si>
    <t>pay_HPWiD1yDlKRdhk</t>
  </si>
  <si>
    <t>drgayathryvarmahealing@gmail.com</t>
  </si>
  <si>
    <t>pay_HPXun6oogCHGMU</t>
  </si>
  <si>
    <t>7738777011.vj@gmail.com</t>
  </si>
  <si>
    <t>pay_HPYSayzoEHKJfO</t>
  </si>
  <si>
    <t>pay_HPYpgUdzRDhlVI</t>
  </si>
  <si>
    <t>pay_HPZ4XC2ISrT9CQ</t>
  </si>
  <si>
    <t>information5343@gmail.com</t>
  </si>
  <si>
    <t>pay_HPZ9bmHa2USAE4</t>
  </si>
  <si>
    <t>bedirachna19@gmail.com</t>
  </si>
  <si>
    <t>pay_HPZ9z0qj9wOQH8</t>
  </si>
  <si>
    <t>pay_HPZE9oVgvM93Gf</t>
  </si>
  <si>
    <t>pay_HPZzRfOAORQ1sf</t>
  </si>
  <si>
    <t>pay_HPa9wNtSAJ60YQ</t>
  </si>
  <si>
    <t>pay_HParE6KoEypqXW</t>
  </si>
  <si>
    <t>pay_HPb6LNaeARuqzg</t>
  </si>
  <si>
    <t>pay_HPbAUrjI1xMHen</t>
  </si>
  <si>
    <t>pay_HPbYMbtWERjvkW</t>
  </si>
  <si>
    <t>pay_HPbrFtm6WcGa0g</t>
  </si>
  <si>
    <t>nidamemi12@gmail.com</t>
  </si>
  <si>
    <t>pay_HPc7NUhAUFpHDt</t>
  </si>
  <si>
    <t>pay_HPc9VpxWDntq1c</t>
  </si>
  <si>
    <t>pay_HPcLLHwV04tLMk</t>
  </si>
  <si>
    <t>pay_HPcNdRh1Tc1VfX</t>
  </si>
  <si>
    <t>pay_HPcVolAKJbiIbj</t>
  </si>
  <si>
    <t>evolvewidgrace@gmail.com</t>
  </si>
  <si>
    <t>pay_HPcWatVHQ4RMy4</t>
  </si>
  <si>
    <t>pay_HPcXWjzgm52eN6</t>
  </si>
  <si>
    <t>pay_HPcaaca43B0xKg</t>
  </si>
  <si>
    <t>pay_HPchfHrUxukFCG</t>
  </si>
  <si>
    <t>preetykrish.krish@gmail.com</t>
  </si>
  <si>
    <t>pay_HPd0YOq2a6ZY7A</t>
  </si>
  <si>
    <t>daradevaibhav119@gmail.com</t>
  </si>
  <si>
    <t>pay_HPd2xd1J8jRxfj</t>
  </si>
  <si>
    <t>pay_HPd4tBkpeK7unI</t>
  </si>
  <si>
    <t>pay_HPdGrmGO085nTR</t>
  </si>
  <si>
    <t>pay_HPdH1PXMIvkbQA</t>
  </si>
  <si>
    <t>pay_HPdKImKw25cDDQ</t>
  </si>
  <si>
    <t>pay_HPdLZ7eDIsaiCG</t>
  </si>
  <si>
    <t>pay_HPdN6ZUP9yvEN0</t>
  </si>
  <si>
    <t>niranjan.sai@gmail.com</t>
  </si>
  <si>
    <t>pay_HPdOccIKvvcTIC</t>
  </si>
  <si>
    <t>pay_HPdoQTO2dy697L</t>
  </si>
  <si>
    <t>mitesh72000@gmail.com</t>
  </si>
  <si>
    <t>pay_HPeD11MOEZSKst</t>
  </si>
  <si>
    <t>pay_HPeKilDeB0urDI</t>
  </si>
  <si>
    <t>reshmichatterjee16@gmail.com</t>
  </si>
  <si>
    <t>pay_HPeVSxXNirdSa3</t>
  </si>
  <si>
    <t>pay_HPeWTQpRpicqVv</t>
  </si>
  <si>
    <t>pay_HPeXLYRdH9SS1I</t>
  </si>
  <si>
    <t>pay_HPea8Z2Wd7PG9v</t>
  </si>
  <si>
    <t>pay_HPee2UhKAYZM89</t>
  </si>
  <si>
    <t>razia.h309@gmail.com</t>
  </si>
  <si>
    <t>pay_HPelkVr8sBK7eN</t>
  </si>
  <si>
    <t>pay_HPf76crmmHLYXW</t>
  </si>
  <si>
    <t>pay_HPflnFz2LbQbXX</t>
  </si>
  <si>
    <t>pay_HPg1ScGVWpUTHC</t>
  </si>
  <si>
    <t>pay_HPg2KS1knSdSHd</t>
  </si>
  <si>
    <t>pay_HPg3gGR7FeJTM6</t>
  </si>
  <si>
    <t>pay_HPguhZ4mHWg97j</t>
  </si>
  <si>
    <t>pay_HPh04Ci4iDbLfF</t>
  </si>
  <si>
    <t>pay_HPhCYeSpsieRQF</t>
  </si>
  <si>
    <t>pay_HPhJodTSoj2ZXW</t>
  </si>
  <si>
    <t>pay_HPhV3Kks1FTcBZ</t>
  </si>
  <si>
    <t>ravi.satpute25@gmail.com</t>
  </si>
  <si>
    <t>pay_HPhXhoNqubcRzn</t>
  </si>
  <si>
    <t>pay_HPhZuCRS4GV6AE</t>
  </si>
  <si>
    <t>pay_HPhegZLQS0J00p</t>
  </si>
  <si>
    <t>vaishalipol48@gmail.com</t>
  </si>
  <si>
    <t>pay_HPhi3UFXUFjd5b</t>
  </si>
  <si>
    <t>pay_HPhk3LMIPQa6Pk</t>
  </si>
  <si>
    <t>pay_HPhmelEPdhdcdZ</t>
  </si>
  <si>
    <t>pay_HPhp6eG9KoSMLK</t>
  </si>
  <si>
    <t>pay_HPjhagpouTHJtZ</t>
  </si>
  <si>
    <t>pay_HPjtJ66q6cSC85</t>
  </si>
  <si>
    <t>pay_HPjwsZAhXBVnmZ</t>
  </si>
  <si>
    <t>pay_HPjxHrmd0E5vTO</t>
  </si>
  <si>
    <t>pay_HPjxddEPWi2xz5</t>
  </si>
  <si>
    <t>pay_HPjxwcDEZzLC7T</t>
  </si>
  <si>
    <t>pay_HPjzMVl2p0bisS</t>
  </si>
  <si>
    <t>kethaboyena@gmail.com</t>
  </si>
  <si>
    <t>pay_HPk0XiCzq8dDum</t>
  </si>
  <si>
    <t>pay_HPk10d2wD033Ms</t>
  </si>
  <si>
    <t>pay_HPk3ummdKqV9OX</t>
  </si>
  <si>
    <t>rxrakesh66@gmail.com</t>
  </si>
  <si>
    <t>pay_HPk4KgxVyFwkca</t>
  </si>
  <si>
    <t>pay_HPk6KtPU0OjB7y</t>
  </si>
  <si>
    <t>pay_HPk7w61cXjQQ6s</t>
  </si>
  <si>
    <t>lmpooja579@gmail.com</t>
  </si>
  <si>
    <t>pay_HPkkEuODwkzgcD</t>
  </si>
  <si>
    <t>yunushkhanbth9@gmail.com</t>
  </si>
  <si>
    <t>pay_HPlETjVRX3hg6n</t>
  </si>
  <si>
    <t>pay_HPlPG9JLaySSUB</t>
  </si>
  <si>
    <t>pay_HPlZfzPOZFfaH8</t>
  </si>
  <si>
    <t>pay_HPlk0RDCg5HlDz</t>
  </si>
  <si>
    <t>pay_HPlnna5zTtyTpr</t>
  </si>
  <si>
    <t>sivarajan.thiva@gmail.com</t>
  </si>
  <si>
    <t>pay_HPlxlOEjzw8YCW</t>
  </si>
  <si>
    <t>pay_HPlxmi8PFBjXQn</t>
  </si>
  <si>
    <t>pay_HPm7SFFs21w8S8</t>
  </si>
  <si>
    <t>nagramanjinderkaur@gmail.com</t>
  </si>
  <si>
    <t>pay_HPmYOK0izLli9D</t>
  </si>
  <si>
    <t>pay_HPmecWyFyYRhV1</t>
  </si>
  <si>
    <t>sra.shrutiagrawal@gmail.com</t>
  </si>
  <si>
    <t>pay_HPmkf9jzNzT70O</t>
  </si>
  <si>
    <t>pay_HPn3eLc4rBVswn</t>
  </si>
  <si>
    <t>pay_HPn4uutWXATnar</t>
  </si>
  <si>
    <t>kartikkalal738@gmail.com</t>
  </si>
  <si>
    <t>pay_HPn68yIl55Wddm</t>
  </si>
  <si>
    <t>pay_HPn7VnzkoU84ZQ</t>
  </si>
  <si>
    <t>pay_HPn8NfRUiTnYMN</t>
  </si>
  <si>
    <t>pay_HPn8cnT1wW3VIJ</t>
  </si>
  <si>
    <t>pay_HPnBpCVVjMt8aK</t>
  </si>
  <si>
    <t>pay_HPnDDiVhnh2n3I</t>
  </si>
  <si>
    <t>pay_HPnGcAvf52XyG5</t>
  </si>
  <si>
    <t>sneha.jennifer007@gmail.com</t>
  </si>
  <si>
    <t>pay_HPnKi92EwAfRsV</t>
  </si>
  <si>
    <t>pay_HPnhRY0zyQeGLR</t>
  </si>
  <si>
    <t>pay_HPnp5sCiw5n7J2</t>
  </si>
  <si>
    <t>pay_HPo4LbeorkMP5V</t>
  </si>
  <si>
    <t>pay_HPop0tvbDt21Jb</t>
  </si>
  <si>
    <t>pay_HPpQ9gyzuUmSuW</t>
  </si>
  <si>
    <t>pay_HPtQg3GUcwKXXd</t>
  </si>
  <si>
    <t>pay_HPtRPfVHaqYmiK</t>
  </si>
  <si>
    <t>pay_HPv8qQBbMIURdB</t>
  </si>
  <si>
    <t>pay_HPvRbrF9qUDwcm</t>
  </si>
  <si>
    <t>pay_HPvbBu5RbWhKmi</t>
  </si>
  <si>
    <t>kesava.ibm@gmail.com</t>
  </si>
  <si>
    <t>pay_HPwW8F44VP3nEj</t>
  </si>
  <si>
    <t>pay_HPxoc7alKKwkBw</t>
  </si>
  <si>
    <t>pay_HPyMgnAIhKcRFX</t>
  </si>
  <si>
    <t>pay_HPyWNpz5MCjIqT</t>
  </si>
  <si>
    <t>karanjsaud14@gmail.com</t>
  </si>
  <si>
    <t>pay_HPycgQcMp7bZhu</t>
  </si>
  <si>
    <t>pay_HPyk18yM94OLyB</t>
  </si>
  <si>
    <t>pay_HPyq5i8knLkuWR</t>
  </si>
  <si>
    <t>preetipurohit1@yahoo.co.in</t>
  </si>
  <si>
    <t>pay_HPzCLdUjDvpZea</t>
  </si>
  <si>
    <t>pay_HPzZc5GF5Z44O4</t>
  </si>
  <si>
    <t>patilatharvam1@gmail.com</t>
  </si>
  <si>
    <t>pay_HPzjfkLViFZK5y</t>
  </si>
  <si>
    <t>kumardipur9135@gmail.com</t>
  </si>
  <si>
    <t>pay_HPznB5xQZdJJAN</t>
  </si>
  <si>
    <t>ashasingh0318@gmail.com</t>
  </si>
  <si>
    <t>pay_HPznJkeOo08V9d</t>
  </si>
  <si>
    <t>pay_HQ0KScLIlG4Dy2</t>
  </si>
  <si>
    <t>hithoshtheinspiration1999@gmail.com</t>
  </si>
  <si>
    <t>pay_HQ0RbaQNNYFWCO</t>
  </si>
  <si>
    <t>harshsharma200@rocketmail.com</t>
  </si>
  <si>
    <t>pay_HQ0ZVSHJLqHZZk</t>
  </si>
  <si>
    <t>sushmita0909@gmail.com</t>
  </si>
  <si>
    <t>pay_HQ0fwaNT2mY4uo</t>
  </si>
  <si>
    <t>pay_HQ0twuftkHEvTq</t>
  </si>
  <si>
    <t>sonuprisha8@gmail.com</t>
  </si>
  <si>
    <t>pay_HQ184Bz1Y6Cx47</t>
  </si>
  <si>
    <t>manasa7jallipalli@gmail.com</t>
  </si>
  <si>
    <t>pay_HQ26QhMY7xhuO2</t>
  </si>
  <si>
    <t>pay_HQ28lvS25FsI91</t>
  </si>
  <si>
    <t>pay_HQ2EdjsCmIITAo</t>
  </si>
  <si>
    <t>pay_HQ2prcOOMioQsk</t>
  </si>
  <si>
    <t>gayathiridevin@gmail.com</t>
  </si>
  <si>
    <t>pay_HQ30zQOslSuLgf</t>
  </si>
  <si>
    <t>pay_HQ3BcvCGDRdXjN</t>
  </si>
  <si>
    <t>pay_HQ3FtQOcHV8Uj4</t>
  </si>
  <si>
    <t>pay_HQ3HHdm5xQDcim</t>
  </si>
  <si>
    <t>pay_HQ3K4gXB75LZi5</t>
  </si>
  <si>
    <t>pay_HQ3KHKliKKTv9g</t>
  </si>
  <si>
    <t>pay_HQ3NhY0sMlymvJ</t>
  </si>
  <si>
    <t>pay_HQ3UUTv4GYc39z</t>
  </si>
  <si>
    <t>vvksharma27@gmail.com</t>
  </si>
  <si>
    <t>pay_HQ3h08ZeeADYn7</t>
  </si>
  <si>
    <t>pay_HQ3ibYDW5UEKKX</t>
  </si>
  <si>
    <t>pay_HQ3pkGpqu5TQMA</t>
  </si>
  <si>
    <t>pay_HQ3rLtJgT4fEUD</t>
  </si>
  <si>
    <t>pay_HQ3th7TrWwYo4K</t>
  </si>
  <si>
    <t>pay_HQ43hX3Uf6KPXZ</t>
  </si>
  <si>
    <t>pay_HQ446Mil7yg5Mc</t>
  </si>
  <si>
    <t>rithika.ramesh1996@gmail.com</t>
  </si>
  <si>
    <t>pay_HQ45Nq6MVpoaS0</t>
  </si>
  <si>
    <t>pay_HQ46PqfZRdXX9j</t>
  </si>
  <si>
    <t>pay_HQ46aXdkbkuvH9</t>
  </si>
  <si>
    <t>pay_HQ4JqNJom9oP3C</t>
  </si>
  <si>
    <t>pandyaprutha@gmail.com</t>
  </si>
  <si>
    <t>pay_HQ4NX5idHVlTkE</t>
  </si>
  <si>
    <t>Not Found - Join Record</t>
  </si>
  <si>
    <t>Plan_exists</t>
  </si>
  <si>
    <t>Amount - strike</t>
  </si>
  <si>
    <t xml:space="preserve">Amount </t>
  </si>
  <si>
    <t>Description</t>
  </si>
  <si>
    <t>Link</t>
  </si>
  <si>
    <t>Dump</t>
  </si>
  <si>
    <t>Plan_id</t>
  </si>
  <si>
    <t>&lt;ul&gt;&lt;li&gt;Learn the art of long and short conversations at work&lt;/li&gt;&lt;li&gt;How do values shape behavior&lt;/li&gt;&lt;li&gt;Free participation with team in 1 OMGrr! event&lt;/li&gt;&lt;li&gt;1 Free ticket to attend 1 Cuddles &amp;amp; Curveballs&lt;/li&gt;&lt;li&gt;Be Blue Bud: Practise Session for interviews &amp;amp; presentation&lt;/li&gt;&lt;/ul&gt;&lt;p&gt;&lt;a href="https://rzp.io/l/DeutschInTandem" target="_blank"&gt;&lt;br&gt;&lt;/a&gt;&lt;/p&gt;</t>
  </si>
  <si>
    <t>https://payment.likeminds.community/?plan_id=13c0b553-5d91-4d31-b4bc-88d880628869</t>
  </si>
  <si>
    <t>Active</t>
  </si>
  <si>
    <t>&lt;ul&gt;&lt;li&gt;Learn the art of long and short conversations at work&lt;/li&gt;&lt;li&gt;How do values shape behavior&lt;/li&gt;&lt;li&gt;Be Blue Blossom: Practise Session for interviews, public speaking, speech writing, presentation&lt;/li&gt;&lt;li&gt;Reasons for writing at work &lt;/li&gt;&lt;li&gt;'2F's that makes your writing thoughtful&lt;/li&gt;&lt;li&gt;Free participation with team in 2 OMGrr! events&lt;/li&gt;&lt;li&gt;2 Free ticket to attend 2 Cuddles &amp;amp; Curveballs&lt;/li&gt;&lt;li&gt;Attend Workshops with an external speaker&lt;/li&gt;&lt;/ul&gt;&lt;p&gt;&lt;a href="https://rzp.io/l/DeutschInTandem" target="_blank"&gt;&lt;br&gt;&lt;/a&gt;&lt;/p&gt;</t>
  </si>
  <si>
    <t>https://payment.likeminds.community/?plan_id=f769f468-4a1f-47bd-a73b-f158d7cd9797</t>
  </si>
  <si>
    <t>&lt;ul&gt;&lt;li&gt;Learn the art of long and short conversations at work.&lt;/li&gt;&lt;li&gt;Understand the importance of body language and being receptive&lt;/li&gt;&lt;li&gt;Reasons for writing at work. &lt;/li&gt;&lt;li&gt;'2F's that makes your writing thoughtful.&lt;/li&gt;&lt;li&gt;Master the art of being a good listener and speaker&lt;/li&gt;&lt;li&gt;Learn to paraphrase &amp;amp; how to use it impactfully&lt;/li&gt;&lt;li&gt;Attend Workshops with an external speaker&lt;/li&gt;&lt;li&gt;Get access to one on one practice sessions for interviews, public speaking, speech writing, presentation.&lt;/li&gt;&lt;li&gt;Free participation with team in 3 OMGrr! events + 1 Family exclusive OMGrr!&lt;/li&gt;&lt;li&gt;3 Free ticket to attend 3 Cuddles &amp;amp; Curveballs&lt;/li&gt;&lt;li&gt;1 session of Live A Blue Lotus Life which includes a one on one consultation.&lt;/li&gt;&lt;/ul&gt;&lt;p&gt;&lt;a href="https://rzp.io/l/DeutschInTandem" target="_blank"&gt;&lt;br&gt;&lt;/a&gt;&lt;/p&gt;</t>
  </si>
  <si>
    <t>https://payment.likeminds.community/?plan_id=5f18b70b-7596-4800-968b-3425c2266e5e</t>
  </si>
  <si>
    <t>A Meeting with Self</t>
  </si>
  <si>
    <t>&lt;ul&gt;&lt;li&gt;Learn simple mindfulness techniques to breakthrough your mind &amp;amp; its patterns&lt;/li&gt;&lt;li&gt;Identify your authentic self&lt;/li&gt;&lt;li&gt;Improve the quality of your life through regular mediation practice&lt;/li&gt;&lt;li&gt;Get access to Full moon Meditation session&lt;a href="https://rzp.io/l/DeutschInTandem" target="_blank"&gt;&lt;br&gt;&lt;/a&gt;&lt;/li&gt;&lt;/ul&gt;</t>
  </si>
  <si>
    <t>https://payment.likeminds.community/?plan_id=c569cb32-9e1e-4231-a60f-b7dd838e051c</t>
  </si>
  <si>
    <t>&lt;ul&gt;&lt;li&gt;Learn simple mindfulness techniques to breakthrough your min &amp;amp; its patterns&lt;/li&gt;&lt;li&gt;Identify your authentic self&lt;/li&gt;&lt;li&gt;Improve the quality of your life through regular mediation practice&lt;/li&gt;&lt;li&gt;Get access to Full moon Meditation session&lt;a href="https://rzp.io/l/DeutschInTandem" target="_blank"&gt;&lt;br&gt;&lt;/a&gt;&lt;/li&gt;&lt;/ul&gt;</t>
  </si>
  <si>
    <t>https://payment.likeminds.community/?plan_id=507beaf4-02a0-4413-abe9-bfe08e9cd3f2</t>
  </si>
  <si>
    <t>https://payment.likeminds.community/?plan_id=aee90a54-bbfd-4a14-bca2-5f8528e05d07</t>
  </si>
  <si>
    <t>Azhar's Speaking Club</t>
  </si>
  <si>
    <t>&lt;p&gt;(Focus – Communication, Basic to Upper-Intermediate Level)&lt;/p&gt;&lt;ul&gt;&lt;li&gt;Attend 4 Live Webinars from any of the topics on English grammar, vocabulary, writing skills, Interview skills, Pronunciation, and Interpersonal skills&lt;/li&gt;&lt;li&gt;Participate in every week’s Community’s Challenges and improve your communication skills&lt;/li&gt;&lt;li&gt;Get 30 Minutes recorded on-demand videos on Effective Communication Skills – 2 Videos per week&lt;/li&gt;&lt;li&gt;Receive PDF English grammar, vocabulary and, writing drills to upskill your English proficiency skills (2 Worksheets per week)&lt;/li&gt;&lt;li&gt;Receive Bite-size video tips on Vocabulary, Grammar, and Pronunciation&lt;/li&gt;&lt;li&gt;Participate in Community Roleplays activities and develop persuasive speaking skills&lt;/li&gt;&lt;li&gt;Participate in Live / Chat Discussions and get tips from the experts&lt;br&gt;&lt;/li&gt;&lt;/ul&gt;</t>
  </si>
  <si>
    <t>https://payment.likeminds.community/?plan_id=f6c6a3a4-b29d-429e-96b6-e3c01572dfd7</t>
  </si>
  <si>
    <t>&lt;p&gt;(Focus – Business Communication, Pre-Intermediate to Advanced Level)&lt;/p&gt;&lt;ul&gt;&lt;li&gt;Attend 4 Live Webinars from any of the topics on Business grammar and vocabulary, Business writing, Meeting skills, Presentation, and Corporate Culture skills&lt;/li&gt;&lt;li&gt;Participate in Every week’s Community’s Challenges and improve your workplace communication skills&lt;/li&gt;&lt;li&gt;Get 30 Minutes recorded on-demand videos on Effective Communication Skills – 2 Videos per week&lt;/li&gt;&lt;li&gt;Receive PDF Business English grammar and vocabulary worksheets and improve your Business English Communication skills – 2 Worksheets per week&lt;/li&gt;&lt;li&gt;Receive Bite-size video tips on Vocabulary, Grammar, and Pronunciation&lt;/li&gt;&lt;li&gt;Participate in Community Roleplays activities and develop persuasive speaking skills&lt;/li&gt;&lt;li&gt;Participate in Live / Chat Discussions and get tips from the experts&lt;br&gt;&lt;/li&gt;&lt;/ul&gt;</t>
  </si>
  <si>
    <t>https://payment.likeminds.community/?plan_id=51e33f1a-4b78-4ca5-b009-6e460fbde9fa</t>
  </si>
  <si>
    <t>&lt;p&gt;(Focus – Personalized Communication Goals)&lt;/p&gt;&lt;ul&gt;&lt;li&gt;‘Speak Up’ Subscription FREE&lt;/li&gt;&lt;li&gt;‘Professional’ Subscription FREE&lt;/li&gt;&lt;li&gt;Get 4 Personalized One to One Private Lessons with Expert Trainer Dr. Azhar Ahmed. 30 Mins each session on General / Business Communication topics as per your choice. (Each session - 400, total worth ₹.1600)&lt;/li&gt;&lt;li&gt;Collaborate with Dr. Azhar and become a co-host/host for conducting his live webinars on Effective Communication Skills&lt;/li&gt;&lt;li&gt;Involve in Personalized speaking/writing challenges and receive individualized audio/written feedback and remedial. (4 Challenges/week)&lt;/li&gt;&lt;li&gt;Receive Personalized worksheet drills and overcome your communication flaws. &lt;br&gt;&lt;/li&gt;&lt;/ul&gt;&lt;p&gt;‍&lt;/p&gt;&lt;p&gt;‍&lt;/p&gt;</t>
  </si>
  <si>
    <t>https://payment.likeminds.community/?plan_id=035f8c9a-0438-4476-91eb-314a8b92181f</t>
  </si>
  <si>
    <t>BAKERPRENEURSHIP</t>
  </si>
  <si>
    <t>&lt;ul&gt;&lt;li&gt;Interactive Sessions&lt;/li&gt;&lt;li&gt;Workshops to help you up your baking game&lt;/li&gt;&lt;li&gt;Enhance your Baking skills with our live training sessions&lt;/li&gt;&lt;li&gt;one-on-one consultations with community expert&lt;/li&gt;&lt;li&gt;Access to premium community of bakers&lt;a href="https://rzp.io/l/DeutschInTandem" target="_blank"&gt;‍&lt;/a&gt;&lt;/li&gt;&lt;/ul&gt;&lt;p&gt;&lt;a href="https://rzp.io/l/DeutschInTandem" target="_blank"&gt;‍&lt;br&gt;&lt;/a&gt;&lt;/p&gt;</t>
  </si>
  <si>
    <t>https://payment.likeminds.community/?plan_id=56a4c42d-5825-40a2-822c-085d0bf62600</t>
  </si>
  <si>
    <t>&lt;ul&gt;&lt;li&gt;Interactive Sessions&lt;/li&gt;&lt;li&gt;Workshops to help you up your baking game&lt;/li&gt;&lt;li&gt;Enhance your Baking skills with our live training sessions&lt;/li&gt;&lt;li&gt;one-on-one consultations with community expert&lt;/li&gt;&lt;li&gt;Access to premium community of bakers&lt;/li&gt;&lt;li&gt;Monetization and collaborations&lt;a href="https://rzp.io/l/DeutschInTandem" target="_blank"&gt;&lt;br&gt;&lt;/a&gt;&lt;/li&gt;&lt;/ul&gt;</t>
  </si>
  <si>
    <t>https://payment.likeminds.community/?plan_id=b3357429-e535-4d80-a3b8-248cd2cd4f9f</t>
  </si>
  <si>
    <t>https://payment.likeminds.community/?plan_id=7d5492e5-4806-4570-9fb4-d67785bb73f3</t>
  </si>
  <si>
    <t>&lt;ul&gt;&lt;li&gt;Be a part of workshops/webinars from experts in low-waste living&lt;/li&gt;&lt;li&gt;Interactive sessions&lt;/li&gt;&lt;li&gt;Product Recommendations&lt;/li&gt;&lt;li&gt;Attend Community webinars to learn the DIY products that are sustainable.&lt;/li&gt;&lt;li&gt;One-One Consultation once a month&lt;/li&gt;&lt;/ul&gt;</t>
  </si>
  <si>
    <t>https://payment.likeminds.community/?plan_id=913ed34f-a4bf-4efd-83eb-d64f7c21201c</t>
  </si>
  <si>
    <t>&lt;ul&gt;&lt;li&gt;Be a part of workshops/webinars from experts in low-waste living&lt;/li&gt;&lt;li&gt;Interactive sessions&lt;/li&gt;&lt;li&gt;Product Recommendations&lt;/li&gt;&lt;li&gt;Attend Community webinars to learn the DIY products that are sustainable.&lt;/li&gt;&lt;li&gt;3 One-One Consultation&lt;/li&gt;&lt;li&gt;25% off on the upcoming paid workshops&lt;/li&gt;&lt;/ul&gt;&lt;p&gt;&lt;a href="https://rzp.io/l/DeutschInTandem" target="_blank"&gt;&lt;br&gt;&lt;/a&gt;&lt;/p&gt;</t>
  </si>
  <si>
    <t>https://payment.likeminds.community/?plan_id=8e951c7b-6512-413a-acbd-8e5a4e455982</t>
  </si>
  <si>
    <t>&lt;ul&gt;&lt;li&gt;Be a part of workshops/webinars from experts in low-waste living&lt;/li&gt;&lt;li&gt;Interactive sessions&lt;/li&gt;&lt;li&gt;Product Recommendations&lt;/li&gt;&lt;li&gt;Attend Community webinars to learn the DIY products that are sustainable.&lt;/li&gt;&lt;li&gt;6 One-One Consultation&lt;/li&gt;&lt;li&gt;50% off on the upcoming paid workshops&lt;/li&gt;&lt;/ul&gt;&lt;p&gt;&lt;a href="https://rzp.io/l/DeutschInTandem" target="_blank"&gt;&lt;br&gt;&lt;/a&gt;&lt;/p&gt;</t>
  </si>
  <si>
    <t>https://payment.likeminds.community/?plan_id=48bc08a0-d834-4c70-aaa9-5a73eb900e8a</t>
  </si>
  <si>
    <t>&lt;ul&gt;&lt;li&gt;SEO Techniques&lt;/li&gt;&lt;li&gt;Image Optimization&lt;/li&gt;&lt;li&gt;Interactive sessions&lt;/li&gt;&lt;li&gt;Know the Digital Marketing world&lt;/li&gt;&lt;/ul&gt;</t>
  </si>
  <si>
    <t>https://payment.likeminds.community/?plan_id=44a32d15-1826-48af-9451-9cf9d50683c6</t>
  </si>
  <si>
    <t>&lt;ul&gt;&lt;li&gt;SEO Techniques&lt;/li&gt;&lt;li&gt;Image Optimization&lt;/li&gt;&lt;li&gt;Interactive sessions&lt;/li&gt;&lt;li&gt;Know the Digital Marketing world&lt;/li&gt;&lt;li&gt;Extra Classes&lt;/li&gt;&lt;li&gt;Access to templates worth $30&lt;/li&gt;&lt;/ul&gt;</t>
  </si>
  <si>
    <t>https://payment.likeminds.community/?plan_id=f4e45163-a32d-4772-ad0f-d4886e3e3e61</t>
  </si>
  <si>
    <t>&lt;ul&gt;&lt;li&gt;SEO Techniques&lt;/li&gt;&lt;li&gt;Image Optimization&lt;/li&gt;&lt;li&gt;Interactive sessions&lt;/li&gt;&lt;li&gt;Know the Digital Marketing world&lt;/li&gt;&lt;li&gt;Personal assistance in creating websites&lt;/li&gt;&lt;li&gt;Access to premium templates worth $59&lt;/li&gt;&lt;/ul&gt;</t>
  </si>
  <si>
    <t>https://payment.likeminds.community/?plan_id=928c42ca-379d-4f02-8429-4aed5151bd31</t>
  </si>
  <si>
    <t>https://payment.likeminds.community/?plan_id=72f81c22-ab2b-4015-99d8-e4594a0b185f</t>
  </si>
  <si>
    <t>&lt;ul&gt;&lt;li&gt;Events&lt;/li&gt;&lt;li&gt;Exam prep&lt;/li&gt;&lt;li&gt;Interactive sessions&lt;/li&gt;&lt;li&gt;Know French Culture&lt;a href="https://rzp.io/l/DeutschInTandem" target="_blank"&gt;&lt;br&gt;&lt;/a&gt;&lt;/li&gt;&lt;/ul&gt;</t>
  </si>
  <si>
    <t>https://payment.likeminds.community/?plan_id=plan_H4kF9Rb1Rappwf</t>
  </si>
  <si>
    <t>https://payment.likeminds.community/?plan_id=plan_H4kFA3Nlir02TM</t>
  </si>
  <si>
    <t>https://payment.likeminds.community/?plan_id=plan_H4kFAiqRh0KWfC</t>
  </si>
  <si>
    <t>BRIDL360.CLUB</t>
  </si>
  <si>
    <t>&lt;p&gt;&lt;strong&gt;•Get the Connection that could get you the contract&lt;/strong&gt;&lt;/p&gt;&lt;p&gt;&lt;strong&gt;•Get the Lead that you were looking for&lt;/strong&gt;&lt;/p&gt;&lt;p&gt;&lt;strong&gt;•Know what's happening, right now, in Real Estate&lt;/strong&gt;&lt;/p&gt;&lt;p&gt;&lt;strong&gt;•Create beautiful Automations and funnels that are pre-designed to walk your buyer through each step of the sales process, and convert them from “Leads” into actual property buyer&lt;/strong&gt;&lt;/p&gt;&lt;p&gt;&lt;strong&gt;•Get to know more from industry experts.&lt;/strong&gt;&lt;/p&gt;&lt;p&gt;&lt;strong&gt;‍&lt;/strong&gt;&lt;/p&gt;&lt;p&gt;&lt;strong&gt;‍&lt;/strong&gt;&lt;br&gt;&lt;/p&gt;</t>
  </si>
  <si>
    <t>https://payment.likeminds.community/?plan_id=6288ed1f-0ebf-4cf4-a9ad-be8645390b91</t>
  </si>
  <si>
    <t>&lt;p&gt;&lt;strong&gt;•Get the Connection that could get you the contract&lt;/strong&gt;&lt;/p&gt;&lt;p&gt;&lt;strong&gt;•Get the Lead that you were looking for&lt;/strong&gt;&lt;/p&gt;&lt;p&gt;&lt;strong&gt;•Know what's happening, right now, in Real Estate&lt;/strong&gt;&lt;/p&gt;&lt;p&gt;&lt;strong&gt;•Create beautiful Automations and funnels that are pre-designed to walk your buyer through each step of the sales process, and convert them from “Leads” into actual property buyer&lt;/strong&gt;&lt;/p&gt;&lt;p&gt;&lt;strong&gt;•Get to know more from industry experts.&lt;/strong&gt;&lt;/p&gt;&lt;p&gt;‍&lt;/p&gt;&lt;p&gt;&lt;br&gt;&lt;/p&gt;</t>
  </si>
  <si>
    <t>https://payment.likeminds.community/?plan_id=ef06f095-0bfb-46b5-a818-eb6dd3baf71d</t>
  </si>
  <si>
    <t>&lt;p&gt;&lt;strong&gt;•Get the Connection that could get you the contract&lt;/strong&gt;&lt;/p&gt;&lt;p&gt;&lt;strong&gt;•Get the Lead that you were looking for&lt;/strong&gt;&lt;/p&gt;&lt;p&gt;&lt;strong&gt;•Know what's happening, right now, in Real Estate&lt;/strong&gt;&lt;/p&gt;&lt;p&gt;&lt;strong&gt;•Create beautiful Automations and funnels that are pre-designed to walk your buyer through each step of the sales process, and convert them from “Leads” into actual property buyer&lt;/strong&gt;&lt;/p&gt;&lt;p&gt;&lt;strong&gt;•Get to know more from industry experts&lt;/strong&gt;&lt;/p&gt;&lt;p&gt;‍&lt;/p&gt;&lt;p&gt;‍&lt;/p&gt;</t>
  </si>
  <si>
    <t>https://payment.likeminds.community/?plan_id=4d78fcbc-c31f-478a-923e-aefec3f77d67</t>
  </si>
  <si>
    <t>https://payment.likeminds.community/?plan_id=b6444d56-895a-47c2-b77a-d9ce753a5aa5</t>
  </si>
  <si>
    <t>&lt;ul&gt;&lt;li&gt;Fortnightly session by BSB on topics covering from his books.&lt;/li&gt;&lt;li&gt;Fortnightly session by BSB on topics on Goal setting, time management and career guidance&lt;/li&gt;&lt;li&gt;Discussions on topics from his podcast (Zindagi unplugged) decided by the community members&lt;/li&gt;&lt;li&gt;Answers to problems pertaining to personal and professional life&lt;/li&gt;&lt;li&gt;Innovative new events to be done every month, 20% discount for all the community members.&lt;/li&gt;&lt;li&gt;One 1-on-1, 20 mins session free&lt;/li&gt;&lt;li&gt;Get complimentary 'COVID-19' (ebook) - 19 articles to help you succeed during difficult times&lt;/li&gt;&lt;/ul&gt;&lt;h5&gt;*The above price is not inclusive of GST&lt;/h5&gt;&lt;p&gt;‍&lt;/p&gt;&lt;p&gt;‍&lt;/p&gt;&lt;p&gt;‍&lt;br&gt;&lt;/p&gt;</t>
  </si>
  <si>
    <t>https://payment.likeminds.community/?plan_id=f186703a-658d-44ee-8621-a60e6680e433</t>
  </si>
  <si>
    <t>&lt;ul&gt;&lt;li&gt;Fortnightly session by BSB on topics covering from his books.&lt;/li&gt;&lt;li&gt;Fortnightly session by BSB on topics on Goal setting, time management and career guidance&lt;/li&gt;&lt;li&gt;Discussions on topics from his podcast (Zindagi unplugged) decided by the community members&lt;/li&gt;&lt;li&gt;Answers to problems pertaining to personal and professional life&lt;/li&gt;&lt;li&gt;Innovative new events to be done every month, 30% discount for all the community members&lt;/li&gt;&lt;li&gt;Two 1-on-1, 30 mins sessions free&lt;/li&gt;&lt;li&gt;Get complimentary '7 Mantras of Organic Success' (ebook) worth INR 99&lt;/li&gt;&lt;/ul&gt;&lt;p&gt;‍&lt;/p&gt;&lt;p&gt;‍&lt;/p&gt;&lt;p&gt;&lt;a href="https://rzp.io/l/DeutschInTandem" target="_blank"&gt;&lt;br&gt;&lt;/a&gt;&lt;/p&gt;&lt;h5&gt;*The above price is not inclusive of GST&lt;/h5&gt;&lt;p&gt;‍&lt;/p&gt;</t>
  </si>
  <si>
    <t>https://payment.likeminds.community/?plan_id=58951811-af90-4b0d-9a5d-c074b5dd060a</t>
  </si>
  <si>
    <t>&lt;ul&gt;&lt;li&gt;Fortnightly session by BSB on topics covering from his books.&lt;/li&gt;&lt;li&gt;Fortnightly session by BSB on topics on Goal setting, time management and career guidance&lt;/li&gt;&lt;li&gt;Discussions on topics from his podcast (Zindagi unplugged) decided by the community members&lt;/li&gt;&lt;li&gt;Answers to problems pertaining to personal and professional life&lt;/li&gt;&lt;li&gt;Innovative new events to be done every month, 50% discount for all the community members&lt;/li&gt;&lt;li&gt;Four 1-on-1, 45 mins sessions free&lt;/li&gt;&lt;li&gt;Get complimentary signed copy of the book 'Design Your Life' worth INR 299&lt;/li&gt;&lt;li&gt;Get complimentary 'COVID-19' (ebook) - 19 articles to help you succeed during difficult times&lt;/li&gt;&lt;/ul&gt;&lt;p&gt;&lt;a href="https://rzp.io/l/DeutschInTandem" target="_blank"&gt;&lt;br&gt;&lt;/a&gt;&lt;/p&gt;&lt;h5&gt;*The above price is not inclusive of GST&lt;/h5&gt;&lt;p&gt;‍&lt;/p&gt;</t>
  </si>
  <si>
    <t>https://payment.likeminds.community/?plan_id=407b5ace-ff40-4be7-9e1c-71ed0332cb3a</t>
  </si>
  <si>
    <t>CCSB</t>
  </si>
  <si>
    <t>&lt;ul&gt;&lt;li&gt;‍&lt;strong&gt;Fortnightly Masterclasses on various topics like Interview Skills, Resume Building etc.&lt;/strong&gt;&lt;/li&gt;&lt;li&gt;&lt;strong&gt;Group Discussions Preparations&lt;/strong&gt;&lt;/li&gt;&lt;li&gt;&lt;strong&gt;Access to closed group, community access to stay in touch with like minded and also job seekers&lt;/strong&gt;&lt;/li&gt;&lt;li&gt;&lt;strong&gt;Part of the learning group with access to Author of the group for learning and also get their questions answered live&lt;/strong&gt;&lt;/li&gt;&lt;li&gt;&lt;strong&gt;Author's other products like video course and books with 40% discount&lt;/strong&gt;&lt;/li&gt;&lt;/ul&gt;&lt;p&gt;‍&lt;/p&gt;</t>
  </si>
  <si>
    <t>https://payment.likeminds.community/?plan_id=9cbc76c9-da60-4fd1-b9f1-41e3b0dcb630</t>
  </si>
  <si>
    <t>&lt;ul&gt;&lt;li&gt;&lt;strong&gt;Fortnightly Masterclasses on various topics like Interview Skills, Resume Building etc.&lt;/strong&gt;&lt;/li&gt;&lt;li&gt;&lt;strong&gt;Exclusive Ask Me Anything Sessions&lt;/strong&gt;&lt;/li&gt;&lt;li&gt;&lt;strong&gt;Group Discussions Preparations&lt;/strong&gt;&lt;/li&gt;&lt;li&gt;&lt;strong&gt;Access to closed group, community access to stay in touch with like minded and also job seekers&lt;/strong&gt;&lt;/li&gt;&lt;li&gt;&lt;strong&gt;Part of the learning group with access to Author of the group for learning and also get their questions answered live&lt;/strong&gt;&lt;/li&gt;&lt;li&gt;&lt;strong&gt;Author's other products like video course and books with 50% discount&lt;/strong&gt;&lt;/li&gt;&lt;/ul&gt;&lt;p&gt;&lt;strong&gt;‍&lt;/strong&gt;&lt;a href="https://rzp.io/l/DeutschInTandem" target="_blank"&gt;&lt;br&gt;&lt;/a&gt;&lt;/p&gt;</t>
  </si>
  <si>
    <t>https://payment.likeminds.community/?plan_id=2003371e-6514-4404-9b97-73dbffff40f1</t>
  </si>
  <si>
    <t>&lt;ul&gt;&lt;li&gt;&lt;strong&gt;Fortnightly Masterclasses on various topics like Interview Skills, Resume Building etc.&lt;/strong&gt;&lt;/li&gt;&lt;li&gt;&lt;strong&gt;Exclusive Ask Me Anything Sessions&lt;/strong&gt;&lt;/li&gt;&lt;li&gt;&lt;strong&gt;Group Discussions Preparations&lt;/strong&gt;&lt;/li&gt;&lt;li&gt;&lt;strong&gt;Access to closed group, community access to stay in touch with like minded and also job seekers&lt;/strong&gt;&lt;/li&gt;&lt;li&gt;&lt;strong&gt;Part of the learning group with access to Author of the group for learning and also get their questions answered live&lt;/strong&gt;&lt;/li&gt;&lt;li&gt;&lt;strong&gt;Author's other products like video course and books with 60% discount&lt;/strong&gt;&lt;/li&gt;&lt;li&gt;&lt;strong&gt;1:1 &amp;nbsp;coaching / counselling session with the author&lt;/strong&gt;&lt;a href="https://rzp.io/l/DeutschInTandem" target="_blank"&gt;&lt;br&gt;&lt;/a&gt;&lt;/li&gt;&lt;/ul&gt;</t>
  </si>
  <si>
    <t>https://payment.likeminds.community/?plan_id=f1b4fdcb-b227-4fe6-942b-cee2af33e993</t>
  </si>
  <si>
    <t>CONFIDENCE BOOSTING CLUB</t>
  </si>
  <si>
    <t>&lt;ul&gt;&lt;li&gt;You get to attend Live Classes&lt;/li&gt;&lt;li&gt;You will get access to Interactive sessions&lt;/li&gt;&lt;li&gt;Get real time feedback&lt;/li&gt;&lt;li&gt;You get a Lifetime Support (and a Friendly Mentor!)&lt;/li&gt;&lt;li&gt;Attend monthly community meet-ups and impromptu discussions&lt;/li&gt;&lt;/ul&gt;&lt;p&gt;&lt;a href="https://rzp.io/l/DeutschInTandem" target="_blank"&gt;&lt;br&gt;&lt;/a&gt;&lt;/p&gt;</t>
  </si>
  <si>
    <t>https://payment.likeminds.community/?plan_id=8097ae9e-393d-4c46-8330-5c8218f170ea</t>
  </si>
  <si>
    <t>https://payment.likeminds.community/?plan_id=6797ea80-f4dd-4d12-aedd-a792f74454dc</t>
  </si>
  <si>
    <t>&lt;ul&gt;&lt;li&gt;You get to attend Live Classes&lt;/li&gt;&lt;li&gt;You will get access to Interactive sessions&lt;/li&gt;&lt;li&gt;Get real time feedback&lt;/li&gt;&lt;li&gt;You get a Lifetime Support (and a Friendly Mentor!)&lt;/li&gt;&lt;li&gt;Attend monthly community meet-ups and impromptu discussion.&lt;/li&gt;&lt;/ul&gt;&lt;p&gt;&lt;a href="https://rzp.io/l/DeutschInTandem" target="_blank"&gt;&lt;br&gt;&lt;/a&gt;&lt;/p&gt;</t>
  </si>
  <si>
    <t>https://payment.likeminds.community/?plan_id=a3f34baa-f418-4590-8fb1-3128706ab202</t>
  </si>
  <si>
    <t>Daily Skills Community</t>
  </si>
  <si>
    <t>&lt;p&gt;‍&lt;/p&gt;&lt;ul&gt;&lt;li&gt;&lt;strong&gt;Daily Yoga &amp;amp; Meditation sessions&lt;/strong&gt;&lt;/li&gt;&lt;li&gt;&lt;strong&gt;Daily live training on one subject&lt;/strong&gt;&lt;/li&gt;&lt;li&gt;&lt;strong&gt;Curated content to read, watch and learn&lt;/strong&gt;&lt;/li&gt;&lt;li&gt;&lt;strong&gt;Daily growth hack tips&lt;/strong&gt;&lt;/li&gt;&lt;li&gt;&lt;strong&gt;Free access to paid recorded courses&lt;/strong&gt;&lt;/li&gt;&lt;li&gt;&lt;strong&gt;Promote courses, products and services through online and earn&lt;/strong&gt;&lt;/li&gt;&lt;li&gt;&lt;strong&gt;Dedicated Social Media &amp;amp; Instant Messaging platforms&lt;/strong&gt;‍&lt;/li&gt;&lt;/ul&gt;&lt;p&gt;‍&lt;/p&gt;</t>
  </si>
  <si>
    <t>https://payment.likeminds.community/?plan_id=37a030d7-0b74-4b28-abfc-95806ec318c9</t>
  </si>
  <si>
    <t>&lt;ul&gt;&lt;li&gt;Get access to "3 Days Short Course"&lt;/li&gt;&lt;li&gt;Get Mentorship Support&lt;/li&gt;&lt;li&gt;Get exclusive session through one to one call&lt;/li&gt;&lt;/ul&gt;&lt;p&gt;&lt;a href="https://rzp.io/l/DeutschInTandem" target="_blank"&gt;&lt;br&gt;&lt;/a&gt;&lt;/p&gt;</t>
  </si>
  <si>
    <t>https://payment.likeminds.community/?plan_id=6f23ca13-a6ac-4084-9c4d-51662e6072cc</t>
  </si>
  <si>
    <t>&lt;ul&gt;&lt;li&gt;Get access to "3 Days Short Course"&lt;/li&gt;&lt;li&gt;Get Mentorship Support&lt;/li&gt;&lt;li&gt;Get exclusive session through one to one call&lt;/li&gt;&lt;li&gt;Get your UI/UX portfolio review &amp;amp; Project work feedback from community members and Coach. &lt;/li&gt;&lt;/ul&gt;&lt;p&gt;&lt;a href="https://rzp.io/l/DeutschInTandem" target="_blank"&gt;&lt;br&gt;&lt;/a&gt;&lt;/p&gt;</t>
  </si>
  <si>
    <t>https://payment.likeminds.community/?plan_id=1e63c928-755f-4efd-981f-f4db1dfbb3da</t>
  </si>
  <si>
    <t>&lt;ul&gt;&lt;li&gt;Get access to "3 Days Short Course"&lt;/li&gt;&lt;li&gt;Get Mentorship Support&lt;/li&gt;&lt;li&gt;Get exclusive session through one to one call&lt;/li&gt;&lt;li&gt;Get your UI/UX portfolio review &amp;amp; Project work feedback from community members and Coach. &lt;/li&gt;&lt;li&gt;Get Support and Guidance in building your UI/UX Portfolio&lt;/li&gt;&lt;/ul&gt;&lt;p&gt;‍&lt;/p&gt;</t>
  </si>
  <si>
    <t>https://payment.likeminds.community/?plan_id=becefe33-f7ad-4b6c-afa2-9361ecb71e2c</t>
  </si>
  <si>
    <t>Digital Writopreneurs Hub</t>
  </si>
  <si>
    <t>&lt;ul&gt;&lt;li&gt;Weekly Events&lt;/li&gt;&lt;li&gt;Interactive sessions&lt;/li&gt;&lt;li&gt;Know the Writopreneurs Community&lt;/li&gt;&lt;li&gt;Specialized Chatrooms with real-time engagement&lt;a href="https://rzp.io/l/DeutschInTandem" target="_blank"&gt;&lt;br&gt;&lt;/a&gt;&lt;/li&gt;&lt;/ul&gt;</t>
  </si>
  <si>
    <t>https://payment.likeminds.community/?plan_id=2eeed9e1-7198-434a-9265-8a4cb054ae66</t>
  </si>
  <si>
    <t>&lt;ul&gt;&lt;li&gt;Weekly Events&lt;/li&gt;&lt;li&gt;Become client ready&lt;/li&gt;&lt;li&gt;Interactive sessions&lt;/li&gt;&lt;li&gt;Know the Writopreneurs Community&lt;a href="https://rzp.io/l/DeutschInTandem" target="_blank"&gt;&lt;br&gt;&lt;/a&gt;&lt;/li&gt;&lt;/ul&gt;</t>
  </si>
  <si>
    <t>https://payment.likeminds.community/?plan_id=b26c3eb2-a2fa-4041-bd96-0e6de8c84c1c</t>
  </si>
  <si>
    <t>&lt;ul&gt;&lt;li&gt;Alternate day live sessions&lt;/li&gt;&lt;li&gt;Work as a Freelancer&lt;/li&gt;&lt;li&gt;Interactive sessions&lt;/li&gt;&lt;li&gt;Know the Writopreneurs Community&lt;/li&gt;&lt;li&gt;Focused Community Manager&lt;/li&gt;&lt;li&gt;Weekly special events&lt;a href="https://rzp.io/l/DeutschInTandem" target="_blank"&gt;&lt;br&gt;&lt;/a&gt;&lt;/li&gt;&lt;/ul&gt;</t>
  </si>
  <si>
    <t>https://payment.likeminds.community/?plan_id=52ed98cd-6114-4448-a667-35ba78cf9e05</t>
  </si>
  <si>
    <t>Emptycup</t>
  </si>
  <si>
    <t>&lt;ul&gt;&lt;li&gt;Fundamental Training&lt;/li&gt;&lt;li&gt;Get pro on Crypto!&lt;/li&gt;&lt;li&gt;Multi-step Research Training&lt;/li&gt;&lt;li&gt;Interactive Discussions&lt;/li&gt;&lt;/ul&gt;&lt;p&gt;&lt;a href="https://rzp.io/l/DeutschInTandem" target="_blank"&gt;&lt;br&gt;&lt;/a&gt;&lt;/p&gt;</t>
  </si>
  <si>
    <t>https://payment.likeminds.community/?plan_id=36cc0ab1-564a-4b61-9161-01d2227495a4</t>
  </si>
  <si>
    <t>https://payment.likeminds.community/?plan_id=ba661b8e-7085-49b2-a1bd-259671a1b9f2</t>
  </si>
  <si>
    <t>https://payment.likeminds.community/?plan_id=3154e1c0-d3a1-44a7-a41a-24ee392e0009</t>
  </si>
  <si>
    <t>Energy Healing By Dr. Bharti Dua</t>
  </si>
  <si>
    <t>&lt;ul&gt;&lt;li&gt;Daily Meditation Circle&lt;/li&gt;&lt;li&gt;Weekly Self Mastery Class&lt;/li&gt;&lt;li&gt;One to One Interaction&lt;/li&gt;&lt;li&gt;E-book for a Rich Mindset&lt;/li&gt;&lt;/ul&gt;&lt;p&gt;‍&lt;/p&gt;</t>
  </si>
  <si>
    <t>https://payment.likeminds.community/?plan_id=121ebc9c-f6b0-469f-a3b8-08202d930e88</t>
  </si>
  <si>
    <t>&lt;ul&gt;&lt;li&gt;Daily Meditation Circle&lt;/li&gt;&lt;li&gt;Weekly Self Mastery Class&lt;/li&gt;&lt;li&gt;One to One Interaction&lt;/li&gt;&lt;li&gt;E-book for a Rich Mindset&lt;/li&gt;&lt;/ul&gt;&lt;p&gt;‍&lt;/p&gt;&lt;p&gt;‍&lt;/p&gt;</t>
  </si>
  <si>
    <t>https://payment.likeminds.community/?plan_id=554e5de6-fa9d-4328-93e1-3570b3380b57</t>
  </si>
  <si>
    <t>https://payment.likeminds.community/?plan_id=bd5bf2f2-bb3a-4db5-8f78-f9af6ff7cef9</t>
  </si>
  <si>
    <t>Fight Diabetes Mellitus</t>
  </si>
  <si>
    <t>&lt;ul&gt;&lt;li&gt;Attend regular fitness session&lt;/li&gt;&lt;li&gt;Ask your query to the expert regarding Diabetes Mellitus&lt;/li&gt;&lt;li&gt;10% discount for attending one paid event&lt;/li&gt;&lt;li&gt;Attend regular health awareness sessions for Diabetes Mellitus&lt;/li&gt;&lt;li&gt;Get access to practical Health Tips&lt;/li&gt;&lt;li&gt;The day’s motto to Fight Diabetes Mellitus&lt;a href="https://rzp.io/l/DeutschInTandem" target="_blank"&gt;&lt;br&gt;&lt;/a&gt;&lt;/li&gt;&lt;/ul&gt;</t>
  </si>
  <si>
    <t>https://payment.likeminds.community/?plan_id=aa03b87f-173a-42bd-a1d6-2bf3b353dfa6</t>
  </si>
  <si>
    <t>&lt;ul&gt;&lt;li&gt;Attend regular fitness sessions&lt;/li&gt;&lt;li&gt;Ask your query to the expert regarding Diabetes Mellitus&lt;/li&gt;&lt;li&gt;25% discount for attending one paid event&lt;/li&gt;&lt;li&gt;Attend regular health awareness sessions for Diabetes Mellitus&lt;/li&gt;&lt;li&gt;Get access to practical Health Tips&lt;/li&gt;&lt;li&gt;The day’s motto to Fight Diabetes Mellitus&lt;/li&gt;&lt;li&gt;Diet and Food Essentials Suggestions&lt;a href="https://rzp.io/l/DeutschInTandem" target="_blank"&gt;&lt;br&gt;&lt;/a&gt;&lt;/li&gt;&lt;/ul&gt;</t>
  </si>
  <si>
    <t>https://payment.likeminds.community/?plan_id=7fd50cc4-b3b4-4a48-97eb-23ebb8013b4c</t>
  </si>
  <si>
    <t>&lt;ul&gt;&lt;li&gt;&amp;nbsp;Attend regular fitness sessions&lt;/li&gt;&lt;li&gt;Ask your query to Dr. Nigel Gonsalves (PT) regarding Diabetes Mellitus&lt;/li&gt;&lt;li&gt;50% discount on consultation with Dr. Nigel Gonsalves (PT)&lt;/li&gt;&lt;li&gt;50% discount for attending one paid event&lt;/li&gt;&lt;li&gt;Attend regular health awareness sessions for Diabetes Mellitus&lt;/li&gt;&lt;li&gt;Get access to practical Health Tips&lt;/li&gt;&lt;li&gt;The day’s motto to Fight Diabetes Mellitus&lt;/li&gt;&lt;li&gt;Diet and Food Essentials Suggestions&lt;/li&gt;&lt;li&gt;Ergonomics Session&lt;/li&gt;&lt;li&gt;Lifestyle Modification Session&lt;a href="https://rzp.io/l/DeutschInTandem" target="_blank"&gt;&lt;br&gt;&lt;/a&gt;&lt;/li&gt;&lt;/ul&gt;</t>
  </si>
  <si>
    <t>https://payment.likeminds.community/?plan_id=6ea82515-6670-4ad1-b591-539205579647</t>
  </si>
  <si>
    <t>&lt;ul&gt;&lt;li&gt;Weekly Masterclass about Cryptocurrencies&lt;/li&gt;&lt;li&gt;Exclusive Ask me Anything session&lt;/li&gt;&lt;li&gt;Chat Support for Doubt Clearing&lt;/li&gt;&lt;li&gt;Regular 1 Trading Analysis with explanation of the Indicators used (For Educational Purpose)&lt;/li&gt;&lt;li&gt;Weekly Detailed Review of 1 Crypto Token/Coin &lt;/li&gt;&lt;li&gt;1 Personal Consultation Call for "15 Minutes" &amp;nbsp; &amp;nbsp; &amp;nbsp; &lt;/li&gt;&lt;/ul&gt;&lt;p&gt;&lt;strong&gt;*&amp;nbsp;Pre-register right now&amp;nbsp;for this&amp;nbsp;price, Batches&amp;nbsp;start from&amp;nbsp;July 1,2021&amp;nbsp;* &amp;nbsp; &lt;/strong&gt;&amp;nbsp; &amp;nbsp; &amp;nbsp; &amp;nbsp; &amp;nbsp; &amp;nbsp; &amp;nbsp; &amp;nbsp; &amp;nbsp; &amp;nbsp; &amp;nbsp; &amp;nbsp; &amp;nbsp;&lt;/p&gt;</t>
  </si>
  <si>
    <t>https://payment.likeminds.community/?plan_id=eaffabf1-37e8-4aee-ba89-b6dc8ff591ad</t>
  </si>
  <si>
    <t>&lt;ul&gt;&lt;li&gt;Weekly Masterclass about Cryptocurrencies&lt;/li&gt;&lt;li&gt;Exclusive Ask me Anything session&lt;/li&gt;&lt;li&gt;Chat Support for Doubt Clearing&lt;/li&gt;&lt;li&gt;Regular 1 Trading Analysis with explanation of the Indicators used (For Educational Purpose)&lt;/li&gt;&lt;li&gt;Weekly Detailed Review of 1 Crypto Token/Coin &lt;/li&gt;&lt;li&gt;3 Personal Consultation Call for "20 Minutes" &amp;nbsp; &amp;nbsp; &amp;nbsp; &amp;nbsp; &amp;nbsp; &amp;nbsp; &amp;nbsp; &amp;nbsp; &amp;nbsp; &amp;nbsp; &amp;nbsp; &amp;nbsp; &amp;nbsp; &amp;nbsp; &amp;nbsp; &amp;nbsp; &amp;nbsp; &amp;nbsp; &amp;nbsp; &amp;nbsp; &amp;nbsp; &amp;nbsp; &amp;nbsp;&lt;/li&gt;&lt;/ul&gt;&lt;p&gt;&lt;strong&gt;*&amp;nbsp;Pre-register right now&amp;nbsp;for this&amp;nbsp;price, Batches&amp;nbsp;start from&amp;nbsp;July 1,2021&amp;nbsp;* &amp;nbsp;&lt;/strong&gt;&lt;a href="https://rzp.io/l/DeutschInTandem" target="_blank"&gt;&lt;br&gt;&lt;/a&gt;&lt;/p&gt;</t>
  </si>
  <si>
    <t>https://payment.likeminds.community/?plan_id=403ad6be-18b8-49a1-9da8-dcaea3ce844f</t>
  </si>
  <si>
    <t>&lt;ul&gt;&lt;li&gt;Weekly Masterclass about Cryptocurrencies&lt;/li&gt;&lt;li&gt;Exclusive Ask me Anything session&lt;/li&gt;&lt;li&gt;Chat Support for Doubt Clearing&lt;/li&gt;&lt;li&gt;Regular 1 Trading Analysis with explanation of the Indicators used (For Educational Purpose)&lt;/li&gt;&lt;li&gt;Weekly Detailed Review of 1 Crypto Token/Coin &lt;/li&gt;&lt;li&gt;6 Personal Consultation Call for "30 Minutes" &amp;nbsp; &amp;nbsp; &lt;/li&gt;&lt;/ul&gt;&lt;p&gt;&lt;strong&gt;*&amp;nbsp;Pre-register right now&amp;nbsp;for this&amp;nbsp;price, Batches&amp;nbsp;start from&amp;nbsp;July 1,2021&amp;nbsp;* &amp;nbsp;&lt;/strong&gt;&amp;nbsp; &amp;nbsp; &amp;nbsp; &amp;nbsp; &amp;nbsp; &amp;nbsp; &amp;nbsp; &amp;nbsp; &amp;nbsp; &amp;nbsp; &amp;nbsp; &amp;nbsp; &amp;nbsp; &amp;nbsp; &amp;nbsp; &amp;nbsp; &amp;nbsp; &amp;nbsp; &amp;nbsp; &amp;nbsp; &amp;nbsp;&lt;/p&gt;</t>
  </si>
  <si>
    <t>https://payment.likeminds.community/?plan_id=1962a26a-8787-46e5-8379-11f84eab382a</t>
  </si>
  <si>
    <t>&lt;ul&gt;&lt;li&gt;home style meal plans&lt;/li&gt;&lt;li&gt;personalised and flexible plans&lt;/li&gt;&lt;li&gt;live sessions &lt;/li&gt;&lt;li&gt;different type of cusinies dishes &lt;/li&gt;&lt;/ul&gt;&lt;p&gt;&lt;a href="https://rzp.io/l/DeutschInTandem" target="_blank"&gt;&lt;br&gt;&lt;/a&gt;&lt;/p&gt;</t>
  </si>
  <si>
    <t>https://payment.likeminds.community/?plan_id=6f568db3-3b66-44e0-b839-fc9dc525714f</t>
  </si>
  <si>
    <t>&lt;ul&gt;&lt;li&gt;home style meal plans&lt;/li&gt;&lt;li&gt;personalised and flexible plans&lt;/li&gt;&lt;li&gt;live sessions &lt;/li&gt;&lt;li&gt;different type of cusinies dishes &lt;a href="https://rzp.io/l/DeutschInTandem" target="_blank"&gt;&lt;br&gt;&lt;/a&gt;&lt;/li&gt;&lt;/ul&gt;&lt;p&gt;&lt;a href="https://rzp.io/l/DeutschInTandem" target="_blank"&gt;&lt;br&gt;&lt;/a&gt;&lt;/p&gt;</t>
  </si>
  <si>
    <t>https://payment.likeminds.community/?plan_id=03766c45-7344-41e9-b606-d31dbe94af35</t>
  </si>
  <si>
    <t>&lt;ul&gt;&lt;li&gt;home style meal plans&lt;/li&gt;&lt;li&gt;personalized and flexible plans&lt;/li&gt;&lt;li&gt;live sessions &lt;/li&gt;&lt;li&gt;different type of cuisines dishes &lt;a href="https://rzp.io/l/DeutschInTandem" target="_blank"&gt;&lt;br&gt;&lt;/a&gt;&lt;/li&gt;&lt;/ul&gt;&lt;p&gt;‍&lt;/p&gt;&lt;p&gt;&lt;a href="https://rzp.io/l/DeutschInTandem" target="_blank"&gt;&lt;br&gt;&lt;/a&gt;&lt;/p&gt;</t>
  </si>
  <si>
    <t>https://payment.likeminds.community/?plan_id=5e235de0-5054-4c7f-a9e5-e1e2827227a9</t>
  </si>
  <si>
    <t>Focus Inside</t>
  </si>
  <si>
    <t>&lt;ul&gt;&lt;li&gt;Group yoga sessions 5 times a week ( Mon-Fri)&lt;/li&gt;&lt;li&gt;Yoga Nidra sessions for mind relaxation&lt;/li&gt;&lt;li&gt;Meditation &amp;amp; Pranayama practice sessions&lt;/li&gt;&lt;li&gt;An hour long power yoga challenge to burn more calories&lt;a href="https://rzp.io/l/DeutschInTandem" target="_blank"&gt;&lt;br&gt;&lt;/a&gt;&lt;/li&gt;&lt;/ul&gt;</t>
  </si>
  <si>
    <t>https://payment.likeminds.community/?plan_id=56089366-6283-4505-9e69-267f7db76659</t>
  </si>
  <si>
    <t>&lt;ul&gt;&lt;li&gt;Group yoga sessions 5 times a week ( Mon-Fri)&lt;/li&gt;&lt;li&gt;Yoga Nidra sessions for mind relaxation&lt;/li&gt;&lt;li&gt;Meditation &amp;amp; Pranayama practice sessions&lt;/li&gt;&lt;li&gt;An hour long power yoga challenge to burn more calories&lt;a href="https://rzp.io/l/DeutschInTandem" target="_blank"&gt;‍&lt;/a&gt;&lt;/li&gt;&lt;li&gt;1 Missed session will be compensated on weekends&lt;a href="https://rzp.io/l/DeutschInTandem" target="_blank"&gt;&lt;br&gt;&lt;/a&gt;&lt;/li&gt;&lt;/ul&gt;</t>
  </si>
  <si>
    <t>https://payment.likeminds.community/?plan_id=b45c4241-78b2-499a-88f4-fd3ed315bcb2</t>
  </si>
  <si>
    <t>&lt;ul&gt;&lt;li&gt;Group yoga sessions 5 times a week ( Mon-Fri)&lt;/li&gt;&lt;li&gt;Yoga Nidra sessions for mind relaxation&lt;/li&gt;&lt;li&gt;Meditation &amp;amp; Pranayama practice sessions&lt;/li&gt;&lt;li&gt;An hour long power yoga challenge to burn more calories&lt;a href="https://rzp.io/l/DeutschInTandem" target="_blank"&gt;‍&lt;/a&gt;&lt;/li&gt;&lt;li&gt;2 Missed session will be compensated on weekends&lt;a href="https://rzp.io/l/DeutschInTandem" target="_blank"&gt;&lt;br&gt;&lt;/a&gt;&lt;/li&gt;&lt;/ul&gt;</t>
  </si>
  <si>
    <t>https://payment.likeminds.community/?plan_id=ef615171-651d-4882-8309-d411063960ee</t>
  </si>
  <si>
    <t>&lt;p&gt;Be a part of personalized 1-1 sessions for one month and get access to:&lt;/p&gt;&lt;ul&gt;&lt;li&gt;Live online personalized classes&lt;/li&gt;&lt;li&gt;Personalized diet plan&lt;/li&gt;&lt;li&gt;1-1 sessions&lt;/li&gt;&lt;li&gt;Missed class will be compensated on weekends&lt;/li&gt;&lt;li&gt;Achieve your desired goals by personalized classes quickly&lt;/li&gt;&lt;/ul&gt;</t>
  </si>
  <si>
    <t>https://payment.likeminds.community/?plan_id=ee032174-ef8e-461d-97d2-1ff3e70c7c6d</t>
  </si>
  <si>
    <t>GAPD</t>
  </si>
  <si>
    <t>&lt;p&gt;‍&lt;/p&gt;&lt;ul&gt;&lt;li&gt;&lt;strong&gt;Two personal sessions&lt;/strong&gt;&lt;/li&gt;&lt;li&gt;&lt;strong&gt;10% off on all exclusive G.A.P.D. courses &lt;/strong&gt;&lt;/li&gt;&lt;li&gt;&lt;strong&gt;Weekly assignments and individual assessment&lt;/strong&gt;&lt;/li&gt;&lt;li&gt;&lt;strong&gt;Regular personal development content&lt;/strong&gt;&lt;/li&gt;&lt;li&gt;&lt;strong&gt;Introspection training&lt;/strong&gt;&lt;/li&gt;&lt;li&gt;&lt;strong&gt;Daily article on members selected topic&lt;/strong&gt;&lt;/li&gt;&lt;li&gt;&lt;strong&gt;Get a chance to represent your self in front of the community&lt;/strong&gt;&lt;/li&gt;&lt;/ul&gt;&lt;p&gt;‍&lt;/p&gt;&lt;p&gt;‍&lt;/p&gt;&lt;p&gt;‍&lt;/p&gt;&lt;p&gt;‍&lt;/p&gt;&lt;p&gt;‍&lt;/p&gt;&lt;p&gt;‍&lt;/p&gt;&lt;p&gt;‍&lt;/p&gt;&lt;p&gt;‍&lt;/p&gt;&lt;p&gt;‍&lt;/p&gt;&lt;p&gt;‍&lt;/p&gt;&lt;p&gt;‍&lt;/p&gt;</t>
  </si>
  <si>
    <t>https://payment.likeminds.community/?plan_id=410e1a5c-de81-4fab-9987-657dcf149c2f</t>
  </si>
  <si>
    <t>&lt;p&gt;&lt;strong&gt;&lt;br&gt;&lt;/strong&gt;&lt;/p&gt;&lt;ul&gt;&lt;li&gt;&lt;strong&gt;Two personal sessions every week&lt;/strong&gt;&lt;/li&gt;&lt;li&gt;&lt;strong&gt;30% off on all exclusive G.A.P.D. courses&lt;/strong&gt;&lt;/li&gt;&lt;li&gt;&lt;strong&gt;Weekly assignments and individual assessment&lt;/strong&gt;&lt;/li&gt;&lt;li&gt;&lt;strong&gt;Regular personal development content&lt;/strong&gt;&lt;/li&gt;&lt;li&gt;&lt;strong&gt;Introspection training&lt;/strong&gt;&lt;/li&gt;&lt;li&gt;&lt;strong&gt;Daily article on members selected topic&lt;/strong&gt;&lt;/li&gt;&lt;li&gt;&lt;strong&gt;Get a chance to represent your self&lt;/strong&gt;&lt;/li&gt;&lt;li&gt;&lt;strong&gt;Constant track of learning&lt;/strong&gt;&lt;/li&gt;&lt;li&gt;&lt;strong&gt;Monthly reports&lt;/strong&gt;&lt;/li&gt;&lt;li&gt;&lt;strong&gt;Priority session booking&lt;/strong&gt;&lt;/li&gt;&lt;li&gt;&lt;strong&gt;1 counseling session &lt;/strong&gt;&lt;/li&gt;&lt;/ul&gt;&lt;p&gt;‍&lt;/p&gt;&lt;p&gt;‍&lt;/p&gt;&lt;p&gt;‍&lt;/p&gt;&lt;p&gt;‍&lt;/p&gt;&lt;p&gt;‍&lt;/p&gt;&lt;p&gt;‍&lt;/p&gt;&lt;p&gt;‍&lt;/p&gt;</t>
  </si>
  <si>
    <t>https://payment.likeminds.community/?plan_id=81761c14-7b3f-4b2a-8cef-79ad7fea54b7</t>
  </si>
  <si>
    <t>&lt;p&gt;‍&lt;strong&gt;&lt;br&gt;&lt;/strong&gt;&lt;/p&gt;&lt;ul&gt;&lt;li&gt;&lt;strong&gt;Unlimited &amp;nbsp;personal sessions on demand&lt;/strong&gt;&lt;/li&gt;&lt;li&gt;&lt;strong&gt;40% off on all exclusive G.A.P.D. courses&lt;/strong&gt;&lt;/li&gt;&lt;li&gt;&lt;strong&gt;Choose from 11 subjects for intensive specialization&lt;/strong&gt;&lt;/li&gt;&lt;li&gt;&lt;strong&gt;Recognized certification in specialization&lt;/strong&gt;&lt;/li&gt;&lt;li&gt;&lt;strong&gt;Personal assessment for tailored course delivery&lt;/strong&gt;&lt;/li&gt;&lt;li&gt;&lt;strong&gt;Weekly assignments and individual assessment &lt;/strong&gt;&lt;/li&gt;&lt;li&gt;&lt;strong&gt;Regular personal development content&lt;/strong&gt;&lt;/li&gt;&lt;li&gt;&lt;strong&gt;Introspection training&lt;/strong&gt;&lt;/li&gt;&lt;li&gt;&lt;strong&gt;Daily article on members selected topic&lt;/strong&gt;&lt;/li&gt;&lt;li&gt;&lt;strong&gt;Get a chance to represent your self&lt;/strong&gt;&lt;/li&gt;&lt;li&gt;&lt;strong&gt;Constant track of learning&lt;/strong&gt;&lt;/li&gt;&lt;li&gt;&lt;strong&gt;Monthly reports&lt;/strong&gt;&lt;/li&gt;&lt;li&gt;&lt;strong&gt;First Priority session booking&lt;/strong&gt;&lt;/li&gt;&lt;li&gt;&lt;strong&gt;6 counseling session &lt;/strong&gt;&lt;/li&gt;&lt;/ul&gt;&lt;p&gt;‍&lt;/p&gt;&lt;p&gt;‍&lt;/p&gt;</t>
  </si>
  <si>
    <t>https://payment.likeminds.community/?plan_id=49cba17b-86ad-4b5d-ba83-1f2c218851df</t>
  </si>
  <si>
    <t>&lt;ul&gt;&lt;li&gt;Daily 10pm Show&lt;/li&gt;&lt;li&gt;Surprise Celebrity Acts&lt;/li&gt;&lt;li&gt;Interactive Sessions&lt;/li&gt;&lt;li&gt;Inclusive of 30 shows worth INR 6,000&lt;/li&gt;&lt;/ul&gt;&lt;p&gt;‍&lt;/p&gt;</t>
  </si>
  <si>
    <t>https://payment.likeminds.community/?plan_id=e57b1b7e-e366-44f5-ab73-706cdf1ef23b</t>
  </si>
  <si>
    <t>&lt;ul&gt;&lt;li&gt;Daily 10pm Show&lt;/li&gt;&lt;li&gt;Surprise Celebrity Acts&lt;/li&gt;&lt;li&gt;Interactive Sessions&lt;/li&gt;&lt;li&gt;Inclusive of 90 shows worth INR 18,000&lt;/li&gt;&lt;/ul&gt;&lt;h4&gt;&lt;a href="https://rzp.io/l/DeutschInTandem" target="_blank"&gt;&lt;br&gt;&lt;/a&gt;&lt;/h4&gt;</t>
  </si>
  <si>
    <t>https://payment.likeminds.community/?plan_id=d636d641-38ca-445c-929c-90dad886af32</t>
  </si>
  <si>
    <t>&lt;ul&gt;&lt;li&gt;Daily 10pm Show&lt;/li&gt;&lt;li&gt;Surprise Celebrity Acts&lt;/li&gt;&lt;li&gt;Interactive Sessions&lt;/li&gt;&lt;li&gt;Inclusive of 180 shows worth INR 36,000&lt;/li&gt;&lt;/ul&gt;&lt;p&gt;&lt;a href="https://rzp.io/l/DeutschInTandem" target="_blank"&gt;&lt;br&gt;&lt;/a&gt;&lt;/p&gt;</t>
  </si>
  <si>
    <t>https://payment.likeminds.community/?plan_id=66daae8c-82c7-410c-a217-562b894e22dc</t>
  </si>
  <si>
    <t>Graphology</t>
  </si>
  <si>
    <t>&lt;ul&gt;&lt;li&gt;One time handwriting and signature analysis consultation on Zoom with Pavan Badllani&lt;/li&gt;&lt;li&gt;Q&amp;amp;A support for a month with Pavan Badllani&lt;/li&gt;&lt;li&gt;1 month LikeMinds Community membership&lt;/li&gt;&lt;li&gt;Free 3 Hour Graphology Masterclass Sessions &lt;/li&gt;&lt;li&gt;Graphology e-books worth Rs.5,000&lt;/li&gt;&lt;/ul&gt;&lt;p&gt;‍&lt;/p&gt;&lt;p&gt;‍&lt;/p&gt;&lt;p&gt;‍&lt;/p&gt;&lt;p&gt;&lt;a href="https://rzp.io/l/DeutschInTandem" target="_blank"&gt;&lt;br&gt;&lt;/a&gt;&lt;/p&gt;</t>
  </si>
  <si>
    <t>https://payment.likeminds.community/?plan_id=22fd7677-6f7e-406b-855f-ce38886aea9d</t>
  </si>
  <si>
    <t>&lt;ul&gt;&lt;li&gt;One time handwriting and signature analysis consultation on zoom &lt;/li&gt;&lt;li&gt;Q&amp;amp;A support for 3 months with Pavan Badllani&lt;/li&gt;&lt;li&gt;3 month LikeMinds Community membership&lt;/li&gt;&lt;li&gt;Free 3 Hour Graphology Masterclass Sessions &lt;/li&gt;&lt;li&gt;Graphology e-books worth ₹5,000 &lt;/li&gt;&lt;li&gt;21 days handwriting and signature analysis assignments for reducing stress, emotional stability, personal growth, boosting self confidence &amp;amp; self esteem worth ₹8,999&lt;/li&gt;&lt;/ul&gt;&lt;p&gt;‍&lt;/p&gt;&lt;p&gt;‍&lt;/p&gt;&lt;p&gt;‍&lt;/p&gt;&lt;p&gt;‍&lt;/p&gt;&lt;p&gt;‍&lt;a href="https://rzp.io/l/DeutschInTandem" target="_blank"&gt;&lt;br&gt;&lt;/a&gt;&lt;/p&gt;</t>
  </si>
  <si>
    <t>https://payment.likeminds.community/?plan_id=6c27e352-6721-4371-83fc-5e9725b9a1bd</t>
  </si>
  <si>
    <t>&lt;ul&gt;&lt;li&gt;One time handwriting and signature analysis consultation on zoom &lt;/li&gt;&lt;li&gt;Lifetime Q&amp;amp;A support with Pavan Badllani&lt;/li&gt;&lt;li&gt;12 month LikeMinds Community membership&lt;/li&gt;&lt;li&gt;Free 3 Hour Graphology Masterclass Sessions &lt;/li&gt;&lt;li&gt;Graphology e-books worth ₹5,000 &lt;/li&gt;&lt;li&gt;21 days handwriting and signature analysis assignments for reducing stress, emotional stability, personal growth, boosting self confidence &amp;amp; self esteem worth ₹8,999 &lt;/li&gt;&lt;li&gt;52 e-books for spotting different kinds of handwriting and signatures worth ₹10,000 &lt;/li&gt;&lt;li&gt;3 tickets to my live training sessions worth ₹15,000 &lt;/li&gt;&lt;li&gt;Lifetime Access to the Graphology Online Course and Exclusive Marketing Strategies on How To Earn upto ₹30,000 every month with a 30 day money back guarantee if you aren’t happy with the online course. &lt;/li&gt;&lt;li&gt;You will learn how to become a handwriting and signature analyst as a full time, part time professional or freelancer.&lt;/li&gt;&lt;/ul&gt;</t>
  </si>
  <si>
    <t>https://payment.likeminds.community/?plan_id=c1e16f2b-ed2f-4563-b6a3-9bfd3eec0afc</t>
  </si>
  <si>
    <t>Growing Buddies</t>
  </si>
  <si>
    <t>&lt;ul&gt;&lt;li&gt;Weekly workshops on various growth topics&lt;/li&gt;&lt;li&gt;Promotion on Facebook group with 15k members and Facebook live once per month&lt;/li&gt;&lt;li&gt;Promotion through Instagram story feature for full month&lt;/li&gt;&lt;li&gt;Promotion through one Admin post introducing your brand for full month&lt;/li&gt;&lt;li&gt;Get your inspiring journey featured and promoted on our magazines, calendars launch, events, awards shows&lt;/li&gt;&lt;li&gt;Exclusive Ask me Anything sessions &lt;/li&gt;&lt;li&gt;Access to a premium community of budding entrepreneurs for collaborative growth and learning&lt;/li&gt;&lt;/ul&gt;&lt;p&gt;‍&lt;/p&gt;</t>
  </si>
  <si>
    <t>https://payment.likeminds.community/?plan_id=16abfe26-e51b-4328-a59b-fceb8d9e9cd4</t>
  </si>
  <si>
    <t>&lt;ul&gt;&lt;li&gt;Weekly workshops on various growth topics &lt;/li&gt;&lt;li&gt;Promotion on Facebook group with 15k members and Facebook live once per 3 months &lt;/li&gt;&lt;li&gt;Promotion through Instagram story feature for full 3 months &lt;/li&gt;&lt;li&gt;Promotion through one Admin post introducing your brand for full 3 months &lt;/li&gt;&lt;li&gt;Get your inspiring journey featured and promoted on our magazines, calendars launch, events, awards shows&lt;/li&gt;&lt;li&gt;Exclusive Ask me Anything sessions &lt;/li&gt;&lt;li&gt;Access to a premium community of budding entrepreneurs for collaborative growth and learning&lt;/li&gt;&lt;/ul&gt;&lt;p&gt;‍&lt;/p&gt;</t>
  </si>
  <si>
    <t>https://payment.likeminds.community/?plan_id=3237ded3-a2e7-450e-bf3c-f640d5570805</t>
  </si>
  <si>
    <t>&lt;ul&gt;&lt;li&gt;Weekly workshops on various growth topics &lt;/li&gt;&lt;li&gt;Promotion on Facebook group with 15k members and Facebook live once for full &amp;nbsp;6months &lt;/li&gt;&lt;li&gt;Promotion through Instagram story feature for full 6 months &lt;/li&gt;&lt;li&gt;Promotion through one Admin post introducing your brand for full 6 months &lt;/li&gt;&lt;li&gt;Get your inspiring journey featured and promoted on our magazines, calendars launch, events, awards shows&lt;/li&gt;&lt;li&gt;Exclusive Ask me Anything sessions &lt;/li&gt;&lt;li&gt;Access to a premium community of budding entrepreneurs for collaborative growth and learning&lt;/li&gt;&lt;/ul&gt;&lt;p&gt;‍&lt;/p&gt;</t>
  </si>
  <si>
    <t>https://payment.likeminds.community/?plan_id=1e7ff6de-6324-4bd3-950d-c240d942fda5</t>
  </si>
  <si>
    <t>&lt;ul&gt;&lt;li&gt;Life Time support for Professional &amp;amp; Personal Growth&lt;/li&gt;&lt;li&gt;Live Work Shop&lt;/li&gt;&lt;li&gt;Community Meet-ups&lt;/li&gt;&lt;li&gt;Live Healing &amp;amp; Interactive Sessions&lt;/li&gt;&lt;/ul&gt;&lt;p&gt;&lt;a href="https://rzp.io/l/DeutschInTandem" target="_blank"&gt;&lt;br&gt;&lt;/a&gt;&lt;/p&gt;</t>
  </si>
  <si>
    <t>https://payment.likeminds.community/?plan_id=46974ce7-59e5-41d9-8696-c54064b74ccd</t>
  </si>
  <si>
    <t>https://payment.likeminds.community/?plan_id=51fcc0ab-b372-4e6e-9e6d-4ce92a0f14db</t>
  </si>
  <si>
    <t>&lt;ul&gt;&lt;li&gt;Life Time support for Professional &amp;amp; Personal Growth&lt;/li&gt;&lt;li&gt;Live Work Shop&lt;/li&gt;&lt;li&gt;Community Meet-ups&lt;/li&gt;&lt;li&gt;Live Healing &amp;amp; Interactive Sessions&lt;/li&gt;&lt;/ul&gt;&lt;p&gt;‍&lt;/p&gt;&lt;p&gt;&lt;a href="https://rzp.io/l/DeutschInTandem" target="_blank"&gt;&lt;br&gt;&lt;/a&gt;&lt;/p&gt;</t>
  </si>
  <si>
    <t>https://payment.likeminds.community/?plan_id=1604b1d4-82ec-4ba8-b274-b6b1f32382c6</t>
  </si>
  <si>
    <t>&lt;ul&gt;&lt;li&gt;Be a part of our daily online meetings to share your stories and experience&lt;/li&gt;&lt;li&gt;Attend our weekly sessions &lt;/li&gt;&lt;li&gt;Learn how to be financially independent &lt;/li&gt;&lt;li&gt;Get help in healing yourself emotionally, physically &amp;amp; mentally&lt;/li&gt;&lt;li&gt;Understand the important of spirituality &lt;/li&gt;&lt;/ul&gt;&lt;p&gt;&lt;a href="https://rzp.io/l/DeutschInTandem" target="_blank"&gt;&lt;br&gt;&lt;/a&gt;&lt;/p&gt;</t>
  </si>
  <si>
    <t>https://payment.likeminds.community/?plan_id=a93dd58f-7877-4f52-9c49-76f904601d67</t>
  </si>
  <si>
    <t>https://payment.likeminds.community/?plan_id=7bfdf2da-c8b3-4f0c-a2b5-92d40e5e7694</t>
  </si>
  <si>
    <t>https://payment.likeminds.community/?plan_id=5262aeef-2a7c-4547-b7e8-9820437b74e4</t>
  </si>
  <si>
    <t>&lt;ul&gt;&lt;li&gt;Mind Relaxation Sessions&lt;/li&gt;&lt;li&gt;Desktop Yoga Sessions&lt;/li&gt;&lt;li&gt;Divine diet&lt;/li&gt;&lt;li&gt;Art Therapy&lt;/li&gt;&lt;/ul&gt;&lt;p&gt;&lt;a href="https://rzp.io/l/DeutschInTandem" target="_blank"&gt;&lt;br&gt;&lt;/a&gt;&lt;/p&gt;</t>
  </si>
  <si>
    <t>HEAL - Journey To Happiness</t>
  </si>
  <si>
    <t>&lt;ul&gt;&lt;li&gt;Get access to all the programs. Join HEAL today!&lt;/li&gt;&lt;li&gt;Sessions on Personal Growth&lt;/li&gt;&lt;li&gt;Guided Meditations &amp;amp; Workshops&lt;/li&gt;&lt;li&gt;Global Community that cares&lt;/li&gt;&lt;/ul&gt;&lt;p&gt;‍&lt;/p&gt;</t>
  </si>
  <si>
    <t>https://payment.likeminds.community/?plan_id=810d1301-ec74-4cfa-9d0c-aeca3f9dbece</t>
  </si>
  <si>
    <t>&lt;ul&gt;&lt;li&gt;Get access to all the programs. Join HEAL today!&lt;/li&gt;&lt;li&gt;GIFT One Month of HEAL Subscription Free To Your Friend&lt;/li&gt;&lt;li&gt;Sessions on Personal Growth&lt;/li&gt;&lt;li&gt;Guided Meditations &amp;amp; Workshops&lt;/li&gt;&lt;li&gt;Global Community that cares&lt;/li&gt;&lt;/ul&gt;&lt;p&gt;&lt;a href="https://rzp.io/l/DeutschInTandem" target="_blank"&gt;&lt;br&gt;&lt;/a&gt;&lt;/p&gt;</t>
  </si>
  <si>
    <t>https://payment.likeminds.community/?plan_id=1f55df2b-4424-4c5a-b687-272369dc16bc</t>
  </si>
  <si>
    <t>&lt;ul&gt;&lt;li&gt;Events&lt;/li&gt;&lt;li&gt;Exam prep&lt;/li&gt;&lt;li&gt;Interactive sessions&lt;/li&gt;&lt;li&gt;Know German Culture&lt;/li&gt;&lt;/ul&gt;</t>
  </si>
  <si>
    <t>https://payment.likeminds.community/?plan_id=18790be4-04cd-4484-a2f2-538d0485ec3f</t>
  </si>
  <si>
    <t>iQue Career Guide</t>
  </si>
  <si>
    <t>&lt;ul&gt;&lt;li&gt;Unlimited access to all workshops happening across India&lt;/li&gt;&lt;li&gt;Access to regular Ask Me Anything sessions with Mr. Mohit Mangal&lt;/li&gt;&lt;li&gt;Access to expert career guidance &amp;amp; QnA for Parents of Children studying in Class 9th to 12th&lt;/li&gt;&lt;li&gt;Flat 20% discount on all published handbooks&lt;/li&gt;&lt;li&gt;10% discount on any career counselling package fee&lt;/li&gt;&lt;li&gt;Access to premium community of parents and young adults for collaborative learnings and growth&lt;/li&gt;&lt;li&gt;Free digital copy of CBSE recommender career guide worth INR250&lt;/li&gt;&lt;/ul&gt;</t>
  </si>
  <si>
    <t>https://payment.likeminds.community/?plan_id=plan_H4kFSqbs3Jk1ge</t>
  </si>
  <si>
    <t>&lt;ul&gt;&lt;li&gt;Unlimited access to all workshops happening across India&lt;/li&gt;&lt;li&gt;Access to regular Ask Me Anything sessions with Mr. Mohit Mangal&lt;/li&gt;&lt;li&gt;Access to expert career guidance &amp;amp; QnA for Parents of Children studying in Class 9th to 12th&lt;/li&gt;&lt;li&gt;Flat 20% discount on all published handbooks&lt;/li&gt;&lt;li&gt;20% discount on any career counselling package fee&lt;/li&gt;&lt;li&gt;Access to premium community of parents and young adults for collaborative learnings and growth&lt;/li&gt;&lt;li&gt;Free digital copy of CBSE recommender career guide worth INR250&lt;/li&gt;&lt;/ul&gt;</t>
  </si>
  <si>
    <t>https://payment.likeminds.community/?plan_id=plan_H4kFTT8X6NVHAF</t>
  </si>
  <si>
    <t>&lt;ul&gt;&lt;li&gt;Unlimited access to all workshops happening across India&lt;/li&gt;&lt;li&gt;Access to regular Ask Me Anything sessions with Mr. Mohit Mangal&lt;/li&gt;&lt;li&gt;Access to expert career guidance &amp;amp; QnA for Parents of Children studying in Class 9th to 12th&lt;/li&gt;&lt;li&gt;Flat 20% discount on all published handbooks&lt;/li&gt;&lt;li&gt;1 free 30 mins one-on-one consulting session worth INR&amp;nbsp;3000/-&lt;/li&gt;&lt;li&gt;30% discount on Career Counselling and Brain-mapping Package worth INR 7500/-&lt;/li&gt;&lt;li&gt;Access to premium community of parents and young adults for collaborative learnings and growth&lt;/li&gt;&lt;li&gt;Free digital copy of CBSE recommender career guide worth INR250&lt;/li&gt;&lt;/ul&gt;&lt;p&gt;&lt;a href="https://rzp.io/l/DeutschInTandem" target="_blank"&gt;&lt;br&gt;&lt;/a&gt;&lt;/p&gt;</t>
  </si>
  <si>
    <t>https://payment.likeminds.community/?plan_id=plan_H4kFU1RptbibnV</t>
  </si>
  <si>
    <t>&lt;ul&gt;&lt;li&gt;Unlimited access to all workshops happening across India&lt;/li&gt;&lt;li&gt;Access to regular Ask Me Anything sessions wit Mr. Mohit Mangal&lt;/li&gt;&lt;li&gt;Access to expert career guidance &amp;amp; QnA for Parents of Children studying in Class 9th to 12th&lt;/li&gt;&lt;li&gt;Flat 20% discount on all published handbooks &lt;/li&gt;&lt;li&gt;1 Free Career Counselling and Brain-mapping Package worth INR 7500/-&lt;/li&gt;&lt;li&gt;Access to premium community of parents and young adults for collaborative learnings and growth&lt;/li&gt;&lt;li&gt;Free digital copy of CBSE recommender career guide worth INR250 &lt;/li&gt;&lt;/ul&gt;&lt;p&gt;‍&lt;/p&gt;</t>
  </si>
  <si>
    <t>https://payment.likeminds.community/?plan_id=plan_H4kFUbuD1qYxSn</t>
  </si>
  <si>
    <t>&lt;ul&gt;&lt;li&gt;Daily Fitness Routine&lt;/li&gt;&lt;li&gt;Enhance Immunity&lt;/li&gt;&lt;li&gt;Interactive sessions&lt;/li&gt;&lt;li&gt;Mindfulness&lt;/li&gt;&lt;/ul&gt;</t>
  </si>
  <si>
    <t>https://payment.likeminds.community/?plan_id=bd536099-969b-488d-aade-e2609a81db4c</t>
  </si>
  <si>
    <t>&lt;ul&gt;&lt;li&gt;Daily Fitness Routine&lt;/li&gt;&lt;li&gt;Enhance Immunity&lt;/li&gt;&lt;li&gt;Interactive sessions&lt;/li&gt;&lt;li&gt;Mindfulness&lt;/li&gt;&lt;/ul&gt;&lt;p&gt;&lt;a href="https://rzp.io/l/DeutschInTandem" target="_blank"&gt;&lt;br&gt;&lt;/a&gt;&lt;/p&gt;</t>
  </si>
  <si>
    <t>https://payment.likeminds.community/?plan_id=fe9c730b-e9f8-45a3-b642-1f67dc84a146</t>
  </si>
  <si>
    <t>https://payment.likeminds.community/?plan_id=17a16a93-d1f3-46a0-bcb3-daabf6cf759d</t>
  </si>
  <si>
    <t>Kash Studios</t>
  </si>
  <si>
    <t>&lt;p&gt;&lt;/p&gt;&lt;ul&gt;&lt;li&gt;Learn about drawing basics, VFX, SFX, writing skills, recording voiceovers&lt;/li&gt;&lt;li&gt;Discuss various topics&lt;/li&gt;&lt;li&gt;Attend live sessions tutorials and tips&lt;/li&gt;&lt;li&gt;Improve skills involved in creating animation from start to end&lt;/li&gt;&lt;li&gt;Learn professional animation&lt;/li&gt;&lt;/ul&gt;&lt;p&gt;‍&lt;a href="https://rzp.io/l/DeutschInTandem" target="_blank"&gt;&lt;br&gt;&lt;/a&gt;&lt;/p&gt;&lt;p&gt;&lt;a href="https://rzp.io/l/DeutschInTandem" target="_blank"&gt;&lt;br&gt;&lt;/a&gt;&lt;/p&gt;&lt;p&gt;‍&lt;/p&gt;</t>
  </si>
  <si>
    <t>https://payment.likeminds.community/?plan_id=79e54610-9547-4fa6-b843-45e6fe54ca0a</t>
  </si>
  <si>
    <t>&lt;ul&gt;&lt;li&gt;Learn about drawing basics, VFX, SFX, writing skills, recording voiceovers&lt;/li&gt;&lt;li&gt;Discuss various topics&lt;/li&gt;&lt;li&gt;Attend live sessions tutorials and tips&lt;/li&gt;&lt;li&gt;Improve skills involved in creating animation from start to end&lt;/li&gt;&lt;li&gt;Learn professional animation&lt;/li&gt;&lt;/ul&gt;&lt;p&gt;‍&lt;a href="https://rzp.io/l/DeutschInTandem" target="_blank"&gt;&lt;br&gt;&lt;/a&gt;&lt;/p&gt;&lt;p&gt;&lt;a href="https://rzp.io/l/DeutschInTandem" target="_blank"&gt;&lt;br&gt;&lt;/a&gt;&lt;/p&gt;</t>
  </si>
  <si>
    <t>https://payment.likeminds.community/?plan_id=95ac66af-ca1c-4dcd-9f5d-44a3427e5109</t>
  </si>
  <si>
    <t>https://payment.likeminds.community/?plan_id=33dba64d-bd0d-4bcd-9282-f03dab6aedc2</t>
  </si>
  <si>
    <t>&lt;ul&gt;&lt;li&gt;Daily learning of minimum 15 vocabulary words and its usage&lt;/li&gt;&lt;li&gt;Daily news in German&lt;/li&gt;&lt;li&gt;A1, A2 and B1 level preparation which includes - Emails, Letters, Speaking Exercise, Reading and Solving Texts, and Grammar Exercise&lt;/li&gt;&lt;li&gt;Twice a week interactive session for speaking and grammar&lt;/li&gt;&lt;li&gt;Four days a week worksheet solving and doubt solving&lt;/li&gt;&lt;li&gt;A Special Guest Delivery Lecture from a German native to learn about culture of Germany&lt;/li&gt;&lt;li&gt;A Special Lecture Delivery for universities application and top universities of Germany once a month&lt;/li&gt;&lt;li&gt;Test to be conducted once a week&lt;/li&gt;&lt;li&gt;Regular updates on job opportunities in Germany&lt;/li&gt;&lt;/ul&gt;</t>
  </si>
  <si>
    <t>https://payment.likeminds.community/?plan_id=c9a0eaa9-4fc6-4b8b-9583-03644deb2281</t>
  </si>
  <si>
    <t>https://payment.likeminds.community/?plan_id=b4921819-7640-4509-b07f-84ba27b31e4f</t>
  </si>
  <si>
    <t>https://payment.likeminds.community/?plan_id=82ef7306-ee99-4556-a3ed-698940923bc3</t>
  </si>
  <si>
    <t>Leena Listens</t>
  </si>
  <si>
    <t>&lt;ul&gt;&lt;li&gt;Fortnightly master class for successful startup blueprint covering topics such as Marketing Strategy, Product Development and Financial Modelling&lt;/li&gt;&lt;li&gt;Weekly AMA sessions on pain points of business setup&lt;/li&gt;&lt;li&gt;Access to topical curated content chatrooms &lt;/li&gt;&lt;li&gt;Sessions on mindful exercises to help you focus on weekly goals&lt;/li&gt;&lt;li&gt;Training session on how to break down your goals on action plans&lt;/li&gt;&lt;li&gt;Tools, tips and tricks on Market Research and Client Segmentation&lt;/li&gt;&lt;li&gt;Access to premium community of aspiring entrepreneur from across the globe and industry&lt;/li&gt;&lt;/ul&gt;&lt;p&gt;‍&lt;/p&gt;&lt;p&gt;‍&lt;/p&gt;&lt;p&gt;‍&lt;/p&gt;&lt;p&gt;‍&lt;/p&gt;&lt;p&gt;‍&lt;/p&gt;&lt;p&gt;‍&lt;/p&gt;&lt;p&gt;‍&lt;/p&gt;&lt;p&gt;‍&lt;/p&gt;</t>
  </si>
  <si>
    <t>https://payment.likeminds.community/?plan_id=4b66d6aa-9b72-4d92-a755-c31d31ecd9bd</t>
  </si>
  <si>
    <t>&lt;ul&gt;&lt;li&gt;Fortnightly master class for successful startup blueprint covering topics such as Marketing Strategy, Product Development and Financial Modelling&lt;/li&gt;&lt;li&gt;Weekly AMA sessions on pain points of business setup&lt;/li&gt;&lt;li&gt;Access to topical curated content chatrooms &lt;/li&gt;&lt;li&gt;Sessions on mindful exercises to help you focus on weekly goals&lt;/li&gt;&lt;li&gt;Training session on how to break down your goals on action plans&lt;/li&gt;&lt;li&gt;Tools, tips and tricks on Market Research and Client Segmentation&lt;/li&gt;&lt;li&gt;Access to premium community of aspiring entrepreneur from across the globe and industry&lt;/li&gt;&lt;li&gt;Access to monthly goal setting workshops&lt;/li&gt;&lt;li&gt;Free e-book on Branding&lt;/li&gt;&lt;/ul&gt;&lt;p&gt;‍&lt;/p&gt;&lt;p&gt;‍&lt;/p&gt;&lt;p&gt;‍&lt;/p&gt;&lt;p&gt;‍&lt;/p&gt;&lt;p&gt;‍&lt;/p&gt;&lt;p&gt;‍&lt;/p&gt;</t>
  </si>
  <si>
    <t>https://payment.likeminds.community/?plan_id=85658453-82b9-4d51-b60e-487292ee7865</t>
  </si>
  <si>
    <t>&lt;ul&gt;&lt;li&gt;Fortnightly master class for successful startup blueprint covering topics such as Marketing Strategy, Product Development and Financial Modelling&lt;/li&gt;&lt;li&gt;Weekly AMA sessions on pain points of business setup&lt;/li&gt;&lt;li&gt;Access to topical curated content chatrooms &lt;/li&gt;&lt;li&gt;Sessions on mindful exercises to help you focus on weekly goals&lt;/li&gt;&lt;li&gt;Training session on how to break down your goals on action plans + Personal Coaching (45 mins)&lt;/li&gt;&lt;li&gt;Tools, tips and tricks on Market Research and Client Segmentation&lt;/li&gt;&lt;li&gt;Access to premium community of aspiring entrepreneur from across the globe and industry&lt;/li&gt;&lt;li&gt;Global Networking Sessions&lt;/li&gt;&lt;li&gt;Global Mentors&lt;/li&gt;&lt;li&gt;Personal 1-on-1 "Finding Your Niche" Workshop Session&lt;/li&gt;&lt;li&gt;Access to monthly goal setting workshop and one 1-on-1 1 hour personal session&lt;/li&gt;&lt;li&gt;Free e-book on Branding&lt;/li&gt;&lt;li&gt;1 hour exclusive personal session&lt;/li&gt;&lt;li&gt;"Find Your Niche" Sessions&lt;/li&gt;&lt;/ul&gt;</t>
  </si>
  <si>
    <t>https://payment.likeminds.community/?plan_id=cc3cf413-c2c7-435c-8622-932f187ec9fd</t>
  </si>
  <si>
    <t>Let's Speak English</t>
  </si>
  <si>
    <t>&lt;ul&gt;&lt;li&gt;Group Discussion&lt;/li&gt;&lt;li&gt;Extempore&lt;/li&gt;&lt;li&gt;Interview Preparation&lt;/li&gt;&lt;li&gt;Monetize Your Talent&lt;/li&gt;&lt;li&gt;Get access to 10 Live Sessions&lt;/li&gt;&lt;/ul&gt;&lt;p&gt;&lt;a href="https://rzp.io/l/DeutschInTandem" target="_blank"&gt;&lt;br&gt;&lt;/a&gt;&lt;/p&gt;</t>
  </si>
  <si>
    <t>https://payment.likeminds.community/?plan_id=c257a754-7978-4b2b-901b-88fc1ce5bf24</t>
  </si>
  <si>
    <t>&lt;ul&gt;&lt;li&gt;Group Discussion&lt;/li&gt;&lt;li&gt;Extempore&lt;/li&gt;&lt;li&gt;Interview Preparation&lt;/li&gt;&lt;li&gt;Monetize Your Talent&lt;/li&gt;&lt;li&gt;Get access to 25 live sessions&lt;/li&gt;&lt;li&gt;1 exclusively curated activity session&lt;/li&gt;&lt;/ul&gt;&lt;p&gt;&lt;a href="https://rzp.io/l/DeutschInTandem" target="_blank"&gt;&lt;br&gt;&lt;/a&gt;&lt;/p&gt;</t>
  </si>
  <si>
    <t>https://payment.likeminds.community/?plan_id=dad934e6-7bd3-423d-9864-b581a5ced4df</t>
  </si>
  <si>
    <t>&lt;ul&gt;&lt;li&gt;Group Discussion&lt;/li&gt;&lt;li&gt;Extempore&lt;/li&gt;&lt;li&gt;Interview Preparation&lt;/li&gt;&lt;li&gt;Monetize Your Talent&lt;/li&gt;&lt;li&gt;Podcast Publishing Workshop&lt;/li&gt;&lt;li&gt;4 curated sessions on Advanced English&lt;/li&gt;&lt;/ul&gt;&lt;p&gt;&lt;a href="https://rzp.io/l/DeutschInTandem" target="_blank"&gt;&lt;br&gt;&lt;/a&gt;&lt;/p&gt;</t>
  </si>
  <si>
    <t>https://payment.likeminds.community/?plan_id=449d8b08-eafe-4806-99cd-404a5e5952b9</t>
  </si>
  <si>
    <t>Let'sLearntoSocial - ABFC</t>
  </si>
  <si>
    <t>&lt;ul&gt;&lt;li&gt;Topic-specific classes to cover all the areas social media platform&lt;/li&gt;&lt;li&gt;Get accesses to workshops to learn about content strategy and a lot more&lt;/li&gt;&lt;li&gt;Build your Online Presence&lt;/li&gt;&lt;li&gt;Attend webinars for creating a successful profile on LinkedIn&lt;/li&gt;&lt;/ul&gt;&lt;p&gt;&lt;a href="https://rzp.io/l/DeutschInTandem" target="_blank"&gt;&lt;br&gt;&lt;/a&gt;&lt;/p&gt;</t>
  </si>
  <si>
    <t>https://payment.likeminds.community/?plan_id=ff5e4401-cf9a-44e0-8cd2-805daccb432d</t>
  </si>
  <si>
    <t>&lt;ul&gt;&lt;li&gt;Topic-specific classes to cover all the areas social media platform&lt;/li&gt;&lt;li&gt;Get accesses to workshops to learn about content strategy and a lot more&lt;/li&gt;&lt;li&gt;Build your Online Presence&lt;/li&gt;&lt;li&gt;Attend webinars for creating a successful profile on LinkedIn&lt;a href="https://rzp.io/l/DeutschInTandem" target="_blank"&gt;&lt;br&gt;&lt;/a&gt;&lt;/li&gt;&lt;/ul&gt;&lt;p&gt;&lt;a href="https://rzp.io/l/DeutschInTandem" target="_blank"&gt;&lt;br&gt;&lt;/a&gt;&lt;/p&gt;</t>
  </si>
  <si>
    <t>https://payment.likeminds.community/?plan_id=5389d6c1-338f-423e-bf61-edcfb2cb8862</t>
  </si>
  <si>
    <t>https://payment.likeminds.community/?plan_id=c6d03add-cc24-4acb-ac59-564f954cc959</t>
  </si>
  <si>
    <t>LevelZero Esports</t>
  </si>
  <si>
    <t>&lt;p&gt;&lt;strong&gt;‍&lt;/strong&gt;&lt;/p&gt;&lt;ul&gt;&lt;li&gt;&lt;strong&gt;Access to Premium Esports forums&lt;/strong&gt;&lt;/li&gt;&lt;li&gt;&lt;strong&gt;Exclusive Community discussions like patch note discussions, server help/ availability issues, cross-platform networking among console and pc players, future tournaments discussions, team meta discussions&lt;/strong&gt;&lt;/li&gt;&lt;li&gt;&lt;strong&gt;Tips and tricks discussion with Pro players&lt;/strong&gt;&lt;/li&gt;&lt;li&gt;&lt;strong&gt;Exclusive Post-match analysis&lt;/strong&gt;&lt;/li&gt;&lt;li&gt;&lt;strong&gt;Declaration of all upcoming tournament news&lt;/strong&gt;&lt;/li&gt;&lt;li&gt;&lt;strong&gt;Hosting watch parties for bigger tournaments&lt;/strong&gt;&lt;/li&gt;&lt;li&gt;&lt;strong&gt;Access to different tech brands&lt;/strong&gt;&lt;/li&gt;&lt;li&gt;&lt;strong&gt;30-50 % discount on entry fees for upcoming tournaments&lt;/strong&gt;&lt;/li&gt;&lt;li&gt;&lt;strong&gt;Access to talented GFX and VFX artists certified by us and at your service for minimal charges&lt;/strong&gt;&lt;/li&gt;&lt;li&gt;&lt;strong&gt;Counseling on how to make a career in gaming and Esports&lt;/strong&gt;&lt;/li&gt;&lt;/ul&gt;&lt;p&gt;&lt;strong&gt;‍&lt;/strong&gt;&lt;/p&gt;&lt;p&gt;&lt;strong&gt;‍&lt;/strong&gt;&lt;/p&gt;&lt;p&gt;&lt;strong&gt;‍&lt;/strong&gt;&lt;/p&gt;</t>
  </si>
  <si>
    <t>https://payment.likeminds.community/?plan_id=24547447-af18-4fef-bfc5-ffe3d315ac71</t>
  </si>
  <si>
    <t>LinkedGrow</t>
  </si>
  <si>
    <t>&lt;ul&gt;&lt;li&gt;Join LinkedGrow and get to be a part of Community meetups with likeminded people, industry mentors to upskill your personality.&lt;/li&gt;&lt;li&gt;Get Regular updates regarding latest job opportunities and get guidance from experienced professionals.&lt;/li&gt;&lt;li&gt;Get referred to companies to move a step ahead in landing your dream job.&lt;/li&gt;&lt;li&gt;Attend our Job Search Accelerator Workshop to know the tips and tricks behind effectively finding, landing and thriving in your dream Job.&lt;/li&gt;&lt;li&gt;Get your queries resolved by domain experts in our weekly AMA Sessions.&lt;a href="https://rzp.io/l/DeutschInTandem" target="_blank"&gt;&lt;br&gt;&lt;/a&gt;&lt;/li&gt;&lt;/ul&gt;</t>
  </si>
  <si>
    <t>https://payment.likeminds.community/?plan_id=c869ae39-d21d-4d2b-bc16-e09a1ef45cd3</t>
  </si>
  <si>
    <t>&lt;ul&gt;&lt;li&gt;Join LinkedGrow and get to be a part of Community meetups with likeminded people, industry mentors to upskill your personality.&lt;/li&gt;&lt;li&gt;Get Regular updates regarding latest job opportunities and get guidance from experienced professionals.&lt;/li&gt;&lt;li&gt;Get referred to companies to move a step ahead in landing your dream job.&lt;/li&gt;&lt;li&gt;Attend our Job Search Accelerator Workshop to know the tips and tricks behind effectively finding, landing and thriving in your dream Job.&lt;/li&gt;&lt;li&gt;Get your queries resolved by domain experts in our weekly AMA Sessions.&lt;/li&gt;&lt;/ul&gt;</t>
  </si>
  <si>
    <t>https://payment.likeminds.community/?plan_id=bc10a84a-c9b1-48c1-b394-8b352c212e42</t>
  </si>
  <si>
    <t>MADS</t>
  </si>
  <si>
    <t>&lt;ul&gt;&lt;li&gt;Training Workshops&lt;/li&gt;&lt;li&gt;Portfolio Building and Management&lt;/li&gt;&lt;li&gt;Career Guidance&lt;/li&gt;&lt;li&gt;Artist Management&lt;a href="https://rzp.io/l/DeutschInTandem" target="_blank"&gt;&lt;br&gt;&lt;/a&gt;&lt;/li&gt;&lt;/ul&gt;</t>
  </si>
  <si>
    <t>https://payment.likeminds.community/?plan_id=8144ff29-0454-49c7-8a30-652bba8651e8</t>
  </si>
  <si>
    <t>https://payment.likeminds.community/?plan_id=8f125f11-a697-43ff-b456-0dc2b5ae7ee0</t>
  </si>
  <si>
    <t>&lt;ul&gt;&lt;li&gt;Training Workshops&lt;/li&gt;&lt;li&gt;Portfolio Building and Management&lt;/li&gt;&lt;li&gt;Career Guidance&lt;/li&gt;&lt;li&gt;Artist Management&lt;/li&gt;&lt;/ul&gt;</t>
  </si>
  <si>
    <t>https://payment.likeminds.community/?plan_id=020053f3-f9d8-4266-8f07-39e44f3b6b9b</t>
  </si>
  <si>
    <t>Magical Parenting (Journey from stressful parenting to magical parenting)</t>
  </si>
  <si>
    <t>&lt;ul&gt;&lt;li&gt;24/7 constant support for personal and healthy growth&lt;/li&gt;&lt;li&gt;Expert Advice &lt;/li&gt;&lt;li&gt;Community Meet-ups&lt;/li&gt;&lt;li&gt;Live parenting sessions&lt;/li&gt;&lt;/ul&gt;&lt;p&gt;&lt;a href="https://rzp.io/l/DeutschInTandem" target="_blank"&gt;&lt;br&gt;&lt;/a&gt;&lt;/p&gt;</t>
  </si>
  <si>
    <t>https://payment.likeminds.community/?plan_id=a99e60d3-693e-4f34-815f-d1e390cd906f</t>
  </si>
  <si>
    <t>&lt;ul&gt;&lt;li&gt;24/7 constant support for personal and healthy growth&lt;/li&gt;&lt;li&gt;Expert Advice&lt;/li&gt;&lt;li&gt;Community Meet-ups&lt;/li&gt;&lt;li&gt;Live parenting sessions&lt;/li&gt;&lt;/ul&gt;&lt;p&gt;&lt;a href="https://rzp.io/l/DeutschInTandem" target="_blank"&gt;&lt;br&gt;&lt;/a&gt;&lt;/p&gt;</t>
  </si>
  <si>
    <t>https://payment.likeminds.community/?plan_id=9e14f7ce-1b4d-48cd-9d53-0b16a028b60f</t>
  </si>
  <si>
    <t>&lt;ul&gt;&lt;li&gt;24/7 constant support for personal and healthy growth&lt;/li&gt;&lt;li&gt;Expert Advice&lt;/li&gt;&lt;li&gt;Community Meet-ups&lt;/li&gt;&lt;li&gt;Live parenting sessions&lt;/li&gt;&lt;/ul&gt;&lt;p&gt;‍&lt;/p&gt;&lt;p&gt;&lt;a href="https://rzp.io/l/DeutschInTandem" target="_blank"&gt;&lt;br&gt;&lt;/a&gt;&lt;/p&gt;</t>
  </si>
  <si>
    <t>https://payment.likeminds.community/?plan_id=df9dccca-759f-4e4f-b9ab-87bacd736027</t>
  </si>
  <si>
    <t>Mandala Hub</t>
  </si>
  <si>
    <t>&lt;ul&gt;&lt;li&gt;Courses are divided into three ways which include Beginner, Intermediate and Advanced ones.&lt;/li&gt;&lt;li&gt;In this plan, one can choose any one of the courses of Mandala/Doodle/Zentangle.&lt;/li&gt;&lt;li&gt;Workshops are framed for mind refreshing after a hectic schedule which is basically for fun.&lt;/li&gt;&lt;li&gt;In this plan, one will get an extra benefit to access one more Workshops after joining.&lt;a href="https://rzp.io/l/DeutschInTandem" target="_blank"&gt;&lt;br&gt;&lt;/a&gt;&lt;/li&gt;&lt;/ul&gt;</t>
  </si>
  <si>
    <t>Master your thinking</t>
  </si>
  <si>
    <t>&lt;ul&gt;&lt;li&gt;Thought Labs&lt;/li&gt;&lt;li&gt;Accountability Teams&lt;/li&gt;&lt;li&gt;Assignment Fun-Work&lt;/li&gt;&lt;li&gt;Decision Making&lt;/li&gt;&lt;/ul&gt;&lt;p&gt;‍&lt;/p&gt;&lt;p&gt;&lt;a href="https://rzp.io/l/DeutschInTandem" target="_blank"&gt;&lt;br&gt;&lt;/a&gt;&lt;/p&gt;</t>
  </si>
  <si>
    <t>https://payment.likeminds.community/?plan_id=13cda258-52e4-4ee0-a7ac-dad8e61db3fd</t>
  </si>
  <si>
    <t>&lt;ul&gt;&lt;li&gt;Thought Labs&lt;/li&gt;&lt;li&gt;Accountability Teams&lt;/li&gt;&lt;li&gt;Assignment Fun-Work&lt;/li&gt;&lt;li&gt;Decision Making&lt;/li&gt;&lt;/ul&gt;&lt;p&gt;&lt;a href="https://rzp.io/l/DeutschInTandem" target="_blank"&gt;&lt;br&gt;&lt;/a&gt;&lt;/p&gt;</t>
  </si>
  <si>
    <t>https://payment.likeminds.community/?plan_id=40a13a3f-9f5e-4a0d-970a-0c0c202bde94</t>
  </si>
  <si>
    <t>https://payment.likeminds.community/?plan_id=6af6d748-7c52-4836-b141-b0a0150c34d9</t>
  </si>
  <si>
    <t>&lt;ul&gt;&lt;li&gt;Conflict Management&lt;/li&gt;&lt;li&gt;Soft Skills Training&lt;/li&gt;&lt;li&gt;One-to-One Problem Solving&lt;strong&gt;‍&lt;/strong&gt;&lt;/li&gt;&lt;li&gt;Customized Training Programs&lt;/li&gt;&lt;/ul&gt;</t>
  </si>
  <si>
    <t>https://payment.likeminds.community/?plan_id=8ee6bf17-48e1-4dd5-9fd9-ed662057ee62</t>
  </si>
  <si>
    <t>&lt;ul&gt;&lt;li&gt;Conflict Management&lt;/li&gt;&lt;li&gt;Soft Skills Training&lt;/li&gt;&lt;li&gt;One-to-One Problem Solving&lt;strong&gt;‍&lt;/strong&gt;&lt;/li&gt;&lt;li&gt;Customized Training Programs&lt;/li&gt;&lt;/ul&gt;&lt;p&gt;&lt;a href="https://rzp.io/l/DeutschInTandem" target="_blank"&gt;&lt;br&gt;&lt;/a&gt;&lt;/p&gt;</t>
  </si>
  <si>
    <t>https://payment.likeminds.community/?plan_id=d7618c25-72bc-4f69-9b8f-59bc3e273fa5</t>
  </si>
  <si>
    <t>https://payment.likeminds.community/?plan_id=14624d71-8eba-497b-ab86-2b32f0878e2f</t>
  </si>
  <si>
    <t>MUSICONIC</t>
  </si>
  <si>
    <t>https://payment.likeminds.community/?plan_id=eb019f56-c3b3-4fe0-8391-ae722851e79d</t>
  </si>
  <si>
    <t>https://payment.likeminds.community/?plan_id=b2a6521a-0cad-4394-8cb1-5081e4070024</t>
  </si>
  <si>
    <t>https://payment.likeminds.community/?plan_id=36bb89b4-45b3-439c-9c41-bdf56ad17660</t>
  </si>
  <si>
    <t>Nature Enthusiasts - FareenaVBlogs</t>
  </si>
  <si>
    <t>&lt;ul&gt;&lt;li&gt;Events&lt;/li&gt;&lt;li&gt;Explore the vast network&lt;/li&gt;&lt;li&gt;Gardening DIY&lt;/li&gt;&lt;li&gt;Bond with People&lt;a href="https://rzp.io/l/DeutschInTandem" target="_blank"&gt;&lt;br&gt;&lt;/a&gt;&lt;/li&gt;&lt;/ul&gt;</t>
  </si>
  <si>
    <t>https://payment.likeminds.community/?plan_id=46f9f6bc-81a5-495a-ac34-d2912e42dce2</t>
  </si>
  <si>
    <t>https://payment.likeminds.community/?plan_id=9777e107-b635-4a3f-a681-edc05f16326d</t>
  </si>
  <si>
    <t>https://payment.likeminds.community/?plan_id=298d41f2-a80b-4e39-9c95-e1187057f8b4</t>
  </si>
  <si>
    <t>Nishtha Education</t>
  </si>
  <si>
    <t>&lt;ul&gt;&lt;li&gt;Events&lt;/li&gt;&lt;li&gt;Exam prep&lt;/li&gt;&lt;li&gt;Interactive sessions&lt;/li&gt;&lt;li&gt;Take-Away Skills&lt;/li&gt;&lt;/ul&gt;&lt;p&gt;&lt;a href="https://rzp.io/l/DeutschInTandem" target="_blank"&gt;&lt;br&gt;&lt;/a&gt;&lt;/p&gt;</t>
  </si>
  <si>
    <t>https://payment.likeminds.community/?plan_id=1241ac42-0073-48fb-88a6-86526c6d7be8</t>
  </si>
  <si>
    <t>&lt;ul&gt;&lt;li&gt;Events&lt;/li&gt;&lt;li&gt;Exam prep&lt;/li&gt;&lt;li&gt;Interactive sessions&lt;/li&gt;&lt;li&gt;Take-Away Skills&lt;/li&gt;&lt;/ul&gt;&lt;p&gt;&lt;a href="https://rzp.io/l/DeutschInTandem" target="_blank"&gt;‍&lt;br&gt;&lt;/a&gt;&lt;/p&gt;</t>
  </si>
  <si>
    <t>https://payment.likeminds.community/?plan_id=9b986d47-12a5-4177-b4dc-ab98a9e16be0</t>
  </si>
  <si>
    <t>https://payment.likeminds.community/?plan_id=1394c1b4-1146-432a-98e8-19af0f1b5ae9</t>
  </si>
  <si>
    <t>&lt;ul&gt;&lt;li&gt;Events&lt;/li&gt;&lt;li&gt;Masterclasses&lt;/li&gt;&lt;li&gt;Interactive sessions&lt;/li&gt;&lt;li&gt;Recipes &amp;amp; wellness tips&lt;a href="https://rzp.io/l/DeutschInTandem" target="_blank"&gt;&lt;br&gt;&lt;/a&gt;&lt;/li&gt;&lt;/ul&gt;</t>
  </si>
  <si>
    <t>https://payment.likeminds.community/?plan_id=plan_H4kFgKtMNzhAUY</t>
  </si>
  <si>
    <t>https://payment.likeminds.community/?plan_id=plan_H4kFgpubJeBybv</t>
  </si>
  <si>
    <t>https://payment.likeminds.community/?plan_id=plan_H4kFhPfAb7tCMy</t>
  </si>
  <si>
    <t>&lt;ul&gt;&lt;li&gt;Events&lt;/li&gt;&lt;li&gt;Pre Recorded videos&lt;/li&gt;&lt;li&gt;Expert Tips&lt;/li&gt;&lt;li&gt;Non Verbal Tips&lt;a href="https://rzp.io/l/DeutschInTandem" target="_blank"&gt;&lt;br&gt;&lt;/a&gt;&lt;/li&gt;&lt;/ul&gt;</t>
  </si>
  <si>
    <t>https://payment.likeminds.community/?plan_id=plan_H4kFlmey2Z6XXs</t>
  </si>
  <si>
    <t>https://payment.likeminds.community/?plan_id=plan_H4kFmJ0ggaL757</t>
  </si>
  <si>
    <t>https://payment.likeminds.community/?plan_id=plan_H4kFmwqqMKd2ap</t>
  </si>
  <si>
    <t>&lt;ul&gt;&lt;li&gt;Weekly session by Gurpreet worth INR 499 for 30 mins&lt;br&gt;&lt;/li&gt;&lt;li&gt;Curated Content - access to design templates made by Gurpreet worth INR 1400&lt;/li&gt;&lt;li&gt;Unlimited Access to AMA chat rooms for anytime and Gurpreet will get back to you&lt;/li&gt;&lt;li&gt;One 1-on-1 (30 mins session) with Gurpreet worth INR 699&lt;a href="https://rzp.io/l/DeutschInTandem" target="_blank"&gt;&lt;br&gt;&lt;/a&gt;&lt;/li&gt;&lt;/ul&gt;</t>
  </si>
  <si>
    <t>https://payment.likeminds.community/?plan_id=3f379b3c-72b2-43a1-a4e4-2483dcb335bb</t>
  </si>
  <si>
    <t>&lt;ul&gt;&lt;li&gt;Weekly session by Gurpreet worth INR 499 for 30 mins&lt;/li&gt;&lt;li&gt;Curated Content - access to design templates made by Gurpreet worth INR 1400&lt;/li&gt;&lt;li&gt;Unlimited Access to AMA chat rooms for anytime and Gurpreet will get back to you&lt;/li&gt;&lt;li&gt;Two 1-on-1 (30 mins session) with Gurpreet worth INR 699&lt;/li&gt;&lt;/ul&gt;&lt;p&gt;&lt;a href="https://rzp.io/l/DeutschInTandem" target="_blank"&gt;&lt;br&gt;&lt;/a&gt;&lt;/p&gt;</t>
  </si>
  <si>
    <t>https://payment.likeminds.community/?plan_id=0b622d76-eecf-4681-a9bb-7dc8fd50b172</t>
  </si>
  <si>
    <t>&lt;ul&gt;&lt;li&gt;Weekly session by Gurpreet worth INR 499 for 30 mins&lt;/li&gt;&lt;li&gt;Curated Content - access to design templates made by Gurpreet worth INR 1400&lt;/li&gt;&lt;li&gt;Unlimited Access to AMA chat rooms for anytime and Gurpreet will get back to you&lt;/li&gt;&lt;li&gt;Four 1-on-1 (30 mins session) with Gurpreet worth INR 699&lt;a href="https://rzp.io/l/DeutschInTandem" target="_blank"&gt;&lt;br&gt;&lt;/a&gt;&lt;/li&gt;&lt;/ul&gt;</t>
  </si>
  <si>
    <t>https://payment.likeminds.community/?plan_id=9a305d1d-5d28-4d3d-854d-f52a4a8a4a2f</t>
  </si>
  <si>
    <t>&lt;ul&gt;&lt;li&gt;1-hour weekly free live-discussion session on different occult sciences&lt;/li&gt;&lt;li&gt;Recorded video lecture library&lt;/li&gt;&lt;li&gt;Exposure to all kinds of occult sciences through different discussion rooms where you can put across your doubts and queries to get solutions from experts.&lt;/li&gt;&lt;li&gt;Free registration to practice your knowledge and start getting clients if you are an expert in Vastu shastra, Astrology, Numerology, Reiki Manifestation, Yoga and Tarot Cards Reading&lt;/li&gt;&lt;/ul&gt;</t>
  </si>
  <si>
    <t>https://payment.likeminds.community/?plan_id=18200660-7331-4e34-8875-842ea9918fa8</t>
  </si>
  <si>
    <t>&lt;ul&gt;&lt;li&gt;1-hour weekly free live-discussion session on different occult sciences&lt;/li&gt;&lt;li&gt;Recorded video lecture library&lt;/li&gt;&lt;li&gt;Exposure to all kinds of occult sciences through different discussion rooms where you can put across your doubts and queries to get solutions from experts.&lt;/li&gt;&lt;li&gt;Free registration to practice your knowledge and start getting clients if you are an expert in Vastu shastra, Astrology, Numerology, Reiki Manifestation, Yoga and Tarot Cards Reading&lt;/li&gt;&lt;li&gt;25% off on fees of all the paid courses offered by Rapto Bhara Jeevan&lt;/li&gt;&lt;li&gt;25% off on one-to-one consultation charges of all the experts on the platform of Rapto Bhara Jeevan&lt;/li&gt;&lt;/ul&gt;&lt;p&gt;&lt;a href="https://rzp.io/l/DeutschInTandem" target="_blank"&gt;&lt;br&gt;&lt;/a&gt;&lt;/p&gt;</t>
  </si>
  <si>
    <t>https://payment.likeminds.community/?plan_id=0e52c8b4-ef8f-4c2c-b301-2192a5c08640</t>
  </si>
  <si>
    <t>&lt;ul&gt;&lt;li&gt;1-hour weekly free live-discussion session on different occult sciences&lt;/li&gt;&lt;li&gt;Recorded video lecture library&lt;/li&gt;&lt;li&gt;Exposure to all kinds of occult sciences through different discussion rooms where you can put across your doubts and queries to get solutions from experts.&lt;/li&gt;&lt;li&gt;Free registration to practice your knowledge and start getting clients if you are an expert in Vastu shastra, Astrology, Numerology, Reiki Manifestation, Yoga and Tarot Cards Reading&lt;/li&gt;&lt;li&gt;35% off on fees of all the paid courses offered by Rapto Bhara Jeevan&lt;/li&gt;&lt;li&gt;35% off on one-to-one consultation charges of all the experts on the platform of Rapto Bhara Jeevan&lt;/li&gt;&lt;/ul&gt;&lt;p&gt;&lt;a href="https://rzp.io/l/DeutschInTandem" target="_blank"&gt;&lt;br&gt;&lt;/a&gt;&lt;/p&gt;</t>
  </si>
  <si>
    <t>https://payment.likeminds.community/?plan_id=fef9e60c-6daa-43a2-8331-16ad241c90cd</t>
  </si>
  <si>
    <t>&lt;ul&gt;&lt;li&gt;1-hour weekly free live-discussion session on different occult sciences&lt;/li&gt;&lt;li&gt;Recorded video lecture library&lt;/li&gt;&lt;li&gt;Exposure to all kinds of occult sciences through different discussion rooms where you can put across your doubts and queries to get solutions from experts.&lt;/li&gt;&lt;li&gt;Free registration to practice your knowledge and start getting clients if you are an expert in Vastu shastra, Astrology, Numerology, Reiki Manifestation, Yoga and Tarot Cards Reading&lt;/li&gt;&lt;li&gt;50% off on fees of all the paid courses offered by Rapto Bhara Jeevan&lt;/li&gt;&lt;li&gt;50% off on one-to-one consultation charges of all the experts on the platform of Rapto Bhara Jeevan&lt;/li&gt;&lt;li&gt;Detailed Kundali discussion on 1 horoscope worth rs. 2000/- free with one year membership&lt;/li&gt;&lt;li&gt;Detailed discussion on 1 horoscope worth rs. 2000/- free with one year membership&lt;/li&gt;&lt;/ul&gt;&lt;p&gt;‍&lt;/p&gt;</t>
  </si>
  <si>
    <t>https://payment.likeminds.community/?plan_id=3e32aa49-4241-4038-bfec-b5a21b92a283</t>
  </si>
  <si>
    <t>Sales &amp; Growth Skills</t>
  </si>
  <si>
    <t>&lt;ul&gt;&lt;li&gt;Events&lt;/li&gt;&lt;li&gt;Exam prep&lt;/li&gt;&lt;li&gt;Interactive sessions&lt;/li&gt;&lt;li&gt;Know Sales Expertise&lt;a href="https://rzp.io/l/DeutschInTandem" target="_blank"&gt;&lt;br&gt;&lt;/a&gt;&lt;/li&gt;&lt;/ul&gt;</t>
  </si>
  <si>
    <t>https://payment.likeminds.community/?plan_id=0e330c1f-36f3-409e-bfe2-a8fa6e20395e</t>
  </si>
  <si>
    <t>https://payment.likeminds.community/?plan_id=94547a34-012a-400b-ba63-f9573b912ff5</t>
  </si>
  <si>
    <t>&lt;ul&gt;&lt;li&gt;Ebooklets&lt;/li&gt;&lt;li&gt;One on One Prep&lt;/li&gt;&lt;li&gt;Interactive sessions&lt;/li&gt;&lt;li&gt;Know Sales Expertise&lt;a href="https://rzp.io/l/DeutschInTandem" target="_blank"&gt;&lt;br&gt;&lt;/a&gt;&lt;/li&gt;&lt;/ul&gt;</t>
  </si>
  <si>
    <t>https://payment.likeminds.community/?plan_id=5c65c293-8e7a-47c4-a3ce-f97e523836ab</t>
  </si>
  <si>
    <t>&lt;ul&gt;&lt;li&gt;Personalized profile and access to all community events&lt;/li&gt;&lt;li&gt;Member Spotlight&lt;/li&gt;&lt;li&gt;Access to special offers from the women-led brands&lt;/li&gt;&lt;li&gt;Be a part of Instagram live- Panel Discussion&lt;/li&gt;&lt;/ul&gt;&lt;p&gt;&lt;a href="https://rzp.io/l/DeutschInTandem" target="_blank"&gt;&lt;br&gt;&lt;/a&gt;&lt;/p&gt;</t>
  </si>
  <si>
    <t>https://payment.likeminds.community/?plan_id=72e01ee1-8eb5-428b-9ccb-4fc26d460078</t>
  </si>
  <si>
    <t>&lt;ul&gt;&lt;li&gt;Access to all quarterly membership features+&lt;/li&gt;&lt;li&gt;Featuring your brand story&lt;/li&gt;&lt;li&gt;Spotlights to all your hero products &amp;amp; services&lt;/li&gt;&lt;li&gt;Brand Spotlight&lt;/li&gt;&lt;li&gt;Opportunity to come LIVE with the host- &amp;nbsp;One-to-One&lt;/li&gt;&lt;/ul&gt;&lt;p&gt;&lt;a href="https://rzp.io/l/DeutschInTandem" target="_blank"&gt;&lt;br&gt;&lt;/a&gt;&lt;/p&gt;</t>
  </si>
  <si>
    <t>https://payment.likeminds.community/?plan_id=106838aa-753d-4c31-98cb-3ed70fb36168</t>
  </si>
  <si>
    <t>Shishu Aahaar</t>
  </si>
  <si>
    <t>&lt;ul&gt;&lt;li&gt;Participate in topic based discussions on food, nourishment and toddlers&lt;/li&gt;&lt;li&gt;Interactive Discussions&lt;/li&gt;&lt;li&gt;Brainstorming &amp;amp; Problem Solving&lt;/li&gt;&lt;li&gt;Meet other moms and share experiences, tips &amp;amp; tricks and also expand your moms circle&lt;/li&gt;&lt;/ul&gt;&lt;p&gt;&lt;a href="https://rzp.io/l/DeutschInTandem" target="_blank"&gt;&lt;br&gt;&lt;/a&gt;&lt;/p&gt;&lt;p&gt;&lt;a href="https://rzp.io/l/DeutschInTandem" target="_blank"&gt;&lt;br&gt;&lt;/a&gt;&lt;/p&gt;</t>
  </si>
  <si>
    <t>https://payment.likeminds.community/?plan_id=fc42c82f-f008-4f98-be35-1d3a3d90a7f4</t>
  </si>
  <si>
    <t>https://payment.likeminds.community/?plan_id=20ef675e-22d1-40fe-ae14-700f2612b2c9</t>
  </si>
  <si>
    <t>https://payment.likeminds.community/?plan_id=e85a72f0-78ee-4045-ae7c-43315b1e0e13</t>
  </si>
  <si>
    <t>SkillEdge</t>
  </si>
  <si>
    <t>&lt;ul&gt;&lt;li&gt;Events&lt;/li&gt;&lt;li&gt;World Class Coaching&lt;/li&gt;&lt;li&gt;Lifetime Membership&lt;/li&gt;&lt;li&gt;CoE : Centre of Excellence &amp;amp; Placement Support&lt;/li&gt;&lt;/ul&gt;</t>
  </si>
  <si>
    <t>https://payment.likeminds.community/?plan_id=8e5ea02b-e877-40f6-9855-2a9b876699f8</t>
  </si>
  <si>
    <t>&lt;ul&gt;&lt;li&gt;Events&lt;/li&gt;&lt;li&gt;World Class Coaching&lt;/li&gt;&lt;li&gt;Lifetime Membership&lt;/li&gt;&lt;li&gt;CoE : Centre of Excellence &amp;amp; Placement Support&lt;a href="https://rzp.io/l/DeutschInTandem" target="_blank"&gt;&lt;br&gt;&lt;/a&gt;&lt;/li&gt;&lt;/ul&gt;</t>
  </si>
  <si>
    <t>https://payment.likeminds.community/?plan_id=255576d9-b790-4cbd-90b4-6acd49d76768</t>
  </si>
  <si>
    <t>https://payment.likeminds.community/?plan_id=84fa1e01-8c8b-4284-8b65-ba48a1f47220</t>
  </si>
  <si>
    <t>SKILLYUKT</t>
  </si>
  <si>
    <t>&lt;ul&gt;&lt;li&gt;&lt;strong&gt;Perfect the concepts of English Grammar through various recorded sessions, notes &amp;amp; quizzes&lt;/strong&gt;&lt;/li&gt;&lt;li&gt;&lt;strong&gt;Get practical tips &amp;amp; exercises to improve your written &amp;amp; spoken communication&lt;/strong&gt;&lt;/li&gt;&lt;li&gt;&lt;strong&gt;Weekly live sessions on 'Building Overall Communication Skills'&lt;/strong&gt;&lt;/li&gt;&lt;li&gt;&lt;strong&gt;Learn about self-help techniques to improve your fluency in English&lt;/strong&gt;&lt;/li&gt;&lt;li&gt;&lt;strong&gt;Build a strong &amp;amp; practical vocabulary on everyday basis&lt;/strong&gt;&lt;/li&gt;&lt;li&gt;&lt;strong&gt;Be a part of weekly workshops on 'Public-Speaking Skills' &amp;amp; become a confident speaker&lt;/strong&gt;&lt;/li&gt;&lt;li&gt;&lt;strong&gt;Monthly Masterclass on 'Overall Personality Growth &amp;amp; Development'&lt;/strong&gt;&lt;/li&gt;&lt;li&gt;&lt;strong&gt;Win a chance to get a free 40-minute counselling session by participating in daily activities&lt;/strong&gt;‍&lt;/li&gt;&lt;/ul&gt;</t>
  </si>
  <si>
    <t>https://payment.likeminds.community/?plan_id=9c5b26de-a289-46ce-b9ea-d7c0e1ccf659</t>
  </si>
  <si>
    <t>https://payment.likeminds.community/?plan_id=d64a297d-32ba-4639-8a87-a6ca15c82a0d</t>
  </si>
  <si>
    <t>https://payment.likeminds.community/?plan_id=a51093f7-859a-4a16-bb34-935f691c324e</t>
  </si>
  <si>
    <t>&lt;ul&gt;&lt;li&gt;Workshops to develop new skills&lt;/li&gt;&lt;li&gt;Interactive Sessions and speaking practice sessions&lt;/li&gt;&lt;li&gt;Daily Lesson/Worksheet&lt;/li&gt;&lt;li&gt;Community Meetups&lt;/li&gt;&lt;li&gt;Take part in weekly quizzes/challenges and win exciting reward&lt;/li&gt;&lt;/ul&gt;&lt;p&gt;&lt;a href="https://rzp.io/l/DeutschInTandem" target="_blank"&gt;&lt;br&gt;&lt;/a&gt;&lt;/p&gt;</t>
  </si>
  <si>
    <t>https://payment.likeminds.community/?plan_id=b52d2ca3-0296-40cf-8193-7db3d0a3612c</t>
  </si>
  <si>
    <t>https://payment.likeminds.community/?plan_id=da5caff3-ccec-497a-977f-d119aec13f6c</t>
  </si>
  <si>
    <t>https://payment.likeminds.community/?plan_id=8c27702d-8bf0-4b9f-8b78-ccd78393fb3b</t>
  </si>
  <si>
    <t>Steps Towards Crafting</t>
  </si>
  <si>
    <t>&lt;h4&gt;FOR WOMEN ENTREPRENEURS WHO WANT TO PROMOTE AND GROW THEIR BRAND&lt;/h4&gt;&lt;p&gt;‍&lt;/p&gt;&lt;ul&gt;&lt;li&gt;Access to Facebook live for business promotion at Thane Super Moms with 5k members&lt;/li&gt;&lt;li&gt;1 post thrice a week on TSM Facebook group for business promotion&lt;/li&gt;&lt;li&gt;Verified tag for sellers&lt;/li&gt;&lt;li&gt;Unlimited access to interactive AMA sessions&lt;/li&gt;&lt;li&gt;Free access to workshops taken by experts on digital marketing, sales, social media marketing, etc&lt;/li&gt;&lt;li&gt;Chance to win exclusive goodies from free access to brand events&lt;/li&gt;&lt;li&gt;Access to premium women entrepreneur circle&lt;/li&gt;&lt;/ul&gt;&lt;h6&gt;*This is a WOMEN ONLY community&lt;/h6&gt;</t>
  </si>
  <si>
    <t>https://payment.likeminds.community/?plan_id=4bbefc23-a9b8-468f-97d6-f15f754719f9</t>
  </si>
  <si>
    <t>&lt;h4&gt;FOR WOMEN ENTREPRENEURS WHO WANT TO PROMOTE AND GROW THEIR BRAND&lt;/h4&gt;&lt;p&gt;‍&lt;/p&gt;&lt;ul&gt;&lt;li&gt;Access to Facebook live for business promotion at Thane Super Moms with 5k members&lt;/li&gt;&lt;li&gt;2 posts 4 days a week on TSM Facebook group for business promotion&lt;/li&gt;&lt;li&gt;Verified tag for sellers&lt;/li&gt;&lt;li&gt;Unlimited access to interactive AMA sessions&lt;/li&gt;&lt;li&gt;Free access to workshops taken by experts on digital marketing, sales, social media marketing, etc&lt;/li&gt;&lt;li&gt;Chance to win exclusive goodies from free access to brand events&lt;/li&gt;&lt;li&gt;Access to premium women entrepreneur circle&lt;/li&gt;&lt;/ul&gt;&lt;h6&gt;*This is a WOMEN ONLY community&lt;a href="https://rzp.io/l/DeutschInTandem" target="_blank"&gt;&lt;br&gt;&lt;/a&gt;&lt;/h6&gt;</t>
  </si>
  <si>
    <t>https://payment.likeminds.community/?plan_id=272aef04-e86f-4ccf-8dbd-fd14a9adf72d</t>
  </si>
  <si>
    <t>&lt;h4&gt;FOR WOMEN ENTREPRENEURS WHO WANT TO PROMOTE AND GROW THEIR BRAND&lt;/h4&gt;&lt;p&gt;‍&lt;/p&gt;&lt;ul&gt;&lt;li&gt;Access to Facebook live for business promotion at Thane Super Moms with 5k members&lt;/li&gt;&lt;li&gt;2 posts daily on TSM Facebook group for business promotion&lt;/li&gt;&lt;li&gt;Verified tag for sellers&lt;/li&gt;&lt;li&gt;Unlimited access to interactive AMA sessions&lt;/li&gt;&lt;li&gt;Free access to workshops taken by experts on digital marketing, sales, social media marketing, etc&lt;/li&gt;&lt;li&gt;Chance to win exclusive goodies from free access to brand events&lt;/li&gt;&lt;li&gt;Access to premium women entrepreneur circle&lt;/li&gt;&lt;/ul&gt;&lt;p&gt;‍&lt;/p&gt;&lt;h6&gt;*This is a WOMEN ONLY community&lt;a href="https://rzp.io/l/DeutschInTandem" target="_blank"&gt;&lt;br&gt;&lt;/a&gt;&lt;/h6&gt;</t>
  </si>
  <si>
    <t>https://payment.likeminds.community/?plan_id=3f27f594-c1b4-4984-8fe2-67a909b7bc22</t>
  </si>
  <si>
    <t>&lt;p&gt;&lt;strong&gt;FOR BUYERS AND ASPIRING ENTREPRENEURS&lt;/strong&gt;&lt;/p&gt;&lt;p&gt;‍&lt;/p&gt;&lt;ul&gt;&lt;li&gt;Direct access to verified sellers&lt;/li&gt;&lt;li&gt;10% discount on products&lt;/li&gt;&lt;li&gt;Access to premium women entrepreneur circle &lt;/li&gt;&lt;li&gt;Access to a learning platform if you are an aspiring entrepreneur&lt;/li&gt;&lt;/ul&gt;&lt;p&gt;‍&lt;/p&gt;&lt;p&gt;‍&lt;/p&gt;&lt;p&gt;‍&lt;/p&gt;&lt;p&gt;‍&lt;/p&gt;&lt;p&gt;&lt;strong&gt;*This is a WOMEN ONLY community&lt;/strong&gt;&lt;/p&gt;</t>
  </si>
  <si>
    <t>https://payment.likeminds.community/?plan_id=f68e055d-be47-4d8e-9156-7c13056a1f3b</t>
  </si>
  <si>
    <t>The Alt Living</t>
  </si>
  <si>
    <t>&lt;p&gt;"90 days journey to explore and adopt a more conscious lifestyle"&lt;/p&gt;&lt;p&gt;We all are used to certain habits/ routines/behaviours and making any change to them is an overwhelming task. &lt;/p&gt;&lt;p&gt;This membership is for individuals who have readiness to explore what is beyond the obvious. &lt;/p&gt;&lt;p&gt;It is for individuals who are concerned about planet and people health but think that &lt;/p&gt;&lt;p&gt;somebody else is going to save it - well our intentional actions will save it!&lt;/p&gt;&lt;p&gt;Things you can expect&lt;/p&gt;&lt;ul&gt;&lt;li&gt;Conscious approach to change&lt;/li&gt;&lt;li&gt;Information about conscious brands&lt;/li&gt;&lt;li&gt;Fun challenges&lt;/li&gt;&lt;/ul&gt;&lt;p&gt;‍&lt;a href="https://rzp.io/l/DeutschInTandem" target="_blank"&gt;&lt;br&gt;&lt;/a&gt;&lt;/p&gt;</t>
  </si>
  <si>
    <t>https://payment.likeminds.community/?plan_id=5651f7ac-94fb-40b2-b9ca-1ab3c66b83ab</t>
  </si>
  <si>
    <t>&lt;p&gt;“Convert your idea into an offering in 30 days”&lt;/p&gt;&lt;p&gt;In the world we need more conscious businesses but how to achieve that remains a mystery. &lt;/p&gt;&lt;p&gt;Join this community to convert your idea into a product/service/course in 30 days.&lt;/p&gt;&lt;p&gt;Things that you can expect&lt;/p&gt;&lt;ul&gt;&lt;li&gt;Prototyping your idea&lt;/li&gt;&lt;li&gt;Access to eco-conscious network&lt;/li&gt;&lt;li&gt;Research and Communication support&lt;/li&gt;&lt;/ul&gt;&lt;p&gt;‍&lt;/p&gt;&lt;p&gt;‍&lt;/p&gt;&lt;p&gt;‍&lt;/p&gt;&lt;p&gt;‍&lt;/p&gt;</t>
  </si>
  <si>
    <t>https://payment.likeminds.community/?plan_id=1d4a381a-541f-43e1-9ea6-94a9579918a9</t>
  </si>
  <si>
    <t>&lt;ul&gt;&lt;li&gt;Identify Yourself&lt;/li&gt;&lt;li&gt;Redesign your life: We will work together to design a life for you through life-by-design principles.&lt;/li&gt;&lt;li&gt;Find your Tribe and grow with them fearlessly&lt;/li&gt;&lt;li&gt;Plan of action Rebranding&lt;/li&gt;&lt;li&gt;Attend weekly sessions every Wednesday to discover your inner self through Meditation + Group coaching experiences.&lt;/li&gt;&lt;/ul&gt;&lt;p&gt;‍&lt;/p&gt;&lt;p&gt;&lt;a href="https://rzp.io/l/DeutschInTandem" target="_blank"&gt;&lt;br&gt;&lt;/a&gt;&lt;/p&gt;</t>
  </si>
  <si>
    <t>https://payment.likeminds.community/?plan_id=4b5c5b56-3452-4f08-89b0-10b8297602de</t>
  </si>
  <si>
    <t>&lt;ul&gt;&lt;li&gt;Identify Yourself&lt;/li&gt;&lt;li&gt;Redesign your life: We will work together to design a life for you through life-by-design principles.&lt;/li&gt;&lt;li&gt;Find your Tribe and grow with them fearlessly&lt;/li&gt;&lt;li&gt;Plan of action Rebranding&lt;/li&gt;&lt;li&gt;Attend weekly sessions every Wednesday to discover your inner self through Meditation + Group coaching experiences.&lt;/li&gt;&lt;li&gt;Monthly personal coaching twice a week by Life Coach Shilka&lt;/li&gt;&lt;/ul&gt;&lt;p&gt;&lt;a href="https://rzp.io/l/DeutschInTandem" target="_blank"&gt;&lt;br&gt;&lt;/a&gt;&lt;/p&gt;</t>
  </si>
  <si>
    <t>https://payment.likeminds.community/?plan_id=62da586b-2756-4bdd-95e3-e49ea9a1874c</t>
  </si>
  <si>
    <t>&lt;ul&gt;&lt;li&gt;Identify Yourself&lt;/li&gt;&lt;li&gt;Redesign your life: We will work together to design a life for you through life-by-design principles&lt;/li&gt;&lt;li&gt;Find your Tribe and grow with them fearlessly&lt;/li&gt;&lt;li&gt;Plan of action Rebranding&lt;/li&gt;&lt;li&gt;Attend weekly sessions every Wednesday to discover your inner self through Meditation + Group coaching experiences&lt;/li&gt;&lt;li&gt;Monthly personal coaching twice a week by Life Coach Shilka&lt;/li&gt;&lt;li&gt;Access to all paid workshops by coach Shilka for free for the membership period&lt;/li&gt;&lt;/ul&gt;&lt;p&gt;&lt;a href="https://rzp.io/l/DeutschInTandem" target="_blank"&gt;&lt;br&gt;&lt;/a&gt;&lt;/p&gt;</t>
  </si>
  <si>
    <t>https://payment.likeminds.community/?plan_id=84b9bc0f-fd22-43bc-a705-0bdc1dd406ec</t>
  </si>
  <si>
    <t>&lt;ul&gt;&lt;li&gt;Involve in self help programs by The Man Makeover to enhance your dating life&lt;/li&gt;&lt;li&gt;Get tips on building healthy interpersonal relationships&lt;/li&gt;&lt;li&gt;Resolve your conflicts and give your relationships a new perspective &lt;/li&gt;&lt;li&gt;Get access to weekly podcasts by our manager on how to solve conflicts, master relationship coaching, etc.&lt;/li&gt;&lt;li&gt;Attend live interactive sessions with IIT-graduate mentor Akash&lt;a href="https://rzp.io/l/DeutschInTandem" target="_blank"&gt;&lt;br&gt;&lt;/a&gt;&lt;/li&gt;&lt;/ul&gt;</t>
  </si>
  <si>
    <t>https://payment.likeminds.community/?plan_id=plan_H4kFzgCcclntAw</t>
  </si>
  <si>
    <t>&lt;ul&gt;&lt;li&gt;Involve in self help programs by The Man Makeover to enhance your dating life&lt;/li&gt;&lt;li&gt;Get tips on building healthy interpersonal relationships&lt;/li&gt;&lt;li&gt;Resolve your conflicts and give your relationships a new perspective &lt;/li&gt;&lt;li&gt;Get access to weekly podcasts by our manager on how to solve conflicts, master relationship coaching, etc.&lt;/li&gt;&lt;li&gt;Attend live interactive sessions with IIT-graduate mentor Akash&lt;/li&gt;&lt;/ul&gt;&lt;p&gt;&lt;a href="https://rzp.io/l/DeutschInTandem" target="_blank"&gt;&lt;br&gt;&lt;/a&gt;&lt;/p&gt;</t>
  </si>
  <si>
    <t>https://payment.likeminds.community/?plan_id=plan_H4kG0C2QIuhZo3</t>
  </si>
  <si>
    <t>https://payment.likeminds.community/?plan_id=plan_H4kG0imBXxPcGc</t>
  </si>
  <si>
    <t>&lt;ul&gt;&lt;li&gt;Support Group Meets &amp;amp; Psychoeducation&lt;/li&gt;&lt;li&gt;Interactive Sessions&lt;/li&gt;&lt;li&gt;Mental Health Expert Sessions&lt;/li&gt;&lt;li&gt;Learn Healthy Coping Skills&lt;/li&gt;&lt;/ul&gt;</t>
  </si>
  <si>
    <t>https://payment.likeminds.community/?plan_id=ce3ec740-f643-4376-a8be-0f069c45471a</t>
  </si>
  <si>
    <t>&lt;ul&gt;&lt;li&gt;Support Group Meets &amp;amp; Psychoeducation&lt;/li&gt;&lt;li&gt;Interactive Sessions&lt;/li&gt;&lt;li&gt;Mental Health Expert Sessions&lt;/li&gt;&lt;li&gt;Learn Healthy Coping Skills&lt;/li&gt;&lt;/ul&gt;&lt;p&gt;&lt;a href="https://rzp.io/l/DeutschInTandem" target="_blank"&gt;&lt;br&gt;&lt;/a&gt;&lt;/p&gt;</t>
  </si>
  <si>
    <t>https://payment.likeminds.community/?plan_id=758a7bd2-84ba-4d63-b5da-579034c1f581</t>
  </si>
  <si>
    <t>https://payment.likeminds.community/?plan_id=0cafb29e-b200-4c88-8d57-56839bf734d3</t>
  </si>
  <si>
    <t>&lt;ul&gt;&lt;li&gt;Soft&amp;nbsp;&amp;amp; Hard Skills&lt;/li&gt;&lt;li&gt;Better Jobs&lt;/li&gt;&lt;li&gt;Knowledge Updates&lt;/li&gt;&lt;li&gt;Improved Experience &lt;a href="https://rzp.io/l/DeutschInTandem" target="_blank"&gt;&lt;br&gt;&lt;/a&gt;&lt;/li&gt;&lt;/ul&gt;</t>
  </si>
  <si>
    <t>https://payment.likeminds.community/?plan_id=plan_H4kG1FqgX7YfkQ</t>
  </si>
  <si>
    <t>&lt;ul&gt;&lt;li&gt;Soft&amp;nbsp;&amp;amp; Hard Skills&lt;/li&gt;&lt;li&gt;Better Jobs&lt;/li&gt;&lt;li&gt;Knowledge Updates&lt;/li&gt;&lt;li&gt;Improved Experience&lt;a href="https://rzp.io/l/DeutschInTandem" target="_blank"&gt;&lt;br&gt;&lt;/a&gt;&lt;/li&gt;&lt;/ul&gt;</t>
  </si>
  <si>
    <t>https://payment.likeminds.community/?plan_id=plan_H4kG1lg6G3AL9c</t>
  </si>
  <si>
    <t>https://payment.likeminds.community/?plan_id=plan_H4kG2IXldKMhhJ</t>
  </si>
  <si>
    <t>&lt;ul&gt;&lt;li&gt;&lt;strong&gt;Get an eBook on how to be a reality show star worth ₹5000 absolutely free on subscription before 25th June 2021! Hurry limited time offer only!&lt;/strong&gt;&lt;/li&gt;&lt;li&gt;You get to feature and interact with Pooja Misra on an Instagram live&lt;/li&gt;&lt;li&gt;You get one shout out video from Pooja Misra for your special occasion (birthday, anniversary etc.) &lt;/li&gt;&lt;li&gt;You get Pooja Misra's viral meme "Pooja what is this behavior?" merchandise at 10% off&lt;/li&gt;&lt;li&gt;Mentorship -You get a masterclass on how you can be a reality show star! &lt;/li&gt;&lt;li&gt;Mentorship -You get a masterclass on how to go viral and become a social media star! &lt;/li&gt;&lt;li&gt;Interactive AMA sessions&lt;/li&gt;&lt;li&gt;Network within the community and progress with collaboration by being a part of networking events especially curated for the community&lt;/li&gt;&lt;li&gt;Get access to screening of original content produced by Pooja Misra Production&lt;/li&gt;&lt;/ul&gt;&lt;p&gt;&lt;strong&gt;Book a free consultation call with Pooja for the first 15 members only (Hurry! Limited slots) - &lt;/strong&gt;&lt;a href="https://calendly.com/poojamisra/15min"&gt;https://calendly.com/poojamisra/15min&lt;/a&gt;&lt;/p&gt;&lt;p&gt;‍&lt;/p&gt;&lt;p&gt;‍&lt;/p&gt;&lt;p&gt;‍&lt;/p&gt;&lt;p&gt;‍&lt;/p&gt;&lt;p&gt;‍&lt;/p&gt;&lt;p&gt;‍&lt;/p&gt;&lt;p&gt;‍&lt;/p&gt;&lt;p&gt;‍&lt;/p&gt;&lt;p&gt;&lt;a href="https://rzp.io/l/DeutschInTandem" target="_blank"&gt;&lt;br&gt;&lt;/a&gt;&lt;/p&gt;</t>
  </si>
  <si>
    <t>https://payment.likeminds.community/?plan_id=5bc0a001-9160-405f-b365-228272631e0e</t>
  </si>
  <si>
    <t>&lt;ul&gt;&lt;li&gt;&lt;strong&gt;Get an eBook on how to be a reality show star worth ₹5000 absolutely free on subscription before 25th June 2021! Hurry limited time offer only!&lt;/strong&gt;&lt;/li&gt;&lt;li&gt;You get to feature and interact with Pooja Misra on an Instagram live&lt;/li&gt;&lt;li&gt;You get one shout out video from Pooja Misra for your special occasion (birthday, anniversary etc.) &lt;/li&gt;&lt;li&gt;You get Pooja Misra's viral meme "Pooja what is this behavior?" merchandise at 10% off&lt;/li&gt;&lt;li&gt;Mentorship- You get a masterclass on how you can be a reality show star! &lt;/li&gt;&lt;li&gt;Interactive AMA sessions&lt;/li&gt;&lt;li&gt;Network within the community and progress with collaboration by being part of networking events especially curated for the community&lt;/li&gt;&lt;li&gt;Mentorship-You get a masterclass &amp;nbsp;on how you can be a viral social media star!&lt;/li&gt;&lt;li&gt;Mentorship-You get a masterclass on how to click your portfolio from your mobile phone as well as how to video audition on your mobile like a pro&lt;/li&gt;&lt;li&gt;Your portfolio and video audition will be splashed all over Pooja Misra's social media.&lt;/li&gt;&lt;li&gt;Get access to screening of original content produced by Pooja Misra Production&lt;/li&gt;&lt;/ul&gt;&lt;p&gt;&lt;strong&gt;THE BIG WHOPPER! &lt;/strong&gt;&lt;br&gt;After 3 Months of being a part of the community you get free access to participate in Pooja Misra Productions reality show, "Spare me the crab mentality! "&lt;br&gt;Your place on the show will be confirmed! No questions asked!&lt;/p&gt;&lt;p&gt;The first episode of Spare me the crab mentality! -&lt;a href="https://youtu.be/or3pWBDloFk"&gt; https://youtu.be/or3pWBDloFk&lt;/a&gt;&lt;/p&gt;&lt;p&gt;&lt;strong&gt;Book a free consultation call with Pooja for the first 15 members only (Hurry! Limited slots) - &lt;/strong&gt;&lt;a href="https://calendly.com/poojamisra/15min"&gt;https://calendly.com/poojamisra/15min&lt;/a&gt;‍&lt;a href="https://rzp.io/l/DeutschInTandem" target="_blank"&gt;&lt;br&gt;&lt;/a&gt;&lt;/p&gt;</t>
  </si>
  <si>
    <t>https://payment.likeminds.community/?plan_id=a5173771-cac1-4f75-b929-ad20c9b3d02d</t>
  </si>
  <si>
    <t>Uva Fit</t>
  </si>
  <si>
    <t>&lt;ul&gt;&lt;li&gt;Attend topic based discussions around meditation &amp;amp; fitness&lt;/li&gt;&lt;li&gt;Get a chance to collaborate with other community members to enhance your fitness journey&lt;/li&gt;&lt;li&gt;Attend weekly engaging events&lt;/li&gt;&lt;li&gt;Get to be a part of UVA virtual classes&lt;/li&gt;&lt;/ul&gt;&lt;p&gt;&lt;a href="https://rzp.io/l/DeutschInTandem" target="_blank"&gt;&lt;br&gt;&lt;/a&gt;&lt;/p&gt;</t>
  </si>
  <si>
    <t>https://payment.likeminds.community/?plan_id=cd545798-7334-40e6-a306-60f6f76466e2</t>
  </si>
  <si>
    <t>https://payment.likeminds.community/?plan_id=b201968b-cc08-4ed8-ab11-4e44c177a0c0</t>
  </si>
  <si>
    <t>https://payment.likeminds.community/?plan_id=3dd08c7a-002e-4c7f-8b61-58b3622b4fd2</t>
  </si>
  <si>
    <t>Xylem</t>
  </si>
  <si>
    <t>&lt;ul&gt;&lt;li&gt;Connect with Buyers and Sellers&lt;/li&gt;&lt;li&gt;Unlimited Access to Global Market&lt;/li&gt;&lt;li&gt;Trusted Platform&lt;/li&gt;&lt;li&gt;Exclusive Chat Rooms&lt;/li&gt;&lt;/ul&gt;&lt;p&gt;&lt;a href="https://rzp.io/l/DeutschInTandem" target="_blank"&gt;&lt;br&gt;&lt;/a&gt;&lt;/p&gt;</t>
  </si>
  <si>
    <t>https://payment.likeminds.community/?plan_id=a2fd6def-0199-4029-bc6c-86110605120d</t>
  </si>
  <si>
    <t>&lt;ul&gt;&lt;li&gt;Connect with Buyers and Sellers&lt;/li&gt;&lt;li&gt;Unlimited Access to Global Market&lt;/li&gt;&lt;li&gt;Trusted Platform&lt;/li&gt;&lt;li&gt;Exclusive Chat Rooms&lt;a href="https://rzp.io/l/DeutschInTandem" target="_blank"&gt;&lt;br&gt;&lt;/a&gt;&lt;/li&gt;&lt;/ul&gt;</t>
  </si>
  <si>
    <t>https://payment.likeminds.community/?plan_id=11d2f487-7483-4e03-83dd-a067864d7fc7</t>
  </si>
  <si>
    <t>&lt;ul&gt;&lt;li&gt;Connect with Buyers and Sellers&lt;/li&gt;&lt;li&gt;Unlimited Access to Global Market&lt;/li&gt;&lt;li&gt;Trusted Platform&lt;/li&gt;&lt;li&gt;Exclusive Chat Rooms&lt;/li&gt;&lt;/ul&gt;&lt;p&gt;‍&lt;/p&gt;</t>
  </si>
  <si>
    <t>https://payment.likeminds.community/?plan_id=99e28e89-d557-4b59-aa00-2b02a5cd2163</t>
  </si>
  <si>
    <t>Yoga by Amruta</t>
  </si>
  <si>
    <t>&lt;ul&gt;&lt;li&gt;Weekly live class on Google meet to discuss topics like health issue, stress management&lt;/li&gt;&lt;li&gt;Monthly questionnaire session to resolve your queries regarding mental and physical health&lt;/li&gt;&lt;li&gt;Monthly experience sharing session on google meet&lt;/li&gt;&lt;li&gt;Weekly live class &amp;nbsp;for yoga Nidra session&lt;/li&gt;&lt;li&gt;Yoga &amp;amp; Pranayama sessions for stress management ,relaxation and anxiety management.&lt;/li&gt;&lt;/ul&gt;&lt;p&gt;&lt;a href="https://rzp.io/l/DeutschInTandem" target="_blank"&gt;&lt;br&gt;&lt;/a&gt;&lt;/p&gt;</t>
  </si>
  <si>
    <t>https://payment.likeminds.community/?plan_id=a884d191-1650-48c3-8efd-8d632b29e644</t>
  </si>
  <si>
    <t>&lt;ul&gt;&lt;li&gt;Weekly live class on Google meet to discuss topics like health issue, stress management&lt;/li&gt;&lt;li&gt;Monthly questionnaire session to resolve your queries regarding mental and physical health&lt;/li&gt;&lt;li&gt;Monthly experience sharing session on google meet&lt;/li&gt;&lt;li&gt;Weekly live class &amp;nbsp;for yoga Nidra session&lt;/li&gt;&lt;li&gt;Yoga &amp;amp; Pranayama sessions for stress management ,relaxation and anxiety management.&lt;/li&gt;&lt;/ul&gt;&lt;p&gt;&lt;a href="https://rzp.io/l/DeutschInTandem" target="_blank"&gt;&lt;br&gt;&lt;/a&gt;&lt;/p&gt;&lt;p&gt;&lt;a href="https://rzp.io/l/DeutschInTandem" target="_blank"&gt;&lt;br&gt;&lt;/a&gt;&lt;/p&gt;</t>
  </si>
  <si>
    <t>https://payment.likeminds.community/?plan_id=367b21db-e489-402e-9184-9d6c2fedb2bf</t>
  </si>
  <si>
    <t>https://payment.likeminds.community/?plan_id=8479833b-7dc6-4275-83c9-90db07e50722</t>
  </si>
  <si>
    <t>&lt;ul&gt;&lt;li&gt;Regular sharing of various scientific researches being done on various yoga practices from modern science perspective&lt;/li&gt;&lt;li&gt;Recommendations on books, workshops, courses, etc.&lt;/li&gt;&lt;li&gt;Hear it directly from people practising yoga on its benefits &amp;amp; improvement on self &lt;/li&gt;&lt;li&gt;1 hour personal session worth ₹499&lt;/li&gt;&lt;li&gt;1 hour recorded classes- 3 every week&lt;/li&gt;&lt;/ul&gt;&lt;p&gt;‍&lt;/p&gt;&lt;p&gt;‍&lt;/p&gt;&lt;p&gt;‍&lt;/p&gt;&lt;p&gt;‍&lt;a href="https://rzp.io/l/DeutschInTandem" target="_blank"&gt;&lt;br&gt;&lt;/a&gt;&lt;/p&gt;</t>
  </si>
  <si>
    <t>https://payment.likeminds.community/?plan_id=4d7b997b-7f4c-44b0-967e-b4e91fa8fd69</t>
  </si>
  <si>
    <t>&lt;ul&gt;&lt;li&gt;Regular sharing of various scientific researches being done on various yoga practices from modern science perspective&lt;/li&gt;&lt;li&gt;Recommendations on books, workshops, courses, etc.&lt;/li&gt;&lt;li&gt;Hear it directly from people practising yoga on its benefits &amp;amp; improvement on self &lt;/li&gt;&lt;li&gt;2 one hour personal session worth ₹499 each (total ₹998)&lt;/li&gt;&lt;li&gt;1 hour recorded classes- 5 every week&lt;/li&gt;&lt;li&gt;Yogic diet recorded class&lt;/li&gt;&lt;/ul&gt;&lt;p&gt;‍&lt;/p&gt;&lt;p&gt;‍&lt;/p&gt;&lt;p&gt;‍&lt;a href="https://rzp.io/l/DeutschInTandem" target="_blank"&gt;&lt;br&gt;&lt;/a&gt;&lt;/p&gt;</t>
  </si>
  <si>
    <t>https://payment.likeminds.community/?plan_id=61448f78-7bfc-41cc-b681-5b1d3da79d8d</t>
  </si>
  <si>
    <t>&lt;ul&gt;&lt;li&gt;Regular sharing of various scientific researches being done on various yoga practices from modern science perspective&lt;/li&gt;&lt;li&gt;Recommendations on books, workshops, courses, etc.&lt;/li&gt;&lt;li&gt;Hear it directly from people practising yoga on its benefits &amp;amp; improvement on self &lt;/li&gt;&lt;li&gt;3 one hour personal session worth ₹499 each (total ₹1497)&lt;/li&gt;&lt;li&gt;1 hour recorded classes- 5 every week&lt;/li&gt;&lt;li&gt;Yogic diet recorded class&lt;/li&gt;&lt;li&gt;Personalised yogic diet plan&lt;/li&gt;&lt;li&gt;3 recorded classes of 2 hours each for Mothers (including the topics diabetes, BP issues, back pain, knee pain, joints pain, asthma, thyroid, menopause) &lt;/li&gt;&lt;li&gt;All 1-day workshops being organised throughout the month&lt;a href="https://rzp.io/l/DeutschInTandem" target="_blank"&gt;&lt;br&gt;&lt;/a&gt;&lt;/li&gt;&lt;/ul&gt;</t>
  </si>
  <si>
    <t>https://payment.likeminds.community/?plan_id=746e7fa4-2d0e-4251-9709-1686898e2287</t>
  </si>
  <si>
    <t>Your Body Image Coach</t>
  </si>
  <si>
    <t>&lt;ul&gt;&lt;li&gt;45 minutes session twice a week&lt;/li&gt;&lt;li&gt;Discussion sessions provided with the checklists and other material&lt;/li&gt;&lt;li&gt;Question/ Answers, query special session included, keeping all the personal things confidential&lt;/li&gt;&lt;li&gt;Regular sharing of exercises/ material that would help one understand and clarify better&lt;/li&gt;&lt;li&gt;Special “Brainstorming session” included&lt;/li&gt;&lt;/ul&gt;&lt;p&gt;‍&lt;/p&gt;&lt;p&gt;‍&lt;/p&gt;&lt;p&gt;‍&lt;/p&gt;</t>
  </si>
  <si>
    <t>https://payment.likeminds.community/?plan_id=6f0f50bd-220b-4299-a529-d40e539d8989</t>
  </si>
  <si>
    <t>&lt;ul&gt;&lt;li&gt;One on One sessions twice a week for 45 minutes each&lt;/li&gt;&lt;li&gt;Program would be covering health, diet and the motivation to get started&lt;/li&gt;&lt;li&gt;Will train your mindset in a way to take the right actions&lt;/li&gt;&lt;li&gt;Regular sharing of several researches and ways on how one can improve better on their health&lt;/li&gt;&lt;li&gt;Question/Answers special session included&lt;a href="https://rzp.io/l/DeutschInTandem" target="_blank"&gt;‍&lt;/a&gt;&lt;/li&gt;&lt;/ul&gt;&lt;p&gt;‍&lt;/p&gt;&lt;p&gt;‍&lt;a href="https://rzp.io/l/DeutschInTandem" target="_blank"&gt;&lt;br&gt;&lt;/a&gt;&lt;/p&gt;</t>
  </si>
  <si>
    <t>https://payment.likeminds.community/?plan_id=51e17d0c-57fc-44d3-88e2-03f748fcff34</t>
  </si>
  <si>
    <t>&lt;ul&gt;&lt;li&gt;One on One sessions twice a week&lt;/li&gt;&lt;li&gt;Program would be covering aspects of body image, emphasizing on ways to build your body confidence&lt;/li&gt;&lt;li&gt;Mindfulness and Body Image improvement brainstorming sessions&lt;/li&gt;&lt;li&gt;Action plan designed and delivered to take the right action&lt;/li&gt;&lt;li&gt;Personalized brainstorming sessions that helps build a confidence across “social, emotional, spiritual ,physical, cultural” aspects&lt;/li&gt;&lt;/ul&gt;&lt;p&gt;&lt;a href="https://rzp.io/l/DeutschInTandem" target="_blank"&gt;&lt;br&gt;&lt;/a&gt;&lt;/p&gt;</t>
  </si>
  <si>
    <t>https://payment.likeminds.community/?plan_id=a365c127-88d4-4638-8072-5daa9091b058</t>
  </si>
  <si>
    <t>&lt;ul&gt;&lt;li&gt;Comprehensive courses&lt;/li&gt;&lt;li&gt;Interactive live sessions&lt;/li&gt;&lt;li&gt;Written notes &amp;amp; digital certification&lt;/li&gt;&lt;li&gt;Phone support for lifetime&lt;a href="https://rzp.io/l/DeutschInTandem" target="_blank"&gt;&lt;br&gt;&lt;/a&gt;&lt;/li&gt;&lt;/ul&gt;</t>
  </si>
  <si>
    <t>https://payment.likeminds.community/?plan_id=c356e368-8f8c-4335-a99b-db9a7f442766</t>
  </si>
  <si>
    <t>https://payment.likeminds.community/?plan_id=2603af82-0c8b-460f-a894-63c4dc3ef84f</t>
  </si>
  <si>
    <t>https://payment.likeminds.community/?plan_id=dd789958-c14f-4ebe-a1f0-494aad4b3a8a</t>
  </si>
  <si>
    <t>https://payment.likeminds.community/?plan_id=1337645f-c4c9-4dca-9db7-a2c1b4cf5f4e</t>
  </si>
  <si>
    <t>https://payment.likeminds.community/?plan_id=6f54b328-65a4-4fc5-810f-0e2a95371f10</t>
  </si>
  <si>
    <t>https://payment.likeminds.community/?plan_id=f8ccf1cf-77a7-477a-a787-2cb1282fbd7a</t>
  </si>
  <si>
    <t>https://payment.likeminds.community/?plan_id=1e2be6ce-ad95-4d70-b469-a21b978acdac</t>
  </si>
  <si>
    <t>https://payment.likeminds.community/?plan_id=7e56e299-521e-4f71-a294-786bd5290228</t>
  </si>
  <si>
    <t>https://payment.likeminds.community/?plan_id=ca4c54e2-9678-4f6f-b5b3-04dd8badb9b9</t>
  </si>
  <si>
    <t>https://payment.likeminds.community/?plan_id=d155a70b-73f3-4559-91ab-26e9773217d4</t>
  </si>
  <si>
    <t>https://payment.likeminds.community/?plan_id=a59a3997-f17a-436a-bafc-88324f5b38a5</t>
  </si>
  <si>
    <t>https://payment.likeminds.community/?plan_id=6ec264d4-e126-4a14-b22b-3ccdba7b2266</t>
  </si>
  <si>
    <t>https://payment.likeminds.community/?plan_id=e453e70d-e5d8-4dd0-ae1f-8672a8c76f38</t>
  </si>
  <si>
    <t>https://payment.likeminds.community/?plan_id=efc6e8e1-7642-446f-aee4-5da809d71fe3</t>
  </si>
  <si>
    <t>https://payment.likeminds.community/?plan_id=6d024dc5-5310-4be8-b8ca-6d08c8ed5622</t>
  </si>
  <si>
    <t>https://payment.likeminds.community/?plan_id=a52fc0b5-b112-4eb3-95a6-44c1e3926997</t>
  </si>
  <si>
    <t>https://payment.likeminds.community/?plan_id=b7793a80-5b2b-4324-b607-15cd6f22f060</t>
  </si>
  <si>
    <t>https://payment.likeminds.community/?plan_id=a87a94ac-6b7c-4b7e-85f3-7f0ef22f3eda</t>
  </si>
  <si>
    <t>https://payment.likeminds.community/?plan_id=3e824f43-ff71-4d36-b65d-0864cbb69e70</t>
  </si>
  <si>
    <t>https://payment.likeminds.community/?plan_id=d5aa1d0f-7502-4ad3-bf9e-e38164cbb052</t>
  </si>
  <si>
    <t>https://payment.likeminds.community/?plan_id=ddcb2153-3011-425d-b6f7-5536fb015100</t>
  </si>
  <si>
    <t>https://payment.likeminds.community/?plan_id=ea2cbecf-aa39-4874-afd0-ae6f71a44d48</t>
  </si>
  <si>
    <t>https://payment.likeminds.community/?plan_id=16f0bf25-2a3b-4184-87e2-5ac336158205</t>
  </si>
  <si>
    <t>https://payment.likeminds.community/?plan_id=fa00b372-ab58-4a8e-8710-09570a56d4bc</t>
  </si>
  <si>
    <t>https://payment.likeminds.community/?plan_id=048cd888-bedb-4b7a-823b-4f261becb56b</t>
  </si>
  <si>
    <t>https://payment.likeminds.community/?plan_id=plan_H4kFEmPHWRFw7t</t>
  </si>
  <si>
    <t>https://payment.likeminds.community/?plan_id=plan_H4kFFITH5oEJsa</t>
  </si>
  <si>
    <t>https://payment.likeminds.community/?plan_id=plan_H4kFFqkoIkGxaX</t>
  </si>
  <si>
    <t>https://payment.likeminds.community/?plan_id=74c6c102-cc19-4754-b536-ae6ef88a8031</t>
  </si>
  <si>
    <t>https://payment.likeminds.community/?plan_id=d60ac2b2-db16-47a9-a616-e786202a9a01</t>
  </si>
  <si>
    <t>https://payment.likeminds.community/?plan_id=7af1d6fa-b4b6-4fb3-adb4-3ad1861186c2</t>
  </si>
  <si>
    <t>https://payment.likeminds.community/?plan_id=plan_H4kFtBDqZ4QrE1</t>
  </si>
  <si>
    <t>https://payment.likeminds.community/?plan_id=plan_H4kG5gyJECmoar</t>
  </si>
  <si>
    <t>https://payment.likeminds.community/?plan_id=plan_H4kG6EwA9tIWbA</t>
  </si>
  <si>
    <t>https://payment.likeminds.community/?plan_id=plan_H4kG6o2hNcQXr4</t>
  </si>
  <si>
    <t>https://payment.likeminds.community/?plan_id=plan_H4kFef4uTMFGoa</t>
  </si>
  <si>
    <t>https://payment.likeminds.community/?plan_id=plan_H4kFfBmw58h0Lq</t>
  </si>
  <si>
    <t>https://payment.likeminds.community/?plan_id=plan_H4kFfj8zUAMFoM</t>
  </si>
  <si>
    <t>https://payment.likeminds.community/?plan_id=plan_H4kFYFK9sMZSEf</t>
  </si>
  <si>
    <t>https://payment.likeminds.community/?plan_id=plan_H4kFYmYUEc2lfI</t>
  </si>
  <si>
    <t>https://payment.likeminds.community/?plan_id=plan_H4kFZJ2YA8CXsy</t>
  </si>
  <si>
    <t>https://payment.likeminds.community/?plan_id=cc5ed6d0-b07a-49a9-b8fc-fbaa36377b74</t>
  </si>
  <si>
    <t>https://payment.likeminds.community/?plan_id=74ffdabd-87bb-4a2e-98d0-9448126b118e</t>
  </si>
  <si>
    <t>https://payment.likeminds.community/?plan_id=81ce98be-032a-4c8c-9238-a7064b1da365</t>
  </si>
  <si>
    <t>https://payment.likeminds.community/?plan_id=df2c83ac-3b42-4c86-a40a-95f4c3be0057</t>
  </si>
  <si>
    <t>https://payment.likeminds.community/?plan_id=95c4c1c7-a278-42aa-becf-a1e61af1b706</t>
  </si>
  <si>
    <t>https://payment.likeminds.community/?plan_id=plan_H4kFD7hUJbxGVf</t>
  </si>
  <si>
    <t>https://payment.likeminds.community/?plan_id=plan_H4kFDiOt0cSOzx</t>
  </si>
  <si>
    <t>https://payment.likeminds.community/?plan_id=plan_H4kFEHd0BcvS8u</t>
  </si>
  <si>
    <t>https://payment.likeminds.community/?plan_id=bef29130-b0bc-467e-91c1-2c676c36542f</t>
  </si>
  <si>
    <t>https://payment.likeminds.community/?plan_id=87e12a47-a734-4193-85ec-ae447d80e747</t>
  </si>
  <si>
    <t>https://payment.likeminds.community/?plan_id=eff2a223-e45f-44bc-bc90-570b8d3abbd9</t>
  </si>
  <si>
    <t>https://payment.likeminds.community/?plan_id=877954a5-b44b-4f9a-8337-29760b467573</t>
  </si>
  <si>
    <t>https://payment.likeminds.community/?plan_id=5ef4afd4-5eb5-42cc-8c1c-d9ed7907d11c</t>
  </si>
  <si>
    <t>https://payment.likeminds.community/?plan_id=003111c6-2771-4c5f-987d-84a3072c7d3e</t>
  </si>
  <si>
    <t>https://payment.likeminds.community/?plan_id=40c57f55-5bc8-4916-b022-f579135bcf02</t>
  </si>
  <si>
    <t>https://payment.likeminds.community/?plan_id=4479f19c-5f8b-4232-8597-ab572c963d8b</t>
  </si>
  <si>
    <t>https://payment.likeminds.community/?plan_id=41f0b0d0-5573-4fa6-909a-7e6afad9a12a</t>
  </si>
  <si>
    <t>https://payment.likeminds.community/?plan_id=f4a31747-f080-4e54-9a1a-485b47713465</t>
  </si>
  <si>
    <t>https://payment.likeminds.community/?plan_id=099e065c-f2cf-46f4-808a-30d7f271f71d</t>
  </si>
  <si>
    <t>https://payment.likeminds.community/?plan_id=f68eabb2-3799-4748-b0bc-a1a2381ca015</t>
  </si>
  <si>
    <t>https://payment.likeminds.community/?plan_id=b33360f2-cec6-427a-8f26-91a79b2ecb90</t>
  </si>
  <si>
    <t>https://payment.likeminds.community/?plan_id=plan_H4kFPtqEDc5Cxg</t>
  </si>
  <si>
    <t>Community_name</t>
  </si>
  <si>
    <t>Plan Name</t>
  </si>
  <si>
    <t>cost</t>
  </si>
  <si>
    <t>Plan_duration</t>
  </si>
  <si>
    <t>public link</t>
  </si>
  <si>
    <t>cm_email</t>
  </si>
  <si>
    <t>cb_email</t>
  </si>
  <si>
    <t>usd</t>
  </si>
  <si>
    <t>plan_H4kF5OKWFRWSli</t>
  </si>
  <si>
    <t>Monthly Membership</t>
  </si>
  <si>
    <t>https://collabmates.app.link/lZckKutq1eb</t>
  </si>
  <si>
    <t>gsahu1983@gmail.com</t>
  </si>
  <si>
    <t>tara.lanba@likeminds.community</t>
  </si>
  <si>
    <t>plan_H4kF5vzHNRvtbV</t>
  </si>
  <si>
    <t>Quarterly Membership</t>
  </si>
  <si>
    <t>plan_H4kF6i05pfq3ny</t>
  </si>
  <si>
    <t>Half Yearly Membership</t>
  </si>
  <si>
    <t>plan_H4kF7HSk3acYCt</t>
  </si>
  <si>
    <t>Artists Commercialisation</t>
  </si>
  <si>
    <t>https://collabmates.app.link/BGqiW9Sutfb</t>
  </si>
  <si>
    <t>kevinkartindavid@gmail.com</t>
  </si>
  <si>
    <t>plan_H4kF7pW95CrlLV</t>
  </si>
  <si>
    <t>https://collabmates.app.link/ygyUWrhYcfb</t>
  </si>
  <si>
    <t>supriya.mohite2008@gmail.com</t>
  </si>
  <si>
    <t>plan_H4kF8PeDb4Tvp5</t>
  </si>
  <si>
    <t>plan_H4kF8uSITeVMaM</t>
  </si>
  <si>
    <t>plan_H4kFBOdX0yFjv3</t>
  </si>
  <si>
    <t>https://collabmates.app.link/80b8gHUFrfb</t>
  </si>
  <si>
    <t>mbavooz@gmail.com</t>
  </si>
  <si>
    <t>kushagra.hatwal@likeminds.community</t>
  </si>
  <si>
    <t>plan_H4kFC012DgN1hJ</t>
  </si>
  <si>
    <t>plan_H4kFCZSeH05R1d</t>
  </si>
  <si>
    <t>plan_H4kFD7hUJbxGVf</t>
  </si>
  <si>
    <t>Business Advisory</t>
  </si>
  <si>
    <t>https://collabmates.app.link/cJQVhWAscfb</t>
  </si>
  <si>
    <t>iba.shiva@gmail.com</t>
  </si>
  <si>
    <t>plan_H4kFDiOt0cSOzx</t>
  </si>
  <si>
    <t>plan_H4kFEHd0BcvS8u</t>
  </si>
  <si>
    <t>plan_H4kFEmPHWRFw7t</t>
  </si>
  <si>
    <t>https://collabmates.app.link/E7JH1MZjZeb</t>
  </si>
  <si>
    <t>arpitad845@gmail.com</t>
  </si>
  <si>
    <t>plan_H4kFFITH5oEJsa</t>
  </si>
  <si>
    <t>plan_H4kFFqkoIkGxaX</t>
  </si>
  <si>
    <t>plan_H4kFGOsZoMsmWt</t>
  </si>
  <si>
    <t>https://collabmates.app.link/FvmmGRuGBfb</t>
  </si>
  <si>
    <t>sachin.s.pathak1998@gmail.com</t>
  </si>
  <si>
    <t>plan_H4kFHR7q34y3U6</t>
  </si>
  <si>
    <t>plan_H4kFGtlwnLF4MP</t>
  </si>
  <si>
    <t>plan_H4kFHyTs2oT0kR</t>
  </si>
  <si>
    <t>https://collabmates.app.link/anvnfUMkDdb</t>
  </si>
  <si>
    <t>sawini.kabi@gmail.com</t>
  </si>
  <si>
    <t>plan_H4kFIX67NSRMAS</t>
  </si>
  <si>
    <t>plan_H4kFJ8OJVqzzVi</t>
  </si>
  <si>
    <t>plan_H4kFJe0RkLmWl9</t>
  </si>
  <si>
    <t>https://collabmates.app.link/iQX5LdW92eb</t>
  </si>
  <si>
    <t>nishantdaybreak@gmail.com</t>
  </si>
  <si>
    <t>plan_H4kFKC8T1mWNNv</t>
  </si>
  <si>
    <t>plan_H4kFKhb1DUH8FT</t>
  </si>
  <si>
    <t>plan_H4kFLMDu6Vhrso</t>
  </si>
  <si>
    <t>Monthly membership</t>
  </si>
  <si>
    <t>https://collabmates.app.link/DtdqZKT8zdb</t>
  </si>
  <si>
    <t>udaan.ravi@gmail.com</t>
  </si>
  <si>
    <t>plan_H4kFLwkyScoIZu</t>
  </si>
  <si>
    <t>plan_H4kFMTxB65XiYF</t>
  </si>
  <si>
    <t>plan_H4kFN3K5oodSqy</t>
  </si>
  <si>
    <t>https://collabmates.app.link/EtRxIZyyBfb</t>
  </si>
  <si>
    <t>gyananiraj2016@gmail.com</t>
  </si>
  <si>
    <t>plan_H4kFO9VTbjRe4c</t>
  </si>
  <si>
    <t>https://collabmates.app.link/PIxujBQHBfb</t>
  </si>
  <si>
    <t>yuktayadav62@gmail.com</t>
  </si>
  <si>
    <t>plan_H4kFOlww7YLDZT</t>
  </si>
  <si>
    <t>plan_H4kFPLjV4l54QK</t>
  </si>
  <si>
    <t>plan_H4kFPtqEDc5Cxg</t>
  </si>
  <si>
    <t>https://collabmates.app.link/CQWPrfIGBfb</t>
  </si>
  <si>
    <t>nayanjaluka@gmail.com</t>
  </si>
  <si>
    <t>plan_H4kFR49TW2QLaM</t>
  </si>
  <si>
    <t>Icecream Nutrition</t>
  </si>
  <si>
    <t>https://collabmates.app.link/4BvMRjJ3ufb</t>
  </si>
  <si>
    <t>abhishek.singh.bailoo@gmail.com</t>
  </si>
  <si>
    <t>plan_H4kFRd7QEUaZpO</t>
  </si>
  <si>
    <t>plan_H4kFSGjoslgD7N</t>
  </si>
  <si>
    <t>plan_H4kFV7ER7bu0Gc</t>
  </si>
  <si>
    <t>https://collabmates.app.link/WyfONHDVrfb</t>
  </si>
  <si>
    <t>partnership.khushiseyoga@gmail.com</t>
  </si>
  <si>
    <t>plan_H4kFVfPAE6BYCv</t>
  </si>
  <si>
    <t>plan_H4kFWAV9OFdM9H</t>
  </si>
  <si>
    <t>plan_H4kFWioHjPIDvT</t>
  </si>
  <si>
    <t>https://collabmates.app.link/3OJf0Hmvtfb</t>
  </si>
  <si>
    <t>Itsvishnu04@gmail.com</t>
  </si>
  <si>
    <t>plan_H4kFXEN330yKcg</t>
  </si>
  <si>
    <t>plan_H4kFXixBt81GWZ</t>
  </si>
  <si>
    <t>plan_H4kFYFK9sMZSEf</t>
  </si>
  <si>
    <t>https://collabmates.app.link/D4jFzabg1eb</t>
  </si>
  <si>
    <t>sreeraghav1971@gmail.com</t>
  </si>
  <si>
    <t>plan_H4kFYmYUEc2lfI</t>
  </si>
  <si>
    <t>plan_H4kFZJ2YA8CXsy</t>
  </si>
  <si>
    <t>plan_H4kFZueIwTAV9J</t>
  </si>
  <si>
    <t>https://collabmates.app.link/fTEMej02cfb</t>
  </si>
  <si>
    <t>rakshas231@gmail.com</t>
  </si>
  <si>
    <t>plan_H4kFaQ8uvninz4</t>
  </si>
  <si>
    <t>plan_H4kFaxL1bU9ycy</t>
  </si>
  <si>
    <t>plan_H4kFbXZhVeWBDH</t>
  </si>
  <si>
    <t>https://collabmates.app.link/y8hf5EsUrfb</t>
  </si>
  <si>
    <t>debou13@gmail.com</t>
  </si>
  <si>
    <t>plan_H4kFc3UFYvsk3R</t>
  </si>
  <si>
    <t>plan_H4kFcaM0qZoqKW</t>
  </si>
  <si>
    <t>plan_H4kFdANuQe1mFZ</t>
  </si>
  <si>
    <t>https://collabmates.app.link/76jr1wHPCdb</t>
  </si>
  <si>
    <t>ruchitibrewal1803@gmail.com</t>
  </si>
  <si>
    <t>plan_H4kFdo3U9FyoiS</t>
  </si>
  <si>
    <t>6cd39813-cb52-414d-9660-a3235204caad</t>
  </si>
  <si>
    <t>plan_H4kFef4uTMFGoa</t>
  </si>
  <si>
    <t>https://collabmates.app.link/rQBYpXx42eb</t>
  </si>
  <si>
    <t>plan_H4kFfBmw58h0Lq</t>
  </si>
  <si>
    <t>plan_H4kFfj8zUAMFoM</t>
  </si>
  <si>
    <t>plan_H4kFi51Zhcnfwu</t>
  </si>
  <si>
    <t>https://collabmates.app.link/cX54McDPCdb</t>
  </si>
  <si>
    <t>nmkulkarni81@gmail.com</t>
  </si>
  <si>
    <t>plan_H4kFiadzOOMQR1</t>
  </si>
  <si>
    <t>plan_H4kFj8Vl6qy5zX</t>
  </si>
  <si>
    <t>plan_H4kFjlAFtJa2fa</t>
  </si>
  <si>
    <t>Philosophy Now Forum</t>
  </si>
  <si>
    <t>https://collabmates.app.link/GrWXgQgbtfb</t>
  </si>
  <si>
    <t>shivangi.shanker3@gmail.com</t>
  </si>
  <si>
    <t>plan_H4kFkPC2pntcJR</t>
  </si>
  <si>
    <t>plan_H4kFlANuu7E0vS</t>
  </si>
  <si>
    <t>plan_H4kFpkdPzM2f66</t>
  </si>
  <si>
    <t>https://collabmates.app.link/HgGq1ya3rfb</t>
  </si>
  <si>
    <t>ragav.vijay@gmail.com</t>
  </si>
  <si>
    <t>plan_H4kFqK6OQeHyay</t>
  </si>
  <si>
    <t>plan_H4kFqsa0WhTuhK</t>
  </si>
  <si>
    <t>plan_H4kFrTU2ROtWWa</t>
  </si>
  <si>
    <t>https://collabmates.app.link/3HDZi3KHwfb</t>
  </si>
  <si>
    <t>dimpytolani93@gmail.com</t>
  </si>
  <si>
    <t>plan_H4kFs3dwRPpdby</t>
  </si>
  <si>
    <t>plan_H4kFsaGCcBOz1j</t>
  </si>
  <si>
    <t>plan_H4kFtBDqZ4QrE1</t>
  </si>
  <si>
    <t>https://collabmates.app.link/5UKM4ETuZeb</t>
  </si>
  <si>
    <t>rashisharma54650@gmail.com</t>
  </si>
  <si>
    <t>plan_H4kFy2PoBCrCiG</t>
  </si>
  <si>
    <t>https://collabmates.app.link/hz8R2Dg0Mfb</t>
  </si>
  <si>
    <t>bhagatakash@icloud.com</t>
  </si>
  <si>
    <t>harnoor.saini@likeminds.community</t>
  </si>
  <si>
    <t>plan_H4kFybwEgCA3eb</t>
  </si>
  <si>
    <t>plan_H4kFzB66u8BmVe</t>
  </si>
  <si>
    <t>plan_H4kFwQvcdTPYSf</t>
  </si>
  <si>
    <t>https://collabmates.app.link/b01MShR0Mfb</t>
  </si>
  <si>
    <t>vilma.adsul@gmail.com</t>
  </si>
  <si>
    <t>plan_H4kFx3jb8wnGWV</t>
  </si>
  <si>
    <t>plan_H4kFxXx0vAC6pc</t>
  </si>
  <si>
    <t>plan_H4kF9Rb1Rappwf</t>
  </si>
  <si>
    <t>https://collabmates.app.link/88pzdrQArfb</t>
  </si>
  <si>
    <t>frenchvirat@gmail.com</t>
  </si>
  <si>
    <t>plan_H4kFA3Nlir02TM</t>
  </si>
  <si>
    <t>plan_H4kFAiqRh0KWfC</t>
  </si>
  <si>
    <t>plan_H4kFSqbs3Jk1ge</t>
  </si>
  <si>
    <t>https://collabmates.app.link/K8Ej3Hb6Gfb</t>
  </si>
  <si>
    <t>mohitmangal1@gmail.com</t>
  </si>
  <si>
    <t>plan_H4kFTT8X6NVHAF</t>
  </si>
  <si>
    <t>plan_H4kFU1RptbibnV</t>
  </si>
  <si>
    <t>plan_H4kFUbuD1qYxSn</t>
  </si>
  <si>
    <t>Yearly Membership</t>
  </si>
  <si>
    <t>plan_H4kFzgCcclntAw</t>
  </si>
  <si>
    <t>https://collabmates.app.link/l2zb1aMLyfb</t>
  </si>
  <si>
    <t>plan_H4kG0C2QIuhZo3</t>
  </si>
  <si>
    <t>plan_H4kG0imBXxPcGc</t>
  </si>
  <si>
    <t>plan_H4kG1FqgX7YfkQ</t>
  </si>
  <si>
    <t>https://collabmates.app.link/dT8lr3yWwfb</t>
  </si>
  <si>
    <t>Balwan.bansal@acuproconsulting.com</t>
  </si>
  <si>
    <t>plan_H4kG1lg6G3AL9c</t>
  </si>
  <si>
    <t>plan_H4kG2IXldKMhhJ</t>
  </si>
  <si>
    <t>plan_H4kFgKtMNzhAUY</t>
  </si>
  <si>
    <t>https://collabmates.app.link/RHMp6nAEwfb</t>
  </si>
  <si>
    <t>chitvvanwaraich@yahoo.com</t>
  </si>
  <si>
    <t>plan_H4kFgpubJeBybv</t>
  </si>
  <si>
    <t>plan_H4kFhPfAb7tCMy</t>
  </si>
  <si>
    <t>plan_H4kFlmey2Z6XXs</t>
  </si>
  <si>
    <t>https://collabmates.app.link/CIE5u7rjqfb</t>
  </si>
  <si>
    <t>honish.zaveri@gmail.com</t>
  </si>
  <si>
    <t>plan_H4kFmJ0ggaL757</t>
  </si>
  <si>
    <t>plan_H4kFmwqqMKd2ap</t>
  </si>
  <si>
    <t>plan_H4kFnhMg04srdJ</t>
  </si>
  <si>
    <t>https://collabmates.app.link/ljzPaBAswfb</t>
  </si>
  <si>
    <t>gurpreetpahuja@gmail.com</t>
  </si>
  <si>
    <t>plan_H4kFoSH2PRaw5p</t>
  </si>
  <si>
    <t>plan_H4kFp5EGU4NvRH</t>
  </si>
  <si>
    <t>plan_H4kG2oNLXFkUAc</t>
  </si>
  <si>
    <t>https://collabmates.app.link/oBXSfMB7Kdb</t>
  </si>
  <si>
    <t>plan_H4kG3N5c85bczA</t>
  </si>
  <si>
    <t>plan_H4kG4aLLcQAdKU</t>
  </si>
  <si>
    <t>https://collabmates.app.link/QInMxkmBBfb</t>
  </si>
  <si>
    <t>sd621962@gmail.com</t>
  </si>
  <si>
    <t>plan_H4kG58itAhJycj</t>
  </si>
  <si>
    <t>plan_H4kG5gyJECmoar</t>
  </si>
  <si>
    <t>https://collabmates.app.link/bmN9uDfn4eb</t>
  </si>
  <si>
    <t>shivamumar321pbh@gmail.com</t>
  </si>
  <si>
    <t>plan_H4kG6EwA9tIWbA</t>
  </si>
  <si>
    <t>plan_H4kG6o2hNcQXr4</t>
  </si>
  <si>
    <t>plan_H4kG7L0xtfMhuA</t>
  </si>
  <si>
    <t>https://collabmates.app.link/tWUl14potfb</t>
  </si>
  <si>
    <t>hemangiarora@gmail.com</t>
  </si>
  <si>
    <t>plan_H4kG7w04xXFJCO</t>
  </si>
  <si>
    <t>plan_H4kG8ZX9yUarIA</t>
  </si>
  <si>
    <t>ecb0c0f8-4525-4a48-9e0e-d67f4b4e4c85</t>
  </si>
  <si>
    <t>https://collabmates.app.link/sJmlNV3qwfb</t>
  </si>
  <si>
    <t>mdshahidrock098@gmail.com</t>
  </si>
  <si>
    <t>akshita.lopa@likeminds.community</t>
  </si>
  <si>
    <t>eb5a368f-28f0-4408-a3e5-f174a40fa486</t>
  </si>
  <si>
    <t>7e6fe217-adf8-4013-a0be-43fa0a092eb7</t>
  </si>
  <si>
    <t>dc6e0e31-37c4-4919-a08f-e222ea904972</t>
  </si>
  <si>
    <t>Digital Writopreneur</t>
  </si>
  <si>
    <t>https://collabmates.app.link/xVdAzlA6tfb</t>
  </si>
  <si>
    <t>connectrajinder@gmail.com</t>
  </si>
  <si>
    <t>e599b5aa-0b2d-4c13-bf90-b60e971a03c7</t>
  </si>
  <si>
    <t>eea158d4-79e4-4108-bff1-fe1ec6fda76f</t>
  </si>
  <si>
    <t>0dfc44fe-db30-4a17-a75b-dfdcecaf8fdc</t>
  </si>
  <si>
    <t>https://collabmates.app.link/G1zY7Jg4pfb</t>
  </si>
  <si>
    <t>ufoodlover@gmail.com</t>
  </si>
  <si>
    <t>5ec31d22-1d19-4789-9035-9dc6ddbdf236</t>
  </si>
  <si>
    <t>7a233708-1e9d-4f16-be33-b9dc996b4b4d</t>
  </si>
  <si>
    <t>8e5ea02b-e877-40f6-9855-2a9b876699f8</t>
  </si>
  <si>
    <t>https://collabmates.app.link/hOFB1R2Ypfb</t>
  </si>
  <si>
    <t>acquarianabhinav@gmail.com</t>
  </si>
  <si>
    <t>255576d9-b790-4cbd-90b4-6acd49d76768</t>
  </si>
  <si>
    <t>84fa1e01-8c8b-4284-8b65-ba48a1f47220</t>
  </si>
  <si>
    <t>a93dd58f-7877-4f52-9c49-76f904601d67</t>
  </si>
  <si>
    <t>https://collabmates.app.link/keS4JiRvwfb</t>
  </si>
  <si>
    <t>samodefort@gmail.com</t>
  </si>
  <si>
    <t>7bfdf2da-c8b3-4f0c-a2b5-92d40e5e7694</t>
  </si>
  <si>
    <t>5262aeef-2a7c-4547-b7e8-9820437b74e4</t>
  </si>
  <si>
    <t>16f0bf25-2a3b-4184-87e2-5ac336158205</t>
  </si>
  <si>
    <t>https://collabmates.app.link/nWSyfwom3eb</t>
  </si>
  <si>
    <t>saurabhy2jno@gmail.com</t>
  </si>
  <si>
    <t>fa00b372-ab58-4a8e-8710-09570a56d4bc</t>
  </si>
  <si>
    <t>Quarterly membership</t>
  </si>
  <si>
    <t>048cd888-bedb-4b7a-823b-4f261becb56b</t>
  </si>
  <si>
    <t>539e488a-fc66-43c4-a531-84a817c0929e</t>
  </si>
  <si>
    <t>Maths Solution</t>
  </si>
  <si>
    <t>https://collabmates.app.link/Ka5FfQKnXeb</t>
  </si>
  <si>
    <t>gaurav990823@gmail.com</t>
  </si>
  <si>
    <t>4908c950-64c0-493c-9101-cd6c51e28954</t>
  </si>
  <si>
    <t>71f12f14-afd8-431d-9309-e4bb31c8cd3d</t>
  </si>
  <si>
    <t>df2c83ac-3b42-4c86-a40a-95f4c3be0057</t>
  </si>
  <si>
    <t>https://collabmates.app.link/YXeBv4e32eb</t>
  </si>
  <si>
    <t>dhirendhakar16@gmail.com</t>
  </si>
  <si>
    <t>95c4c1c7-a278-42aa-becf-a1e61af1b706</t>
  </si>
  <si>
    <t>b3695533-d414-4673-b7d5-091a708c08a3</t>
  </si>
  <si>
    <t>74a57fe9-d56c-409d-92bc-73372dfa0219</t>
  </si>
  <si>
    <t>Heal Journey to Happiness</t>
  </si>
  <si>
    <t>https://collabmates.app.link/2fCsrPZcqfb</t>
  </si>
  <si>
    <t>viveknathwani93@gmail.com</t>
  </si>
  <si>
    <t>0423b550-6a82-4d50-b8e8-1d3dd1922145</t>
  </si>
  <si>
    <t>03846382-3c82-4a64-a57c-a1577877db11</t>
  </si>
  <si>
    <t>b777e302-d2c2-4a2b-89c1-bf11308758a8</t>
  </si>
  <si>
    <t>https://collabmates.app.link/w11KF7T0Kdb</t>
  </si>
  <si>
    <t>gaurisha58@gmail.com</t>
  </si>
  <si>
    <t>273f81de-60b6-44e2-9f06-48a060a9df3d</t>
  </si>
  <si>
    <t>https://collabmates.app.link/4Jcu4gOaDfb</t>
  </si>
  <si>
    <t>arasuprabhu@gmail.com</t>
  </si>
  <si>
    <t>aa73b710-07f1-4859-b61d-40ca0cf6d386</t>
  </si>
  <si>
    <t>23f23012-d94d-489d-81ab-7023abc7e885</t>
  </si>
  <si>
    <t>eb019f56-c3b3-4fe0-8391-ae722851e79d</t>
  </si>
  <si>
    <t>Musiconic</t>
  </si>
  <si>
    <t>https://collabmates.app.link/uYiAsVm2pfb</t>
  </si>
  <si>
    <t>janakraaj24@gmail.com</t>
  </si>
  <si>
    <t>b2a6521a-0cad-4394-8cb1-5081e4070024</t>
  </si>
  <si>
    <t>36bb89b4-45b3-439c-9c41-bdf56ad17660</t>
  </si>
  <si>
    <t>76acc300-0d79-45df-b03c-d1d0169f35f2</t>
  </si>
  <si>
    <t>https://collabmates.app.link/BqSsvBkoqfb</t>
  </si>
  <si>
    <t>twnmultitrade@gmail.com</t>
  </si>
  <si>
    <t>d40dc9eb-8f54-4a83-b540-b1de79a5d7fa</t>
  </si>
  <si>
    <t>87599ae5-6212-4723-81eb-f9ed6f683d87</t>
  </si>
  <si>
    <t>8ee6bf17-48e1-4dd5-9fd9-ed662057ee62</t>
  </si>
  <si>
    <t>https://collabmates.app.link/NdQ1JA3rGfb</t>
  </si>
  <si>
    <t>ashmail61@gmail.com</t>
  </si>
  <si>
    <t>d7618c25-72bc-4f69-9b8f-59bc3e273fa5</t>
  </si>
  <si>
    <t>14624d71-8eba-497b-ab86-2b32f0878e2f</t>
  </si>
  <si>
    <t>122383e1-c886-4c5b-a9b8-25318acb0180</t>
  </si>
  <si>
    <t>6d5bfe95-7362-4bd4-b896-f7b2662d20da</t>
  </si>
  <si>
    <t>f77c12b1-0035-42ae-95f3-170f7fdc5f2a</t>
  </si>
  <si>
    <t>872d74ee-efe4-4558-8862-e8f498bf9229</t>
  </si>
  <si>
    <t>Test Community Plan</t>
  </si>
  <si>
    <t>https://www.google.com</t>
  </si>
  <si>
    <t>mahir.gupta@likeminds.community,sanjay.kumar@likeminds.community</t>
  </si>
  <si>
    <t>pinakee.kaushik@likeminds.community</t>
  </si>
  <si>
    <t>54a9f517-a135-4c99-98ff-a4e64331f4b9</t>
  </si>
  <si>
    <t>https://collabmates.app.link/TMFRX0dswfb</t>
  </si>
  <si>
    <t>rb@bajaj-bajaj.com</t>
  </si>
  <si>
    <t>a52fc0b5-b112-4eb3-95a6-44c1e3926997</t>
  </si>
  <si>
    <t>6d024dc5-5310-4be8-b8ca-6d08c8ed5622</t>
  </si>
  <si>
    <t>b7793a80-5b2b-4324-b607-15cd6f22f060</t>
  </si>
  <si>
    <t>bb67d38c-f842-4f80-a393-bbdf0f1bcb7b</t>
  </si>
  <si>
    <t>828ab034-ba95-48aa-8a1d-c667bb42e807</t>
  </si>
  <si>
    <t>039ee40a-e972-479e-b951-21eaeb35b6b3</t>
  </si>
  <si>
    <t>6ee0464a-84ac-42ac-b955-ce10c98a454a</t>
  </si>
  <si>
    <t>4b057230-6f68-4bb6-9919-d15b363a5a76</t>
  </si>
  <si>
    <t>377de1a0-63a9-411a-ab7d-22092d6e2cf8</t>
  </si>
  <si>
    <t>e7535b12-b8c6-477b-b980-6e4c99e55ba7</t>
  </si>
  <si>
    <t>032502cf-1f92-447e-9bca-d296f9e5eab3</t>
  </si>
  <si>
    <t>3e2bae97-e982-4e99-ab93-c2084f8c3020</t>
  </si>
  <si>
    <t>3923db1f-f176-4a2a-8bc9-2140e08b4a4b</t>
  </si>
  <si>
    <t>3c4399aa-53f5-476f-8929-d6135b7b69f5</t>
  </si>
  <si>
    <t>https://collabmates.app.link/w2Vy00tDSfb</t>
  </si>
  <si>
    <t>xylem.corps@gmail.com</t>
  </si>
  <si>
    <t>c6f76dbf-6a09-47ca-b9ad-b140155b2e3e</t>
  </si>
  <si>
    <t>a2fd6def-0199-4029-bc6c-86110605120d</t>
  </si>
  <si>
    <t>71054234-e1f9-4673-adc2-1007f484ecfb</t>
  </si>
  <si>
    <t>616e7c85-c5e7-4fc1-85f3-196fc91557c7</t>
  </si>
  <si>
    <t>11d2f487-7483-4e03-83dd-a067864d7fc7</t>
  </si>
  <si>
    <t>99e28e89-d557-4b59-aa00-2b02a5cd2163</t>
  </si>
  <si>
    <t>ce3ec740-f643-4376-a8be-0f069c45471a</t>
  </si>
  <si>
    <t>https://collabmates.app.link/RGLVpmJEDfb</t>
  </si>
  <si>
    <t>divyapathak074@gmail.com</t>
  </si>
  <si>
    <t>39a2045a-a55a-44d7-8717-236a772d1b59</t>
  </si>
  <si>
    <t>4a46130f-7b61-48ee-88c5-220f9a610ad9</t>
  </si>
  <si>
    <t>8ad06c98-7000-4cf4-864b-77e91917df26</t>
  </si>
  <si>
    <t>https://collabmates.app.link?FfDdFrOZYfb</t>
  </si>
  <si>
    <t>bharti.savalani79@gmail.com</t>
  </si>
  <si>
    <t>2b1a35ba-8e48-4db7-b316-55f16607b22f</t>
  </si>
  <si>
    <t>cf325465-1259-44c6-bfc4-633f338f4125</t>
  </si>
  <si>
    <t>dc7f2cdb-dd8d-4a9e-85ca-f08595e69eb5</t>
  </si>
  <si>
    <t>3552b73b-ec44-4a6f-958f-e3c4a045b0e6</t>
  </si>
  <si>
    <t>bd536099-969b-488d-aade-e2609a81db4c</t>
  </si>
  <si>
    <t>https://collabmates.app.link/UGZc8ubhFfb</t>
  </si>
  <si>
    <t>ishavasyayoga@gmail.com</t>
  </si>
  <si>
    <t>45d262ca-ed64-42d7-9122-de6264da27f1</t>
  </si>
  <si>
    <t>2e1ab3e2-4eac-4326-92c7-8e4bb45aefb1</t>
  </si>
  <si>
    <t>474baf00-bbf6-4aee-8b6c-27285d96ff41</t>
  </si>
  <si>
    <t>Beingearthable</t>
  </si>
  <si>
    <t>https://collabmates.app.link/xlT4gPjLYfb</t>
  </si>
  <si>
    <t>disha.gupta2808@gmail.com</t>
  </si>
  <si>
    <t>akshita.lopa@gmail.com</t>
  </si>
  <si>
    <t>4aa33ad5-d845-4f9c-8d33-e8ea369e0742</t>
  </si>
  <si>
    <t>e3958c7e-c5d9-4f59-a3b8-9536140581a9</t>
  </si>
  <si>
    <t>16160cd8-1892-4a9d-9dee-8a64a12218c1</t>
  </si>
  <si>
    <t>b5f1496a-6a08-41c6-ae1b-1be0b35436b5</t>
  </si>
  <si>
    <t>https://collabmates.app.link/2HaZwUxvIfb</t>
  </si>
  <si>
    <t>bhvyadeep44@gmail.com</t>
  </si>
  <si>
    <t>52a962e1-dedb-496c-96ab-67d68360a5e4</t>
  </si>
  <si>
    <t>a379ace7-dfb1-4d4a-8df8-22c39260bde4</t>
  </si>
  <si>
    <t>8f2c0585-7e99-44de-ac53-2563d8a83581</t>
  </si>
  <si>
    <t>https://collabmates.app.link/Quo0YbXH0fb</t>
  </si>
  <si>
    <t>anshuljain24.7@gmail.com</t>
  </si>
  <si>
    <t>b55698c7-a90c-44b9-a350-b8f8c0c0ce87</t>
  </si>
  <si>
    <t>7d294951-4cdc-4d6d-b092-02bb44aa37da</t>
  </si>
  <si>
    <t>646bc705-b640-4bd5-b755-21724f7eef23</t>
  </si>
  <si>
    <t>Yoga with Ratika | Rooted</t>
  </si>
  <si>
    <t>https://collabmates.app.link/VhMgNOZk2fb</t>
  </si>
  <si>
    <t>roootedindia@gmail.com</t>
  </si>
  <si>
    <t>54731ca5-a9ed-49fa-a92c-9e6e8e4a3665</t>
  </si>
  <si>
    <t>db82ec65-3475-472a-96be-e9b993e359d2</t>
  </si>
  <si>
    <t>Community name</t>
  </si>
  <si>
    <t>https://collabmates.link</t>
  </si>
  <si>
    <t>abc@gmail.com,himanshu@likeminds.community</t>
  </si>
  <si>
    <t>93906a30-1173-4755-8317-0c6f4f7bfd7c</t>
  </si>
  <si>
    <t>554ade84-920c-4f77-bf70-3e0d9fa05907</t>
  </si>
  <si>
    <t>0db6b590-9a22-4148-b4fd-4a92e881ce65</t>
  </si>
  <si>
    <t>04a427b5-1673-42cd-b1a0-1708ce7c03f1</t>
  </si>
  <si>
    <t>d8d74437-9d19-4f79-839b-865876cbdaa1</t>
  </si>
  <si>
    <t>ca6ed7f8-83b0-406c-bdfd-1a1b0d62972e</t>
  </si>
  <si>
    <t>298d41f2-a80b-4e39-9c95-e1187057f8b4</t>
  </si>
  <si>
    <t>9777e107-b635-4a3f-a681-edc05f16326d</t>
  </si>
  <si>
    <t>88e42db6-5097-4666-95a2-32823bc8d3b3</t>
  </si>
  <si>
    <t>432b8cf2-e82d-4f93-a011-b6e9c6fa10bc</t>
  </si>
  <si>
    <t>c3286f8b-6f53-4164-a7d1-ea0da1f8f834</t>
  </si>
  <si>
    <t>64aadee4-b37b-47c6-900f-dd21630db9b0</t>
  </si>
  <si>
    <t>7ea5884e-9829-471d-b4b0-8f93b5d35a32</t>
  </si>
  <si>
    <t>huru</t>
  </si>
  <si>
    <t>fasdf@gd</t>
  </si>
  <si>
    <t>dsfs@gfg</t>
  </si>
  <si>
    <t>sdfsdf@gdfg</t>
  </si>
  <si>
    <t>1241ac42-0073-48fb-88a6-86526c6d7be8</t>
  </si>
  <si>
    <t>https://collabmates.app.link/0LL8sBlEQfb</t>
  </si>
  <si>
    <t>nishtunishaa@gmail.com</t>
  </si>
  <si>
    <t>9b986d47-12a5-4177-b4dc-ab98a9e16be0</t>
  </si>
  <si>
    <t>1394c1b4-1146-432a-98e8-19af0f1b5ae9</t>
  </si>
  <si>
    <t>088e91a8-5dbf-471d-bb94-b7a8c3239052</t>
  </si>
  <si>
    <t>4be3bfd4-7ca8-4841-bef9-0c31b1ed4890</t>
  </si>
  <si>
    <t>110af0f9-55ab-463f-8e85-b978275be7e9</t>
  </si>
  <si>
    <t>fcf4bdbf-a5dc-4b71-b3e1-12088e5187a6</t>
  </si>
  <si>
    <t>52666c80-fd8d-4694-891d-5b052d20eb87</t>
  </si>
  <si>
    <t>09b0e573-594b-4a84-993d-c2da066709a7</t>
  </si>
  <si>
    <t>17be1fcf-ffe1-4170-b935-6eccbb2c4cfc</t>
  </si>
  <si>
    <t>6e36fe3c-c7ce-436a-b069-7fac19c2d9cf</t>
  </si>
  <si>
    <t>17a16a93-d1f3-46a0-bcb3-daabf6cf759d</t>
  </si>
  <si>
    <t>fe9c730b-e9f8-45a3-b642-1f67dc84a146</t>
  </si>
  <si>
    <t>0fce244a-7076-41dc-ab5e-b2fc1d007a07</t>
  </si>
  <si>
    <t>f3de943a-8796-4448-b95f-5dfcd98f31bf</t>
  </si>
  <si>
    <t>c7992b34-0266-42a9-aa66-01e14c848da3</t>
  </si>
  <si>
    <t>ajaytyagi56@gmail.com</t>
  </si>
  <si>
    <t>8adc6282-4968-43ce-8271-8a1f0e10fff9</t>
  </si>
  <si>
    <t>garima27yaduvanshi@gmail.com</t>
  </si>
  <si>
    <t>2938e446-0413-42f0-8a2d-85682ef5e3e2</t>
  </si>
  <si>
    <t>5d0e79af-b0bd-4f22-bb24-e35a19fcf4b6</t>
  </si>
  <si>
    <t>696ce7e8-844d-41cc-a6ef-12c3959dd6ef</t>
  </si>
  <si>
    <t>1d5058dc-adae-453a-8fff-6ce95bee88f3</t>
  </si>
  <si>
    <t>f05de2d9-54e3-4814-982b-e7be0848816f</t>
  </si>
  <si>
    <t>https://collabmates.app.link/En9NFZXWLfb</t>
  </si>
  <si>
    <t>7e3a79c4-805f-447b-a2f6-0845b22bbabb</t>
  </si>
  <si>
    <t>85697738-e206-4ca7-a927-ee2cb532232e</t>
  </si>
  <si>
    <t>d4097743-5eb7-46d7-9d0a-210f628332bb</t>
  </si>
  <si>
    <t>5c65c293-8e7a-47c4-a3ce-f97e523836ab</t>
  </si>
  <si>
    <t>94547a34-012a-400b-ba63-f9573b912ff5</t>
  </si>
  <si>
    <t>0e330c1f-36f3-409e-bfe2-a8fa6e20395e</t>
  </si>
  <si>
    <t>27bfeef1-c1e3-419e-90b5-ac0d073a10a2</t>
  </si>
  <si>
    <t>Hanhangul</t>
  </si>
  <si>
    <t>https://collabmates.app.link/NjVr7ximtfb</t>
  </si>
  <si>
    <t>smritibhardwaj97@gmail.com</t>
  </si>
  <si>
    <t>d8a9619f-3f15-4b15-aaf3-a49b9bd821ca</t>
  </si>
  <si>
    <t>2415ee7b-c897-43fb-a98e-a915ef24a0cc</t>
  </si>
  <si>
    <t>6d87c232-9cb7-42e7-ab13-345ffbe89cca</t>
  </si>
  <si>
    <t>https://collabmates.app.link/FfDdFrOZYfb</t>
  </si>
  <si>
    <t>team@brigsushilbhasin.com</t>
  </si>
  <si>
    <t>8d5d1d1c-3767-4bfe-a9de-e29af12c45c7</t>
  </si>
  <si>
    <t>d3f8353a-98c4-4173-9207-46a1d00e4db3</t>
  </si>
  <si>
    <t>2eb2357e-4054-48e1-8649-4cd29f61f03a</t>
  </si>
  <si>
    <t>8144ff29-0454-49c7-8a30-652bba8651e8</t>
  </si>
  <si>
    <t>3b25ad70-444d-42ba-9064-d097f25a8615</t>
  </si>
  <si>
    <t>8f125f11-a697-43ff-b456-0dc2b5ae7ee0</t>
  </si>
  <si>
    <t>ea653996-c689-4cea-acfa-526578a4ff70</t>
  </si>
  <si>
    <t>020053f3-f9d8-4266-8f07-39e44f3b6b9b</t>
  </si>
  <si>
    <t>3f379b3c-72b2-43a1-a4e4-2483dcb335bb</t>
  </si>
  <si>
    <t>3b4add58-02af-49fa-aa3b-9a4fdbc806f2</t>
  </si>
  <si>
    <t>0ca92abf-38cd-401e-bfda-a2a494bb3154</t>
  </si>
  <si>
    <t>9a305d1d-5d28-4d3d-854d-f52a4a8a4a2f</t>
  </si>
  <si>
    <t>0b622d76-eecf-4681-a9bb-7dc8fd50b172</t>
  </si>
  <si>
    <t>ad2f1eca-acaa-4587-8453-f420042192dc</t>
  </si>
  <si>
    <t>897dfafe-8177-4b67-a3f1-921ec792dbec</t>
  </si>
  <si>
    <t>cfb86b31-5ba3-4bb5-84f4-57904aa12d75</t>
  </si>
  <si>
    <t>e5408736-c402-4f30-a510-5e3af5ede2dc</t>
  </si>
  <si>
    <t>5430e21c-0908-48b4-b048-be4acb0a2bd0</t>
  </si>
  <si>
    <t>e4a4755f-220c-4845-85de-978b917d3ad0</t>
  </si>
  <si>
    <t>9c2adf1a-6bc7-4097-a3d6-dc391a9a7c31</t>
  </si>
  <si>
    <t>75ed680b-993d-4705-b7b2-ebceee60c7fd</t>
  </si>
  <si>
    <t>fee15470-663c-4530-9011-9e52fe9637a5</t>
  </si>
  <si>
    <t>8a350332-3700-472f-a646-59c31535ef2d</t>
  </si>
  <si>
    <t>79ce3694-8302-481e-b83f-13c8100b00bf</t>
  </si>
  <si>
    <t>98bfcd90-8cf5-417f-bf34-a06aa05b9a13</t>
  </si>
  <si>
    <t>b5bc9556-5dd0-4cee-9bc2-f90fe8cf94c2</t>
  </si>
  <si>
    <t>56de7e48-ae3e-45f8-9259-28096b74b5eb</t>
  </si>
  <si>
    <t>73270518-f3ed-43b7-bacd-f6b6b020f4f9</t>
  </si>
  <si>
    <t>158ab325-92e0-481b-a477-f615395b0cd5</t>
  </si>
  <si>
    <t>2e1c2cac-a59e-452a-9881-ad47b210e87e</t>
  </si>
  <si>
    <t>5d6c4a2c-e870-40a3-9d73-53af87cb154a</t>
  </si>
  <si>
    <t>d1431477-52bd-4c74-8356-3bbae166b1ce</t>
  </si>
  <si>
    <t>https://collabmates.app.link/xNDtkgoKagb</t>
  </si>
  <si>
    <t>pawan.badlani1@gmail.com</t>
  </si>
  <si>
    <t>1c6e583c-ef8c-47a7-872b-a26fad9bec91</t>
  </si>
  <si>
    <t>dc7cd9aa-cb52-463a-aee4-2512684ec9c6</t>
  </si>
  <si>
    <t>cbc7e9f4-ec60-4778-b663-29665892dbf0</t>
  </si>
  <si>
    <t>e1db7d1b-42d8-462a-bdb2-5fa2579160d2</t>
  </si>
  <si>
    <t>https://collabmates.app.link/fNldmZQVbgb</t>
  </si>
  <si>
    <t>wellbeing.community1@gmail.com</t>
  </si>
  <si>
    <t>c5f1779b-33e3-49c2-991a-5ab71d2c0fd5</t>
  </si>
  <si>
    <t>c1ef05f5-d5c3-4d2f-8ea7-46a3cabd7971</t>
  </si>
  <si>
    <t>1337645f-c4c9-4dca-9db7-a2c1b4cf5f4e</t>
  </si>
  <si>
    <t>6f54b328-65a4-4fc5-810f-0e2a95371f10</t>
  </si>
  <si>
    <t>18f14e69-aced-4e1c-ae78-60dec3e64c58</t>
  </si>
  <si>
    <t>8c506ba7-d0be-42a7-b28a-dfde2e0c8cd9</t>
  </si>
  <si>
    <t>26ef509a-8833-41d0-89ff-09972990b7ae</t>
  </si>
  <si>
    <t>8ee5cc45-469c-4f81-96df-3ddca6b20a00</t>
  </si>
  <si>
    <t>78e970be-6c65-46a9-8dca-e561b65809f1</t>
  </si>
  <si>
    <t>https://collabmates.app.link/OZmahDSOagb</t>
  </si>
  <si>
    <t>aakankshathakur21@gmail.com</t>
  </si>
  <si>
    <t>1d4a381a-541f-43e1-9ea6-94a9579918a9</t>
  </si>
  <si>
    <t>5651f7ac-94fb-40b2-b9ca-1ab3c66b83ab</t>
  </si>
  <si>
    <t>18790be4-04cd-4484-a2f2-538d0485ec3f</t>
  </si>
  <si>
    <t>Test Plan 1</t>
  </si>
  <si>
    <t>mahir.gupta@likeminds.community</t>
  </si>
  <si>
    <t>Lite Plan</t>
  </si>
  <si>
    <t>c356e368-8f8c-4335-a99b-db9a7f442766</t>
  </si>
  <si>
    <t>https://collabmates.app.link/vGNZEVXj2fb</t>
  </si>
  <si>
    <t>yumbitesfoodart@gmail.com</t>
  </si>
  <si>
    <t>2603af82-0c8b-460f-a894-63c4dc3ef84f</t>
  </si>
  <si>
    <t>cd5a341f-1df0-4961-a235-2b151c2edb41</t>
  </si>
  <si>
    <t>https://collabmates.app.link/eo9NNO9p7fb</t>
  </si>
  <si>
    <t>bhargakitkat@gmail.com</t>
  </si>
  <si>
    <t>siddhraj.singh@likeminds.community</t>
  </si>
  <si>
    <t>214ddbbd-735d-45de-b645-d257e77e6819</t>
  </si>
  <si>
    <t>48c18afa-93ab-4547-b247-7ee9dbd88a2e</t>
  </si>
  <si>
    <t>22fd7677-6f7e-406b-855f-ce38886aea9d</t>
  </si>
  <si>
    <t>0ee87ade-52d9-4015-83d8-a18fdf691c51</t>
  </si>
  <si>
    <t>6c27e352-6721-4371-83fc-5e9725b9a1bd</t>
  </si>
  <si>
    <t>b3d164bf-2685-4658-b14f-e464ab079240</t>
  </si>
  <si>
    <t>c1e16f2b-ed2f-4563-b6a3-9bfd3eec0afc</t>
  </si>
  <si>
    <t>449bb463-beee-43d8-a872-77bb78bdbba9</t>
  </si>
  <si>
    <t>46974ce7-59e5-41d9-8696-c54064b74ccd</t>
  </si>
  <si>
    <t>51fcc0ab-b372-4e6e-9e6d-4ce92a0f14db</t>
  </si>
  <si>
    <t>1604b1d4-82ec-4ba8-b274-b6b1f32382c6</t>
  </si>
  <si>
    <t>a99e60d3-693e-4f34-815f-d1e390cd906f</t>
  </si>
  <si>
    <t>https://collabmates.app.link/AoNUQQLa6fb</t>
  </si>
  <si>
    <t>najyaazmi@gmail.com</t>
  </si>
  <si>
    <t>Siddhraj.singh@likeminds.community</t>
  </si>
  <si>
    <t>9e14f7ce-1b4d-48cd-9d53-0b16a028b60f</t>
  </si>
  <si>
    <t>df9dccca-759f-4e4f-b9ab-87bacd736027</t>
  </si>
  <si>
    <t>cd8d3583-e198-44cb-bae4-5a820ad21d83</t>
  </si>
  <si>
    <t>abc56893-7331-4366-ab52-bfb06e141cd4</t>
  </si>
  <si>
    <t>52423edc-0e56-40e1-838a-7d6e788dba5c</t>
  </si>
  <si>
    <t>d0a5f212-5bd8-478a-bc8a-bae18c270c61</t>
  </si>
  <si>
    <t>952f3a14-46e0-421f-a94d-d164b05ab84b</t>
  </si>
  <si>
    <t>https://collabmates.app.link/k5te2PpS5fb</t>
  </si>
  <si>
    <t>ektamb03@gmail.com</t>
  </si>
  <si>
    <t>46aff059-c765-4d49-a23a-343901fd8c14</t>
  </si>
  <si>
    <t>b43c79d3-80c4-44a5-8b66-16cc717154e6</t>
  </si>
  <si>
    <t>055b7892-db69-4b33-9401-7ce65275eb3d</t>
  </si>
  <si>
    <t>Yoga with Ratika |Rooted</t>
  </si>
  <si>
    <t>Basic</t>
  </si>
  <si>
    <t>4d7b997b-7f4c-44b0-967e-b4e91fa8fd69</t>
  </si>
  <si>
    <t>22e54432-f692-4c04-b5fb-606fccbb3010</t>
  </si>
  <si>
    <t>Pro</t>
  </si>
  <si>
    <t>61448f78-7bfc-41cc-b681-5b1d3da79d8d</t>
  </si>
  <si>
    <t>c4ca815d-8e6e-474e-a10f-96dfcd2d24ed</t>
  </si>
  <si>
    <t>Premium</t>
  </si>
  <si>
    <t>746e7fa4-2d0e-4251-9709-1686898e2287</t>
  </si>
  <si>
    <t>d95b5a33-65b6-4161-adf6-604baae149f6</t>
  </si>
  <si>
    <t>25adfb9b-f7bd-4110-a7d0-0c81f78c88e3</t>
  </si>
  <si>
    <t>fc7385e4-8d33-45a4-ad74-d577d2c1442b</t>
  </si>
  <si>
    <t>5cfa78d6-06ba-45d9-bf98-de13a2aca759</t>
  </si>
  <si>
    <t>36e0650d-9bd0-4eca-9252-72f38fc9d6f7</t>
  </si>
  <si>
    <t>ffc5865a-4dfd-4c17-9eb9-d54af68b63b2</t>
  </si>
  <si>
    <t>f1b3095b-d56d-4fb5-8b70-0958dd844131</t>
  </si>
  <si>
    <t>https://collabmates.app.link/urFJhwEXigb</t>
  </si>
  <si>
    <t>Shilka@fearlesswhisper.com</t>
  </si>
  <si>
    <t>9eab6d9b-924f-405e-befe-e338ee7b4101</t>
  </si>
  <si>
    <t>f2dd995d-f720-466e-a4cb-ccac3c55beca</t>
  </si>
  <si>
    <t>758a7bd2-84ba-4d63-b5da-579034c1f581</t>
  </si>
  <si>
    <t>0cafb29e-b200-4c88-8d57-56839bf734d3</t>
  </si>
  <si>
    <t>6f568db3-3b66-44e0-b839-fc9dc525714f</t>
  </si>
  <si>
    <t>https://collabmates.app.link/OCzAelSWigb</t>
  </si>
  <si>
    <t>flavorsnfitness@gmail.com</t>
  </si>
  <si>
    <t>03766c45-7344-41e9-b606-d31dbe94af35</t>
  </si>
  <si>
    <t>5e235de0-5054-4c7f-a9e5-e1e2827227a9</t>
  </si>
  <si>
    <t>8320b31b-7422-4f12-bd17-075c4b3f5437</t>
  </si>
  <si>
    <t>fd81c90a-a6dd-4423-94d5-4ed7cbdbcb92</t>
  </si>
  <si>
    <t>72f81c22-ab2b-4015-99d8-e4594a0b185f</t>
  </si>
  <si>
    <t>a4a593a2-6346-4dac-bdcf-43a04ebbef8d</t>
  </si>
  <si>
    <t>f186703a-658d-44ee-8621-a60e6680e433</t>
  </si>
  <si>
    <t>sushil@brigsushilbhasin.com</t>
  </si>
  <si>
    <t>460259d5-0d76-4c83-8555-cc5353aedbc7</t>
  </si>
  <si>
    <t>58951811-af90-4b0d-9a5d-c074b5dd060a</t>
  </si>
  <si>
    <t>407b5ace-ff40-4be7-9e1c-71ed0332cb3a</t>
  </si>
  <si>
    <t>46f9f6bc-81a5-495a-ac34-d2912e42dce2</t>
  </si>
  <si>
    <t>70521fc4-6a67-4444-9197-8282474cdcb0</t>
  </si>
  <si>
    <t>640b64fe-8a05-4f9d-b727-cb77c68cf024</t>
  </si>
  <si>
    <t>d1dc6e2c-42f4-4b13-b780-2b054d6f1ca1</t>
  </si>
  <si>
    <t>61af81bb-d1e5-4e56-b8b4-5191c25fd7ec</t>
  </si>
  <si>
    <t>44a32d15-1826-48af-9451-9cf9d50683c6</t>
  </si>
  <si>
    <t>f4e45163-a32d-4772-ad0f-d4886e3e3e61</t>
  </si>
  <si>
    <t>8b4c1860-b126-41cd-9166-3d2d2e78242c</t>
  </si>
  <si>
    <t>928c42ca-379d-4f02-8429-4aed5151bd31</t>
  </si>
  <si>
    <t>cc5ed6d0-b07a-49a9-b8fc-fbaa36377b74</t>
  </si>
  <si>
    <t>Ahoj: Lets Blog</t>
  </si>
  <si>
    <t>74ffdabd-87bb-4a2e-98d0-9448126b118e</t>
  </si>
  <si>
    <t>81ce98be-032a-4c8c-9238-a7064b1da365</t>
  </si>
  <si>
    <t>87479881-3636-4b06-b559-bbfdd1053f8f</t>
  </si>
  <si>
    <t>7dcc5b63-fa43-432a-a5d4-903e8ec31a39</t>
  </si>
  <si>
    <t>f6fc1dc5-bc09-497d-abf7-2ac0fd6904c7</t>
  </si>
  <si>
    <t>2eeed9e1-7198-434a-9265-8a4cb054ae66</t>
  </si>
  <si>
    <t>b26c3eb2-a2fa-4041-bd96-0e6de8c84c1c</t>
  </si>
  <si>
    <t>52ed98cd-6114-4448-a667-35ba78cf9e05</t>
  </si>
  <si>
    <t>5d4a55a7-01dc-4903-b968-80f0cee622c6</t>
  </si>
  <si>
    <t>3eb4d8f0-06bd-4565-914c-c1fa431bf872</t>
  </si>
  <si>
    <t>https://likeminds.community/community/49822</t>
  </si>
  <si>
    <t>naman.chitlangia9@gmail.com</t>
  </si>
  <si>
    <t>1a63f246-122b-44a1-bcb7-bf571e2007d7</t>
  </si>
  <si>
    <t>aed38264-2a6d-4aba-afc2-d2a6e26f2f2a</t>
  </si>
  <si>
    <t>9b6453aa-1afd-4ede-85b8-df7b63339db1</t>
  </si>
  <si>
    <t>17af788d-2b0c-46bc-87e7-60f3cb066c4f</t>
  </si>
  <si>
    <t>7a576291-d5bb-4340-b6ce-54e03ff525fd</t>
  </si>
  <si>
    <t>e9504c5a-d3f9-4e39-97f2-ab3ba9e9d3dd</t>
  </si>
  <si>
    <t>d60ac2b2-db16-47a9-a616-e786202a9a01</t>
  </si>
  <si>
    <t>7af1d6fa-b4b6-4fb3-adb4-3ad1861186c2</t>
  </si>
  <si>
    <t>74c6c102-cc19-4754-b536-ae6ef88a8031</t>
  </si>
  <si>
    <t>ca4c54e2-9678-4f6f-b5b3-04dd8badb9b9</t>
  </si>
  <si>
    <t>d155a70b-73f3-4559-91ab-26e9773217d4</t>
  </si>
  <si>
    <t>a59a3997-f17a-436a-bafc-88324f5b38a5</t>
  </si>
  <si>
    <t>a24c7da1-f914-4bbe-bc02-55cad0282b68</t>
  </si>
  <si>
    <t>https://collabmates.app.link/buoZRzqwkgb</t>
  </si>
  <si>
    <t>handloomfabrics1980@gmail.com</t>
  </si>
  <si>
    <t>2ae05af7-4dfa-4596-82b6-9d1c65716044</t>
  </si>
  <si>
    <t>7da22590-7ffe-4387-b035-cdf8439f3eff</t>
  </si>
  <si>
    <t>453739e2-0c4e-483f-8ccf-1f94b0c66d55</t>
  </si>
  <si>
    <t>https://collabmates.app.link/XOvsgcU7ngb</t>
  </si>
  <si>
    <t>mridulan@gmail.com</t>
  </si>
  <si>
    <t>46166661-5a1d-4879-bbd6-c8941810dcdb</t>
  </si>
  <si>
    <t>9d01af12-1d46-423a-8205-a5af804c1a3e</t>
  </si>
  <si>
    <t>1fe22aae-9678-405f-b37a-e64cfe77223e</t>
  </si>
  <si>
    <t>sdasd</t>
  </si>
  <si>
    <t>assdf</t>
  </si>
  <si>
    <t>praseudo1@yopmail.com</t>
  </si>
  <si>
    <t>asrsr</t>
  </si>
  <si>
    <t>e57b1b7e-e366-44f5-ab73-706cdf1ef23b</t>
  </si>
  <si>
    <t>https://collabmates.app.link/UfHNaLLwigb</t>
  </si>
  <si>
    <t>hi@garvmalik.com</t>
  </si>
  <si>
    <t>d636d641-38ca-445c-929c-90dad886af32</t>
  </si>
  <si>
    <t>c2cc00d9-b777-4639-9934-2b0b25120c5e</t>
  </si>
  <si>
    <t>https://collabmates.app.link/R16bnXyQqgb</t>
  </si>
  <si>
    <t>hariaheer71@gmail.com</t>
  </si>
  <si>
    <t>fd5fde4e-2f35-4686-bcd7-7f027b493598</t>
  </si>
  <si>
    <t>5371f613-fcfc-468a-83e5-a754ae4bc810</t>
  </si>
  <si>
    <t>9e242267-7aca-403b-a6c0-071f4f0386d5</t>
  </si>
  <si>
    <t>dac39642-9f20-4888-907b-dafc86f6987e</t>
  </si>
  <si>
    <t>6ec264d4-e126-4a14-b22b-3ccdba7b2266</t>
  </si>
  <si>
    <t>e453e70d-e5d8-4dd0-ae1f-8672a8c76f38</t>
  </si>
  <si>
    <t>efc6e8e1-7642-446f-aee4-5da809d71fe3</t>
  </si>
  <si>
    <t>41f0b0d0-5573-4fa6-909a-7e6afad9a12a</t>
  </si>
  <si>
    <t>f4a31747-f080-4e54-9a1a-485b47713465</t>
  </si>
  <si>
    <t>099e065c-f2cf-46f4-808a-30d7f271f71d</t>
  </si>
  <si>
    <t>adb19560-462a-4144-9d04-b3ba1c390b7f</t>
  </si>
  <si>
    <t>96b5bcd6-bfcb-472c-8937-f47a8ff52039</t>
  </si>
  <si>
    <t>d261a71c-17ee-4940-ae82-c5d838ae50f7</t>
  </si>
  <si>
    <t>f68eabb2-3799-4748-b0bc-a1a2381ca015</t>
  </si>
  <si>
    <t>b33360f2-cec6-427a-8f26-91a79b2ecb90</t>
  </si>
  <si>
    <t>4b66d6aa-9b72-4d92-a755-c31d31ecd9bd</t>
  </si>
  <si>
    <t>https://collabmates.app.link/xYeUu9qXvgb</t>
  </si>
  <si>
    <t>leena.bansal11@gmail.com</t>
  </si>
  <si>
    <t>ritu.kataria@likeminds.community</t>
  </si>
  <si>
    <t>Silver</t>
  </si>
  <si>
    <t>85658453-82b9-4d51-b60e-487292ee7865</t>
  </si>
  <si>
    <t>Gold</t>
  </si>
  <si>
    <t>cc3cf413-c2c7-435c-8622-932f187ec9fd</t>
  </si>
  <si>
    <t>Platinum</t>
  </si>
  <si>
    <t>6f540a45-92cf-4414-bc21-29f48d223a90</t>
  </si>
  <si>
    <t>a708410b-98b3-4d5e-81c2-741855a25b27</t>
  </si>
  <si>
    <t>12b0f87b-f23d-4ac0-9993-48728ed8a3e9</t>
  </si>
  <si>
    <t>677769e2-4d72-403d-94ac-808775ab1feb</t>
  </si>
  <si>
    <t>bef29130-b0bc-467e-91c1-2c676c36542f</t>
  </si>
  <si>
    <t>https://collabmates.app.link/pukCSO7Zegb</t>
  </si>
  <si>
    <t>87e12a47-a734-4193-85ec-ae447d80e747</t>
  </si>
  <si>
    <t>599185c9-3ffc-4af6-a373-f8253694fa20</t>
  </si>
  <si>
    <t>4bafddff-ed25-49d9-b0c8-1b86c89ea927</t>
  </si>
  <si>
    <t>Global Academy of Personality Development</t>
  </si>
  <si>
    <t>https://collabmates.app.link/FdDCsC8mwgb</t>
  </si>
  <si>
    <t>Georgiansachinshekhawat3340@gmail.com</t>
  </si>
  <si>
    <t>muskan.bhaiya@likeminds.community</t>
  </si>
  <si>
    <t>9baa3774-6e23-44f4-bd75-bec041fd95c8</t>
  </si>
  <si>
    <t>477f5c42-4a18-4f7f-896a-ceb910a8e498</t>
  </si>
  <si>
    <t>13fcc24d-a4eb-4f7f-b096-43985557d2da</t>
  </si>
  <si>
    <t>9cdb7c2e-0a3f-4002-ab1b-520433054102</t>
  </si>
  <si>
    <t>0526b332-27d7-472e-a285-6c0ad6249d68</t>
  </si>
  <si>
    <t>d364bb5e-28a5-4fac-8a9e-fc6114579599</t>
  </si>
  <si>
    <t>https://collabmates.app.link/BIvhg5teygb</t>
  </si>
  <si>
    <t>admin@onlineenglishclass.in</t>
  </si>
  <si>
    <t>92284d85-0f59-4711-a9fd-327d155ddc51</t>
  </si>
  <si>
    <t>4fd14e05-11fc-40f7-819d-76ece20247e1</t>
  </si>
  <si>
    <t>fdfd9708-042d-4c5c-87e6-6430613963c1</t>
  </si>
  <si>
    <t>003111c6-2771-4c5f-987d-84a3072c7d3e</t>
  </si>
  <si>
    <t>suryaiverson24@gmail.com</t>
  </si>
  <si>
    <t>40c57f55-5bc8-4916-b022-f579135bcf02</t>
  </si>
  <si>
    <t>4479f19c-5f8b-4232-8597-ab572c963d8b</t>
  </si>
  <si>
    <t>b131fc66-82fe-416d-acee-73bcabdbe72b</t>
  </si>
  <si>
    <t>Digital Marketing by Daily Skills</t>
  </si>
  <si>
    <t>https://collabmates.app.link/gj6NKnXNCgb</t>
  </si>
  <si>
    <t>subilal865@gmail.com</t>
  </si>
  <si>
    <t>1d7ced29-72f3-4963-8ca7-1eb1b562ac29</t>
  </si>
  <si>
    <t>85c929ff-5cf7-446d-b052-aeee393690ae</t>
  </si>
  <si>
    <t>DIAMOND</t>
  </si>
  <si>
    <t>eff2a223-e45f-44bc-bc90-570b8d3abbd9</t>
  </si>
  <si>
    <t>877954a5-b44b-4f9a-8337-29760b467573</t>
  </si>
  <si>
    <t>5ef4afd4-5eb5-42cc-8c1c-d9ed7907d11c</t>
  </si>
  <si>
    <t>2d0053ba-a817-49b1-9ba9-955655052124</t>
  </si>
  <si>
    <t>ab0a4351-6a1e-4190-8593-2ffe4083443a</t>
  </si>
  <si>
    <t>a7f13cf0-d1f4-46d6-9884-bf85492de059</t>
  </si>
  <si>
    <t>4bbefc23-a9b8-468f-97d6-f15f754719f9</t>
  </si>
  <si>
    <t>272aef04-e86f-4ccf-8dbd-fd14a9adf72d</t>
  </si>
  <si>
    <t>3f27f594-c1b4-4984-8fe2-67a909b7bc22</t>
  </si>
  <si>
    <t>f68e055d-be47-4d8e-9156-7c13056a1f3b</t>
  </si>
  <si>
    <t>buyer</t>
  </si>
  <si>
    <t>fc42c82f-f008-4f98-be35-1d3a3d90a7f4</t>
  </si>
  <si>
    <t>https://collabmates.app.link/IK5wC4o8Dgb</t>
  </si>
  <si>
    <t>Urvashi.saxena@likeminds.community</t>
  </si>
  <si>
    <t>20ef675e-22d1-40fe-ae14-700f2612b2c9</t>
  </si>
  <si>
    <t>e85a72f0-78ee-4045-ae7c-43315b1e0e13</t>
  </si>
  <si>
    <t>ddcb2153-3011-425d-b6f7-5536fb015100</t>
  </si>
  <si>
    <t>ea2cbecf-aa39-4874-afd0-ae6f71a44d48</t>
  </si>
  <si>
    <t>c3b3882d-67e7-4b01-bc35-9ff7f33de5c3</t>
  </si>
  <si>
    <t>046244a7-34cb-44f8-81be-2e3eec69abad</t>
  </si>
  <si>
    <t>24e086f1-6d9d-4d9a-808c-dda71845f370</t>
  </si>
  <si>
    <t>e280f8ba-7993-4ea6-b05c-1d606d43a5d0</t>
  </si>
  <si>
    <t>17c374bf-ecc8-407d-8fa9-53b915e30732</t>
  </si>
  <si>
    <t>https://collabmates.app.link/QEiNWGGpHgb</t>
  </si>
  <si>
    <t>am8alika@gmail.com</t>
  </si>
  <si>
    <t>Akshita.lopa@likeminds.community</t>
  </si>
  <si>
    <t>517a8c5a-2e3a-43ee-9b3e-512f29361111</t>
  </si>
  <si>
    <t>a528bdc4-afd7-4942-8d57-8a69f214be59</t>
  </si>
  <si>
    <t>c569cb32-9e1e-4231-a60f-b7dd838e051c</t>
  </si>
  <si>
    <t>meeting with self</t>
  </si>
  <si>
    <t>https://collabmates.app.link/BsOVJF3NHgb</t>
  </si>
  <si>
    <t>poojamehta25@gmail.com</t>
  </si>
  <si>
    <t>mansi.agrawal@likeminds.community</t>
  </si>
  <si>
    <t>b505cf27-107a-4228-be3f-adc52b831e04</t>
  </si>
  <si>
    <t>507beaf4-02a0-4413-abe9-bfe08e9cd3f2</t>
  </si>
  <si>
    <t>aee90a54-bbfd-4a14-bca2-5f8528e05d07</t>
  </si>
  <si>
    <t>6288ed1f-0ebf-4cf4-a9ad-be8645390b91</t>
  </si>
  <si>
    <t>https://collabmates.app.link/DTf7mofrrgb</t>
  </si>
  <si>
    <t>2223869e-7fcd-4aad-a2ee-f9fbd7565bca</t>
  </si>
  <si>
    <t>ef06f095-0bfb-46b5-a818-eb6dd3baf71d</t>
  </si>
  <si>
    <t>4d78fcbc-c31f-478a-923e-aefec3f77d67</t>
  </si>
  <si>
    <t>b6444d56-895a-47c2-b77a-d9ce753a5aa5</t>
  </si>
  <si>
    <t>121ebc9c-f6b0-469f-a3b8-08202d930e88</t>
  </si>
  <si>
    <t>https://collabmates.app.link/qdVFBRENkgb</t>
  </si>
  <si>
    <t>554e5de6-fa9d-4328-93e1-3570b3380b57</t>
  </si>
  <si>
    <t>bd5bf2f2-bb3a-4db5-8f78-f9af6ff7cef9</t>
  </si>
  <si>
    <t>13cda258-52e4-4ee0-a7ac-dad8e61db3fd</t>
  </si>
  <si>
    <t>Master your tTinking</t>
  </si>
  <si>
    <t>https://collabmates.app.link/RDuEyFgXHgb</t>
  </si>
  <si>
    <t>40a13a3f-9f5e-4a0d-970a-0c0c202bde94</t>
  </si>
  <si>
    <t>6af6d748-7c52-4836-b141-b0a0150c34d9</t>
  </si>
  <si>
    <t>13c0b553-5d91-4d31-b4bc-88d880628869</t>
  </si>
  <si>
    <t>f769f468-4a1f-47bd-a73b-f158d7cd9797</t>
  </si>
  <si>
    <t>5f18b70b-7596-4800-968b-3425c2266e5e</t>
  </si>
  <si>
    <t>acc18a69-ec02-404c-a4cc-2d7e78914d38</t>
  </si>
  <si>
    <t>c0354a0c-bfc8-40a1-b6b8-195bd7378b01</t>
  </si>
  <si>
    <t>2100ec4b-7a17-49d2-b479-d38b0d0b44b4</t>
  </si>
  <si>
    <t>6f8fe0cd-04bb-4a35-8caf-990c4c25cf0b</t>
  </si>
  <si>
    <t>Test</t>
  </si>
  <si>
    <t>google.com</t>
  </si>
  <si>
    <t>1e3559ac-d696-4f92-846b-8fe5784be99a</t>
  </si>
  <si>
    <t>26cb6634-bce1-4a57-b8a0-4f83a8b50f95</t>
  </si>
  <si>
    <t>0faef119-07f2-49d3-b112-6b57b36ed9de</t>
  </si>
  <si>
    <t>0a114e86-d0ef-4fff-b239-cb1354987d39</t>
  </si>
  <si>
    <t>7f4ca942-2b1b-4228-b31d-dbac6f16f15e</t>
  </si>
  <si>
    <t>https://collabmates.app.link/LpphzCuREgb</t>
  </si>
  <si>
    <t>pc50505@gmail.com</t>
  </si>
  <si>
    <t>dd7639d2-7b94-4e3a-b014-bf2e98d9c900</t>
  </si>
  <si>
    <t>b6bc788c-26bb-49cf-a38f-31e0937cfc4a</t>
  </si>
  <si>
    <t>49ba6719-b453-4b8b-beb1-91464f45d860</t>
  </si>
  <si>
    <t>b77a86f3-45c3-4704-add2-eb5f784c6475</t>
  </si>
  <si>
    <t>91f63770-e932-415f-99ce-a029da6b9708</t>
  </si>
  <si>
    <t>56a4c42d-5825-40a2-822c-085d0bf62600</t>
  </si>
  <si>
    <t>https://collabmates.app.link/TyACFPPuEgb</t>
  </si>
  <si>
    <t>shriemagarwal@gmail.com</t>
  </si>
  <si>
    <t>b3357429-e535-4d80-a3b8-248cd2cd4f9f</t>
  </si>
  <si>
    <t>7d5492e5-4806-4570-9fb4-d67785bb73f3</t>
  </si>
  <si>
    <t>79e54610-9547-4fa6-b843-45e6fe54ca0a</t>
  </si>
  <si>
    <t>https://collabmates.app.link/bH0JqVDYHgb</t>
  </si>
  <si>
    <t>shahkaushal156@gmail.com</t>
  </si>
  <si>
    <t>95ac66af-ca1c-4dcd-9f5d-44a3427e5109</t>
  </si>
  <si>
    <t>33dba64d-bd0d-4bcd-9282-f03dab6aedc2</t>
  </si>
  <si>
    <t>72e01ee1-8eb5-428b-9ccb-4fc26d460078</t>
  </si>
  <si>
    <t>106838aa-753d-4c31-98cb-3ed70fb36168</t>
  </si>
  <si>
    <t>Business Membership</t>
  </si>
  <si>
    <t>5a6ba5bf-5db1-4ba1-b858-3ca320152621</t>
  </si>
  <si>
    <t>https://collabmates.app.link/WSga9p45Igb</t>
  </si>
  <si>
    <t>ragatti.shiva@gmail.com</t>
  </si>
  <si>
    <t>993fa70d-45a9-4706-be60-14f43bb4157a</t>
  </si>
  <si>
    <t>d4dec3e2-dd08-44d1-8cd6-217433eea1b3</t>
  </si>
  <si>
    <t>c8059690-14e3-433e-aa4a-cfa3f5ee3c17</t>
  </si>
  <si>
    <t>UnchaAI</t>
  </si>
  <si>
    <t>https://collabmates.app.link/HKSFsQFqpgb</t>
  </si>
  <si>
    <t>shivampal128@gmail.com</t>
  </si>
  <si>
    <t>himanshu@likeminds.community</t>
  </si>
  <si>
    <t>Only Mentorship</t>
  </si>
  <si>
    <t>8dcdb38c-3405-44a0-abe4-0217769832c2</t>
  </si>
  <si>
    <t>e51cbb46-60f6-4c84-8ab1-8fba4fcf2753</t>
  </si>
  <si>
    <t>3fdee685-abdf-47bf-9f69-452a56e4bae2</t>
  </si>
  <si>
    <t>Mentorship+Doubt Solving</t>
  </si>
  <si>
    <t>c53763b1-64f2-4488-90e0-42dd952ff7bc</t>
  </si>
  <si>
    <t>6d51f15f-58b6-43e4-8184-08788ff6fb8a</t>
  </si>
  <si>
    <t>8097ae9e-393d-4c46-8330-5c8218f170ea</t>
  </si>
  <si>
    <t>https://collabmates.app.link/yIzu2pP5Igb</t>
  </si>
  <si>
    <t>2016dchakra@gmail.com</t>
  </si>
  <si>
    <t>6797ea80-f4dd-4d12-aedd-a792f74454dc</t>
  </si>
  <si>
    <t>a3f34baa-f418-4590-8fb1-3128706ab202</t>
  </si>
  <si>
    <t>a884d191-1650-48c3-8efd-8d632b29e644</t>
  </si>
  <si>
    <t>https://collabmates.app.link/ZmUtB6FdLgb</t>
  </si>
  <si>
    <t>amruta.suvarnan@gmail.com</t>
  </si>
  <si>
    <t>anshul.jain@likeminds.community</t>
  </si>
  <si>
    <t>367b21db-e489-402e-9184-9d6c2fedb2bf</t>
  </si>
  <si>
    <t>8479833b-7dc6-4275-83c9-90db07e50722</t>
  </si>
  <si>
    <t>c9a0eaa9-4fc6-4b8b-9583-03644deb2281</t>
  </si>
  <si>
    <t>b4921819-7640-4509-b07f-84ba27b31e4f</t>
  </si>
  <si>
    <t>82ef7306-ee99-4556-a3ed-698940923bc3</t>
  </si>
  <si>
    <t>fc7895dc-ed30-4b51-b9ec-2664679b4e63</t>
  </si>
  <si>
    <t>https://collabmates.app.link/2olEaZUQTgb</t>
  </si>
  <si>
    <t>misrapooja291@gmail.com</t>
  </si>
  <si>
    <t>c5b1888d-0d27-407f-b600-595c7bc995b5</t>
  </si>
  <si>
    <t>21cd117e-0db8-463f-b230-737ec7cf88a4</t>
  </si>
  <si>
    <t>9cbc76c9-da60-4fd1-b9f1-41e3b0dcb630</t>
  </si>
  <si>
    <t>https://collabmates.app.link/6kd9IqNbjgb</t>
  </si>
  <si>
    <t>mikejo05@gmail.com</t>
  </si>
  <si>
    <t>SILVER CLUB</t>
  </si>
  <si>
    <t>2003371e-6514-4404-9b97-73dbffff40f1</t>
  </si>
  <si>
    <t>GOLD CLUB</t>
  </si>
  <si>
    <t>f1b4fdcb-b227-4fe6-942b-cee2af33e993</t>
  </si>
  <si>
    <t>PLATINUM CLUB</t>
  </si>
  <si>
    <t>20cf8b1a-f939-41af-aa62-db10d926180a</t>
  </si>
  <si>
    <t>https://collabmates.app.link/EnOFlKNuTgb</t>
  </si>
  <si>
    <t>sakshi.kites@gmail.com</t>
  </si>
  <si>
    <t>8c06f563-550a-4e0a-bf5e-efd1ef8cce5d</t>
  </si>
  <si>
    <t>cd75255c-5469-40c2-aa70-99c924d0cbd0</t>
  </si>
  <si>
    <t>5c61c5ab-5505-47f6-923e-39c1422604dd</t>
  </si>
  <si>
    <t>913ed34f-a4bf-4efd-83eb-d64f7c21201c</t>
  </si>
  <si>
    <t>8e951c7b-6512-413a-acbd-8e5a4e455982</t>
  </si>
  <si>
    <t>48bc08a0-d834-4c70-aaa9-5a73eb900e8a</t>
  </si>
  <si>
    <t>08a5792b-b13d-4fca-b466-175d3dcc506a</t>
  </si>
  <si>
    <t>3e615aae-0ce6-456b-8e80-f58e7d60cc1c</t>
  </si>
  <si>
    <t>https://collabmates.app.link/uX8Wi4YgVgb</t>
  </si>
  <si>
    <t>levelzeroesports@gmail.com</t>
  </si>
  <si>
    <t>APEX LEGENDS</t>
  </si>
  <si>
    <t>8ac99465-e4d0-4bea-a8c8-ee2fdfca9a9e</t>
  </si>
  <si>
    <t>VALORANT</t>
  </si>
  <si>
    <t>c869ae39-d21d-4d2b-bc16-e09a1ef45cd3</t>
  </si>
  <si>
    <t>https://collabmates.app.link/bv5Fs1xdLgb</t>
  </si>
  <si>
    <t>singh.bhawana2@gmail.com</t>
  </si>
  <si>
    <t>aa85bc3e-6f16-4c73-acce-12265cc69fa1</t>
  </si>
  <si>
    <t>BATTLEGROUNDS</t>
  </si>
  <si>
    <t>bc10a84a-c9b1-48c1-b394-8b352c212e42</t>
  </si>
  <si>
    <t>f8ccf1cf-77a7-477a-a787-2cb1282fbd7a</t>
  </si>
  <si>
    <t>1e2be6ce-ad95-4d70-b469-a21b978acdac</t>
  </si>
  <si>
    <t>7e56e299-521e-4f71-a294-786bd5290228</t>
  </si>
  <si>
    <t>66daae8c-82c7-410c-a217-562b894e22dc</t>
  </si>
  <si>
    <t>bafae205-bf89-4a2c-b732-e85303a514e9</t>
  </si>
  <si>
    <t>https://collabmates.app.link/DHNCeoyvOgb</t>
  </si>
  <si>
    <t>growing.buddies@gmail.com</t>
  </si>
  <si>
    <t>27322ea2-9085-4f5e-9d6a-f23f4c70539e</t>
  </si>
  <si>
    <t>a95f743d-8291-4c47-92f6-2da038e8c19c</t>
  </si>
  <si>
    <t>2aaa6512-8a3c-497e-a82a-465ed925e190</t>
  </si>
  <si>
    <t>eaffabf1-37e8-4aee-ba89-b6dc8ff591ad</t>
  </si>
  <si>
    <t>https://collabmates.app.link/LEkRtg5IYgb</t>
  </si>
  <si>
    <t>samantaksahawork@gmail.com</t>
  </si>
  <si>
    <t>403ad6be-18b8-49a1-9da8-dcaea3ce844f</t>
  </si>
  <si>
    <t>1962a26a-8787-46e5-8379-11f84eab382a</t>
  </si>
  <si>
    <t>c257a754-7978-4b2b-901b-88fc1ce5bf24</t>
  </si>
  <si>
    <t>dad934e6-7bd3-423d-9864-b581a5ced4df</t>
  </si>
  <si>
    <t>449d8b08-eafe-4806-99cd-404a5e5952b9</t>
  </si>
  <si>
    <t>cd545798-7334-40e6-a306-60f6f76466e2</t>
  </si>
  <si>
    <t>UVA Fit</t>
  </si>
  <si>
    <t>https://collabmates.app.link/7yXPzhkRMgb</t>
  </si>
  <si>
    <t>suman.murthy@uvadigital.in</t>
  </si>
  <si>
    <t>b201968b-cc08-4ed8-ab11-4e44c177a0c0</t>
  </si>
  <si>
    <t>3dd08c7a-002e-4c7f-8b61-58b3622b4fd2</t>
  </si>
  <si>
    <t>5bc0a001-9160-405f-b365-228272631e0e</t>
  </si>
  <si>
    <t>a5173771-cac1-4f75-b929-ad20c9b3d02d</t>
  </si>
  <si>
    <t>617aca95-b252-49aa-9f83-5090c063c6c8</t>
  </si>
  <si>
    <t>65e85f67-c80f-4453-ab37-5c69f3f1a24c</t>
  </si>
  <si>
    <t>1187fff7-e162-4193-9f58-355ab633f639</t>
  </si>
  <si>
    <t>61a71242-2a77-40e2-9c6c-e3a01d5f1b2a</t>
  </si>
  <si>
    <t>aa03b87f-173a-42bd-a1d6-2bf3b353dfa6</t>
  </si>
  <si>
    <t>7fd50cc4-b3b4-4a48-97eb-23ebb8013b4c</t>
  </si>
  <si>
    <t>6ea82515-6670-4ad1-b591-539205579647</t>
  </si>
  <si>
    <t>ff5e4401-cf9a-44e0-8cd2-805daccb432d</t>
  </si>
  <si>
    <t>https://collabmates.app.link/ilKmiQ1MMgb</t>
  </si>
  <si>
    <t>dibyoshnatatalukdar@gmail.com</t>
  </si>
  <si>
    <t>d4a1359c-6606-4186-8db6-372cd408c4c1</t>
  </si>
  <si>
    <t>c6d03add-cc24-4acb-ac59-564f954cc959</t>
  </si>
  <si>
    <t>5389d6c1-338f-423e-bf61-edcfb2cb8862</t>
  </si>
  <si>
    <t>6c5b2060-b2da-4e88-a31b-ead0be14ae7b</t>
  </si>
  <si>
    <t>93b8f651-e2db-436f-957a-362488ce0f9e</t>
  </si>
  <si>
    <t>BASIC</t>
  </si>
  <si>
    <t>edeafc14-685b-4a2d-a4b2-97457d0927b7</t>
  </si>
  <si>
    <t>STANDARD</t>
  </si>
  <si>
    <t>2dfa7688-0cb3-450f-b8b5-e9a364d7f433</t>
  </si>
  <si>
    <t>8b279e93-6d01-43fc-953c-2874cc0245cd</t>
  </si>
  <si>
    <t>23c9616f-1ee5-4092-9bfc-d32d38eb2da7</t>
  </si>
  <si>
    <t>BASIC - Ideal for Influencers, Affiliates\</t>
  </si>
  <si>
    <t>6d3a06c6-0ba3-47de-ba97-1f51072d1d04</t>
  </si>
  <si>
    <t>STANDARD - Ideal for Trainers, Entrepreneurs</t>
  </si>
  <si>
    <t>6f23ca13-a6ac-4084-9c4d-51662e6072cc</t>
  </si>
  <si>
    <t>1e63c928-755f-4efd-981f-f4db1dfbb3da</t>
  </si>
  <si>
    <t>becefe33-f7ad-4b6c-afa2-9361ecb71e2c</t>
  </si>
  <si>
    <t>9c5b26de-a289-46ce-b9ea-d7c0e1ccf659</t>
  </si>
  <si>
    <t>d64a297d-32ba-4639-8a87-a6ca15c82a0d</t>
  </si>
  <si>
    <t>a51093f7-859a-4a16-bb34-935f691c324e</t>
  </si>
  <si>
    <t>b52d2ca3-0296-40cf-8193-7db3d0a3612c</t>
  </si>
  <si>
    <t>da5caff3-ccec-497a-977f-d119aec13f6c</t>
  </si>
  <si>
    <t>8c27702d-8bf0-4b9f-8b78-ccd78393fb3b</t>
  </si>
  <si>
    <t>56089366-6283-4505-9e69-267f7db76659</t>
  </si>
  <si>
    <t>Focus inside</t>
  </si>
  <si>
    <t>tarun.pahuja@likeminds.community</t>
  </si>
  <si>
    <t>b45c4241-78b2-499a-88f4-fd3ed315bcb2</t>
  </si>
  <si>
    <t>ef615171-651d-4882-8309-d411063960ee</t>
  </si>
  <si>
    <t>ee032174-ef8e-461d-97d2-1ff3e70c7c6d</t>
  </si>
  <si>
    <t>810d1301-ec74-4cfa-9d0c-aeca3f9dbece</t>
  </si>
  <si>
    <t>1f55df2b-4424-4c5a-b687-272369dc16bc</t>
  </si>
  <si>
    <t>6f0f50bd-220b-4299-a529-d40e539d8989</t>
  </si>
  <si>
    <t>https://collabmates.app.link/DgLj9XJXfgb</t>
  </si>
  <si>
    <t>gururanivithika1998@gmail.com</t>
  </si>
  <si>
    <t>Life Coaching Program</t>
  </si>
  <si>
    <t>51e17d0c-57fc-44d3-88e2-03f748fcff34</t>
  </si>
  <si>
    <t>Health And Wellness Program</t>
  </si>
  <si>
    <t>a365c127-88d4-4638-8072-5daa9091b058</t>
  </si>
  <si>
    <t>Body Image And Confidence Foundation Program</t>
  </si>
  <si>
    <t>e1aa5d83-482c-49e4-aa6a-e93b8201dc7c</t>
  </si>
  <si>
    <t>a5f0805c-c0b9-41a4-a842-269f856e8f9d</t>
  </si>
  <si>
    <t>ae66613f-933f-439a-aee7-a9c0cc149c75</t>
  </si>
  <si>
    <t>49cba17b-86ad-4b5d-ba83-1f2c218851df</t>
  </si>
  <si>
    <t>georgiansachinshekhawat3340@gmail.com</t>
  </si>
  <si>
    <t>SAPPHIRE</t>
  </si>
  <si>
    <t>81761c14-7b3f-4b2a-8cef-79ad7fea54b7</t>
  </si>
  <si>
    <t>EMERALD</t>
  </si>
  <si>
    <t>410e1a5c-de81-4fab-9987-657dcf149c2f</t>
  </si>
  <si>
    <t>0e449c3e-0afa-43a6-a563-ee85186f7196</t>
  </si>
  <si>
    <t>4b5c5b56-3452-4f08-89b0-10b8297602de</t>
  </si>
  <si>
    <t>shilkagarwal@gmail.com</t>
  </si>
  <si>
    <t>922b051a-b234-4429-8eb1-dfd9cb98b317</t>
  </si>
  <si>
    <t>62da586b-2756-4bdd-95e3-e49ea9a1874c</t>
  </si>
  <si>
    <t>36cc0ab1-564a-4b61-9161-01d2227495a4</t>
  </si>
  <si>
    <t>84b9bc0f-fd22-43bc-a705-0bdc1dd406ec</t>
  </si>
  <si>
    <t>ba661b8e-7085-49b2-a1bd-259671a1b9f2</t>
  </si>
  <si>
    <t>8c50e7f0-d704-46e0-8d48-5c9da12861ac</t>
  </si>
  <si>
    <t>3154e1c0-d3a1-44a7-a41a-24ee392e0009</t>
  </si>
  <si>
    <t>18200660-7331-4e34-8875-842ea9918fa8</t>
  </si>
  <si>
    <t>0e52c8b4-ef8f-4c2c-b301-2192a5c08640</t>
  </si>
  <si>
    <t>fef9e60c-6daa-43a2-8331-16ad241c90cd</t>
  </si>
  <si>
    <t>3e32aa49-4241-4038-bfec-b5a21b92a283</t>
  </si>
  <si>
    <t>16abfe26-e51b-4328-a59b-fceb8d9e9cd4</t>
  </si>
  <si>
    <t>6fbb8a00-809f-4444-a8cc-912871f2884d</t>
  </si>
  <si>
    <t>1e7ff6de-6324-4bd3-950d-c240d942fda5</t>
  </si>
  <si>
    <t>3237ded3-a2e7-450e-bf3c-f640d5570805</t>
  </si>
  <si>
    <t>dd789958-c14f-4ebe-a1f0-494aad4b3a8a</t>
  </si>
  <si>
    <t>24547447-af18-4fef-bfc5-ffe3d315ac71</t>
  </si>
  <si>
    <t>a87a94ac-6b7c-4b7e-85f3-7f0ef22f3eda</t>
  </si>
  <si>
    <t>3e824f43-ff71-4d36-b65d-0864cbb69e70</t>
  </si>
  <si>
    <t>d5aa1d0f-7502-4ad3-bf9e-e38164cbb052</t>
  </si>
  <si>
    <t>f6c6a3a4-b29d-429e-96b6-e3c01572dfd7</t>
  </si>
  <si>
    <t>rushikesh.bhosale@likeminds.community</t>
  </si>
  <si>
    <t>Speak Up</t>
  </si>
  <si>
    <t>51e33f1a-4b78-4ca5-b009-6e460fbde9fa</t>
  </si>
  <si>
    <t>Professional</t>
  </si>
  <si>
    <t>035f8c9a-0438-4476-91eb-314a8b92181f</t>
  </si>
  <si>
    <t>37a030d7-0b74-4b28-abfc-95806ec318c9</t>
  </si>
  <si>
    <t>83ca59d2-d126-4727-b916-b678619135ca</t>
  </si>
  <si>
    <t>d501dcaf-1202-4b86-85c9-d83bd8e7a908</t>
  </si>
  <si>
    <t>391ce5b4-157b-4adc-98fa-a8e465414fda</t>
  </si>
  <si>
    <t>community_id_id</t>
  </si>
  <si>
    <t>member_id_id</t>
  </si>
  <si>
    <t>became_member_at</t>
  </si>
  <si>
    <t>state</t>
  </si>
  <si>
    <t>is_owner</t>
  </si>
  <si>
    <t>name</t>
  </si>
  <si>
    <t>exempt</t>
  </si>
  <si>
    <t>Aakriti Jain</t>
  </si>
  <si>
    <t>Aarti sharma</t>
  </si>
  <si>
    <t>Aarzoo budhwani</t>
  </si>
  <si>
    <t>Adv. Ankeetaa Mahesshwari Shah</t>
  </si>
  <si>
    <t>Aksa shaikh</t>
  </si>
  <si>
    <t>Akshita Lopa</t>
  </si>
  <si>
    <t>Alisha apurv rai</t>
  </si>
  <si>
    <t>Alokita amanna</t>
  </si>
  <si>
    <t>Aloney jogani jain</t>
  </si>
  <si>
    <t>Amrit Badhwar</t>
  </si>
  <si>
    <t>Anamika kochhar</t>
  </si>
  <si>
    <t>Ankita kothari</t>
  </si>
  <si>
    <t>Ankita shah</t>
  </si>
  <si>
    <t>Anshika srivastava</t>
  </si>
  <si>
    <t>Anusha sharma</t>
  </si>
  <si>
    <t>Aparna jha</t>
  </si>
  <si>
    <t>Aparna krishna</t>
  </si>
  <si>
    <t>Apeksha patel</t>
  </si>
  <si>
    <t>Apoorva panwar</t>
  </si>
  <si>
    <t>Apurva P</t>
  </si>
  <si>
    <t>Arpita Chandekar</t>
  </si>
  <si>
    <t>Arpita mehta</t>
  </si>
  <si>
    <t>Arpitha P A</t>
  </si>
  <si>
    <t>Arshiya khanum</t>
  </si>
  <si>
    <t>Arthi dhamoder</t>
  </si>
  <si>
    <t>Arti gupta</t>
  </si>
  <si>
    <t>Avneet kaur</t>
  </si>
  <si>
    <t>Bedapta</t>
  </si>
  <si>
    <t>Bhagyashree Kavthekar</t>
  </si>
  <si>
    <t>Bhavika</t>
  </si>
  <si>
    <t>Bhavna bhateja</t>
  </si>
  <si>
    <t>Bhoomika ahuja</t>
  </si>
  <si>
    <t>Bhumika bajaj</t>
  </si>
  <si>
    <t>Bhumika tahiliani jain</t>
  </si>
  <si>
    <t>Bindiya Ganesh</t>
  </si>
  <si>
    <t>Biny pillai</t>
  </si>
  <si>
    <t>Blogger_ Anjali</t>
  </si>
  <si>
    <t>Charu bhartia</t>
  </si>
  <si>
    <t>Chetna Maloo</t>
  </si>
  <si>
    <t>Christy mayekar</t>
  </si>
  <si>
    <t>Daisy d</t>
  </si>
  <si>
    <t>Deepali nautiyal</t>
  </si>
  <si>
    <t>Deepashree</t>
  </si>
  <si>
    <t>Devangi thapar</t>
  </si>
  <si>
    <t>Devanshi</t>
  </si>
  <si>
    <t>Dhruti amit</t>
  </si>
  <si>
    <t>Dietitian srishti arora</t>
  </si>
  <si>
    <t>Dimple dave</t>
  </si>
  <si>
    <t>Dimple jain</t>
  </si>
  <si>
    <t>Dimpy tolani</t>
  </si>
  <si>
    <t>Dipannita das</t>
  </si>
  <si>
    <t>Divya atwal gosavi</t>
  </si>
  <si>
    <t>Divya bhatia</t>
  </si>
  <si>
    <t>Divya bhatnagar</t>
  </si>
  <si>
    <t>Divya singh bisht</t>
  </si>
  <si>
    <t>Dr manaswita biswas</t>
  </si>
  <si>
    <t>Dr paridhi jain</t>
  </si>
  <si>
    <t>Dr rishika tawri atal</t>
  </si>
  <si>
    <t>Dr rishita joshi</t>
  </si>
  <si>
    <t>Dr. Ankita jain</t>
  </si>
  <si>
    <t>Dr. deepali kandwal</t>
  </si>
  <si>
    <t>Dr. ishpreet kaur</t>
  </si>
  <si>
    <t>Dr. Priyanka tibrewala</t>
  </si>
  <si>
    <t>Dr. umera zakiahmed saiyed</t>
  </si>
  <si>
    <t>Drpriyanka upadhyay</t>
  </si>
  <si>
    <t>Eisha qamar</t>
  </si>
  <si>
    <t>Ekta varma (mommy_modeon)</t>
  </si>
  <si>
    <t>Eliana valerio</t>
  </si>
  <si>
    <t>Er Shreya Jain</t>
  </si>
  <si>
    <t>Eram khan</t>
  </si>
  <si>
    <t>Esra hadi</t>
  </si>
  <si>
    <t>Farah diba ahmed</t>
  </si>
  <si>
    <t>Fariamby cooks</t>
  </si>
  <si>
    <t>Fatema</t>
  </si>
  <si>
    <t>Garima malhotra</t>
  </si>
  <si>
    <t>Geeta Geeta</t>
  </si>
  <si>
    <t>giggles_n_struggles_sonali</t>
  </si>
  <si>
    <t>Gitika gogia</t>
  </si>
  <si>
    <t>Gleney saldanha</t>
  </si>
  <si>
    <t>Gurmeen shrivastav</t>
  </si>
  <si>
    <t>Gurpreet Sahni</t>
  </si>
  <si>
    <t>gurvaaj aayan</t>
  </si>
  <si>
    <t>Harine ganesan</t>
  </si>
  <si>
    <t>Harsimar</t>
  </si>
  <si>
    <t>Himanshu Khubwani</t>
  </si>
  <si>
    <t>Huda chougle</t>
  </si>
  <si>
    <t>Huriyat plasticwala</t>
  </si>
  <si>
    <t>Insiya mustafa</t>
  </si>
  <si>
    <t>Isha mangla</t>
  </si>
  <si>
    <t>Ishwariya_suresh</t>
  </si>
  <si>
    <t>Jagriti</t>
  </si>
  <si>
    <t>Jai lanba</t>
  </si>
  <si>
    <t>Jasleen kaur</t>
  </si>
  <si>
    <t>Jasmeet kaur</t>
  </si>
  <si>
    <t>Jasneet srivastava</t>
  </si>
  <si>
    <t>Jayati shrivastava</t>
  </si>
  <si>
    <t>Jessica pancholi</t>
  </si>
  <si>
    <t>Jhalak shanghvi</t>
  </si>
  <si>
    <t>Josephine daniel</t>
  </si>
  <si>
    <t>Juhi hemnani</t>
  </si>
  <si>
    <t>Juhi joshi</t>
  </si>
  <si>
    <t>Julfa sanghvi</t>
  </si>
  <si>
    <t>Juveria khalid</t>
  </si>
  <si>
    <t>Juveriah suman</t>
  </si>
  <si>
    <t>Jyoti ahuja</t>
  </si>
  <si>
    <t>Jyoti Dasgupta</t>
  </si>
  <si>
    <t>Jyoti srivastava</t>
  </si>
  <si>
    <t>Jyotsana bhardwaj</t>
  </si>
  <si>
    <t>kalpana vlog</t>
  </si>
  <si>
    <t>Kanchi sheth</t>
  </si>
  <si>
    <t>Kanika</t>
  </si>
  <si>
    <t>kanika gopireddy</t>
  </si>
  <si>
    <t>Kanika makhijani</t>
  </si>
  <si>
    <t>Kanupriya jain</t>
  </si>
  <si>
    <t>Karishma shah</t>
  </si>
  <si>
    <t>Karmashree patel</t>
  </si>
  <si>
    <t>Kayra ansari</t>
  </si>
  <si>
    <t>Khushbu panchal</t>
  </si>
  <si>
    <t>Kinjal doshi</t>
  </si>
  <si>
    <t>Kiran b chhatre</t>
  </si>
  <si>
    <t>Komal agarwal</t>
  </si>
  <si>
    <t>Komal khurana</t>
  </si>
  <si>
    <t>Komal verma</t>
  </si>
  <si>
    <t>Komila dhar</t>
  </si>
  <si>
    <t>Kosha shah</t>
  </si>
  <si>
    <t>Krisha jain</t>
  </si>
  <si>
    <t>Kritika Jain</t>
  </si>
  <si>
    <t>Kritika jain</t>
  </si>
  <si>
    <t>Lavina wadhwani</t>
  </si>
  <si>
    <t>Lekha thakkar</t>
  </si>
  <si>
    <t>Lifewidmylittles</t>
  </si>
  <si>
    <t>Lutasha kharbanda</t>
  </si>
  <si>
    <t>Mahima atishaya</t>
  </si>
  <si>
    <t>Mahita</t>
  </si>
  <si>
    <t>Maithili Pawar-Mhatre</t>
  </si>
  <si>
    <t>mamma's hubb</t>
  </si>
  <si>
    <t>Mamta verma</t>
  </si>
  <si>
    <t>Manali</t>
  </si>
  <si>
    <t>Manisha Gusain</t>
  </si>
  <si>
    <t>Manpreet kaur Randhava</t>
  </si>
  <si>
    <t>Mansi</t>
  </si>
  <si>
    <t>Mansi bajaj</t>
  </si>
  <si>
    <t>Mansi gupta</t>
  </si>
  <si>
    <t>Mansi sanghi</t>
  </si>
  <si>
    <t>mantaru mom</t>
  </si>
  <si>
    <t>Meenu maheshwari</t>
  </si>
  <si>
    <t>Meera singh</t>
  </si>
  <si>
    <t>Megha pandey</t>
  </si>
  <si>
    <t>Meghna bhawsinka</t>
  </si>
  <si>
    <t>Menka khiani</t>
  </si>
  <si>
    <t>Minal jain</t>
  </si>
  <si>
    <t>Mini chadha</t>
  </si>
  <si>
    <t>Misba faisal</t>
  </si>
  <si>
    <t>Mitali shah</t>
  </si>
  <si>
    <t>Mithi mishra</t>
  </si>
  <si>
    <t>Mohita</t>
  </si>
  <si>
    <t>Mom_and_zeeva</t>
  </si>
  <si>
    <t>Momlifeandlifestyle</t>
  </si>
  <si>
    <t>momsquad_kol</t>
  </si>
  <si>
    <t>Monalisha</t>
  </si>
  <si>
    <t>Monika</t>
  </si>
  <si>
    <t>Moushmi</t>
  </si>
  <si>
    <t>Mrinalini singh</t>
  </si>
  <si>
    <t>Naba naeem</t>
  </si>
  <si>
    <t>Naina bhargva</t>
  </si>
  <si>
    <t>Namita sinha</t>
  </si>
  <si>
    <t>Navleen kaur</t>
  </si>
  <si>
    <t>Neethashree</t>
  </si>
  <si>
    <t>Neha shinde</t>
  </si>
  <si>
    <t>Neha verma</t>
  </si>
  <si>
    <t>Nidhi</t>
  </si>
  <si>
    <t>Niki thakar</t>
  </si>
  <si>
    <t>Nikita chheda</t>
  </si>
  <si>
    <t>Nikita gori</t>
  </si>
  <si>
    <t>Nikita singh</t>
  </si>
  <si>
    <t>Nikita Vora</t>
  </si>
  <si>
    <t>Nirali  pandya</t>
  </si>
  <si>
    <t>Nirmal gulati</t>
  </si>
  <si>
    <t>Nisha chamria</t>
  </si>
  <si>
    <t>Nishikch</t>
  </si>
  <si>
    <t>Nishita kaushik</t>
  </si>
  <si>
    <t>Nitika singhal</t>
  </si>
  <si>
    <t>Nivedita bhunjoun</t>
  </si>
  <si>
    <t>Nupur gupta</t>
  </si>
  <si>
    <t>Paakhi jain</t>
  </si>
  <si>
    <t>Pallavi swapnil pawar</t>
  </si>
  <si>
    <t>Pankhuri</t>
  </si>
  <si>
    <t>Paras Pundir</t>
  </si>
  <si>
    <t>Parul Jain</t>
  </si>
  <si>
    <t>Parvathi Srinivasan</t>
  </si>
  <si>
    <t>Patricia-life.schooled</t>
  </si>
  <si>
    <t>Paulomi pandit upadhyay</t>
  </si>
  <si>
    <t>Pooja grewal thokal</t>
  </si>
  <si>
    <t>Pooja shah</t>
  </si>
  <si>
    <t>Pooja shetty</t>
  </si>
  <si>
    <t>Poojaa dutta</t>
  </si>
  <si>
    <t>Poonam</t>
  </si>
  <si>
    <t>Poonam Tripathi</t>
  </si>
  <si>
    <t>Prachi bohora salecha</t>
  </si>
  <si>
    <t>Prachi mittal</t>
  </si>
  <si>
    <t>Prachi more</t>
  </si>
  <si>
    <t>Prajakta vaibhav karekar</t>
  </si>
  <si>
    <t>Prakruti Mehta</t>
  </si>
  <si>
    <t>Preeti gupta</t>
  </si>
  <si>
    <t>Preeti singh</t>
  </si>
  <si>
    <t>Prerna rohilla</t>
  </si>
  <si>
    <t>Prerna sood kalra</t>
  </si>
  <si>
    <t>Priya kalantri</t>
  </si>
  <si>
    <t>Priya shashank krishnan</t>
  </si>
  <si>
    <t>priyanka belorkar</t>
  </si>
  <si>
    <t>Priyanka chhabria</t>
  </si>
  <si>
    <t>Priyanka khatri</t>
  </si>
  <si>
    <t>Priyanka mitra</t>
  </si>
  <si>
    <t>Priyanka shetty</t>
  </si>
  <si>
    <t>Rachana parakh</t>
  </si>
  <si>
    <t>Rachna kaushik</t>
  </si>
  <si>
    <t>Radhika jethwa</t>
  </si>
  <si>
    <t>Ragendu k r</t>
  </si>
  <si>
    <t>Rajeshri sharma</t>
  </si>
  <si>
    <t>Rajneet kaur</t>
  </si>
  <si>
    <t>Rakshitha s</t>
  </si>
  <si>
    <t>Ramsha rizvi</t>
  </si>
  <si>
    <t>ranjani r</t>
  </si>
  <si>
    <t>Rashi anand</t>
  </si>
  <si>
    <t>Renu singh</t>
  </si>
  <si>
    <t>Reny george</t>
  </si>
  <si>
    <t>Richa haware</t>
  </si>
  <si>
    <t>Riny Stalin Praveen</t>
  </si>
  <si>
    <t>Ritika gwalani</t>
  </si>
  <si>
    <t>Ritika rathi</t>
  </si>
  <si>
    <t>Ritu madaan</t>
  </si>
  <si>
    <t>Rohini kashyap</t>
  </si>
  <si>
    <t>Roopal shard bajaj</t>
  </si>
  <si>
    <t>Ruchee Tibrewal</t>
  </si>
  <si>
    <t>Ruchi shah</t>
  </si>
  <si>
    <t>Ruchika mehta</t>
  </si>
  <si>
    <t>Ruchika tayal</t>
  </si>
  <si>
    <t>Ruchika tuli</t>
  </si>
  <si>
    <t>Rukhsar aslam</t>
  </si>
  <si>
    <t>rumana shamim</t>
  </si>
  <si>
    <t>Saheli Kukreja Chhatwani</t>
  </si>
  <si>
    <t>Sahithirakesh</t>
  </si>
  <si>
    <t>sakchi sethi</t>
  </si>
  <si>
    <t>Sakshi rawat</t>
  </si>
  <si>
    <t>Saloni Agarwal</t>
  </si>
  <si>
    <t>Sandhya devendra khot</t>
  </si>
  <si>
    <t>sandhya nishanth</t>
  </si>
  <si>
    <t>Sanghamitra mohapatra</t>
  </si>
  <si>
    <t>Sanmati jain</t>
  </si>
  <si>
    <t>Sapna</t>
  </si>
  <si>
    <t>Sarah</t>
  </si>
  <si>
    <t>Sarah melson charles</t>
  </si>
  <si>
    <t>Sarika rana</t>
  </si>
  <si>
    <t>Sarita vivek</t>
  </si>
  <si>
    <t>Sasmita</t>
  </si>
  <si>
    <t>Sayli joshi</t>
  </si>
  <si>
    <t>Shabanaa</t>
  </si>
  <si>
    <t>Shalini</t>
  </si>
  <si>
    <t>Shalini bhardwaj</t>
  </si>
  <si>
    <t>Shalini Paul</t>
  </si>
  <si>
    <t>Shamini Rana</t>
  </si>
  <si>
    <t>Shefali arora</t>
  </si>
  <si>
    <t>Shefali poojary</t>
  </si>
  <si>
    <t>Shiksha_varida</t>
  </si>
  <si>
    <t>Shilpa gupta rana</t>
  </si>
  <si>
    <t>Shilpa malhotra verma</t>
  </si>
  <si>
    <t>Shravya kuchur</t>
  </si>
  <si>
    <t>Shreha gupta</t>
  </si>
  <si>
    <t>Shreshtha Sinha</t>
  </si>
  <si>
    <t>Shreya nadgouda</t>
  </si>
  <si>
    <t>Shreyal shah</t>
  </si>
  <si>
    <t>Shrinki Mehta</t>
  </si>
  <si>
    <t>Shripa Aditya</t>
  </si>
  <si>
    <t>Shriya Bhatt</t>
  </si>
  <si>
    <t>Shruti choudhary</t>
  </si>
  <si>
    <t>Shruti mehta</t>
  </si>
  <si>
    <t>Shubhada b</t>
  </si>
  <si>
    <t>Shuchi love bhatia</t>
  </si>
  <si>
    <t>Shweta</t>
  </si>
  <si>
    <t>Shweta salvi</t>
  </si>
  <si>
    <t>Shweta Sharma</t>
  </si>
  <si>
    <t>Silpi ghosh</t>
  </si>
  <si>
    <t>Smita jena</t>
  </si>
  <si>
    <t>Smruti Athalye</t>
  </si>
  <si>
    <t>Sneha abhishek gupta</t>
  </si>
  <si>
    <t>Sneha Malekar</t>
  </si>
  <si>
    <t>Sneha srinath</t>
  </si>
  <si>
    <t>Sofia bukkan</t>
  </si>
  <si>
    <t>Sonal malhotra</t>
  </si>
  <si>
    <t>Sonal singhal goel</t>
  </si>
  <si>
    <t>Sonal srivastava</t>
  </si>
  <si>
    <t>Sonam nagpal</t>
  </si>
  <si>
    <t>Sonamksinghal</t>
  </si>
  <si>
    <t>sonia nagpal</t>
  </si>
  <si>
    <t>Sonika agrawal</t>
  </si>
  <si>
    <t>sowmya Gaikwad</t>
  </si>
  <si>
    <t>Sridevi didwania banerjee</t>
  </si>
  <si>
    <t>Sugandhi luthra</t>
  </si>
  <si>
    <t>SujataPathania</t>
  </si>
  <si>
    <t>Sukriti kumari</t>
  </si>
  <si>
    <t>Sunitha jirge</t>
  </si>
  <si>
    <t>Surbhi mehra sikka</t>
  </si>
  <si>
    <t>Swati agrawal</t>
  </si>
  <si>
    <t>Swati Sharma</t>
  </si>
  <si>
    <t>swati vig</t>
  </si>
  <si>
    <t>Syana dharmani</t>
  </si>
  <si>
    <t>Taksh.mummascorner</t>
  </si>
  <si>
    <t>Tanushree gupta</t>
  </si>
  <si>
    <t>Tanya parmar</t>
  </si>
  <si>
    <t>Tarali Mazumdar</t>
  </si>
  <si>
    <t>Taruna Pahuja</t>
  </si>
  <si>
    <t>Taslim sayyed</t>
  </si>
  <si>
    <t>Theausmmom</t>
  </si>
  <si>
    <t>Tina Shringarpure</t>
  </si>
  <si>
    <t>Tripti arora</t>
  </si>
  <si>
    <t>Udeesha srivastava</t>
  </si>
  <si>
    <t>Upasana shah</t>
  </si>
  <si>
    <t>Urvashi</t>
  </si>
  <si>
    <t>Vaishnavi</t>
  </si>
  <si>
    <t>Vaishnavi Gupta</t>
  </si>
  <si>
    <t>Vandana garg</t>
  </si>
  <si>
    <t>Vandana jain</t>
  </si>
  <si>
    <t>Varna Sri Raman</t>
  </si>
  <si>
    <t>Varsha Deepak Kandhari</t>
  </si>
  <si>
    <t>Vidhi deshmukh</t>
  </si>
  <si>
    <t>Vinaya niraj kadam</t>
  </si>
  <si>
    <t>WOWMYMOM India</t>
  </si>
  <si>
    <t>Yashvi Shah</t>
  </si>
  <si>
    <t>Yogita labrath dhore</t>
  </si>
  <si>
    <t>Zenia hule</t>
  </si>
  <si>
    <t>Shana Nair</t>
  </si>
  <si>
    <t>Sowmiya kannan</t>
  </si>
  <si>
    <t>Sheena Khan</t>
  </si>
  <si>
    <t>Muskaan rastogi</t>
  </si>
  <si>
    <t>J_Si</t>
  </si>
  <si>
    <t>kay</t>
  </si>
  <si>
    <t>Akriti naudiyal</t>
  </si>
  <si>
    <t>Sutae</t>
  </si>
  <si>
    <t>Anjali patel</t>
  </si>
  <si>
    <t>Manali Singh</t>
  </si>
  <si>
    <t>Amrá</t>
  </si>
  <si>
    <t>Chenna ranga prasanna</t>
  </si>
  <si>
    <t>Niki panjwani</t>
  </si>
  <si>
    <t>Pooja</t>
  </si>
  <si>
    <t>shreya</t>
  </si>
  <si>
    <t>Jyoti Gaur</t>
  </si>
  <si>
    <t>preeti</t>
  </si>
  <si>
    <t>Miruthula</t>
  </si>
  <si>
    <t>Teja Amjala</t>
  </si>
  <si>
    <t>Aayan</t>
  </si>
  <si>
    <t>Pawar gayatri</t>
  </si>
  <si>
    <t>Shruti tyagi</t>
  </si>
  <si>
    <t>Pratiksha Thakur</t>
  </si>
  <si>
    <t>Joshna Maria Jayan</t>
  </si>
  <si>
    <t>Divya</t>
  </si>
  <si>
    <t>Sakshi</t>
  </si>
  <si>
    <t>Ashk</t>
  </si>
  <si>
    <t>Riya gandhi</t>
  </si>
  <si>
    <t>Hambarakou ibrahim djiteye</t>
  </si>
  <si>
    <t>Bts Txt</t>
  </si>
  <si>
    <t>s</t>
  </si>
  <si>
    <t>Sidda pratyusha</t>
  </si>
  <si>
    <t>Tinni</t>
  </si>
  <si>
    <t>Rajani gurav</t>
  </si>
  <si>
    <t>Lavina siby</t>
  </si>
  <si>
    <t>Ishita Singh</t>
  </si>
  <si>
    <t>Vashvi Shukla🤗</t>
  </si>
  <si>
    <t>Vaishnavi hanumant parande</t>
  </si>
  <si>
    <t>Radha wagh</t>
  </si>
  <si>
    <t>Maggie</t>
  </si>
  <si>
    <t>ushmika rawal</t>
  </si>
  <si>
    <t>vikas kerketta</t>
  </si>
  <si>
    <t>Janki Mehra</t>
  </si>
  <si>
    <t>Maisnam sonia</t>
  </si>
  <si>
    <t>Rayasha das</t>
  </si>
  <si>
    <t>Kaniz ansari</t>
  </si>
  <si>
    <t>veer</t>
  </si>
  <si>
    <t>Priya dubey</t>
  </si>
  <si>
    <t>Jyoti Chettri</t>
  </si>
  <si>
    <t>Nikhil Kalia</t>
  </si>
  <si>
    <t>Nandana dinesh</t>
  </si>
  <si>
    <t>Pihu</t>
  </si>
  <si>
    <t>Kristen singh</t>
  </si>
  <si>
    <t>Koko</t>
  </si>
  <si>
    <t>Sanjana sur</t>
  </si>
  <si>
    <t>Landa madhuri</t>
  </si>
  <si>
    <t>Vidhi</t>
  </si>
  <si>
    <t>Ankita ghosh</t>
  </si>
  <si>
    <t>Nutan zalli</t>
  </si>
  <si>
    <t>Nikhitha k nath</t>
  </si>
  <si>
    <t>Totu</t>
  </si>
  <si>
    <t>Rutuja</t>
  </si>
  <si>
    <t>시와니 🐨</t>
  </si>
  <si>
    <t>Meril</t>
  </si>
  <si>
    <t>Pragya</t>
  </si>
  <si>
    <t>Anuj barooah</t>
  </si>
  <si>
    <t>Neko Celine</t>
  </si>
  <si>
    <t>Teegan gwillym</t>
  </si>
  <si>
    <t>Kamalini</t>
  </si>
  <si>
    <t>Garima yadav</t>
  </si>
  <si>
    <t>Machinao Gracy</t>
  </si>
  <si>
    <t>Priyanshi ✨</t>
  </si>
  <si>
    <t>megha sood</t>
  </si>
  <si>
    <t>Shwetha shalom</t>
  </si>
  <si>
    <t>Ashira</t>
  </si>
  <si>
    <t>Sakshi Jindal</t>
  </si>
  <si>
    <t>Ananya goel</t>
  </si>
  <si>
    <t>Christine laltanpuii</t>
  </si>
  <si>
    <t>Pooja kandpal</t>
  </si>
  <si>
    <t>Annu bodra</t>
  </si>
  <si>
    <t>Sanjana</t>
  </si>
  <si>
    <t>Janaki Krishnamurty</t>
  </si>
  <si>
    <t>Shivani Singla</t>
  </si>
  <si>
    <t>Lily</t>
  </si>
  <si>
    <t>Meghana konatham</t>
  </si>
  <si>
    <t>Han seomi</t>
  </si>
  <si>
    <t>Yamini</t>
  </si>
  <si>
    <t>Prerita Nama</t>
  </si>
  <si>
    <t>Ambika Pal</t>
  </si>
  <si>
    <t>Prachi</t>
  </si>
  <si>
    <t>Sanjana waingankar</t>
  </si>
  <si>
    <t>Nora mcdams</t>
  </si>
  <si>
    <t>Ardra</t>
  </si>
  <si>
    <t>Vaishnavi bhatia</t>
  </si>
  <si>
    <t>Megha kanojia</t>
  </si>
  <si>
    <t>Saloni Choudhary</t>
  </si>
  <si>
    <t>Muskan</t>
  </si>
  <si>
    <t>Jyothsna</t>
  </si>
  <si>
    <t>Hari Priya</t>
  </si>
  <si>
    <t>Pooja reddy</t>
  </si>
  <si>
    <t>musa melody</t>
  </si>
  <si>
    <t>Merlin Cherian</t>
  </si>
  <si>
    <t>Priya</t>
  </si>
  <si>
    <t>Komal Chettri</t>
  </si>
  <si>
    <t>Sneha</t>
  </si>
  <si>
    <t>Momslilprincess</t>
  </si>
  <si>
    <t>Rose</t>
  </si>
  <si>
    <t>Hiya</t>
  </si>
  <si>
    <t>Rutika jamwal</t>
  </si>
  <si>
    <t>Sonalini Rai</t>
  </si>
  <si>
    <t>Momo</t>
  </si>
  <si>
    <t>Tamanna Bhaldar</t>
  </si>
  <si>
    <t>Sharmila adak</t>
  </si>
  <si>
    <t>Bhavika Bhavi</t>
  </si>
  <si>
    <t>Kavya</t>
  </si>
  <si>
    <t>Kashish yadav</t>
  </si>
  <si>
    <t>Swati Chitatwar</t>
  </si>
  <si>
    <t>Kodeeswari</t>
  </si>
  <si>
    <t>Shruti</t>
  </si>
  <si>
    <t>아리야</t>
  </si>
  <si>
    <t>Anshika Shukla</t>
  </si>
  <si>
    <t>Shivani</t>
  </si>
  <si>
    <t>Shivangi mishra</t>
  </si>
  <si>
    <t>Siddhi Naik</t>
  </si>
  <si>
    <t>Shivika agarwal</t>
  </si>
  <si>
    <t>Arzoo tomar</t>
  </si>
  <si>
    <t>Aarushi</t>
  </si>
  <si>
    <t>Neha antil😊</t>
  </si>
  <si>
    <t>Avantika Singh</t>
  </si>
  <si>
    <t>vedham jemmiah</t>
  </si>
  <si>
    <t>Katy Patra</t>
  </si>
  <si>
    <t>Urv</t>
  </si>
  <si>
    <t>Aishwarya mannur</t>
  </si>
  <si>
    <t>Shilpa s</t>
  </si>
  <si>
    <t>Devanshi tyagi</t>
  </si>
  <si>
    <t>Nandini devi</t>
  </si>
  <si>
    <t>Risha sha</t>
  </si>
  <si>
    <t>Shubha h m</t>
  </si>
  <si>
    <t>Bidisha Das</t>
  </si>
  <si>
    <t>Nia c</t>
  </si>
  <si>
    <t>JAYALAKSHMI K PRAKASH</t>
  </si>
  <si>
    <t>nks</t>
  </si>
  <si>
    <t>Prachi garg</t>
  </si>
  <si>
    <t>Ria sirohi</t>
  </si>
  <si>
    <t>Drishti bundela</t>
  </si>
  <si>
    <t>Vinni</t>
  </si>
  <si>
    <t>Arooba fatima</t>
  </si>
  <si>
    <t>Kshitija</t>
  </si>
  <si>
    <t>Surekha george</t>
  </si>
  <si>
    <t>Shilpa palan</t>
  </si>
  <si>
    <t>Swarna Prabha Chanda</t>
  </si>
  <si>
    <t>Dweep pawar</t>
  </si>
  <si>
    <t>Sakshi Shivaji Bole</t>
  </si>
  <si>
    <t>Shubhangi verma</t>
  </si>
  <si>
    <t>Vartika Rajput</t>
  </si>
  <si>
    <t>Rupali Mundle</t>
  </si>
  <si>
    <t>Sennario</t>
  </si>
  <si>
    <t>Chaitanya Koushiki</t>
  </si>
  <si>
    <t>Gayatri Savita</t>
  </si>
  <si>
    <t>Meg</t>
  </si>
  <si>
    <t>Soumili dhara</t>
  </si>
  <si>
    <t>Pranjal bansal</t>
  </si>
  <si>
    <t>Nisha sanjay kale</t>
  </si>
  <si>
    <t>Raksha</t>
  </si>
  <si>
    <t>Charliee rodrigues</t>
  </si>
  <si>
    <t>Ghaxala</t>
  </si>
  <si>
    <t>Bhavani patil</t>
  </si>
  <si>
    <t>Amu ❤️</t>
  </si>
  <si>
    <t>Shreya Singh</t>
  </si>
  <si>
    <t>SHREELAKSHMI B</t>
  </si>
  <si>
    <t>Sakshi kedar</t>
  </si>
  <si>
    <t>Asha Devyani</t>
  </si>
  <si>
    <t>Anjali singh</t>
  </si>
  <si>
    <t>Vandana gupta</t>
  </si>
  <si>
    <t>Ramiya j</t>
  </si>
  <si>
    <t>Vaishnavi sreekumar</t>
  </si>
  <si>
    <t>Ann thomas</t>
  </si>
  <si>
    <t>rahee negi</t>
  </si>
  <si>
    <t>sreeya bhattacharya</t>
  </si>
  <si>
    <t>Vipasha shadaik</t>
  </si>
  <si>
    <t>Falgunee kaushik</t>
  </si>
  <si>
    <t>ASTHA PANDEY</t>
  </si>
  <si>
    <t>Joanna</t>
  </si>
  <si>
    <t>Anjali murekar</t>
  </si>
  <si>
    <t>Jigyasa agrawal</t>
  </si>
  <si>
    <t>Sushiyaa</t>
  </si>
  <si>
    <t>P Salma Barisha</t>
  </si>
  <si>
    <t>Kemy Longkümer</t>
  </si>
  <si>
    <t>Sujata goswami</t>
  </si>
  <si>
    <t>Sabhyata</t>
  </si>
  <si>
    <t>Sakina</t>
  </si>
  <si>
    <t>Tanisha gupta</t>
  </si>
  <si>
    <t>Jazmin campos</t>
  </si>
  <si>
    <t>Divija Marwaha</t>
  </si>
  <si>
    <t>Aish The Star</t>
  </si>
  <si>
    <t>Ankita rait</t>
  </si>
  <si>
    <t>Diya gera</t>
  </si>
  <si>
    <t>Rajnandini Singhtak</t>
  </si>
  <si>
    <t>saie</t>
  </si>
  <si>
    <t>kritisha</t>
  </si>
  <si>
    <t>Aditi singh</t>
  </si>
  <si>
    <t>Yashaswini shintre</t>
  </si>
  <si>
    <t>Anjali tarma</t>
  </si>
  <si>
    <t>Amruth Kumar N N</t>
  </si>
  <si>
    <t>Taniya biswas</t>
  </si>
  <si>
    <t>Bharathi varatharaj</t>
  </si>
  <si>
    <t>Jahnavi mamillapalli</t>
  </si>
  <si>
    <t>Kim sana taehyung</t>
  </si>
  <si>
    <t>Mahi</t>
  </si>
  <si>
    <t>Ananya</t>
  </si>
  <si>
    <t>Saadanaa Rajendran</t>
  </si>
  <si>
    <t>Farhin mulla</t>
  </si>
  <si>
    <t>ABUZAR SUHAIL</t>
  </si>
  <si>
    <t>Chay</t>
  </si>
  <si>
    <t>Nikita Kaizen</t>
  </si>
  <si>
    <t>Shriya kannaujia</t>
  </si>
  <si>
    <t>Menaka devi</t>
  </si>
  <si>
    <t>Suba kaliyan</t>
  </si>
  <si>
    <t>Sarah 🖤</t>
  </si>
  <si>
    <t>Sweety</t>
  </si>
  <si>
    <t>Swapanthi Varma</t>
  </si>
  <si>
    <t>Zeba Khan</t>
  </si>
  <si>
    <t>Kiev</t>
  </si>
  <si>
    <t>Hy m nisha</t>
  </si>
  <si>
    <t>Nimanshu verma</t>
  </si>
  <si>
    <t>김은수 (애니)</t>
  </si>
  <si>
    <t>ROXY K</t>
  </si>
  <si>
    <t>Riya Nagpal</t>
  </si>
  <si>
    <t>Muskan jain</t>
  </si>
  <si>
    <t>Shina kashyap</t>
  </si>
  <si>
    <t>Prachi  jasuja</t>
  </si>
  <si>
    <t>Aarshita_azyan</t>
  </si>
  <si>
    <t>Aysha Tameem</t>
  </si>
  <si>
    <t>Samiksha</t>
  </si>
  <si>
    <t>Deepali</t>
  </si>
  <si>
    <t>Hye mi</t>
  </si>
  <si>
    <t>Sawini</t>
  </si>
  <si>
    <t>Ashwini</t>
  </si>
  <si>
    <t>bijoyalaxmi barik</t>
  </si>
  <si>
    <t>Sejal Ghavnalkar</t>
  </si>
  <si>
    <t>Soumya  dhurve</t>
  </si>
  <si>
    <t>Pranali magdum</t>
  </si>
  <si>
    <t>Sadaf almas</t>
  </si>
  <si>
    <t>Anupama</t>
  </si>
  <si>
    <t>Navita Carval</t>
  </si>
  <si>
    <t>Pallavigoyal</t>
  </si>
  <si>
    <t>Indrani</t>
  </si>
  <si>
    <t>Pranjali Yadav</t>
  </si>
  <si>
    <t>Pragathi yadav</t>
  </si>
  <si>
    <t>Hari priya</t>
  </si>
  <si>
    <t>Sedenuo mepfhü-o</t>
  </si>
  <si>
    <t>Anshu</t>
  </si>
  <si>
    <t>Nisha Sinha</t>
  </si>
  <si>
    <t>Asmaa adil</t>
  </si>
  <si>
    <t>Sonam gambhir</t>
  </si>
  <si>
    <t>Rucha Gupte</t>
  </si>
  <si>
    <t>Shruthi</t>
  </si>
  <si>
    <t>Himanshi chauhan</t>
  </si>
  <si>
    <t>Kritika</t>
  </si>
  <si>
    <t>divya ghodke</t>
  </si>
  <si>
    <t>Noorie Fatima</t>
  </si>
  <si>
    <t>Sonia</t>
  </si>
  <si>
    <t>Tommy X</t>
  </si>
  <si>
    <t>Devakshi jaggi</t>
  </si>
  <si>
    <t>Reena</t>
  </si>
  <si>
    <t>Angel</t>
  </si>
  <si>
    <t>Seema Giri</t>
  </si>
  <si>
    <t>Adii~</t>
  </si>
  <si>
    <t>Taensi</t>
  </si>
  <si>
    <t>Sneha Patwardhan</t>
  </si>
  <si>
    <t>Rahila shaikh</t>
  </si>
  <si>
    <t>Harshita ninama</t>
  </si>
  <si>
    <t>Abhinanda Nayak</t>
  </si>
  <si>
    <t>Oge Amarah</t>
  </si>
  <si>
    <t>Kim-bl</t>
  </si>
  <si>
    <t>Akshaya Pakshaya</t>
  </si>
  <si>
    <t>Swapna</t>
  </si>
  <si>
    <t>Tanvi kashyap</t>
  </si>
  <si>
    <t>Suma das</t>
  </si>
  <si>
    <t>Dorcas ohwofasa</t>
  </si>
  <si>
    <t>Anamika xaxa</t>
  </si>
  <si>
    <t>Bhagyashree n</t>
  </si>
  <si>
    <t>Pragati dixit</t>
  </si>
  <si>
    <t>Amrutha S</t>
  </si>
  <si>
    <t>Lham yuton</t>
  </si>
  <si>
    <t>Aiyesha falak</t>
  </si>
  <si>
    <t>Niha</t>
  </si>
  <si>
    <t>Eliza thokchom</t>
  </si>
  <si>
    <t>Sowbhagya chemprayil</t>
  </si>
  <si>
    <t>Tetei Mac</t>
  </si>
  <si>
    <t>Ramatu zakari</t>
  </si>
  <si>
    <t>Anusha more</t>
  </si>
  <si>
    <t>Saee deshmukh</t>
  </si>
  <si>
    <t>Misaki sato</t>
  </si>
  <si>
    <t>Riyadh</t>
  </si>
  <si>
    <t>Lohitha Darisi</t>
  </si>
  <si>
    <t>Sania das</t>
  </si>
  <si>
    <t>Christabel thevar</t>
  </si>
  <si>
    <t>vrushali</t>
  </si>
  <si>
    <t>Srishti</t>
  </si>
  <si>
    <t>Sona</t>
  </si>
  <si>
    <t>Ritz</t>
  </si>
  <si>
    <t>Simran sanjivani singh</t>
  </si>
  <si>
    <t>Rigzin angmo</t>
  </si>
  <si>
    <t>Merlin daimari</t>
  </si>
  <si>
    <t>Samreen</t>
  </si>
  <si>
    <t>Jahnavi soni</t>
  </si>
  <si>
    <t>Snehal sudarshan survase</t>
  </si>
  <si>
    <t>Tulika vats</t>
  </si>
  <si>
    <t>Arishi</t>
  </si>
  <si>
    <t>Kaveri kale</t>
  </si>
  <si>
    <t>Jaya singh</t>
  </si>
  <si>
    <t>Prashanth</t>
  </si>
  <si>
    <t>Rini</t>
  </si>
  <si>
    <t>박 수민</t>
  </si>
  <si>
    <t>Nikitha Venkatesh</t>
  </si>
  <si>
    <t>Harshita Sharma</t>
  </si>
  <si>
    <t>Saarrah ali</t>
  </si>
  <si>
    <t>Ayesha Gangat</t>
  </si>
  <si>
    <t>Sanjana Biswas</t>
  </si>
  <si>
    <t>Pratiksha Khatker</t>
  </si>
  <si>
    <t>Srishty kumari</t>
  </si>
  <si>
    <t>R</t>
  </si>
  <si>
    <t>Anoushka Barman</t>
  </si>
  <si>
    <t>Charul Sodhani</t>
  </si>
  <si>
    <t>Fallen star</t>
  </si>
  <si>
    <t>Ananya warakeri</t>
  </si>
  <si>
    <t>Dishti sehgal</t>
  </si>
  <si>
    <t>Prnvi</t>
  </si>
  <si>
    <t>Afrin shaikh</t>
  </si>
  <si>
    <t>P divya reddy</t>
  </si>
  <si>
    <t>Heena khan</t>
  </si>
  <si>
    <t>Sayna raj</t>
  </si>
  <si>
    <t>Shruti gudewar</t>
  </si>
  <si>
    <t>Reshmi</t>
  </si>
  <si>
    <t>Shagun Sharma</t>
  </si>
  <si>
    <t>Dhivya</t>
  </si>
  <si>
    <t>사띠야</t>
  </si>
  <si>
    <t>गरिमा शर्मा</t>
  </si>
  <si>
    <t>Rashmi Jagtap</t>
  </si>
  <si>
    <t>만시</t>
  </si>
  <si>
    <t>Mahi Khan</t>
  </si>
  <si>
    <t>Shivangi singh</t>
  </si>
  <si>
    <t>Y devyani</t>
  </si>
  <si>
    <t>Eshveen kaur</t>
  </si>
  <si>
    <t>Chitrita sen</t>
  </si>
  <si>
    <t>Storm breaker</t>
  </si>
  <si>
    <t>Nandita</t>
  </si>
  <si>
    <t>Amritha Elangovan</t>
  </si>
  <si>
    <t>Madhura Pawade</t>
  </si>
  <si>
    <t>Gowthami</t>
  </si>
  <si>
    <t>Ujjayoni roy</t>
  </si>
  <si>
    <t>Vijayalakshmi sridhar</t>
  </si>
  <si>
    <t>Kelly</t>
  </si>
  <si>
    <t>GRISHA DONGRANI</t>
  </si>
  <si>
    <t>Sasha chin</t>
  </si>
  <si>
    <t>Sunehla Gupta</t>
  </si>
  <si>
    <t>Rahul Singh Yadav</t>
  </si>
  <si>
    <t>Sakshii</t>
  </si>
  <si>
    <t>Sayani</t>
  </si>
  <si>
    <t>Stella anya</t>
  </si>
  <si>
    <t>Arshi Sayyed</t>
  </si>
  <si>
    <t>Riya Kushwaha</t>
  </si>
  <si>
    <t>Sandhya prasad</t>
  </si>
  <si>
    <t>Nadia dsouza</t>
  </si>
  <si>
    <t>Vidya s r</t>
  </si>
  <si>
    <t>Sara</t>
  </si>
  <si>
    <t>Michelle nelson</t>
  </si>
  <si>
    <t>Kia</t>
  </si>
  <si>
    <t>미리센트</t>
  </si>
  <si>
    <t>Carlos a. altamirano marines</t>
  </si>
  <si>
    <t>Mehr gaur</t>
  </si>
  <si>
    <t>Rasika shende</t>
  </si>
  <si>
    <t>Sheral haniksha</t>
  </si>
  <si>
    <t>Aditi pandey</t>
  </si>
  <si>
    <t>안시타</t>
  </si>
  <si>
    <t>Kiran♡</t>
  </si>
  <si>
    <t>Fenella</t>
  </si>
  <si>
    <t>Ekta pande</t>
  </si>
  <si>
    <t>Payal dhar</t>
  </si>
  <si>
    <t>Ridhika</t>
  </si>
  <si>
    <t>BLAHBLAH</t>
  </si>
  <si>
    <t>사람</t>
  </si>
  <si>
    <t>Aarzoo Patel</t>
  </si>
  <si>
    <t>Apurva</t>
  </si>
  <si>
    <t>Anushka</t>
  </si>
  <si>
    <t>Twinkle😊🌼      lots of love</t>
  </si>
  <si>
    <t>Zeenath</t>
  </si>
  <si>
    <t>Disha agarwal</t>
  </si>
  <si>
    <t>Kamini 카미 니</t>
  </si>
  <si>
    <t>Kaira shah</t>
  </si>
  <si>
    <t>Tarandeep kaur</t>
  </si>
  <si>
    <t>Luckey Dasari</t>
  </si>
  <si>
    <t>Emerald Phrangsngi Lyngdoh</t>
  </si>
  <si>
    <t>Aisha Budhraja</t>
  </si>
  <si>
    <t>Nilam❤️</t>
  </si>
  <si>
    <t>Sanaa</t>
  </si>
  <si>
    <t>Diya singh katoch</t>
  </si>
  <si>
    <t>Ann</t>
  </si>
  <si>
    <t>Ayushi Singh</t>
  </si>
  <si>
    <t>Swarali g</t>
  </si>
  <si>
    <t>Bhamathi H A</t>
  </si>
  <si>
    <t>Anushya</t>
  </si>
  <si>
    <t>Tanushka Tyagi</t>
  </si>
  <si>
    <t>Kopal Chaturvedi</t>
  </si>
  <si>
    <t>Kaveen gupta</t>
  </si>
  <si>
    <t>D.ramya</t>
  </si>
  <si>
    <t>Anindita Mazumder</t>
  </si>
  <si>
    <t>Prabhnoor Kaur Gill</t>
  </si>
  <si>
    <t>Nyamat dhaliwal</t>
  </si>
  <si>
    <t>Tanya</t>
  </si>
  <si>
    <t>Asuma ashrah</t>
  </si>
  <si>
    <t>Lisha dilip</t>
  </si>
  <si>
    <t>Shlk Vjrkr</t>
  </si>
  <si>
    <t>shiva shishodia</t>
  </si>
  <si>
    <t>Pratiksha patil</t>
  </si>
  <si>
    <t>Harshmeet kaur sekhon</t>
  </si>
  <si>
    <t>Adya rajasree</t>
  </si>
  <si>
    <t>Monali More</t>
  </si>
  <si>
    <t>Kanupriya tomer</t>
  </si>
  <si>
    <t>Sana kauser</t>
  </si>
  <si>
    <t>Mantasha khan</t>
  </si>
  <si>
    <t>Kashish</t>
  </si>
  <si>
    <t>manu smriti</t>
  </si>
  <si>
    <t>Nitya Sharma</t>
  </si>
  <si>
    <t>riyaa yadav</t>
  </si>
  <si>
    <t>Shiwangi</t>
  </si>
  <si>
    <t>Aishwarya Polamarasetty</t>
  </si>
  <si>
    <t>Raksha songara</t>
  </si>
  <si>
    <t>Khushi jennifer</t>
  </si>
  <si>
    <t>Shikha Choudhary</t>
  </si>
  <si>
    <t>Supriya singh</t>
  </si>
  <si>
    <t>Angella</t>
  </si>
  <si>
    <t>Sriya kona</t>
  </si>
  <si>
    <t>jyothi sharma</t>
  </si>
  <si>
    <t>varnika yadav</t>
  </si>
  <si>
    <t>Jenny dornal</t>
  </si>
  <si>
    <t>Atulya Srivastava</t>
  </si>
  <si>
    <t>Maan</t>
  </si>
  <si>
    <t>Rucha shinde</t>
  </si>
  <si>
    <t>Nishtha singh</t>
  </si>
  <si>
    <t>Rani besra</t>
  </si>
  <si>
    <t>Pallavi roy</t>
  </si>
  <si>
    <t>Advika</t>
  </si>
  <si>
    <t>Ella</t>
  </si>
  <si>
    <t>Sal</t>
  </si>
  <si>
    <t>Ritu ravi</t>
  </si>
  <si>
    <t>Aparna s babu</t>
  </si>
  <si>
    <t>Irfa</t>
  </si>
  <si>
    <t>Nidhi prajapati</t>
  </si>
  <si>
    <t>Sam</t>
  </si>
  <si>
    <t>Nivi kutty</t>
  </si>
  <si>
    <t>Priyanka Negi 182</t>
  </si>
  <si>
    <t>201 Khyati Sharma</t>
  </si>
  <si>
    <t>Yogita ratansing patil</t>
  </si>
  <si>
    <t>Ruchita chakraborty</t>
  </si>
  <si>
    <t>Sohini</t>
  </si>
  <si>
    <t>Vaishali</t>
  </si>
  <si>
    <t>Reethika reddy</t>
  </si>
  <si>
    <t>Nuzhat Khatri</t>
  </si>
  <si>
    <t>Anju</t>
  </si>
  <si>
    <t>devyani wardhe</t>
  </si>
  <si>
    <t>Fiza Manu</t>
  </si>
  <si>
    <t>Ayushi sachan</t>
  </si>
  <si>
    <t>arshya kaur</t>
  </si>
  <si>
    <t>Pritha Pramanick</t>
  </si>
  <si>
    <t>Sana Nazneen</t>
  </si>
  <si>
    <t>Ashu yadav</t>
  </si>
  <si>
    <t>Khushi saxena</t>
  </si>
  <si>
    <t>Samhita</t>
  </si>
  <si>
    <t>Kanishka</t>
  </si>
  <si>
    <t>LEKHSHIKHA GEHLOT</t>
  </si>
  <si>
    <t>AV</t>
  </si>
  <si>
    <t>victoria shimizu</t>
  </si>
  <si>
    <t>Afrozen</t>
  </si>
  <si>
    <t>Babie Themneikim Guite</t>
  </si>
  <si>
    <t>Aarti singh</t>
  </si>
  <si>
    <t>Mounika</t>
  </si>
  <si>
    <t>Shweta Bhalerao</t>
  </si>
  <si>
    <t>Prajakta gharat</t>
  </si>
  <si>
    <t>Lavanya suresh</t>
  </si>
  <si>
    <t>Umang goel</t>
  </si>
  <si>
    <t>Ria Sahni</t>
  </si>
  <si>
    <t>Mamta</t>
  </si>
  <si>
    <t>ANANYA TIWARI</t>
  </si>
  <si>
    <t>.</t>
  </si>
  <si>
    <t>Monal mishra</t>
  </si>
  <si>
    <t>Shaikh shazia noorin</t>
  </si>
  <si>
    <t>Mokshi mutta</t>
  </si>
  <si>
    <t>Ranjita Okram</t>
  </si>
  <si>
    <t>Parryy</t>
  </si>
  <si>
    <t>Shivani kini</t>
  </si>
  <si>
    <t>Reengma debbarma</t>
  </si>
  <si>
    <t>Sev</t>
  </si>
  <si>
    <t>Shweta barmukh</t>
  </si>
  <si>
    <t>Maryam mohammed siddique</t>
  </si>
  <si>
    <t>Vundyala satwika</t>
  </si>
  <si>
    <t>Mira babar</t>
  </si>
  <si>
    <t>Dipikaru</t>
  </si>
  <si>
    <t>Bhavana Gardas</t>
  </si>
  <si>
    <t>Fathima</t>
  </si>
  <si>
    <t>Tanu singh</t>
  </si>
  <si>
    <t>Winkal rumalwala</t>
  </si>
  <si>
    <t>Sheuly sen</t>
  </si>
  <si>
    <t>Kousi_sivakumar🐰💜</t>
  </si>
  <si>
    <t>Zag</t>
  </si>
  <si>
    <t>Rojee tamang</t>
  </si>
  <si>
    <t>Khushboo</t>
  </si>
  <si>
    <t>Kristina Babu</t>
  </si>
  <si>
    <t>Geethashree</t>
  </si>
  <si>
    <t>ANJALI BARNWAL</t>
  </si>
  <si>
    <t>Oviya k</t>
  </si>
  <si>
    <t>Nadima Azhar</t>
  </si>
  <si>
    <t>Usha .G prakash</t>
  </si>
  <si>
    <t>Malashca Fernandes</t>
  </si>
  <si>
    <t>Harshita singh</t>
  </si>
  <si>
    <t>Alpana chandra</t>
  </si>
  <si>
    <t>Rashi</t>
  </si>
  <si>
    <t>Savgun kinra</t>
  </si>
  <si>
    <t>Priyanka thakur</t>
  </si>
  <si>
    <t>Elly</t>
  </si>
  <si>
    <t>Singh</t>
  </si>
  <si>
    <t>Aarini pavase</t>
  </si>
  <si>
    <t>Ain andison</t>
  </si>
  <si>
    <t>Ambika tyagi</t>
  </si>
  <si>
    <t>Shraddha Kanojia</t>
  </si>
  <si>
    <t>rashmi sharma</t>
  </si>
  <si>
    <t>Mansi koul</t>
  </si>
  <si>
    <t>Caroline Dsouza</t>
  </si>
  <si>
    <t>Krystle temkar</t>
  </si>
  <si>
    <t>K</t>
  </si>
  <si>
    <t>Buji gowtham</t>
  </si>
  <si>
    <t>Kalyani</t>
  </si>
  <si>
    <t>Sumithra</t>
  </si>
  <si>
    <t>Akshatha Nadig</t>
  </si>
  <si>
    <t>Amit aggarwal</t>
  </si>
  <si>
    <t>Komal bhavsar</t>
  </si>
  <si>
    <t>Kim DaEun</t>
  </si>
  <si>
    <t>Vedika</t>
  </si>
  <si>
    <t>Dhruvi Bambhaniya</t>
  </si>
  <si>
    <t>Ungalei</t>
  </si>
  <si>
    <t>Nikita</t>
  </si>
  <si>
    <t>Arpita mohanty</t>
  </si>
  <si>
    <t>Priyanka Rawat</t>
  </si>
  <si>
    <t>Eunsuh</t>
  </si>
  <si>
    <t>Sumerah shernaz</t>
  </si>
  <si>
    <t>Tamanna rai</t>
  </si>
  <si>
    <t>C_july</t>
  </si>
  <si>
    <t>Riya Patil</t>
  </si>
  <si>
    <t>UrjaPatel</t>
  </si>
  <si>
    <t>Muskan Lavaniya</t>
  </si>
  <si>
    <t>Lalita dighe</t>
  </si>
  <si>
    <t>Sonali Sonali</t>
  </si>
  <si>
    <t>Krutika Bagul</t>
  </si>
  <si>
    <t>Amrutha</t>
  </si>
  <si>
    <t>Anandita audichya</t>
  </si>
  <si>
    <t>Shikha sejwal</t>
  </si>
  <si>
    <t>Irfana Abubekker</t>
  </si>
  <si>
    <t>Chanakya</t>
  </si>
  <si>
    <t>Shipra dubey</t>
  </si>
  <si>
    <t>Neha Pandita</t>
  </si>
  <si>
    <t>Poojha m</t>
  </si>
  <si>
    <t>Pooja k</t>
  </si>
  <si>
    <t>Karol amrita</t>
  </si>
  <si>
    <t>Rohini tiwari</t>
  </si>
  <si>
    <t>Diksha Yadav</t>
  </si>
  <si>
    <t>Ishita soni</t>
  </si>
  <si>
    <t>Susma Albert Coraya</t>
  </si>
  <si>
    <t>Sarang</t>
  </si>
  <si>
    <t>padmapriya rajaram</t>
  </si>
  <si>
    <t>Jahnvi Chitkara</t>
  </si>
  <si>
    <t>Fathima ismail</t>
  </si>
  <si>
    <t>Smita agarwal</t>
  </si>
  <si>
    <t>Tania dsouza</t>
  </si>
  <si>
    <t>d</t>
  </si>
  <si>
    <t>Falak naaz</t>
  </si>
  <si>
    <t>C pavithraa</t>
  </si>
  <si>
    <t>Oindrila das</t>
  </si>
  <si>
    <t>Muskan kohli</t>
  </si>
  <si>
    <t>Srishti mitra</t>
  </si>
  <si>
    <t>Maitri narnaware</t>
  </si>
  <si>
    <t>Roo</t>
  </si>
  <si>
    <t>Poomagal Soudarssane</t>
  </si>
  <si>
    <t>Kadam avantika sunil</t>
  </si>
  <si>
    <t>Nikita 🏳</t>
  </si>
  <si>
    <t>Takshi</t>
  </si>
  <si>
    <t>Anvaya jyotishi</t>
  </si>
  <si>
    <t>Amreeta k</t>
  </si>
  <si>
    <t>Poojitha chejerla</t>
  </si>
  <si>
    <t>Hoihzokim</t>
  </si>
  <si>
    <t>nakshatra dhoke</t>
  </si>
  <si>
    <t>Bharti sharma</t>
  </si>
  <si>
    <t>Deekshitha</t>
  </si>
  <si>
    <t>Chaithanya menon</t>
  </si>
  <si>
    <t>Ashna khan</t>
  </si>
  <si>
    <t>Meera Pendse</t>
  </si>
  <si>
    <t>Priyanka tripathi</t>
  </si>
  <si>
    <t>Sayantani sengupta</t>
  </si>
  <si>
    <t>Nandita Dutta</t>
  </si>
  <si>
    <t>Tejaswini j</t>
  </si>
  <si>
    <t>Noorp4 Saba</t>
  </si>
  <si>
    <t>Yukta</t>
  </si>
  <si>
    <t>Dhanu shree</t>
  </si>
  <si>
    <t>Divyashree</t>
  </si>
  <si>
    <t>Mridhula sreedharan</t>
  </si>
  <si>
    <t>Janani</t>
  </si>
  <si>
    <t>Dhananjaya kumar</t>
  </si>
  <si>
    <t>Samaira's Studio</t>
  </si>
  <si>
    <t>Naz</t>
  </si>
  <si>
    <t>Sangita 산기타 💜💜🙆🙆</t>
  </si>
  <si>
    <t>Akanksha abrol</t>
  </si>
  <si>
    <t>Pragya gera</t>
  </si>
  <si>
    <t>Oviya senthil kumaran</t>
  </si>
  <si>
    <t>Shefalee</t>
  </si>
  <si>
    <t>Madhumita nayak</t>
  </si>
  <si>
    <t>Aanchal</t>
  </si>
  <si>
    <t>Priyanka Shetty</t>
  </si>
  <si>
    <t>Samiksha Mandovra</t>
  </si>
  <si>
    <t>Sapna gomes</t>
  </si>
  <si>
    <t>Jaya Ramya</t>
  </si>
  <si>
    <t>Yoon (meghna)</t>
  </si>
  <si>
    <t>Nida shariya</t>
  </si>
  <si>
    <t>Rachana Sengupta</t>
  </si>
  <si>
    <t>Atashree Rout</t>
  </si>
  <si>
    <t>Priyanka</t>
  </si>
  <si>
    <t>Arya lade</t>
  </si>
  <si>
    <t>Nirmal Verma Nirmal Verma</t>
  </si>
  <si>
    <t>Rhena devakumar</t>
  </si>
  <si>
    <t>Sheetal Negi</t>
  </si>
  <si>
    <t>Naveen digraskar</t>
  </si>
  <si>
    <t>Taameen shabir</t>
  </si>
  <si>
    <t>satvik sadh</t>
  </si>
  <si>
    <t>Shreya chandrakanth bhat</t>
  </si>
  <si>
    <t>Gargee Singh</t>
  </si>
  <si>
    <t>Priyal rajgor</t>
  </si>
  <si>
    <t>Mekhla das</t>
  </si>
  <si>
    <t>Keneimenuo belho</t>
  </si>
  <si>
    <t>Sreelekha</t>
  </si>
  <si>
    <t>Tanmayee</t>
  </si>
  <si>
    <t>Smriti bhardwaj</t>
  </si>
  <si>
    <t>Ishwarya</t>
  </si>
  <si>
    <t>DIDDI JAYANTH KUMAR</t>
  </si>
  <si>
    <t>Malavika kuldeep</t>
  </si>
  <si>
    <t>Ananya gogoi</t>
  </si>
  <si>
    <t>슈웨타</t>
  </si>
  <si>
    <t>Anu</t>
  </si>
  <si>
    <t>Haripriya s</t>
  </si>
  <si>
    <t>Mansi singh</t>
  </si>
  <si>
    <t>Neha Venugopal</t>
  </si>
  <si>
    <t>Harshini neralla</t>
  </si>
  <si>
    <t>Hyndavi eswarapu</t>
  </si>
  <si>
    <t>Diksha Choudhary</t>
  </si>
  <si>
    <t>Kanis ansari</t>
  </si>
  <si>
    <t>Aleena Khan</t>
  </si>
  <si>
    <t>Padmini donepudi</t>
  </si>
  <si>
    <t>bhawana rawat</t>
  </si>
  <si>
    <t>Aditi vashisht</t>
  </si>
  <si>
    <t>Apurva Aroha</t>
  </si>
  <si>
    <t>toiba Malik</t>
  </si>
  <si>
    <t>Alekhya sharma</t>
  </si>
  <si>
    <t>Manvi vishwakarma</t>
  </si>
  <si>
    <t>Saisri</t>
  </si>
  <si>
    <t>Dorcas</t>
  </si>
  <si>
    <t>Sampada phadke</t>
  </si>
  <si>
    <t>Sanaya Das</t>
  </si>
  <si>
    <t>Shagufta nausheen</t>
  </si>
  <si>
    <t>Prerna mishra</t>
  </si>
  <si>
    <t>Marsha</t>
  </si>
  <si>
    <t>Chetana reddy</t>
  </si>
  <si>
    <t>Kiru</t>
  </si>
  <si>
    <t>Ellenor hsiufung Huang</t>
  </si>
  <si>
    <t>Mehwished</t>
  </si>
  <si>
    <t>Marina fernandes</t>
  </si>
  <si>
    <t>Vaani</t>
  </si>
  <si>
    <t>Spandana h</t>
  </si>
  <si>
    <t>Sushmita shahi</t>
  </si>
  <si>
    <t>Kuhu♡</t>
  </si>
  <si>
    <t>akshitha</t>
  </si>
  <si>
    <t>Aayushi Mansawala</t>
  </si>
  <si>
    <t>Tamanna bhardwaj</t>
  </si>
  <si>
    <t>Vijayta</t>
  </si>
  <si>
    <t>Emily mree</t>
  </si>
  <si>
    <t>Parul Saxena</t>
  </si>
  <si>
    <t>Shreya jain</t>
  </si>
  <si>
    <t>Sadiya nawaz</t>
  </si>
  <si>
    <t>Manju. kurapati</t>
  </si>
  <si>
    <t>Nandani bhardwaj</t>
  </si>
  <si>
    <t>Barnali mahato</t>
  </si>
  <si>
    <t>df</t>
  </si>
  <si>
    <t>Sandhiya ravi</t>
  </si>
  <si>
    <t>Mounica Chowdhary</t>
  </si>
  <si>
    <t>Rinha muneer</t>
  </si>
  <si>
    <t>Debarchana roy</t>
  </si>
  <si>
    <t>Anchal</t>
  </si>
  <si>
    <t>Samikshya Satapathy</t>
  </si>
  <si>
    <t>Sruthi</t>
  </si>
  <si>
    <t>Anusha rathore</t>
  </si>
  <si>
    <t>Riya</t>
  </si>
  <si>
    <t>Sanjivani pargal</t>
  </si>
  <si>
    <t>Periwinkle</t>
  </si>
  <si>
    <t>Albin evens</t>
  </si>
  <si>
    <t>Ishhita Mishhra</t>
  </si>
  <si>
    <t>Kunika pagaria</t>
  </si>
  <si>
    <t>Girisha Nikhilraj</t>
  </si>
  <si>
    <t>Ifra</t>
  </si>
  <si>
    <t>Jahaanv</t>
  </si>
  <si>
    <t>Arati bhoi</t>
  </si>
  <si>
    <t>Morewe mall</t>
  </si>
  <si>
    <t>Fella Fathima</t>
  </si>
  <si>
    <t>Rohini prashant shende</t>
  </si>
  <si>
    <t>Devil queen</t>
  </si>
  <si>
    <t>Udit dutta</t>
  </si>
  <si>
    <t>Tenzin</t>
  </si>
  <si>
    <t>Richa tirkey</t>
  </si>
  <si>
    <t>Mythili paturi</t>
  </si>
  <si>
    <t>Mia</t>
  </si>
  <si>
    <t>Neelakshi mahanta</t>
  </si>
  <si>
    <t>Nivya lahari</t>
  </si>
  <si>
    <t>Ulka Das</t>
  </si>
  <si>
    <t>Geetika Kapoor</t>
  </si>
  <si>
    <t>kirithika</t>
  </si>
  <si>
    <t>fara</t>
  </si>
  <si>
    <t>Aditi Tripathi</t>
  </si>
  <si>
    <t>Shanija</t>
  </si>
  <si>
    <t>NeeradaSheen</t>
  </si>
  <si>
    <t>Unicorn_ub</t>
  </si>
  <si>
    <t>siri</t>
  </si>
  <si>
    <t>Srishti gupta</t>
  </si>
  <si>
    <t>Harleen kaur Grewal</t>
  </si>
  <si>
    <t>khanni💖</t>
  </si>
  <si>
    <t>kena taetae</t>
  </si>
  <si>
    <t>Shriyaa Mahajan</t>
  </si>
  <si>
    <t>Deepa Tiwadi</t>
  </si>
  <si>
    <t>Moromee koch</t>
  </si>
  <si>
    <t>Sahana</t>
  </si>
  <si>
    <t>Reshmi banerjee</t>
  </si>
  <si>
    <t>TP</t>
  </si>
  <si>
    <t>aien imchen</t>
  </si>
  <si>
    <t>Maanya Parab</t>
  </si>
  <si>
    <t>Alex s w</t>
  </si>
  <si>
    <t>Sehaj</t>
  </si>
  <si>
    <t>Priya Pal</t>
  </si>
  <si>
    <t>Kang mi rae</t>
  </si>
  <si>
    <t>Sri subha</t>
  </si>
  <si>
    <t>Neha</t>
  </si>
  <si>
    <t>Advika sharma</t>
  </si>
  <si>
    <t>Aish arora</t>
  </si>
  <si>
    <t>Love Forever</t>
  </si>
  <si>
    <t>Vidushi malhotra</t>
  </si>
  <si>
    <t>Navya Jindal</t>
  </si>
  <si>
    <t>Reena yadav</t>
  </si>
  <si>
    <t>Srija reddy</t>
  </si>
  <si>
    <t>Abinaya</t>
  </si>
  <si>
    <t>Disha</t>
  </si>
  <si>
    <t>sneha sharma</t>
  </si>
  <si>
    <t>Rinkal :)</t>
  </si>
  <si>
    <t>Sara Perwyn</t>
  </si>
  <si>
    <t>Ritika anupam.</t>
  </si>
  <si>
    <t>Varsha s</t>
  </si>
  <si>
    <t>gitanjali warrier</t>
  </si>
  <si>
    <t>Shraddha</t>
  </si>
  <si>
    <t>Reema Roy</t>
  </si>
  <si>
    <t>Puja</t>
  </si>
  <si>
    <t>Udichi mehta</t>
  </si>
  <si>
    <t>Aney kezya</t>
  </si>
  <si>
    <t>Soundarya Murugan</t>
  </si>
  <si>
    <t>Bhavya</t>
  </si>
  <si>
    <t>Niveditha narayanan</t>
  </si>
  <si>
    <t>Tanya Jaspal</t>
  </si>
  <si>
    <t>Kalyani gedam</t>
  </si>
  <si>
    <t>Shyamali changmai</t>
  </si>
  <si>
    <t>Dzuthono tunyi</t>
  </si>
  <si>
    <t>Vas Vankal</t>
  </si>
  <si>
    <t>Rituyaduvanshi</t>
  </si>
  <si>
    <t>ankita panda</t>
  </si>
  <si>
    <t>Akshay</t>
  </si>
  <si>
    <t>harini</t>
  </si>
  <si>
    <t>Anju mammen</t>
  </si>
  <si>
    <t>Vivienne khaiyar</t>
  </si>
  <si>
    <t>surabhi bhosale</t>
  </si>
  <si>
    <t>Swayamsiddha mishra</t>
  </si>
  <si>
    <t>Suhani</t>
  </si>
  <si>
    <t>yuri muller</t>
  </si>
  <si>
    <t>Lavanya Shapur</t>
  </si>
  <si>
    <t>리티가</t>
  </si>
  <si>
    <t>Vijusha Baddipudi</t>
  </si>
  <si>
    <t>Karishma Bhadauriya</t>
  </si>
  <si>
    <t>Vaishnavi rachcha</t>
  </si>
  <si>
    <t>Annciya</t>
  </si>
  <si>
    <t>Alina athar</t>
  </si>
  <si>
    <t>Keerthi m</t>
  </si>
  <si>
    <t>Sachi melkunde</t>
  </si>
  <si>
    <t>Sheetal Pawar</t>
  </si>
  <si>
    <t>Jyoti swaroop kaur</t>
  </si>
  <si>
    <t>Shatakshi verma</t>
  </si>
  <si>
    <t>deepa alva</t>
  </si>
  <si>
    <t>Almas siddiqia</t>
  </si>
  <si>
    <t>리스💜</t>
  </si>
  <si>
    <t>Ibtsam qureshi</t>
  </si>
  <si>
    <t>Fatima</t>
  </si>
  <si>
    <t>Achal singh</t>
  </si>
  <si>
    <t>Soubantika Chakravarty</t>
  </si>
  <si>
    <t>ZEBA KHAN</t>
  </si>
  <si>
    <t>Ardhira Aadhu</t>
  </si>
  <si>
    <t>Annie Joseph</t>
  </si>
  <si>
    <t>Vishnupriya sharma</t>
  </si>
  <si>
    <t>Kavya shah</t>
  </si>
  <si>
    <t>x</t>
  </si>
  <si>
    <t>Jay</t>
  </si>
  <si>
    <t>R yashika</t>
  </si>
  <si>
    <t>Neha thakur</t>
  </si>
  <si>
    <t>Yugi K</t>
  </si>
  <si>
    <t>G9-4. Antra Gawai</t>
  </si>
  <si>
    <t>Shristi sahay</t>
  </si>
  <si>
    <t>Dhana panjavarnam</t>
  </si>
  <si>
    <t>Easwary anilkumar</t>
  </si>
  <si>
    <t>Shweta Raddi</t>
  </si>
  <si>
    <t>Nikita verma</t>
  </si>
  <si>
    <t>Mansheen Kaur</t>
  </si>
  <si>
    <t>Shweta verma</t>
  </si>
  <si>
    <t>Mrunmayi Gurav</t>
  </si>
  <si>
    <t>Siddhi Shah</t>
  </si>
  <si>
    <t>Deepa kumari</t>
  </si>
  <si>
    <t>Niveditha rajendran</t>
  </si>
  <si>
    <t>Geetika</t>
  </si>
  <si>
    <t>Sarika garg</t>
  </si>
  <si>
    <t>Anshika ghildiyal</t>
  </si>
  <si>
    <t>Shimrata sharma laimayum</t>
  </si>
  <si>
    <t>Abhilasha khess</t>
  </si>
  <si>
    <t>Bhumika rajput</t>
  </si>
  <si>
    <t>Sunaina jamwal</t>
  </si>
  <si>
    <t>Komal</t>
  </si>
  <si>
    <t>SULAGNA KAUSHIK</t>
  </si>
  <si>
    <t>Shalu</t>
  </si>
  <si>
    <t>Apoorva aggarwal</t>
  </si>
  <si>
    <t>shirley mitra</t>
  </si>
  <si>
    <t>Vanshika Shukla</t>
  </si>
  <si>
    <t>Snigdha</t>
  </si>
  <si>
    <t>Lex</t>
  </si>
  <si>
    <t>Aayushi Walde</t>
  </si>
  <si>
    <t>Shreyasi bose</t>
  </si>
  <si>
    <t>Taruni g</t>
  </si>
  <si>
    <t>Niharika Gupta</t>
  </si>
  <si>
    <t>Swathi</t>
  </si>
  <si>
    <t>Amrutha Varshini Allangi</t>
  </si>
  <si>
    <t>Zoey</t>
  </si>
  <si>
    <t>Fidha</t>
  </si>
  <si>
    <t>Aarthi Jayabal</t>
  </si>
  <si>
    <t>Zulu</t>
  </si>
  <si>
    <t>Payal</t>
  </si>
  <si>
    <t>Preethi M</t>
  </si>
  <si>
    <t>Bianca Kumar</t>
  </si>
  <si>
    <t>moon</t>
  </si>
  <si>
    <t>Dhivya sai bts</t>
  </si>
  <si>
    <t>Arundhati kshiranand shete</t>
  </si>
  <si>
    <t>Ashu</t>
  </si>
  <si>
    <t>Park Sonali Jimin</t>
  </si>
  <si>
    <t>브라치 신</t>
  </si>
  <si>
    <t>Soumyadip maity</t>
  </si>
  <si>
    <t>Violetgirl</t>
  </si>
  <si>
    <t>Shivi</t>
  </si>
  <si>
    <t>Mrinali Dhumal</t>
  </si>
  <si>
    <t>Ritika kujur</t>
  </si>
  <si>
    <t>Shaivi shrivastava</t>
  </si>
  <si>
    <t>Mimansha Singh</t>
  </si>
  <si>
    <t>Sarah shaikh</t>
  </si>
  <si>
    <t>Meenal medhe</t>
  </si>
  <si>
    <t>Sreoshi lodh</t>
  </si>
  <si>
    <t>Anupama anilkumar</t>
  </si>
  <si>
    <t>Prativa</t>
  </si>
  <si>
    <t>miss sssiddhi</t>
  </si>
  <si>
    <t>Tshering doma sherpa</t>
  </si>
  <si>
    <t>Ritika</t>
  </si>
  <si>
    <t>Kalyani Kodavatiganti</t>
  </si>
  <si>
    <t>Shreshtha Bakre</t>
  </si>
  <si>
    <t>Ankita Sinha</t>
  </si>
  <si>
    <t>Vibhuti Manchanda</t>
  </si>
  <si>
    <t>Niharika yadav</t>
  </si>
  <si>
    <t>Fitandbeautiful</t>
  </si>
  <si>
    <t>Harpreet kour kapoor</t>
  </si>
  <si>
    <t>Nikhath Hakeem</t>
  </si>
  <si>
    <t>Bhavana mallavaram</t>
  </si>
  <si>
    <t>Rhythm Gauba</t>
  </si>
  <si>
    <t>Anshika chugh</t>
  </si>
  <si>
    <t>Aishwarya Bala</t>
  </si>
  <si>
    <t>neisavinuo naleo</t>
  </si>
  <si>
    <t>Sadhvi</t>
  </si>
  <si>
    <t>Vaishnavi Gore</t>
  </si>
  <si>
    <t>Shillpa kdrama</t>
  </si>
  <si>
    <t>Sreelakshmi ajith</t>
  </si>
  <si>
    <t>Tshering leezum bhutia</t>
  </si>
  <si>
    <t>Akanksha patil</t>
  </si>
  <si>
    <t>Paridhi chikara</t>
  </si>
  <si>
    <t>Ritanjali rout</t>
  </si>
  <si>
    <t>Chandrika</t>
  </si>
  <si>
    <t>Shalini Chaturvedi</t>
  </si>
  <si>
    <t>Simmi</t>
  </si>
  <si>
    <t>Angel maria</t>
  </si>
  <si>
    <t>Ayesha</t>
  </si>
  <si>
    <t>Sagarika dey</t>
  </si>
  <si>
    <t>Ishika mitra</t>
  </si>
  <si>
    <t>smeeta bhattacharjee</t>
  </si>
  <si>
    <t>Catherine</t>
  </si>
  <si>
    <t>Aditi Mishra</t>
  </si>
  <si>
    <t>Dhanashri Gonge</t>
  </si>
  <si>
    <t>Bishnupriya sahoo</t>
  </si>
  <si>
    <t>Venisa Jathanna</t>
  </si>
  <si>
    <t>Slayzone</t>
  </si>
  <si>
    <t>Bluiii</t>
  </si>
  <si>
    <t>Xiao</t>
  </si>
  <si>
    <t>Aditi gogoi</t>
  </si>
  <si>
    <t>Hetvi Khilawala</t>
  </si>
  <si>
    <t>Prakriti</t>
  </si>
  <si>
    <t>Shivani Rana</t>
  </si>
  <si>
    <t>Sweta gusain</t>
  </si>
  <si>
    <t>Oshi Raghav</t>
  </si>
  <si>
    <t>Anie</t>
  </si>
  <si>
    <t>vedtrayee sinha</t>
  </si>
  <si>
    <t>Geeta chavda</t>
  </si>
  <si>
    <t>Sonali</t>
  </si>
  <si>
    <t>Priyanshi saxena</t>
  </si>
  <si>
    <t>Ahana</t>
  </si>
  <si>
    <t>Akshita Sharma</t>
  </si>
  <si>
    <t>Amuktha malyada</t>
  </si>
  <si>
    <t>Deepika S Joseph</t>
  </si>
  <si>
    <t>Himanshu Nahdiya</t>
  </si>
  <si>
    <t>Kavya bansal</t>
  </si>
  <si>
    <t>Mishti Sinha</t>
  </si>
  <si>
    <t>Sushmita</t>
  </si>
  <si>
    <t>Ahana maner</t>
  </si>
  <si>
    <t>Devshee solanki</t>
  </si>
  <si>
    <t>Arya sawant</t>
  </si>
  <si>
    <t>Pallavi pawar</t>
  </si>
  <si>
    <t>Rosalia Joseph</t>
  </si>
  <si>
    <t>Yogita Vohra</t>
  </si>
  <si>
    <t>Preeti chauhan</t>
  </si>
  <si>
    <t>Diksha chawla</t>
  </si>
  <si>
    <t>Anusha H</t>
  </si>
  <si>
    <t>Kavitha</t>
  </si>
  <si>
    <t>Moni</t>
  </si>
  <si>
    <t>Simone sinha</t>
  </si>
  <si>
    <t>Grace</t>
  </si>
  <si>
    <t>Ramya</t>
  </si>
  <si>
    <t>Shruti agrawal</t>
  </si>
  <si>
    <t>Sandhya rajakumar</t>
  </si>
  <si>
    <t>Shaikh maheru</t>
  </si>
  <si>
    <t>Annie</t>
  </si>
  <si>
    <t>Lavanya</t>
  </si>
  <si>
    <t>Vihana roy</t>
  </si>
  <si>
    <t>Sreelakshmi p</t>
  </si>
  <si>
    <t>Kim taehyung</t>
  </si>
  <si>
    <t>Srabni Bagdi</t>
  </si>
  <si>
    <t>KA</t>
  </si>
  <si>
    <t>Mallika uppin</t>
  </si>
  <si>
    <t>Uzma</t>
  </si>
  <si>
    <t>Pravara vishe</t>
  </si>
  <si>
    <t>Swarnali dutta</t>
  </si>
  <si>
    <t>Manaswini</t>
  </si>
  <si>
    <t>Aparna singh</t>
  </si>
  <si>
    <t>Dibya Pal</t>
  </si>
  <si>
    <t>Vaibhavi chhetri</t>
  </si>
  <si>
    <t>Jyotsna s</t>
  </si>
  <si>
    <t>Vanshika</t>
  </si>
  <si>
    <t>Della treesa joise</t>
  </si>
  <si>
    <t>Kashish mehra</t>
  </si>
  <si>
    <t>Ash</t>
  </si>
  <si>
    <t>Sehaj brar</t>
  </si>
  <si>
    <t>Nandini raghuwanshi</t>
  </si>
  <si>
    <t>Sharanya akkone</t>
  </si>
  <si>
    <t>Yuri</t>
  </si>
  <si>
    <t>Yashika</t>
  </si>
  <si>
    <t>Krishna</t>
  </si>
  <si>
    <t>Yashasvi</t>
  </si>
  <si>
    <t>Parvathi</t>
  </si>
  <si>
    <t>Anushka tapader</t>
  </si>
  <si>
    <t>Ishu</t>
  </si>
  <si>
    <t>Payal verma</t>
  </si>
  <si>
    <t>Divyanshi Sagar</t>
  </si>
  <si>
    <t>Meghna das gupta</t>
  </si>
  <si>
    <t>Diksha agrawal</t>
  </si>
  <si>
    <t>Sakshi dattatray kale</t>
  </si>
  <si>
    <t>Samiksha Niyogi</t>
  </si>
  <si>
    <t>Unnati taral</t>
  </si>
  <si>
    <t>sunita saini</t>
  </si>
  <si>
    <t>Sunita iyer</t>
  </si>
  <si>
    <t>Riddhima</t>
  </si>
  <si>
    <t>Haya nesrin</t>
  </si>
  <si>
    <t>subhashree Ghosh</t>
  </si>
  <si>
    <t>Shreeja mukherjee</t>
  </si>
  <si>
    <t>Sakina dhorajiwala</t>
  </si>
  <si>
    <t>Kratika goyal</t>
  </si>
  <si>
    <t>Sania yeasmin</t>
  </si>
  <si>
    <t>Avni boruah 아브니</t>
  </si>
  <si>
    <t>Miss pradnya</t>
  </si>
  <si>
    <t>Sara Shyam</t>
  </si>
  <si>
    <t>Anushka Tiwari</t>
  </si>
  <si>
    <t>yala</t>
  </si>
  <si>
    <t>Nitika</t>
  </si>
  <si>
    <t>BTS_ARMY_ Inha</t>
  </si>
  <si>
    <t>Subrata Pahari</t>
  </si>
  <si>
    <t>Ayesha sharief</t>
  </si>
  <si>
    <t>Twinkle gupta</t>
  </si>
  <si>
    <t>Kalyani shinde</t>
  </si>
  <si>
    <t>jennie</t>
  </si>
  <si>
    <t>Shangshing himbu rengma</t>
  </si>
  <si>
    <t>Kashish kaul</t>
  </si>
  <si>
    <t>Sweta singhal</t>
  </si>
  <si>
    <t>Vaidehi sagathiya</t>
  </si>
  <si>
    <t>Hifazat khan</t>
  </si>
  <si>
    <t>Sahithi yadavally</t>
  </si>
  <si>
    <t>Avisha Poojari</t>
  </si>
  <si>
    <t>Radhika chawla</t>
  </si>
  <si>
    <t>Jukta das</t>
  </si>
  <si>
    <t>Pujitha matla</t>
  </si>
  <si>
    <t>Lim areum</t>
  </si>
  <si>
    <t>Apeksha bansal</t>
  </si>
  <si>
    <t>Riza bulaun</t>
  </si>
  <si>
    <t>Bhoomi bhatt</t>
  </si>
  <si>
    <t>Sumita pathak</t>
  </si>
  <si>
    <t>Kimketan</t>
  </si>
  <si>
    <t>Riswana parveen</t>
  </si>
  <si>
    <t>Tejana lokhande</t>
  </si>
  <si>
    <t>Euna</t>
  </si>
  <si>
    <t>May</t>
  </si>
  <si>
    <t>Nelufer</t>
  </si>
  <si>
    <t>Riti</t>
  </si>
  <si>
    <t>Kunal</t>
  </si>
  <si>
    <t>Krishna parasar</t>
  </si>
  <si>
    <t>Kaori Miyazono</t>
  </si>
  <si>
    <t>Amruta Khadpe</t>
  </si>
  <si>
    <t>v</t>
  </si>
  <si>
    <t>Billie</t>
  </si>
  <si>
    <t>Sumedha meshram</t>
  </si>
  <si>
    <t>Sweta</t>
  </si>
  <si>
    <t>drawing art</t>
  </si>
  <si>
    <t>Nabeela khan</t>
  </si>
  <si>
    <t>Gihari Reddy Chinthakunta</t>
  </si>
  <si>
    <t>Mohini tiwari</t>
  </si>
  <si>
    <t>Shweta mohite</t>
  </si>
  <si>
    <t>Tripti</t>
  </si>
  <si>
    <t>Sneha gajare</t>
  </si>
  <si>
    <t>Niyati gaikwad</t>
  </si>
  <si>
    <t>Ketaki Pore</t>
  </si>
  <si>
    <t>Devi vishnupriya</t>
  </si>
  <si>
    <t>Loura</t>
  </si>
  <si>
    <t>Honey</t>
  </si>
  <si>
    <t>Ananya karnot</t>
  </si>
  <si>
    <t>Vanshika vijay</t>
  </si>
  <si>
    <t>Aayisha natasha shafik</t>
  </si>
  <si>
    <t>Muskaan vaidya</t>
  </si>
  <si>
    <t>Swarna's Art Class</t>
  </si>
  <si>
    <t>S. jeffrey antony</t>
  </si>
  <si>
    <t>Ananta</t>
  </si>
  <si>
    <t>Yujin 유진</t>
  </si>
  <si>
    <t>Melissa⟭⟬</t>
  </si>
  <si>
    <t>Ritika bisht</t>
  </si>
  <si>
    <t>알피아//강시린</t>
  </si>
  <si>
    <t>Jha aneri samir</t>
  </si>
  <si>
    <t>Suhani gupta</t>
  </si>
  <si>
    <t>Pragya kim</t>
  </si>
  <si>
    <t>Deepika</t>
  </si>
  <si>
    <t>Aashi</t>
  </si>
  <si>
    <t>Charaniya</t>
  </si>
  <si>
    <t>Pearl</t>
  </si>
  <si>
    <t>Chinmoyee deka</t>
  </si>
  <si>
    <t>Simran verma</t>
  </si>
  <si>
    <t>Kim shannu</t>
  </si>
  <si>
    <t>Shivanishi lakra</t>
  </si>
  <si>
    <t>Harshita Kulkarni</t>
  </si>
  <si>
    <t>Shruti Sharma</t>
  </si>
  <si>
    <t>Yagnasree</t>
  </si>
  <si>
    <t>Arpita</t>
  </si>
  <si>
    <t>Ashwanth</t>
  </si>
  <si>
    <t>Sindhu</t>
  </si>
  <si>
    <t>Vidushi gera</t>
  </si>
  <si>
    <t>Harshita pandey</t>
  </si>
  <si>
    <t>Hritu kakade</t>
  </si>
  <si>
    <t>Noons ramn</t>
  </si>
  <si>
    <t>Deepanshu goyal</t>
  </si>
  <si>
    <t>Anjali mahant</t>
  </si>
  <si>
    <t>Preethi</t>
  </si>
  <si>
    <t>Nidhi negi</t>
  </si>
  <si>
    <t>Papri Kotal</t>
  </si>
  <si>
    <t>Manasvi</t>
  </si>
  <si>
    <t>안 빈리찬</t>
  </si>
  <si>
    <t>Sri harshita</t>
  </si>
  <si>
    <t>Krishma gupta</t>
  </si>
  <si>
    <t>Pooja tambe</t>
  </si>
  <si>
    <t>Riha_thakuri</t>
  </si>
  <si>
    <t>Deblina ghosh</t>
  </si>
  <si>
    <t>Deepanshi thukral</t>
  </si>
  <si>
    <t>Ketaki kularnii</t>
  </si>
  <si>
    <t>Radhika naidu</t>
  </si>
  <si>
    <t>MyraSingh</t>
  </si>
  <si>
    <t>A</t>
  </si>
  <si>
    <t>Nisha</t>
  </si>
  <si>
    <t>Shadha</t>
  </si>
  <si>
    <t>Bhanu sowmya</t>
  </si>
  <si>
    <t>Tanya baug</t>
  </si>
  <si>
    <t>Aditi singh tharran</t>
  </si>
  <si>
    <t>Riddhima anand</t>
  </si>
  <si>
    <t>Linn sara kurian</t>
  </si>
  <si>
    <t>Renuka pradhan</t>
  </si>
  <si>
    <t>Gowri s</t>
  </si>
  <si>
    <t>Ishita tripathi</t>
  </si>
  <si>
    <t>Jhilmil tak</t>
  </si>
  <si>
    <t>.......</t>
  </si>
  <si>
    <t>Samriddhi Srivastava</t>
  </si>
  <si>
    <t>Harshitha</t>
  </si>
  <si>
    <t>Chandana kukudala</t>
  </si>
  <si>
    <t>Shifa</t>
  </si>
  <si>
    <t>Deepshikha sahu</t>
  </si>
  <si>
    <t>Luv Vyom</t>
  </si>
  <si>
    <t>Chandana</t>
  </si>
  <si>
    <t>Ishita kataria</t>
  </si>
  <si>
    <t>Muskan praveen</t>
  </si>
  <si>
    <t>Monutopieliebe</t>
  </si>
  <si>
    <t>Lekhika milind manchekar</t>
  </si>
  <si>
    <t>Anindita Dutta</t>
  </si>
  <si>
    <t>Rupasi Saha</t>
  </si>
  <si>
    <t>Miss tokyo</t>
  </si>
  <si>
    <t>Prerna</t>
  </si>
  <si>
    <t>Aditi rathod</t>
  </si>
  <si>
    <t>Anjleena nath srivastava</t>
  </si>
  <si>
    <t>Rita</t>
  </si>
  <si>
    <t>Shivani Saple</t>
  </si>
  <si>
    <t>Priyadharshini</t>
  </si>
  <si>
    <t>Muskan Jindal</t>
  </si>
  <si>
    <t>Iqra laiq</t>
  </si>
  <si>
    <t>Sujata</t>
  </si>
  <si>
    <t>Mrunal Phadke</t>
  </si>
  <si>
    <t>Mahak miner</t>
  </si>
  <si>
    <t>Hetvi mehta</t>
  </si>
  <si>
    <t>Ankita singh</t>
  </si>
  <si>
    <t>Krishna Patel</t>
  </si>
  <si>
    <t>Harsh</t>
  </si>
  <si>
    <t>Lokare shilpa</t>
  </si>
  <si>
    <t>Olivia xavier</t>
  </si>
  <si>
    <t>Vikramshila</t>
  </si>
  <si>
    <t>Unnati naskar</t>
  </si>
  <si>
    <t>Praveena saravanan</t>
  </si>
  <si>
    <t>Daishali Gupta</t>
  </si>
  <si>
    <t>Sri archana</t>
  </si>
  <si>
    <t>Makunahatata</t>
  </si>
  <si>
    <t>Karuna G</t>
  </si>
  <si>
    <t>수차리타</t>
  </si>
  <si>
    <t>Aneri</t>
  </si>
  <si>
    <t>Nupur agarwal</t>
  </si>
  <si>
    <t>Versha Ruhal</t>
  </si>
  <si>
    <t>Shaeesta</t>
  </si>
  <si>
    <t>Aabida shekh</t>
  </si>
  <si>
    <t>Sanna Shaiikh</t>
  </si>
  <si>
    <t>Khushi Mittal</t>
  </si>
  <si>
    <t>Amy</t>
  </si>
  <si>
    <t>Chahal chhabra</t>
  </si>
  <si>
    <t>Jennifer thomas</t>
  </si>
  <si>
    <t>Swati meher</t>
  </si>
  <si>
    <t>Nik</t>
  </si>
  <si>
    <t>Prakruti biradar</t>
  </si>
  <si>
    <t>Nidhi tiwari</t>
  </si>
  <si>
    <t>Khushboo sahoo</t>
  </si>
  <si>
    <t>Sanjha</t>
  </si>
  <si>
    <t>Akankshya mondal</t>
  </si>
  <si>
    <t>Drishti joshi</t>
  </si>
  <si>
    <t>Manasi shastri</t>
  </si>
  <si>
    <t>Zoya</t>
  </si>
  <si>
    <t>Ameera taj</t>
  </si>
  <si>
    <t>Elina Mishra_임 유나</t>
  </si>
  <si>
    <t>Dipali rana</t>
  </si>
  <si>
    <t>rachana pisupati</t>
  </si>
  <si>
    <t>Urvi gohil</t>
  </si>
  <si>
    <t>Jijichan</t>
  </si>
  <si>
    <t>Eunice aier</t>
  </si>
  <si>
    <t>Aishwarya Ray</t>
  </si>
  <si>
    <t>Bostaan</t>
  </si>
  <si>
    <t>Laxmi</t>
  </si>
  <si>
    <t>Suhasini Yadav</t>
  </si>
  <si>
    <t>Madhu Meghana</t>
  </si>
  <si>
    <t>Hiya saini</t>
  </si>
  <si>
    <t>Sadaf jya</t>
  </si>
  <si>
    <t>Sowmya sivakumar</t>
  </si>
  <si>
    <t>Ayesha ahmed</t>
  </si>
  <si>
    <t>Mehrin memon</t>
  </si>
  <si>
    <t>sesha sravani</t>
  </si>
  <si>
    <t>Vru</t>
  </si>
  <si>
    <t>Tanveer</t>
  </si>
  <si>
    <t>Sania khan</t>
  </si>
  <si>
    <t>Kiran behera</t>
  </si>
  <si>
    <t>Harshada P</t>
  </si>
  <si>
    <t>Swastika sinha</t>
  </si>
  <si>
    <t>Rebecca</t>
  </si>
  <si>
    <t>Divya Lohar</t>
  </si>
  <si>
    <t>Mahrukh Mehraj</t>
  </si>
  <si>
    <t>Zareen banu</t>
  </si>
  <si>
    <t>Taehyung's_wifey</t>
  </si>
  <si>
    <t>Anika shreya</t>
  </si>
  <si>
    <t>Shreya</t>
  </si>
  <si>
    <t>Pratima Maurya</t>
  </si>
  <si>
    <t>Diwanshi 18UENG009</t>
  </si>
  <si>
    <t>Puneeta agarwal</t>
  </si>
  <si>
    <t>Sakshi singh</t>
  </si>
  <si>
    <t>Yashvi j</t>
  </si>
  <si>
    <t>Ayushi surbhi Kachhap</t>
  </si>
  <si>
    <t>Aastha mundra</t>
  </si>
  <si>
    <t>Greeshma</t>
  </si>
  <si>
    <t>Subhashree easaki</t>
  </si>
  <si>
    <t>Sajjad salman</t>
  </si>
  <si>
    <t>Arati panjabrao uikey</t>
  </si>
  <si>
    <t>Sonia sheikh</t>
  </si>
  <si>
    <t>Arpita parmar</t>
  </si>
  <si>
    <t>Bhumika jaggi</t>
  </si>
  <si>
    <t>Fathima farisha</t>
  </si>
  <si>
    <t>Vaishnavi Saxena</t>
  </si>
  <si>
    <t>Nishtha</t>
  </si>
  <si>
    <t>Deepshikha</t>
  </si>
  <si>
    <t>Vaish Prakash</t>
  </si>
  <si>
    <t>Roshani</t>
  </si>
  <si>
    <t>Creator 16</t>
  </si>
  <si>
    <t>Adwita manoch</t>
  </si>
  <si>
    <t>Sonal varku</t>
  </si>
  <si>
    <t>Rashi thapa</t>
  </si>
  <si>
    <t>Twinkkle Pancholli</t>
  </si>
  <si>
    <t>Alana Rafeeq</t>
  </si>
  <si>
    <t>Hiba</t>
  </si>
  <si>
    <t>Vaishnavi Sharad Gaikwad</t>
  </si>
  <si>
    <t>Jan</t>
  </si>
  <si>
    <t>Bhargavi surendra</t>
  </si>
  <si>
    <t>Osheen Samyal</t>
  </si>
  <si>
    <t>Shaezah khaliq</t>
  </si>
  <si>
    <t>Bhoomi dhamija</t>
  </si>
  <si>
    <t>Nidhi singh</t>
  </si>
  <si>
    <t>Neha raikar</t>
  </si>
  <si>
    <t>Aindrilla sengupta</t>
  </si>
  <si>
    <t>Siva</t>
  </si>
  <si>
    <t>Koyel goswami</t>
  </si>
  <si>
    <t>Swapnil vishwakarma</t>
  </si>
  <si>
    <t>Varshika prajapati</t>
  </si>
  <si>
    <t>Rashmitha</t>
  </si>
  <si>
    <t>Niharika OT</t>
  </si>
  <si>
    <t>Adheena jose</t>
  </si>
  <si>
    <t>Ekta</t>
  </si>
  <si>
    <t>Monika dauluri</t>
  </si>
  <si>
    <t>Anjali pathak</t>
  </si>
  <si>
    <t>Shregin</t>
  </si>
  <si>
    <t>Akhila krishna</t>
  </si>
  <si>
    <t>Ɥnuǝʌ ɯᴉʞ</t>
  </si>
  <si>
    <t>Chinmaie Karlapudi</t>
  </si>
  <si>
    <t>Simran pokhriyal</t>
  </si>
  <si>
    <t>Pooja saraf</t>
  </si>
  <si>
    <t>이드다💜</t>
  </si>
  <si>
    <t>Cokkaa😉</t>
  </si>
  <si>
    <t>Somya sharma</t>
  </si>
  <si>
    <t>SANJANA AGRAWAL</t>
  </si>
  <si>
    <t>Preeti misal</t>
  </si>
  <si>
    <t>Karen</t>
  </si>
  <si>
    <t>Chhavi</t>
  </si>
  <si>
    <t>Jasmine Singh</t>
  </si>
  <si>
    <t>Pradnya Gawai</t>
  </si>
  <si>
    <t>Roshan</t>
  </si>
  <si>
    <t>Varsha adhikari</t>
  </si>
  <si>
    <t>Sejal</t>
  </si>
  <si>
    <t>Mishil.</t>
  </si>
  <si>
    <t>Lavanyanarne</t>
  </si>
  <si>
    <t>Vedika bhan</t>
  </si>
  <si>
    <t>Gazala</t>
  </si>
  <si>
    <t>Sathyapriya</t>
  </si>
  <si>
    <t>Anaya khandelwal</t>
  </si>
  <si>
    <t>Nashwa Nizar</t>
  </si>
  <si>
    <t>Gitanjana Paul Choudhury</t>
  </si>
  <si>
    <t>Lakshana suresh</t>
  </si>
  <si>
    <t>Anna maria</t>
  </si>
  <si>
    <t>Pratiksha🌻</t>
  </si>
  <si>
    <t>Yogesh Gupta</t>
  </si>
  <si>
    <t>Snigdharup Guchait</t>
  </si>
  <si>
    <t>Gayathri j</t>
  </si>
  <si>
    <t>Shrishti</t>
  </si>
  <si>
    <t>Niharika singh</t>
  </si>
  <si>
    <t>MAHIMA RUPANI</t>
  </si>
  <si>
    <t>girija</t>
  </si>
  <si>
    <t>아하나</t>
  </si>
  <si>
    <t>Aesha biswas</t>
  </si>
  <si>
    <t>Aniket tiwari</t>
  </si>
  <si>
    <t>Hrudaya Dolly</t>
  </si>
  <si>
    <t>laalasa chowdary</t>
  </si>
  <si>
    <t>Monica s</t>
  </si>
  <si>
    <t>Diya shukla</t>
  </si>
  <si>
    <t>Saumya shree</t>
  </si>
  <si>
    <t>Sanvi</t>
  </si>
  <si>
    <t>Sherab bhutia</t>
  </si>
  <si>
    <t>Manju m</t>
  </si>
  <si>
    <t>Vanshika singhal</t>
  </si>
  <si>
    <t>Shrawani deshmukh</t>
  </si>
  <si>
    <t>Valli meenaa</t>
  </si>
  <si>
    <t>Swagata sharma</t>
  </si>
  <si>
    <t>Basudha Sakshyarika</t>
  </si>
  <si>
    <t>Ava pers</t>
  </si>
  <si>
    <t>Hrilina chowdhury</t>
  </si>
  <si>
    <t>Kim sg</t>
  </si>
  <si>
    <t>Sayani giri</t>
  </si>
  <si>
    <t>amina yasmin</t>
  </si>
  <si>
    <t>Sudhanya 🍂</t>
  </si>
  <si>
    <t>Parvathy</t>
  </si>
  <si>
    <t>Madhura dey</t>
  </si>
  <si>
    <t>Snehangee Dey</t>
  </si>
  <si>
    <t>Vaibhavi</t>
  </si>
  <si>
    <t>Riya thakur</t>
  </si>
  <si>
    <t>Priya singh</t>
  </si>
  <si>
    <t>Malavika Muralidharan</t>
  </si>
  <si>
    <t>Aasma</t>
  </si>
  <si>
    <t>Navya mishra</t>
  </si>
  <si>
    <t>Finha sajid</t>
  </si>
  <si>
    <t>Ruks</t>
  </si>
  <si>
    <t>Saloni Kadam</t>
  </si>
  <si>
    <t>Rashika mukherjee</t>
  </si>
  <si>
    <t>Ping</t>
  </si>
  <si>
    <t>Nandani Chokidar</t>
  </si>
  <si>
    <t>Kesang choki</t>
  </si>
  <si>
    <t>Shivangi gupta</t>
  </si>
  <si>
    <t>Tripti Singh</t>
  </si>
  <si>
    <t>Aditya diptirupa</t>
  </si>
  <si>
    <t>Silviya Ragidi</t>
  </si>
  <si>
    <t>Siya</t>
  </si>
  <si>
    <t>Seema sha</t>
  </si>
  <si>
    <t>Kâřĕèña Kãńôjïâ</t>
  </si>
  <si>
    <t>Muskan negi</t>
  </si>
  <si>
    <t>Devi</t>
  </si>
  <si>
    <t>Lirybon Terangpi</t>
  </si>
  <si>
    <t>Narmada Narmada</t>
  </si>
  <si>
    <t>Samyaka</t>
  </si>
  <si>
    <t>Reema ravishankar</t>
  </si>
  <si>
    <t>Oshina antony</t>
  </si>
  <si>
    <t>Sharon Fernandes</t>
  </si>
  <si>
    <t>Daisy</t>
  </si>
  <si>
    <t>Roslin suresh</t>
  </si>
  <si>
    <t>Tabassum</t>
  </si>
  <si>
    <t>Aishwari Arpita Pradhan-1117</t>
  </si>
  <si>
    <t>Mayank.</t>
  </si>
  <si>
    <t>Janhavi Angchekar</t>
  </si>
  <si>
    <t>Ayushi shukla</t>
  </si>
  <si>
    <t>Sonam Rawat</t>
  </si>
  <si>
    <t>ASRA A</t>
  </si>
  <si>
    <t>Saloni Gulia</t>
  </si>
  <si>
    <t>Dara vaishu</t>
  </si>
  <si>
    <t>Maria</t>
  </si>
  <si>
    <t>Prakriti gupta</t>
  </si>
  <si>
    <t>Yashika j</t>
  </si>
  <si>
    <t>Shikha rana</t>
  </si>
  <si>
    <t>Prahelika</t>
  </si>
  <si>
    <t>Prerna burande</t>
  </si>
  <si>
    <t>Akankshya mishra</t>
  </si>
  <si>
    <t>Heeya Shroff</t>
  </si>
  <si>
    <t>Sukanya</t>
  </si>
  <si>
    <t>Riya Bajpai</t>
  </si>
  <si>
    <t>Kuheli</t>
  </si>
  <si>
    <t>Sakshi mane</t>
  </si>
  <si>
    <t>Tarunika reyn</t>
  </si>
  <si>
    <t>Kim</t>
  </si>
  <si>
    <t>Shailey</t>
  </si>
  <si>
    <t>Isha varma</t>
  </si>
  <si>
    <t>Silpi Lekha Das</t>
  </si>
  <si>
    <t>Sushma</t>
  </si>
  <si>
    <t>Eesha Kotak</t>
  </si>
  <si>
    <t>Steny jacqueline</t>
  </si>
  <si>
    <t>Neelima</t>
  </si>
  <si>
    <t>Ragini Agarwal</t>
  </si>
  <si>
    <t>Gunjan Saxena</t>
  </si>
  <si>
    <t>Hima bindu</t>
  </si>
  <si>
    <t>Ankita bhise</t>
  </si>
  <si>
    <t>Rushali Singhal</t>
  </si>
  <si>
    <t>Sahithi Ankareddy</t>
  </si>
  <si>
    <t>Kayna garg</t>
  </si>
  <si>
    <t>Sopem S</t>
  </si>
  <si>
    <t>Sedgemeru Ghosh</t>
  </si>
  <si>
    <t>Prerna pothan</t>
  </si>
  <si>
    <t>Hetvi Gandhi</t>
  </si>
  <si>
    <t>Shoa🌼</t>
  </si>
  <si>
    <t>Moumita Dutta</t>
  </si>
  <si>
    <t>Au ra</t>
  </si>
  <si>
    <t>Priya Maheshwari</t>
  </si>
  <si>
    <t>Harika kosuri</t>
  </si>
  <si>
    <t>Visa Thurikha</t>
  </si>
  <si>
    <t>Avanthika praveen</t>
  </si>
  <si>
    <t>Sweet Baby</t>
  </si>
  <si>
    <t>Avantika Nawale</t>
  </si>
  <si>
    <t>Prashansha singh</t>
  </si>
  <si>
    <t>Prakruti Mahesh</t>
  </si>
  <si>
    <t>Rucha jamale</t>
  </si>
  <si>
    <t>Divyangi jain</t>
  </si>
  <si>
    <t>tamanna sharma</t>
  </si>
  <si>
    <t>Hetal Gada</t>
  </si>
  <si>
    <t>Bushra faridi</t>
  </si>
  <si>
    <t>Lucky</t>
  </si>
  <si>
    <t>Aaditi singh</t>
  </si>
  <si>
    <t>Mayuri Nadgeri</t>
  </si>
  <si>
    <t>Sony</t>
  </si>
  <si>
    <t>Fida amina</t>
  </si>
  <si>
    <t>Vanial</t>
  </si>
  <si>
    <t>Srishti negi</t>
  </si>
  <si>
    <t>Ishika Gupta</t>
  </si>
  <si>
    <t>Archana Tatikonda</t>
  </si>
  <si>
    <t>Tulip Raj siyota</t>
  </si>
  <si>
    <t>Shruthi g</t>
  </si>
  <si>
    <t>Aakanksha Ravat</t>
  </si>
  <si>
    <t>Neha Singh</t>
  </si>
  <si>
    <t>Arurima</t>
  </si>
  <si>
    <t>Ananya Tewari</t>
  </si>
  <si>
    <t>Sanjana chaudhary</t>
  </si>
  <si>
    <t>Parvindar Kaur</t>
  </si>
  <si>
    <t>Simran</t>
  </si>
  <si>
    <t>mansi mehta</t>
  </si>
  <si>
    <t>니샤</t>
  </si>
  <si>
    <t>Asmita</t>
  </si>
  <si>
    <t>Raji</t>
  </si>
  <si>
    <t>Afreen ayyoob</t>
  </si>
  <si>
    <t>Geethika Nair</t>
  </si>
  <si>
    <t>Dayana ramesh</t>
  </si>
  <si>
    <t>Srishti kumari</t>
  </si>
  <si>
    <t>Vatsala</t>
  </si>
  <si>
    <t>Micky Chan</t>
  </si>
  <si>
    <t>Nafi</t>
  </si>
  <si>
    <t>Ziya</t>
  </si>
  <si>
    <t>Adya Mehrotra</t>
  </si>
  <si>
    <t>Ankita priyadarshini</t>
  </si>
  <si>
    <t>Pratiksha joshi</t>
  </si>
  <si>
    <t>ashlesha singh</t>
  </si>
  <si>
    <t>Mani</t>
  </si>
  <si>
    <t>Yashwi bhootra</t>
  </si>
  <si>
    <t>Rahi chakraborty</t>
  </si>
  <si>
    <t>Priya mandal</t>
  </si>
  <si>
    <t>Sneha Manohar</t>
  </si>
  <si>
    <t>Deepthi yadav</t>
  </si>
  <si>
    <t>Mavane lk</t>
  </si>
  <si>
    <t>Fantasy</t>
  </si>
  <si>
    <t>Tsukjemsangla jamir</t>
  </si>
  <si>
    <t>Ruchitha</t>
  </si>
  <si>
    <t>Sejal pradhan</t>
  </si>
  <si>
    <t>Komal barkhane</t>
  </si>
  <si>
    <t>Reshma murmu</t>
  </si>
  <si>
    <t>Sheetal</t>
  </si>
  <si>
    <t>Garvita gupta</t>
  </si>
  <si>
    <t>Priyanka Yadav</t>
  </si>
  <si>
    <t>Mamta Manral</t>
  </si>
  <si>
    <t>Vimmy yumnam</t>
  </si>
  <si>
    <t>hazin</t>
  </si>
  <si>
    <t>Nidhi vishwakarma</t>
  </si>
  <si>
    <t>Devayani sangramsinh kadav</t>
  </si>
  <si>
    <t>Khushi</t>
  </si>
  <si>
    <t>Manu chowdary</t>
  </si>
  <si>
    <t>Aaliya ahamed</t>
  </si>
  <si>
    <t>Bangtan army</t>
  </si>
  <si>
    <t>Prapti Amin</t>
  </si>
  <si>
    <t>Anjalee</t>
  </si>
  <si>
    <t>Asiya ashraf</t>
  </si>
  <si>
    <t>anu singh</t>
  </si>
  <si>
    <t>aashima soni</t>
  </si>
  <si>
    <t>Sandhiya</t>
  </si>
  <si>
    <t>Swetha gundan</t>
  </si>
  <si>
    <t>Neha kulkarni</t>
  </si>
  <si>
    <t>Rehnuma 💮</t>
  </si>
  <si>
    <t>Pratibha k</t>
  </si>
  <si>
    <t>Gluttonion</t>
  </si>
  <si>
    <t>Umnah Mukhasam</t>
  </si>
  <si>
    <t>Swathi CKotak</t>
  </si>
  <si>
    <t>Praju rj</t>
  </si>
  <si>
    <t>Aanya verma</t>
  </si>
  <si>
    <t>J christina</t>
  </si>
  <si>
    <t>Kaashvi chhabra</t>
  </si>
  <si>
    <t>Khushboo rana</t>
  </si>
  <si>
    <t>BANGTAN SONOYEDON</t>
  </si>
  <si>
    <t>Bhabana biswal</t>
  </si>
  <si>
    <t>Avantika rana</t>
  </si>
  <si>
    <t>Manjima tarafdar</t>
  </si>
  <si>
    <t>Liza</t>
  </si>
  <si>
    <t>Diksha Sharma</t>
  </si>
  <si>
    <t>Vaidavi Rangari</t>
  </si>
  <si>
    <t>meghna dhanwnai</t>
  </si>
  <si>
    <t>Bhavya b</t>
  </si>
  <si>
    <t>Akanksha hirnak</t>
  </si>
  <si>
    <t>Madhura m</t>
  </si>
  <si>
    <t>Anandita Paul</t>
  </si>
  <si>
    <t>Shweta jadhav</t>
  </si>
  <si>
    <t>Vidisha parth</t>
  </si>
  <si>
    <t>Sruthi sunny</t>
  </si>
  <si>
    <t>Shubhangi chhabra</t>
  </si>
  <si>
    <t>Jyoti murmu</t>
  </si>
  <si>
    <t>Apeksha shinde</t>
  </si>
  <si>
    <t>pooja boga</t>
  </si>
  <si>
    <t>Siddhi verma</t>
  </si>
  <si>
    <t>Gungun</t>
  </si>
  <si>
    <t>Padma dave</t>
  </si>
  <si>
    <t>Zuha aijaz</t>
  </si>
  <si>
    <t>Zoya Ajay Mali</t>
  </si>
  <si>
    <t>Aradhita kashyap</t>
  </si>
  <si>
    <t>Soorya</t>
  </si>
  <si>
    <t>Shara sheikh</t>
  </si>
  <si>
    <t>Saloni pandey</t>
  </si>
  <si>
    <t>Simron meher</t>
  </si>
  <si>
    <t>Rish</t>
  </si>
  <si>
    <t>Gauri</t>
  </si>
  <si>
    <t>Sakshi Hande</t>
  </si>
  <si>
    <t>Aanya dewan</t>
  </si>
  <si>
    <t>Pragati singh</t>
  </si>
  <si>
    <t>Shabeena</t>
  </si>
  <si>
    <t>Jayshree Awle</t>
  </si>
  <si>
    <t>Akan'K'sha Mishra</t>
  </si>
  <si>
    <t>Abhilasha More</t>
  </si>
  <si>
    <t>Komal lal</t>
  </si>
  <si>
    <t>Shakshi Chauhan</t>
  </si>
  <si>
    <t>Bhavana Revadi</t>
  </si>
  <si>
    <t>Ramyasree jwalapuram</t>
  </si>
  <si>
    <t>Prachita Waingankar</t>
  </si>
  <si>
    <t>Anjali Rohilla</t>
  </si>
  <si>
    <t>Anushka gupta</t>
  </si>
  <si>
    <t>Manasvi sharma</t>
  </si>
  <si>
    <t>Suha mulla</t>
  </si>
  <si>
    <t>Rupika alekhya</t>
  </si>
  <si>
    <t>Mugdha sahu</t>
  </si>
  <si>
    <t>BushraKhan</t>
  </si>
  <si>
    <t>Fortuna</t>
  </si>
  <si>
    <t>Kavita shah</t>
  </si>
  <si>
    <t>Guneet kaur gandhi</t>
  </si>
  <si>
    <t>Rashmika simhadri</t>
  </si>
  <si>
    <t>Sanskriti</t>
  </si>
  <si>
    <t>Aishwarya V</t>
  </si>
  <si>
    <t>Pradakshina borbora</t>
  </si>
  <si>
    <t>Sakshi Bothra</t>
  </si>
  <si>
    <t>Soni</t>
  </si>
  <si>
    <t>Anshika Joshi</t>
  </si>
  <si>
    <t>Sony Unnamatla</t>
  </si>
  <si>
    <t>Heena</t>
  </si>
  <si>
    <t>Iqra ansari</t>
  </si>
  <si>
    <t>Shreya gaikwad</t>
  </si>
  <si>
    <t>Kang myeong na</t>
  </si>
  <si>
    <t>Sanda</t>
  </si>
  <si>
    <t>Shreya purkayastha</t>
  </si>
  <si>
    <t>Ivleena choudhury</t>
  </si>
  <si>
    <t>Lata kanodia</t>
  </si>
  <si>
    <t>Sanyukta</t>
  </si>
  <si>
    <t>Dhruvi</t>
  </si>
  <si>
    <t>Vanya chaudhary</t>
  </si>
  <si>
    <t>sarika virsure</t>
  </si>
  <si>
    <t>Ruchika</t>
  </si>
  <si>
    <t>Jyoti Yadav</t>
  </si>
  <si>
    <t>Lincy joanofarc</t>
  </si>
  <si>
    <t>Priya sharma</t>
  </si>
  <si>
    <t>Anshu Singh</t>
  </si>
  <si>
    <t>Chaitra ram</t>
  </si>
  <si>
    <t>Nandani Jaiswal</t>
  </si>
  <si>
    <t>Anjum</t>
  </si>
  <si>
    <t>Joey</t>
  </si>
  <si>
    <t>Ruchi Shukla</t>
  </si>
  <si>
    <t>Swastika mishra</t>
  </si>
  <si>
    <t>Sanya</t>
  </si>
  <si>
    <t>Tejaswini Mathane</t>
  </si>
  <si>
    <t>Muskaan shaik</t>
  </si>
  <si>
    <t>Preema rai</t>
  </si>
  <si>
    <t>Madhu</t>
  </si>
  <si>
    <t>Aastha goel</t>
  </si>
  <si>
    <t>Madhuri Kolli</t>
  </si>
  <si>
    <t>Ananya Mukherjee</t>
  </si>
  <si>
    <t>Garima jain</t>
  </si>
  <si>
    <t>Sandhya Yadav</t>
  </si>
  <si>
    <t>Prameela</t>
  </si>
  <si>
    <t>Nidhi Dave</t>
  </si>
  <si>
    <t>Jigmet tsomo</t>
  </si>
  <si>
    <t>Priyam</t>
  </si>
  <si>
    <t>Mila</t>
  </si>
  <si>
    <t>Sharmistha</t>
  </si>
  <si>
    <t>D.nithya priya</t>
  </si>
  <si>
    <t>Dimple</t>
  </si>
  <si>
    <t>Sanskriti Sahu</t>
  </si>
  <si>
    <t>Rupali</t>
  </si>
  <si>
    <t>Farah johar</t>
  </si>
  <si>
    <t>Tanvi gujrati</t>
  </si>
  <si>
    <t>Puspa</t>
  </si>
  <si>
    <t>Leema roslin</t>
  </si>
  <si>
    <t>Sadaf Zahid</t>
  </si>
  <si>
    <t>Sheetal rana</t>
  </si>
  <si>
    <t>Mimi</t>
  </si>
  <si>
    <t>Harshita budhathoki</t>
  </si>
  <si>
    <t>Jayati yadav</t>
  </si>
  <si>
    <t>Tanisha Mahata</t>
  </si>
  <si>
    <t>Salinajunya</t>
  </si>
  <si>
    <t>Adity mohan</t>
  </si>
  <si>
    <t>Bex</t>
  </si>
  <si>
    <t>Mb</t>
  </si>
  <si>
    <t>Siyaa Bawle</t>
  </si>
  <si>
    <t>Alina khan</t>
  </si>
  <si>
    <t>Supra</t>
  </si>
  <si>
    <t>Alicia Tauro</t>
  </si>
  <si>
    <t>Payal das</t>
  </si>
  <si>
    <t>Candy</t>
  </si>
  <si>
    <t>Maryam junaid</t>
  </si>
  <si>
    <t>DrTrisheetaa Tej</t>
  </si>
  <si>
    <t>kruthika mustapure</t>
  </si>
  <si>
    <t>Chilonge Kabanshi</t>
  </si>
  <si>
    <t>Bhawana anasane</t>
  </si>
  <si>
    <t>Debanjana das</t>
  </si>
  <si>
    <t>Manisha</t>
  </si>
  <si>
    <t>Mansha</t>
  </si>
  <si>
    <t>Krisha</t>
  </si>
  <si>
    <t>Lhamit lepcha</t>
  </si>
  <si>
    <t>Luna</t>
  </si>
  <si>
    <t>Jamless Person</t>
  </si>
  <si>
    <t>Indu</t>
  </si>
  <si>
    <t>Sk shalu kumari</t>
  </si>
  <si>
    <t>Park hae sung</t>
  </si>
  <si>
    <t>anshi</t>
  </si>
  <si>
    <t>Swikar s godse</t>
  </si>
  <si>
    <t>Ngaite___girl__</t>
  </si>
  <si>
    <t>Joyce 조이세</t>
  </si>
  <si>
    <t>Deb</t>
  </si>
  <si>
    <t>Shashi bhaskar</t>
  </si>
  <si>
    <t>Reshma</t>
  </si>
  <si>
    <t>Deepannita gupta</t>
  </si>
  <si>
    <t>rosalyn standford</t>
  </si>
  <si>
    <t>Hansika pappula</t>
  </si>
  <si>
    <t>Ritisha Gupta</t>
  </si>
  <si>
    <t>Divya Dhiman</t>
  </si>
  <si>
    <t>DhikshithaRavichandran</t>
  </si>
  <si>
    <t>MONIKA MINZ</t>
  </si>
  <si>
    <t>Merylin shivangini khatua</t>
  </si>
  <si>
    <t>snehal gaykar</t>
  </si>
  <si>
    <t>Aaliya Sana</t>
  </si>
  <si>
    <t>Join MEi</t>
  </si>
  <si>
    <t>Reene Massey</t>
  </si>
  <si>
    <t>Pooja vijay yevale</t>
  </si>
  <si>
    <t>Nandini Dogra</t>
  </si>
  <si>
    <t>Shreya pawar</t>
  </si>
  <si>
    <t>Rittika</t>
  </si>
  <si>
    <t>Afna</t>
  </si>
  <si>
    <t>Mishi</t>
  </si>
  <si>
    <t>Sitara Mohan</t>
  </si>
  <si>
    <t>Malvika Mayur</t>
  </si>
  <si>
    <t>Kesini</t>
  </si>
  <si>
    <t>Riddhi jain</t>
  </si>
  <si>
    <t>Kundukasak</t>
  </si>
  <si>
    <t>Unnatae💜</t>
  </si>
  <si>
    <t>Kaustubh khandelwal</t>
  </si>
  <si>
    <t>Akruti verma</t>
  </si>
  <si>
    <t>Srijita bose</t>
  </si>
  <si>
    <t>Saranya s</t>
  </si>
  <si>
    <t>Jeny nini</t>
  </si>
  <si>
    <t>Jaya</t>
  </si>
  <si>
    <t>Gopika V K</t>
  </si>
  <si>
    <t>Shashwati</t>
  </si>
  <si>
    <t>Kavyasri</t>
  </si>
  <si>
    <t>Priti naik</t>
  </si>
  <si>
    <t>Fareen Hussain</t>
  </si>
  <si>
    <t>Manasi Ghorpade</t>
  </si>
  <si>
    <t>Jeevika mehta</t>
  </si>
  <si>
    <t>Urmi</t>
  </si>
  <si>
    <t>Lady Candycane</t>
  </si>
  <si>
    <t>Mahima pandey</t>
  </si>
  <si>
    <t>Krisha kapoor</t>
  </si>
  <si>
    <t>디야</t>
  </si>
  <si>
    <t>Thara</t>
  </si>
  <si>
    <t>Krishna shah</t>
  </si>
  <si>
    <t>Ronak daudani</t>
  </si>
  <si>
    <t>Vedant gupta</t>
  </si>
  <si>
    <t>Suraj varma</t>
  </si>
  <si>
    <t>Ravi gupta</t>
  </si>
  <si>
    <t>Ramagiri vamshi</t>
  </si>
  <si>
    <t>Mayank gupta</t>
  </si>
  <si>
    <t>Gh</t>
  </si>
  <si>
    <t>Hardik jethwa</t>
  </si>
  <si>
    <t>Girdhar singh rajput</t>
  </si>
  <si>
    <t>Jyoti prakash</t>
  </si>
  <si>
    <t>Sourav jindal</t>
  </si>
  <si>
    <t>MayankIsrani</t>
  </si>
  <si>
    <t>Ankit Anand</t>
  </si>
  <si>
    <t>Dhaval bhatt</t>
  </si>
  <si>
    <t>Manjunath</t>
  </si>
  <si>
    <t>Ramakrishna</t>
  </si>
  <si>
    <t>Yash agarwal</t>
  </si>
  <si>
    <t>Yash jain</t>
  </si>
  <si>
    <t>Mayur kelur</t>
  </si>
  <si>
    <t>Kingshuk das</t>
  </si>
  <si>
    <t>Manoj</t>
  </si>
  <si>
    <t>Piyush baheti</t>
  </si>
  <si>
    <t>Bikash</t>
  </si>
  <si>
    <t>Joy mathur</t>
  </si>
  <si>
    <t>Harsh Bhimani</t>
  </si>
  <si>
    <t>Kadambari kaskar</t>
  </si>
  <si>
    <t>Junaid</t>
  </si>
  <si>
    <t>Harsh raj singh bayas</t>
  </si>
  <si>
    <t>Surya parayyar</t>
  </si>
  <si>
    <t>Aayush shah</t>
  </si>
  <si>
    <t>Sonu kumar sah</t>
  </si>
  <si>
    <t>Yuvraj rawal</t>
  </si>
  <si>
    <t>Dileep</t>
  </si>
  <si>
    <t>Tanya tak</t>
  </si>
  <si>
    <t>Mohit Dubey</t>
  </si>
  <si>
    <t>Santosh sudam nimbalkar</t>
  </si>
  <si>
    <t>Abhinab das</t>
  </si>
  <si>
    <t>Prem bajaj</t>
  </si>
  <si>
    <t>Dev shah</t>
  </si>
  <si>
    <t>Rachit</t>
  </si>
  <si>
    <t>Vikrant agrawal</t>
  </si>
  <si>
    <t>David shominlien</t>
  </si>
  <si>
    <t>Kandukuri srikanth</t>
  </si>
  <si>
    <t>Sourabh mehta</t>
  </si>
  <si>
    <t>Rahil parekh</t>
  </si>
  <si>
    <t>Suraj</t>
  </si>
  <si>
    <t>Vivek bamne</t>
  </si>
  <si>
    <t>Jatin</t>
  </si>
  <si>
    <t>Sai Bharadwaj Inemella</t>
  </si>
  <si>
    <t>Pava savre</t>
  </si>
  <si>
    <t>Pallekonda Noel</t>
  </si>
  <si>
    <t>Indranil dey</t>
  </si>
  <si>
    <t>Ayush Notani</t>
  </si>
  <si>
    <t>Shiva</t>
  </si>
  <si>
    <t>Pramod</t>
  </si>
  <si>
    <t>Shaik ali</t>
  </si>
  <si>
    <t>Sankalp patel</t>
  </si>
  <si>
    <t>Thiruvikraman.g.s</t>
  </si>
  <si>
    <t>Hrishikesh kalita</t>
  </si>
  <si>
    <t>Reddy karthik</t>
  </si>
  <si>
    <t>Vishwajeet singh</t>
  </si>
  <si>
    <t>Karthik karthikmn</t>
  </si>
  <si>
    <t>Ajay varma</t>
  </si>
  <si>
    <t>Simanchal rath</t>
  </si>
  <si>
    <t>Arya deopurkar</t>
  </si>
  <si>
    <t>Irfan</t>
  </si>
  <si>
    <t>Karthik</t>
  </si>
  <si>
    <t>rohit kumar putto</t>
  </si>
  <si>
    <t>Alok rambahal yadav</t>
  </si>
  <si>
    <t>Prem</t>
  </si>
  <si>
    <t>Vaishali singh</t>
  </si>
  <si>
    <t>Kaushik prabhat</t>
  </si>
  <si>
    <t>Nipsi das</t>
  </si>
  <si>
    <t>Naman duseja</t>
  </si>
  <si>
    <t>Mohit jain</t>
  </si>
  <si>
    <t>Amit singh</t>
  </si>
  <si>
    <t>Prerak g gandhi</t>
  </si>
  <si>
    <t>Suresh laishram</t>
  </si>
  <si>
    <t>Ritik goyal</t>
  </si>
  <si>
    <t>Vipul singh</t>
  </si>
  <si>
    <t>Akshay vijayan</t>
  </si>
  <si>
    <t>Hitesh</t>
  </si>
  <si>
    <t>Sachin pathak</t>
  </si>
  <si>
    <t>Mugilan</t>
  </si>
  <si>
    <t>Arbaz akbar attar</t>
  </si>
  <si>
    <t>Gaurav vinod lange</t>
  </si>
  <si>
    <t>Dhanjeet Malakar</t>
  </si>
  <si>
    <t>Rahul p gujjanwar</t>
  </si>
  <si>
    <t>Anand v</t>
  </si>
  <si>
    <t>Ashish gupta</t>
  </si>
  <si>
    <t>Rahul desai</t>
  </si>
  <si>
    <t>Sachin amte</t>
  </si>
  <si>
    <t>Taranjot singh</t>
  </si>
  <si>
    <t>Sammaed upadhye</t>
  </si>
  <si>
    <t>Sagar arora</t>
  </si>
  <si>
    <t>Jay Thumar</t>
  </si>
  <si>
    <t>Ipham abuzaid</t>
  </si>
  <si>
    <t>Pavak</t>
  </si>
  <si>
    <t>Sharuk</t>
  </si>
  <si>
    <t>Shiva jaiswal</t>
  </si>
  <si>
    <t>Abhishek chowdhury</t>
  </si>
  <si>
    <t>Omprakash vishwakarma</t>
  </si>
  <si>
    <t>Abhishek dubey</t>
  </si>
  <si>
    <t>Ashish kumar</t>
  </si>
  <si>
    <t>Amit sinha</t>
  </si>
  <si>
    <t>Vishnu</t>
  </si>
  <si>
    <t>Tanmay kumar</t>
  </si>
  <si>
    <t>Dhruv patel</t>
  </si>
  <si>
    <t>Kuldeep carpenter</t>
  </si>
  <si>
    <t>Jacky</t>
  </si>
  <si>
    <t>varasa shanthi kumar</t>
  </si>
  <si>
    <t>Shivendra dwivedi</t>
  </si>
  <si>
    <t>Vedant jamwal</t>
  </si>
  <si>
    <t>Sandeep</t>
  </si>
  <si>
    <t>Suyog lonsane</t>
  </si>
  <si>
    <t>Anshul narang</t>
  </si>
  <si>
    <t>Bhavikkumar</t>
  </si>
  <si>
    <t>Harshit sethi</t>
  </si>
  <si>
    <t>Shivam tiwari</t>
  </si>
  <si>
    <t>Harsh shah</t>
  </si>
  <si>
    <t>Mahek960@gmail.com</t>
  </si>
  <si>
    <t>Madhan goud</t>
  </si>
  <si>
    <t>Aishwarya m</t>
  </si>
  <si>
    <t>Sanchit sehgal</t>
  </si>
  <si>
    <t>Vinayak</t>
  </si>
  <si>
    <t>Mohan varma k</t>
  </si>
  <si>
    <t>Harish chowdary</t>
  </si>
  <si>
    <t>Manuj verma</t>
  </si>
  <si>
    <t>Kartik kondalwar</t>
  </si>
  <si>
    <t>Pradeep kumar</t>
  </si>
  <si>
    <t>Harish</t>
  </si>
  <si>
    <t>Kovarthan Balaji</t>
  </si>
  <si>
    <t>Md fahad</t>
  </si>
  <si>
    <t>Maula</t>
  </si>
  <si>
    <t>Ritik bansal</t>
  </si>
  <si>
    <t>Shivraj Suthar</t>
  </si>
  <si>
    <t>Jagseer singh</t>
  </si>
  <si>
    <t>Sahil</t>
  </si>
  <si>
    <t>Abhishek pujari</t>
  </si>
  <si>
    <t>Mahendra singh</t>
  </si>
  <si>
    <t>Saini</t>
  </si>
  <si>
    <t>Abhishek</t>
  </si>
  <si>
    <t>Prince chandaliya</t>
  </si>
  <si>
    <t>Aryan Dhiman</t>
  </si>
  <si>
    <t>Avik pal</t>
  </si>
  <si>
    <t>Yahya allana</t>
  </si>
  <si>
    <t>Naman maheshwari</t>
  </si>
  <si>
    <t>Gladwin rosh</t>
  </si>
  <si>
    <t>Karan</t>
  </si>
  <si>
    <t>Harsh keshwani</t>
  </si>
  <si>
    <t>Dipanshu rawat</t>
  </si>
  <si>
    <t>Vinay kumar</t>
  </si>
  <si>
    <t>Akash</t>
  </si>
  <si>
    <t>Jatin mehta</t>
  </si>
  <si>
    <t>Yash laharia</t>
  </si>
  <si>
    <t>Raghav</t>
  </si>
  <si>
    <t>Tejas Bhalerao</t>
  </si>
  <si>
    <t>Bhagwant mahajan</t>
  </si>
  <si>
    <t>Krish</t>
  </si>
  <si>
    <t>Yash jaiswal</t>
  </si>
  <si>
    <t>Roshan mandal</t>
  </si>
  <si>
    <t>Harsh modi</t>
  </si>
  <si>
    <t>Virat golechha</t>
  </si>
  <si>
    <t>Pankit jain</t>
  </si>
  <si>
    <t>Hari</t>
  </si>
  <si>
    <t>Heramb</t>
  </si>
  <si>
    <t>Share trader</t>
  </si>
  <si>
    <t>Jayant singh rathour</t>
  </si>
  <si>
    <t>Aditya patki</t>
  </si>
  <si>
    <t>Harsh sahu</t>
  </si>
  <si>
    <t>Amok kuamr</t>
  </si>
  <si>
    <t>Sourabh prajapati</t>
  </si>
  <si>
    <t>Yadnesh dinesh pardeshi</t>
  </si>
  <si>
    <t>Jeanthoi gangmei</t>
  </si>
  <si>
    <t>Rishab</t>
  </si>
  <si>
    <t>Anuj trehan</t>
  </si>
  <si>
    <t>Sonu kumar</t>
  </si>
  <si>
    <t>Azhar</t>
  </si>
  <si>
    <t>Aman khunteta</t>
  </si>
  <si>
    <t>R Arjun</t>
  </si>
  <si>
    <t>R sood</t>
  </si>
  <si>
    <t>Jeno</t>
  </si>
  <si>
    <t>Raushan kumar ritesh</t>
  </si>
  <si>
    <t>Dev saini</t>
  </si>
  <si>
    <t>Darshan</t>
  </si>
  <si>
    <t>Mahesh soni</t>
  </si>
  <si>
    <t>Yash sudhir todkari</t>
  </si>
  <si>
    <t>Ranjith kailash</t>
  </si>
  <si>
    <t>Chandan shrivas</t>
  </si>
  <si>
    <t>Jagjot singh</t>
  </si>
  <si>
    <t>Moses t</t>
  </si>
  <si>
    <t>Nayan Kanani</t>
  </si>
  <si>
    <t>Manoj Mirasdar</t>
  </si>
  <si>
    <t>Aniket Landge</t>
  </si>
  <si>
    <t>Jagadish</t>
  </si>
  <si>
    <t>Surya M</t>
  </si>
  <si>
    <t>Ravindra guntuka</t>
  </si>
  <si>
    <t>Avaiya akshat jitendrabhai</t>
  </si>
  <si>
    <t>Swapnil</t>
  </si>
  <si>
    <t>Hrishikesh chalmal</t>
  </si>
  <si>
    <t>Prasad korde</t>
  </si>
  <si>
    <t>Aman bh</t>
  </si>
  <si>
    <t>Aziz aamir kaderi</t>
  </si>
  <si>
    <t>Nikhil sahu</t>
  </si>
  <si>
    <t>Dileep k</t>
  </si>
  <si>
    <t>Abhinav khurana</t>
  </si>
  <si>
    <t>Basant rathi</t>
  </si>
  <si>
    <t>Vinod gm</t>
  </si>
  <si>
    <t>Harsh garg</t>
  </si>
  <si>
    <t>Ritesh Tripathi</t>
  </si>
  <si>
    <t>Jaynil mehta</t>
  </si>
  <si>
    <t>Vinothsj</t>
  </si>
  <si>
    <t>Aby alex</t>
  </si>
  <si>
    <t>Kush Jain</t>
  </si>
  <si>
    <t>Sankar</t>
  </si>
  <si>
    <t>Naman gathani</t>
  </si>
  <si>
    <t>Afzal hussain</t>
  </si>
  <si>
    <t>Soham</t>
  </si>
  <si>
    <t>Manish jaiswal</t>
  </si>
  <si>
    <t>Mridul dewan</t>
  </si>
  <si>
    <t>Arka datta</t>
  </si>
  <si>
    <t>Caleb Bavash</t>
  </si>
  <si>
    <t>Rushikesh Rajendra Kudave</t>
  </si>
  <si>
    <t>Anis shaikh</t>
  </si>
  <si>
    <t>Ranjith</t>
  </si>
  <si>
    <t>Shahul</t>
  </si>
  <si>
    <t>Bharat</t>
  </si>
  <si>
    <t>Abhisek pattanaik</t>
  </si>
  <si>
    <t>Rajendra</t>
  </si>
  <si>
    <t>Saurav jha</t>
  </si>
  <si>
    <t>Gaurav rajendra patil</t>
  </si>
  <si>
    <t>Nikhil singh</t>
  </si>
  <si>
    <t>Mohammad mubeen</t>
  </si>
  <si>
    <t>Navneet</t>
  </si>
  <si>
    <t>Pranshi ailani</t>
  </si>
  <si>
    <t>Reedam jain</t>
  </si>
  <si>
    <t>Rupesh suresh jagtap</t>
  </si>
  <si>
    <t>Parth goyal</t>
  </si>
  <si>
    <t>Nipun Goyal</t>
  </si>
  <si>
    <t>Akhil marikukala</t>
  </si>
  <si>
    <t>Anil kumar</t>
  </si>
  <si>
    <t>Adarsh kumar</t>
  </si>
  <si>
    <t>Aniketparmar</t>
  </si>
  <si>
    <t>Rahul kumar</t>
  </si>
  <si>
    <t>Sejal tejwani</t>
  </si>
  <si>
    <t>Anudeep e</t>
  </si>
  <si>
    <t>Sandeep das</t>
  </si>
  <si>
    <t>Ganesh udar</t>
  </si>
  <si>
    <t>J b gupta</t>
  </si>
  <si>
    <t>Satyam shlok</t>
  </si>
  <si>
    <t>Shraddha laxman bhosale</t>
  </si>
  <si>
    <t>Nitin tolani</t>
  </si>
  <si>
    <t>Charan raj r</t>
  </si>
  <si>
    <t>Rajeev loya</t>
  </si>
  <si>
    <t>Siddhesh</t>
  </si>
  <si>
    <t>Karan guleria</t>
  </si>
  <si>
    <t>Santhosh sankar</t>
  </si>
  <si>
    <t>Pavan avinash bellury</t>
  </si>
  <si>
    <t>Sahil Malik</t>
  </si>
  <si>
    <t>Vishnu haribhau junghare</t>
  </si>
  <si>
    <t>Anurag sewakram kuthe</t>
  </si>
  <si>
    <t>Parimalam</t>
  </si>
  <si>
    <t>Dushyanth reddy</t>
  </si>
  <si>
    <t>Karan datta</t>
  </si>
  <si>
    <t>Ajay reddy</t>
  </si>
  <si>
    <t>Tejas bhatia</t>
  </si>
  <si>
    <t>Vishal</t>
  </si>
  <si>
    <t>Ratna leela</t>
  </si>
  <si>
    <t>Naman</t>
  </si>
  <si>
    <t>Abhisekh sahu</t>
  </si>
  <si>
    <t>Pramod mada</t>
  </si>
  <si>
    <t>simran jeet singh</t>
  </si>
  <si>
    <t>Kumar gaurav</t>
  </si>
  <si>
    <t>Aditya jain</t>
  </si>
  <si>
    <t>sudams adithya</t>
  </si>
  <si>
    <t>Avinash</t>
  </si>
  <si>
    <t>Shashwat kothari</t>
  </si>
  <si>
    <t>Nikhil tilala</t>
  </si>
  <si>
    <t>Mihir Joshi</t>
  </si>
  <si>
    <t>Ayushman</t>
  </si>
  <si>
    <t>chethan ca</t>
  </si>
  <si>
    <t>Dev acharya</t>
  </si>
  <si>
    <t>Gaurav ugale</t>
  </si>
  <si>
    <t>Ato</t>
  </si>
  <si>
    <t>Sai teja</t>
  </si>
  <si>
    <t>Muhammed nazal</t>
  </si>
  <si>
    <t>ஆனந்தம் பேரானந்தம்</t>
  </si>
  <si>
    <t>Saransh shukla</t>
  </si>
  <si>
    <t>Sushil kumar</t>
  </si>
  <si>
    <t>Mohd sadaan</t>
  </si>
  <si>
    <t>Parikshit shome</t>
  </si>
  <si>
    <t>Rama krishna</t>
  </si>
  <si>
    <t>Naresh rao</t>
  </si>
  <si>
    <t>Srinivas</t>
  </si>
  <si>
    <t>Suyash jhunjhunwala</t>
  </si>
  <si>
    <t>Satwik</t>
  </si>
  <si>
    <t>Nandu2306144@gmail.com</t>
  </si>
  <si>
    <t>Shantanu khanna</t>
  </si>
  <si>
    <t>Rameschandra asem</t>
  </si>
  <si>
    <t>Srinivas mg</t>
  </si>
  <si>
    <t>Mayank agarwal</t>
  </si>
  <si>
    <t>Drarindam ballav</t>
  </si>
  <si>
    <t>Rabinarayan mallick</t>
  </si>
  <si>
    <t>Arjun anand</t>
  </si>
  <si>
    <t>Harsh dravid</t>
  </si>
  <si>
    <t>MANIDEEP AITHA</t>
  </si>
  <si>
    <t>Sriram g</t>
  </si>
  <si>
    <t>Dhanush DS</t>
  </si>
  <si>
    <t>Shivam ranveersing chauvhan</t>
  </si>
  <si>
    <t>Agam yadav</t>
  </si>
  <si>
    <t>Sandeep jangid</t>
  </si>
  <si>
    <t>Prateek nighojkar</t>
  </si>
  <si>
    <t>Deepak</t>
  </si>
  <si>
    <t>Syed nazmul</t>
  </si>
  <si>
    <t>Gaurav</t>
  </si>
  <si>
    <t>Rahul bhandari</t>
  </si>
  <si>
    <t>Yash</t>
  </si>
  <si>
    <t>Naveen</t>
  </si>
  <si>
    <t>Nihar gudhka</t>
  </si>
  <si>
    <t>Kush s</t>
  </si>
  <si>
    <t>Vineeth r</t>
  </si>
  <si>
    <t>Mohit singhal</t>
  </si>
  <si>
    <t>shubham rai</t>
  </si>
  <si>
    <t>Digvijay singh</t>
  </si>
  <si>
    <t>Himanshu singh panwar</t>
  </si>
  <si>
    <t>Christopher pereira</t>
  </si>
  <si>
    <t>Prathmesh Patil</t>
  </si>
  <si>
    <t>shivani thacker</t>
  </si>
  <si>
    <t>sushant choudhury</t>
  </si>
  <si>
    <t>Raviraj ashok shejwal</t>
  </si>
  <si>
    <t>Kush tiwari</t>
  </si>
  <si>
    <t>Leon</t>
  </si>
  <si>
    <t>Gokul krishna</t>
  </si>
  <si>
    <t>Sritom mohanty</t>
  </si>
  <si>
    <t>Hema Singh</t>
  </si>
  <si>
    <t>Syed ghalib muneeb</t>
  </si>
  <si>
    <t>Amit Kumar</t>
  </si>
  <si>
    <t>Shreyan chowdhury</t>
  </si>
  <si>
    <t>Sajeev sitaram</t>
  </si>
  <si>
    <t>Prabhakar madvali</t>
  </si>
  <si>
    <t>Alen jose</t>
  </si>
  <si>
    <t>Saneer ratra</t>
  </si>
  <si>
    <t>Virendra pratapsingh jhala</t>
  </si>
  <si>
    <t>P krishna</t>
  </si>
  <si>
    <t>Bhaskar kadam</t>
  </si>
  <si>
    <t>Swapnil Khotkar</t>
  </si>
  <si>
    <t>Kashish rout</t>
  </si>
  <si>
    <t>Ankit mishra</t>
  </si>
  <si>
    <t>Vinay gvk</t>
  </si>
  <si>
    <t>Mukesh gidwani</t>
  </si>
  <si>
    <t>Bharat ramnani</t>
  </si>
  <si>
    <t>Rajat Shirdhankar</t>
  </si>
  <si>
    <t>Swati Sengar</t>
  </si>
  <si>
    <t>Rahul kanojia</t>
  </si>
  <si>
    <t>Christien p francis</t>
  </si>
  <si>
    <t>Ridham naik</t>
  </si>
  <si>
    <t>Lakshya bhardwaj</t>
  </si>
  <si>
    <t>Piyush khurana</t>
  </si>
  <si>
    <t>Priyesh Balani</t>
  </si>
  <si>
    <t>Tushar rapariya</t>
  </si>
  <si>
    <t>Vijay gupta</t>
  </si>
  <si>
    <t>Dhiraj kr surana</t>
  </si>
  <si>
    <t>Perumalla naveen kumar</t>
  </si>
  <si>
    <t>Udith</t>
  </si>
  <si>
    <t>Monil</t>
  </si>
  <si>
    <t>Shrenik</t>
  </si>
  <si>
    <t>Ansh</t>
  </si>
  <si>
    <t>Rahul</t>
  </si>
  <si>
    <t>Shreyash dilip aeer</t>
  </si>
  <si>
    <t>Nikhil gandhi</t>
  </si>
  <si>
    <t>Abdul rahim</t>
  </si>
  <si>
    <t>Akshat jain</t>
  </si>
  <si>
    <t>Vignesh</t>
  </si>
  <si>
    <t>Rohit Kakkar</t>
  </si>
  <si>
    <t>Puneeth</t>
  </si>
  <si>
    <t>Rohan varma</t>
  </si>
  <si>
    <t>Dado tarang</t>
  </si>
  <si>
    <t>Harihar</t>
  </si>
  <si>
    <t>Jigneshkumar harendrabhai triv</t>
  </si>
  <si>
    <t>Mohan myla</t>
  </si>
  <si>
    <t>Parth haresh patel</t>
  </si>
  <si>
    <t>Siddhant chowdhary</t>
  </si>
  <si>
    <t>Yash ambwani</t>
  </si>
  <si>
    <t>Suresh j</t>
  </si>
  <si>
    <t>Bhupendra</t>
  </si>
  <si>
    <t>Abhilash birajdar</t>
  </si>
  <si>
    <t>Amit gourh</t>
  </si>
  <si>
    <t>Dhruva</t>
  </si>
  <si>
    <t>Kiran vutukuri</t>
  </si>
  <si>
    <t>Viral popatia</t>
  </si>
  <si>
    <t>Kalash aggarwal</t>
  </si>
  <si>
    <t>Prateek Kumar Jha</t>
  </si>
  <si>
    <t>Vishaal</t>
  </si>
  <si>
    <t>Ankit singh rawat</t>
  </si>
  <si>
    <t>Chauhan nishant rajendra</t>
  </si>
  <si>
    <t>Ronak Boobana</t>
  </si>
  <si>
    <t>Madhur krishan</t>
  </si>
  <si>
    <t>Bhavesh kamble</t>
  </si>
  <si>
    <t>M chandu</t>
  </si>
  <si>
    <t>Basava</t>
  </si>
  <si>
    <t>Abbas</t>
  </si>
  <si>
    <t>Salil Tirodkar</t>
  </si>
  <si>
    <t>abc</t>
  </si>
  <si>
    <t>Macdonal myrthong</t>
  </si>
  <si>
    <t>Abid hussain</t>
  </si>
  <si>
    <t>Himanshu mehta</t>
  </si>
  <si>
    <t>Smit ghetiya</t>
  </si>
  <si>
    <t>Adarsh</t>
  </si>
  <si>
    <t>Somendra patel</t>
  </si>
  <si>
    <t>Joel stanley</t>
  </si>
  <si>
    <t>Priyanshu Rastogi</t>
  </si>
  <si>
    <t>Alok kumar</t>
  </si>
  <si>
    <t>Dunga deepika</t>
  </si>
  <si>
    <t>Arshad parvez barbhuiya</t>
  </si>
  <si>
    <t>Prashant Rajbhar</t>
  </si>
  <si>
    <t>Karthik Patel</t>
  </si>
  <si>
    <t>S smrutiranjan sahoo</t>
  </si>
  <si>
    <t>Deepak arora</t>
  </si>
  <si>
    <t>Bharath jain</t>
  </si>
  <si>
    <t>Rakesh earanat</t>
  </si>
  <si>
    <t>Prashant gupta</t>
  </si>
  <si>
    <t>Anuj Bagga</t>
  </si>
  <si>
    <t>Ritesh kumar</t>
  </si>
  <si>
    <t>Gobind singh</t>
  </si>
  <si>
    <t>Karan makhija</t>
  </si>
  <si>
    <t>Sundeep edunuri</t>
  </si>
  <si>
    <t>Shubham pawar</t>
  </si>
  <si>
    <t>Syed riyan sofi</t>
  </si>
  <si>
    <t>Rahul guha</t>
  </si>
  <si>
    <t>Jeet ganatra</t>
  </si>
  <si>
    <t>Srinvas Kannan</t>
  </si>
  <si>
    <t>Ajay</t>
  </si>
  <si>
    <t>Varadharajan</t>
  </si>
  <si>
    <t>Amit Ganar</t>
  </si>
  <si>
    <t>Aniket jain</t>
  </si>
  <si>
    <t>Krishna jotwani</t>
  </si>
  <si>
    <t>omesh kumar sharma</t>
  </si>
  <si>
    <t>Pravin bhaskar moholkar</t>
  </si>
  <si>
    <t>Anjanadri</t>
  </si>
  <si>
    <t>Nihas jan</t>
  </si>
  <si>
    <t>Suryansh kapil</t>
  </si>
  <si>
    <t>Kiran</t>
  </si>
  <si>
    <t>Raghuraj verma</t>
  </si>
  <si>
    <t>Ujwal maroti chide</t>
  </si>
  <si>
    <t>Kiran hegde</t>
  </si>
  <si>
    <t>Shohum mishra</t>
  </si>
  <si>
    <t>Kaundinya Panyam</t>
  </si>
  <si>
    <t>Mahesh</t>
  </si>
  <si>
    <t>Aman Diwakar</t>
  </si>
  <si>
    <t>Bhavani rallabandi</t>
  </si>
  <si>
    <t>Sanskar khandelwal</t>
  </si>
  <si>
    <t>Kiran s</t>
  </si>
  <si>
    <t>Pavan</t>
  </si>
  <si>
    <t>Dhiraj agarwal</t>
  </si>
  <si>
    <t>Tigmanshu tiwari</t>
  </si>
  <si>
    <t>Hrutuja</t>
  </si>
  <si>
    <t>Rushi</t>
  </si>
  <si>
    <t>Bhushan vishe</t>
  </si>
  <si>
    <t>Mohammed mamoon</t>
  </si>
  <si>
    <t>Neha kumari</t>
  </si>
  <si>
    <t>Tina</t>
  </si>
  <si>
    <t>Jignesh kulkarni</t>
  </si>
  <si>
    <t>Rajesh mondal</t>
  </si>
  <si>
    <t>Saquib khan</t>
  </si>
  <si>
    <t>Mani kumar singh</t>
  </si>
  <si>
    <t>Shitaljit</t>
  </si>
  <si>
    <t>Neeraj koli</t>
  </si>
  <si>
    <t>Jai chhabria</t>
  </si>
  <si>
    <t>Shubham</t>
  </si>
  <si>
    <t>Ankur singh</t>
  </si>
  <si>
    <t>Piyush bansal</t>
  </si>
  <si>
    <t>Ashutosh</t>
  </si>
  <si>
    <t>Zameer uddin</t>
  </si>
  <si>
    <t>Rahul sisodiya</t>
  </si>
  <si>
    <t>Girish kudale</t>
  </si>
  <si>
    <t>Nityaaditya</t>
  </si>
  <si>
    <t>Varun ingole</t>
  </si>
  <si>
    <t>Venu uplanchi</t>
  </si>
  <si>
    <t>Shubham udgirkar</t>
  </si>
  <si>
    <t>Vishnu prasad kn</t>
  </si>
  <si>
    <t>Vinod makwana</t>
  </si>
  <si>
    <t>Jaikishin manwani</t>
  </si>
  <si>
    <t>Dhrumil</t>
  </si>
  <si>
    <t>Alok Kumar</t>
  </si>
  <si>
    <t>21_Kunal. Patwa</t>
  </si>
  <si>
    <t>Duvvala nikhil kumar</t>
  </si>
  <si>
    <t>Mahesh naik</t>
  </si>
  <si>
    <t>Nitin bansod</t>
  </si>
  <si>
    <t>Harsh chaudhary</t>
  </si>
  <si>
    <t>Faisal Ahmed</t>
  </si>
  <si>
    <t>Pratap Nikam</t>
  </si>
  <si>
    <t>Kaish ahmed</t>
  </si>
  <si>
    <t>Prashant Nikose</t>
  </si>
  <si>
    <t>Vishnh</t>
  </si>
  <si>
    <t>Piyush kumar</t>
  </si>
  <si>
    <t>Sourabh kumar</t>
  </si>
  <si>
    <t>NAYAN DUTTA</t>
  </si>
  <si>
    <t>Kirtan chavan</t>
  </si>
  <si>
    <t>Lohith</t>
  </si>
  <si>
    <t>Arvind kailasanathan</t>
  </si>
  <si>
    <t>vinayaka il</t>
  </si>
  <si>
    <t>Pradeep kumar panda</t>
  </si>
  <si>
    <t>Karthick b</t>
  </si>
  <si>
    <t>Saksham agarwal</t>
  </si>
  <si>
    <t>Mandeep singh</t>
  </si>
  <si>
    <t>Jahangir mehta</t>
  </si>
  <si>
    <t>Rohit</t>
  </si>
  <si>
    <t>Ankush</t>
  </si>
  <si>
    <t>Ramprasad Gorai</t>
  </si>
  <si>
    <t>Rajat aggarwal</t>
  </si>
  <si>
    <t>Nikhil Sehgal</t>
  </si>
  <si>
    <t>Obed Benjamin</t>
  </si>
  <si>
    <t>Sai Nathan</t>
  </si>
  <si>
    <t>Anoop Kumar</t>
  </si>
  <si>
    <t>Arjun j</t>
  </si>
  <si>
    <t>Niranjan kulkarni</t>
  </si>
  <si>
    <t>Gerard mark</t>
  </si>
  <si>
    <t>Mohammed nushoor khan</t>
  </si>
  <si>
    <t>Sugankumar</t>
  </si>
  <si>
    <t>SunilSharma</t>
  </si>
  <si>
    <t>Umesh shrestha</t>
  </si>
  <si>
    <t>Badal</t>
  </si>
  <si>
    <t>Karan dingra</t>
  </si>
  <si>
    <t>Sudharshan</t>
  </si>
  <si>
    <t>Pranay oberoi</t>
  </si>
  <si>
    <t>Anirudh k kashyap</t>
  </si>
  <si>
    <t>Sachin</t>
  </si>
  <si>
    <t>Lakshay tyagi</t>
  </si>
  <si>
    <t>vinod reddy</t>
  </si>
  <si>
    <t>Sanidhyapateriya</t>
  </si>
  <si>
    <t>chakradhar reddy</t>
  </si>
  <si>
    <t>Ayush oza</t>
  </si>
  <si>
    <t>Savani divy</t>
  </si>
  <si>
    <t>Kingshuk roychoudhury</t>
  </si>
  <si>
    <t>Pratik raj</t>
  </si>
  <si>
    <t>Gaikwad ankit bharat</t>
  </si>
  <si>
    <t>Sohel shaikh</t>
  </si>
  <si>
    <t>Krishan verma</t>
  </si>
  <si>
    <t>Harsh gupta</t>
  </si>
  <si>
    <t>Vikas mishra</t>
  </si>
  <si>
    <t>Lingatharani</t>
  </si>
  <si>
    <t>Lavin dmello</t>
  </si>
  <si>
    <t>Pulikeshi s</t>
  </si>
  <si>
    <t>Shashank salvi</t>
  </si>
  <si>
    <t>Parth joshi</t>
  </si>
  <si>
    <t>Loyal hell</t>
  </si>
  <si>
    <t>Nishkarsh gulaati</t>
  </si>
  <si>
    <t>Manjot singh</t>
  </si>
  <si>
    <t>Gyana ranjan patra</t>
  </si>
  <si>
    <t>Shubham singh</t>
  </si>
  <si>
    <t>Ppalannijaikumar</t>
  </si>
  <si>
    <t>Abhiraj chavhan</t>
  </si>
  <si>
    <t>Vaibhav</t>
  </si>
  <si>
    <t>Shankey</t>
  </si>
  <si>
    <t>simhadri bhargava</t>
  </si>
  <si>
    <t>Gaurav Chaurasia</t>
  </si>
  <si>
    <t>Lovepreet singh</t>
  </si>
  <si>
    <t>Madan kalyan patil</t>
  </si>
  <si>
    <t>Omkar sheth</t>
  </si>
  <si>
    <t>Saurav suman</t>
  </si>
  <si>
    <t>Deepak kolur</t>
  </si>
  <si>
    <t>Sandeep pandey</t>
  </si>
  <si>
    <t>Ankit kumar shaw</t>
  </si>
  <si>
    <t>Aakash Arora</t>
  </si>
  <si>
    <t>Aakash arora</t>
  </si>
  <si>
    <t>Mayank Tomar</t>
  </si>
  <si>
    <t>Somesh</t>
  </si>
  <si>
    <t>Ayush Mittal</t>
  </si>
  <si>
    <t>abhijeet shaji</t>
  </si>
  <si>
    <t>Dhruv Dhotkar</t>
  </si>
  <si>
    <t>Gaurav deep</t>
  </si>
  <si>
    <t>Sanjay sharma</t>
  </si>
  <si>
    <t>Yogesh</t>
  </si>
  <si>
    <t>Anmeet chawla</t>
  </si>
  <si>
    <t>Kansagara hiren</t>
  </si>
  <si>
    <t>Dheeraj</t>
  </si>
  <si>
    <t>Rohit Singh</t>
  </si>
  <si>
    <t>Viz</t>
  </si>
  <si>
    <t>Mohammed mubeen</t>
  </si>
  <si>
    <t>Suyash gaikwad</t>
  </si>
  <si>
    <t>Abubakkar siddiq</t>
  </si>
  <si>
    <t>Jalisa</t>
  </si>
  <si>
    <t>nived</t>
  </si>
  <si>
    <t>Chandan agrawal</t>
  </si>
  <si>
    <t>Praful chavda</t>
  </si>
  <si>
    <t>Praneeth</t>
  </si>
  <si>
    <t>Ammar travadi</t>
  </si>
  <si>
    <t>Mohit kumat</t>
  </si>
  <si>
    <t>Bhagyadeep</t>
  </si>
  <si>
    <t>Hardik n rathod</t>
  </si>
  <si>
    <t>Himanshu baid</t>
  </si>
  <si>
    <t>Sanket</t>
  </si>
  <si>
    <t>Harshad dnyaneshwar dhanke</t>
  </si>
  <si>
    <t>Aayush</t>
  </si>
  <si>
    <t>Rohit dudhal</t>
  </si>
  <si>
    <t>Nikhil bait</t>
  </si>
  <si>
    <t>Bikash Kumar</t>
  </si>
  <si>
    <t>Satish</t>
  </si>
  <si>
    <t>Aporv mathur</t>
  </si>
  <si>
    <t>Wali Mohammad</t>
  </si>
  <si>
    <t>Mohamed safeeq</t>
  </si>
  <si>
    <t>Hiten kundnani</t>
  </si>
  <si>
    <t>Jathin</t>
  </si>
  <si>
    <t>Ahmed</t>
  </si>
  <si>
    <t>Gurunath mallikarjun birajdar</t>
  </si>
  <si>
    <t>Angad bhatia</t>
  </si>
  <si>
    <t>Dhammesh</t>
  </si>
  <si>
    <t>Prince badal</t>
  </si>
  <si>
    <t>Shubham dalvi</t>
  </si>
  <si>
    <t>Harsh rathod</t>
  </si>
  <si>
    <t>Murli agarwal</t>
  </si>
  <si>
    <t>Syed sultan</t>
  </si>
  <si>
    <t>Animesh</t>
  </si>
  <si>
    <t>Chethan</t>
  </si>
  <si>
    <t>Kayaan rohith</t>
  </si>
  <si>
    <t>HardikKatne</t>
  </si>
  <si>
    <t>Milind chankapure</t>
  </si>
  <si>
    <t>Mohit verma</t>
  </si>
  <si>
    <t>Jithendra n e</t>
  </si>
  <si>
    <t>Kartikbounty</t>
  </si>
  <si>
    <t>Aayush Kesari</t>
  </si>
  <si>
    <t>Abdul kabeer</t>
  </si>
  <si>
    <t>Abhijith m a</t>
  </si>
  <si>
    <t>Abhishek Chauhan</t>
  </si>
  <si>
    <t>Ahmed ibrahim</t>
  </si>
  <si>
    <t>Ahtisham shafi</t>
  </si>
  <si>
    <t>Ajay singh amer</t>
  </si>
  <si>
    <t>ajinkya gadekar</t>
  </si>
  <si>
    <t>Ajitkumar Kulkarni</t>
  </si>
  <si>
    <t>Akash m</t>
  </si>
  <si>
    <t>Akhil arun elango</t>
  </si>
  <si>
    <t>Akilaalagan</t>
  </si>
  <si>
    <t>Aliasgar dabeer</t>
  </si>
  <si>
    <t>Aligeti lokesh</t>
  </si>
  <si>
    <t>Alok</t>
  </si>
  <si>
    <t>Amar Prasad Chaudhary</t>
  </si>
  <si>
    <t>Amol</t>
  </si>
  <si>
    <t>Amrita Mallick</t>
  </si>
  <si>
    <t>Amruta deshpande</t>
  </si>
  <si>
    <t>Anagha Khade</t>
  </si>
  <si>
    <t>Anand desai</t>
  </si>
  <si>
    <t>Anand Gupta</t>
  </si>
  <si>
    <t>Anand sivalingam</t>
  </si>
  <si>
    <t>Anik Kumar Das</t>
  </si>
  <si>
    <t>Anil dharavath</t>
  </si>
  <si>
    <t>Ankit rajput</t>
  </si>
  <si>
    <t>Anshay nagpal</t>
  </si>
  <si>
    <t>Anusha chennuru</t>
  </si>
  <si>
    <t>Anuska chakraborty</t>
  </si>
  <si>
    <t>Aravind anandam</t>
  </si>
  <si>
    <t>Arnab das</t>
  </si>
  <si>
    <t>Arpit sharma</t>
  </si>
  <si>
    <t>Arunkumar</t>
  </si>
  <si>
    <t>Ashith g s</t>
  </si>
  <si>
    <t>Ashutosh dineshbhai patel</t>
  </si>
  <si>
    <t>Ashutosh parhi</t>
  </si>
  <si>
    <t>Ashvin sharma</t>
  </si>
  <si>
    <t>Atul akarte</t>
  </si>
  <si>
    <t>Awakash genchand turkar</t>
  </si>
  <si>
    <t>Ayan mukherjee</t>
  </si>
  <si>
    <t>Azeem ahmed</t>
  </si>
  <si>
    <t>Baburao</t>
  </si>
  <si>
    <t>Badal Suthar</t>
  </si>
  <si>
    <t>Balamurugan</t>
  </si>
  <si>
    <t>Balu Arrolla</t>
  </si>
  <si>
    <t>Banappa s unger</t>
  </si>
  <si>
    <t>Belinda fernandez</t>
  </si>
  <si>
    <t>Bharat bhushan</t>
  </si>
  <si>
    <t>Bhavik lodhiya</t>
  </si>
  <si>
    <t>Boyapally sunil kumar</t>
  </si>
  <si>
    <t>Brahmam bheemisetty</t>
  </si>
  <si>
    <t>Bramhanand</t>
  </si>
  <si>
    <t>C r patil</t>
  </si>
  <si>
    <t>Chaitus Kalwala</t>
  </si>
  <si>
    <t>CHETAN H</t>
  </si>
  <si>
    <t>CHITLA VENKATA RAMANA REDDY</t>
  </si>
  <si>
    <t>Chitransh gupta</t>
  </si>
  <si>
    <t>Danish yousuf</t>
  </si>
  <si>
    <t>Deepa Urolagin</t>
  </si>
  <si>
    <t>Deepak kumar</t>
  </si>
  <si>
    <t>Deepak Maharshi</t>
  </si>
  <si>
    <t>deepthi annie</t>
  </si>
  <si>
    <t>Devansh asati</t>
  </si>
  <si>
    <t>Devinder kumar</t>
  </si>
  <si>
    <t>Dhanshri</t>
  </si>
  <si>
    <t>Dhanush ram</t>
  </si>
  <si>
    <t>dharmender singh</t>
  </si>
  <si>
    <t>Dhaval Jitendra Kamothi</t>
  </si>
  <si>
    <t>Dinesh kumar chellappan</t>
  </si>
  <si>
    <t>Dipti more</t>
  </si>
  <si>
    <t>Divya goyal</t>
  </si>
  <si>
    <t>Divya siva</t>
  </si>
  <si>
    <t>Divyanshi Singh</t>
  </si>
  <si>
    <t>Doke rohit ramesh</t>
  </si>
  <si>
    <t>dr anand</t>
  </si>
  <si>
    <t>Dr Avinash Pawar.</t>
  </si>
  <si>
    <t>Dr dhatchana moorthy. n</t>
  </si>
  <si>
    <t>Dr geetika pahuja</t>
  </si>
  <si>
    <t>Dr k l krishna</t>
  </si>
  <si>
    <t>Dr mahesh d bhanushali</t>
  </si>
  <si>
    <t>Dr Mithunjith K K</t>
  </si>
  <si>
    <t>Dr mohammad shanawaz munawar</t>
  </si>
  <si>
    <t>Dr p porchelvan</t>
  </si>
  <si>
    <t>Dr shahenaz malek</t>
  </si>
  <si>
    <t>Dr Sreelekshmi Vinu</t>
  </si>
  <si>
    <t>Dr sridhar</t>
  </si>
  <si>
    <t>Dr. Ajay Singh Kushwah</t>
  </si>
  <si>
    <t>Dr. anand m bokare</t>
  </si>
  <si>
    <t>Dr. channabasava r</t>
  </si>
  <si>
    <t>Dr. G L Viswanatha</t>
  </si>
  <si>
    <t>Dr. ganesh n yallappa</t>
  </si>
  <si>
    <t>Dr. Maneesh Paul. S</t>
  </si>
  <si>
    <t>Dr. mohammed imran khan</t>
  </si>
  <si>
    <t>Dr. mukul pore</t>
  </si>
  <si>
    <t>Dr. nilesh chougule</t>
  </si>
  <si>
    <t>Dr. s. n. manjula jsscp</t>
  </si>
  <si>
    <t>Dr. vikesh kumar shukla</t>
  </si>
  <si>
    <t>Dr. vinit vaidya</t>
  </si>
  <si>
    <t>Dr. vinodkumar v</t>
  </si>
  <si>
    <t>Dr.akshay a shelke</t>
  </si>
  <si>
    <t>Dr.keerti</t>
  </si>
  <si>
    <t>Dr.kotrappa mathur</t>
  </si>
  <si>
    <t>Dr.p.pavan</t>
  </si>
  <si>
    <t>Dr.shaik kousar</t>
  </si>
  <si>
    <t>DrSneha Lade</t>
  </si>
  <si>
    <t>Drx bishnu prasad behera</t>
  </si>
  <si>
    <t>Drx sambhav lodha</t>
  </si>
  <si>
    <t>Durga prasad</t>
  </si>
  <si>
    <t>Durgesh nandan shukla</t>
  </si>
  <si>
    <t>Eshika sharma</t>
  </si>
  <si>
    <t>Fakir mohammad dhawak</t>
  </si>
  <si>
    <t>Fatima Hisam</t>
  </si>
  <si>
    <t>Fatima murghay</t>
  </si>
  <si>
    <t>Foram shethia</t>
  </si>
  <si>
    <t>gagan deep</t>
  </si>
  <si>
    <t>Gangaratnam Gurajala</t>
  </si>
  <si>
    <t>Garima dhingra</t>
  </si>
  <si>
    <t>Gaurav mangla</t>
  </si>
  <si>
    <t>Girdhar Khandelwal</t>
  </si>
  <si>
    <t>Gourab Dey</t>
  </si>
  <si>
    <t>Gulam mohammed husain</t>
  </si>
  <si>
    <t>Hajra patel</t>
  </si>
  <si>
    <t>hansraj patil</t>
  </si>
  <si>
    <t>HARI PRASAD</t>
  </si>
  <si>
    <t>Harsha</t>
  </si>
  <si>
    <t>Harsha naikwad</t>
  </si>
  <si>
    <t>Hemendra mishra</t>
  </si>
  <si>
    <t>Hussaini abubakar</t>
  </si>
  <si>
    <t>Imadulla baig</t>
  </si>
  <si>
    <t>Imtiyaz ahmad mir</t>
  </si>
  <si>
    <t>Indranil Chatterjee</t>
  </si>
  <si>
    <t>istiyaq mansuri</t>
  </si>
  <si>
    <t>Jagadeesh kumar</t>
  </si>
  <si>
    <t>japman dang</t>
  </si>
  <si>
    <t>Jatinkumar parasana</t>
  </si>
  <si>
    <t>Jayaprakash narayana kolla</t>
  </si>
  <si>
    <t>Jayasudha</t>
  </si>
  <si>
    <t>Jhansi chandra</t>
  </si>
  <si>
    <t>K s r pai</t>
  </si>
  <si>
    <t>Kabya Pratap Royal</t>
  </si>
  <si>
    <t>Kamaluddin khan israful khan</t>
  </si>
  <si>
    <t>Kanikells sivaji</t>
  </si>
  <si>
    <t>Kannadasan m</t>
  </si>
  <si>
    <t>Karthik venkatesh</t>
  </si>
  <si>
    <t>Karthikeyan</t>
  </si>
  <si>
    <t>Kasoju amruth sai</t>
  </si>
  <si>
    <t>Ketki kalpak bhave</t>
  </si>
  <si>
    <t>Khan sabir</t>
  </si>
  <si>
    <t>Kinjal Mehta</t>
  </si>
  <si>
    <t>Kiran chanabasappa nilugal</t>
  </si>
  <si>
    <t>Kiran d a</t>
  </si>
  <si>
    <t>Kocherla pramoda</t>
  </si>
  <si>
    <t>Kp Kiruthika</t>
  </si>
  <si>
    <t>Krishna chaitanya</t>
  </si>
  <si>
    <t>Krishna Das MS</t>
  </si>
  <si>
    <t>Lakshman Kumar Puli</t>
  </si>
  <si>
    <t>Lakshmi Iyer</t>
  </si>
  <si>
    <t>Laxmi kanth</t>
  </si>
  <si>
    <t>Madhu A</t>
  </si>
  <si>
    <t>Mahamadyunnus</t>
  </si>
  <si>
    <t>Mahesh babu matcha</t>
  </si>
  <si>
    <t>Mahesh kumar RS</t>
  </si>
  <si>
    <t>Mainak Chakraborty</t>
  </si>
  <si>
    <t>Majid yaseen</t>
  </si>
  <si>
    <t>Makarand dnyandev samant</t>
  </si>
  <si>
    <t>Malathi s v</t>
  </si>
  <si>
    <t>Mallikarjun Jaji</t>
  </si>
  <si>
    <t>Mallinath</t>
  </si>
  <si>
    <t>Maneesha Sharma</t>
  </si>
  <si>
    <t>Mani kamaraj</t>
  </si>
  <si>
    <t>Manjunath waggi</t>
  </si>
  <si>
    <t>Marumamula chandrakanth</t>
  </si>
  <si>
    <t>Mayukh Sarkar</t>
  </si>
  <si>
    <t>Md shamsuddin</t>
  </si>
  <si>
    <t>Meenakshi</t>
  </si>
  <si>
    <t>Meffi sharoan m</t>
  </si>
  <si>
    <t>Meghana</t>
  </si>
  <si>
    <t>Meghavi Kathpalia</t>
  </si>
  <si>
    <t>Milind muley</t>
  </si>
  <si>
    <t>Mitali kulkarni</t>
  </si>
  <si>
    <t>Mithilesh kesari</t>
  </si>
  <si>
    <t>Mohammed adam idris hamad</t>
  </si>
  <si>
    <t>Mohammed atiyab amaan</t>
  </si>
  <si>
    <t>Mohammed zubair momin</t>
  </si>
  <si>
    <t>Mohan c u</t>
  </si>
  <si>
    <t>Mohit agrawal</t>
  </si>
  <si>
    <t>Monika n</t>
  </si>
  <si>
    <t>Moshe Raju Maddela</t>
  </si>
  <si>
    <t>Muhammed Aslam</t>
  </si>
  <si>
    <t>Murgesh raj</t>
  </si>
  <si>
    <t>Nagaraj Kulkarni</t>
  </si>
  <si>
    <t>Nagavamsidhar</t>
  </si>
  <si>
    <t>Nagendra babu Goli</t>
  </si>
  <si>
    <t>Najeem pathan</t>
  </si>
  <si>
    <t>Nalini sofia</t>
  </si>
  <si>
    <t>Nandini k n</t>
  </si>
  <si>
    <t>Narinder singh</t>
  </si>
  <si>
    <t>Naveenkumar Yennam</t>
  </si>
  <si>
    <t>Neetin reddy</t>
  </si>
  <si>
    <t>Nihal vaghani</t>
  </si>
  <si>
    <t>Nikhil yadav</t>
  </si>
  <si>
    <t>Nikita yadav</t>
  </si>
  <si>
    <t>Nila joy</t>
  </si>
  <si>
    <t>Niloy chatterjee</t>
  </si>
  <si>
    <t>Ninyania rao</t>
  </si>
  <si>
    <t>Niraj nivas tadasare</t>
  </si>
  <si>
    <t>Nirbhay kumar prabhakar</t>
  </si>
  <si>
    <t>Nisha kargeti</t>
  </si>
  <si>
    <t>Onkaramurthy.m</t>
  </si>
  <si>
    <t>P.k.malini prithiva kumari</t>
  </si>
  <si>
    <t>Pakhi chakraborty</t>
  </si>
  <si>
    <t>Paladugu lahari</t>
  </si>
  <si>
    <t>Pallavi Jain</t>
  </si>
  <si>
    <t>Parmit</t>
  </si>
  <si>
    <t>Pavan r</t>
  </si>
  <si>
    <t>Pavana k a</t>
  </si>
  <si>
    <t>Pharma</t>
  </si>
  <si>
    <t>Prajakta Vengurlekar</t>
  </si>
  <si>
    <t>Pramod gadad</t>
  </si>
  <si>
    <t>Pranesha</t>
  </si>
  <si>
    <t>Pranshul sethi</t>
  </si>
  <si>
    <t>Prashant kamboj</t>
  </si>
  <si>
    <t>Pratik chatterjee</t>
  </si>
  <si>
    <t>Pratyush kumar tripathy</t>
  </si>
  <si>
    <t>PRAVANJAN KARAN</t>
  </si>
  <si>
    <t>preethimeena kumari</t>
  </si>
  <si>
    <t>Prem Chand</t>
  </si>
  <si>
    <t>Pritam Das</t>
  </si>
  <si>
    <t>Prithvi.l</t>
  </si>
  <si>
    <t>priya singh</t>
  </si>
  <si>
    <t>Priyanka patil</t>
  </si>
  <si>
    <t>Priyankkumar arvindkumar patel</t>
  </si>
  <si>
    <t>Prsomashekharan hiremath</t>
  </si>
  <si>
    <t>Pushpendra singh</t>
  </si>
  <si>
    <t>Pushpkant dangi</t>
  </si>
  <si>
    <t>Raghunath pandurang raut</t>
  </si>
  <si>
    <t>rahamathi shaik</t>
  </si>
  <si>
    <t>Rahila gulnaz</t>
  </si>
  <si>
    <t>Rahmathullah sn</t>
  </si>
  <si>
    <t>Rahul cpc</t>
  </si>
  <si>
    <t>Rahul pal</t>
  </si>
  <si>
    <t>Rahul..</t>
  </si>
  <si>
    <t>Raj shekar</t>
  </si>
  <si>
    <t>Rajat rawat</t>
  </si>
  <si>
    <t>Rajith varman sv</t>
  </si>
  <si>
    <t>Rajkumar</t>
  </si>
  <si>
    <t>Rakesh</t>
  </si>
  <si>
    <t>Rakesh jha</t>
  </si>
  <si>
    <t>Rakesh kumar nagar</t>
  </si>
  <si>
    <t>Ramu gubba</t>
  </si>
  <si>
    <t>Randhir yedle</t>
  </si>
  <si>
    <t>ranjit singh</t>
  </si>
  <si>
    <t>Ranu Patidar</t>
  </si>
  <si>
    <t>Ravi krishna babu damarla</t>
  </si>
  <si>
    <t>Ravi ranjan chaurasia</t>
  </si>
  <si>
    <t>Ravindra singh</t>
  </si>
  <si>
    <t>Rhutik patil</t>
  </si>
  <si>
    <t>Riyaz ur rahaman  n r</t>
  </si>
  <si>
    <t>Rohit Raut Dessai</t>
  </si>
  <si>
    <t>Roshan sabiha. r</t>
  </si>
  <si>
    <t>Rudraksha</t>
  </si>
  <si>
    <t>Rumaiza mamsa</t>
  </si>
  <si>
    <t>Rupayan nanda</t>
  </si>
  <si>
    <t>Sachin vilas suryavanshi</t>
  </si>
  <si>
    <t>Sagnik Sarkar</t>
  </si>
  <si>
    <t>Sahludheen ek</t>
  </si>
  <si>
    <t>Sai</t>
  </si>
  <si>
    <t>Sai krishna</t>
  </si>
  <si>
    <t>Saikiran</t>
  </si>
  <si>
    <t>salman faris</t>
  </si>
  <si>
    <t>Salman khan</t>
  </si>
  <si>
    <t>Samriddhi Kadam</t>
  </si>
  <si>
    <t>Sani kumar</t>
  </si>
  <si>
    <t>Sanjay</t>
  </si>
  <si>
    <t>Sanjeeb kumar mandal</t>
  </si>
  <si>
    <t>Sanjeev Kumar</t>
  </si>
  <si>
    <t>Sanket kumar chanda</t>
  </si>
  <si>
    <t>Sanket seksaria</t>
  </si>
  <si>
    <t>Santosh patwardan</t>
  </si>
  <si>
    <t>Santosh vishwakarma</t>
  </si>
  <si>
    <t>Saptarshi panigrahi</t>
  </si>
  <si>
    <t>Sarath Kumar</t>
  </si>
  <si>
    <t>Saravanan e</t>
  </si>
  <si>
    <t>Saswat nanda</t>
  </si>
  <si>
    <t>Sayantan mitra</t>
  </si>
  <si>
    <t>Sereena saju</t>
  </si>
  <si>
    <t>Shafi</t>
  </si>
  <si>
    <t>Shaik Ayesha fathima</t>
  </si>
  <si>
    <t>Shaik mohammad irfan</t>
  </si>
  <si>
    <t>Shaikh mohd shahabuddin</t>
  </si>
  <si>
    <t>Shamanand p mallapur</t>
  </si>
  <si>
    <t>Shiv dhananjay</t>
  </si>
  <si>
    <t>Shivakumar Ladde</t>
  </si>
  <si>
    <t>Shivani singh</t>
  </si>
  <si>
    <t>Shivaraj kulkarni</t>
  </si>
  <si>
    <t>Shivika</t>
  </si>
  <si>
    <t>Shravankumar suresh kolli</t>
  </si>
  <si>
    <t>Shravya Reddy</t>
  </si>
  <si>
    <t>Shreekant deshpande</t>
  </si>
  <si>
    <t>Shreyas raju</t>
  </si>
  <si>
    <t>Shridharkumar s biradar</t>
  </si>
  <si>
    <t>Shrinivas gadkari</t>
  </si>
  <si>
    <t>Shubham sharma</t>
  </si>
  <si>
    <t>Simanta bhattacharjee</t>
  </si>
  <si>
    <t>Siva govindan</t>
  </si>
  <si>
    <t>Snehal jogdand</t>
  </si>
  <si>
    <t>Sonal das</t>
  </si>
  <si>
    <t>Sonali rastogi</t>
  </si>
  <si>
    <t>sparsha srinivas</t>
  </si>
  <si>
    <t>Sreshi Kumari</t>
  </si>
  <si>
    <t>Srinadh reddy</t>
  </si>
  <si>
    <t>Sruthi tatineni</t>
  </si>
  <si>
    <t>Sumit hingmire</t>
  </si>
  <si>
    <t>Sunil kumar gandhe</t>
  </si>
  <si>
    <t>Sunil sunil</t>
  </si>
  <si>
    <t>Sunny mukherjee</t>
  </si>
  <si>
    <t>Suraj singh rathod</t>
  </si>
  <si>
    <t>Suresh Shobi</t>
  </si>
  <si>
    <t>Suruj kaushik</t>
  </si>
  <si>
    <t>Surya Chelikani</t>
  </si>
  <si>
    <t>Suvarna bhavthankar</t>
  </si>
  <si>
    <t>Swetha b</t>
  </si>
  <si>
    <t>Syed iftequar Pharmaceutics</t>
  </si>
  <si>
    <t>Syeda maliha</t>
  </si>
  <si>
    <t>Tahib Habshi</t>
  </si>
  <si>
    <t>Tahmina zainab</t>
  </si>
  <si>
    <t>Tahura habeeb</t>
  </si>
  <si>
    <t>Tejaswi</t>
  </si>
  <si>
    <t>Thippeswamy</t>
  </si>
  <si>
    <t>Trishna Sagar</t>
  </si>
  <si>
    <t>Uddesh more</t>
  </si>
  <si>
    <t>Utsav shinghal</t>
  </si>
  <si>
    <t>V prathyusha lakshmi</t>
  </si>
  <si>
    <t>Vadla kiranmaye</t>
  </si>
  <si>
    <t>Vajahath ali</t>
  </si>
  <si>
    <t>Vamsi krishna</t>
  </si>
  <si>
    <t>Vasu deva rao arikeri</t>
  </si>
  <si>
    <t>Vasudev seeram</t>
  </si>
  <si>
    <t>Velmurugan</t>
  </si>
  <si>
    <t>Venkat t</t>
  </si>
  <si>
    <t>Venkata ramana</t>
  </si>
  <si>
    <t>Vijay</t>
  </si>
  <si>
    <t>Vijayabhargava</t>
  </si>
  <si>
    <t>Vijayaragavan a</t>
  </si>
  <si>
    <t>Vijayaraj</t>
  </si>
  <si>
    <t>Vijaymarshal</t>
  </si>
  <si>
    <t>vikas sharma tFrBuQQncP</t>
  </si>
  <si>
    <t>Vikram</t>
  </si>
  <si>
    <t>Vikram jadhav</t>
  </si>
  <si>
    <t>Vinay</t>
  </si>
  <si>
    <t>Vinay hk</t>
  </si>
  <si>
    <t>Vinay Suresh</t>
  </si>
  <si>
    <t>Vinod naik s</t>
  </si>
  <si>
    <t>Vishal Mittal</t>
  </si>
  <si>
    <t>Vishal patil</t>
  </si>
  <si>
    <t>VishalRastogi</t>
  </si>
  <si>
    <t>Vishwanath</t>
  </si>
  <si>
    <t>Vismay joshi</t>
  </si>
  <si>
    <t>Vivek gupta</t>
  </si>
  <si>
    <t>Vivek S. kumawat</t>
  </si>
  <si>
    <t>Vivek shinde</t>
  </si>
  <si>
    <t>Vrunda Rajgor</t>
  </si>
  <si>
    <t>Vrushabh Hupparage</t>
  </si>
  <si>
    <t>Yadla sheshubabu</t>
  </si>
  <si>
    <t>Yash kurhe</t>
  </si>
  <si>
    <t>Yasmini parshuramkar</t>
  </si>
  <si>
    <t>Yasvi Patel</t>
  </si>
  <si>
    <t>Aastha Prakash Singh</t>
  </si>
  <si>
    <t>abhilash cv</t>
  </si>
  <si>
    <t>Abhinav sehgal</t>
  </si>
  <si>
    <t>Abhishek kaushik</t>
  </si>
  <si>
    <t>Abhishek Modi</t>
  </si>
  <si>
    <t>Abhishek sarkar</t>
  </si>
  <si>
    <t>Abhishek tiwari</t>
  </si>
  <si>
    <t>Adam pasha</t>
  </si>
  <si>
    <t>Aditya bhagwat</t>
  </si>
  <si>
    <t>Adwiteeya bhavsar</t>
  </si>
  <si>
    <t>Aiman Fatma</t>
  </si>
  <si>
    <t>Akram ishtiyaq</t>
  </si>
  <si>
    <t>Aman shukla</t>
  </si>
  <si>
    <t>Amisha chandel</t>
  </si>
  <si>
    <t>Amit</t>
  </si>
  <si>
    <t>Amit kumar amrit</t>
  </si>
  <si>
    <t>Anand Mhatre</t>
  </si>
  <si>
    <t>Anchor vivek kumar</t>
  </si>
  <si>
    <t>Anish</t>
  </si>
  <si>
    <t>Anjali shukla</t>
  </si>
  <si>
    <t>Anjana</t>
  </si>
  <si>
    <t>Ankit Joshi</t>
  </si>
  <si>
    <t>Ankit sharma</t>
  </si>
  <si>
    <t>Anuj batra</t>
  </si>
  <si>
    <t>Anuja Patil</t>
  </si>
  <si>
    <t>Anusha bhat</t>
  </si>
  <si>
    <t>Anushka singh</t>
  </si>
  <si>
    <t>Ar.gaurav sihani</t>
  </si>
  <si>
    <t>Aritrika</t>
  </si>
  <si>
    <t>Arjun C Shetty</t>
  </si>
  <si>
    <t>Arkajeet bhattacharjee</t>
  </si>
  <si>
    <t>Ashish</t>
  </si>
  <si>
    <t>Awdhesh gupta</t>
  </si>
  <si>
    <t>Ayush bhattacharjee</t>
  </si>
  <si>
    <t>Bhanu pratap singh</t>
  </si>
  <si>
    <t>Bharath kalyan ganeshna</t>
  </si>
  <si>
    <t>Bharathi G</t>
  </si>
  <si>
    <t>Bhavishya Jain</t>
  </si>
  <si>
    <t>Bhavya ahuja</t>
  </si>
  <si>
    <t>Bidiisha mazumdar</t>
  </si>
  <si>
    <t>Bighnesha sahoo</t>
  </si>
  <si>
    <t>biju</t>
  </si>
  <si>
    <t>Chaahat kriplani</t>
  </si>
  <si>
    <t>Chaitanya kumar</t>
  </si>
  <si>
    <t>Chanchal Saxena</t>
  </si>
  <si>
    <t>chandrakant ingale</t>
  </si>
  <si>
    <t>Channa rao</t>
  </si>
  <si>
    <t>Chetan sai  chakravaram</t>
  </si>
  <si>
    <t>Chinna Surya Mallavarapu</t>
  </si>
  <si>
    <t>ChiragModi</t>
  </si>
  <si>
    <t>Chiran</t>
  </si>
  <si>
    <t>Darahas</t>
  </si>
  <si>
    <t>Deepak verma</t>
  </si>
  <si>
    <t>Deepu sirohi</t>
  </si>
  <si>
    <t>Dev luke</t>
  </si>
  <si>
    <t>Dhanush devang</t>
  </si>
  <si>
    <t>Dhanush ganipisetty</t>
  </si>
  <si>
    <t>Durga sathwik</t>
  </si>
  <si>
    <t>Durvesh yadav</t>
  </si>
  <si>
    <t>Fatimah matin mujawar</t>
  </si>
  <si>
    <t>Fenny shah</t>
  </si>
  <si>
    <t>Firoz shaikh</t>
  </si>
  <si>
    <t>Ganesh nag doddi</t>
  </si>
  <si>
    <t>Gayathri vutla</t>
  </si>
  <si>
    <t>Gayatri K</t>
  </si>
  <si>
    <t>Ghanshyam Soni</t>
  </si>
  <si>
    <t>gokul krishnan</t>
  </si>
  <si>
    <t>Gopinath</t>
  </si>
  <si>
    <t>Goutham reddy chencharapu</t>
  </si>
  <si>
    <t>Gurleen kaur</t>
  </si>
  <si>
    <t>Hariteja bandaru</t>
  </si>
  <si>
    <t>HARSH SHARMA</t>
  </si>
  <si>
    <t>Harshul bansal</t>
  </si>
  <si>
    <t>HARSSH SINGH</t>
  </si>
  <si>
    <t>Hema praveen</t>
  </si>
  <si>
    <t>Hemanth naidu abburi</t>
  </si>
  <si>
    <t>Himanshu sharma</t>
  </si>
  <si>
    <t>Hruthik madati</t>
  </si>
  <si>
    <t>Ishwar Kumar</t>
  </si>
  <si>
    <t>Jassu</t>
  </si>
  <si>
    <t>Jay singh</t>
  </si>
  <si>
    <t>Jeevanandam k</t>
  </si>
  <si>
    <t>Jessy</t>
  </si>
  <si>
    <t>Jomy josy maliakak</t>
  </si>
  <si>
    <t>Joyeesha</t>
  </si>
  <si>
    <t>Jyoti Badagiriyannanavar</t>
  </si>
  <si>
    <t>K.charan</t>
  </si>
  <si>
    <t>Kajal Panchal</t>
  </si>
  <si>
    <t>Kamini sushmitha</t>
  </si>
  <si>
    <t>Kanhaiya kumar</t>
  </si>
  <si>
    <t>Karan Kukreja</t>
  </si>
  <si>
    <t>Karan thakkar</t>
  </si>
  <si>
    <t>Karthik gattu</t>
  </si>
  <si>
    <t>Kedar bhonsle</t>
  </si>
  <si>
    <t>Keerthivasan</t>
  </si>
  <si>
    <t>Khushi pandey</t>
  </si>
  <si>
    <t>Kishan ramchandra rai</t>
  </si>
  <si>
    <t>Kishore krishnan</t>
  </si>
  <si>
    <t>Komal Chauhan</t>
  </si>
  <si>
    <t>Krishnaraj N S</t>
  </si>
  <si>
    <t>krishnesh raja</t>
  </si>
  <si>
    <t>Kumar avinab</t>
  </si>
  <si>
    <t>KUMARA SWAMY</t>
  </si>
  <si>
    <t>Lathangi</t>
  </si>
  <si>
    <t>Maaz mohammed</t>
  </si>
  <si>
    <t>Madhuri</t>
  </si>
  <si>
    <t>Mahima tiwari</t>
  </si>
  <si>
    <t>Mallesh Kattera</t>
  </si>
  <si>
    <t>Manicka</t>
  </si>
  <si>
    <t>ManojKohale</t>
  </si>
  <si>
    <t>Mansi Rawat</t>
  </si>
  <si>
    <t>Mansi thakkar</t>
  </si>
  <si>
    <t>MARLYN Shekina T</t>
  </si>
  <si>
    <t>Marrapu Vijay</t>
  </si>
  <si>
    <t>Maruthi bhargav</t>
  </si>
  <si>
    <t>Megh gautam</t>
  </si>
  <si>
    <t>Mohammed bilal shaikh</t>
  </si>
  <si>
    <t>Mohammed Rizwan</t>
  </si>
  <si>
    <t>Mohd Farhan</t>
  </si>
  <si>
    <t>Mohit lalwani</t>
  </si>
  <si>
    <t>Monica anthony</t>
  </si>
  <si>
    <t>Mukesh</t>
  </si>
  <si>
    <t>Murali D</t>
  </si>
  <si>
    <t>Murphy bhupendra</t>
  </si>
  <si>
    <t>Najiya najeeb</t>
  </si>
  <si>
    <t>Naveen Singh</t>
  </si>
  <si>
    <t>Navpreet Kaur</t>
  </si>
  <si>
    <t>Nayazbasha Anwar</t>
  </si>
  <si>
    <t>Neeraj Kumar</t>
  </si>
  <si>
    <t>Neeti</t>
  </si>
  <si>
    <t>Neha Sharma</t>
  </si>
  <si>
    <t>Nikhil varma</t>
  </si>
  <si>
    <t>Nishant singh</t>
  </si>
  <si>
    <t>Nishita patil</t>
  </si>
  <si>
    <t>Omiya jahan</t>
  </si>
  <si>
    <t>Pandurang Gurude</t>
  </si>
  <si>
    <t>Papri</t>
  </si>
  <si>
    <t>Parth</t>
  </si>
  <si>
    <t>Parth agarwal</t>
  </si>
  <si>
    <t>Piyush roy</t>
  </si>
  <si>
    <t>Pooja Pandey</t>
  </si>
  <si>
    <t>Poornima dhokane</t>
  </si>
  <si>
    <t>Prabhakar raj</t>
  </si>
  <si>
    <t>Prachi sharma</t>
  </si>
  <si>
    <t>Pragati Patnaik</t>
  </si>
  <si>
    <t>Pragati Priyam</t>
  </si>
  <si>
    <t>Pragya sancheti</t>
  </si>
  <si>
    <t>Prakriti gauri</t>
  </si>
  <si>
    <t>Pramukh mehra</t>
  </si>
  <si>
    <t>Pratham natani</t>
  </si>
  <si>
    <t>Pratichya sandilya</t>
  </si>
  <si>
    <t>Pravir</t>
  </si>
  <si>
    <t>Prince kamboj</t>
  </si>
  <si>
    <t>Priti soni</t>
  </si>
  <si>
    <t>Priyanshu priyam</t>
  </si>
  <si>
    <t>Prudhvi tej maddala</t>
  </si>
  <si>
    <t>Rachana Yadav</t>
  </si>
  <si>
    <t>Radhika Dey</t>
  </si>
  <si>
    <t>Raj 6</t>
  </si>
  <si>
    <t>Raj shukla</t>
  </si>
  <si>
    <t>Rakesh ramachandran</t>
  </si>
  <si>
    <t>Rakesh soni</t>
  </si>
  <si>
    <t>Ramiz Mustak</t>
  </si>
  <si>
    <t>Ramiz raja</t>
  </si>
  <si>
    <t>RASHME PUTTARAJU</t>
  </si>
  <si>
    <t>Reet jakharia</t>
  </si>
  <si>
    <t>Reshuka bharti</t>
  </si>
  <si>
    <t>Ritesh Gupta</t>
  </si>
  <si>
    <t>Rj aman singh</t>
  </si>
  <si>
    <t>Rj obaid akhtar</t>
  </si>
  <si>
    <t>Roopali jalota</t>
  </si>
  <si>
    <t>Rudra Agrawal</t>
  </si>
  <si>
    <t>Ruksar Shaikh</t>
  </si>
  <si>
    <t>S</t>
  </si>
  <si>
    <t>Sagar</t>
  </si>
  <si>
    <t>Sahil narwani</t>
  </si>
  <si>
    <t>Sai Nikhil</t>
  </si>
  <si>
    <t>Saikiran reddy</t>
  </si>
  <si>
    <t>saipavan Seelamsetty</t>
  </si>
  <si>
    <t>saiyaswanth kalisetty</t>
  </si>
  <si>
    <t>Saketh babu anand</t>
  </si>
  <si>
    <t>Sakshi gupta</t>
  </si>
  <si>
    <t>Sakshi mishra</t>
  </si>
  <si>
    <t>Samartha swaroop</t>
  </si>
  <si>
    <t>Sangeet</t>
  </si>
  <si>
    <t>Sangeetha</t>
  </si>
  <si>
    <t>Sangeetha marella</t>
  </si>
  <si>
    <t>Santhosh</t>
  </si>
  <si>
    <t>Saoud ahmad jawaid</t>
  </si>
  <si>
    <t>Sapan bhatt</t>
  </si>
  <si>
    <t>savvy js</t>
  </si>
  <si>
    <t>Shaifali singh</t>
  </si>
  <si>
    <t>Sharafat mulla</t>
  </si>
  <si>
    <t>sheetal mahadik</t>
  </si>
  <si>
    <t>Shiva karthik</t>
  </si>
  <si>
    <t>Shiva singh</t>
  </si>
  <si>
    <t>Shivam Singh</t>
  </si>
  <si>
    <t>Shobhit mishra</t>
  </si>
  <si>
    <t>Shobhnath kumar</t>
  </si>
  <si>
    <t>Shrushti patil</t>
  </si>
  <si>
    <t>Siddhanth lohia</t>
  </si>
  <si>
    <t>Siddharth kaushik</t>
  </si>
  <si>
    <t>Siddharth patkar</t>
  </si>
  <si>
    <t>Sidratulmuntaha</t>
  </si>
  <si>
    <t>Simarpreet kaur</t>
  </si>
  <si>
    <t>Simran keshari</t>
  </si>
  <si>
    <t>Sivaa sai Medapatii</t>
  </si>
  <si>
    <t>Siyad Shameer k</t>
  </si>
  <si>
    <t>Sk aiaz ali</t>
  </si>
  <si>
    <t>Sneha sawant</t>
  </si>
  <si>
    <t>Sowmya H L</t>
  </si>
  <si>
    <t>Sridhar Gollamudi</t>
  </si>
  <si>
    <t>Srishti chaurasia</t>
  </si>
  <si>
    <t>Sriyam</t>
  </si>
  <si>
    <t>Subham singh</t>
  </si>
  <si>
    <t>Subhransu sekhar Biswal</t>
  </si>
  <si>
    <t>Subiksha😊</t>
  </si>
  <si>
    <t>Suhani Srivastava</t>
  </si>
  <si>
    <t>Sujay joseph</t>
  </si>
  <si>
    <t>Suman shikha</t>
  </si>
  <si>
    <t>Sumeet K</t>
  </si>
  <si>
    <t>Suneel</t>
  </si>
  <si>
    <t>Surya singh</t>
  </si>
  <si>
    <t>Sushir Mehta</t>
  </si>
  <si>
    <t>Swetank Mehrotra</t>
  </si>
  <si>
    <t>T seetharam</t>
  </si>
  <si>
    <t>Tania martin</t>
  </si>
  <si>
    <t>Tanushrie sarkar</t>
  </si>
  <si>
    <t>Tarun mundhra</t>
  </si>
  <si>
    <t>Tauhid ahmed</t>
  </si>
  <si>
    <t>Tejas sarvankar</t>
  </si>
  <si>
    <t>Tejasvi Roy</t>
  </si>
  <si>
    <t>Tenzin Pema</t>
  </si>
  <si>
    <t>Thanusha s</t>
  </si>
  <si>
    <t>The Rebel sis</t>
  </si>
  <si>
    <t>Thrisha</t>
  </si>
  <si>
    <t>Trambak bhattacharya</t>
  </si>
  <si>
    <t>Tushar Halder</t>
  </si>
  <si>
    <t>Uzman</t>
  </si>
  <si>
    <t>Vaideki</t>
  </si>
  <si>
    <t>VAMSI BOYAPATI</t>
  </si>
  <si>
    <t>Vandana Rawat</t>
  </si>
  <si>
    <t>Vanisha sharma</t>
  </si>
  <si>
    <t>Vanshika jalandhara</t>
  </si>
  <si>
    <t>Veer pratap singh</t>
  </si>
  <si>
    <t>Venkata Subhash Movva</t>
  </si>
  <si>
    <t>Vidya vejendla</t>
  </si>
  <si>
    <t>Vikas bafna</t>
  </si>
  <si>
    <t>Viren lassi</t>
  </si>
  <si>
    <t>Viren mishra</t>
  </si>
  <si>
    <t>Visak S</t>
  </si>
  <si>
    <t>Vishnu chowdhary</t>
  </si>
  <si>
    <t>Vrinda kaushik</t>
  </si>
  <si>
    <t>Yaadon ka pitara</t>
  </si>
  <si>
    <t>Yash Pithva</t>
  </si>
  <si>
    <t>Yash pratap</t>
  </si>
  <si>
    <t>yugi ɪʏᴇʀ</t>
  </si>
  <si>
    <t>Yukta wagh</t>
  </si>
  <si>
    <t>yuvraj gunsola</t>
  </si>
  <si>
    <t>Aash</t>
  </si>
  <si>
    <t>Aashi Gaur</t>
  </si>
  <si>
    <t>Abhijeet patre</t>
  </si>
  <si>
    <t>Abhiram Vijayakumar</t>
  </si>
  <si>
    <t>aditya dash</t>
  </si>
  <si>
    <t>Adrija chatterjee</t>
  </si>
  <si>
    <t>Afroza bilquis happy</t>
  </si>
  <si>
    <t>Ainish</t>
  </si>
  <si>
    <t>Aishwarya atre</t>
  </si>
  <si>
    <t>Akash bhagat</t>
  </si>
  <si>
    <t>Akhil anand</t>
  </si>
  <si>
    <t>Akshay vasant patil</t>
  </si>
  <si>
    <t>Aman Ranka</t>
  </si>
  <si>
    <t>Amar sirse</t>
  </si>
  <si>
    <t>Anamika bhowmick</t>
  </si>
  <si>
    <t>Ananya mishra</t>
  </si>
  <si>
    <t>Anil kumbala</t>
  </si>
  <si>
    <t>Ankur sharma</t>
  </si>
  <si>
    <t>Annabelle</t>
  </si>
  <si>
    <t>Anubhav verma</t>
  </si>
  <si>
    <t>Aparna</t>
  </si>
  <si>
    <t>Aprajita halder</t>
  </si>
  <si>
    <t>Aravind rajeev</t>
  </si>
  <si>
    <t>Arihant jain</t>
  </si>
  <si>
    <t>Arpit jain</t>
  </si>
  <si>
    <t>Arun pratap singh</t>
  </si>
  <si>
    <t>Aryan Vijaywargia</t>
  </si>
  <si>
    <t>Aseem narula</t>
  </si>
  <si>
    <t>Ashish rajput</t>
  </si>
  <si>
    <t>Ashok jaipal</t>
  </si>
  <si>
    <t>Ashutosh Kumar Priyadarshi</t>
  </si>
  <si>
    <t>Ashwin suresh</t>
  </si>
  <si>
    <t>Asmit Kulshreshtha</t>
  </si>
  <si>
    <t>Asya</t>
  </si>
  <si>
    <t>Ayaz mohammed abdul razzak</t>
  </si>
  <si>
    <t>Bhagya</t>
  </si>
  <si>
    <t>Bharat sahu</t>
  </si>
  <si>
    <t>Bhavika rangwani</t>
  </si>
  <si>
    <t>Brandbull</t>
  </si>
  <si>
    <t>Chittoor parasuraman harish</t>
  </si>
  <si>
    <t>Chytanya tapakire</t>
  </si>
  <si>
    <t>Deekshith basvoju</t>
  </si>
  <si>
    <t>Dev Jetha</t>
  </si>
  <si>
    <t>Dipak kumar tripathi</t>
  </si>
  <si>
    <t>Farhan Ahmed</t>
  </si>
  <si>
    <t>G sujith kumar reddy</t>
  </si>
  <si>
    <t>Gitika yadu</t>
  </si>
  <si>
    <t>Gourab dasgupta</t>
  </si>
  <si>
    <t>Gururajan</t>
  </si>
  <si>
    <t>Hari Prasad</t>
  </si>
  <si>
    <t>Harish gola</t>
  </si>
  <si>
    <t>Harnoor saini</t>
  </si>
  <si>
    <t>HARSH HARSH</t>
  </si>
  <si>
    <t>Hema hareshwari</t>
  </si>
  <si>
    <t>Hitesh Vazir</t>
  </si>
  <si>
    <t>Jagriti Barawal</t>
  </si>
  <si>
    <t>Jasmeet singh bedi</t>
  </si>
  <si>
    <t>Jasmine jeniffer j</t>
  </si>
  <si>
    <t>Jayashree biswal</t>
  </si>
  <si>
    <t>Jitendra yadav</t>
  </si>
  <si>
    <t>Kalpit yadav</t>
  </si>
  <si>
    <t>Kodhati shashank</t>
  </si>
  <si>
    <t>Maheshkumar umbarkar</t>
  </si>
  <si>
    <t>Manas garg</t>
  </si>
  <si>
    <t>Manasing mohan jadhav</t>
  </si>
  <si>
    <t>Manel aloui</t>
  </si>
  <si>
    <t>Mani kandan a</t>
  </si>
  <si>
    <t>Manikandan j</t>
  </si>
  <si>
    <t>Manish kumar</t>
  </si>
  <si>
    <t>Mayank porwal</t>
  </si>
  <si>
    <t>Meeta singh</t>
  </si>
  <si>
    <t>Mekala kiran</t>
  </si>
  <si>
    <t>Narender kumar</t>
  </si>
  <si>
    <t>Niharika malhotra</t>
  </si>
  <si>
    <t>Nikhil h v</t>
  </si>
  <si>
    <t>Nikshep Maknoor</t>
  </si>
  <si>
    <t>Nitin singh</t>
  </si>
  <si>
    <t>Omkar Gangan</t>
  </si>
  <si>
    <t>Onkar r. litake</t>
  </si>
  <si>
    <t>Padma neeraj kumar</t>
  </si>
  <si>
    <t>parihaar</t>
  </si>
  <si>
    <t>Parsuram kumar</t>
  </si>
  <si>
    <t>Payal basrani</t>
  </si>
  <si>
    <t>Prabal kumar</t>
  </si>
  <si>
    <t>Prachi Singla</t>
  </si>
  <si>
    <t>Pradeep kumar singh</t>
  </si>
  <si>
    <t>Prameet lahiri</t>
  </si>
  <si>
    <t>Prasad kalekar</t>
  </si>
  <si>
    <t>Prashant R. Agre.</t>
  </si>
  <si>
    <t>Prateek shukla</t>
  </si>
  <si>
    <t>Premkumar</t>
  </si>
  <si>
    <t>Pricilla. j</t>
  </si>
  <si>
    <t>Priyadarshini</t>
  </si>
  <si>
    <t>Priyanka dutta</t>
  </si>
  <si>
    <t>Pulak pattanaik</t>
  </si>
  <si>
    <t>Raj anil jadhav</t>
  </si>
  <si>
    <t>Ranjan</t>
  </si>
  <si>
    <t>Ratnakar kumar</t>
  </si>
  <si>
    <t>Ravi</t>
  </si>
  <si>
    <t>Reshma Srinivasan</t>
  </si>
  <si>
    <t>Rishabh Upadhye</t>
  </si>
  <si>
    <t>Ritika ajmera</t>
  </si>
  <si>
    <t>Rohan verma</t>
  </si>
  <si>
    <t>Rohit chhabra</t>
  </si>
  <si>
    <t>Rohit Kumar ojha</t>
  </si>
  <si>
    <t>S Singh</t>
  </si>
  <si>
    <t>S.B. Raghavendra</t>
  </si>
  <si>
    <t>Saavn</t>
  </si>
  <si>
    <t>Saman siddiqui</t>
  </si>
  <si>
    <t>Samraat</t>
  </si>
  <si>
    <t>Sandeep Samudrala</t>
  </si>
  <si>
    <t>Sangeeth Sadanand</t>
  </si>
  <si>
    <t>Sangita rathod</t>
  </si>
  <si>
    <t>Santosh</t>
  </si>
  <si>
    <t>Sarabu sai prashanth</t>
  </si>
  <si>
    <t>Saransh Bhatnagar</t>
  </si>
  <si>
    <t>Saroj reddy</t>
  </si>
  <si>
    <t>Sasank amavarapu</t>
  </si>
  <si>
    <t>Sasi kumar sreenadhu</t>
  </si>
  <si>
    <t>Saswat pradhan</t>
  </si>
  <si>
    <t>Satish yadav</t>
  </si>
  <si>
    <t>Saurabh kamthe</t>
  </si>
  <si>
    <t>Shabaz sj</t>
  </si>
  <si>
    <t>Shaheer fardan</t>
  </si>
  <si>
    <t>Shantanu kumar</t>
  </si>
  <si>
    <t>Shashank gupta</t>
  </si>
  <si>
    <t>Shashank mishra</t>
  </si>
  <si>
    <t>Shekhar Pandey</t>
  </si>
  <si>
    <t>Shikhar Kumar Dixit</t>
  </si>
  <si>
    <t>Shivam gupta</t>
  </si>
  <si>
    <t>Shravya pnpv</t>
  </si>
  <si>
    <t>Shruti dandagi</t>
  </si>
  <si>
    <t>Shubham jain</t>
  </si>
  <si>
    <t>Shubham sangole</t>
  </si>
  <si>
    <t>SHUBHASREE SARKAR</t>
  </si>
  <si>
    <t>Sidharth kriplani</t>
  </si>
  <si>
    <t>Singh aman</t>
  </si>
  <si>
    <t>Somesh jaiswal</t>
  </si>
  <si>
    <t>Somnath bandyopadhyay</t>
  </si>
  <si>
    <t>Sonu kumar gupta</t>
  </si>
  <si>
    <t>Soumen talukdar</t>
  </si>
  <si>
    <t>Sourabh</t>
  </si>
  <si>
    <t>Sozhavendhan</t>
  </si>
  <si>
    <t>Sravanii gottimukkala</t>
  </si>
  <si>
    <t>Sriram</t>
  </si>
  <si>
    <t>Srujan tadagoppula</t>
  </si>
  <si>
    <t>Sudhanshu tope</t>
  </si>
  <si>
    <t>Sugandha aggarwal</t>
  </si>
  <si>
    <t>Suraaj Hasija</t>
  </si>
  <si>
    <t>Surendra singh devda</t>
  </si>
  <si>
    <t>Tamiz</t>
  </si>
  <si>
    <t>Tanisha Sharma</t>
  </si>
  <si>
    <t>Tejaswita Wakhure</t>
  </si>
  <si>
    <t>Tuhin Mondal</t>
  </si>
  <si>
    <t>Tushar singh</t>
  </si>
  <si>
    <t>Vaibhav tushar</t>
  </si>
  <si>
    <t>Varun Rana</t>
  </si>
  <si>
    <t>Vidhi shah</t>
  </si>
  <si>
    <t>Vikram kumar</t>
  </si>
  <si>
    <t>Vishal Kumar</t>
  </si>
  <si>
    <t>Vishal s</t>
  </si>
  <si>
    <t>Vishal waghmare</t>
  </si>
  <si>
    <t>Vishnu nandawdekar</t>
  </si>
  <si>
    <t>Vivek jadhav</t>
  </si>
  <si>
    <t>Vyshnavi garipelly</t>
  </si>
  <si>
    <t>Yadu sharma</t>
  </si>
  <si>
    <t>Yasharth bajpai</t>
  </si>
  <si>
    <t>Zamir Ahmad Siddiqui</t>
  </si>
  <si>
    <t>A Alex</t>
  </si>
  <si>
    <t>Abhishek Sanu</t>
  </si>
  <si>
    <t>Akshay Gawade</t>
  </si>
  <si>
    <t>Allurisatyasindhu padmakumari</t>
  </si>
  <si>
    <t>Amith Ghosh</t>
  </si>
  <si>
    <t>Anagha g</t>
  </si>
  <si>
    <t>Ankur bhatia</t>
  </si>
  <si>
    <t>Ankush singh gandhi</t>
  </si>
  <si>
    <t>Anup ghosh</t>
  </si>
  <si>
    <t>Apoorva Prabhakar</t>
  </si>
  <si>
    <t>ashay Girgaonkar</t>
  </si>
  <si>
    <t>Ashok Kumar</t>
  </si>
  <si>
    <t>Bharat Oberoi</t>
  </si>
  <si>
    <t>Chaitanya chowdary b</t>
  </si>
  <si>
    <t>Chandan Sahoo</t>
  </si>
  <si>
    <t>Chayan Khatri</t>
  </si>
  <si>
    <t>chunduri.v.s.kanakavalli</t>
  </si>
  <si>
    <t>DebdattaChatterjee</t>
  </si>
  <si>
    <t>Dhanraj Ks</t>
  </si>
  <si>
    <t>Dhruv narula</t>
  </si>
  <si>
    <t>Dinesh vakiti</t>
  </si>
  <si>
    <t>Diptesh Choudhari</t>
  </si>
  <si>
    <t>Gaurav Narang</t>
  </si>
  <si>
    <t>Harini vvsss</t>
  </si>
  <si>
    <t>harisha  mugesh</t>
  </si>
  <si>
    <t>Himanshu Saleria</t>
  </si>
  <si>
    <t>Jinendra Lodha</t>
  </si>
  <si>
    <t>Jugal Kishor Suthar</t>
  </si>
  <si>
    <t>k Manoj Kumar</t>
  </si>
  <si>
    <t>Karthik kashyap</t>
  </si>
  <si>
    <t>Kunal Joshi</t>
  </si>
  <si>
    <t>Mahesh Naidu</t>
  </si>
  <si>
    <t>Manav Pal</t>
  </si>
  <si>
    <t>manish</t>
  </si>
  <si>
    <t>Mayank raghuwanshi</t>
  </si>
  <si>
    <t>Mayank rs</t>
  </si>
  <si>
    <t>MOHAMMED KANOR</t>
  </si>
  <si>
    <t>Mohit mathur</t>
  </si>
  <si>
    <t>Nagaraj</t>
  </si>
  <si>
    <t>Naveen Kumar Reddy M</t>
  </si>
  <si>
    <t>Nernay kumar</t>
  </si>
  <si>
    <t>Pavan Babu Gandla</t>
  </si>
  <si>
    <t>Peddapaka Shivaram</t>
  </si>
  <si>
    <t>Phanindra Sai Bollineni</t>
  </si>
  <si>
    <t>Phanindra suresh maddula</t>
  </si>
  <si>
    <t>Pradeep Joshi</t>
  </si>
  <si>
    <t>Pranay r rawat</t>
  </si>
  <si>
    <t>praveen kumar v</t>
  </si>
  <si>
    <t>Raghav Gautam</t>
  </si>
  <si>
    <t>Raj Lakkannavar</t>
  </si>
  <si>
    <t>rajshekar</t>
  </si>
  <si>
    <t>Ramakrishnan Mahesh</t>
  </si>
  <si>
    <t>Ravi suthar</t>
  </si>
  <si>
    <t>Ravi teja p</t>
  </si>
  <si>
    <t>Rohit Raghuvansh</t>
  </si>
  <si>
    <t>sabaareesh gupta</t>
  </si>
  <si>
    <t>Sagar Sahasrabuddhe</t>
  </si>
  <si>
    <t>santhosh nelapatla</t>
  </si>
  <si>
    <t>Saravjot singh</t>
  </si>
  <si>
    <t>Satya Sai Kothapalli</t>
  </si>
  <si>
    <t>saurabh shitole</t>
  </si>
  <si>
    <t>Sharad Mathur</t>
  </si>
  <si>
    <t>sharmith jain</t>
  </si>
  <si>
    <t>shiksha pandey</t>
  </si>
  <si>
    <t>Simran Gandhi</t>
  </si>
  <si>
    <t>soma sekar</t>
  </si>
  <si>
    <t>Sunil Edupuganti</t>
  </si>
  <si>
    <t>Tejas Ajinath Palwe</t>
  </si>
  <si>
    <t>Thota bhargav</t>
  </si>
  <si>
    <t>Titikshya maharana</t>
  </si>
  <si>
    <t>Ujjwal Anand</t>
  </si>
  <si>
    <t>Vamsi Krishna</t>
  </si>
  <si>
    <t>Vikas Koul</t>
  </si>
  <si>
    <t>Vineet Kv</t>
  </si>
  <si>
    <t>vinita kumari</t>
  </si>
  <si>
    <t>Vivek Nemade</t>
  </si>
  <si>
    <t>Yatheesh Pinnaka</t>
  </si>
  <si>
    <t>yogendra meena</t>
  </si>
  <si>
    <t>Yuva Raj</t>
  </si>
  <si>
    <t>Tara Lanba</t>
  </si>
  <si>
    <t>Mihir ajmera</t>
  </si>
  <si>
    <t>Reddy the killer</t>
  </si>
  <si>
    <t>CupCak£/Pixie</t>
  </si>
  <si>
    <t>Siddharth nair</t>
  </si>
  <si>
    <t>Anubhav raj srivastav</t>
  </si>
  <si>
    <t>Yajvin Tandon</t>
  </si>
  <si>
    <t>Shahid</t>
  </si>
  <si>
    <t>Varun parasar</t>
  </si>
  <si>
    <t>Navin talreja</t>
  </si>
  <si>
    <t>Surya</t>
  </si>
  <si>
    <t>Manoj Muttamsetty</t>
  </si>
  <si>
    <t>Allen Ec</t>
  </si>
  <si>
    <t>Aditya Narayan Sahu</t>
  </si>
  <si>
    <t>Pratham</t>
  </si>
  <si>
    <t>Alex</t>
  </si>
  <si>
    <t>Hameel babu rasheed</t>
  </si>
  <si>
    <t>James Payton</t>
  </si>
  <si>
    <t>Archit gupta</t>
  </si>
  <si>
    <t>Saurabh</t>
  </si>
  <si>
    <t>Himanshu verma</t>
  </si>
  <si>
    <t>Ripper aj</t>
  </si>
  <si>
    <t>Sohail M</t>
  </si>
  <si>
    <t>Priyanshu</t>
  </si>
  <si>
    <t>Mj</t>
  </si>
  <si>
    <t>Parth kelkar</t>
  </si>
  <si>
    <t>RohitJha</t>
  </si>
  <si>
    <t>Hruday Bhimani</t>
  </si>
  <si>
    <t>Arora queen</t>
  </si>
  <si>
    <t>RAMANI NAMANA</t>
  </si>
  <si>
    <t>Aastha Batra</t>
  </si>
  <si>
    <t>Shraddha nanda</t>
  </si>
  <si>
    <t>Manaswi patil</t>
  </si>
  <si>
    <t>Deepali B Prabhu</t>
  </si>
  <si>
    <t>Sunil Naidu</t>
  </si>
  <si>
    <t>Aditi gupta</t>
  </si>
  <si>
    <t>komal cloud Harry</t>
  </si>
  <si>
    <t>Akhilesh</t>
  </si>
  <si>
    <t>Sheel khandelwal</t>
  </si>
  <si>
    <t>Pritha mukherjee</t>
  </si>
  <si>
    <t>Rushali verma</t>
  </si>
  <si>
    <t>alok tarafdar</t>
  </si>
  <si>
    <t>Krishnapriya v k</t>
  </si>
  <si>
    <t>Sourav das</t>
  </si>
  <si>
    <t>Miss phenomenon</t>
  </si>
  <si>
    <t>Amariah desa</t>
  </si>
  <si>
    <t>Niharika randeria</t>
  </si>
  <si>
    <t>Suman kumari</t>
  </si>
  <si>
    <t>Shubham Kothiyal</t>
  </si>
  <si>
    <t>Mahima nair</t>
  </si>
  <si>
    <t>Ravneet kaur</t>
  </si>
  <si>
    <t>Bodempudi Lowkya</t>
  </si>
  <si>
    <t>Srishti varshney</t>
  </si>
  <si>
    <t>Nabila</t>
  </si>
  <si>
    <t>Joanne climend</t>
  </si>
  <si>
    <t>Lourdes Lobo</t>
  </si>
  <si>
    <t>Ishita mondal</t>
  </si>
  <si>
    <t>Ishani</t>
  </si>
  <si>
    <t>Asmitha</t>
  </si>
  <si>
    <t>Gayatri jhaveri</t>
  </si>
  <si>
    <t>Priya bajaj</t>
  </si>
  <si>
    <t>Sanjana kale</t>
  </si>
  <si>
    <t>Isha mande</t>
  </si>
  <si>
    <t>Urvi ganatra</t>
  </si>
  <si>
    <t>Bansi patel</t>
  </si>
  <si>
    <t>Abhiruchi Kamble</t>
  </si>
  <si>
    <t>Alekhya Ganugapati</t>
  </si>
  <si>
    <t>Mamta Sahni</t>
  </si>
  <si>
    <t>Prodigy 123</t>
  </si>
  <si>
    <t>Nitya satheesh</t>
  </si>
  <si>
    <t>Kamalavinayagam g</t>
  </si>
  <si>
    <t>Mahak budhraja</t>
  </si>
  <si>
    <t>Sanjeev kariyandy</t>
  </si>
  <si>
    <t>Varnika parupally</t>
  </si>
  <si>
    <t>Shubham dubey</t>
  </si>
  <si>
    <t>Aditya Mani</t>
  </si>
  <si>
    <t>akshdeep gupta</t>
  </si>
  <si>
    <t>Amar nigam</t>
  </si>
  <si>
    <t>Aneel kumar</t>
  </si>
  <si>
    <t>Anjali gaba</t>
  </si>
  <si>
    <t>Asim kumar mandal</t>
  </si>
  <si>
    <t>Atul Gupta</t>
  </si>
  <si>
    <t>Ca vishal singh</t>
  </si>
  <si>
    <t>CH S</t>
  </si>
  <si>
    <t>DIPANKAR DUTTA</t>
  </si>
  <si>
    <t>Hariom Pandey</t>
  </si>
  <si>
    <t>Nayan handa</t>
  </si>
  <si>
    <t>Nimisha madan</t>
  </si>
  <si>
    <t>payal agarwal</t>
  </si>
  <si>
    <t>Pooja Kansal</t>
  </si>
  <si>
    <t>Prateek sharma</t>
  </si>
  <si>
    <t>Pratik mandalia</t>
  </si>
  <si>
    <t>Raj singh</t>
  </si>
  <si>
    <t>Rajan vohra</t>
  </si>
  <si>
    <t>Rajiv bajaj</t>
  </si>
  <si>
    <t>Rakesh Sharma</t>
  </si>
  <si>
    <t>Sachin kumar</t>
  </si>
  <si>
    <t>Sahej</t>
  </si>
  <si>
    <t>Sandeep Panda</t>
  </si>
  <si>
    <t>Shailender pandey</t>
  </si>
  <si>
    <t>Shishir kumar</t>
  </si>
  <si>
    <t>Shivam Acharya</t>
  </si>
  <si>
    <t>Shivani sunhare</t>
  </si>
  <si>
    <t>Sreejith GS</t>
  </si>
  <si>
    <t>Trinath Ranjan</t>
  </si>
  <si>
    <t>Vivarth Dosar</t>
  </si>
  <si>
    <t>Vivikt Kashiramka</t>
  </si>
  <si>
    <t>Karthick Devarajan</t>
  </si>
  <si>
    <t>Rohan B</t>
  </si>
  <si>
    <t>Pragnya P</t>
  </si>
  <si>
    <t>Saijal Kaushal</t>
  </si>
  <si>
    <t>Anuja gohil</t>
  </si>
  <si>
    <t>Amol Naik</t>
  </si>
  <si>
    <t>Rahul mandal</t>
  </si>
  <si>
    <t>Janvi</t>
  </si>
  <si>
    <t>Gurmeet singh</t>
  </si>
  <si>
    <t>Tarun Gulati</t>
  </si>
  <si>
    <t>Arpita deb</t>
  </si>
  <si>
    <t>Abhishek bharati</t>
  </si>
  <si>
    <t>vaheeth raj</t>
  </si>
  <si>
    <t>Parthona phukan</t>
  </si>
  <si>
    <t>Vaishali dashora</t>
  </si>
  <si>
    <t>Krishna kishore</t>
  </si>
  <si>
    <t>Rani ponmathi</t>
  </si>
  <si>
    <t>Harish agrawal</t>
  </si>
  <si>
    <t>Aayushi raithatha</t>
  </si>
  <si>
    <t>Kush Patel</t>
  </si>
  <si>
    <t>Satyanarayana pasupuleti</t>
  </si>
  <si>
    <t>Kavya menon</t>
  </si>
  <si>
    <t>Vikas s</t>
  </si>
  <si>
    <t>Dipak Biswal</t>
  </si>
  <si>
    <t>Sk ismail</t>
  </si>
  <si>
    <t>Vaitheeshwar prakash</t>
  </si>
  <si>
    <t>Ariv Gupta</t>
  </si>
  <si>
    <t>Shreya Kukreja</t>
  </si>
  <si>
    <t>Vishal t aswin</t>
  </si>
  <si>
    <t>Shrikant dhawas</t>
  </si>
  <si>
    <t>Sarabpreet kaur</t>
  </si>
  <si>
    <t>Rakhil Akkali</t>
  </si>
  <si>
    <t>Himakar Reddy</t>
  </si>
  <si>
    <t>piyush kumar</t>
  </si>
  <si>
    <t>shreyansh chaturvedi</t>
  </si>
  <si>
    <t>Dilip</t>
  </si>
  <si>
    <t>Sai ware</t>
  </si>
  <si>
    <t>Anirvan majumdar</t>
  </si>
  <si>
    <t>Narendra</t>
  </si>
  <si>
    <t>HARIPRIYA RAJEEV</t>
  </si>
  <si>
    <t>Anurag Mal</t>
  </si>
  <si>
    <t>aprajita</t>
  </si>
  <si>
    <t>Charvi Dora</t>
  </si>
  <si>
    <t>Diksha singh</t>
  </si>
  <si>
    <t>shantanu singh</t>
  </si>
  <si>
    <t>Aashna Dhakan</t>
  </si>
  <si>
    <t>Varun mishra</t>
  </si>
  <si>
    <t>R.Sathya Narayanan</t>
  </si>
  <si>
    <t>Uparna Chatterjee</t>
  </si>
  <si>
    <t>Gaurav Kumar</t>
  </si>
  <si>
    <t>Suryavamsi reddy</t>
  </si>
  <si>
    <t>Srinidhi Sriram</t>
  </si>
  <si>
    <t>Dhruvi Satikuvar</t>
  </si>
  <si>
    <t>Pratik Bambhrolia</t>
  </si>
  <si>
    <t>Shreyas kamble</t>
  </si>
  <si>
    <t>pratham ji</t>
  </si>
  <si>
    <t>Ram nath kashyap</t>
  </si>
  <si>
    <t>Mahoday tamankar</t>
  </si>
  <si>
    <t>Sandeep agarwal</t>
  </si>
  <si>
    <t>Aditi khera</t>
  </si>
  <si>
    <t>Vineeth Nellikatharayil</t>
  </si>
  <si>
    <t>Nirav Majithia</t>
  </si>
  <si>
    <t>Pilli Mahesh Ratan</t>
  </si>
  <si>
    <t>Bharti motwani</t>
  </si>
  <si>
    <t>Rajat garg</t>
  </si>
  <si>
    <t>Hatim badshah</t>
  </si>
  <si>
    <t>Ekta Singh</t>
  </si>
  <si>
    <t>Jatin sandeep</t>
  </si>
  <si>
    <t>Eswar Munipalli</t>
  </si>
  <si>
    <t>Deepthi T</t>
  </si>
  <si>
    <t>Simply economics</t>
  </si>
  <si>
    <t>Aishwarya Vaitee</t>
  </si>
  <si>
    <t>sravani A</t>
  </si>
  <si>
    <t>Puja bharara</t>
  </si>
  <si>
    <t>Aakash raghavendran</t>
  </si>
  <si>
    <t>Rakesh Raman</t>
  </si>
  <si>
    <t>18hr- 510</t>
  </si>
  <si>
    <t>Saurabh dongre</t>
  </si>
  <si>
    <t>Madhan pradeep</t>
  </si>
  <si>
    <t>Vivek kumar</t>
  </si>
  <si>
    <t>Amit Parchake</t>
  </si>
  <si>
    <t>Priyanshu joshi</t>
  </si>
  <si>
    <t>Venkidu L</t>
  </si>
  <si>
    <t>Manish kembral</t>
  </si>
  <si>
    <t>Bhavesh hemnani</t>
  </si>
  <si>
    <t>Akshay singh</t>
  </si>
  <si>
    <t>KRISHNA KANT SINHA</t>
  </si>
  <si>
    <t>vilas nagdawne</t>
  </si>
  <si>
    <t>Sonia bareja</t>
  </si>
  <si>
    <t>Ritika nair</t>
  </si>
  <si>
    <t>sneha s rahman</t>
  </si>
  <si>
    <t>Shruti Mishra</t>
  </si>
  <si>
    <t>Anamika Tripathi</t>
  </si>
  <si>
    <t>Amaresh Nagaral</t>
  </si>
  <si>
    <t>Abhinav</t>
  </si>
  <si>
    <t>Sashwat Pandey</t>
  </si>
  <si>
    <t>Madhav tandon</t>
  </si>
  <si>
    <t>Surabhi surve</t>
  </si>
  <si>
    <t>Gadha gopal</t>
  </si>
  <si>
    <t>Vrushti mehta</t>
  </si>
  <si>
    <t>Deeksha mahajan</t>
  </si>
  <si>
    <t>Pooja ganesh jadhav</t>
  </si>
  <si>
    <t>Shivam tulsyan</t>
  </si>
  <si>
    <t>Aprajita vaid</t>
  </si>
  <si>
    <t>DHANPREET SINGH</t>
  </si>
  <si>
    <t>Nishant Kumar Singh</t>
  </si>
  <si>
    <t>Aayat shaikh</t>
  </si>
  <si>
    <t>venkatamadhusudhan sreeram</t>
  </si>
  <si>
    <t>Rohan Reginald</t>
  </si>
  <si>
    <t>Narayani mahesh</t>
  </si>
  <si>
    <t>Swara k</t>
  </si>
  <si>
    <t>Kunal Devendra Sankhe</t>
  </si>
  <si>
    <t>Pulidevan</t>
  </si>
  <si>
    <t>Apurwa waikar</t>
  </si>
  <si>
    <t>Parth sharma</t>
  </si>
  <si>
    <t>Niriksha Burman</t>
  </si>
  <si>
    <t>Akash sao</t>
  </si>
  <si>
    <t>Vivek mohan</t>
  </si>
  <si>
    <t>Lakshmi</t>
  </si>
  <si>
    <t>Rishabh khanna</t>
  </si>
  <si>
    <t>Yoshitha kuntumalla</t>
  </si>
  <si>
    <t>Aditi Bej</t>
  </si>
  <si>
    <t>Mittal patel</t>
  </si>
  <si>
    <t>Munish</t>
  </si>
  <si>
    <t>Subhash sindhu</t>
  </si>
  <si>
    <t>Roshni shaikh</t>
  </si>
  <si>
    <t>Manjusha</t>
  </si>
  <si>
    <t>Pragati</t>
  </si>
  <si>
    <t>siddesh</t>
  </si>
  <si>
    <t>Marian Anugraha</t>
  </si>
  <si>
    <t>sravya kutty</t>
  </si>
  <si>
    <t>Shrinkhla Maurya</t>
  </si>
  <si>
    <t>Manisha Shinde Kalburgi</t>
  </si>
  <si>
    <t>Nalini Ravindra</t>
  </si>
  <si>
    <t>Sonal Khanna</t>
  </si>
  <si>
    <t>mandar morajkar</t>
  </si>
  <si>
    <t>chandu</t>
  </si>
  <si>
    <t>sakshi sharma</t>
  </si>
  <si>
    <t>ruchida phule</t>
  </si>
  <si>
    <t>Shreya Vats</t>
  </si>
  <si>
    <t>Mansi chawla</t>
  </si>
  <si>
    <t>Aditi</t>
  </si>
  <si>
    <t>Nisha Shetty</t>
  </si>
  <si>
    <t>ShirinPoonawala-Mukhtyar</t>
  </si>
  <si>
    <t>Sharada.</t>
  </si>
  <si>
    <t>lalit dhingra</t>
  </si>
  <si>
    <t>renju</t>
  </si>
  <si>
    <t>srungarapu rakeshpavan</t>
  </si>
  <si>
    <t>Badalram</t>
  </si>
  <si>
    <t>Akshta Singh</t>
  </si>
  <si>
    <t>Arul georginal</t>
  </si>
  <si>
    <t>Rachita satpathy</t>
  </si>
  <si>
    <t>Shaluma Here</t>
  </si>
  <si>
    <t>Mohammed Z Lokhandwala</t>
  </si>
  <si>
    <t>Sayali Patil</t>
  </si>
  <si>
    <t>Krishna nikhitha</t>
  </si>
  <si>
    <t>Deepali Arora</t>
  </si>
  <si>
    <t>Smile designers</t>
  </si>
  <si>
    <t>Alka krishnan</t>
  </si>
  <si>
    <t>Kavya Sruthi</t>
  </si>
  <si>
    <t>Sarvaani</t>
  </si>
  <si>
    <t>Sunpreet Kour</t>
  </si>
  <si>
    <t>Kirti shingote</t>
  </si>
  <si>
    <t>Ravi Srivastava</t>
  </si>
  <si>
    <t>Akanksha singh</t>
  </si>
  <si>
    <t>Vimal kumar garg</t>
  </si>
  <si>
    <t>Bhavin Jain</t>
  </si>
  <si>
    <t>Pawan Verma</t>
  </si>
  <si>
    <t>krubaNandan</t>
  </si>
  <si>
    <t>Priyanka ghosh das</t>
  </si>
  <si>
    <t>Divya Ganapathi</t>
  </si>
  <si>
    <t>shraddha Sanjay Borkar</t>
  </si>
  <si>
    <t>Aleena babu</t>
  </si>
  <si>
    <t>Pinal Modi</t>
  </si>
  <si>
    <t>Deepachellappan</t>
  </si>
  <si>
    <t>Vaishali Mhatre</t>
  </si>
  <si>
    <t>Rak</t>
  </si>
  <si>
    <t>Harshita gandhi</t>
  </si>
  <si>
    <t>Trisha mittal</t>
  </si>
  <si>
    <t>Rakshita Shetty</t>
  </si>
  <si>
    <t>Kitty pachuau</t>
  </si>
  <si>
    <t>Juhi Kumari</t>
  </si>
  <si>
    <t>Aishwarya Krishnan Lata</t>
  </si>
  <si>
    <t>Rajalakshmi S</t>
  </si>
  <si>
    <t>Shampa mohan</t>
  </si>
  <si>
    <t>Vidhi vira</t>
  </si>
  <si>
    <t>Saniya Satardekar</t>
  </si>
  <si>
    <t>Debbarma Basusree</t>
  </si>
  <si>
    <t>Pooja raina</t>
  </si>
  <si>
    <t>Sandhiya karunakaran</t>
  </si>
  <si>
    <t>Kinnari gururaj</t>
  </si>
  <si>
    <t>Tarundeep</t>
  </si>
  <si>
    <t>Harpreet kaur</t>
  </si>
  <si>
    <t>Neha Goyal</t>
  </si>
  <si>
    <t>Sharul sharma</t>
  </si>
  <si>
    <t>Ambika naik</t>
  </si>
  <si>
    <t>Abeen thakur</t>
  </si>
  <si>
    <t>Muskan suri</t>
  </si>
  <si>
    <t>Dipti</t>
  </si>
  <si>
    <t>varsha s</t>
  </si>
  <si>
    <t>NehaShree</t>
  </si>
  <si>
    <t>Fatima shaikh</t>
  </si>
  <si>
    <t>Rhea Bhel</t>
  </si>
  <si>
    <t>Begum Raaz</t>
  </si>
  <si>
    <t>Ayman hulmani</t>
  </si>
  <si>
    <t>Bhumika verma</t>
  </si>
  <si>
    <t>Abinaya.p</t>
  </si>
  <si>
    <t>Drashti shukla</t>
  </si>
  <si>
    <t>Megha das</t>
  </si>
  <si>
    <t>Coin Master Gaming</t>
  </si>
  <si>
    <t>Kavya deepika</t>
  </si>
  <si>
    <t>Ayisha ghouse</t>
  </si>
  <si>
    <t>Mamta taliwala</t>
  </si>
  <si>
    <t>Devashish singh</t>
  </si>
  <si>
    <t>Swapnali hatankar</t>
  </si>
  <si>
    <t>Kruthi_makeovers</t>
  </si>
  <si>
    <t>Shesamalini Sivamani</t>
  </si>
  <si>
    <t>Kakollu manmaye</t>
  </si>
  <si>
    <t>Nivedita krishnan</t>
  </si>
  <si>
    <t>Loveleen sidhu</t>
  </si>
  <si>
    <t>Fouzia p khan</t>
  </si>
  <si>
    <t>Navina</t>
  </si>
  <si>
    <t>Blessy george</t>
  </si>
  <si>
    <t>Susmita priyadarshini</t>
  </si>
  <si>
    <t>sravanthi Mammai</t>
  </si>
  <si>
    <t>refana atturkar</t>
  </si>
  <si>
    <t>akansha arya</t>
  </si>
  <si>
    <t>Tejal alam</t>
  </si>
  <si>
    <t>Sanchita khanna</t>
  </si>
  <si>
    <t>Deepali Awasthi</t>
  </si>
  <si>
    <t>Devyani</t>
  </si>
  <si>
    <t>Rucha joshi</t>
  </si>
  <si>
    <t>Eena arora</t>
  </si>
  <si>
    <t>Preynka</t>
  </si>
  <si>
    <t>Paramjit singh</t>
  </si>
  <si>
    <t>Poulami Roy</t>
  </si>
  <si>
    <t>Mary deepa david k</t>
  </si>
  <si>
    <t>Anamika Yadav</t>
  </si>
  <si>
    <t>Srinivasan Ganapathy</t>
  </si>
  <si>
    <t>Rowena Mary</t>
  </si>
  <si>
    <t>Ruchira kulkarni</t>
  </si>
  <si>
    <t>Name-Sandesh Valmik Magar</t>
  </si>
  <si>
    <t>Md Arman Khan</t>
  </si>
  <si>
    <t>Jayshree gupta</t>
  </si>
  <si>
    <t>Alina Akhtar</t>
  </si>
  <si>
    <t>Pranayi Bukya</t>
  </si>
  <si>
    <t>Parul Sandhi</t>
  </si>
  <si>
    <t>Mouryaa Vijayy</t>
  </si>
  <si>
    <t>Ashwinee Phatak</t>
  </si>
  <si>
    <t>Dipti Gangurde</t>
  </si>
  <si>
    <t>Gagandeep Kaur</t>
  </si>
  <si>
    <t>Shweta Kumari</t>
  </si>
  <si>
    <t>Arvind Saklani</t>
  </si>
  <si>
    <t>Vainayaki Kulkarni</t>
  </si>
  <si>
    <t>Dr.kuldeep rajpurohit</t>
  </si>
  <si>
    <t>Aarti garje</t>
  </si>
  <si>
    <t>Siddhant Dhawan</t>
  </si>
  <si>
    <t>Mayura Dole</t>
  </si>
  <si>
    <t>Cristina</t>
  </si>
  <si>
    <t>Poornima</t>
  </si>
  <si>
    <t>Pravin Rajpurohit</t>
  </si>
  <si>
    <t>M Himasainee</t>
  </si>
  <si>
    <t>Girish vohra</t>
  </si>
  <si>
    <t>Rajnish Kumar</t>
  </si>
  <si>
    <t>Namitha Das</t>
  </si>
  <si>
    <t>Shruti Sethi</t>
  </si>
  <si>
    <t>Sruthi jnanesan</t>
  </si>
  <si>
    <t>Mahima gupta</t>
  </si>
  <si>
    <t>SANGITA SINGH</t>
  </si>
  <si>
    <t>Durga n r</t>
  </si>
  <si>
    <t>Santhosh Makam</t>
  </si>
  <si>
    <t>jyoti singh</t>
  </si>
  <si>
    <t>Chaith</t>
  </si>
  <si>
    <t>deepika bala</t>
  </si>
  <si>
    <t>Surbhi Jaiin</t>
  </si>
  <si>
    <t>vaishanvi Harish Baniya</t>
  </si>
  <si>
    <t>Sylvester Kunder</t>
  </si>
  <si>
    <t>Geeta Panchal</t>
  </si>
  <si>
    <t>Debdatta Chakraborty</t>
  </si>
  <si>
    <t>Dr. atul patil</t>
  </si>
  <si>
    <t>Ranjitha murali</t>
  </si>
  <si>
    <t>Narender Tumma</t>
  </si>
  <si>
    <t>Salma Nadaf</t>
  </si>
  <si>
    <t>dilipkumar L</t>
  </si>
  <si>
    <t>Md Tarique Alam</t>
  </si>
  <si>
    <t>Pankhuri nangia</t>
  </si>
  <si>
    <t>Aprajita Mukherjee</t>
  </si>
  <si>
    <t>Pruthvi</t>
  </si>
  <si>
    <t>Chithra sundar</t>
  </si>
  <si>
    <t>Supriya P</t>
  </si>
  <si>
    <t>Jaishnaa kalatharan</t>
  </si>
  <si>
    <t>Sharp Mind</t>
  </si>
  <si>
    <t>Sujata Tete</t>
  </si>
  <si>
    <t>Manoj rajan</t>
  </si>
  <si>
    <t>Laxmi Negi</t>
  </si>
  <si>
    <t>Prince parmar</t>
  </si>
  <si>
    <t>Nikhil chauhan</t>
  </si>
  <si>
    <t>Ajay panampet</t>
  </si>
  <si>
    <t>Pratham Shah</t>
  </si>
  <si>
    <t>K. A.</t>
  </si>
  <si>
    <t>Preeti P</t>
  </si>
  <si>
    <t>bhavna gupta</t>
  </si>
  <si>
    <t>Monika Mukherjee</t>
  </si>
  <si>
    <t>Kartik balwan</t>
  </si>
  <si>
    <t>Ayushi Jain</t>
  </si>
  <si>
    <t>Ishaan gupta</t>
  </si>
  <si>
    <t>OmKar Jagtap</t>
  </si>
  <si>
    <t>Manish Kataria</t>
  </si>
  <si>
    <t>Faizan Sheikh</t>
  </si>
  <si>
    <t>Rakesh ramakrishna</t>
  </si>
  <si>
    <t>Nandini b</t>
  </si>
  <si>
    <t>Gopa bezboruah</t>
  </si>
  <si>
    <t>dhiraj das</t>
  </si>
  <si>
    <t>Khyati mehta</t>
  </si>
  <si>
    <t>Praroop Trivedi</t>
  </si>
  <si>
    <t>Anasuya</t>
  </si>
  <si>
    <t>Vaishnavi omprakash jadhav</t>
  </si>
  <si>
    <t>Manav Jhaveri</t>
  </si>
  <si>
    <t>Pratibha vyas</t>
  </si>
  <si>
    <t>Shadab Ahmad</t>
  </si>
  <si>
    <t>Ankit Kumar</t>
  </si>
  <si>
    <t>Pallavi gupta</t>
  </si>
  <si>
    <t>kundan babu</t>
  </si>
  <si>
    <t>jahnavee theeda</t>
  </si>
  <si>
    <t>Bharathi v</t>
  </si>
  <si>
    <t>kirti</t>
  </si>
  <si>
    <t>Bhupendra dubey</t>
  </si>
  <si>
    <t>Sachin prasad maharana</t>
  </si>
  <si>
    <t>Deb sikder</t>
  </si>
  <si>
    <t>Raveena mattu</t>
  </si>
  <si>
    <t>Nilesh keshri</t>
  </si>
  <si>
    <t>Chiya jha</t>
  </si>
  <si>
    <t>Pratyush dhiman</t>
  </si>
  <si>
    <t>Aman</t>
  </si>
  <si>
    <t>Op godara</t>
  </si>
  <si>
    <t>Prachi pramod khare</t>
  </si>
  <si>
    <t>Tejal tapsi</t>
  </si>
  <si>
    <t>Sunny lalwani</t>
  </si>
  <si>
    <t>hiya meena</t>
  </si>
  <si>
    <t>Umar Abdul Rahim</t>
  </si>
  <si>
    <t>Satyendra Chauhan</t>
  </si>
  <si>
    <t>Mukund Mane</t>
  </si>
  <si>
    <t>Priya Patel</t>
  </si>
  <si>
    <t>Annu bhati</t>
  </si>
  <si>
    <t>Maggii</t>
  </si>
  <si>
    <t>Sakshi Balde</t>
  </si>
  <si>
    <t>Kanchan Gusain</t>
  </si>
  <si>
    <t>Muskan Nagdev</t>
  </si>
  <si>
    <t>Abhishek singh</t>
  </si>
  <si>
    <t>Anjali Chaudhary</t>
  </si>
  <si>
    <t>Anoop</t>
  </si>
  <si>
    <t>harshan pasamalar</t>
  </si>
  <si>
    <t>Jatin malhotra photography</t>
  </si>
  <si>
    <t>pradeep vatturi</t>
  </si>
  <si>
    <t>Udit raj</t>
  </si>
  <si>
    <t>Guru prasad b</t>
  </si>
  <si>
    <t>Rohini</t>
  </si>
  <si>
    <t>Simranjit Singh Simar</t>
  </si>
  <si>
    <t>Prince madheshiya</t>
  </si>
  <si>
    <t>safaru kader</t>
  </si>
  <si>
    <t>Tanuja halder</t>
  </si>
  <si>
    <t>UK</t>
  </si>
  <si>
    <t>Leshani mehra</t>
  </si>
  <si>
    <t>Prince varun</t>
  </si>
  <si>
    <t>Tanvi mhatre</t>
  </si>
  <si>
    <t>Shruti Patil</t>
  </si>
  <si>
    <t>Raima paul</t>
  </si>
  <si>
    <t>Nikhil dhingaun</t>
  </si>
  <si>
    <t>Soham p. mungikar</t>
  </si>
  <si>
    <t>Amaresh Singh</t>
  </si>
  <si>
    <t>Abhishek kumar sharma</t>
  </si>
  <si>
    <t>Rupali Mahla</t>
  </si>
  <si>
    <t>Kawya pandey</t>
  </si>
  <si>
    <t>Swati pushkar</t>
  </si>
  <si>
    <t>Vidhi maru</t>
  </si>
  <si>
    <t>Saumik Dandapat</t>
  </si>
  <si>
    <t>Sahil Gupta</t>
  </si>
  <si>
    <t>Vaibhav pandit</t>
  </si>
  <si>
    <t>SURAJ H B</t>
  </si>
  <si>
    <t>Poonam hiranandani</t>
  </si>
  <si>
    <t>Amit Kumar Tiwari</t>
  </si>
  <si>
    <t>Thilaka</t>
  </si>
  <si>
    <t>Archna Sudarshan</t>
  </si>
  <si>
    <t>Sandhya rajan</t>
  </si>
  <si>
    <t>Vanshita panchal</t>
  </si>
  <si>
    <t>Kruti Rana</t>
  </si>
  <si>
    <t>Rahul singh</t>
  </si>
  <si>
    <t>Vanshika Thakur</t>
  </si>
  <si>
    <t>Parul mourya</t>
  </si>
  <si>
    <t>Rohit sinha</t>
  </si>
  <si>
    <t>Krishan singh bora</t>
  </si>
  <si>
    <t>Sharad Singhal</t>
  </si>
  <si>
    <t>Freddie</t>
  </si>
  <si>
    <t>Nehaarica</t>
  </si>
  <si>
    <t>Rohit mohan marchande</t>
  </si>
  <si>
    <t>Anuradha shukla</t>
  </si>
  <si>
    <t>Kamaljeet kaur</t>
  </si>
  <si>
    <t>Sujit Jena</t>
  </si>
  <si>
    <t>Aditya Jayram Phulsundar</t>
  </si>
  <si>
    <t>Nimesh  Chand</t>
  </si>
  <si>
    <t>prem kumar</t>
  </si>
  <si>
    <t>Shreya sarkar</t>
  </si>
  <si>
    <t>Karsang Nini</t>
  </si>
  <si>
    <t>Poonam patel</t>
  </si>
  <si>
    <t>gowtham ss</t>
  </si>
  <si>
    <t>Aman Kumar</t>
  </si>
  <si>
    <t>Deepanshi Ashri</t>
  </si>
  <si>
    <t>Sunil M</t>
  </si>
  <si>
    <t>Shoghi Bagul</t>
  </si>
  <si>
    <t>Gaurav nawathey</t>
  </si>
  <si>
    <t>Abhijit Jha</t>
  </si>
  <si>
    <t>Abbas Valinabu</t>
  </si>
  <si>
    <t>Prasad Giri</t>
  </si>
  <si>
    <t>Parthraj ramlavat</t>
  </si>
  <si>
    <t>imran nyaz</t>
  </si>
  <si>
    <t>Ananyaa Bhattacharya</t>
  </si>
  <si>
    <t>Amisha</t>
  </si>
  <si>
    <t>Christina</t>
  </si>
  <si>
    <t>Simran isha</t>
  </si>
  <si>
    <t>Jayveer sikarwar</t>
  </si>
  <si>
    <t>ramesh biradar</t>
  </si>
  <si>
    <t>Abhisheel das</t>
  </si>
  <si>
    <t>Ayush</t>
  </si>
  <si>
    <t>no hope</t>
  </si>
  <si>
    <t>Rajnish Prajapati</t>
  </si>
  <si>
    <t>SOHAIL AAJAM</t>
  </si>
  <si>
    <t>Prince Oza</t>
  </si>
  <si>
    <t>Krati R</t>
  </si>
  <si>
    <t>Abhinav patel</t>
  </si>
  <si>
    <t>Kishan</t>
  </si>
  <si>
    <t>Lawani borgohain</t>
  </si>
  <si>
    <t>Nehal Gangwal</t>
  </si>
  <si>
    <t>Dhirendra D</t>
  </si>
  <si>
    <t>Vaishnabi patel</t>
  </si>
  <si>
    <t>Harshitha k</t>
  </si>
  <si>
    <t>Thirunavukkarasu</t>
  </si>
  <si>
    <t>Naman B</t>
  </si>
  <si>
    <t>prudhvirajchukka</t>
  </si>
  <si>
    <t>Sujoy Sarkar</t>
  </si>
  <si>
    <t>Shyam sasi kumar</t>
  </si>
  <si>
    <t>prasad vijayrao bhosale</t>
  </si>
  <si>
    <t>Shiv yadav</t>
  </si>
  <si>
    <t>manoj</t>
  </si>
  <si>
    <t>Tarun Reddi</t>
  </si>
  <si>
    <t>Shubham darshale</t>
  </si>
  <si>
    <t>Adarsh Adhi</t>
  </si>
  <si>
    <t>Ameer Sohail</t>
  </si>
  <si>
    <t>Chandan shetty</t>
  </si>
  <si>
    <t>Jay singh rajput banna</t>
  </si>
  <si>
    <t>Franklin j</t>
  </si>
  <si>
    <t>Vinaya balakrishnan</t>
  </si>
  <si>
    <t>Chitra R</t>
  </si>
  <si>
    <t>Aditya Yadav</t>
  </si>
  <si>
    <t>Vita nama</t>
  </si>
  <si>
    <t>Meghal shah</t>
  </si>
  <si>
    <t>Mehul mehta</t>
  </si>
  <si>
    <t>🅴ⓡ   🅰ⓥⓐⓓⓗⓤⓣⓗ</t>
  </si>
  <si>
    <t>Madhura r gurjar</t>
  </si>
  <si>
    <t>Dr m z ahmad</t>
  </si>
  <si>
    <t>Payal mandal</t>
  </si>
  <si>
    <t>Megha Batra</t>
  </si>
  <si>
    <t>Sanātanī</t>
  </si>
  <si>
    <t>Rajeev varma</t>
  </si>
  <si>
    <t>Mihir kanti roy</t>
  </si>
  <si>
    <t>sumeet dhawan</t>
  </si>
  <si>
    <t>Chitliv Kaur</t>
  </si>
  <si>
    <t>Darpan Datta</t>
  </si>
  <si>
    <t>sony Jacob</t>
  </si>
  <si>
    <t>Radhakrishna</t>
  </si>
  <si>
    <t>Bharat divya</t>
  </si>
  <si>
    <t>Raman</t>
  </si>
  <si>
    <t>Yunesh</t>
  </si>
  <si>
    <t>Shreya chopda</t>
  </si>
  <si>
    <t>Aditi mohapatra</t>
  </si>
  <si>
    <t>Ravi chawat</t>
  </si>
  <si>
    <t>Pulkit sankhla</t>
  </si>
  <si>
    <t>V L Ganesh Phani Kumar</t>
  </si>
  <si>
    <t>Mohd mehraj</t>
  </si>
  <si>
    <t>Roopak</t>
  </si>
  <si>
    <t>Poorni bubloo</t>
  </si>
  <si>
    <t>Aman vashist</t>
  </si>
  <si>
    <t>My self sudipto sahu</t>
  </si>
  <si>
    <t>Kedar jivanrao potdar</t>
  </si>
  <si>
    <t>R Sridhar</t>
  </si>
  <si>
    <t>Sudham chandwani</t>
  </si>
  <si>
    <t>Naseer dar</t>
  </si>
  <si>
    <t>Hemanthkumar jitta</t>
  </si>
  <si>
    <t>Ahmadul kabeer AT</t>
  </si>
  <si>
    <t>Siddhita patel</t>
  </si>
  <si>
    <t>Maryam Nawaz</t>
  </si>
  <si>
    <t>kaustubh khandelwal</t>
  </si>
  <si>
    <t>Saumya Singh</t>
  </si>
  <si>
    <t>Ekta kandhari ratra</t>
  </si>
  <si>
    <t>K. arthi</t>
  </si>
  <si>
    <t>Senthil raj</t>
  </si>
  <si>
    <t>MUHAMMED BAVA KH</t>
  </si>
  <si>
    <t>Mrs. bhavna rajeev jha</t>
  </si>
  <si>
    <t>Pooja Parashar</t>
  </si>
  <si>
    <t>Kushagra Hatwal</t>
  </si>
  <si>
    <t>Namburi nagendra babu</t>
  </si>
  <si>
    <t>Shubham Sureka</t>
  </si>
  <si>
    <t>Kob</t>
  </si>
  <si>
    <t>Akshaya padma varshini</t>
  </si>
  <si>
    <t>Mona Harjai</t>
  </si>
  <si>
    <t>Supriya Laddu</t>
  </si>
  <si>
    <t>rama gummalla</t>
  </si>
  <si>
    <t>Vikraman Sridharan</t>
  </si>
  <si>
    <t>Sindhu dsouza</t>
  </si>
  <si>
    <t>Neha patil</t>
  </si>
  <si>
    <t>FareenaVbloGs Nature Home Garden</t>
  </si>
  <si>
    <t>Lilit m</t>
  </si>
  <si>
    <t>Shiv Mohan</t>
  </si>
  <si>
    <t>Shruti Bankapur</t>
  </si>
  <si>
    <t>MAnnapurna</t>
  </si>
  <si>
    <t>PriscillaJoseph</t>
  </si>
  <si>
    <t>Kalyani Nair</t>
  </si>
  <si>
    <t>Adesh kumar</t>
  </si>
  <si>
    <t>Ankur gautam</t>
  </si>
  <si>
    <t>Priti sheth</t>
  </si>
  <si>
    <t>Venkatesh javalgeri</t>
  </si>
  <si>
    <t>Aniket deokar</t>
  </si>
  <si>
    <t>Manik demla</t>
  </si>
  <si>
    <t>Dr.sakshi walker</t>
  </si>
  <si>
    <t>Happy Plant Mama</t>
  </si>
  <si>
    <t>Jigisha Nitin Solanki</t>
  </si>
  <si>
    <t>Saurabh Sengupta</t>
  </si>
  <si>
    <t>Bhargavi Bandi</t>
  </si>
  <si>
    <t>Garima khandelwal</t>
  </si>
  <si>
    <t>Leila Sandra</t>
  </si>
  <si>
    <t>Chetna Jha</t>
  </si>
  <si>
    <t>Vimal Arora</t>
  </si>
  <si>
    <t>Radhika Gujjula</t>
  </si>
  <si>
    <t>Arvind Toshniwal</t>
  </si>
  <si>
    <t>Neha Mishra</t>
  </si>
  <si>
    <t>Mahathi Nama</t>
  </si>
  <si>
    <t>Sindhu Stephen</t>
  </si>
  <si>
    <t>Lê hải</t>
  </si>
  <si>
    <t>Komal tirthani</t>
  </si>
  <si>
    <t>Yashi sharma</t>
  </si>
  <si>
    <t>vivek Ahuja</t>
  </si>
  <si>
    <t>Pyush</t>
  </si>
  <si>
    <t>Sunith Samdaria</t>
  </si>
  <si>
    <t>Samyak Jain</t>
  </si>
  <si>
    <t>Monisha Akshaya</t>
  </si>
  <si>
    <t>Hari Krishna CM</t>
  </si>
  <si>
    <t>Kavita rudagi</t>
  </si>
  <si>
    <t>Mamta Jain</t>
  </si>
  <si>
    <t>Bonney</t>
  </si>
  <si>
    <t>Priti Charate Gawande</t>
  </si>
  <si>
    <t>Kriti m</t>
  </si>
  <si>
    <t>Amitt Chawla</t>
  </si>
  <si>
    <t>Aneesh K Bhat</t>
  </si>
  <si>
    <t>Gayathri</t>
  </si>
  <si>
    <t>Divyansh Raj</t>
  </si>
  <si>
    <t>Ketan</t>
  </si>
  <si>
    <t>Sanjutha ramesh</t>
  </si>
  <si>
    <t>Purshottam Naik</t>
  </si>
  <si>
    <t>Ameet</t>
  </si>
  <si>
    <t>Piyush Jain</t>
  </si>
  <si>
    <t>Pavan m l</t>
  </si>
  <si>
    <t>Pallavi yogesh</t>
  </si>
  <si>
    <t>Aren Pongen</t>
  </si>
  <si>
    <t>Komal kenia</t>
  </si>
  <si>
    <t>Aarti pradhan</t>
  </si>
  <si>
    <t>Satyam Kr</t>
  </si>
  <si>
    <t>Carol mary noronha</t>
  </si>
  <si>
    <t>sivakami</t>
  </si>
  <si>
    <t>shwetha s m</t>
  </si>
  <si>
    <t>Shweta Raju Ghategasti</t>
  </si>
  <si>
    <t>Geeta Yadav</t>
  </si>
  <si>
    <t>prithvi babu</t>
  </si>
  <si>
    <t>Padmaja</t>
  </si>
  <si>
    <t>Barkha allen</t>
  </si>
  <si>
    <t>Pratyusha</t>
  </si>
  <si>
    <t>AFSHA SHAIKH</t>
  </si>
  <si>
    <t>Mohsin Ahmed</t>
  </si>
  <si>
    <t>Parikshit taksande</t>
  </si>
  <si>
    <t>radha kankarwal</t>
  </si>
  <si>
    <t>Ankita jaiswal</t>
  </si>
  <si>
    <t>Dr Ranjani Deshpande</t>
  </si>
  <si>
    <t>Tharunya Sundaram</t>
  </si>
  <si>
    <t>Apsara Pagarkar</t>
  </si>
  <si>
    <t>Sancho mascarenhas</t>
  </si>
  <si>
    <t>Sandhya mattani</t>
  </si>
  <si>
    <t>suchit patil</t>
  </si>
  <si>
    <t>Shweta Singh</t>
  </si>
  <si>
    <t>Neha Gupta</t>
  </si>
  <si>
    <t>Prem jain</t>
  </si>
  <si>
    <t>saudur rahman</t>
  </si>
  <si>
    <t>Punit Jain</t>
  </si>
  <si>
    <t>Navjot Singh Sandhu</t>
  </si>
  <si>
    <t>JENDA DEEPAK</t>
  </si>
  <si>
    <t>Ankit kaushal</t>
  </si>
  <si>
    <t>imran pasha</t>
  </si>
  <si>
    <t>mohit prajapati</t>
  </si>
  <si>
    <t>saiteja</t>
  </si>
  <si>
    <t>shreyangi rane</t>
  </si>
  <si>
    <t>Prashant prajapati</t>
  </si>
  <si>
    <t>mubashir zargar</t>
  </si>
  <si>
    <t>AU1048 Riya Bhadouria</t>
  </si>
  <si>
    <t>bably</t>
  </si>
  <si>
    <t>Ravindra</t>
  </si>
  <si>
    <t>Sankalp Mittal</t>
  </si>
  <si>
    <t>janmejay paleiofficial</t>
  </si>
  <si>
    <t>Teerthraj kate</t>
  </si>
  <si>
    <t>Arpit Tiwari</t>
  </si>
  <si>
    <t>Ankyy</t>
  </si>
  <si>
    <t>G. sathish</t>
  </si>
  <si>
    <t>Abhi</t>
  </si>
  <si>
    <t>Jayshrikrishna Anand</t>
  </si>
  <si>
    <t>vibhuti sharma</t>
  </si>
  <si>
    <t>Arpit Dubey</t>
  </si>
  <si>
    <t>Ben Rathore</t>
  </si>
  <si>
    <t>Romika Sharma</t>
  </si>
  <si>
    <t>Pranit Bandre</t>
  </si>
  <si>
    <t>Kirti Chopra</t>
  </si>
  <si>
    <t>Gaurav kalal</t>
  </si>
  <si>
    <t>Jasmeet Kaur</t>
  </si>
  <si>
    <t>Phanindra Choudhury</t>
  </si>
  <si>
    <t>sahil sharma</t>
  </si>
  <si>
    <t>Rohit Kumar</t>
  </si>
  <si>
    <t>MD SHAHNAWAZ AHMED</t>
  </si>
  <si>
    <t>Pramod Patil</t>
  </si>
  <si>
    <t>Mayank Malik</t>
  </si>
  <si>
    <t>PriyaTuteja</t>
  </si>
  <si>
    <t>Omprakash utaha</t>
  </si>
  <si>
    <t>Sanjiv Upadhyay</t>
  </si>
  <si>
    <t>sneha minz</t>
  </si>
  <si>
    <t>Nancy Joshi</t>
  </si>
  <si>
    <t>Aditya saha</t>
  </si>
  <si>
    <t>Dhanashree</t>
  </si>
  <si>
    <t>Harshita Khandelwal</t>
  </si>
  <si>
    <t>Dilip saini</t>
  </si>
  <si>
    <t>Sanket Ravindra Avhad</t>
  </si>
  <si>
    <t>Vishwwa mohan singh</t>
  </si>
  <si>
    <t>sourab chelloju</t>
  </si>
  <si>
    <t>RAHUL NAGAR</t>
  </si>
  <si>
    <t>Manohar  Malasamudra</t>
  </si>
  <si>
    <t>Meenal Khare</t>
  </si>
  <si>
    <t>Satish Rajpurohit</t>
  </si>
  <si>
    <t>Monica Seles Allampalli</t>
  </si>
  <si>
    <t>Chandar Soni</t>
  </si>
  <si>
    <t>Gurjeet Kaur</t>
  </si>
  <si>
    <t>Dhruw Kumar</t>
  </si>
  <si>
    <t>Mohit Goswami</t>
  </si>
  <si>
    <t>Avinash Kumar</t>
  </si>
  <si>
    <t>Kritika Dogra</t>
  </si>
  <si>
    <t>Shubham Kailas Pansare</t>
  </si>
  <si>
    <t>Ashish balmiki</t>
  </si>
  <si>
    <t>Lovely Singh</t>
  </si>
  <si>
    <t>Bhavik Narigara</t>
  </si>
  <si>
    <t>Arpan</t>
  </si>
  <si>
    <t>Vivek tyagi</t>
  </si>
  <si>
    <t>Riya Kate</t>
  </si>
  <si>
    <t>Vijay tukde</t>
  </si>
  <si>
    <t>nk sen</t>
  </si>
  <si>
    <t>Srikanth Goud</t>
  </si>
  <si>
    <t>Being Devesh</t>
  </si>
  <si>
    <t>chhaya pandey</t>
  </si>
  <si>
    <t>sriram</t>
  </si>
  <si>
    <t>Vaibhav Jain</t>
  </si>
  <si>
    <t>Pawan kumar tripathi</t>
  </si>
  <si>
    <t>simran Singh</t>
  </si>
  <si>
    <t>harshit vats</t>
  </si>
  <si>
    <t>Vanishree Rao</t>
  </si>
  <si>
    <t>sanyogeeta kalgutkar</t>
  </si>
  <si>
    <t>Abhishek Kumar</t>
  </si>
  <si>
    <t>Narendra singh Dodiya</t>
  </si>
  <si>
    <t>Nilesh Panchal</t>
  </si>
  <si>
    <t>DURGASI BHARGAV</t>
  </si>
  <si>
    <t>Rohit Pandey</t>
  </si>
  <si>
    <t>Ashish Belwal</t>
  </si>
  <si>
    <t>Ganesh GG</t>
  </si>
  <si>
    <t>Anish Kumar</t>
  </si>
  <si>
    <t>Reetika Mishra</t>
  </si>
  <si>
    <t>Vruddhi Panchal</t>
  </si>
  <si>
    <t>Manish</t>
  </si>
  <si>
    <t>Malaya Chandan Behera</t>
  </si>
  <si>
    <t>Gopi Sahane</t>
  </si>
  <si>
    <t>varun mahale</t>
  </si>
  <si>
    <t>Jamalpur Mahesh Kumar</t>
  </si>
  <si>
    <t>Suraj Sumer</t>
  </si>
  <si>
    <t>deepkamal puware</t>
  </si>
  <si>
    <t>Chinmaya Mallick</t>
  </si>
  <si>
    <t>Devendra verma</t>
  </si>
  <si>
    <t>Onkar Jadhav</t>
  </si>
  <si>
    <t>gaurav singh</t>
  </si>
  <si>
    <t>JAIN NEHA</t>
  </si>
  <si>
    <t>Sushant Bodke</t>
  </si>
  <si>
    <t>Anita bisnal</t>
  </si>
  <si>
    <t>AnilNaik</t>
  </si>
  <si>
    <t>Raghava Jagannatham</t>
  </si>
  <si>
    <t>Mohammed Jameel</t>
  </si>
  <si>
    <t>Bhaskar rajagopal</t>
  </si>
  <si>
    <t>Viriventi Harshitha</t>
  </si>
  <si>
    <t>Ayush Prajapati</t>
  </si>
  <si>
    <t>Sarfaraz khan</t>
  </si>
  <si>
    <t>Hemant Kakde</t>
  </si>
  <si>
    <t>deepak</t>
  </si>
  <si>
    <t>Ar.Akriti Sharma</t>
  </si>
  <si>
    <t>Jayashree Panda</t>
  </si>
  <si>
    <t>Iqbal khan</t>
  </si>
  <si>
    <t>aaryan patil</t>
  </si>
  <si>
    <t>Giriraj Singh</t>
  </si>
  <si>
    <t>A_ wayfarer</t>
  </si>
  <si>
    <t>Aditya vats</t>
  </si>
  <si>
    <t>Honish</t>
  </si>
  <si>
    <t>Abhishek Jaiswal</t>
  </si>
  <si>
    <t>Runal Pawar</t>
  </si>
  <si>
    <t>komal</t>
  </si>
  <si>
    <t>Harsh Yadav</t>
  </si>
  <si>
    <t>Prabodhan Tukaram Masaye</t>
  </si>
  <si>
    <t>Rushikesh Dipak Sapkale</t>
  </si>
  <si>
    <t>ATUL Dubey</t>
  </si>
  <si>
    <t>akshay barvaliya</t>
  </si>
  <si>
    <t>disha saini</t>
  </si>
  <si>
    <t>Himani Chauhan</t>
  </si>
  <si>
    <t>Smriti Gupta</t>
  </si>
  <si>
    <t>Vikas v andhale</t>
  </si>
  <si>
    <t>Drashti tanna</t>
  </si>
  <si>
    <t>Luke De Souza</t>
  </si>
  <si>
    <t>Vivek Nathwani</t>
  </si>
  <si>
    <t>Suchi Vora</t>
  </si>
  <si>
    <t>Prerana pradeep gawde</t>
  </si>
  <si>
    <t>Yugantika</t>
  </si>
  <si>
    <t>Ajithaa</t>
  </si>
  <si>
    <t>minnuKej</t>
  </si>
  <si>
    <t>shraddha suman</t>
  </si>
  <si>
    <t>Arun gupta</t>
  </si>
  <si>
    <t>Snigdha sarkar</t>
  </si>
  <si>
    <t>Dhara Mehta</t>
  </si>
  <si>
    <t>Archita nanda</t>
  </si>
  <si>
    <t>Deepthy podiyan</t>
  </si>
  <si>
    <t>Prabhakar Gurumurthy</t>
  </si>
  <si>
    <t>Robert Bennet</t>
  </si>
  <si>
    <t>Mahesh Kumar</t>
  </si>
  <si>
    <t>Navdeep brar</t>
  </si>
  <si>
    <t>Sonu Pincha</t>
  </si>
  <si>
    <t>Shirshendu Bharadwaj</t>
  </si>
  <si>
    <t>Ayushi pandey</t>
  </si>
  <si>
    <t>Hrithik</t>
  </si>
  <si>
    <t>Asim mathur</t>
  </si>
  <si>
    <t>Richa dwivedi</t>
  </si>
  <si>
    <t>Chandana bhattacharyya</t>
  </si>
  <si>
    <t>Srrinivas Janapati</t>
  </si>
  <si>
    <t>sagar thoria</t>
  </si>
  <si>
    <t>Mehak Mittal</t>
  </si>
  <si>
    <t>Dr.Devendra Prajapati</t>
  </si>
  <si>
    <t>Vipin Das</t>
  </si>
  <si>
    <t>Anjali</t>
  </si>
  <si>
    <t>Ammara Sadaf</t>
  </si>
  <si>
    <t>virat Kapoor</t>
  </si>
  <si>
    <t>sudarsan karasudula</t>
  </si>
  <si>
    <t>Sidharth Rath</t>
  </si>
  <si>
    <t>Jishnu Nambiar</t>
  </si>
  <si>
    <t>Samira</t>
  </si>
  <si>
    <t>Janhavi Yadwad</t>
  </si>
  <si>
    <t>Jyotsna P Anjankar</t>
  </si>
  <si>
    <t>Shantna</t>
  </si>
  <si>
    <t>Yogesh Sharma</t>
  </si>
  <si>
    <t>Fareed Ali Khan</t>
  </si>
  <si>
    <t>kantamneni sravani</t>
  </si>
  <si>
    <t>melba Mendonca</t>
  </si>
  <si>
    <t>Dakshita Sehgal - 381</t>
  </si>
  <si>
    <t>Anvesha Singh</t>
  </si>
  <si>
    <t>Serene kaur</t>
  </si>
  <si>
    <t>Neda Siraj</t>
  </si>
  <si>
    <t>Vinod</t>
  </si>
  <si>
    <t>Dawdling Janvi</t>
  </si>
  <si>
    <t>Adya Anurag Das</t>
  </si>
  <si>
    <t>Kanchana Jayan</t>
  </si>
  <si>
    <t>Mir</t>
  </si>
  <si>
    <t>Yasanth babu rayarapu</t>
  </si>
  <si>
    <t>Divyasri</t>
  </si>
  <si>
    <t>Aryan Seikh</t>
  </si>
  <si>
    <t>Rutuja Mukane</t>
  </si>
  <si>
    <t>rashu mittal</t>
  </si>
  <si>
    <t>Srijith Ravindran</t>
  </si>
  <si>
    <t>Chethna pabbu</t>
  </si>
  <si>
    <t>Nisha Pearl</t>
  </si>
  <si>
    <t>Saisree ballarapu</t>
  </si>
  <si>
    <t>Ishan Ishan</t>
  </si>
  <si>
    <t>simran maheshwari</t>
  </si>
  <si>
    <t>Zubair khan</t>
  </si>
  <si>
    <t>Abhishek Gaikwad</t>
  </si>
  <si>
    <t>Zulfikar ahmed</t>
  </si>
  <si>
    <t>Sukannya</t>
  </si>
  <si>
    <t>Poorna Mahalingam</t>
  </si>
  <si>
    <t>Jaay</t>
  </si>
  <si>
    <t>Jayashree</t>
  </si>
  <si>
    <t>Saif sayed</t>
  </si>
  <si>
    <t>bodapati laxmi manasa</t>
  </si>
  <si>
    <t>Eliza dutta</t>
  </si>
  <si>
    <t>Sukanya mishra</t>
  </si>
  <si>
    <t>kumar</t>
  </si>
  <si>
    <t>Mitul sarkar</t>
  </si>
  <si>
    <t>Surjeet singh</t>
  </si>
  <si>
    <t>Ashok Arumugam</t>
  </si>
  <si>
    <t>Asish kumar mishra</t>
  </si>
  <si>
    <t>Phebe Thomas</t>
  </si>
  <si>
    <t>Bushra khan</t>
  </si>
  <si>
    <t>Sanjeev s nair</t>
  </si>
  <si>
    <t>Soujannya diwan</t>
  </si>
  <si>
    <t>Hari prasad</t>
  </si>
  <si>
    <t>Mehak Sharma</t>
  </si>
  <si>
    <t>harman benipal</t>
  </si>
  <si>
    <t>Surabhi rana</t>
  </si>
  <si>
    <t>Lalit kumar singh</t>
  </si>
  <si>
    <t>Aakansha Tandon</t>
  </si>
  <si>
    <t>Aashi Jain</t>
  </si>
  <si>
    <t>Abhilasha phule</t>
  </si>
  <si>
    <t>Abhishek kumar pathak</t>
  </si>
  <si>
    <t>Abu Talha Sohail</t>
  </si>
  <si>
    <t>Aditi bhadury</t>
  </si>
  <si>
    <t>Aditi sharma</t>
  </si>
  <si>
    <t>Aditya Sanyal</t>
  </si>
  <si>
    <t>AeSthetic Writer</t>
  </si>
  <si>
    <t>Ajay chaturvedi</t>
  </si>
  <si>
    <t>Ajesh kumar</t>
  </si>
  <si>
    <t>Ajit singh</t>
  </si>
  <si>
    <t>Akash agarwal</t>
  </si>
  <si>
    <t>Akshay sharma</t>
  </si>
  <si>
    <t>Alisha ahmad</t>
  </si>
  <si>
    <t>Amey kavathekar</t>
  </si>
  <si>
    <t>Amit masih</t>
  </si>
  <si>
    <t>Amol Joshi</t>
  </si>
  <si>
    <t>Anil reddu</t>
  </si>
  <si>
    <t>Ankit Ishan Verma</t>
  </si>
  <si>
    <t>Ankit mondal</t>
  </si>
  <si>
    <t>ankita behera</t>
  </si>
  <si>
    <t>Ankita Das</t>
  </si>
  <si>
    <t>Ankith anil nair</t>
  </si>
  <si>
    <t>Anmol agnihotri</t>
  </si>
  <si>
    <t>Anonymous</t>
  </si>
  <si>
    <t>Anshu chaudhary</t>
  </si>
  <si>
    <t>Aparna premraj</t>
  </si>
  <si>
    <t>Araja santosh</t>
  </si>
  <si>
    <t>Arnaba Saha</t>
  </si>
  <si>
    <t>Arpan prasad rakshit</t>
  </si>
  <si>
    <t>ARPIT SHRIVASTAVA</t>
  </si>
  <si>
    <t>Arpita Wadhawan</t>
  </si>
  <si>
    <t>Arpitha Das</t>
  </si>
  <si>
    <t>Aruna</t>
  </si>
  <si>
    <t>Arya dixit</t>
  </si>
  <si>
    <t>ARYAMA SINGH RAJPUT</t>
  </si>
  <si>
    <t>Ashish Gurav</t>
  </si>
  <si>
    <t>Ashrith Shetty</t>
  </si>
  <si>
    <t>Ashwani Acharya</t>
  </si>
  <si>
    <t>Babbithaa</t>
  </si>
  <si>
    <t>Bharat sharan</t>
  </si>
  <si>
    <t>bhatera priyanka</t>
  </si>
  <si>
    <t>bhoomi parmar</t>
  </si>
  <si>
    <t>Bibhu samal</t>
  </si>
  <si>
    <t>chaitali thakur</t>
  </si>
  <si>
    <t>D arun prasad</t>
  </si>
  <si>
    <t>Dabholkar hiral</t>
  </si>
  <si>
    <t>Darshini a a</t>
  </si>
  <si>
    <t>Devi sen</t>
  </si>
  <si>
    <t>Dinkar Singh</t>
  </si>
  <si>
    <t>dipti david</t>
  </si>
  <si>
    <t>Divya Sagarika Majhi</t>
  </si>
  <si>
    <t>Dr. Kanika Tyagi</t>
  </si>
  <si>
    <t>Dr.anjana tiwari</t>
  </si>
  <si>
    <t>DURAIPANDY CHELLIAH</t>
  </si>
  <si>
    <t>Elvina Densy D</t>
  </si>
  <si>
    <t>Fathima Samreen</t>
  </si>
  <si>
    <t>Gokul</t>
  </si>
  <si>
    <t>Gunmeet muchhal</t>
  </si>
  <si>
    <t>Harikrishnan H</t>
  </si>
  <si>
    <t>Harsh verma</t>
  </si>
  <si>
    <t>Inchara</t>
  </si>
  <si>
    <t>Jasmine Sethi</t>
  </si>
  <si>
    <t>jaya prakash Pathagolusu</t>
  </si>
  <si>
    <t>Jeet Maniar</t>
  </si>
  <si>
    <t>Jyotsna dandotiya</t>
  </si>
  <si>
    <t>KamalSandhu</t>
  </si>
  <si>
    <t>Karishma C Rai</t>
  </si>
  <si>
    <t>Kartik vasisht</t>
  </si>
  <si>
    <t>Kavita</t>
  </si>
  <si>
    <t>Khushi Malhotra</t>
  </si>
  <si>
    <t>Komal kharat</t>
  </si>
  <si>
    <t>Krunika</t>
  </si>
  <si>
    <t>Kubra fathima</t>
  </si>
  <si>
    <t>Kunal jaitly</t>
  </si>
  <si>
    <t>Kunder akshay</t>
  </si>
  <si>
    <t>Kushagra Rastogi</t>
  </si>
  <si>
    <t>lopamudra nayak</t>
  </si>
  <si>
    <t>Madhu r padalaa</t>
  </si>
  <si>
    <t>Maglin Mandro. A</t>
  </si>
  <si>
    <t>ManojrajaMuralidharan</t>
  </si>
  <si>
    <t>Mansi Arora</t>
  </si>
  <si>
    <t>Manvinder Kaur</t>
  </si>
  <si>
    <t>Meenakshi manuja</t>
  </si>
  <si>
    <t>Mohammed sadique</t>
  </si>
  <si>
    <t>Mokkapati K S Sarath Chandra</t>
  </si>
  <si>
    <t>Molly Singh</t>
  </si>
  <si>
    <t>Mudassir Raza</t>
  </si>
  <si>
    <t>Mujahid Khan H A</t>
  </si>
  <si>
    <t>Nagraj Sambrani</t>
  </si>
  <si>
    <t>Najma Anjum</t>
  </si>
  <si>
    <t>Nandhini</t>
  </si>
  <si>
    <t>Nandini s prabhu</t>
  </si>
  <si>
    <t>Naveen nehru</t>
  </si>
  <si>
    <t>Nikhil Joshi</t>
  </si>
  <si>
    <t>Nimish parikh</t>
  </si>
  <si>
    <t>Nitin bhatia</t>
  </si>
  <si>
    <t>Nitin Gaikwad Official</t>
  </si>
  <si>
    <t>Nitu joseph</t>
  </si>
  <si>
    <t>Noori</t>
  </si>
  <si>
    <t>Ompriya rath</t>
  </si>
  <si>
    <t>Paramita</t>
  </si>
  <si>
    <t>Pavan Kumar Gk</t>
  </si>
  <si>
    <t>Pavan Madahavamurthy</t>
  </si>
  <si>
    <t>Pooja Dara</t>
  </si>
  <si>
    <t>Poonam malik</t>
  </si>
  <si>
    <t>Poulomi Bhattacharya</t>
  </si>
  <si>
    <t>Pragati Agarwal</t>
  </si>
  <si>
    <t>Prantika Samanta</t>
  </si>
  <si>
    <t>Prashant Kumar Singh</t>
  </si>
  <si>
    <t>Prashant tanna</t>
  </si>
  <si>
    <t>Prathamesh kamble</t>
  </si>
  <si>
    <t>Praveen bhatnagar</t>
  </si>
  <si>
    <t>Preeti shah</t>
  </si>
  <si>
    <t>Priti bhadra</t>
  </si>
  <si>
    <t>Priya Mangilal</t>
  </si>
  <si>
    <t>Pugazhenthi</t>
  </si>
  <si>
    <t>Puja Phukan</t>
  </si>
  <si>
    <t>Pushvinder Kumar</t>
  </si>
  <si>
    <t>raahul dubey</t>
  </si>
  <si>
    <t>Rahul Kumar</t>
  </si>
  <si>
    <t>Rahul luthra</t>
  </si>
  <si>
    <t>RAJEEV NAYAN PATHAK</t>
  </si>
  <si>
    <t>Rajinder soni</t>
  </si>
  <si>
    <t>Rama Priya Selvaraj</t>
  </si>
  <si>
    <t>Ramnath</t>
  </si>
  <si>
    <t>Rashika Moitra</t>
  </si>
  <si>
    <t>Ravinder kaur</t>
  </si>
  <si>
    <t>Renu Guna</t>
  </si>
  <si>
    <t>Reshma jacob</t>
  </si>
  <si>
    <t>Risha Khan</t>
  </si>
  <si>
    <t>Rithesh raj g</t>
  </si>
  <si>
    <t>Rohan kalonia</t>
  </si>
  <si>
    <t>s.rahmat</t>
  </si>
  <si>
    <t>Sai Siddha</t>
  </si>
  <si>
    <t>Sakshi Chander</t>
  </si>
  <si>
    <t>Sakshi rattan</t>
  </si>
  <si>
    <t>Salma thampi</t>
  </si>
  <si>
    <t>Sangita jain</t>
  </si>
  <si>
    <t>Satnam kaur</t>
  </si>
  <si>
    <t>Saurav Dixit</t>
  </si>
  <si>
    <t>Seema mishra</t>
  </si>
  <si>
    <t>shahabas</t>
  </si>
  <si>
    <t>Shailendra Vijayvergia</t>
  </si>
  <si>
    <t>Shaillesh</t>
  </si>
  <si>
    <t>Shalini Maurya</t>
  </si>
  <si>
    <t>Shashank Kumar Gupta</t>
  </si>
  <si>
    <t>Sheetal revankar</t>
  </si>
  <si>
    <t>Shefali singh</t>
  </si>
  <si>
    <t>Shibangi Das</t>
  </si>
  <si>
    <t>shilpa prabhakar</t>
  </si>
  <si>
    <t>Shivalika kant</t>
  </si>
  <si>
    <t>Shubhada pande</t>
  </si>
  <si>
    <t>Shweta K</t>
  </si>
  <si>
    <t>Shyamjith u</t>
  </si>
  <si>
    <t>SK Ganeshkumar</t>
  </si>
  <si>
    <t>Smita Mahto</t>
  </si>
  <si>
    <t>Sn harshita</t>
  </si>
  <si>
    <t>Sneha Ritu</t>
  </si>
  <si>
    <t>SonalGhai</t>
  </si>
  <si>
    <t>Sounak Dey</t>
  </si>
  <si>
    <t>Sowrabha Lakshman</t>
  </si>
  <si>
    <t>Sowrabha mahesh</t>
  </si>
  <si>
    <t>Sreya Kalidindi</t>
  </si>
  <si>
    <t>Srishti Kujur</t>
  </si>
  <si>
    <t>Srishti singh</t>
  </si>
  <si>
    <t>Srishti Tomar</t>
  </si>
  <si>
    <t>Subhalaxmi Rout</t>
  </si>
  <si>
    <t>Suchismita ghoshal</t>
  </si>
  <si>
    <t>Sumit Karmakar</t>
  </si>
  <si>
    <t>Suseri fuchimoto</t>
  </si>
  <si>
    <t>Suvechha kar</t>
  </si>
  <si>
    <t>Swarnpriya Lakra</t>
  </si>
  <si>
    <t>Swati khandelwal</t>
  </si>
  <si>
    <t>Swikruty</t>
  </si>
  <si>
    <t>Tanveen</t>
  </si>
  <si>
    <t>Tarun Chauhan</t>
  </si>
  <si>
    <t>Tejashree Janorikar</t>
  </si>
  <si>
    <t>The writer witch</t>
  </si>
  <si>
    <t>Titas Ganguly</t>
  </si>
  <si>
    <t>Tripureswari</t>
  </si>
  <si>
    <t>trishita roy</t>
  </si>
  <si>
    <t>Uma Mukherjee</t>
  </si>
  <si>
    <t>Vaani dua</t>
  </si>
  <si>
    <t>Vaidyanathan ramasamy</t>
  </si>
  <si>
    <t>Varsha</t>
  </si>
  <si>
    <t>Varsha agarwal</t>
  </si>
  <si>
    <t>Varshaa Mohan</t>
  </si>
  <si>
    <t>Vedika Pawan</t>
  </si>
  <si>
    <t>Vidyashree PN</t>
  </si>
  <si>
    <t>vinita shinde</t>
  </si>
  <si>
    <t>viplove bhardwaj</t>
  </si>
  <si>
    <t>Vishakha tikekar</t>
  </si>
  <si>
    <t>Vishal dalve</t>
  </si>
  <si>
    <t>Yasodha viji</t>
  </si>
  <si>
    <t>Yogesh Patil</t>
  </si>
  <si>
    <t>zealot</t>
  </si>
  <si>
    <t>Subbu</t>
  </si>
  <si>
    <t>Veshakha gulati</t>
  </si>
  <si>
    <t>Vandana Singh</t>
  </si>
  <si>
    <t>Saurabhh Singh</t>
  </si>
  <si>
    <t>Shweta Verma</t>
  </si>
  <si>
    <t>Asha johnson</t>
  </si>
  <si>
    <t>Ankita gupta</t>
  </si>
  <si>
    <t>pooja rathore</t>
  </si>
  <si>
    <t>AkashKumar</t>
  </si>
  <si>
    <t>Abhilasha Shah</t>
  </si>
  <si>
    <t>Mahantesh</t>
  </si>
  <si>
    <t>Vipul rustagi</t>
  </si>
  <si>
    <t>Smita dubara</t>
  </si>
  <si>
    <t>Bharat Pethe</t>
  </si>
  <si>
    <t>SagarPandya</t>
  </si>
  <si>
    <t>Sudha Rao</t>
  </si>
  <si>
    <t>Vivek na</t>
  </si>
  <si>
    <t>Surendra Kumar</t>
  </si>
  <si>
    <t>Priyanka das</t>
  </si>
  <si>
    <t>Rahul nair</t>
  </si>
  <si>
    <t>Geeta raut</t>
  </si>
  <si>
    <t>Shirisha yadav</t>
  </si>
  <si>
    <t>Anshika rana</t>
  </si>
  <si>
    <t>Roopasrree</t>
  </si>
  <si>
    <t>Ramagopal N R</t>
  </si>
  <si>
    <t>rupsa ray</t>
  </si>
  <si>
    <t>Vismita chauhan</t>
  </si>
  <si>
    <t>Priya Upadhyay</t>
  </si>
  <si>
    <t>Purnima purohit</t>
  </si>
  <si>
    <t>Seshadri Rajagopalan</t>
  </si>
  <si>
    <t>Aman tiwari</t>
  </si>
  <si>
    <t>Subhav sharma</t>
  </si>
  <si>
    <t>Uma s nair</t>
  </si>
  <si>
    <t>Sindhu r</t>
  </si>
  <si>
    <t>Argha Pattanayak</t>
  </si>
  <si>
    <t>PRATIKSHA SINGH</t>
  </si>
  <si>
    <t>Nimish shah</t>
  </si>
  <si>
    <t>Anushka mishra</t>
  </si>
  <si>
    <t>Fareeda</t>
  </si>
  <si>
    <t>Prashant choudhary</t>
  </si>
  <si>
    <t>Neeeaj</t>
  </si>
  <si>
    <t>Md</t>
  </si>
  <si>
    <t>Meet jobanputra</t>
  </si>
  <si>
    <t>Santosh bayaluseeme raghunath</t>
  </si>
  <si>
    <t>Eira bothra</t>
  </si>
  <si>
    <t>Ankit Anurag</t>
  </si>
  <si>
    <t>Eve Sandeep Rokde</t>
  </si>
  <si>
    <t>Ganesh ashok borhade</t>
  </si>
  <si>
    <t>Ayan chatterjee</t>
  </si>
  <si>
    <t>Amarjit Singh</t>
  </si>
  <si>
    <t>Shraban dutta</t>
  </si>
  <si>
    <t>Dashrath koli</t>
  </si>
  <si>
    <t>Priyanka vohra</t>
  </si>
  <si>
    <t>Gurpreet pahuja</t>
  </si>
  <si>
    <t>Jaya laxmi</t>
  </si>
  <si>
    <t>Sanjay baxla</t>
  </si>
  <si>
    <t>Bimal raj</t>
  </si>
  <si>
    <t>Jyotsna Bhatnagar</t>
  </si>
  <si>
    <t>Vasudev shanbhag</t>
  </si>
  <si>
    <t>MEENA KARMAKAR</t>
  </si>
  <si>
    <t>Pallavi mallick</t>
  </si>
  <si>
    <t>Eva Ninan</t>
  </si>
  <si>
    <t>Delphine Fernandes</t>
  </si>
  <si>
    <t>Eva ninan</t>
  </si>
  <si>
    <t>Vivekanand Ila</t>
  </si>
  <si>
    <t>Yogeshwari Reddy</t>
  </si>
  <si>
    <t>Mallikharjunareddy Boreddy</t>
  </si>
  <si>
    <t>Shipra dwivedi</t>
  </si>
  <si>
    <t>Madhur Aggarwal</t>
  </si>
  <si>
    <t>Mallikarjuna Raju</t>
  </si>
  <si>
    <t>Akash Guruprasanna</t>
  </si>
  <si>
    <t>Preetisha</t>
  </si>
  <si>
    <t>Zil Patel</t>
  </si>
  <si>
    <t>Venkata seshaiah</t>
  </si>
  <si>
    <t>Mani choudhary</t>
  </si>
  <si>
    <t>Aniruddha Nag</t>
  </si>
  <si>
    <t>T S SRINIVASAN</t>
  </si>
  <si>
    <t>Sandeep M S</t>
  </si>
  <si>
    <t>Nittala yamini</t>
  </si>
  <si>
    <t>ramadevi</t>
  </si>
  <si>
    <t>Jaideep abichandani</t>
  </si>
  <si>
    <t>Yogini Laasya</t>
  </si>
  <si>
    <t>Vidhi Shah</t>
  </si>
  <si>
    <t>Anita Sapre</t>
  </si>
  <si>
    <t>Kitty</t>
  </si>
  <si>
    <t>Swapnil awasthi</t>
  </si>
  <si>
    <t>Neeta biswas</t>
  </si>
  <si>
    <t>niharika gupta</t>
  </si>
  <si>
    <t>Swami premananda</t>
  </si>
  <si>
    <t>Biswajit bage</t>
  </si>
  <si>
    <t>Nagarjun S.L</t>
  </si>
  <si>
    <t>Shreeya</t>
  </si>
  <si>
    <t>Amol Chitale</t>
  </si>
  <si>
    <t>Vijeta arlekar</t>
  </si>
  <si>
    <t>Sudhir Kumar</t>
  </si>
  <si>
    <t>manohar bhat</t>
  </si>
  <si>
    <t>Alagappan</t>
  </si>
  <si>
    <t>Swethadri s</t>
  </si>
  <si>
    <t>Dr sangeeta patil</t>
  </si>
  <si>
    <t>Nidhi sharma</t>
  </si>
  <si>
    <t>Preeti grover</t>
  </si>
  <si>
    <t>Ruchika agarwal</t>
  </si>
  <si>
    <t>R vidya sree</t>
  </si>
  <si>
    <t>Anisha Purswani</t>
  </si>
  <si>
    <t>Swabhika kanojia</t>
  </si>
  <si>
    <t>Haarrdika rajdev</t>
  </si>
  <si>
    <t>Thapaswi</t>
  </si>
  <si>
    <t>Komal kiran udhwani</t>
  </si>
  <si>
    <t>Naina agarwal malhotra</t>
  </si>
  <si>
    <t>Razia ali</t>
  </si>
  <si>
    <t>Tanussri sen</t>
  </si>
  <si>
    <t>Pallavi Tauro</t>
  </si>
  <si>
    <t>Shivani kaur popli</t>
  </si>
  <si>
    <t>Sapna singh</t>
  </si>
  <si>
    <t>AvanNRamya</t>
  </si>
  <si>
    <t>LAMYARASSIWALA</t>
  </si>
  <si>
    <t>Dr.rangoli tripathi (pt)</t>
  </si>
  <si>
    <t>Prathyusha botta</t>
  </si>
  <si>
    <t>Gayatri Singh</t>
  </si>
  <si>
    <t>Pratibha shinde</t>
  </si>
  <si>
    <t>Prerna reeves</t>
  </si>
  <si>
    <t>Himani rathore</t>
  </si>
  <si>
    <t>Pranay Arora</t>
  </si>
  <si>
    <t>Chiranjeevi Yadav</t>
  </si>
  <si>
    <t>Jyoti Sikder</t>
  </si>
  <si>
    <t>Shatrughan Dixit</t>
  </si>
  <si>
    <t>Chaitalee Advalkar</t>
  </si>
  <si>
    <t>Yash Choudhary</t>
  </si>
  <si>
    <t>Aditya Bansal</t>
  </si>
  <si>
    <t>Jitendra Kumar</t>
  </si>
  <si>
    <t>Rohit Phadnis</t>
  </si>
  <si>
    <t>Udhayashankhar vr</t>
  </si>
  <si>
    <t>apoorwa awasthi</t>
  </si>
  <si>
    <t>krishna jadhav</t>
  </si>
  <si>
    <t>Abhishek jha</t>
  </si>
  <si>
    <t>Beenaveni sandeep Yadav</t>
  </si>
  <si>
    <t>Adhirath pawar</t>
  </si>
  <si>
    <t>Manthan Mishra</t>
  </si>
  <si>
    <t>Balwan Bansal</t>
  </si>
  <si>
    <t>Shubhangi wasu</t>
  </si>
  <si>
    <t>Chirag Aggarwal</t>
  </si>
  <si>
    <t>Muzaina Tasneem</t>
  </si>
  <si>
    <t>Vishal Muralidharan</t>
  </si>
  <si>
    <t>Mayank jain</t>
  </si>
  <si>
    <t>Abhinav Ankit</t>
  </si>
  <si>
    <t>Jv suresh</t>
  </si>
  <si>
    <t>Rajasekhar</t>
  </si>
  <si>
    <t>jeetu lokwani</t>
  </si>
  <si>
    <t>SYED IMRAN</t>
  </si>
  <si>
    <t>Dolly Arora</t>
  </si>
  <si>
    <t>Rahul Yadav</t>
  </si>
  <si>
    <t>Susmita Kundu</t>
  </si>
  <si>
    <t>Sanket kondekar</t>
  </si>
  <si>
    <t>yerawar somesh</t>
  </si>
  <si>
    <t>Anusha km</t>
  </si>
  <si>
    <t>Hitesh Kalyani</t>
  </si>
  <si>
    <t>Mohita Rastogi</t>
  </si>
  <si>
    <t>shivam gaba</t>
  </si>
  <si>
    <t>Preeti trishna</t>
  </si>
  <si>
    <t>sandip kature</t>
  </si>
  <si>
    <t>Nevil Barai</t>
  </si>
  <si>
    <t>Deepak Jha</t>
  </si>
  <si>
    <t>Jivesh Bhutani</t>
  </si>
  <si>
    <t>Dr.murugan gurusamy</t>
  </si>
  <si>
    <t>Mohit Udhwani</t>
  </si>
  <si>
    <t>Sateesh govind</t>
  </si>
  <si>
    <t>harshit</t>
  </si>
  <si>
    <t>Golla venkata sudheer kumar</t>
  </si>
  <si>
    <t>Shourie</t>
  </si>
  <si>
    <t>Shubhi jain</t>
  </si>
  <si>
    <t>Harris</t>
  </si>
  <si>
    <t>Harsh Baldwa</t>
  </si>
  <si>
    <t>Komal bagga</t>
  </si>
  <si>
    <t>Nitin Shekhar</t>
  </si>
  <si>
    <t>kusuma jayavarapu</t>
  </si>
  <si>
    <t>Shubham chintawar</t>
  </si>
  <si>
    <t>Kumar Abhinav</t>
  </si>
  <si>
    <t>Gladiator</t>
  </si>
  <si>
    <t>Alokita</t>
  </si>
  <si>
    <t>Sahithi Bontha</t>
  </si>
  <si>
    <t>Sharath Kumar</t>
  </si>
  <si>
    <t>anuj jain</t>
  </si>
  <si>
    <t>kunal singh</t>
  </si>
  <si>
    <t>Ch. Rohini Kumar</t>
  </si>
  <si>
    <t>Swati bhamboria</t>
  </si>
  <si>
    <t>Mansha Vij</t>
  </si>
  <si>
    <t>Niranjana</t>
  </si>
  <si>
    <t>Kinkini Dasgupta</t>
  </si>
  <si>
    <t>Parul khandelwal</t>
  </si>
  <si>
    <t>Lalitha pidatala</t>
  </si>
  <si>
    <t>Akriti Makhija</t>
  </si>
  <si>
    <t>Jesal gohil</t>
  </si>
  <si>
    <t>Chinmay Khedkar</t>
  </si>
  <si>
    <t>Nikhil juneja</t>
  </si>
  <si>
    <t>tarun sood</t>
  </si>
  <si>
    <t>Samarth Sankhi</t>
  </si>
  <si>
    <t>Divya pathak</t>
  </si>
  <si>
    <t>Tejaswi T</t>
  </si>
  <si>
    <t>Rram</t>
  </si>
  <si>
    <t>Harsheen kaur vohra</t>
  </si>
  <si>
    <t>Bhagyashree Choudhary</t>
  </si>
  <si>
    <t>Koshik</t>
  </si>
  <si>
    <t>Trina Ghosh</t>
  </si>
  <si>
    <t>Nishanth Nag</t>
  </si>
  <si>
    <t>Nikket Pokharrna</t>
  </si>
  <si>
    <t>Lalit jain</t>
  </si>
  <si>
    <t>Preeti</t>
  </si>
  <si>
    <t>Aparna ahir</t>
  </si>
  <si>
    <t>Atul pandit</t>
  </si>
  <si>
    <t>Kadavala kartik</t>
  </si>
  <si>
    <t>Kuldeep</t>
  </si>
  <si>
    <t>kiran</t>
  </si>
  <si>
    <t>Rahul verma</t>
  </si>
  <si>
    <t>Aryan Jha</t>
  </si>
  <si>
    <t>Nagarjun s</t>
  </si>
  <si>
    <t>Avinash Jayram</t>
  </si>
  <si>
    <t>Sanya sabharwal</t>
  </si>
  <si>
    <t>Abhijit T</t>
  </si>
  <si>
    <t>Rachit sharma</t>
  </si>
  <si>
    <t>Vansh Manglani</t>
  </si>
  <si>
    <t>Karan soneji</t>
  </si>
  <si>
    <t>Rahul raj</t>
  </si>
  <si>
    <t>Prashant kanade</t>
  </si>
  <si>
    <t>Santosh achari</t>
  </si>
  <si>
    <t>Gunjan Jain</t>
  </si>
  <si>
    <t>Deepika Guduru</t>
  </si>
  <si>
    <t>Javad</t>
  </si>
  <si>
    <t>neha</t>
  </si>
  <si>
    <t>Yogesh Chauhan</t>
  </si>
  <si>
    <t>Ashwini Chandrashekar</t>
  </si>
  <si>
    <t>Sivakrishnna Manyam</t>
  </si>
  <si>
    <t>Nikhil</t>
  </si>
  <si>
    <t>Ritwik Dasgupta</t>
  </si>
  <si>
    <t>Nohal Saji Alexander</t>
  </si>
  <si>
    <t>Chirag More</t>
  </si>
  <si>
    <t>sameer wadhwa</t>
  </si>
  <si>
    <t>Manya kumar</t>
  </si>
  <si>
    <t>Ravi Kumar Vykuntham</t>
  </si>
  <si>
    <t>shree yogalakkumi ganeshkumar</t>
  </si>
  <si>
    <t>Akshith D</t>
  </si>
  <si>
    <t>Dinesh viswanathan</t>
  </si>
  <si>
    <t>Alex George Alfred</t>
  </si>
  <si>
    <t>Tania mondal</t>
  </si>
  <si>
    <t>Mithra achalla</t>
  </si>
  <si>
    <t>Shishir Singh</t>
  </si>
  <si>
    <t>swathi vijaykumar</t>
  </si>
  <si>
    <t>Kalyani joshi</t>
  </si>
  <si>
    <t>pradnya sarnobat</t>
  </si>
  <si>
    <t>Shakena</t>
  </si>
  <si>
    <t>shrikant dange</t>
  </si>
  <si>
    <t>Priyadarshini pradhan</t>
  </si>
  <si>
    <t>Kuldeep goswami</t>
  </si>
  <si>
    <t>Vineeth Achari</t>
  </si>
  <si>
    <t>Arasu prabhu</t>
  </si>
  <si>
    <t>AMAN SINGH</t>
  </si>
  <si>
    <t>Anuj Singh</t>
  </si>
  <si>
    <t>tripti jadhav</t>
  </si>
  <si>
    <t>kashika goyal</t>
  </si>
  <si>
    <t>Mohit Yadav</t>
  </si>
  <si>
    <t>simranjit singh</t>
  </si>
  <si>
    <t>Rakesh Reddy</t>
  </si>
  <si>
    <t>Deepika suvarna</t>
  </si>
  <si>
    <t>Naveena reddy</t>
  </si>
  <si>
    <t>Pravin jackson</t>
  </si>
  <si>
    <t>Prasenjit Biswas</t>
  </si>
  <si>
    <t>Ajit singh chauhan</t>
  </si>
  <si>
    <t>Ruksar shaikh</t>
  </si>
  <si>
    <t>mansvi parmani</t>
  </si>
  <si>
    <t>Aishwarya Tekawade</t>
  </si>
  <si>
    <t>Daine Thomas</t>
  </si>
  <si>
    <t>Manasa</t>
  </si>
  <si>
    <t>Upasana gupta</t>
  </si>
  <si>
    <t>tejshree amankar</t>
  </si>
  <si>
    <t>Dhanush Achar</t>
  </si>
  <si>
    <t>Rahul Dhar</t>
  </si>
  <si>
    <t>vishakha hegde</t>
  </si>
  <si>
    <t>Sampada Sharma</t>
  </si>
  <si>
    <t>Saumya swarup</t>
  </si>
  <si>
    <t>Himanshu Grover</t>
  </si>
  <si>
    <t>Shinjini</t>
  </si>
  <si>
    <t>Soumita bhattacharya</t>
  </si>
  <si>
    <t>Martina baretto</t>
  </si>
  <si>
    <t>Amrita s jaisingh</t>
  </si>
  <si>
    <t>Neha mundhra</t>
  </si>
  <si>
    <t>Disha vipulkumar gada</t>
  </si>
  <si>
    <t>ANTARA DALVI</t>
  </si>
  <si>
    <t>Abhishhastra Ek Matra!</t>
  </si>
  <si>
    <t>Preeti Janwasia</t>
  </si>
  <si>
    <t>Vilma Prashant</t>
  </si>
  <si>
    <t>Shweta Nayak</t>
  </si>
  <si>
    <t>Shruti singhal</t>
  </si>
  <si>
    <t>Div's Art Komal Dedhia</t>
  </si>
  <si>
    <t>Chriselle DSilva</t>
  </si>
  <si>
    <t>Sonal Mishra</t>
  </si>
  <si>
    <t>Ruchika h suryavanshi</t>
  </si>
  <si>
    <t>Deepti bodhankar</t>
  </si>
  <si>
    <t>Meenakshi singh</t>
  </si>
  <si>
    <t>Sunita sharma</t>
  </si>
  <si>
    <t>Tanvi singhania</t>
  </si>
  <si>
    <t>Ankita Gada Jain</t>
  </si>
  <si>
    <t>Pragna bavva</t>
  </si>
  <si>
    <t>Srilakshmi dasari</t>
  </si>
  <si>
    <t>Minal ashiwn kadle</t>
  </si>
  <si>
    <t>Rani madhuraj mokashi</t>
  </si>
  <si>
    <t>Roli dubey</t>
  </si>
  <si>
    <t>Shruti venkatesh</t>
  </si>
  <si>
    <t>Agnescruzdas</t>
  </si>
  <si>
    <t>Blissful Beings</t>
  </si>
  <si>
    <t>Yogita chitte</t>
  </si>
  <si>
    <t>Poorabie</t>
  </si>
  <si>
    <t>Somya pandey</t>
  </si>
  <si>
    <t>Puneet gupta</t>
  </si>
  <si>
    <t>Anurag kesarwani</t>
  </si>
  <si>
    <t>Deepti Manish dubey</t>
  </si>
  <si>
    <t>Ramesh</t>
  </si>
  <si>
    <t>Himanshu dubey</t>
  </si>
  <si>
    <t>Hitendra beniwal</t>
  </si>
  <si>
    <t>Ashish Munjal</t>
  </si>
  <si>
    <t>Ravi Kiran Alapati</t>
  </si>
  <si>
    <t>Shirisha krishna</t>
  </si>
  <si>
    <t>dr pooja kotadiya</t>
  </si>
  <si>
    <t>Bhavani A R</t>
  </si>
  <si>
    <t>Abilash</t>
  </si>
  <si>
    <t>JS Rajan</t>
  </si>
  <si>
    <t>Shilpa</t>
  </si>
  <si>
    <t>SARANI BANERJEE</t>
  </si>
  <si>
    <t>neeraj Kumari</t>
  </si>
  <si>
    <t>jeevan scorpio</t>
  </si>
  <si>
    <t>ASHA KALE</t>
  </si>
  <si>
    <t>Sumit</t>
  </si>
  <si>
    <t>Anita Korade</t>
  </si>
  <si>
    <t>Ayelin Rodrigues</t>
  </si>
  <si>
    <t>K samhitha</t>
  </si>
  <si>
    <t>Sai satvika</t>
  </si>
  <si>
    <t>Jyothi P</t>
  </si>
  <si>
    <t>Pavan deep singh bagga</t>
  </si>
  <si>
    <t>Nasrin sultana</t>
  </si>
  <si>
    <t>Vinutha Priya J</t>
  </si>
  <si>
    <t>Anchal bansal</t>
  </si>
  <si>
    <t>Zainab huzefa</t>
  </si>
  <si>
    <t>Venkatesh</t>
  </si>
  <si>
    <t>srikanth gasiganti</t>
  </si>
  <si>
    <t>binny murria</t>
  </si>
  <si>
    <t>yukta s</t>
  </si>
  <si>
    <t>minal loke</t>
  </si>
  <si>
    <t>Dheeraj Garg</t>
  </si>
  <si>
    <t>Shweta Honnavar</t>
  </si>
  <si>
    <t>Prateek</t>
  </si>
  <si>
    <t>revathi e</t>
  </si>
  <si>
    <t>Anindita Gupta</t>
  </si>
  <si>
    <t>Ramachandra Alnavar</t>
  </si>
  <si>
    <t>Rohan koushik Gajulapalle</t>
  </si>
  <si>
    <t>kripa p</t>
  </si>
  <si>
    <t>shazia sayeed</t>
  </si>
  <si>
    <t>Anirudh</t>
  </si>
  <si>
    <t>Darshita Bhavsar</t>
  </si>
  <si>
    <t>Padmawati Rajput</t>
  </si>
  <si>
    <t>SHARAN TEJA</t>
  </si>
  <si>
    <t>Vikram Kundekar</t>
  </si>
  <si>
    <t>Thangappan Rajan</t>
  </si>
  <si>
    <t>Sashi Rekha Buddhavarapu</t>
  </si>
  <si>
    <t>Deshna Ghegadmal</t>
  </si>
  <si>
    <t>Farha Zareen</t>
  </si>
  <si>
    <t>Yogitha lakshmi</t>
  </si>
  <si>
    <t>Shobhita Srivastava</t>
  </si>
  <si>
    <t>G.Yashasree</t>
  </si>
  <si>
    <t>Purvi Khandelwal</t>
  </si>
  <si>
    <t>Sailaja</t>
  </si>
  <si>
    <t>Pooja Bhagure</t>
  </si>
  <si>
    <t>Geet A</t>
  </si>
  <si>
    <t>Kalpana majji</t>
  </si>
  <si>
    <t>Aiswarya kalle</t>
  </si>
  <si>
    <t>atul gupta</t>
  </si>
  <si>
    <t>Naruto Uzumaki</t>
  </si>
  <si>
    <t>Nanitha dulam</t>
  </si>
  <si>
    <t>Praveen</t>
  </si>
  <si>
    <t>Dr.sahil singhal</t>
  </si>
  <si>
    <t>Shubham ingle</t>
  </si>
  <si>
    <t>Aman agarwal</t>
  </si>
  <si>
    <t>Dr.Sahil Singhal</t>
  </si>
  <si>
    <t>UDAY SHANKAR</t>
  </si>
  <si>
    <t>Swarnava Datta</t>
  </si>
  <si>
    <t>Dr narayan mitra</t>
  </si>
  <si>
    <t>Pratika Chauhan Raghav</t>
  </si>
  <si>
    <t>Sakshi dhruve</t>
  </si>
  <si>
    <t>ANJALI LALWANI</t>
  </si>
  <si>
    <t>Suchi Idaksh</t>
  </si>
  <si>
    <t>Sadika Nazz</t>
  </si>
  <si>
    <t>Sanchari Sen</t>
  </si>
  <si>
    <t>Deekshitha N</t>
  </si>
  <si>
    <t>Aksa</t>
  </si>
  <si>
    <t>nikhil sarode</t>
  </si>
  <si>
    <t>Malini raman</t>
  </si>
  <si>
    <t>Akshita Naker</t>
  </si>
  <si>
    <t>Siva sravan d</t>
  </si>
  <si>
    <t>Blue Dragon</t>
  </si>
  <si>
    <t>Mannohar</t>
  </si>
  <si>
    <t>Aarti Dallal</t>
  </si>
  <si>
    <t>Tejaswini Nimbalkar</t>
  </si>
  <si>
    <t>ravi kapoor</t>
  </si>
  <si>
    <t>Punit Modha</t>
  </si>
  <si>
    <t>Manjot Rathore</t>
  </si>
  <si>
    <t>Joga singh</t>
  </si>
  <si>
    <t>Uday Singh</t>
  </si>
  <si>
    <t>Rajesh kumar</t>
  </si>
  <si>
    <t>Joe cherian</t>
  </si>
  <si>
    <t>Sheuti agrawal</t>
  </si>
  <si>
    <t>Leena ahuja</t>
  </si>
  <si>
    <t>Arpita Lade</t>
  </si>
  <si>
    <t>kalyani devi</t>
  </si>
  <si>
    <t>Krishan sandheip</t>
  </si>
  <si>
    <t>Savitri Gunjal</t>
  </si>
  <si>
    <t>Apeksha mishra</t>
  </si>
  <si>
    <t>Manleen</t>
  </si>
  <si>
    <t>Sahiba sodhi</t>
  </si>
  <si>
    <t>Ashish Kuril</t>
  </si>
  <si>
    <t>Harleen</t>
  </si>
  <si>
    <t>Neha Yadav</t>
  </si>
  <si>
    <t>Shivangi sharma</t>
  </si>
  <si>
    <t>Ajith k nambiar</t>
  </si>
  <si>
    <t>Gaurav sindhiya</t>
  </si>
  <si>
    <t>Nidhi gupta</t>
  </si>
  <si>
    <t>umarani</t>
  </si>
  <si>
    <t>Deepti Toor</t>
  </si>
  <si>
    <t>Saroj Sahu</t>
  </si>
  <si>
    <t>Ghanshyam jindal</t>
  </si>
  <si>
    <t>Elizabeth Blackham</t>
  </si>
  <si>
    <t>Padmaja sreerangam</t>
  </si>
  <si>
    <t>Kamlesh ganguly</t>
  </si>
  <si>
    <t>Vijay naresh sharma</t>
  </si>
  <si>
    <t>Kena Shah</t>
  </si>
  <si>
    <t>mikesh</t>
  </si>
  <si>
    <t>Anjali sharma</t>
  </si>
  <si>
    <t>Umesh Sarode</t>
  </si>
  <si>
    <t>Dr.pooja dhamija</t>
  </si>
  <si>
    <t>Karthik rajan</t>
  </si>
  <si>
    <t>Anjju Gauur</t>
  </si>
  <si>
    <t>Vamsi S Krisshnaa</t>
  </si>
  <si>
    <t>ansheeka srivastava</t>
  </si>
  <si>
    <t>Sanskriti prakash</t>
  </si>
  <si>
    <t>Sajit Kumar</t>
  </si>
  <si>
    <t>Nirakar</t>
  </si>
  <si>
    <t>Harsha nagpal</t>
  </si>
  <si>
    <t>Utkarsh pandey</t>
  </si>
  <si>
    <t>Murali krishnan</t>
  </si>
  <si>
    <t>Anand agrawal</t>
  </si>
  <si>
    <t>RohitKapoor</t>
  </si>
  <si>
    <t>ROHIT</t>
  </si>
  <si>
    <t>Preiti juuneja</t>
  </si>
  <si>
    <t>Purnnima</t>
  </si>
  <si>
    <t>Sk</t>
  </si>
  <si>
    <t>vinod paliwal</t>
  </si>
  <si>
    <t>Sonniyaa singh</t>
  </si>
  <si>
    <t>Mohan KV</t>
  </si>
  <si>
    <t>Rams</t>
  </si>
  <si>
    <t>Aritriya Banerjee</t>
  </si>
  <si>
    <t>Surabhi Kapsime</t>
  </si>
  <si>
    <t>Pooja rajpurohit</t>
  </si>
  <si>
    <t>Pankaj</t>
  </si>
  <si>
    <t>Gopal</t>
  </si>
  <si>
    <t>Ashok Bharatiya</t>
  </si>
  <si>
    <t>Abhilash</t>
  </si>
  <si>
    <t>Himanshu mishra</t>
  </si>
  <si>
    <t>Shabbnam aalam</t>
  </si>
  <si>
    <t>Aditya Swaroop Saxena</t>
  </si>
  <si>
    <t>Arnab Deb Roy</t>
  </si>
  <si>
    <t>Sachinn bhallla</t>
  </si>
  <si>
    <t>Dr. Bhvayadeep Bhatia</t>
  </si>
  <si>
    <t>Monica Makkar</t>
  </si>
  <si>
    <t>john</t>
  </si>
  <si>
    <t>Avantika</t>
  </si>
  <si>
    <t>Balaji Davey</t>
  </si>
  <si>
    <t>Anjju tanejaa</t>
  </si>
  <si>
    <t>LipiBanerjee</t>
  </si>
  <si>
    <t>SHOUVIK MANDAL</t>
  </si>
  <si>
    <t>Chittaranjan Padhy</t>
  </si>
  <si>
    <t>Pratibha Biswas</t>
  </si>
  <si>
    <t>Rajesh Parasher</t>
  </si>
  <si>
    <t>Sukesh j r</t>
  </si>
  <si>
    <t>DivyaSakundarwar</t>
  </si>
  <si>
    <t>Sunayana Jain</t>
  </si>
  <si>
    <t>Prajakta</t>
  </si>
  <si>
    <t>Manan Tholia</t>
  </si>
  <si>
    <t>namrata</t>
  </si>
  <si>
    <t>Tripty agarwal</t>
  </si>
  <si>
    <t>m deepa maski</t>
  </si>
  <si>
    <t>Anwesha Das</t>
  </si>
  <si>
    <t>Kastooree Tolmare</t>
  </si>
  <si>
    <t>Shivani aggarwal</t>
  </si>
  <si>
    <t>Disha Gupta</t>
  </si>
  <si>
    <t>Umendar</t>
  </si>
  <si>
    <t>tushangi rastogi</t>
  </si>
  <si>
    <t>Saksham gupta</t>
  </si>
  <si>
    <t>Rishi Parkash Rathi</t>
  </si>
  <si>
    <t>Indira Sukumaran-Cherian</t>
  </si>
  <si>
    <t>Ekta Thirani</t>
  </si>
  <si>
    <t>Pankaj bansal</t>
  </si>
  <si>
    <t>Vineet joshi</t>
  </si>
  <si>
    <t>Vivek sharma</t>
  </si>
  <si>
    <t>Arnav Agarwal</t>
  </si>
  <si>
    <t>Vishnupriya Sharma</t>
  </si>
  <si>
    <t>Prajakta Kuwalekar</t>
  </si>
  <si>
    <t>Akshaykumar periandavar</t>
  </si>
  <si>
    <t>Deepak gupta</t>
  </si>
  <si>
    <t>Sanat Kothari</t>
  </si>
  <si>
    <t>Riya Jain</t>
  </si>
  <si>
    <t>Manisha Zaveri</t>
  </si>
  <si>
    <t>Prasad surve</t>
  </si>
  <si>
    <t>Vandana Uniyal</t>
  </si>
  <si>
    <t>Ipsitaa Agarwal</t>
  </si>
  <si>
    <t>Harshita verma</t>
  </si>
  <si>
    <t>Dharitri satish</t>
  </si>
  <si>
    <t>Geetanjali Purkayastha</t>
  </si>
  <si>
    <t>Revathy Panicker</t>
  </si>
  <si>
    <t>Akshay kulkarni</t>
  </si>
  <si>
    <t>Jaanvi garodia</t>
  </si>
  <si>
    <t>Pratiksha bhomle</t>
  </si>
  <si>
    <t>Nida Firdous</t>
  </si>
  <si>
    <t>Jyothi | sustainably_quirky</t>
  </si>
  <si>
    <t>Rohan Agarwal</t>
  </si>
  <si>
    <t>Manogya</t>
  </si>
  <si>
    <t>Svetlana D'costa</t>
  </si>
  <si>
    <t>Seema pai</t>
  </si>
  <si>
    <t>Tsering</t>
  </si>
  <si>
    <t>chinmay kelkar</t>
  </si>
  <si>
    <t>Basavaraj S</t>
  </si>
  <si>
    <t>Dhruv Gupta</t>
  </si>
  <si>
    <t>swathisree</t>
  </si>
  <si>
    <t>Navya ch</t>
  </si>
  <si>
    <t>Fif Fernandes</t>
  </si>
  <si>
    <t>vignesh narayan</t>
  </si>
  <si>
    <t>Yasmin raj</t>
  </si>
  <si>
    <t>Santosh akella</t>
  </si>
  <si>
    <t>Dr sonali</t>
  </si>
  <si>
    <t>Kamal Mehta</t>
  </si>
  <si>
    <t>Dr. rati</t>
  </si>
  <si>
    <t>Vinayak joshi</t>
  </si>
  <si>
    <t>Meenu gianchandani</t>
  </si>
  <si>
    <t>Kropperz business ( Rajvi)</t>
  </si>
  <si>
    <t>Tanushree nair</t>
  </si>
  <si>
    <t>Vivek trivedi</t>
  </si>
  <si>
    <t>Madhavi Sood</t>
  </si>
  <si>
    <t>Vetrivelan s n</t>
  </si>
  <si>
    <t>Sushil bhasin</t>
  </si>
  <si>
    <t>Madhavi parab</t>
  </si>
  <si>
    <t>Bharti savalani</t>
  </si>
  <si>
    <t>Sofia Khan</t>
  </si>
  <si>
    <t>manidip ganguly</t>
  </si>
  <si>
    <t>Heena Dani</t>
  </si>
  <si>
    <t>Abha jadhav</t>
  </si>
  <si>
    <t>Vikram Deshpande</t>
  </si>
  <si>
    <t>Tushar khurana (tisshy)</t>
  </si>
  <si>
    <t>Ujjwala kasbekar</t>
  </si>
  <si>
    <t>Adwait pitkar</t>
  </si>
  <si>
    <t>Dhrutii Hemang Dedhia</t>
  </si>
  <si>
    <t>Deepthi BL</t>
  </si>
  <si>
    <t>Dr Kirti Gehlot</t>
  </si>
  <si>
    <t>Hetal Rathod</t>
  </si>
  <si>
    <t>Alka Chadha</t>
  </si>
  <si>
    <t>Radhika ramakrishnan</t>
  </si>
  <si>
    <t>Sreedhar chouty</t>
  </si>
  <si>
    <t>Debobani Biswas</t>
  </si>
  <si>
    <t>Prakash mantha</t>
  </si>
  <si>
    <t>Lata</t>
  </si>
  <si>
    <t>Pavithra.p</t>
  </si>
  <si>
    <t>Ruby wadhwa</t>
  </si>
  <si>
    <t>Ronak dahiya</t>
  </si>
  <si>
    <t>Anil malik</t>
  </si>
  <si>
    <t>Sainath maharatta</t>
  </si>
  <si>
    <t>Cdr prabha lall</t>
  </si>
  <si>
    <t>Pooja v sharma</t>
  </si>
  <si>
    <t>Sumedha adavade</t>
  </si>
  <si>
    <t>Kaneez</t>
  </si>
  <si>
    <t>Usha rajagopalan</t>
  </si>
  <si>
    <t>Bharat bhatt</t>
  </si>
  <si>
    <t>Nara Subramaniam</t>
  </si>
  <si>
    <t>Dr. shambavi rajagopal</t>
  </si>
  <si>
    <t>Nishant s mehta</t>
  </si>
  <si>
    <t>Jitendra kumar bothra</t>
  </si>
  <si>
    <t>Ashutosh Dilip Phadke</t>
  </si>
  <si>
    <t>M Bindu</t>
  </si>
  <si>
    <t>Lion amir virani</t>
  </si>
  <si>
    <t>Shree devi dixit</t>
  </si>
  <si>
    <t>Suman nair</t>
  </si>
  <si>
    <t>Vijay kumar</t>
  </si>
  <si>
    <t>Ritu Kataria</t>
  </si>
  <si>
    <t>Tarun pahuja</t>
  </si>
  <si>
    <t>Sparsh Agrawal</t>
  </si>
  <si>
    <t>Ratika khandelwal</t>
  </si>
  <si>
    <t>Pratima singh</t>
  </si>
  <si>
    <t>Gautam Rane</t>
  </si>
  <si>
    <t>Leenachitra</t>
  </si>
  <si>
    <t>Nittin Luthra</t>
  </si>
  <si>
    <t>Arka chakraborty</t>
  </si>
  <si>
    <t>Ritika garg</t>
  </si>
  <si>
    <t>Silpi</t>
  </si>
  <si>
    <t>Prashant Jain</t>
  </si>
  <si>
    <t>Novonil</t>
  </si>
  <si>
    <t>Janaki dhanalakshmi</t>
  </si>
  <si>
    <t>Monika samuchiwal</t>
  </si>
  <si>
    <t>Manish Makwana</t>
  </si>
  <si>
    <t>charu maggu</t>
  </si>
  <si>
    <t>Mamta rajpurohit</t>
  </si>
  <si>
    <t>Debjani Bose</t>
  </si>
  <si>
    <t>Bhumi sheth</t>
  </si>
  <si>
    <t>SASYA NAGAR</t>
  </si>
  <si>
    <t>Elisha chetty</t>
  </si>
  <si>
    <t>Rakhi bandhu</t>
  </si>
  <si>
    <t>Prathima kv</t>
  </si>
  <si>
    <t>Abhishek shriram dalal</t>
  </si>
  <si>
    <t>Nupura khot</t>
  </si>
  <si>
    <t>Ruban</t>
  </si>
  <si>
    <t>Gowri Padmanabhan</t>
  </si>
  <si>
    <t>Jaspreet Dhir</t>
  </si>
  <si>
    <t>Bharathi padmanabhan</t>
  </si>
  <si>
    <t>Sreeparna nath</t>
  </si>
  <si>
    <t>Sundar Ram</t>
  </si>
  <si>
    <t>Yukta anand</t>
  </si>
  <si>
    <t>Shikha jain</t>
  </si>
  <si>
    <t>Ruchi</t>
  </si>
  <si>
    <t>Sridevi</t>
  </si>
  <si>
    <t>Dr sweta salunke</t>
  </si>
  <si>
    <t>Iva narayan</t>
  </si>
  <si>
    <t>Simranjeet kaur</t>
  </si>
  <si>
    <t>Gaurav Arora</t>
  </si>
  <si>
    <t>Nikki Otwani</t>
  </si>
  <si>
    <t>Aarthi</t>
  </si>
  <si>
    <t>Veena Joshi</t>
  </si>
  <si>
    <t>Pooja Chaudhary</t>
  </si>
  <si>
    <t>Sree noud</t>
  </si>
  <si>
    <t>Amardeep Kaur Kubhar</t>
  </si>
  <si>
    <t>Garima Saxena</t>
  </si>
  <si>
    <t>Mukta nishith</t>
  </si>
  <si>
    <t>s v v ramanjaneyulu</t>
  </si>
  <si>
    <t>Annu Sharma</t>
  </si>
  <si>
    <t>Sneha hc</t>
  </si>
  <si>
    <t>stella Paul</t>
  </si>
  <si>
    <t>tanvee jain</t>
  </si>
  <si>
    <t>Anjana khanna</t>
  </si>
  <si>
    <t>Renee</t>
  </si>
  <si>
    <t>Anshuman sharma</t>
  </si>
  <si>
    <t>Bhavneet kaur</t>
  </si>
  <si>
    <t>divya blu</t>
  </si>
  <si>
    <t>kapil khangan</t>
  </si>
  <si>
    <t>Palak Sachdeva</t>
  </si>
  <si>
    <t>IswaryaS</t>
  </si>
  <si>
    <t>Ritu singh</t>
  </si>
  <si>
    <t>Raveena khan</t>
  </si>
  <si>
    <t>Rishiti rao</t>
  </si>
  <si>
    <t>Tulika SEN</t>
  </si>
  <si>
    <t>Avantica damani</t>
  </si>
  <si>
    <t>Parul mehra</t>
  </si>
  <si>
    <t>Niraj Mishra</t>
  </si>
  <si>
    <t>Sridharan Padmanabhan</t>
  </si>
  <si>
    <t>shravanthi praveen</t>
  </si>
  <si>
    <t>Deepsikha Hore</t>
  </si>
  <si>
    <t>Saravanaraj Rajaraman</t>
  </si>
  <si>
    <t>Ankita Singh</t>
  </si>
  <si>
    <t>Nivea Jain</t>
  </si>
  <si>
    <t>Kulvinder Kaur</t>
  </si>
  <si>
    <t>Vandana</t>
  </si>
  <si>
    <t>Rini chakraborty</t>
  </si>
  <si>
    <t>Radhika Neurekar</t>
  </si>
  <si>
    <t>Muthu</t>
  </si>
  <si>
    <t>Geeta sharma</t>
  </si>
  <si>
    <t>Ruchi middha</t>
  </si>
  <si>
    <t>Shilpi bose</t>
  </si>
  <si>
    <t>Dhatri mehta</t>
  </si>
  <si>
    <t>VINEETA SINGH</t>
  </si>
  <si>
    <t>Aditi suri</t>
  </si>
  <si>
    <t>Pallavi dua</t>
  </si>
  <si>
    <t>Saurabh salunke</t>
  </si>
  <si>
    <t>Amrita agrawal</t>
  </si>
  <si>
    <t>Yasmin abdul gafar</t>
  </si>
  <si>
    <t>Hurricane</t>
  </si>
  <si>
    <t>Kafilur rahman</t>
  </si>
  <si>
    <t>Rupak Pal</t>
  </si>
  <si>
    <t>Rohit rai</t>
  </si>
  <si>
    <t>Sachin Sharma</t>
  </si>
  <si>
    <t>Shubham kumar</t>
  </si>
  <si>
    <t>Mansi jain</t>
  </si>
  <si>
    <t>ArvindKumar</t>
  </si>
  <si>
    <t>Raman shahare</t>
  </si>
  <si>
    <t>Gaurav chauhan</t>
  </si>
  <si>
    <t>Ankit Arya</t>
  </si>
  <si>
    <t>ajinkya hankare</t>
  </si>
  <si>
    <t>Vijay Desai</t>
  </si>
  <si>
    <t>ShubhamJogdand</t>
  </si>
  <si>
    <t>Biplab kumar pradhan</t>
  </si>
  <si>
    <t>Yogesh babarao bele</t>
  </si>
  <si>
    <t>Ditz</t>
  </si>
  <si>
    <t>Arun raj</t>
  </si>
  <si>
    <t>Golu prajapati</t>
  </si>
  <si>
    <t>Pallavi Kumari</t>
  </si>
  <si>
    <t>Galipali Pooja</t>
  </si>
  <si>
    <t>Srkprasadvarma Sangani</t>
  </si>
  <si>
    <t>Priya Pathare</t>
  </si>
  <si>
    <t>Anupam kumari</t>
  </si>
  <si>
    <t>Sama Sama</t>
  </si>
  <si>
    <t>Surabhi singh</t>
  </si>
  <si>
    <t>Yash vadiya</t>
  </si>
  <si>
    <t>Yash Raghuwanshi</t>
  </si>
  <si>
    <t>Himanshu kumar</t>
  </si>
  <si>
    <t>Nitesh Kumar Singh</t>
  </si>
  <si>
    <t>jagadheesh k c</t>
  </si>
  <si>
    <t>Uttam Yadav</t>
  </si>
  <si>
    <t>omprakash singh</t>
  </si>
  <si>
    <t>Gautam Budh</t>
  </si>
  <si>
    <t>Arjun r</t>
  </si>
  <si>
    <t>Rakesh kumar mishra</t>
  </si>
  <si>
    <t>saikiran chitteti</t>
  </si>
  <si>
    <t>Saravana kumar k</t>
  </si>
  <si>
    <t>Aarti dodhiawala</t>
  </si>
  <si>
    <t>darpan joshi</t>
  </si>
  <si>
    <t>Mamatha h c</t>
  </si>
  <si>
    <t>Kartik taneja</t>
  </si>
  <si>
    <t>Anup sharma</t>
  </si>
  <si>
    <t>Niharika Bashambu</t>
  </si>
  <si>
    <t>Awatar singh</t>
  </si>
  <si>
    <t>Durga Devi</t>
  </si>
  <si>
    <t>Kalaium Kaviyum</t>
  </si>
  <si>
    <t>Syeda Sabeen Fatima</t>
  </si>
  <si>
    <t>Anand Viswanath</t>
  </si>
  <si>
    <t>sagar misal</t>
  </si>
  <si>
    <t>02 Shivani Jadhav</t>
  </si>
  <si>
    <t>eyebelleyebell Mani</t>
  </si>
  <si>
    <t>Prasanna Karthik</t>
  </si>
  <si>
    <t>Kavita tanwer</t>
  </si>
  <si>
    <t>Mushrif kamal</t>
  </si>
  <si>
    <t>Kasireddy uday kiran reddy</t>
  </si>
  <si>
    <t>Siddhraj singh tomar</t>
  </si>
  <si>
    <t>Satendra rawat</t>
  </si>
  <si>
    <t>subramanyam kondaka</t>
  </si>
  <si>
    <t>Mohit</t>
  </si>
  <si>
    <t>Kamalak Kannan</t>
  </si>
  <si>
    <t>Meraj Siddiqui</t>
  </si>
  <si>
    <t>prakash bala</t>
  </si>
  <si>
    <t>Akash kulkarni</t>
  </si>
  <si>
    <t>Satheesh revoori</t>
  </si>
  <si>
    <t>Eqarar Khan</t>
  </si>
  <si>
    <t>Ravi Mahato</t>
  </si>
  <si>
    <t>Dheerendra Pal singh jadon</t>
  </si>
  <si>
    <t>Akshay bhagwat</t>
  </si>
  <si>
    <t>gitali</t>
  </si>
  <si>
    <t>Vikas</t>
  </si>
  <si>
    <t>tushar anand</t>
  </si>
  <si>
    <t>Kamaljeet singh</t>
  </si>
  <si>
    <t>Reena Dominic</t>
  </si>
  <si>
    <t>Fattesingh Gaikwad</t>
  </si>
  <si>
    <t>Santha Kumar</t>
  </si>
  <si>
    <t>ARIJIT DEB</t>
  </si>
  <si>
    <t>Mahipal singh chouhan</t>
  </si>
  <si>
    <t>Ajay nk krishna</t>
  </si>
  <si>
    <t>Geeta</t>
  </si>
  <si>
    <t>Rufia</t>
  </si>
  <si>
    <t>Firoz ahmed</t>
  </si>
  <si>
    <t>Najya azmi</t>
  </si>
  <si>
    <t>Syeda afshan afreen</t>
  </si>
  <si>
    <t>Shraddha Rai</t>
  </si>
  <si>
    <t>Farhana azmi</t>
  </si>
  <si>
    <t>Shilpa Rajput</t>
  </si>
  <si>
    <t>Mohd imran</t>
  </si>
  <si>
    <t>Pavan Priakash Badllani</t>
  </si>
  <si>
    <t>Muskan bhaiya</t>
  </si>
  <si>
    <t>Swapnil singh</t>
  </si>
  <si>
    <t>Aakanksha thakur</t>
  </si>
  <si>
    <t>Shilka agarwal</t>
  </si>
  <si>
    <t>Ekta manchanda</t>
  </si>
  <si>
    <t>Shubhi</t>
  </si>
  <si>
    <t>Megha Agarwal</t>
  </si>
  <si>
    <t>Kumar bhattacharjee</t>
  </si>
  <si>
    <t>Nidhi Choudhary</t>
  </si>
  <si>
    <t>Dhanashree Shanbhag</t>
  </si>
  <si>
    <t>Abhishek Nigam</t>
  </si>
  <si>
    <t>Siddhesh Rane</t>
  </si>
  <si>
    <t>Sunita _</t>
  </si>
  <si>
    <t>Devika Barua</t>
  </si>
  <si>
    <t>Shana Shahana</t>
  </si>
  <si>
    <t>Arjun</t>
  </si>
  <si>
    <t>Saloni</t>
  </si>
  <si>
    <t>Baijayanti</t>
  </si>
  <si>
    <t>vinod vinu</t>
  </si>
  <si>
    <t>Jigar ishwarlal tandel</t>
  </si>
  <si>
    <t>Trupti Vision</t>
  </si>
  <si>
    <t>Hamza hussein</t>
  </si>
  <si>
    <t>Arul kumar</t>
  </si>
  <si>
    <t>Preeti Vishwakarma</t>
  </si>
  <si>
    <t>sai teja</t>
  </si>
  <si>
    <t>Aakash</t>
  </si>
  <si>
    <t>sahana bhm</t>
  </si>
  <si>
    <t>Akanksha Paliwal</t>
  </si>
  <si>
    <t>Diksha bisani</t>
  </si>
  <si>
    <t>Shreya Tripathi</t>
  </si>
  <si>
    <t>Kousik mohanty</t>
  </si>
  <si>
    <t>Vijitibu</t>
  </si>
  <si>
    <t>M subash kanth</t>
  </si>
  <si>
    <t>Akshay khaire</t>
  </si>
  <si>
    <t>sound</t>
  </si>
  <si>
    <t>Parul Gupta</t>
  </si>
  <si>
    <t>Nikitha akula</t>
  </si>
  <si>
    <t>Micheal</t>
  </si>
  <si>
    <t>Akash patel</t>
  </si>
  <si>
    <t>kajal Rathore</t>
  </si>
  <si>
    <t>Vignesh venkatesan</t>
  </si>
  <si>
    <t>Deepali verma</t>
  </si>
  <si>
    <t>Chaman meeranavar</t>
  </si>
  <si>
    <t>Haris TS</t>
  </si>
  <si>
    <t>NIDHI KUMARI</t>
  </si>
  <si>
    <t>Grandhi Avinash</t>
  </si>
  <si>
    <t>N.damodar rao</t>
  </si>
  <si>
    <t>Kosgi Nandini</t>
  </si>
  <si>
    <t>R.mohan</t>
  </si>
  <si>
    <t>Lovely Saxena</t>
  </si>
  <si>
    <t>Chandan patra</t>
  </si>
  <si>
    <t>Uday Kumar</t>
  </si>
  <si>
    <t>lalswamy</t>
  </si>
  <si>
    <t>muthu Kamaraj</t>
  </si>
  <si>
    <t>Ankit Gupta</t>
  </si>
  <si>
    <t>Tripura</t>
  </si>
  <si>
    <t>Varsha Reddy</t>
  </si>
  <si>
    <t>Sourav saha</t>
  </si>
  <si>
    <t>Kalyankadium</t>
  </si>
  <si>
    <t>Vishnu murali</t>
  </si>
  <si>
    <t>Prasad</t>
  </si>
  <si>
    <t>Abhishek kumar</t>
  </si>
  <si>
    <t>Parvathy Krishna</t>
  </si>
  <si>
    <t>Wahib mohammed abdulrahman alnuzaili</t>
  </si>
  <si>
    <t>Aarti Lad</t>
  </si>
  <si>
    <t>Raj khatri</t>
  </si>
  <si>
    <t>Prashant kumar</t>
  </si>
  <si>
    <t>Akhila Veeragandham</t>
  </si>
  <si>
    <t>hemanth kumar</t>
  </si>
  <si>
    <t>Raj</t>
  </si>
  <si>
    <t>Jitendra bisoi</t>
  </si>
  <si>
    <t>Ishant Patel</t>
  </si>
  <si>
    <t>Ayan Halder</t>
  </si>
  <si>
    <t>Sushmita Shukla</t>
  </si>
  <si>
    <t>Rajyalaxmi Samudrala</t>
  </si>
  <si>
    <t>Kuldeep Singh</t>
  </si>
  <si>
    <t>Ajay kumar</t>
  </si>
  <si>
    <t>Prakash Singh</t>
  </si>
  <si>
    <t>Krishnakumar</t>
  </si>
  <si>
    <t>Muhammed adnan</t>
  </si>
  <si>
    <t>Rachna Lohia</t>
  </si>
  <si>
    <t>Naveenmandlekar</t>
  </si>
  <si>
    <t>Charu Grover</t>
  </si>
  <si>
    <t>Adithya Mohan</t>
  </si>
  <si>
    <t>Kabir Rawal</t>
  </si>
  <si>
    <t>Abhay Kumar</t>
  </si>
  <si>
    <t>Aniket dodke</t>
  </si>
  <si>
    <t>Shubham Ashok Kudikalwar</t>
  </si>
  <si>
    <t>Urvi Choksi Patel</t>
  </si>
  <si>
    <t>Randheer Prabhu</t>
  </si>
  <si>
    <t>Mohit Singh</t>
  </si>
  <si>
    <t>Soumya</t>
  </si>
  <si>
    <t>Ashutosh Dubey</t>
  </si>
  <si>
    <t>Guhan</t>
  </si>
  <si>
    <t>Sagar Dua</t>
  </si>
  <si>
    <t>Naman Jain</t>
  </si>
  <si>
    <t>ritika sharma</t>
  </si>
  <si>
    <t>Rahul kumar sarangal</t>
  </si>
  <si>
    <t>Ankit patel</t>
  </si>
  <si>
    <t>Rishwanth</t>
  </si>
  <si>
    <t>Dinanath Kavanekar</t>
  </si>
  <si>
    <t>Brindha s</t>
  </si>
  <si>
    <t>Jyotsna</t>
  </si>
  <si>
    <t>praggy revu</t>
  </si>
  <si>
    <t>SUNIL KUMAR</t>
  </si>
  <si>
    <t>Rakesh Prajapati</t>
  </si>
  <si>
    <t>Manu sharma</t>
  </si>
  <si>
    <t>sourabh jain</t>
  </si>
  <si>
    <t>Rupesh P</t>
  </si>
  <si>
    <t>Divya Kejriwal</t>
  </si>
  <si>
    <t>ANURADHA RAMAN</t>
  </si>
  <si>
    <t>Ritwik Ghosh</t>
  </si>
  <si>
    <t>Dr. bharti dua</t>
  </si>
  <si>
    <t>Shikha Gupta</t>
  </si>
  <si>
    <t>Sujatha kumar</t>
  </si>
  <si>
    <t>Shailja Gupta</t>
  </si>
  <si>
    <t>paarindra</t>
  </si>
  <si>
    <t>Thamizhilakkiya d</t>
  </si>
  <si>
    <t>Animesh Pradhan</t>
  </si>
  <si>
    <t>Harshvardhan</t>
  </si>
  <si>
    <t>Shipra kukreja</t>
  </si>
  <si>
    <t>Bhumeet gupta</t>
  </si>
  <si>
    <t>Koushik Dutta</t>
  </si>
  <si>
    <t>shrinidhi</t>
  </si>
  <si>
    <t>Muthu Ramalingam</t>
  </si>
  <si>
    <t>Landlin</t>
  </si>
  <si>
    <t>Purnima Bisht</t>
  </si>
  <si>
    <t>Abhishek khandelwal</t>
  </si>
  <si>
    <t>Megha singha Roy</t>
  </si>
  <si>
    <t>Anuj Aggarwal</t>
  </si>
  <si>
    <t>Gaurav Chandwani</t>
  </si>
  <si>
    <t>Ashutosh kumar</t>
  </si>
  <si>
    <t>mallu pavani</t>
  </si>
  <si>
    <t>Saurabh dhabu</t>
  </si>
  <si>
    <t>Mridula</t>
  </si>
  <si>
    <t>diya</t>
  </si>
  <si>
    <t>samridhi khanna</t>
  </si>
  <si>
    <t>Milind Pillai</t>
  </si>
  <si>
    <t>Rhythum preet kaur</t>
  </si>
  <si>
    <t>Nirav Ankush Shinde</t>
  </si>
  <si>
    <t>Dimple M</t>
  </si>
  <si>
    <t>Ananya goswami</t>
  </si>
  <si>
    <t>Abhishek sonar</t>
  </si>
  <si>
    <t>Nagarjuna reddy</t>
  </si>
  <si>
    <t>Juhi momaya</t>
  </si>
  <si>
    <t>Anudeep K</t>
  </si>
  <si>
    <t>Subha kala</t>
  </si>
  <si>
    <t>Heer nikhil haria</t>
  </si>
  <si>
    <t>Vinaay Venkataramana</t>
  </si>
  <si>
    <t>Ankita</t>
  </si>
  <si>
    <t>darshna</t>
  </si>
  <si>
    <t>v jagadeesh babu</t>
  </si>
  <si>
    <t>Md atif alam</t>
  </si>
  <si>
    <t>Harini</t>
  </si>
  <si>
    <t>Abhishek soni</t>
  </si>
  <si>
    <t>Brijmohan prasad</t>
  </si>
  <si>
    <t>Sayan ghosh</t>
  </si>
  <si>
    <t>Jeet Lahoti</t>
  </si>
  <si>
    <t>Jarman emmanual nandi</t>
  </si>
  <si>
    <t>Aaditya varu</t>
  </si>
  <si>
    <t>Mohit Ssw</t>
  </si>
  <si>
    <t>Rushikesh bhosale</t>
  </si>
  <si>
    <t>Aayush Jain</t>
  </si>
  <si>
    <t>Neha Pande</t>
  </si>
  <si>
    <t>Yogita sharma</t>
  </si>
  <si>
    <t>Leena bansal</t>
  </si>
  <si>
    <t>Lekhraj dembla</t>
  </si>
  <si>
    <t>Leah Rolin</t>
  </si>
  <si>
    <t>Tensi mangal</t>
  </si>
  <si>
    <t>Ayushi thakur</t>
  </si>
  <si>
    <t>Sachin shekhawat</t>
  </si>
  <si>
    <t>Aksent</t>
  </si>
  <si>
    <t>Pradhap</t>
  </si>
  <si>
    <t>Govind Rajaram</t>
  </si>
  <si>
    <t>Abdul shathik</t>
  </si>
  <si>
    <t>Mansi Agrawal</t>
  </si>
  <si>
    <t>Urvashi saxena</t>
  </si>
  <si>
    <t>CM Darvesh</t>
  </si>
  <si>
    <t>Ajeesh Yt</t>
  </si>
  <si>
    <t>Sarin c p</t>
  </si>
  <si>
    <t>Sunil elson</t>
  </si>
  <si>
    <t>Subilal k</t>
  </si>
  <si>
    <t>Anil babu</t>
  </si>
  <si>
    <t>Rijohn paul</t>
  </si>
  <si>
    <t>yasir k</t>
  </si>
  <si>
    <t>shajil</t>
  </si>
  <si>
    <t>Sarath aavishkaara</t>
  </si>
  <si>
    <t>Santosh Sumesh</t>
  </si>
  <si>
    <t>Pranav Suresh</t>
  </si>
  <si>
    <t>Asif Mohammed</t>
  </si>
  <si>
    <t>Ganel S Kumar</t>
  </si>
  <si>
    <t>Gowrishankar</t>
  </si>
  <si>
    <t>Ajay koikal</t>
  </si>
  <si>
    <t>Arvind Reddy</t>
  </si>
  <si>
    <t>Dr. Soodip Neogi</t>
  </si>
  <si>
    <t>Raushan Kumar Jha</t>
  </si>
  <si>
    <t>Karan keswani</t>
  </si>
  <si>
    <t>Bibz Stringman</t>
  </si>
  <si>
    <t>suriya</t>
  </si>
  <si>
    <t>Project Wanderlust</t>
  </si>
  <si>
    <t>akash akash</t>
  </si>
  <si>
    <t>Vamsi Krishna K</t>
  </si>
  <si>
    <t>sarfaraz khan</t>
  </si>
  <si>
    <t>Gurudutt</t>
  </si>
  <si>
    <t>Rajesh Atmakuri</t>
  </si>
  <si>
    <t>niraj shah</t>
  </si>
  <si>
    <t>rudrakshi ghosh</t>
  </si>
  <si>
    <t>MG sathish kumar</t>
  </si>
  <si>
    <t>Ashwin Kumar Shetty p</t>
  </si>
  <si>
    <t>Nongmaithem Thoiba Meitei</t>
  </si>
  <si>
    <t>Mehran majeed</t>
  </si>
  <si>
    <t>Nishanth Narayan</t>
  </si>
  <si>
    <t>sai kiran</t>
  </si>
  <si>
    <t>hari sainath</t>
  </si>
  <si>
    <t>Dr.khalandar khatib</t>
  </si>
  <si>
    <t>Vinod chauhan</t>
  </si>
  <si>
    <t>Vaibhav Mishra</t>
  </si>
  <si>
    <t>Amit kalra</t>
  </si>
  <si>
    <t>Sukriti sharma</t>
  </si>
  <si>
    <t>Vishnu Harikumar</t>
  </si>
  <si>
    <t>Manikandan</t>
  </si>
  <si>
    <t>parag vaidya</t>
  </si>
  <si>
    <t>Sandeep jain</t>
  </si>
  <si>
    <t>Nitesh Mahalwal</t>
  </si>
  <si>
    <t>surendar</t>
  </si>
  <si>
    <t>Shiva Kumar</t>
  </si>
  <si>
    <t>Amaan Kamal Sakware</t>
  </si>
  <si>
    <t>Hafeez</t>
  </si>
  <si>
    <t>Prajwal</t>
  </si>
  <si>
    <t>CA BIKASH CHORADIA</t>
  </si>
  <si>
    <t>Anshul jain</t>
  </si>
  <si>
    <t>Jainam Gandhi</t>
  </si>
  <si>
    <t>Vikas Raj</t>
  </si>
  <si>
    <t>Vishwas V</t>
  </si>
  <si>
    <t>Vyanktesh tadkod</t>
  </si>
  <si>
    <t>Venkatesh Ambala</t>
  </si>
  <si>
    <t>Tushar Agarwal</t>
  </si>
  <si>
    <t>Abhishek Verma</t>
  </si>
  <si>
    <t>Bhawna</t>
  </si>
  <si>
    <t>Saumya Joshi</t>
  </si>
  <si>
    <t>Ambalika Bhat</t>
  </si>
  <si>
    <t>Pakhi Garg</t>
  </si>
  <si>
    <t>Pankaj Prasad</t>
  </si>
  <si>
    <t>Taha Mahmood</t>
  </si>
  <si>
    <t>Nidhi d</t>
  </si>
  <si>
    <t>Pooja Mehta</t>
  </si>
  <si>
    <t>Navneet Soni</t>
  </si>
  <si>
    <t>Bhavesh Kantharia</t>
  </si>
  <si>
    <t>Saranya</t>
  </si>
  <si>
    <t>Karuna Sapkale</t>
  </si>
  <si>
    <t>S. K. Biswas</t>
  </si>
  <si>
    <t>Anish Varghese</t>
  </si>
  <si>
    <t>Nishi Shah</t>
  </si>
  <si>
    <t>Kaushal shah</t>
  </si>
  <si>
    <t>Rajendra Shah</t>
  </si>
  <si>
    <t>yash desai</t>
  </si>
  <si>
    <t>Kalyan</t>
  </si>
  <si>
    <t>Jay Chander</t>
  </si>
  <si>
    <t>Shiva teja</t>
  </si>
  <si>
    <t>Rahul Tallapally</t>
  </si>
  <si>
    <t>Shivakumar Ragatti</t>
  </si>
  <si>
    <t>Geetanjali Arora</t>
  </si>
  <si>
    <t>Tanvir Singh</t>
  </si>
  <si>
    <t>Hemanta Maji</t>
  </si>
  <si>
    <t>Devashish</t>
  </si>
  <si>
    <t>priyanka sharma</t>
  </si>
  <si>
    <t>Amruta Thakekar</t>
  </si>
  <si>
    <t>Rajiv</t>
  </si>
  <si>
    <t>Samruddhi Thakekar</t>
  </si>
  <si>
    <t>saurabh thakekar</t>
  </si>
  <si>
    <t>Bhawana singh</t>
  </si>
  <si>
    <t>adi</t>
  </si>
  <si>
    <t>Gauri Bellad</t>
  </si>
  <si>
    <t>Deepak Surendar</t>
  </si>
  <si>
    <t>Priti Sangwan</t>
  </si>
  <si>
    <t>Dibyoshnata talukdar</t>
  </si>
  <si>
    <t>Raghu Sampangi</t>
  </si>
  <si>
    <t>Aveline Juliet</t>
  </si>
  <si>
    <t>Suman</t>
  </si>
  <si>
    <t>SURESH MEHRA</t>
  </si>
  <si>
    <t>Sakshi M Dhingra</t>
  </si>
  <si>
    <t>Rahul Mehra</t>
  </si>
  <si>
    <t>Saurabh Dhingra</t>
  </si>
  <si>
    <t>Srishti Mehra</t>
  </si>
  <si>
    <t>MannSehgal</t>
  </si>
  <si>
    <t>Jitendra Singh</t>
  </si>
  <si>
    <t>ASHISH DWIVEDI</t>
  </si>
  <si>
    <t>Tushar Bansal</t>
  </si>
  <si>
    <t>VIVEK D JAIN</t>
  </si>
  <si>
    <t>Pooja Misra</t>
  </si>
  <si>
    <t>Shrey verma</t>
  </si>
  <si>
    <t>Adarsh Verma</t>
  </si>
  <si>
    <t>Nitin</t>
  </si>
  <si>
    <t>Noufal</t>
  </si>
  <si>
    <t>Megha</t>
  </si>
  <si>
    <t>Samantak Saha</t>
  </si>
  <si>
    <t>community_id</t>
  </si>
  <si>
    <t>community_name</t>
  </si>
  <si>
    <t>community_category</t>
  </si>
  <si>
    <t>website_url</t>
  </si>
  <si>
    <t>referral_enabled</t>
  </si>
  <si>
    <t>is_paid</t>
  </si>
  <si>
    <t>is_discoverable</t>
  </si>
  <si>
    <t># exempted members</t>
  </si>
  <si>
    <t>Buddy</t>
  </si>
  <si>
    <t>Plan Exists</t>
  </si>
  <si>
    <t>Marketing</t>
  </si>
  <si>
    <t>https://hi.likeminds.community/mom-shares-club</t>
  </si>
  <si>
    <t>https://hi.likeminds.community/finstreet</t>
  </si>
  <si>
    <t>Being earthable</t>
  </si>
  <si>
    <t>https://hi.likeminds.community/the-data-talk</t>
  </si>
  <si>
    <t>Sales</t>
  </si>
  <si>
    <t xml:space="preserve">BLOGGING LIFE </t>
  </si>
  <si>
    <t>Paused</t>
  </si>
  <si>
    <t>HEAL</t>
  </si>
  <si>
    <t>khushi se yoga</t>
  </si>
  <si>
    <t>Lazy Gamers (MG)</t>
  </si>
  <si>
    <t>Dropped</t>
  </si>
  <si>
    <t>Ahoj: Let's Blog (MG)</t>
  </si>
  <si>
    <t>The smart work for NEETUG</t>
  </si>
  <si>
    <t>https://hi.likeminds.community/business-advisory</t>
  </si>
  <si>
    <t>https://hi.likeminds.community/d/yogawithratika</t>
  </si>
  <si>
    <t>Well being</t>
  </si>
  <si>
    <t>https://hi.likeminds.community/well-being</t>
  </si>
  <si>
    <t>https://hi.likeminds.community/pharmacology-insiders</t>
  </si>
  <si>
    <t>Magical Parenting</t>
  </si>
  <si>
    <t>https://hi.likeminds.community/d/graphology</t>
  </si>
  <si>
    <t>https://hi.likeminds.community/d/the-alt-living</t>
  </si>
  <si>
    <t xml:space="preserve">Ladies &amp; Gentlemen </t>
  </si>
  <si>
    <t>Exa-Python Community</t>
  </si>
  <si>
    <t>https://hi.likeminds.community/exapython</t>
  </si>
  <si>
    <t>Fearless Whisper</t>
  </si>
  <si>
    <t>https://hi.likeminds.community/d/the-fewh-tribe</t>
  </si>
  <si>
    <t>https://hi.likeminds.community/write-your-wrong</t>
  </si>
  <si>
    <t xml:space="preserve">Leena Listens </t>
  </si>
  <si>
    <t>https://hi.likeminds.community/d/leena-listens</t>
  </si>
  <si>
    <t>https://hi.likeminds.community/d/gapd</t>
  </si>
  <si>
    <t>https://hi.likeminds.community/d/dr-azhar</t>
  </si>
  <si>
    <t>https://hi.likeminds.community/d/shishu-aahaar</t>
  </si>
  <si>
    <t>https://hi.likeminds.community/d/daily-skills-dm</t>
  </si>
  <si>
    <t xml:space="preserve"> Empty Cup</t>
  </si>
  <si>
    <t>https://hi.likeminds.community/d/tathastu-guided-meditation-classes-and-ocunselling</t>
  </si>
  <si>
    <t>master your thinking</t>
  </si>
  <si>
    <t>https://hi.likeminds.community/d/life-long-learners</t>
  </si>
  <si>
    <t>kash studio</t>
  </si>
  <si>
    <t>https://hi.likeminds.community/d/kash-studios</t>
  </si>
  <si>
    <t>https://hi.likeminds.community/d/focus-inside</t>
  </si>
  <si>
    <t>https://hi.likeminds.community/d/confidence-boosting-club</t>
  </si>
  <si>
    <t>https://hi.likeminds.community/d/yoga-by-amruta</t>
  </si>
  <si>
    <t>https://hi.likeminds.community/d/linkedgrow</t>
  </si>
  <si>
    <t>https://hi.likeminds.community/d/letslearntosocial-abfc</t>
  </si>
  <si>
    <t>https://hi.likeminds.community/d/uva-fit</t>
  </si>
  <si>
    <t xml:space="preserve">Skillyukt </t>
  </si>
  <si>
    <t>https://hi.likeminds.community/d/skillyukt</t>
  </si>
  <si>
    <t>https://hi.likeminds.community/d/pooja-misra</t>
  </si>
  <si>
    <t xml:space="preserve">Level Zero Esports </t>
  </si>
  <si>
    <t>https://hi.likeminds.community/d/lz-esports</t>
  </si>
  <si>
    <t xml:space="preserve">Energy Healing </t>
  </si>
  <si>
    <t>Community Id</t>
  </si>
  <si>
    <t>COUNTA of Community Id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</si>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</sst>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h:mm:ss"/>
    <numFmt numFmtId="165" formatCode="dd/mm/yyyy"/>
    <numFmt numFmtId="166" formatCode="d/m/yyyy"/>
    <numFmt numFmtId="167" formatCode="d/m/yyyy hh:mm"/>
    <numFmt numFmtId="168" formatCode="dd/MM/yyyy HH:mm:ss"/>
  </numFmts>
  <fonts count="20">
    <font>
      <sz val="10.0"/>
      <color rgb="FF000000"/>
      <name val="Arial"/>
    </font>
    <font>
      <color theme="1"/>
      <name val="Arial"/>
    </font>
    <font/>
    <font>
      <u/>
      <color rgb="FF0000FF"/>
    </font>
    <font>
      <sz val="8.0"/>
      <color rgb="FF000000"/>
      <name val="Calibri"/>
    </font>
    <font>
      <sz val="8.0"/>
      <color rgb="FF000000"/>
      <name val="&quot;Helvetica Neue&quot;"/>
    </font>
    <font>
      <color rgb="FF000000"/>
      <name val="Arial"/>
    </font>
    <font>
      <u/>
      <sz val="11.0"/>
      <color rgb="FF22527B"/>
      <name val="Lato"/>
    </font>
    <font>
      <u/>
      <color rgb="FF0000FF"/>
    </font>
    <font>
      <u/>
      <color rgb="FF0000FF"/>
    </font>
    <font>
      <u/>
      <color rgb="FF000000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u/>
      <color rgb="FF202124"/>
      <name val="Roboto"/>
    </font>
    <font>
      <u/>
      <color rgb="FF000000"/>
      <name val="Roboto"/>
    </font>
    <font>
      <u/>
      <color rgb="FF000000"/>
      <name val="Arial"/>
    </font>
    <font>
      <u/>
      <color rgb="FF1155CC"/>
      <name val="Arial"/>
    </font>
    <font>
      <color theme="1"/>
      <name val="Courier New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165" xfId="0" applyAlignment="1" applyFont="1" applyNumberFormat="1">
      <alignment readingOrder="0" shrinkToFit="0" wrapText="0"/>
    </xf>
    <xf borderId="0" fillId="0" fontId="1" numFmtId="166" xfId="0" applyAlignment="1" applyFont="1" applyNumberFormat="1">
      <alignment readingOrder="0" shrinkToFit="0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7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4" xfId="0" applyAlignment="1" applyFont="1" applyNumberFormat="1">
      <alignment readingOrder="0" shrinkToFit="0" wrapText="0"/>
    </xf>
    <xf borderId="0" fillId="0" fontId="1" numFmtId="0" xfId="0" applyFont="1"/>
    <xf borderId="0" fillId="0" fontId="1" numFmtId="0" xfId="0" applyFont="1"/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2" fillId="0" fontId="5" numFmtId="0" xfId="0" applyAlignment="1" applyBorder="1" applyFont="1">
      <alignment readingOrder="0" vertical="top"/>
    </xf>
    <xf borderId="0" fillId="0" fontId="2" numFmtId="168" xfId="0" applyAlignment="1" applyFont="1" applyNumberForma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6" numFmtId="0" xfId="0" applyAlignment="1" applyFont="1">
      <alignment horizontal="right" vertical="bottom"/>
    </xf>
    <xf borderId="2" fillId="0" fontId="6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3" fontId="7" numFmtId="0" xfId="0" applyAlignment="1" applyFill="1" applyFont="1">
      <alignment readingOrder="0"/>
    </xf>
    <xf borderId="0" fillId="0" fontId="1" numFmtId="0" xfId="0" applyFont="1"/>
    <xf borderId="0" fillId="0" fontId="8" numFmtId="0" xfId="0" applyFon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4" xfId="0" applyAlignment="1" applyFont="1" applyNumberFormat="1">
      <alignment readingOrder="0" shrinkToFit="0" wrapText="0"/>
    </xf>
    <xf borderId="0" fillId="0" fontId="10" numFmtId="0" xfId="0" applyAlignment="1" applyFont="1">
      <alignment readingOrder="0"/>
    </xf>
    <xf borderId="0" fillId="4" fontId="1" numFmtId="0" xfId="0" applyAlignment="1" applyFill="1" applyFont="1">
      <alignment horizontal="right" shrinkToFit="0" vertical="bottom" wrapText="1"/>
    </xf>
    <xf borderId="0" fillId="4" fontId="1" numFmtId="0" xfId="0" applyAlignment="1" applyFont="1">
      <alignment shrinkToFit="0" vertical="bottom" wrapText="1"/>
    </xf>
    <xf borderId="0" fillId="4" fontId="1" numFmtId="0" xfId="0" applyAlignment="1" applyFont="1">
      <alignment vertical="bottom"/>
    </xf>
    <xf borderId="0" fillId="4" fontId="11" numFmtId="0" xfId="0" applyAlignment="1" applyFont="1">
      <alignment vertical="bottom"/>
    </xf>
    <xf borderId="0" fillId="5" fontId="6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6" fontId="1" numFmtId="0" xfId="0" applyAlignment="1" applyFill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0" fillId="4" fontId="13" numFmtId="0" xfId="0" applyAlignment="1" applyFont="1">
      <alignment vertical="bottom"/>
    </xf>
    <xf borderId="0" fillId="4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8" numFmtId="0" xfId="0" applyFont="1"/>
    <xf borderId="0" fillId="0" fontId="19" numFmtId="0" xfId="0" applyFont="1"/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0" sheet="Exempted members"/>
  </cacheSource>
  <cacheFields>
    <cacheField name="Community Id" numFmtId="0">
      <sharedItems containsString="0" containsBlank="1" containsNumber="1" containsInteger="1">
        <n v="49813.0"/>
        <n v="49833.0"/>
        <n v="49835.0"/>
        <n v="49844.0"/>
        <n v="49859.0"/>
        <n v="49899.0"/>
        <n v="49907.0"/>
        <n v="49958.0"/>
        <n v="49978.0"/>
        <n v="50015.0"/>
        <n v="50020.0"/>
        <n v="50022.0"/>
        <n v="50023.0"/>
        <n v="50026.0"/>
        <n v="50029.0"/>
        <n v="50030.0"/>
        <n v="50031.0"/>
        <n v="50033.0"/>
        <n v="50039.0"/>
        <n v="50041.0"/>
        <n v="50043.0"/>
        <n v="50044.0"/>
        <n v="50046.0"/>
        <n v="50047.0"/>
        <n v="50051.0"/>
        <n v="50052.0"/>
        <n v="50054.0"/>
        <n v="50065.0"/>
        <n v="50066.0"/>
        <n v="50069.0"/>
        <n v="50073.0"/>
        <n v="50076.0"/>
        <n v="50078.0"/>
        <n v="50082.0"/>
        <n v="50083.0"/>
        <n v="50092.0"/>
        <n v="50094.0"/>
        <n v="50104.0"/>
        <n v="50110.0"/>
        <n v="50113.0"/>
        <n v="50114.0"/>
        <n v="50119.0"/>
        <n v="50122.0"/>
        <n v="50123.0"/>
        <n v="50127.0"/>
        <n v="50129.0"/>
        <n v="50133.0"/>
        <n v="50136.0"/>
        <n v="50137.0"/>
        <n v="50143.0"/>
        <n v="50144.0"/>
        <n v="50146.0"/>
        <n v="50147.0"/>
        <n v="50148.0"/>
        <n v="50149.0"/>
        <n v="50150.0"/>
        <n v="50154.0"/>
        <n v="50155.0"/>
        <n v="50157.0"/>
        <n v="50159.0"/>
        <n v="50160.0"/>
        <n v="50168.0"/>
        <n v="50169.0"/>
        <n v="50170.0"/>
        <n v="50173.0"/>
        <n v="50178.0"/>
        <n v="50185.0"/>
        <m/>
      </sharedItems>
    </cacheField>
    <cacheField name="Community Name " numFmtId="0">
      <sharedItems containsBlank="1">
        <s v="Mom Shares Club"/>
        <s v="HanHangul"/>
        <s v="The Fin Street"/>
        <s v="Pharmacology Insiders"/>
        <s v="Ladies &amp; Gentlemen "/>
        <s v="The Data Talk"/>
        <s v="Exa-Python Community"/>
        <s v="Write your wrong"/>
        <s v="Startup Change Leaders"/>
        <s v="Blogging Life"/>
        <s v="Budding Teachers"/>
        <s v="Nature Enthusiasts-FareenaVblogs"/>
        <s v="Power of Communications"/>
        <s v="HEAL-Journey to Happiness"/>
        <s v="Bonjour Amis French"/>
        <s v="Digital Writopreneurs Hub"/>
        <s v="khushi se yoga"/>
        <s v="Python Geeks"/>
        <s v="Happy Ashram"/>
        <s v="She Splash"/>
        <s v="Transformed Finance Professionals"/>
        <s v="Through Thick and Thin"/>
        <s v="The Man Makeover"/>
        <s v="Design Forward"/>
        <s v="Mentor Mate"/>
        <s v="Ishavasya Yoga &amp; Relaxation"/>
        <s v="Rapto Bhara Jeevan"/>
        <s v="BeingEarthable"/>
        <s v="BSB Life Academy "/>
        <s v="Yoga with Ratika | Roooted"/>
        <s v="Well Being"/>
        <s v="Spokken"/>
        <s v="Magical Parenting"/>
        <s v="Graphology"/>
        <s v="The Alt Living"/>
        <s v="The FeWh Tribe"/>
        <s v="Let's Speak English"/>
        <s v="Energy Healing"/>
        <s v="Happy Living"/>
        <s v="Learn German with Heer"/>
        <s v="Bridl360.club "/>
        <s v="Leena Listens "/>
        <s v="GAPD"/>
        <s v="Azhar's Speaking Club"/>
        <s v="Shishu Ahaar "/>
        <s v="Daily Skills Community"/>
        <s v="Tarotpreneur "/>
        <s v=" Empty Cup"/>
        <s v=" BAKERPRENEURSHIP"/>
        <s v="A Blue Lotus Life"/>
        <s v=" Business Impactopreneur"/>
        <s v="meeting with self"/>
        <s v="Master Your thinking "/>
        <s v="kash studio"/>
        <s v="Focus Inside"/>
        <s v="CONFIDENCE BOOSTING CLUB"/>
        <s v="Yoga by Amruta"/>
        <s v="LinkedGrow "/>
        <s v="Let'sLearntoSocial - ABFC"/>
        <s v="Steps Towards Crafting"/>
        <s v="UVA Fit"/>
        <s v="Skillyukt"/>
        <s v="Turning Dreams into Stardom"/>
        <s v="Level Zero Esports "/>
        <s v="Finowiz - The Financial Wizard"/>
        <s v="BYOB"/>
        <s v="THE WINNER'S MINDSET "/>
        <m/>
      </sharedItems>
    </cacheField>
    <cacheField name="UserName" numFmtId="0">
      <sharedItems containsBlank="1">
        <s v="Akshita Lopa"/>
        <s v="Ankita Jain"/>
        <s v="Krisha Jain"/>
        <s v="Ruchi Shah"/>
        <s v="Sarah Melson"/>
        <s v="Sonal Malhotra"/>
        <s v="Anshika"/>
        <s v="Nikita"/>
        <s v="Umera Zaki"/>
        <s v="Karishma Shah"/>
        <s v="Roopal "/>
        <s v="Monica Dulani"/>
        <s v="Nidhi Khicha"/>
        <s v="Anjali Naik"/>
        <s v="Smriti Bhardwaj"/>
        <s v="Satish"/>
        <s v="Neha Kumari"/>
        <s v="Rahul Guha"/>
        <s v="Simran Jeet Singh"/>
        <s v="Trishna Sagar"/>
        <s v="Mallikarjun Jaji"/>
        <s v="Yash Kurhe"/>
        <s v="Pranesha"/>
        <s v="Kiran Chanabasappa Nilugal"/>
        <s v="Murgesh Raj"/>
        <s v="Vishal Rastogi"/>
        <s v="Shivika"/>
        <s v="Chinna Surya Mallavarapu"/>
        <s v="Vishnu Chowdhary"/>
        <s v="Hari Prasad"/>
        <s v="Rohit Kumar ojha"/>
        <s v="Ravi"/>
        <s v="Sangeeth Sadanand"/>
        <s v="Vishnu nandawdekar"/>
        <s v="Sasank amavarapu"/>
        <s v="Saman siddiqui"/>
        <s v="Bhagya"/>
        <s v="Akash bhagat"/>
        <s v="Tanisha Sharma"/>
        <s v="Suraaj Hasija"/>
        <s v="Gururajan"/>
        <s v="Aashi Gaur"/>
        <s v="Mohit Mathur"/>
        <s v="Jugal Kishor Suthar"/>
        <s v="Ankush Singh Gandhi"/>
        <s v="Bansi"/>
        <s v="Atul Gupta"/>
        <s v="Shishir Kumar"/>
        <s v="Rajan vohra"/>
        <s v="Shailender Pandey"/>
        <s v="Payal"/>
        <s v="Sudipto Sahu"/>
        <s v="Saurabh"/>
        <s v="Kushagra Hatwal"/>
        <s v="Venkatesh javalgeri"/>
        <s v="Leila Sandra"/>
        <s v="Le Hai"/>
        <s v="Hari Krishna CM"/>
        <s v="Smriti"/>
        <s v="Suchi"/>
        <s v="Lalit Singh"/>
        <s v="Khushi Malhotra"/>
        <s v="Akash Agarwal "/>
        <s v="Rajeev Nayan Pathak"/>
        <s v="Vishal Dalve "/>
        <s v="Poonam Malik"/>
        <s v="Dr. Anjana Tiwari"/>
        <s v="Seema Mishra"/>
        <s v="Sounak Dey "/>
        <s v="Zealot Manjushree Biswas "/>
        <s v="Vaidyanathan ramasamy"/>
        <s v="Vidyashree PN"/>
        <s v="Shubhada Pande "/>
        <s v="Abhishek kumar pathak"/>
        <s v="Sangita Jain"/>
        <s v="Sumit Karmakar "/>
        <s v="Sakshi Rattan"/>
        <s v="Paramita"/>
        <s v="Varsha Agarwal"/>
        <s v="Preeti Shah"/>
        <s v="Risha Khan"/>
        <s v="Amit Masih"/>
        <s v="Mansi Arora "/>
        <s v="D Arun Prasad "/>
        <s v="Ravinder Kaur Virdi"/>
        <s v="Trishita Roy"/>
        <s v="Balwan Bansal"/>
        <s v="Simran"/>
        <s v="Deepak Surendar"/>
        <s v="Akash Guruprasanna"/>
        <s v="Harsheen Kaur Vohra"/>
        <s v="Prakruti Mehta"/>
        <s v="rahul prasad"/>
        <s v="Rachit sharma"/>
        <s v="Rachit"/>
        <s v="Nikket Pokharrna"/>
        <s v="Himanshu Dubey"/>
        <s v="Ramesh"/>
        <s v="Deepti Manish Dubey"/>
        <s v="Somya Pandey"/>
        <s v="Hitendra Beniwal"/>
        <s v="Puneet Gupta"/>
        <s v="Rahul Singh"/>
        <s v="Nidhi Gupta"/>
        <s v="Anita Samal"/>
        <s v="Abhilash Chyau Pattanaik"/>
        <s v="Dhruv Gupta"/>
        <s v="Swami Premananda                      "/>
        <s v="Shivani Aggarwal"/>
        <s v="Sushil Bhasin"/>
        <s v="Bharti"/>
        <s v="Bindu"/>
        <s v="Rajvi"/>
        <s v="Palak"/>
        <s v="Rati"/>
        <s v="Harnoor Saini"/>
        <s v="Mayank Tomar"/>
        <s v="Manas garg"/>
        <s v="Sparsh Agrawal"/>
        <s v="Ritu Kataria"/>
        <s v="Dhatri Mehta"/>
        <s v="Divya Pathak"/>
        <s v="Disha Gupta"/>
        <s v="Ekta Singh"/>
        <s v="Farhana Azmi"/>
        <s v="Syeda Afshan Afreen"/>
        <s v="Rufia Sarosh"/>
        <s v="Mohd. Imran"/>
        <s v="Shilpa Rajput"/>
        <s v="Swapnil singh"/>
        <s v="Muskan bhaiya"/>
        <s v="Shubhi"/>
        <s v="Devika Barua"/>
        <s v="Nidhi Choudhary"/>
        <s v="Siddhesh Rane"/>
        <s v="Ekta manchanda"/>
        <s v="Abhishek Nigam"/>
        <s v="Megha Agarwal"/>
        <s v="Kumar bhattacharjee"/>
        <s v="Aditya Mehrunkar"/>
        <s v="Mohit Mehrunkar"/>
        <s v="Dr. Bharti Dua"/>
        <s v="Sagar Dua"/>
        <s v="Thamizhilakkiya D"/>
        <s v="Shipra Kukreja"/>
        <s v="Ritu Kataria "/>
        <s v="Rushikesh Bhosle                 "/>
        <s v="Darpan Datta"/>
        <s v="Eshwar varma"/>
        <s v="Niveditha Lokini"/>
        <s v="Raghavendra Kumar"/>
        <s v="Lekhraj dembla"/>
        <s v="Leah Rolin"/>
        <s v="Tensi mangal"/>
        <s v="Khushi Mittal"/>
        <s v="Ayushi thakur"/>
        <s v="Aksent"/>
        <s v="Ramya"/>
        <s v="Abdul shathik"/>
        <s v="Ruchee Tibrewal"/>
        <s v="Garima yadav"/>
        <s v="Mansi Agrawal"/>
        <s v="Urvashi saxena"/>
        <s v="Subilal"/>
        <s v="Urvashi"/>
        <s v="Mg sathish kumar"/>
        <s v="Surendar"/>
        <s v="Shiva kumar"/>
        <s v="Manikandan"/>
        <s v="Anshul jain"/>
        <s v="Shradha"/>
        <s v="Taha Mahmood"/>
        <s v="Sushma Singh Chauhan"/>
        <s v="Rajinder soni"/>
        <s v="Ravinder kaur"/>
        <s v="Mansi Arora"/>
        <s v="Sowrabha mahesh"/>
        <s v="Navneet Soni"/>
        <s v="Tarun pahuja"/>
        <s v="Saranya"/>
        <s v="S. K. Biswas"/>
        <s v="Anish Varghese"/>
        <s v="Bhavesh Kantharia"/>
        <s v="Karuna Sapkale"/>
        <s v="Rajendra Shah"/>
        <s v="Nishi Shah"/>
        <s v="yash desai"/>
        <s v="Rahul Tallapally"/>
        <s v="Dilip"/>
        <s v="Shiva teja"/>
        <s v="Jay Chander"/>
        <s v="Kalyan"/>
        <s v="Hemanta Maji"/>
        <s v="Tanvir Singh"/>
        <s v="Geetanjali Arora"/>
        <s v="priyanka sharma"/>
        <s v="saurabh thakekar"/>
        <s v="Rajiv"/>
        <s v="Samruddhi Thakekar"/>
        <s v="adi"/>
        <s v="Gauri Bellad"/>
        <s v="Priti Sangwan  "/>
        <s v="Devraj"/>
        <s v="Aditi"/>
        <s v="Raghu Sampangi"/>
        <s v="Aveline Juliet"/>
        <s v="Rahul Mehra"/>
        <s v="Srishti"/>
        <s v="Muskan Bhaiyan"/>
        <s v="MannSehgal"/>
        <s v="Jitendra Singh"/>
        <s v="Adarsh Verma"/>
        <s v="Abhishek Rawat"/>
        <s v="Dipayan Bhowal"/>
        <s v="Shrey Verma"/>
        <s v="Dibyoshnata "/>
        <s v="Rushikesh Bhosle                     +91 90967 97304"/>
        <s v="Muskan Bhaiya                           +91 87701 33567"/>
        <s v="Swami Premananda                       +91 78178 74460"/>
        <s v="Manoj Kumar K C"/>
        <s v="Ishan Majumdar"/>
        <s v="Sreenath"/>
        <s v="Vartika 118"/>
        <s v="Vartika Patwal"/>
        <m/>
      </sharedItems>
    </cacheField>
    <cacheField name="Userphone" numFmtId="0">
      <sharedItems containsString="0" containsBlank="1" containsNumber="1" containsInteger="1">
        <n v="7.838168936E9"/>
        <n v="9.890643316E9"/>
        <n v="7.5671089E9"/>
        <n v="7.069202551E9"/>
        <n v="9.886800717E9"/>
        <n v="9.999603348E9"/>
        <n v="8.407932555E9"/>
        <n v="8.806661434E9"/>
        <n v="9.601139069E9"/>
        <n v="9.820113059E9"/>
        <n v="9.89167277E9"/>
        <n v="9.920222744E9"/>
        <n v="9.940531124E9"/>
        <n v="9.986820854E9"/>
        <n v="6.299130284E9"/>
        <n v="8.454085091E9"/>
        <n v="7.734931429E9"/>
        <n v="9.810386533E9"/>
        <n v="8.447875636E9"/>
        <n v="7.903090754E9"/>
        <n v="9.654838825E9"/>
        <n v="4.6734765046E10"/>
        <n v="9.573605238E9"/>
        <n v="6.016321013E10"/>
        <n v="9.6898384535E10"/>
        <n v="9.166106191E9"/>
        <n v="9.560433249E9"/>
        <n v="9.177493764E9"/>
        <n v="9.914566084E9"/>
        <n v="9.629249603E9"/>
        <n v="7.870337647E9"/>
        <n v="7.987299227E9"/>
        <n v="9.819552193E9"/>
        <n v="9.975248374E9"/>
        <n v="7.981370912E9"/>
        <n v="9.179517033E9"/>
        <n v="9.623157515E9"/>
        <n v="8.789997907E9"/>
        <n v="8.194882965E9"/>
        <n v="9.971840678E9"/>
        <n v="9.841004537E9"/>
        <n v="9.910959088E9"/>
        <n v="8.005936636E9"/>
        <n v="8.890209205E9"/>
        <n v="9.529639652E9"/>
        <m/>
        <n v="9.871607711E9"/>
        <n v="9.818646269E9"/>
        <n v="9.999677022E9"/>
        <n v="9.899371567E9"/>
        <n v="7.261802453E9"/>
        <n v="9.905326903E9"/>
        <n v="8.287031347E9"/>
        <n v="9.650225768E9"/>
        <n v="9.986227277E9"/>
        <n v="7.25611858E8"/>
        <n v="8.436293022E10"/>
        <n v="9.966271433E9"/>
        <n v="7.906390495E9"/>
        <n v="8.401384031E9"/>
        <n v="9.818088722E9"/>
        <n v="8.700752505E9"/>
        <n v="8.840065724E9"/>
        <n v="7.987396421E9"/>
        <n v="7.8881203E9"/>
        <n v="9.718391279E9"/>
        <n v="9.131032813E9"/>
        <n v="8.827505348E9"/>
        <n v="8.383800735E9"/>
        <n v="9.893352854E9"/>
        <n v="7.639509713E9"/>
        <n v="9.663398802E9"/>
        <n v="8.850399316E9"/>
        <n v="9.880870713E9"/>
        <n v="9.941377E9"/>
        <n v="6.289441299E9"/>
        <n v="8.447345035E9"/>
        <n v="9.836314718E9"/>
        <n v="9.960152343E9"/>
        <n v="9.818865573E9"/>
        <n v="7.869092121E9"/>
        <n v="7.014274198E9"/>
        <n v="7.824050548E9"/>
        <n v="7.824032321E9"/>
        <n v="9.041510096E9"/>
        <n v="9.954706256E9"/>
        <n v="9.871767277E9"/>
        <n v="7.009576673E9"/>
        <n v="9.900969993E9"/>
        <n v="9.87043603E9"/>
        <n v="9.326969984E9"/>
        <n v="8.991287494E9"/>
        <n v="7.014351653E9"/>
        <n v="9.413432005E9"/>
        <n v="7.744007007E9"/>
        <n v="8.851173675E9"/>
        <n v="9.971702906E9"/>
        <n v="9.140329822E9"/>
        <n v="7.90670777E9"/>
        <n v="7.976602962E9"/>
        <n v="8.383923429E9"/>
        <n v="9.792382907E9"/>
        <n v="9.910080349E9"/>
        <n v="8.018744484E9"/>
        <n v="6.37124932E9"/>
        <n v="9.560980869E9"/>
        <n v="7.81787446E9"/>
        <n v="8.800139199E9"/>
        <n v="9.987082135E9"/>
        <n v="9.022422689E9"/>
        <n v="9.008600885E9"/>
        <n v="7.405088397E9"/>
        <n v="8.860859358E9"/>
        <n v="7.349447787E9"/>
        <n v="8.968837789E9"/>
        <n v="8.866669652E9"/>
        <n v="7.56622022E9"/>
        <n v="7.389787872E9"/>
        <n v="9.179300104E9"/>
        <n v="7.567581069E9"/>
        <n v="9.555685211E9"/>
        <n v="9.880709892E9"/>
        <n v="7.022733053E9"/>
        <n v="8.919669532E9"/>
        <n v="7.287979978E9"/>
        <n v="8.897292841E9"/>
        <n v="7.702467669E9"/>
        <n v="9.818763077E9"/>
        <n v="7.905879866E9"/>
        <n v="8.770133567E9"/>
        <n v="9.663917427E9"/>
        <n v="7.842772646E9"/>
        <n v="9.564811852E9"/>
        <n v="9.844218261E9"/>
        <n v="8.100448763E9"/>
        <n v="8.26855943E9"/>
        <n v="8.918272897E9"/>
        <n v="7.362917633E9"/>
        <n v="8.319727603E9"/>
        <n v="8.720017084E9"/>
        <n v="9.958855773E9"/>
        <n v="9.899868752E9"/>
        <n v="6.384200772E9"/>
        <n v="9.873343157E9"/>
        <n v="9.096797304E9"/>
        <n v="9.966828276E9"/>
        <n v="9.603840615E9"/>
        <n v="8.68859207E9"/>
        <n v="9.966696962E9"/>
        <n v="9.370399756E9"/>
        <n v="7.23985888E8"/>
        <n v="8.744053472E9"/>
        <n v="9.02468377E9"/>
        <n v="9.98254016E9"/>
        <n v="9.789900188E9"/>
        <n v="9.840633666E9"/>
        <n v="9.884355225E9"/>
        <n v="9.764658115E9"/>
        <n v="8.510029648E9"/>
        <n v="9.315702844E9"/>
        <n v="9.14012646E9"/>
        <n v="8.848884773E9"/>
        <n v="9.79094848E9"/>
        <n v="9.790847235E9"/>
        <n v="9.718080275E9"/>
        <n v="9.566049806E9"/>
        <n v="8.264960042E9"/>
        <n v="9.903400244E9"/>
        <n v="7.705991985E9"/>
        <n v="9.310713265E9"/>
        <n v="7.291849502E9"/>
        <n v="9.591001177E9"/>
        <n v="8.890131313E9"/>
        <n v="8.290177777E9"/>
        <n v="9.205510638E9"/>
        <n v="8.237586423E9"/>
        <n v="9.545986743E9"/>
        <n v="7.738219353E9"/>
        <n v="9.920440266E9"/>
        <n v="9.702420916E9"/>
        <n v="9.892250467E9"/>
        <n v="7.208621428E9"/>
        <n v="9.967075954E9"/>
        <n v="9.959789706E9"/>
        <n v="7.013282939E9"/>
        <n v="7.569065193E9"/>
        <n v="9.182659754E9"/>
        <n v="7.095149101E9"/>
        <n v="9.804307035E9"/>
        <n v="7.814842855E9"/>
        <n v="9.805554761E9"/>
        <n v="9.736834208E9"/>
        <n v="8.850328619E9"/>
        <n v="7.973740776E9"/>
        <n v="9.029353562E9"/>
        <n v="6.283605707E9"/>
        <n v="8.722090222E9"/>
        <n v="8.762050817E9"/>
        <n v="7.015621821E9"/>
        <n v="7.838588437E9"/>
        <n v="9.357285674E9"/>
        <n v="9.845001865E9"/>
        <n v="9.98096251E9"/>
        <n v="9.19971370742E11"/>
        <n v="9.953550139E9"/>
        <n v="8.368912629E9"/>
        <n v="9.910058048E9"/>
        <n v="7.408554704E9"/>
        <n v="9.123080989E9"/>
        <n v="9.877829441E9"/>
        <n v="9.874839969E9"/>
        <n v="7.980750861E9"/>
        <n v="9.17015621821E11"/>
        <n v="9.18851394064E11"/>
        <n v="9.19096797304E11"/>
        <n v="8.281484301E9"/>
        <n v="9.836968346E9"/>
        <n v="9.744256231E9"/>
        <n v="8.178651082E9"/>
        <n v="9.560880144E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70" firstHeaderRow="0" firstDataRow="1" firstDataCol="0"/>
  <pivotFields>
    <pivotField name="Community Id" axis="axisRow" dataField="1" compact="0" outline="0" multipleItemSelectionAllowed="1" showAll="0" sortType="ascending">
      <items>
        <item x="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Community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Us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t="default"/>
      </items>
    </pivotField>
    <pivotField name="User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</pivotFields>
  <rowFields>
    <field x="0"/>
  </rowFields>
  <dataFields>
    <dataField name="COUNTA of Community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community.likeminds.community/debattlers" TargetMode="External"/><Relationship Id="rId391" Type="http://schemas.openxmlformats.org/officeDocument/2006/relationships/hyperlink" Target="https://community.likeminds.community/debattlers" TargetMode="External"/><Relationship Id="rId390" Type="http://schemas.openxmlformats.org/officeDocument/2006/relationships/hyperlink" Target="https://community.likeminds.community/debattlers" TargetMode="External"/><Relationship Id="rId1" Type="http://schemas.openxmlformats.org/officeDocument/2006/relationships/hyperlink" Target="https://hi.likeminds.community/d/a-blue-lotus-life" TargetMode="External"/><Relationship Id="rId2" Type="http://schemas.openxmlformats.org/officeDocument/2006/relationships/hyperlink" Target="https://hi.likeminds.community/d/a-blue-lotus-life" TargetMode="External"/><Relationship Id="rId3" Type="http://schemas.openxmlformats.org/officeDocument/2006/relationships/hyperlink" Target="https://hi.likeminds.community/d/a-blue-lotus-life" TargetMode="External"/><Relationship Id="rId4" Type="http://schemas.openxmlformats.org/officeDocument/2006/relationships/hyperlink" Target="https://hi.likeminds.community/d/a-blue-lotus-life" TargetMode="External"/><Relationship Id="rId2180" Type="http://schemas.openxmlformats.org/officeDocument/2006/relationships/hyperlink" Target="https://hi.likeminds.community/d/rapto-bhara-jeevan" TargetMode="External"/><Relationship Id="rId2181" Type="http://schemas.openxmlformats.org/officeDocument/2006/relationships/hyperlink" Target="https://hi.likeminds.community/d/rapto-bhara-jeevan" TargetMode="External"/><Relationship Id="rId2182" Type="http://schemas.openxmlformats.org/officeDocument/2006/relationships/hyperlink" Target="https://hi.likeminds.community/d/rapto-bhara-jeevan" TargetMode="External"/><Relationship Id="rId2183" Type="http://schemas.openxmlformats.org/officeDocument/2006/relationships/hyperlink" Target="https://hi.likeminds.community/d/rapto-bhara-jeevan" TargetMode="External"/><Relationship Id="rId9" Type="http://schemas.openxmlformats.org/officeDocument/2006/relationships/hyperlink" Target="https://community.likeminds.community/ahoj-lets-blog" TargetMode="External"/><Relationship Id="rId385" Type="http://schemas.openxmlformats.org/officeDocument/2006/relationships/hyperlink" Target="https://community.likeminds.community/debattlers" TargetMode="External"/><Relationship Id="rId2184" Type="http://schemas.openxmlformats.org/officeDocument/2006/relationships/hyperlink" Target="https://hi.likeminds.community/d/rapto-bhara-jeevan" TargetMode="External"/><Relationship Id="rId384" Type="http://schemas.openxmlformats.org/officeDocument/2006/relationships/hyperlink" Target="https://community.likeminds.community/debattlers" TargetMode="External"/><Relationship Id="rId2185" Type="http://schemas.openxmlformats.org/officeDocument/2006/relationships/hyperlink" Target="https://hi.likeminds.community/d/rapto-bhara-jeevan" TargetMode="External"/><Relationship Id="rId383" Type="http://schemas.openxmlformats.org/officeDocument/2006/relationships/hyperlink" Target="https://community.likeminds.community/debattlers" TargetMode="External"/><Relationship Id="rId2186" Type="http://schemas.openxmlformats.org/officeDocument/2006/relationships/hyperlink" Target="https://hi.likeminds.community/d/rapto-bhara-jeevan" TargetMode="External"/><Relationship Id="rId382" Type="http://schemas.openxmlformats.org/officeDocument/2006/relationships/hyperlink" Target="https://hi.likeminds.community/budding-teachers" TargetMode="External"/><Relationship Id="rId2187" Type="http://schemas.openxmlformats.org/officeDocument/2006/relationships/hyperlink" Target="https://hi.likeminds.community/d/rapto-bhara-jeevan" TargetMode="External"/><Relationship Id="rId5" Type="http://schemas.openxmlformats.org/officeDocument/2006/relationships/hyperlink" Target="https://hi.likeminds.community/d/a-blue-lotus-life" TargetMode="External"/><Relationship Id="rId389" Type="http://schemas.openxmlformats.org/officeDocument/2006/relationships/hyperlink" Target="https://community.likeminds.community/debattlers" TargetMode="External"/><Relationship Id="rId2188" Type="http://schemas.openxmlformats.org/officeDocument/2006/relationships/hyperlink" Target="https://hi.likeminds.community/d/rapto-bhara-jeevan" TargetMode="External"/><Relationship Id="rId6" Type="http://schemas.openxmlformats.org/officeDocument/2006/relationships/hyperlink" Target="https://hi.likeminds.community/d/a-blue-lotus-life" TargetMode="External"/><Relationship Id="rId388" Type="http://schemas.openxmlformats.org/officeDocument/2006/relationships/hyperlink" Target="https://community.likeminds.community/debattlers" TargetMode="External"/><Relationship Id="rId2189" Type="http://schemas.openxmlformats.org/officeDocument/2006/relationships/hyperlink" Target="https://hi.likeminds.community/d/rapto-bhara-jeevan" TargetMode="External"/><Relationship Id="rId7" Type="http://schemas.openxmlformats.org/officeDocument/2006/relationships/hyperlink" Target="https://community.likeminds.community/ahoj-lets-blog" TargetMode="External"/><Relationship Id="rId387" Type="http://schemas.openxmlformats.org/officeDocument/2006/relationships/hyperlink" Target="https://community.likeminds.community/debattlers" TargetMode="External"/><Relationship Id="rId8" Type="http://schemas.openxmlformats.org/officeDocument/2006/relationships/hyperlink" Target="https://community.likeminds.community/ahoj-lets-blog" TargetMode="External"/><Relationship Id="rId386" Type="http://schemas.openxmlformats.org/officeDocument/2006/relationships/hyperlink" Target="https://community.likeminds.community/debattlers" TargetMode="External"/><Relationship Id="rId381" Type="http://schemas.openxmlformats.org/officeDocument/2006/relationships/hyperlink" Target="https://hi.likeminds.community/budding-teachers" TargetMode="External"/><Relationship Id="rId380" Type="http://schemas.openxmlformats.org/officeDocument/2006/relationships/hyperlink" Target="https://hi.likeminds.community/budding-teachers" TargetMode="External"/><Relationship Id="rId379" Type="http://schemas.openxmlformats.org/officeDocument/2006/relationships/hyperlink" Target="https://hi.likeminds.community/budding-teachers" TargetMode="External"/><Relationship Id="rId2170" Type="http://schemas.openxmlformats.org/officeDocument/2006/relationships/hyperlink" Target="https://hi.likeminds.community/d/rapto-bhara-jeevan" TargetMode="External"/><Relationship Id="rId2171" Type="http://schemas.openxmlformats.org/officeDocument/2006/relationships/hyperlink" Target="https://hi.likeminds.community/d/rapto-bhara-jeevan" TargetMode="External"/><Relationship Id="rId2172" Type="http://schemas.openxmlformats.org/officeDocument/2006/relationships/hyperlink" Target="https://hi.likeminds.community/d/rapto-bhara-jeevan" TargetMode="External"/><Relationship Id="rId374" Type="http://schemas.openxmlformats.org/officeDocument/2006/relationships/hyperlink" Target="https://hi.likeminds.community/budding-teachers" TargetMode="External"/><Relationship Id="rId2173" Type="http://schemas.openxmlformats.org/officeDocument/2006/relationships/hyperlink" Target="https://hi.likeminds.community/d/rapto-bhara-jeevan" TargetMode="External"/><Relationship Id="rId373" Type="http://schemas.openxmlformats.org/officeDocument/2006/relationships/hyperlink" Target="https://hi.likeminds.community/budding-teachers" TargetMode="External"/><Relationship Id="rId2174" Type="http://schemas.openxmlformats.org/officeDocument/2006/relationships/hyperlink" Target="https://hi.likeminds.community/d/rapto-bhara-jeevan" TargetMode="External"/><Relationship Id="rId372" Type="http://schemas.openxmlformats.org/officeDocument/2006/relationships/hyperlink" Target="https://hi.likeminds.community/budding-teachers" TargetMode="External"/><Relationship Id="rId2175" Type="http://schemas.openxmlformats.org/officeDocument/2006/relationships/hyperlink" Target="https://hi.likeminds.community/d/rapto-bhara-jeevan" TargetMode="External"/><Relationship Id="rId371" Type="http://schemas.openxmlformats.org/officeDocument/2006/relationships/hyperlink" Target="https://hi.likeminds.community/budding-teachers" TargetMode="External"/><Relationship Id="rId2176" Type="http://schemas.openxmlformats.org/officeDocument/2006/relationships/hyperlink" Target="https://hi.likeminds.community/d/rapto-bhara-jeevan" TargetMode="External"/><Relationship Id="rId378" Type="http://schemas.openxmlformats.org/officeDocument/2006/relationships/hyperlink" Target="https://hi.likeminds.community/budding-teachers" TargetMode="External"/><Relationship Id="rId2177" Type="http://schemas.openxmlformats.org/officeDocument/2006/relationships/hyperlink" Target="https://hi.likeminds.community/d/rapto-bhara-jeevan" TargetMode="External"/><Relationship Id="rId377" Type="http://schemas.openxmlformats.org/officeDocument/2006/relationships/hyperlink" Target="https://hi.likeminds.community/budding-teachers" TargetMode="External"/><Relationship Id="rId2178" Type="http://schemas.openxmlformats.org/officeDocument/2006/relationships/hyperlink" Target="https://hi.likeminds.community/d/rapto-bhara-jeevan" TargetMode="External"/><Relationship Id="rId376" Type="http://schemas.openxmlformats.org/officeDocument/2006/relationships/hyperlink" Target="https://hi.likeminds.community/budding-teachers" TargetMode="External"/><Relationship Id="rId2179" Type="http://schemas.openxmlformats.org/officeDocument/2006/relationships/hyperlink" Target="https://hi.likeminds.community/d/rapto-bhara-jeevan" TargetMode="External"/><Relationship Id="rId375" Type="http://schemas.openxmlformats.org/officeDocument/2006/relationships/hyperlink" Target="https://hi.likeminds.community/budding-teachers" TargetMode="External"/><Relationship Id="rId2190" Type="http://schemas.openxmlformats.org/officeDocument/2006/relationships/hyperlink" Target="https://hi.likeminds.community/d/rapto-bhara-jeevan" TargetMode="External"/><Relationship Id="rId2191" Type="http://schemas.openxmlformats.org/officeDocument/2006/relationships/hyperlink" Target="https://hi.likeminds.community/d/rapto-bhara-jeevan" TargetMode="External"/><Relationship Id="rId2192" Type="http://schemas.openxmlformats.org/officeDocument/2006/relationships/hyperlink" Target="https://hi.likeminds.community/d/rapto-bhara-jeevan" TargetMode="External"/><Relationship Id="rId2193" Type="http://schemas.openxmlformats.org/officeDocument/2006/relationships/hyperlink" Target="https://hi.likeminds.community/d/rapto-bhara-jeevan" TargetMode="External"/><Relationship Id="rId2194" Type="http://schemas.openxmlformats.org/officeDocument/2006/relationships/hyperlink" Target="https://hi.likeminds.community/d/rapto-bhara-jeevan" TargetMode="External"/><Relationship Id="rId396" Type="http://schemas.openxmlformats.org/officeDocument/2006/relationships/hyperlink" Target="https://community.likeminds.community/debattlers" TargetMode="External"/><Relationship Id="rId2195" Type="http://schemas.openxmlformats.org/officeDocument/2006/relationships/hyperlink" Target="https://hi.likeminds.community/d/rapto-bhara-jeevan" TargetMode="External"/><Relationship Id="rId395" Type="http://schemas.openxmlformats.org/officeDocument/2006/relationships/hyperlink" Target="https://community.likeminds.community/debattlers" TargetMode="External"/><Relationship Id="rId2196" Type="http://schemas.openxmlformats.org/officeDocument/2006/relationships/hyperlink" Target="https://hi.likeminds.community/d/rapto-bhara-jeevan" TargetMode="External"/><Relationship Id="rId394" Type="http://schemas.openxmlformats.org/officeDocument/2006/relationships/hyperlink" Target="https://community.likeminds.community/debattlers" TargetMode="External"/><Relationship Id="rId2197" Type="http://schemas.openxmlformats.org/officeDocument/2006/relationships/hyperlink" Target="https://hi.likeminds.community/d/rapto-bhara-jeevan" TargetMode="External"/><Relationship Id="rId393" Type="http://schemas.openxmlformats.org/officeDocument/2006/relationships/hyperlink" Target="https://community.likeminds.community/debattlers" TargetMode="External"/><Relationship Id="rId2198" Type="http://schemas.openxmlformats.org/officeDocument/2006/relationships/hyperlink" Target="https://hi.likeminds.community/d/rapto-bhara-jeevan" TargetMode="External"/><Relationship Id="rId2199" Type="http://schemas.openxmlformats.org/officeDocument/2006/relationships/hyperlink" Target="https://hi.likeminds.community/d/rapto-bhara-jeevan" TargetMode="External"/><Relationship Id="rId399" Type="http://schemas.openxmlformats.org/officeDocument/2006/relationships/hyperlink" Target="https://community.likeminds.community/debattlers" TargetMode="External"/><Relationship Id="rId398" Type="http://schemas.openxmlformats.org/officeDocument/2006/relationships/hyperlink" Target="https://community.likeminds.community/debattlers" TargetMode="External"/><Relationship Id="rId397" Type="http://schemas.openxmlformats.org/officeDocument/2006/relationships/hyperlink" Target="https://community.likeminds.community/debattlers" TargetMode="External"/><Relationship Id="rId1730" Type="http://schemas.openxmlformats.org/officeDocument/2006/relationships/hyperlink" Target="https://hi.likeminds.community/d/nature-enthusiasts-fareenavblogs" TargetMode="External"/><Relationship Id="rId1731" Type="http://schemas.openxmlformats.org/officeDocument/2006/relationships/hyperlink" Target="https://hi.likeminds.community/d/nature-enthusiasts-fareenavblogs" TargetMode="External"/><Relationship Id="rId1732" Type="http://schemas.openxmlformats.org/officeDocument/2006/relationships/hyperlink" Target="https://hi.likeminds.community/d/nature-enthusiasts-fareenavblogs" TargetMode="External"/><Relationship Id="rId1733" Type="http://schemas.openxmlformats.org/officeDocument/2006/relationships/hyperlink" Target="https://hi.likeminds.community/d/nature-enthusiasts-fareenavblogs" TargetMode="External"/><Relationship Id="rId1734" Type="http://schemas.openxmlformats.org/officeDocument/2006/relationships/hyperlink" Target="https://hi.likeminds.community/d/nature-enthusiasts-fareenavblogs" TargetMode="External"/><Relationship Id="rId1735" Type="http://schemas.openxmlformats.org/officeDocument/2006/relationships/hyperlink" Target="https://hi.likeminds.community/d/nature-enthusiasts-fareenavblogs" TargetMode="External"/><Relationship Id="rId1736" Type="http://schemas.openxmlformats.org/officeDocument/2006/relationships/hyperlink" Target="https://hi.likeminds.community/d/nature-enthusiasts-fareenavblogs" TargetMode="External"/><Relationship Id="rId1737" Type="http://schemas.openxmlformats.org/officeDocument/2006/relationships/hyperlink" Target="https://hi.likeminds.community/d/nature-enthusiasts-fareenavblogs" TargetMode="External"/><Relationship Id="rId1738" Type="http://schemas.openxmlformats.org/officeDocument/2006/relationships/hyperlink" Target="https://hi.likeminds.community/d/nature-enthusiasts-fareenavblogs" TargetMode="External"/><Relationship Id="rId1739" Type="http://schemas.openxmlformats.org/officeDocument/2006/relationships/hyperlink" Target="https://hi.likeminds.community/d/nature-enthusiasts-fareenavblogs" TargetMode="External"/><Relationship Id="rId1720" Type="http://schemas.openxmlformats.org/officeDocument/2006/relationships/hyperlink" Target="https://community.likeminds.community/mom-shares-club" TargetMode="External"/><Relationship Id="rId1721" Type="http://schemas.openxmlformats.org/officeDocument/2006/relationships/hyperlink" Target="https://hi.likeminds.community/d/nature-enthusiasts-fareenavblogs" TargetMode="External"/><Relationship Id="rId1722" Type="http://schemas.openxmlformats.org/officeDocument/2006/relationships/hyperlink" Target="https://hi.likeminds.community/d/nature-enthusiasts-fareenavblogs" TargetMode="External"/><Relationship Id="rId1723" Type="http://schemas.openxmlformats.org/officeDocument/2006/relationships/hyperlink" Target="https://hi.likeminds.community/d/nature-enthusiasts-fareenavblogs" TargetMode="External"/><Relationship Id="rId1724" Type="http://schemas.openxmlformats.org/officeDocument/2006/relationships/hyperlink" Target="https://hi.likeminds.community/d/nature-enthusiasts-fareenavblogs" TargetMode="External"/><Relationship Id="rId1725" Type="http://schemas.openxmlformats.org/officeDocument/2006/relationships/hyperlink" Target="https://hi.likeminds.community/d/nature-enthusiasts-fareenavblogs" TargetMode="External"/><Relationship Id="rId1726" Type="http://schemas.openxmlformats.org/officeDocument/2006/relationships/hyperlink" Target="https://hi.likeminds.community/d/nature-enthusiasts-fareenavblogs" TargetMode="External"/><Relationship Id="rId1727" Type="http://schemas.openxmlformats.org/officeDocument/2006/relationships/hyperlink" Target="https://hi.likeminds.community/d/nature-enthusiasts-fareenavblogs" TargetMode="External"/><Relationship Id="rId1728" Type="http://schemas.openxmlformats.org/officeDocument/2006/relationships/hyperlink" Target="https://hi.likeminds.community/d/nature-enthusiasts-fareenavblogs" TargetMode="External"/><Relationship Id="rId1729" Type="http://schemas.openxmlformats.org/officeDocument/2006/relationships/hyperlink" Target="https://hi.likeminds.community/d/nature-enthusiasts-fareenavblogs" TargetMode="External"/><Relationship Id="rId1752" Type="http://schemas.openxmlformats.org/officeDocument/2006/relationships/hyperlink" Target="https://hi.likeminds.community/d/nature-enthusiasts-fareenavblogs" TargetMode="External"/><Relationship Id="rId1753" Type="http://schemas.openxmlformats.org/officeDocument/2006/relationships/hyperlink" Target="https://hi.likeminds.community/d/nature-enthusiasts-fareenavblogs" TargetMode="External"/><Relationship Id="rId2600" Type="http://schemas.openxmlformats.org/officeDocument/2006/relationships/hyperlink" Target="https://community.likeminds.community/well-being" TargetMode="External"/><Relationship Id="rId1754" Type="http://schemas.openxmlformats.org/officeDocument/2006/relationships/hyperlink" Target="https://hi.likeminds.community/d/nature-enthusiasts-fareenavblogs" TargetMode="External"/><Relationship Id="rId2601" Type="http://schemas.openxmlformats.org/officeDocument/2006/relationships/hyperlink" Target="https://community.likeminds.community/well-being" TargetMode="External"/><Relationship Id="rId1755" Type="http://schemas.openxmlformats.org/officeDocument/2006/relationships/hyperlink" Target="https://hi.likeminds.community/d/nature-enthusiasts-fareenavblogs" TargetMode="External"/><Relationship Id="rId2602" Type="http://schemas.openxmlformats.org/officeDocument/2006/relationships/hyperlink" Target="https://community.likeminds.community/well-being" TargetMode="External"/><Relationship Id="rId1756" Type="http://schemas.openxmlformats.org/officeDocument/2006/relationships/hyperlink" Target="https://hi.likeminds.community/d/nature-enthusiasts-fareenavblogs" TargetMode="External"/><Relationship Id="rId2603" Type="http://schemas.openxmlformats.org/officeDocument/2006/relationships/hyperlink" Target="https://community.likeminds.community/well-being" TargetMode="External"/><Relationship Id="rId1757" Type="http://schemas.openxmlformats.org/officeDocument/2006/relationships/hyperlink" Target="https://hi.likeminds.community/d/nature-enthusiasts-fareenavblogs" TargetMode="External"/><Relationship Id="rId2604" Type="http://schemas.openxmlformats.org/officeDocument/2006/relationships/hyperlink" Target="https://community.likeminds.community/well-being" TargetMode="External"/><Relationship Id="rId1758" Type="http://schemas.openxmlformats.org/officeDocument/2006/relationships/hyperlink" Target="https://hi.likeminds.community/d/nature-enthusiasts-fareenavblogs" TargetMode="External"/><Relationship Id="rId2605" Type="http://schemas.openxmlformats.org/officeDocument/2006/relationships/hyperlink" Target="https://community.likeminds.community/well-being" TargetMode="External"/><Relationship Id="rId1759" Type="http://schemas.openxmlformats.org/officeDocument/2006/relationships/hyperlink" Target="https://hi.likeminds.community/d/nature-enthusiasts-fareenavblogs" TargetMode="External"/><Relationship Id="rId2606" Type="http://schemas.openxmlformats.org/officeDocument/2006/relationships/hyperlink" Target="https://community.likeminds.community/well-being" TargetMode="External"/><Relationship Id="rId808" Type="http://schemas.openxmlformats.org/officeDocument/2006/relationships/hyperlink" Target="https://hi.likeminds.community/d/energy-healing-by-dr-bharti-dua" TargetMode="External"/><Relationship Id="rId2607" Type="http://schemas.openxmlformats.org/officeDocument/2006/relationships/hyperlink" Target="https://community.likeminds.community/well-being" TargetMode="External"/><Relationship Id="rId807" Type="http://schemas.openxmlformats.org/officeDocument/2006/relationships/hyperlink" Target="https://hi.likeminds.community/d/energy-healing-by-dr-bharti-dua" TargetMode="External"/><Relationship Id="rId2608" Type="http://schemas.openxmlformats.org/officeDocument/2006/relationships/hyperlink" Target="https://community.likeminds.community/well-being" TargetMode="External"/><Relationship Id="rId806" Type="http://schemas.openxmlformats.org/officeDocument/2006/relationships/hyperlink" Target="https://hi.likeminds.community/d/energy-healing-by-dr-bharti-dua" TargetMode="External"/><Relationship Id="rId2609" Type="http://schemas.openxmlformats.org/officeDocument/2006/relationships/hyperlink" Target="https://hi.likeminds.community/well-being-renewal" TargetMode="External"/><Relationship Id="rId805" Type="http://schemas.openxmlformats.org/officeDocument/2006/relationships/hyperlink" Target="https://hi.likeminds.community/d/energy-healing-by-dr-bharti-dua" TargetMode="External"/><Relationship Id="rId809" Type="http://schemas.openxmlformats.org/officeDocument/2006/relationships/hyperlink" Target="https://hi.likeminds.community/d/energy-healing-by-dr-bharti-dua" TargetMode="External"/><Relationship Id="rId800" Type="http://schemas.openxmlformats.org/officeDocument/2006/relationships/hyperlink" Target="https://hi.likeminds.community/d/energy-healing-by-dr-bharti-dua" TargetMode="External"/><Relationship Id="rId804" Type="http://schemas.openxmlformats.org/officeDocument/2006/relationships/hyperlink" Target="https://hi.likeminds.community/d/energy-healing-by-dr-bharti-dua" TargetMode="External"/><Relationship Id="rId803" Type="http://schemas.openxmlformats.org/officeDocument/2006/relationships/hyperlink" Target="https://hi.likeminds.community/d/energy-healing-by-dr-bharti-dua" TargetMode="External"/><Relationship Id="rId802" Type="http://schemas.openxmlformats.org/officeDocument/2006/relationships/hyperlink" Target="https://hi.likeminds.community/d/energy-healing-by-dr-bharti-dua" TargetMode="External"/><Relationship Id="rId801" Type="http://schemas.openxmlformats.org/officeDocument/2006/relationships/hyperlink" Target="https://hi.likeminds.community/d/energy-healing-by-dr-bharti-dua" TargetMode="External"/><Relationship Id="rId1750" Type="http://schemas.openxmlformats.org/officeDocument/2006/relationships/hyperlink" Target="https://hi.likeminds.community/d/nature-enthusiasts-fareenavblogs" TargetMode="External"/><Relationship Id="rId1751" Type="http://schemas.openxmlformats.org/officeDocument/2006/relationships/hyperlink" Target="https://hi.likeminds.community/d/nature-enthusiasts-fareenavblogs" TargetMode="External"/><Relationship Id="rId1741" Type="http://schemas.openxmlformats.org/officeDocument/2006/relationships/hyperlink" Target="https://hi.likeminds.community/d/nature-enthusiasts-fareenavblogs" TargetMode="External"/><Relationship Id="rId1742" Type="http://schemas.openxmlformats.org/officeDocument/2006/relationships/hyperlink" Target="https://hi.likeminds.community/d/nature-enthusiasts-fareenavblogs" TargetMode="External"/><Relationship Id="rId1743" Type="http://schemas.openxmlformats.org/officeDocument/2006/relationships/hyperlink" Target="https://hi.likeminds.community/d/nature-enthusiasts-fareenavblogs" TargetMode="External"/><Relationship Id="rId1744" Type="http://schemas.openxmlformats.org/officeDocument/2006/relationships/hyperlink" Target="https://hi.likeminds.community/d/nature-enthusiasts-fareenavblogs" TargetMode="External"/><Relationship Id="rId1745" Type="http://schemas.openxmlformats.org/officeDocument/2006/relationships/hyperlink" Target="https://hi.likeminds.community/d/nature-enthusiasts-fareenavblogs" TargetMode="External"/><Relationship Id="rId1746" Type="http://schemas.openxmlformats.org/officeDocument/2006/relationships/hyperlink" Target="https://hi.likeminds.community/d/nature-enthusiasts-fareenavblogs" TargetMode="External"/><Relationship Id="rId1747" Type="http://schemas.openxmlformats.org/officeDocument/2006/relationships/hyperlink" Target="https://hi.likeminds.community/d/nature-enthusiasts-fareenavblogs" TargetMode="External"/><Relationship Id="rId1748" Type="http://schemas.openxmlformats.org/officeDocument/2006/relationships/hyperlink" Target="https://hi.likeminds.community/d/nature-enthusiasts-fareenavblogs" TargetMode="External"/><Relationship Id="rId1749" Type="http://schemas.openxmlformats.org/officeDocument/2006/relationships/hyperlink" Target="https://hi.likeminds.community/d/nature-enthusiasts-fareenavblogs" TargetMode="External"/><Relationship Id="rId1740" Type="http://schemas.openxmlformats.org/officeDocument/2006/relationships/hyperlink" Target="https://hi.likeminds.community/d/nature-enthusiasts-fareenavblogs" TargetMode="External"/><Relationship Id="rId1710" Type="http://schemas.openxmlformats.org/officeDocument/2006/relationships/hyperlink" Target="https://community.likeminds.community/mom-shares-club" TargetMode="External"/><Relationship Id="rId1711" Type="http://schemas.openxmlformats.org/officeDocument/2006/relationships/hyperlink" Target="https://community.likeminds.community/mom-shares-club" TargetMode="External"/><Relationship Id="rId1712" Type="http://schemas.openxmlformats.org/officeDocument/2006/relationships/hyperlink" Target="https://community.likeminds.community/mom-shares-club" TargetMode="External"/><Relationship Id="rId1713" Type="http://schemas.openxmlformats.org/officeDocument/2006/relationships/hyperlink" Target="https://community.likeminds.community/mom-shares-club" TargetMode="External"/><Relationship Id="rId1714" Type="http://schemas.openxmlformats.org/officeDocument/2006/relationships/hyperlink" Target="https://community.likeminds.community/mom-shares-club" TargetMode="External"/><Relationship Id="rId1715" Type="http://schemas.openxmlformats.org/officeDocument/2006/relationships/hyperlink" Target="https://community.likeminds.community/mom-shares-club" TargetMode="External"/><Relationship Id="rId1716" Type="http://schemas.openxmlformats.org/officeDocument/2006/relationships/hyperlink" Target="https://community.likeminds.community/mom-shares-club" TargetMode="External"/><Relationship Id="rId1717" Type="http://schemas.openxmlformats.org/officeDocument/2006/relationships/hyperlink" Target="https://community.likeminds.community/mom-shares-club" TargetMode="External"/><Relationship Id="rId1718" Type="http://schemas.openxmlformats.org/officeDocument/2006/relationships/hyperlink" Target="https://community.likeminds.community/mom-shares-club" TargetMode="External"/><Relationship Id="rId1719" Type="http://schemas.openxmlformats.org/officeDocument/2006/relationships/hyperlink" Target="https://community.likeminds.community/mom-shares-club" TargetMode="External"/><Relationship Id="rId1700" Type="http://schemas.openxmlformats.org/officeDocument/2006/relationships/hyperlink" Target="https://community.likeminds.community/mom-shares-club" TargetMode="External"/><Relationship Id="rId1701" Type="http://schemas.openxmlformats.org/officeDocument/2006/relationships/hyperlink" Target="https://community.likeminds.community/mom-shares-club" TargetMode="External"/><Relationship Id="rId1702" Type="http://schemas.openxmlformats.org/officeDocument/2006/relationships/hyperlink" Target="https://community.likeminds.community/mom-shares-club" TargetMode="External"/><Relationship Id="rId1703" Type="http://schemas.openxmlformats.org/officeDocument/2006/relationships/hyperlink" Target="https://community.likeminds.community/mom-shares-club" TargetMode="External"/><Relationship Id="rId1704" Type="http://schemas.openxmlformats.org/officeDocument/2006/relationships/hyperlink" Target="https://community.likeminds.community/mom-shares-club" TargetMode="External"/><Relationship Id="rId1705" Type="http://schemas.openxmlformats.org/officeDocument/2006/relationships/hyperlink" Target="https://community.likeminds.community/mom-shares-club" TargetMode="External"/><Relationship Id="rId1706" Type="http://schemas.openxmlformats.org/officeDocument/2006/relationships/hyperlink" Target="https://community.likeminds.community/mom-shares-club" TargetMode="External"/><Relationship Id="rId1707" Type="http://schemas.openxmlformats.org/officeDocument/2006/relationships/hyperlink" Target="https://community.likeminds.community/mom-shares-club" TargetMode="External"/><Relationship Id="rId1708" Type="http://schemas.openxmlformats.org/officeDocument/2006/relationships/hyperlink" Target="https://community.likeminds.community/mom-shares-club" TargetMode="External"/><Relationship Id="rId1709" Type="http://schemas.openxmlformats.org/officeDocument/2006/relationships/hyperlink" Target="https://community.likeminds.community/mom-shares-club" TargetMode="External"/><Relationship Id="rId40" Type="http://schemas.openxmlformats.org/officeDocument/2006/relationships/hyperlink" Target="https://community.likeminds.community/ahoj-lets-blog" TargetMode="External"/><Relationship Id="rId1334" Type="http://schemas.openxmlformats.org/officeDocument/2006/relationships/hyperlink" Target="https://hi.likeminds.community/khushi-se-yoga" TargetMode="External"/><Relationship Id="rId2665" Type="http://schemas.openxmlformats.org/officeDocument/2006/relationships/hyperlink" Target="https://community.likeminds.community/yo-geek-the-modern-yogi" TargetMode="External"/><Relationship Id="rId1335" Type="http://schemas.openxmlformats.org/officeDocument/2006/relationships/hyperlink" Target="https://hi.likeminds.community/khushi-se-yoga" TargetMode="External"/><Relationship Id="rId2666" Type="http://schemas.openxmlformats.org/officeDocument/2006/relationships/hyperlink" Target="https://community.likeminds.community/yo-geek-the-modern-yogi" TargetMode="External"/><Relationship Id="rId42" Type="http://schemas.openxmlformats.org/officeDocument/2006/relationships/hyperlink" Target="https://community.likeminds.community/ahoj-lets-blog" TargetMode="External"/><Relationship Id="rId1336" Type="http://schemas.openxmlformats.org/officeDocument/2006/relationships/hyperlink" Target="https://hi.likeminds.community/khushi-se-yoga" TargetMode="External"/><Relationship Id="rId2667" Type="http://schemas.openxmlformats.org/officeDocument/2006/relationships/hyperlink" Target="https://community.likeminds.community/yo-geek-the-modern-yogi" TargetMode="External"/><Relationship Id="rId41" Type="http://schemas.openxmlformats.org/officeDocument/2006/relationships/hyperlink" Target="https://community.likeminds.community/ahoj-lets-blog" TargetMode="External"/><Relationship Id="rId1337" Type="http://schemas.openxmlformats.org/officeDocument/2006/relationships/hyperlink" Target="https://hi.likeminds.community/khushi-se-yoga" TargetMode="External"/><Relationship Id="rId2668" Type="http://schemas.openxmlformats.org/officeDocument/2006/relationships/hyperlink" Target="https://community.likeminds.community/yo-geek-the-modern-yogi" TargetMode="External"/><Relationship Id="rId44" Type="http://schemas.openxmlformats.org/officeDocument/2006/relationships/hyperlink" Target="https://community.likeminds.community/ahoj-lets-blog" TargetMode="External"/><Relationship Id="rId1338" Type="http://schemas.openxmlformats.org/officeDocument/2006/relationships/hyperlink" Target="https://hi.likeminds.community/khushi-se-yoga" TargetMode="External"/><Relationship Id="rId2669" Type="http://schemas.openxmlformats.org/officeDocument/2006/relationships/hyperlink" Target="https://community.likeminds.community/yo-geek-the-modern-yogi" TargetMode="External"/><Relationship Id="rId43" Type="http://schemas.openxmlformats.org/officeDocument/2006/relationships/hyperlink" Target="https://community.likeminds.community/ahoj-lets-blog" TargetMode="External"/><Relationship Id="rId1339" Type="http://schemas.openxmlformats.org/officeDocument/2006/relationships/hyperlink" Target="https://hi.likeminds.community/khushi-se-yoga" TargetMode="External"/><Relationship Id="rId46" Type="http://schemas.openxmlformats.org/officeDocument/2006/relationships/hyperlink" Target="https://community.likeminds.community/ahoj-lets-blog" TargetMode="External"/><Relationship Id="rId45" Type="http://schemas.openxmlformats.org/officeDocument/2006/relationships/hyperlink" Target="https://community.likeminds.community/ahoj-lets-blog" TargetMode="External"/><Relationship Id="rId745" Type="http://schemas.openxmlformats.org/officeDocument/2006/relationships/hyperlink" Target="https://hi.likeminds.community/d/emptycup" TargetMode="External"/><Relationship Id="rId744" Type="http://schemas.openxmlformats.org/officeDocument/2006/relationships/hyperlink" Target="https://hi.likeminds.community/d/emptycup" TargetMode="External"/><Relationship Id="rId743" Type="http://schemas.openxmlformats.org/officeDocument/2006/relationships/hyperlink" Target="https://hi.likeminds.community/d/emptycup" TargetMode="External"/><Relationship Id="rId742" Type="http://schemas.openxmlformats.org/officeDocument/2006/relationships/hyperlink" Target="https://community.likeminds.community/dme-deigning-made-easy" TargetMode="External"/><Relationship Id="rId749" Type="http://schemas.openxmlformats.org/officeDocument/2006/relationships/hyperlink" Target="https://hi.likeminds.community/d/emptycup" TargetMode="External"/><Relationship Id="rId748" Type="http://schemas.openxmlformats.org/officeDocument/2006/relationships/hyperlink" Target="https://hi.likeminds.community/d/emptycup" TargetMode="External"/><Relationship Id="rId747" Type="http://schemas.openxmlformats.org/officeDocument/2006/relationships/hyperlink" Target="https://hi.likeminds.community/d/emptycup" TargetMode="External"/><Relationship Id="rId746" Type="http://schemas.openxmlformats.org/officeDocument/2006/relationships/hyperlink" Target="https://hi.likeminds.community/d/emptycup" TargetMode="External"/><Relationship Id="rId48" Type="http://schemas.openxmlformats.org/officeDocument/2006/relationships/hyperlink" Target="https://community.likeminds.community/ahoj-lets-blog" TargetMode="External"/><Relationship Id="rId47" Type="http://schemas.openxmlformats.org/officeDocument/2006/relationships/hyperlink" Target="https://community.likeminds.community/ahoj-lets-blog" TargetMode="External"/><Relationship Id="rId49" Type="http://schemas.openxmlformats.org/officeDocument/2006/relationships/hyperlink" Target="https://community.likeminds.community/ahoj-lets-blog" TargetMode="External"/><Relationship Id="rId2660" Type="http://schemas.openxmlformats.org/officeDocument/2006/relationships/hyperlink" Target="https://community.likeminds.community/yo-geek-the-modern-yogi" TargetMode="External"/><Relationship Id="rId741" Type="http://schemas.openxmlformats.org/officeDocument/2006/relationships/hyperlink" Target="https://community.likeminds.community/dme-deigning-made-easy" TargetMode="External"/><Relationship Id="rId1330" Type="http://schemas.openxmlformats.org/officeDocument/2006/relationships/hyperlink" Target="https://hi.likeminds.community/d/ishavasya-yoga-relaxation" TargetMode="External"/><Relationship Id="rId2661" Type="http://schemas.openxmlformats.org/officeDocument/2006/relationships/hyperlink" Target="https://community.likeminds.community/yo-geek-the-modern-yogi" TargetMode="External"/><Relationship Id="rId740" Type="http://schemas.openxmlformats.org/officeDocument/2006/relationships/hyperlink" Target="https://community.likeminds.community/dme-deigning-made-easy" TargetMode="External"/><Relationship Id="rId1331" Type="http://schemas.openxmlformats.org/officeDocument/2006/relationships/hyperlink" Target="https://hi.likeminds.community/d/ishavasya-yoga-relaxation" TargetMode="External"/><Relationship Id="rId2662" Type="http://schemas.openxmlformats.org/officeDocument/2006/relationships/hyperlink" Target="https://community.likeminds.community/yo-geek-the-modern-yogi" TargetMode="External"/><Relationship Id="rId1332" Type="http://schemas.openxmlformats.org/officeDocument/2006/relationships/hyperlink" Target="https://hi.likeminds.community/d/ishavasya-yoga-relaxation" TargetMode="External"/><Relationship Id="rId2663" Type="http://schemas.openxmlformats.org/officeDocument/2006/relationships/hyperlink" Target="https://community.likeminds.community/yo-geek-the-modern-yogi" TargetMode="External"/><Relationship Id="rId1333" Type="http://schemas.openxmlformats.org/officeDocument/2006/relationships/hyperlink" Target="https://hi.likeminds.community/khushi-se-yoga" TargetMode="External"/><Relationship Id="rId2664" Type="http://schemas.openxmlformats.org/officeDocument/2006/relationships/hyperlink" Target="https://community.likeminds.community/yo-geek-the-modern-yogi" TargetMode="External"/><Relationship Id="rId1323" Type="http://schemas.openxmlformats.org/officeDocument/2006/relationships/hyperlink" Target="https://hi.likeminds.community/d/ishavasya-yoga-relaxation" TargetMode="External"/><Relationship Id="rId2654" Type="http://schemas.openxmlformats.org/officeDocument/2006/relationships/hyperlink" Target="https://community.likeminds.community/write-your-wrong" TargetMode="External"/><Relationship Id="rId1324" Type="http://schemas.openxmlformats.org/officeDocument/2006/relationships/hyperlink" Target="https://hi.likeminds.community/d/ishavasya-yoga-relaxation" TargetMode="External"/><Relationship Id="rId2655" Type="http://schemas.openxmlformats.org/officeDocument/2006/relationships/hyperlink" Target="https://community.likeminds.community/write-your-wrong" TargetMode="External"/><Relationship Id="rId31" Type="http://schemas.openxmlformats.org/officeDocument/2006/relationships/hyperlink" Target="https://community.likeminds.community/ahoj-lets-blog" TargetMode="External"/><Relationship Id="rId1325" Type="http://schemas.openxmlformats.org/officeDocument/2006/relationships/hyperlink" Target="https://hi.likeminds.community/d/ishavasya-yoga-relaxation" TargetMode="External"/><Relationship Id="rId2656" Type="http://schemas.openxmlformats.org/officeDocument/2006/relationships/hyperlink" Target="https://community.likeminds.community/write-your-wrong" TargetMode="External"/><Relationship Id="rId30" Type="http://schemas.openxmlformats.org/officeDocument/2006/relationships/hyperlink" Target="https://community.likeminds.community/ahoj-lets-blog" TargetMode="External"/><Relationship Id="rId1326" Type="http://schemas.openxmlformats.org/officeDocument/2006/relationships/hyperlink" Target="https://hi.likeminds.community/d/ishavasya-yoga-relaxation" TargetMode="External"/><Relationship Id="rId2657" Type="http://schemas.openxmlformats.org/officeDocument/2006/relationships/hyperlink" Target="https://community.likeminds.community/yo-geek-the-modern-yogi" TargetMode="External"/><Relationship Id="rId33" Type="http://schemas.openxmlformats.org/officeDocument/2006/relationships/hyperlink" Target="https://community.likeminds.community/ahoj-lets-blog" TargetMode="External"/><Relationship Id="rId1327" Type="http://schemas.openxmlformats.org/officeDocument/2006/relationships/hyperlink" Target="https://hi.likeminds.community/d/ishavasya-yoga-relaxation" TargetMode="External"/><Relationship Id="rId2658" Type="http://schemas.openxmlformats.org/officeDocument/2006/relationships/hyperlink" Target="https://community.likeminds.community/yo-geek-the-modern-yogi" TargetMode="External"/><Relationship Id="rId32" Type="http://schemas.openxmlformats.org/officeDocument/2006/relationships/hyperlink" Target="https://community.likeminds.community/ahoj-lets-blog" TargetMode="External"/><Relationship Id="rId1328" Type="http://schemas.openxmlformats.org/officeDocument/2006/relationships/hyperlink" Target="https://hi.likeminds.community/d/ishavasya-yoga-relaxation" TargetMode="External"/><Relationship Id="rId2659" Type="http://schemas.openxmlformats.org/officeDocument/2006/relationships/hyperlink" Target="https://community.likeminds.community/yo-geek-the-modern-yogi" TargetMode="External"/><Relationship Id="rId35" Type="http://schemas.openxmlformats.org/officeDocument/2006/relationships/hyperlink" Target="https://community.likeminds.community/ahoj-lets-blog" TargetMode="External"/><Relationship Id="rId1329" Type="http://schemas.openxmlformats.org/officeDocument/2006/relationships/hyperlink" Target="https://hi.likeminds.community/d/ishavasya-yoga-relaxation" TargetMode="External"/><Relationship Id="rId34" Type="http://schemas.openxmlformats.org/officeDocument/2006/relationships/hyperlink" Target="https://community.likeminds.community/ahoj-lets-blog" TargetMode="External"/><Relationship Id="rId739" Type="http://schemas.openxmlformats.org/officeDocument/2006/relationships/hyperlink" Target="https://community.likeminds.community/dme-deigning-made-easy" TargetMode="External"/><Relationship Id="rId734" Type="http://schemas.openxmlformats.org/officeDocument/2006/relationships/hyperlink" Target="https://hi.likeminds.community/d/digital-writopreneurs-hub" TargetMode="External"/><Relationship Id="rId733" Type="http://schemas.openxmlformats.org/officeDocument/2006/relationships/hyperlink" Target="https://hi.likeminds.community/d/digital-writopreneurs-hub" TargetMode="External"/><Relationship Id="rId732" Type="http://schemas.openxmlformats.org/officeDocument/2006/relationships/hyperlink" Target="https://hi.likeminds.community/d/digital-writopreneurs-hub" TargetMode="External"/><Relationship Id="rId731" Type="http://schemas.openxmlformats.org/officeDocument/2006/relationships/hyperlink" Target="https://hi.likeminds.community/d/digital-writopreneurs-hub" TargetMode="External"/><Relationship Id="rId738" Type="http://schemas.openxmlformats.org/officeDocument/2006/relationships/hyperlink" Target="https://community.likeminds.community/dme-deigning-made-easy" TargetMode="External"/><Relationship Id="rId737" Type="http://schemas.openxmlformats.org/officeDocument/2006/relationships/hyperlink" Target="https://community.likeminds.community/dme-deigning-made-easy" TargetMode="External"/><Relationship Id="rId736" Type="http://schemas.openxmlformats.org/officeDocument/2006/relationships/hyperlink" Target="https://hi.likeminds.community/d/digital-writopreneurs-hub" TargetMode="External"/><Relationship Id="rId735" Type="http://schemas.openxmlformats.org/officeDocument/2006/relationships/hyperlink" Target="https://hi.likeminds.community/d/digital-writopreneurs-hub" TargetMode="External"/><Relationship Id="rId37" Type="http://schemas.openxmlformats.org/officeDocument/2006/relationships/hyperlink" Target="https://community.likeminds.community/ahoj-lets-blog" TargetMode="External"/><Relationship Id="rId36" Type="http://schemas.openxmlformats.org/officeDocument/2006/relationships/hyperlink" Target="https://community.likeminds.community/ahoj-lets-blog" TargetMode="External"/><Relationship Id="rId39" Type="http://schemas.openxmlformats.org/officeDocument/2006/relationships/hyperlink" Target="https://community.likeminds.community/ahoj-lets-blog" TargetMode="External"/><Relationship Id="rId38" Type="http://schemas.openxmlformats.org/officeDocument/2006/relationships/hyperlink" Target="https://community.likeminds.community/ahoj-lets-blog" TargetMode="External"/><Relationship Id="rId730" Type="http://schemas.openxmlformats.org/officeDocument/2006/relationships/hyperlink" Target="https://hi.likeminds.community/d/digital-writopreneurs-hub" TargetMode="External"/><Relationship Id="rId2650" Type="http://schemas.openxmlformats.org/officeDocument/2006/relationships/hyperlink" Target="https://community.likeminds.community/write-your-wrong" TargetMode="External"/><Relationship Id="rId1320" Type="http://schemas.openxmlformats.org/officeDocument/2006/relationships/hyperlink" Target="https://hi.likeminds.community/d/ishavasya-yoga-relaxation" TargetMode="External"/><Relationship Id="rId2651" Type="http://schemas.openxmlformats.org/officeDocument/2006/relationships/hyperlink" Target="https://community.likeminds.community/write-your-wrong" TargetMode="External"/><Relationship Id="rId1321" Type="http://schemas.openxmlformats.org/officeDocument/2006/relationships/hyperlink" Target="https://hi.likeminds.community/d/ishavasya-yoga-relaxation" TargetMode="External"/><Relationship Id="rId2652" Type="http://schemas.openxmlformats.org/officeDocument/2006/relationships/hyperlink" Target="https://community.likeminds.community/write-your-wrong" TargetMode="External"/><Relationship Id="rId1322" Type="http://schemas.openxmlformats.org/officeDocument/2006/relationships/hyperlink" Target="https://hi.likeminds.community/d/ishavasya-yoga-relaxation" TargetMode="External"/><Relationship Id="rId2653" Type="http://schemas.openxmlformats.org/officeDocument/2006/relationships/hyperlink" Target="https://community.likeminds.community/write-your-wrong" TargetMode="External"/><Relationship Id="rId1356" Type="http://schemas.openxmlformats.org/officeDocument/2006/relationships/hyperlink" Target="https://hi.likeminds.community/khushi-se-yoga" TargetMode="External"/><Relationship Id="rId2203" Type="http://schemas.openxmlformats.org/officeDocument/2006/relationships/hyperlink" Target="https://hi.likeminds.community/d/rapto-bhara-jeevan" TargetMode="External"/><Relationship Id="rId2687" Type="http://schemas.openxmlformats.org/officeDocument/2006/relationships/hyperlink" Target="https://community.likeminds.community/yo-geek-the-modern-yogi" TargetMode="External"/><Relationship Id="rId1357" Type="http://schemas.openxmlformats.org/officeDocument/2006/relationships/hyperlink" Target="https://hi.likeminds.community/khushi-se-yoga" TargetMode="External"/><Relationship Id="rId2204" Type="http://schemas.openxmlformats.org/officeDocument/2006/relationships/hyperlink" Target="https://hi.likeminds.community/d/rapto-bhara-jeevan" TargetMode="External"/><Relationship Id="rId2688" Type="http://schemas.openxmlformats.org/officeDocument/2006/relationships/hyperlink" Target="https://community.likeminds.community/yo-geek-the-modern-yogi" TargetMode="External"/><Relationship Id="rId20" Type="http://schemas.openxmlformats.org/officeDocument/2006/relationships/hyperlink" Target="https://community.likeminds.community/ahoj-lets-blog" TargetMode="External"/><Relationship Id="rId1358" Type="http://schemas.openxmlformats.org/officeDocument/2006/relationships/hyperlink" Target="https://hi.likeminds.community/khushi-se-yoga" TargetMode="External"/><Relationship Id="rId2205" Type="http://schemas.openxmlformats.org/officeDocument/2006/relationships/hyperlink" Target="https://hi.likeminds.community/d/rapto-bhara-jeevan" TargetMode="External"/><Relationship Id="rId2689" Type="http://schemas.openxmlformats.org/officeDocument/2006/relationships/hyperlink" Target="https://community.likeminds.community/yo-geek-the-modern-yogi" TargetMode="External"/><Relationship Id="rId1359" Type="http://schemas.openxmlformats.org/officeDocument/2006/relationships/hyperlink" Target="https://hi.likeminds.community/khushi-se-yoga" TargetMode="External"/><Relationship Id="rId2206" Type="http://schemas.openxmlformats.org/officeDocument/2006/relationships/hyperlink" Target="https://hi.likeminds.community/d/rapto-bhara-jeevan" TargetMode="External"/><Relationship Id="rId22" Type="http://schemas.openxmlformats.org/officeDocument/2006/relationships/hyperlink" Target="https://community.likeminds.community/ahoj-lets-blog" TargetMode="External"/><Relationship Id="rId2207" Type="http://schemas.openxmlformats.org/officeDocument/2006/relationships/hyperlink" Target="https://hi.likeminds.community/d/rapto-bhara-jeevan" TargetMode="External"/><Relationship Id="rId21" Type="http://schemas.openxmlformats.org/officeDocument/2006/relationships/hyperlink" Target="https://community.likeminds.community/ahoj-lets-blog" TargetMode="External"/><Relationship Id="rId2208" Type="http://schemas.openxmlformats.org/officeDocument/2006/relationships/hyperlink" Target="https://hi.likeminds.community/d/rapto-bhara-jeevan" TargetMode="External"/><Relationship Id="rId24" Type="http://schemas.openxmlformats.org/officeDocument/2006/relationships/hyperlink" Target="https://community.likeminds.community/ahoj-lets-blog" TargetMode="External"/><Relationship Id="rId2209" Type="http://schemas.openxmlformats.org/officeDocument/2006/relationships/hyperlink" Target="https://hi.likeminds.community/d/rapto-bhara-jeevan" TargetMode="External"/><Relationship Id="rId23" Type="http://schemas.openxmlformats.org/officeDocument/2006/relationships/hyperlink" Target="https://community.likeminds.community/ahoj-lets-blog" TargetMode="External"/><Relationship Id="rId767" Type="http://schemas.openxmlformats.org/officeDocument/2006/relationships/hyperlink" Target="https://hi.likeminds.community/d/emptycup" TargetMode="External"/><Relationship Id="rId766" Type="http://schemas.openxmlformats.org/officeDocument/2006/relationships/hyperlink" Target="https://hi.likeminds.community/d/emptycup" TargetMode="External"/><Relationship Id="rId765" Type="http://schemas.openxmlformats.org/officeDocument/2006/relationships/hyperlink" Target="https://hi.likeminds.community/d/emptycup" TargetMode="External"/><Relationship Id="rId764" Type="http://schemas.openxmlformats.org/officeDocument/2006/relationships/hyperlink" Target="https://hi.likeminds.community/d/emptycup" TargetMode="External"/><Relationship Id="rId769" Type="http://schemas.openxmlformats.org/officeDocument/2006/relationships/hyperlink" Target="https://hi.likeminds.community/d/emptycup" TargetMode="External"/><Relationship Id="rId768" Type="http://schemas.openxmlformats.org/officeDocument/2006/relationships/hyperlink" Target="https://hi.likeminds.community/d/emptycup" TargetMode="External"/><Relationship Id="rId26" Type="http://schemas.openxmlformats.org/officeDocument/2006/relationships/hyperlink" Target="https://community.likeminds.community/ahoj-lets-blog" TargetMode="External"/><Relationship Id="rId25" Type="http://schemas.openxmlformats.org/officeDocument/2006/relationships/hyperlink" Target="https://community.likeminds.community/ahoj-lets-blog" TargetMode="External"/><Relationship Id="rId2680" Type="http://schemas.openxmlformats.org/officeDocument/2006/relationships/hyperlink" Target="https://community.likeminds.community/yo-geek-the-modern-yogi" TargetMode="External"/><Relationship Id="rId28" Type="http://schemas.openxmlformats.org/officeDocument/2006/relationships/hyperlink" Target="https://community.likeminds.community/ahoj-lets-blog" TargetMode="External"/><Relationship Id="rId1350" Type="http://schemas.openxmlformats.org/officeDocument/2006/relationships/hyperlink" Target="https://hi.likeminds.community/khushi-se-yoga" TargetMode="External"/><Relationship Id="rId2681" Type="http://schemas.openxmlformats.org/officeDocument/2006/relationships/hyperlink" Target="https://community.likeminds.community/yo-geek-the-modern-yogi" TargetMode="External"/><Relationship Id="rId27" Type="http://schemas.openxmlformats.org/officeDocument/2006/relationships/hyperlink" Target="https://community.likeminds.community/ahoj-lets-blog" TargetMode="External"/><Relationship Id="rId1351" Type="http://schemas.openxmlformats.org/officeDocument/2006/relationships/hyperlink" Target="https://hi.likeminds.community/khushi-se-yoga" TargetMode="External"/><Relationship Id="rId2682" Type="http://schemas.openxmlformats.org/officeDocument/2006/relationships/hyperlink" Target="https://community.likeminds.community/yo-geek-the-modern-yogi" TargetMode="External"/><Relationship Id="rId763" Type="http://schemas.openxmlformats.org/officeDocument/2006/relationships/hyperlink" Target="https://hi.likeminds.community/d/emptycup" TargetMode="External"/><Relationship Id="rId1352" Type="http://schemas.openxmlformats.org/officeDocument/2006/relationships/hyperlink" Target="https://hi.likeminds.community/khushi-se-yoga" TargetMode="External"/><Relationship Id="rId2683" Type="http://schemas.openxmlformats.org/officeDocument/2006/relationships/hyperlink" Target="https://community.likeminds.community/yo-geek-the-modern-yogi" TargetMode="External"/><Relationship Id="rId29" Type="http://schemas.openxmlformats.org/officeDocument/2006/relationships/hyperlink" Target="https://community.likeminds.community/ahoj-lets-blog" TargetMode="External"/><Relationship Id="rId762" Type="http://schemas.openxmlformats.org/officeDocument/2006/relationships/hyperlink" Target="https://hi.likeminds.community/d/emptycup" TargetMode="External"/><Relationship Id="rId1353" Type="http://schemas.openxmlformats.org/officeDocument/2006/relationships/hyperlink" Target="https://hi.likeminds.community/khushi-se-yoga" TargetMode="External"/><Relationship Id="rId2200" Type="http://schemas.openxmlformats.org/officeDocument/2006/relationships/hyperlink" Target="https://hi.likeminds.community/d/rapto-bhara-jeevan" TargetMode="External"/><Relationship Id="rId2684" Type="http://schemas.openxmlformats.org/officeDocument/2006/relationships/hyperlink" Target="https://community.likeminds.community/yo-geek-the-modern-yogi" TargetMode="External"/><Relationship Id="rId761" Type="http://schemas.openxmlformats.org/officeDocument/2006/relationships/hyperlink" Target="https://hi.likeminds.community/d/emptycup" TargetMode="External"/><Relationship Id="rId1354" Type="http://schemas.openxmlformats.org/officeDocument/2006/relationships/hyperlink" Target="https://hi.likeminds.community/khushi-se-yoga" TargetMode="External"/><Relationship Id="rId2201" Type="http://schemas.openxmlformats.org/officeDocument/2006/relationships/hyperlink" Target="https://hi.likeminds.community/d/rapto-bhara-jeevan" TargetMode="External"/><Relationship Id="rId2685" Type="http://schemas.openxmlformats.org/officeDocument/2006/relationships/hyperlink" Target="https://community.likeminds.community/yo-geek-the-modern-yogi" TargetMode="External"/><Relationship Id="rId760" Type="http://schemas.openxmlformats.org/officeDocument/2006/relationships/hyperlink" Target="https://hi.likeminds.community/d/emptycup" TargetMode="External"/><Relationship Id="rId1355" Type="http://schemas.openxmlformats.org/officeDocument/2006/relationships/hyperlink" Target="https://hi.likeminds.community/khushi-se-yoga" TargetMode="External"/><Relationship Id="rId2202" Type="http://schemas.openxmlformats.org/officeDocument/2006/relationships/hyperlink" Target="https://hi.likeminds.community/d/rapto-bhara-jeevan" TargetMode="External"/><Relationship Id="rId2686" Type="http://schemas.openxmlformats.org/officeDocument/2006/relationships/hyperlink" Target="https://community.likeminds.community/yo-geek-the-modern-yogi" TargetMode="External"/><Relationship Id="rId1345" Type="http://schemas.openxmlformats.org/officeDocument/2006/relationships/hyperlink" Target="https://hi.likeminds.community/khushi-se-yoga" TargetMode="External"/><Relationship Id="rId2676" Type="http://schemas.openxmlformats.org/officeDocument/2006/relationships/hyperlink" Target="https://community.likeminds.community/yo-geek-the-modern-yogi" TargetMode="External"/><Relationship Id="rId1346" Type="http://schemas.openxmlformats.org/officeDocument/2006/relationships/hyperlink" Target="https://hi.likeminds.community/khushi-se-yoga" TargetMode="External"/><Relationship Id="rId2677" Type="http://schemas.openxmlformats.org/officeDocument/2006/relationships/hyperlink" Target="https://community.likeminds.community/yo-geek-the-modern-yogi" TargetMode="External"/><Relationship Id="rId1347" Type="http://schemas.openxmlformats.org/officeDocument/2006/relationships/hyperlink" Target="https://hi.likeminds.community/khushi-se-yoga" TargetMode="External"/><Relationship Id="rId2678" Type="http://schemas.openxmlformats.org/officeDocument/2006/relationships/hyperlink" Target="https://community.likeminds.community/yo-geek-the-modern-yogi" TargetMode="External"/><Relationship Id="rId1348" Type="http://schemas.openxmlformats.org/officeDocument/2006/relationships/hyperlink" Target="https://hi.likeminds.community/khushi-se-yoga" TargetMode="External"/><Relationship Id="rId2679" Type="http://schemas.openxmlformats.org/officeDocument/2006/relationships/hyperlink" Target="https://community.likeminds.community/yo-geek-the-modern-yogi" TargetMode="External"/><Relationship Id="rId11" Type="http://schemas.openxmlformats.org/officeDocument/2006/relationships/hyperlink" Target="https://community.likeminds.community/ahoj-lets-blog" TargetMode="External"/><Relationship Id="rId1349" Type="http://schemas.openxmlformats.org/officeDocument/2006/relationships/hyperlink" Target="https://hi.likeminds.community/khushi-se-yoga" TargetMode="External"/><Relationship Id="rId10" Type="http://schemas.openxmlformats.org/officeDocument/2006/relationships/hyperlink" Target="https://community.likeminds.community/ahoj-lets-blog" TargetMode="External"/><Relationship Id="rId13" Type="http://schemas.openxmlformats.org/officeDocument/2006/relationships/hyperlink" Target="https://community.likeminds.community/ahoj-lets-blog" TargetMode="External"/><Relationship Id="rId12" Type="http://schemas.openxmlformats.org/officeDocument/2006/relationships/hyperlink" Target="https://community.likeminds.community/ahoj-lets-blog" TargetMode="External"/><Relationship Id="rId756" Type="http://schemas.openxmlformats.org/officeDocument/2006/relationships/hyperlink" Target="https://hi.likeminds.community/d/emptycup" TargetMode="External"/><Relationship Id="rId755" Type="http://schemas.openxmlformats.org/officeDocument/2006/relationships/hyperlink" Target="https://hi.likeminds.community/d/emptycup" TargetMode="External"/><Relationship Id="rId754" Type="http://schemas.openxmlformats.org/officeDocument/2006/relationships/hyperlink" Target="https://hi.likeminds.community/d/emptycup" TargetMode="External"/><Relationship Id="rId753" Type="http://schemas.openxmlformats.org/officeDocument/2006/relationships/hyperlink" Target="https://hi.likeminds.community/d/emptycup" TargetMode="External"/><Relationship Id="rId759" Type="http://schemas.openxmlformats.org/officeDocument/2006/relationships/hyperlink" Target="https://hi.likeminds.community/d/emptycup" TargetMode="External"/><Relationship Id="rId758" Type="http://schemas.openxmlformats.org/officeDocument/2006/relationships/hyperlink" Target="https://hi.likeminds.community/d/emptycup" TargetMode="External"/><Relationship Id="rId757" Type="http://schemas.openxmlformats.org/officeDocument/2006/relationships/hyperlink" Target="https://hi.likeminds.community/d/emptycup" TargetMode="External"/><Relationship Id="rId15" Type="http://schemas.openxmlformats.org/officeDocument/2006/relationships/hyperlink" Target="https://community.likeminds.community/ahoj-lets-blog" TargetMode="External"/><Relationship Id="rId14" Type="http://schemas.openxmlformats.org/officeDocument/2006/relationships/hyperlink" Target="https://community.likeminds.community/ahoj-lets-blog" TargetMode="External"/><Relationship Id="rId17" Type="http://schemas.openxmlformats.org/officeDocument/2006/relationships/hyperlink" Target="https://community.likeminds.community/ahoj-lets-blog" TargetMode="External"/><Relationship Id="rId2670" Type="http://schemas.openxmlformats.org/officeDocument/2006/relationships/hyperlink" Target="https://community.likeminds.community/yo-geek-the-modern-yogi" TargetMode="External"/><Relationship Id="rId16" Type="http://schemas.openxmlformats.org/officeDocument/2006/relationships/hyperlink" Target="https://community.likeminds.community/ahoj-lets-blog" TargetMode="External"/><Relationship Id="rId1340" Type="http://schemas.openxmlformats.org/officeDocument/2006/relationships/hyperlink" Target="https://hi.likeminds.community/khushi-se-yoga" TargetMode="External"/><Relationship Id="rId2671" Type="http://schemas.openxmlformats.org/officeDocument/2006/relationships/hyperlink" Target="https://community.likeminds.community/yo-geek-the-modern-yogi" TargetMode="External"/><Relationship Id="rId19" Type="http://schemas.openxmlformats.org/officeDocument/2006/relationships/hyperlink" Target="https://community.likeminds.community/ahoj-lets-blog" TargetMode="External"/><Relationship Id="rId752" Type="http://schemas.openxmlformats.org/officeDocument/2006/relationships/hyperlink" Target="https://hi.likeminds.community/d/emptycup" TargetMode="External"/><Relationship Id="rId1341" Type="http://schemas.openxmlformats.org/officeDocument/2006/relationships/hyperlink" Target="https://hi.likeminds.community/khushi-se-yoga" TargetMode="External"/><Relationship Id="rId2672" Type="http://schemas.openxmlformats.org/officeDocument/2006/relationships/hyperlink" Target="https://community.likeminds.community/yo-geek-the-modern-yogi" TargetMode="External"/><Relationship Id="rId18" Type="http://schemas.openxmlformats.org/officeDocument/2006/relationships/hyperlink" Target="https://community.likeminds.community/ahoj-lets-blog" TargetMode="External"/><Relationship Id="rId751" Type="http://schemas.openxmlformats.org/officeDocument/2006/relationships/hyperlink" Target="https://hi.likeminds.community/d/emptycup" TargetMode="External"/><Relationship Id="rId1342" Type="http://schemas.openxmlformats.org/officeDocument/2006/relationships/hyperlink" Target="https://hi.likeminds.community/khushi-se-yoga" TargetMode="External"/><Relationship Id="rId2673" Type="http://schemas.openxmlformats.org/officeDocument/2006/relationships/hyperlink" Target="https://community.likeminds.community/yo-geek-the-modern-yogi" TargetMode="External"/><Relationship Id="rId750" Type="http://schemas.openxmlformats.org/officeDocument/2006/relationships/hyperlink" Target="https://hi.likeminds.community/d/emptycup" TargetMode="External"/><Relationship Id="rId1343" Type="http://schemas.openxmlformats.org/officeDocument/2006/relationships/hyperlink" Target="https://hi.likeminds.community/khushi-se-yoga" TargetMode="External"/><Relationship Id="rId2674" Type="http://schemas.openxmlformats.org/officeDocument/2006/relationships/hyperlink" Target="https://community.likeminds.community/yo-geek-the-modern-yogi" TargetMode="External"/><Relationship Id="rId1344" Type="http://schemas.openxmlformats.org/officeDocument/2006/relationships/hyperlink" Target="https://hi.likeminds.community/khushi-se-yoga" TargetMode="External"/><Relationship Id="rId2675" Type="http://schemas.openxmlformats.org/officeDocument/2006/relationships/hyperlink" Target="https://community.likeminds.community/yo-geek-the-modern-yogi" TargetMode="External"/><Relationship Id="rId84" Type="http://schemas.openxmlformats.org/officeDocument/2006/relationships/hyperlink" Target="https://community.likeminds.community/ahoj-lets-blog" TargetMode="External"/><Relationship Id="rId1774" Type="http://schemas.openxmlformats.org/officeDocument/2006/relationships/hyperlink" Target="https://hi.likeminds.community/d/nature-enthusiasts-fareenavblogs" TargetMode="External"/><Relationship Id="rId2621" Type="http://schemas.openxmlformats.org/officeDocument/2006/relationships/hyperlink" Target="https://hi.likeminds.community/well-being-renewal" TargetMode="External"/><Relationship Id="rId83" Type="http://schemas.openxmlformats.org/officeDocument/2006/relationships/hyperlink" Target="https://community.likeminds.community/ahoj-lets-blog" TargetMode="External"/><Relationship Id="rId1775" Type="http://schemas.openxmlformats.org/officeDocument/2006/relationships/hyperlink" Target="https://hi.likeminds.community/d/nature-enthusiasts-fareenavblogs" TargetMode="External"/><Relationship Id="rId2622" Type="http://schemas.openxmlformats.org/officeDocument/2006/relationships/hyperlink" Target="https://hi.likeminds.community/well-being-renewal" TargetMode="External"/><Relationship Id="rId86" Type="http://schemas.openxmlformats.org/officeDocument/2006/relationships/hyperlink" Target="https://community.likeminds.community/ahoj-lets-blog" TargetMode="External"/><Relationship Id="rId1776" Type="http://schemas.openxmlformats.org/officeDocument/2006/relationships/hyperlink" Target="https://hi.likeminds.community/d/nature-enthusiasts-fareenavblogs" TargetMode="External"/><Relationship Id="rId2623" Type="http://schemas.openxmlformats.org/officeDocument/2006/relationships/hyperlink" Target="https://hi.likeminds.community/well-being-renewal" TargetMode="External"/><Relationship Id="rId85" Type="http://schemas.openxmlformats.org/officeDocument/2006/relationships/hyperlink" Target="https://community.likeminds.community/ahoj-lets-blog" TargetMode="External"/><Relationship Id="rId1777" Type="http://schemas.openxmlformats.org/officeDocument/2006/relationships/hyperlink" Target="https://hi.likeminds.community/d/nature-enthusiasts-fareenavblogs" TargetMode="External"/><Relationship Id="rId2624" Type="http://schemas.openxmlformats.org/officeDocument/2006/relationships/hyperlink" Target="https://community.likeminds.community/well-being" TargetMode="External"/><Relationship Id="rId88" Type="http://schemas.openxmlformats.org/officeDocument/2006/relationships/hyperlink" Target="https://community.likeminds.community/ahoj-lets-blog" TargetMode="External"/><Relationship Id="rId1778" Type="http://schemas.openxmlformats.org/officeDocument/2006/relationships/hyperlink" Target="https://hi.likeminds.community/d/nature-enthusiasts-fareenavblogs" TargetMode="External"/><Relationship Id="rId2625" Type="http://schemas.openxmlformats.org/officeDocument/2006/relationships/hyperlink" Target="https://community.likeminds.community/well-being" TargetMode="External"/><Relationship Id="rId87" Type="http://schemas.openxmlformats.org/officeDocument/2006/relationships/hyperlink" Target="https://community.likeminds.community/ahoj-lets-blog" TargetMode="External"/><Relationship Id="rId1779" Type="http://schemas.openxmlformats.org/officeDocument/2006/relationships/hyperlink" Target="https://hi.likeminds.community/d/nature-enthusiasts-fareenavblogs" TargetMode="External"/><Relationship Id="rId2626" Type="http://schemas.openxmlformats.org/officeDocument/2006/relationships/hyperlink" Target="https://hi.likeminds.community/well-being-renewal" TargetMode="External"/><Relationship Id="rId2627" Type="http://schemas.openxmlformats.org/officeDocument/2006/relationships/hyperlink" Target="https://hi.likeminds.community/well-being-renewal" TargetMode="External"/><Relationship Id="rId89" Type="http://schemas.openxmlformats.org/officeDocument/2006/relationships/hyperlink" Target="https://community.likeminds.community/ahoj-lets-blog" TargetMode="External"/><Relationship Id="rId2628" Type="http://schemas.openxmlformats.org/officeDocument/2006/relationships/hyperlink" Target="https://hi.likeminds.community/well-being-renewal" TargetMode="External"/><Relationship Id="rId709" Type="http://schemas.openxmlformats.org/officeDocument/2006/relationships/hyperlink" Target="https://hi.likeminds.community/d/digital-writopreneurs-hub" TargetMode="External"/><Relationship Id="rId2629" Type="http://schemas.openxmlformats.org/officeDocument/2006/relationships/hyperlink" Target="https://community.likeminds.community/well-being" TargetMode="External"/><Relationship Id="rId708" Type="http://schemas.openxmlformats.org/officeDocument/2006/relationships/hyperlink" Target="https://hi.likeminds.community/d/digital-writopreneurs-hub" TargetMode="External"/><Relationship Id="rId707" Type="http://schemas.openxmlformats.org/officeDocument/2006/relationships/hyperlink" Target="https://hi.likeminds.community/d/digital-writopreneurs-hub" TargetMode="External"/><Relationship Id="rId706" Type="http://schemas.openxmlformats.org/officeDocument/2006/relationships/hyperlink" Target="https://hi.likeminds.community/d/digital-writopreneurs-hub" TargetMode="External"/><Relationship Id="rId80" Type="http://schemas.openxmlformats.org/officeDocument/2006/relationships/hyperlink" Target="https://community.likeminds.community/ahoj-lets-blog" TargetMode="External"/><Relationship Id="rId82" Type="http://schemas.openxmlformats.org/officeDocument/2006/relationships/hyperlink" Target="https://community.likeminds.community/ahoj-lets-blog" TargetMode="External"/><Relationship Id="rId81" Type="http://schemas.openxmlformats.org/officeDocument/2006/relationships/hyperlink" Target="https://community.likeminds.community/ahoj-lets-blog" TargetMode="External"/><Relationship Id="rId701" Type="http://schemas.openxmlformats.org/officeDocument/2006/relationships/hyperlink" Target="https://hi.likeminds.community/d/digital-writopreneurs-hub" TargetMode="External"/><Relationship Id="rId700" Type="http://schemas.openxmlformats.org/officeDocument/2006/relationships/hyperlink" Target="https://hi.likeminds.community/d/digital-writopreneurs-hub" TargetMode="External"/><Relationship Id="rId705" Type="http://schemas.openxmlformats.org/officeDocument/2006/relationships/hyperlink" Target="https://hi.likeminds.community/d/digital-writopreneurs-hub" TargetMode="External"/><Relationship Id="rId704" Type="http://schemas.openxmlformats.org/officeDocument/2006/relationships/hyperlink" Target="https://hi.likeminds.community/d/digital-writopreneurs-hub" TargetMode="External"/><Relationship Id="rId703" Type="http://schemas.openxmlformats.org/officeDocument/2006/relationships/hyperlink" Target="https://hi.likeminds.community/d/digital-writopreneurs-hub" TargetMode="External"/><Relationship Id="rId702" Type="http://schemas.openxmlformats.org/officeDocument/2006/relationships/hyperlink" Target="https://hi.likeminds.community/d/digital-writopreneurs-hub" TargetMode="External"/><Relationship Id="rId1770" Type="http://schemas.openxmlformats.org/officeDocument/2006/relationships/hyperlink" Target="https://hi.likeminds.community/d/nature-enthusiasts-fareenavblogs" TargetMode="External"/><Relationship Id="rId1771" Type="http://schemas.openxmlformats.org/officeDocument/2006/relationships/hyperlink" Target="https://hi.likeminds.community/d/nature-enthusiasts-fareenavblogs" TargetMode="External"/><Relationship Id="rId1772" Type="http://schemas.openxmlformats.org/officeDocument/2006/relationships/hyperlink" Target="https://hi.likeminds.community/d/nature-enthusiasts-fareenavblogs" TargetMode="External"/><Relationship Id="rId1773" Type="http://schemas.openxmlformats.org/officeDocument/2006/relationships/hyperlink" Target="https://hi.likeminds.community/d/nature-enthusiasts-fareenavblogs" TargetMode="External"/><Relationship Id="rId2620" Type="http://schemas.openxmlformats.org/officeDocument/2006/relationships/hyperlink" Target="https://hi.likeminds.community/well-being-renewal" TargetMode="External"/><Relationship Id="rId73" Type="http://schemas.openxmlformats.org/officeDocument/2006/relationships/hyperlink" Target="https://community.likeminds.community/ahoj-lets-blog" TargetMode="External"/><Relationship Id="rId1763" Type="http://schemas.openxmlformats.org/officeDocument/2006/relationships/hyperlink" Target="https://hi.likeminds.community/d/nature-enthusiasts-fareenavblogs" TargetMode="External"/><Relationship Id="rId2610" Type="http://schemas.openxmlformats.org/officeDocument/2006/relationships/hyperlink" Target="https://hi.likeminds.community/well-being-renewal" TargetMode="External"/><Relationship Id="rId72" Type="http://schemas.openxmlformats.org/officeDocument/2006/relationships/hyperlink" Target="https://community.likeminds.community/ahoj-lets-blog" TargetMode="External"/><Relationship Id="rId1764" Type="http://schemas.openxmlformats.org/officeDocument/2006/relationships/hyperlink" Target="https://hi.likeminds.community/d/nature-enthusiasts-fareenavblogs" TargetMode="External"/><Relationship Id="rId2611" Type="http://schemas.openxmlformats.org/officeDocument/2006/relationships/hyperlink" Target="https://community.likeminds.community/well-being" TargetMode="External"/><Relationship Id="rId75" Type="http://schemas.openxmlformats.org/officeDocument/2006/relationships/hyperlink" Target="https://community.likeminds.community/ahoj-lets-blog" TargetMode="External"/><Relationship Id="rId1765" Type="http://schemas.openxmlformats.org/officeDocument/2006/relationships/hyperlink" Target="https://hi.likeminds.community/d/nature-enthusiasts-fareenavblogs" TargetMode="External"/><Relationship Id="rId2612" Type="http://schemas.openxmlformats.org/officeDocument/2006/relationships/hyperlink" Target="https://hi.likeminds.community/well-being-renewal" TargetMode="External"/><Relationship Id="rId74" Type="http://schemas.openxmlformats.org/officeDocument/2006/relationships/hyperlink" Target="https://community.likeminds.community/ahoj-lets-blog" TargetMode="External"/><Relationship Id="rId1766" Type="http://schemas.openxmlformats.org/officeDocument/2006/relationships/hyperlink" Target="https://hi.likeminds.community/d/nature-enthusiasts-fareenavblogs" TargetMode="External"/><Relationship Id="rId2613" Type="http://schemas.openxmlformats.org/officeDocument/2006/relationships/hyperlink" Target="https://hi.likeminds.community/well-being-renewal" TargetMode="External"/><Relationship Id="rId77" Type="http://schemas.openxmlformats.org/officeDocument/2006/relationships/hyperlink" Target="https://community.likeminds.community/ahoj-lets-blog" TargetMode="External"/><Relationship Id="rId1767" Type="http://schemas.openxmlformats.org/officeDocument/2006/relationships/hyperlink" Target="https://hi.likeminds.community/d/nature-enthusiasts-fareenavblogs" TargetMode="External"/><Relationship Id="rId2614" Type="http://schemas.openxmlformats.org/officeDocument/2006/relationships/hyperlink" Target="https://hi.likeminds.community/well-being-renewal" TargetMode="External"/><Relationship Id="rId76" Type="http://schemas.openxmlformats.org/officeDocument/2006/relationships/hyperlink" Target="https://community.likeminds.community/ahoj-lets-blog" TargetMode="External"/><Relationship Id="rId1768" Type="http://schemas.openxmlformats.org/officeDocument/2006/relationships/hyperlink" Target="https://hi.likeminds.community/d/nature-enthusiasts-fareenavblogs" TargetMode="External"/><Relationship Id="rId2615" Type="http://schemas.openxmlformats.org/officeDocument/2006/relationships/hyperlink" Target="https://hi.likeminds.community/well-being-renewal" TargetMode="External"/><Relationship Id="rId79" Type="http://schemas.openxmlformats.org/officeDocument/2006/relationships/hyperlink" Target="https://community.likeminds.community/ahoj-lets-blog" TargetMode="External"/><Relationship Id="rId1769" Type="http://schemas.openxmlformats.org/officeDocument/2006/relationships/hyperlink" Target="https://hi.likeminds.community/d/nature-enthusiasts-fareenavblogs" TargetMode="External"/><Relationship Id="rId2616" Type="http://schemas.openxmlformats.org/officeDocument/2006/relationships/hyperlink" Target="https://hi.likeminds.community/well-being-renewal" TargetMode="External"/><Relationship Id="rId78" Type="http://schemas.openxmlformats.org/officeDocument/2006/relationships/hyperlink" Target="https://community.likeminds.community/ahoj-lets-blog" TargetMode="External"/><Relationship Id="rId2617" Type="http://schemas.openxmlformats.org/officeDocument/2006/relationships/hyperlink" Target="https://community.likeminds.community/well-being" TargetMode="External"/><Relationship Id="rId2618" Type="http://schemas.openxmlformats.org/officeDocument/2006/relationships/hyperlink" Target="https://hi.likeminds.community/well-being-renewal" TargetMode="External"/><Relationship Id="rId2619" Type="http://schemas.openxmlformats.org/officeDocument/2006/relationships/hyperlink" Target="https://hi.likeminds.community/well-being-renewal" TargetMode="External"/><Relationship Id="rId71" Type="http://schemas.openxmlformats.org/officeDocument/2006/relationships/hyperlink" Target="https://community.likeminds.community/ahoj-lets-blog" TargetMode="External"/><Relationship Id="rId70" Type="http://schemas.openxmlformats.org/officeDocument/2006/relationships/hyperlink" Target="https://community.likeminds.community/ahoj-lets-blog" TargetMode="External"/><Relationship Id="rId1760" Type="http://schemas.openxmlformats.org/officeDocument/2006/relationships/hyperlink" Target="https://hi.likeminds.community/d/nature-enthusiasts-fareenavblogs" TargetMode="External"/><Relationship Id="rId1761" Type="http://schemas.openxmlformats.org/officeDocument/2006/relationships/hyperlink" Target="https://hi.likeminds.community/d/nature-enthusiasts-fareenavblogs" TargetMode="External"/><Relationship Id="rId1762" Type="http://schemas.openxmlformats.org/officeDocument/2006/relationships/hyperlink" Target="https://hi.likeminds.community/d/nature-enthusiasts-fareenavblogs" TargetMode="External"/><Relationship Id="rId62" Type="http://schemas.openxmlformats.org/officeDocument/2006/relationships/hyperlink" Target="https://community.likeminds.community/ahoj-lets-blog" TargetMode="External"/><Relationship Id="rId1312" Type="http://schemas.openxmlformats.org/officeDocument/2006/relationships/hyperlink" Target="https://hi.likeminds.community/d/ishavasya-yoga-relaxation" TargetMode="External"/><Relationship Id="rId1796" Type="http://schemas.openxmlformats.org/officeDocument/2006/relationships/hyperlink" Target="https://hi.likeminds.community/d/nature-enthusiasts-fareenavblogs" TargetMode="External"/><Relationship Id="rId2643" Type="http://schemas.openxmlformats.org/officeDocument/2006/relationships/hyperlink" Target="https://community.likeminds.community/well-being" TargetMode="External"/><Relationship Id="rId61" Type="http://schemas.openxmlformats.org/officeDocument/2006/relationships/hyperlink" Target="https://community.likeminds.community/ahoj-lets-blog" TargetMode="External"/><Relationship Id="rId1313" Type="http://schemas.openxmlformats.org/officeDocument/2006/relationships/hyperlink" Target="https://hi.likeminds.community/d/ishavasya-yoga-relaxation" TargetMode="External"/><Relationship Id="rId1797" Type="http://schemas.openxmlformats.org/officeDocument/2006/relationships/hyperlink" Target="https://hi.likeminds.community/d/nature-enthusiasts-fareenavblogs" TargetMode="External"/><Relationship Id="rId2644" Type="http://schemas.openxmlformats.org/officeDocument/2006/relationships/hyperlink" Target="https://community.likeminds.community/well-being" TargetMode="External"/><Relationship Id="rId64" Type="http://schemas.openxmlformats.org/officeDocument/2006/relationships/hyperlink" Target="https://community.likeminds.community/ahoj-lets-blog" TargetMode="External"/><Relationship Id="rId1314" Type="http://schemas.openxmlformats.org/officeDocument/2006/relationships/hyperlink" Target="https://hi.likeminds.community/d/ishavasya-yoga-relaxation" TargetMode="External"/><Relationship Id="rId1798" Type="http://schemas.openxmlformats.org/officeDocument/2006/relationships/hyperlink" Target="https://hi.likeminds.community/d/nature-enthusiasts-fareenavblogs" TargetMode="External"/><Relationship Id="rId2645" Type="http://schemas.openxmlformats.org/officeDocument/2006/relationships/hyperlink" Target="https://community.likeminds.community/write-your-wrong" TargetMode="External"/><Relationship Id="rId63" Type="http://schemas.openxmlformats.org/officeDocument/2006/relationships/hyperlink" Target="https://community.likeminds.community/ahoj-lets-blog" TargetMode="External"/><Relationship Id="rId1315" Type="http://schemas.openxmlformats.org/officeDocument/2006/relationships/hyperlink" Target="https://hi.likeminds.community/d/ishavasya-yoga-relaxation" TargetMode="External"/><Relationship Id="rId1799" Type="http://schemas.openxmlformats.org/officeDocument/2006/relationships/hyperlink" Target="https://hi.likeminds.community/d/nature-enthusiasts-fareenavblogs" TargetMode="External"/><Relationship Id="rId2646" Type="http://schemas.openxmlformats.org/officeDocument/2006/relationships/hyperlink" Target="https://community.likeminds.community/write-your-wrong" TargetMode="External"/><Relationship Id="rId66" Type="http://schemas.openxmlformats.org/officeDocument/2006/relationships/hyperlink" Target="https://community.likeminds.community/ahoj-lets-blog" TargetMode="External"/><Relationship Id="rId1316" Type="http://schemas.openxmlformats.org/officeDocument/2006/relationships/hyperlink" Target="https://hi.likeminds.community/d/ishavasya-yoga-relaxation" TargetMode="External"/><Relationship Id="rId2647" Type="http://schemas.openxmlformats.org/officeDocument/2006/relationships/hyperlink" Target="https://community.likeminds.community/write-your-wrong" TargetMode="External"/><Relationship Id="rId65" Type="http://schemas.openxmlformats.org/officeDocument/2006/relationships/hyperlink" Target="https://community.likeminds.community/ahoj-lets-blog" TargetMode="External"/><Relationship Id="rId1317" Type="http://schemas.openxmlformats.org/officeDocument/2006/relationships/hyperlink" Target="https://hi.likeminds.community/d/ishavasya-yoga-relaxation" TargetMode="External"/><Relationship Id="rId2648" Type="http://schemas.openxmlformats.org/officeDocument/2006/relationships/hyperlink" Target="https://community.likeminds.community/write-your-wrong" TargetMode="External"/><Relationship Id="rId68" Type="http://schemas.openxmlformats.org/officeDocument/2006/relationships/hyperlink" Target="https://community.likeminds.community/ahoj-lets-blog" TargetMode="External"/><Relationship Id="rId1318" Type="http://schemas.openxmlformats.org/officeDocument/2006/relationships/hyperlink" Target="https://hi.likeminds.community/d/ishavasya-yoga-relaxation" TargetMode="External"/><Relationship Id="rId2649" Type="http://schemas.openxmlformats.org/officeDocument/2006/relationships/hyperlink" Target="https://community.likeminds.community/write-your-wrong" TargetMode="External"/><Relationship Id="rId67" Type="http://schemas.openxmlformats.org/officeDocument/2006/relationships/hyperlink" Target="https://community.likeminds.community/ahoj-lets-blog" TargetMode="External"/><Relationship Id="rId1319" Type="http://schemas.openxmlformats.org/officeDocument/2006/relationships/hyperlink" Target="https://hi.likeminds.community/d/ishavasya-yoga-relaxation" TargetMode="External"/><Relationship Id="rId729" Type="http://schemas.openxmlformats.org/officeDocument/2006/relationships/hyperlink" Target="https://hi.likeminds.community/d/digital-writopreneurs-hub" TargetMode="External"/><Relationship Id="rId728" Type="http://schemas.openxmlformats.org/officeDocument/2006/relationships/hyperlink" Target="https://hi.likeminds.community/d/digital-writopreneurs-hub" TargetMode="External"/><Relationship Id="rId60" Type="http://schemas.openxmlformats.org/officeDocument/2006/relationships/hyperlink" Target="https://community.likeminds.community/ahoj-lets-blog" TargetMode="External"/><Relationship Id="rId723" Type="http://schemas.openxmlformats.org/officeDocument/2006/relationships/hyperlink" Target="https://hi.likeminds.community/d/digital-writopreneurs-hub" TargetMode="External"/><Relationship Id="rId722" Type="http://schemas.openxmlformats.org/officeDocument/2006/relationships/hyperlink" Target="https://hi.likeminds.community/d/digital-writopreneurs-hub" TargetMode="External"/><Relationship Id="rId721" Type="http://schemas.openxmlformats.org/officeDocument/2006/relationships/hyperlink" Target="https://hi.likeminds.community/d/digital-writopreneurs-hub" TargetMode="External"/><Relationship Id="rId720" Type="http://schemas.openxmlformats.org/officeDocument/2006/relationships/hyperlink" Target="https://hi.likeminds.community/d/digital-writopreneurs-hub" TargetMode="External"/><Relationship Id="rId727" Type="http://schemas.openxmlformats.org/officeDocument/2006/relationships/hyperlink" Target="https://hi.likeminds.community/d/digital-writopreneurs-hub" TargetMode="External"/><Relationship Id="rId726" Type="http://schemas.openxmlformats.org/officeDocument/2006/relationships/hyperlink" Target="https://hi.likeminds.community/d/digital-writopreneurs-hub" TargetMode="External"/><Relationship Id="rId725" Type="http://schemas.openxmlformats.org/officeDocument/2006/relationships/hyperlink" Target="https://hi.likeminds.community/d/digital-writopreneurs-hub" TargetMode="External"/><Relationship Id="rId724" Type="http://schemas.openxmlformats.org/officeDocument/2006/relationships/hyperlink" Target="https://hi.likeminds.community/d/digital-writopreneurs-hub" TargetMode="External"/><Relationship Id="rId69" Type="http://schemas.openxmlformats.org/officeDocument/2006/relationships/hyperlink" Target="https://community.likeminds.community/ahoj-lets-blog" TargetMode="External"/><Relationship Id="rId1790" Type="http://schemas.openxmlformats.org/officeDocument/2006/relationships/hyperlink" Target="https://hi.likeminds.community/d/nature-enthusiasts-fareenavblogs" TargetMode="External"/><Relationship Id="rId1791" Type="http://schemas.openxmlformats.org/officeDocument/2006/relationships/hyperlink" Target="https://hi.likeminds.community/d/nature-enthusiasts-fareenavblogs" TargetMode="External"/><Relationship Id="rId1792" Type="http://schemas.openxmlformats.org/officeDocument/2006/relationships/hyperlink" Target="https://hi.likeminds.community/d/nature-enthusiasts-fareenavblogs" TargetMode="External"/><Relationship Id="rId1793" Type="http://schemas.openxmlformats.org/officeDocument/2006/relationships/hyperlink" Target="https://hi.likeminds.community/d/nature-enthusiasts-fareenavblogs" TargetMode="External"/><Relationship Id="rId2640" Type="http://schemas.openxmlformats.org/officeDocument/2006/relationships/hyperlink" Target="https://community.likeminds.community/well-being" TargetMode="External"/><Relationship Id="rId1310" Type="http://schemas.openxmlformats.org/officeDocument/2006/relationships/hyperlink" Target="https://hi.likeminds.community/d/ishavasya-yoga-relaxation" TargetMode="External"/><Relationship Id="rId1794" Type="http://schemas.openxmlformats.org/officeDocument/2006/relationships/hyperlink" Target="https://hi.likeminds.community/d/nature-enthusiasts-fareenavblogs" TargetMode="External"/><Relationship Id="rId2641" Type="http://schemas.openxmlformats.org/officeDocument/2006/relationships/hyperlink" Target="https://community.likeminds.community/well-being" TargetMode="External"/><Relationship Id="rId1311" Type="http://schemas.openxmlformats.org/officeDocument/2006/relationships/hyperlink" Target="https://hi.likeminds.community/d/ishavasya-yoga-relaxation" TargetMode="External"/><Relationship Id="rId1795" Type="http://schemas.openxmlformats.org/officeDocument/2006/relationships/hyperlink" Target="https://hi.likeminds.community/d/nature-enthusiasts-fareenavblogs" TargetMode="External"/><Relationship Id="rId2642" Type="http://schemas.openxmlformats.org/officeDocument/2006/relationships/hyperlink" Target="https://community.likeminds.community/well-being" TargetMode="External"/><Relationship Id="rId51" Type="http://schemas.openxmlformats.org/officeDocument/2006/relationships/hyperlink" Target="https://community.likeminds.community/ahoj-lets-blog" TargetMode="External"/><Relationship Id="rId1301" Type="http://schemas.openxmlformats.org/officeDocument/2006/relationships/hyperlink" Target="https://hi.likeminds.community/d/ishavasya-yoga-relaxation" TargetMode="External"/><Relationship Id="rId1785" Type="http://schemas.openxmlformats.org/officeDocument/2006/relationships/hyperlink" Target="https://hi.likeminds.community/d/nature-enthusiasts-fareenavblogs" TargetMode="External"/><Relationship Id="rId2632" Type="http://schemas.openxmlformats.org/officeDocument/2006/relationships/hyperlink" Target="https://community.likeminds.community/well-being" TargetMode="External"/><Relationship Id="rId50" Type="http://schemas.openxmlformats.org/officeDocument/2006/relationships/hyperlink" Target="https://community.likeminds.community/ahoj-lets-blog" TargetMode="External"/><Relationship Id="rId1302" Type="http://schemas.openxmlformats.org/officeDocument/2006/relationships/hyperlink" Target="https://hi.likeminds.community/d/ishavasya-yoga-relaxation" TargetMode="External"/><Relationship Id="rId1786" Type="http://schemas.openxmlformats.org/officeDocument/2006/relationships/hyperlink" Target="https://hi.likeminds.community/d/nature-enthusiasts-fareenavblogs" TargetMode="External"/><Relationship Id="rId2633" Type="http://schemas.openxmlformats.org/officeDocument/2006/relationships/hyperlink" Target="https://community.likeminds.community/well-being" TargetMode="External"/><Relationship Id="rId53" Type="http://schemas.openxmlformats.org/officeDocument/2006/relationships/hyperlink" Target="https://community.likeminds.community/ahoj-lets-blog" TargetMode="External"/><Relationship Id="rId1303" Type="http://schemas.openxmlformats.org/officeDocument/2006/relationships/hyperlink" Target="https://hi.likeminds.community/d/ishavasya-yoga-relaxation" TargetMode="External"/><Relationship Id="rId1787" Type="http://schemas.openxmlformats.org/officeDocument/2006/relationships/hyperlink" Target="https://hi.likeminds.community/d/nature-enthusiasts-fareenavblogs" TargetMode="External"/><Relationship Id="rId2634" Type="http://schemas.openxmlformats.org/officeDocument/2006/relationships/hyperlink" Target="https://community.likeminds.community/well-being" TargetMode="External"/><Relationship Id="rId52" Type="http://schemas.openxmlformats.org/officeDocument/2006/relationships/hyperlink" Target="https://community.likeminds.community/ahoj-lets-blog" TargetMode="External"/><Relationship Id="rId1304" Type="http://schemas.openxmlformats.org/officeDocument/2006/relationships/hyperlink" Target="https://hi.likeminds.community/d/ishavasya-yoga-relaxation" TargetMode="External"/><Relationship Id="rId1788" Type="http://schemas.openxmlformats.org/officeDocument/2006/relationships/hyperlink" Target="https://hi.likeminds.community/d/nature-enthusiasts-fareenavblogs" TargetMode="External"/><Relationship Id="rId2635" Type="http://schemas.openxmlformats.org/officeDocument/2006/relationships/hyperlink" Target="https://community.likeminds.community/well-being" TargetMode="External"/><Relationship Id="rId55" Type="http://schemas.openxmlformats.org/officeDocument/2006/relationships/hyperlink" Target="https://community.likeminds.community/ahoj-lets-blog" TargetMode="External"/><Relationship Id="rId1305" Type="http://schemas.openxmlformats.org/officeDocument/2006/relationships/hyperlink" Target="https://hi.likeminds.community/d/ishavasya-yoga-relaxation" TargetMode="External"/><Relationship Id="rId1789" Type="http://schemas.openxmlformats.org/officeDocument/2006/relationships/hyperlink" Target="https://hi.likeminds.community/d/nature-enthusiasts-fareenavblogs" TargetMode="External"/><Relationship Id="rId2636" Type="http://schemas.openxmlformats.org/officeDocument/2006/relationships/hyperlink" Target="https://community.likeminds.community/well-being" TargetMode="External"/><Relationship Id="rId54" Type="http://schemas.openxmlformats.org/officeDocument/2006/relationships/hyperlink" Target="https://community.likeminds.community/ahoj-lets-blog" TargetMode="External"/><Relationship Id="rId1306" Type="http://schemas.openxmlformats.org/officeDocument/2006/relationships/hyperlink" Target="https://hi.likeminds.community/d/ishavasya-yoga-relaxation" TargetMode="External"/><Relationship Id="rId2637" Type="http://schemas.openxmlformats.org/officeDocument/2006/relationships/hyperlink" Target="https://community.likeminds.community/well-being" TargetMode="External"/><Relationship Id="rId57" Type="http://schemas.openxmlformats.org/officeDocument/2006/relationships/hyperlink" Target="https://community.likeminds.community/ahoj-lets-blog" TargetMode="External"/><Relationship Id="rId1307" Type="http://schemas.openxmlformats.org/officeDocument/2006/relationships/hyperlink" Target="https://hi.likeminds.community/d/ishavasya-yoga-relaxation" TargetMode="External"/><Relationship Id="rId2638" Type="http://schemas.openxmlformats.org/officeDocument/2006/relationships/hyperlink" Target="https://community.likeminds.community/well-being" TargetMode="External"/><Relationship Id="rId56" Type="http://schemas.openxmlformats.org/officeDocument/2006/relationships/hyperlink" Target="https://community.likeminds.community/ahoj-lets-blog" TargetMode="External"/><Relationship Id="rId1308" Type="http://schemas.openxmlformats.org/officeDocument/2006/relationships/hyperlink" Target="https://hi.likeminds.community/d/ishavasya-yoga-relaxation" TargetMode="External"/><Relationship Id="rId2639" Type="http://schemas.openxmlformats.org/officeDocument/2006/relationships/hyperlink" Target="https://community.likeminds.community/well-being" TargetMode="External"/><Relationship Id="rId1309" Type="http://schemas.openxmlformats.org/officeDocument/2006/relationships/hyperlink" Target="https://hi.likeminds.community/d/ishavasya-yoga-relaxation" TargetMode="External"/><Relationship Id="rId719" Type="http://schemas.openxmlformats.org/officeDocument/2006/relationships/hyperlink" Target="https://hi.likeminds.community/d/digital-writopreneurs-hub" TargetMode="External"/><Relationship Id="rId718" Type="http://schemas.openxmlformats.org/officeDocument/2006/relationships/hyperlink" Target="https://hi.likeminds.community/d/digital-writopreneurs-hub" TargetMode="External"/><Relationship Id="rId717" Type="http://schemas.openxmlformats.org/officeDocument/2006/relationships/hyperlink" Target="https://hi.likeminds.community/d/digital-writopreneurs-hub" TargetMode="External"/><Relationship Id="rId712" Type="http://schemas.openxmlformats.org/officeDocument/2006/relationships/hyperlink" Target="https://hi.likeminds.community/d/digital-writopreneurs-hub" TargetMode="External"/><Relationship Id="rId711" Type="http://schemas.openxmlformats.org/officeDocument/2006/relationships/hyperlink" Target="https://hi.likeminds.community/d/digital-writopreneurs-hub" TargetMode="External"/><Relationship Id="rId710" Type="http://schemas.openxmlformats.org/officeDocument/2006/relationships/hyperlink" Target="https://hi.likeminds.community/d/digital-writopreneurs-hub" TargetMode="External"/><Relationship Id="rId716" Type="http://schemas.openxmlformats.org/officeDocument/2006/relationships/hyperlink" Target="https://hi.likeminds.community/d/digital-writopreneurs-hub" TargetMode="External"/><Relationship Id="rId715" Type="http://schemas.openxmlformats.org/officeDocument/2006/relationships/hyperlink" Target="https://hi.likeminds.community/d/digital-writopreneurs-hub" TargetMode="External"/><Relationship Id="rId714" Type="http://schemas.openxmlformats.org/officeDocument/2006/relationships/hyperlink" Target="https://hi.likeminds.community/d/digital-writopreneurs-hub" TargetMode="External"/><Relationship Id="rId713" Type="http://schemas.openxmlformats.org/officeDocument/2006/relationships/hyperlink" Target="https://hi.likeminds.community/d/digital-writopreneurs-hub" TargetMode="External"/><Relationship Id="rId59" Type="http://schemas.openxmlformats.org/officeDocument/2006/relationships/hyperlink" Target="https://community.likeminds.community/ahoj-lets-blog" TargetMode="External"/><Relationship Id="rId58" Type="http://schemas.openxmlformats.org/officeDocument/2006/relationships/hyperlink" Target="https://community.likeminds.community/ahoj-lets-blog" TargetMode="External"/><Relationship Id="rId1780" Type="http://schemas.openxmlformats.org/officeDocument/2006/relationships/hyperlink" Target="https://hi.likeminds.community/d/nature-enthusiasts-fareenavblogs" TargetMode="External"/><Relationship Id="rId1781" Type="http://schemas.openxmlformats.org/officeDocument/2006/relationships/hyperlink" Target="https://hi.likeminds.community/d/nature-enthusiasts-fareenavblogs" TargetMode="External"/><Relationship Id="rId1782" Type="http://schemas.openxmlformats.org/officeDocument/2006/relationships/hyperlink" Target="https://hi.likeminds.community/d/nature-enthusiasts-fareenavblogs" TargetMode="External"/><Relationship Id="rId1783" Type="http://schemas.openxmlformats.org/officeDocument/2006/relationships/hyperlink" Target="https://hi.likeminds.community/d/nature-enthusiasts-fareenavblogs" TargetMode="External"/><Relationship Id="rId2630" Type="http://schemas.openxmlformats.org/officeDocument/2006/relationships/hyperlink" Target="https://hi.likeminds.community/well-being-renewal" TargetMode="External"/><Relationship Id="rId1300" Type="http://schemas.openxmlformats.org/officeDocument/2006/relationships/hyperlink" Target="https://hi.likeminds.community/d/ishavasya-yoga-relaxation" TargetMode="External"/><Relationship Id="rId1784" Type="http://schemas.openxmlformats.org/officeDocument/2006/relationships/hyperlink" Target="https://hi.likeminds.community/d/nature-enthusiasts-fareenavblogs" TargetMode="External"/><Relationship Id="rId2631" Type="http://schemas.openxmlformats.org/officeDocument/2006/relationships/hyperlink" Target="https://hi.likeminds.community/well-being-renewal" TargetMode="External"/><Relationship Id="rId2269" Type="http://schemas.openxmlformats.org/officeDocument/2006/relationships/hyperlink" Target="https://hi.likeminds.community/d/spokken-2" TargetMode="External"/><Relationship Id="rId349" Type="http://schemas.openxmlformats.org/officeDocument/2006/relationships/hyperlink" Target="https://hi.likeminds.community/d/bsb-life-academy" TargetMode="External"/><Relationship Id="rId348" Type="http://schemas.openxmlformats.org/officeDocument/2006/relationships/hyperlink" Target="https://hi.likeminds.community/d/bsb-life-academy" TargetMode="External"/><Relationship Id="rId347" Type="http://schemas.openxmlformats.org/officeDocument/2006/relationships/hyperlink" Target="https://hi.likeminds.community/d/bsb-life-academy" TargetMode="External"/><Relationship Id="rId346" Type="http://schemas.openxmlformats.org/officeDocument/2006/relationships/hyperlink" Target="https://hi.likeminds.community/d/bsb-life-academy" TargetMode="External"/><Relationship Id="rId2260" Type="http://schemas.openxmlformats.org/officeDocument/2006/relationships/hyperlink" Target="https://community.likeminds.community/sketch-hub" TargetMode="External"/><Relationship Id="rId341" Type="http://schemas.openxmlformats.org/officeDocument/2006/relationships/hyperlink" Target="https://hi.likeminds.community/d/bsb-life-academy" TargetMode="External"/><Relationship Id="rId2261" Type="http://schemas.openxmlformats.org/officeDocument/2006/relationships/hyperlink" Target="https://community.likeminds.community/sketch-hub" TargetMode="External"/><Relationship Id="rId340" Type="http://schemas.openxmlformats.org/officeDocument/2006/relationships/hyperlink" Target="https://hi.likeminds.community/d/bsb-life-academy" TargetMode="External"/><Relationship Id="rId2262" Type="http://schemas.openxmlformats.org/officeDocument/2006/relationships/hyperlink" Target="https://community.likeminds.community/sketch-hub" TargetMode="External"/><Relationship Id="rId2263" Type="http://schemas.openxmlformats.org/officeDocument/2006/relationships/hyperlink" Target="https://community.likeminds.community/sketch-hub" TargetMode="External"/><Relationship Id="rId2264" Type="http://schemas.openxmlformats.org/officeDocument/2006/relationships/hyperlink" Target="https://community.likeminds.community/sketch-hub" TargetMode="External"/><Relationship Id="rId345" Type="http://schemas.openxmlformats.org/officeDocument/2006/relationships/hyperlink" Target="https://hi.likeminds.community/d/bsb-life-academy" TargetMode="External"/><Relationship Id="rId2265" Type="http://schemas.openxmlformats.org/officeDocument/2006/relationships/hyperlink" Target="https://community.likeminds.community/sketch-hub" TargetMode="External"/><Relationship Id="rId344" Type="http://schemas.openxmlformats.org/officeDocument/2006/relationships/hyperlink" Target="https://hi.likeminds.community/d/bsb-life-academy" TargetMode="External"/><Relationship Id="rId2266" Type="http://schemas.openxmlformats.org/officeDocument/2006/relationships/hyperlink" Target="https://community.likeminds.community/sketch-hub" TargetMode="External"/><Relationship Id="rId343" Type="http://schemas.openxmlformats.org/officeDocument/2006/relationships/hyperlink" Target="https://hi.likeminds.community/d/bsb-life-academy" TargetMode="External"/><Relationship Id="rId2267" Type="http://schemas.openxmlformats.org/officeDocument/2006/relationships/hyperlink" Target="https://community.likeminds.community/sketch-hub" TargetMode="External"/><Relationship Id="rId342" Type="http://schemas.openxmlformats.org/officeDocument/2006/relationships/hyperlink" Target="https://hi.likeminds.community/d/bsb-life-academy" TargetMode="External"/><Relationship Id="rId2268" Type="http://schemas.openxmlformats.org/officeDocument/2006/relationships/hyperlink" Target="https://hi.likeminds.community/d/spokken-2" TargetMode="External"/><Relationship Id="rId2258" Type="http://schemas.openxmlformats.org/officeDocument/2006/relationships/hyperlink" Target="https://hi.likeminds.community/d/she-splash" TargetMode="External"/><Relationship Id="rId2259" Type="http://schemas.openxmlformats.org/officeDocument/2006/relationships/hyperlink" Target="https://hi.likeminds.community/d/she-splash" TargetMode="External"/><Relationship Id="rId338" Type="http://schemas.openxmlformats.org/officeDocument/2006/relationships/hyperlink" Target="https://hi.likeminds.community/d/bsb-life-academy" TargetMode="External"/><Relationship Id="rId337" Type="http://schemas.openxmlformats.org/officeDocument/2006/relationships/hyperlink" Target="https://hi.likeminds.community/d/bsb-life-academy" TargetMode="External"/><Relationship Id="rId336" Type="http://schemas.openxmlformats.org/officeDocument/2006/relationships/hyperlink" Target="https://hi.likeminds.community/d/bsb-life-academy" TargetMode="External"/><Relationship Id="rId335" Type="http://schemas.openxmlformats.org/officeDocument/2006/relationships/hyperlink" Target="https://hi.likeminds.community/d/bsb-life-academy" TargetMode="External"/><Relationship Id="rId339" Type="http://schemas.openxmlformats.org/officeDocument/2006/relationships/hyperlink" Target="https://hi.likeminds.community/d/bsb-life-academy" TargetMode="External"/><Relationship Id="rId330" Type="http://schemas.openxmlformats.org/officeDocument/2006/relationships/hyperlink" Target="https://hi.likeminds.community/d/bsb-life-academy" TargetMode="External"/><Relationship Id="rId2250" Type="http://schemas.openxmlformats.org/officeDocument/2006/relationships/hyperlink" Target="https://hi.likeminds.community/d/she-splash" TargetMode="External"/><Relationship Id="rId2251" Type="http://schemas.openxmlformats.org/officeDocument/2006/relationships/hyperlink" Target="https://hi.likeminds.community/d/she-splash" TargetMode="External"/><Relationship Id="rId2252" Type="http://schemas.openxmlformats.org/officeDocument/2006/relationships/hyperlink" Target="https://hi.likeminds.community/d/she-splash" TargetMode="External"/><Relationship Id="rId2253" Type="http://schemas.openxmlformats.org/officeDocument/2006/relationships/hyperlink" Target="https://hi.likeminds.community/d/she-splash" TargetMode="External"/><Relationship Id="rId334" Type="http://schemas.openxmlformats.org/officeDocument/2006/relationships/hyperlink" Target="https://hi.likeminds.community/d/bsb-life-academy" TargetMode="External"/><Relationship Id="rId2254" Type="http://schemas.openxmlformats.org/officeDocument/2006/relationships/hyperlink" Target="https://hi.likeminds.community/d/she-splash" TargetMode="External"/><Relationship Id="rId333" Type="http://schemas.openxmlformats.org/officeDocument/2006/relationships/hyperlink" Target="https://hi.likeminds.community/d/bsb-life-academy" TargetMode="External"/><Relationship Id="rId2255" Type="http://schemas.openxmlformats.org/officeDocument/2006/relationships/hyperlink" Target="https://hi.likeminds.community/d/she-splash" TargetMode="External"/><Relationship Id="rId332" Type="http://schemas.openxmlformats.org/officeDocument/2006/relationships/hyperlink" Target="https://hi.likeminds.community/d/bsb-life-academy" TargetMode="External"/><Relationship Id="rId2256" Type="http://schemas.openxmlformats.org/officeDocument/2006/relationships/hyperlink" Target="https://hi.likeminds.community/d/she-splash" TargetMode="External"/><Relationship Id="rId331" Type="http://schemas.openxmlformats.org/officeDocument/2006/relationships/hyperlink" Target="https://hi.likeminds.community/d/bsb-life-academy" TargetMode="External"/><Relationship Id="rId2257" Type="http://schemas.openxmlformats.org/officeDocument/2006/relationships/hyperlink" Target="https://hi.likeminds.community/d/she-splash" TargetMode="External"/><Relationship Id="rId370" Type="http://schemas.openxmlformats.org/officeDocument/2006/relationships/hyperlink" Target="https://hi.likeminds.community/budding-teachers" TargetMode="External"/><Relationship Id="rId369" Type="http://schemas.openxmlformats.org/officeDocument/2006/relationships/hyperlink" Target="https://hi.likeminds.community/budding-teachers" TargetMode="External"/><Relationship Id="rId368" Type="http://schemas.openxmlformats.org/officeDocument/2006/relationships/hyperlink" Target="https://hi.likeminds.community/budding-teachers" TargetMode="External"/><Relationship Id="rId2280" Type="http://schemas.openxmlformats.org/officeDocument/2006/relationships/hyperlink" Target="https://hi.likeminds.community/d/spokken-2" TargetMode="External"/><Relationship Id="rId2281" Type="http://schemas.openxmlformats.org/officeDocument/2006/relationships/hyperlink" Target="https://hi.likeminds.community/d/spokken-2" TargetMode="External"/><Relationship Id="rId2282" Type="http://schemas.openxmlformats.org/officeDocument/2006/relationships/hyperlink" Target="https://hi.likeminds.community/d/spokken-2" TargetMode="External"/><Relationship Id="rId363" Type="http://schemas.openxmlformats.org/officeDocument/2006/relationships/hyperlink" Target="https://hi.likeminds.community/budding-teachers" TargetMode="External"/><Relationship Id="rId2283" Type="http://schemas.openxmlformats.org/officeDocument/2006/relationships/hyperlink" Target="https://hi.likeminds.community/d/spokken-2" TargetMode="External"/><Relationship Id="rId362" Type="http://schemas.openxmlformats.org/officeDocument/2006/relationships/hyperlink" Target="https://hi.likeminds.community/budding-teachers" TargetMode="External"/><Relationship Id="rId2284" Type="http://schemas.openxmlformats.org/officeDocument/2006/relationships/hyperlink" Target="https://hi.likeminds.community/d/spokken-2" TargetMode="External"/><Relationship Id="rId361" Type="http://schemas.openxmlformats.org/officeDocument/2006/relationships/hyperlink" Target="https://hi.likeminds.community/budding-teachers" TargetMode="External"/><Relationship Id="rId2285" Type="http://schemas.openxmlformats.org/officeDocument/2006/relationships/hyperlink" Target="https://hi.likeminds.community/d/spokken-2" TargetMode="External"/><Relationship Id="rId360" Type="http://schemas.openxmlformats.org/officeDocument/2006/relationships/hyperlink" Target="https://hi.likeminds.community/budding-teachers" TargetMode="External"/><Relationship Id="rId2286" Type="http://schemas.openxmlformats.org/officeDocument/2006/relationships/hyperlink" Target="https://hi.likeminds.community/d/spokken-2" TargetMode="External"/><Relationship Id="rId367" Type="http://schemas.openxmlformats.org/officeDocument/2006/relationships/hyperlink" Target="https://hi.likeminds.community/budding-teachers" TargetMode="External"/><Relationship Id="rId2287" Type="http://schemas.openxmlformats.org/officeDocument/2006/relationships/hyperlink" Target="https://hi.likeminds.community/d/spokken-2" TargetMode="External"/><Relationship Id="rId366" Type="http://schemas.openxmlformats.org/officeDocument/2006/relationships/hyperlink" Target="https://hi.likeminds.community/budding-teachers" TargetMode="External"/><Relationship Id="rId2288" Type="http://schemas.openxmlformats.org/officeDocument/2006/relationships/hyperlink" Target="https://hi.likeminds.community/d/spokken-2" TargetMode="External"/><Relationship Id="rId365" Type="http://schemas.openxmlformats.org/officeDocument/2006/relationships/hyperlink" Target="https://hi.likeminds.community/budding-teachers" TargetMode="External"/><Relationship Id="rId2289" Type="http://schemas.openxmlformats.org/officeDocument/2006/relationships/hyperlink" Target="https://hi.likeminds.community/d/spokken-2" TargetMode="External"/><Relationship Id="rId364" Type="http://schemas.openxmlformats.org/officeDocument/2006/relationships/hyperlink" Target="https://hi.likeminds.community/budding-teachers" TargetMode="External"/><Relationship Id="rId95" Type="http://schemas.openxmlformats.org/officeDocument/2006/relationships/hyperlink" Target="https://community.likeminds.community/ahoj-lets-blog" TargetMode="External"/><Relationship Id="rId94" Type="http://schemas.openxmlformats.org/officeDocument/2006/relationships/hyperlink" Target="https://community.likeminds.community/ahoj-lets-blog" TargetMode="External"/><Relationship Id="rId97" Type="http://schemas.openxmlformats.org/officeDocument/2006/relationships/hyperlink" Target="https://community.likeminds.community/ahoj-lets-blog" TargetMode="External"/><Relationship Id="rId96" Type="http://schemas.openxmlformats.org/officeDocument/2006/relationships/hyperlink" Target="https://community.likeminds.community/ahoj-lets-blog" TargetMode="External"/><Relationship Id="rId99" Type="http://schemas.openxmlformats.org/officeDocument/2006/relationships/hyperlink" Target="https://community.likeminds.community/ahoj-lets-blog" TargetMode="External"/><Relationship Id="rId98" Type="http://schemas.openxmlformats.org/officeDocument/2006/relationships/hyperlink" Target="https://community.likeminds.community/ahoj-lets-blog" TargetMode="External"/><Relationship Id="rId91" Type="http://schemas.openxmlformats.org/officeDocument/2006/relationships/hyperlink" Target="https://community.likeminds.community/ahoj-lets-blog" TargetMode="External"/><Relationship Id="rId90" Type="http://schemas.openxmlformats.org/officeDocument/2006/relationships/hyperlink" Target="https://community.likeminds.community/ahoj-lets-blog" TargetMode="External"/><Relationship Id="rId93" Type="http://schemas.openxmlformats.org/officeDocument/2006/relationships/hyperlink" Target="https://community.likeminds.community/ahoj-lets-blog" TargetMode="External"/><Relationship Id="rId92" Type="http://schemas.openxmlformats.org/officeDocument/2006/relationships/hyperlink" Target="https://community.likeminds.community/ahoj-lets-blog" TargetMode="External"/><Relationship Id="rId359" Type="http://schemas.openxmlformats.org/officeDocument/2006/relationships/hyperlink" Target="https://hi.likeminds.community/budding-teachers" TargetMode="External"/><Relationship Id="rId358" Type="http://schemas.openxmlformats.org/officeDocument/2006/relationships/hyperlink" Target="https://hi.likeminds.community/budding-teachers" TargetMode="External"/><Relationship Id="rId357" Type="http://schemas.openxmlformats.org/officeDocument/2006/relationships/hyperlink" Target="https://hi.likeminds.community/budding-teachers" TargetMode="External"/><Relationship Id="rId2270" Type="http://schemas.openxmlformats.org/officeDocument/2006/relationships/hyperlink" Target="https://hi.likeminds.community/d/spokken-2" TargetMode="External"/><Relationship Id="rId2271" Type="http://schemas.openxmlformats.org/officeDocument/2006/relationships/hyperlink" Target="https://hi.likeminds.community/d/spokken-2" TargetMode="External"/><Relationship Id="rId352" Type="http://schemas.openxmlformats.org/officeDocument/2006/relationships/hyperlink" Target="https://hi.likeminds.community/d/bsb-life-academy" TargetMode="External"/><Relationship Id="rId2272" Type="http://schemas.openxmlformats.org/officeDocument/2006/relationships/hyperlink" Target="https://hi.likeminds.community/d/spokken-2" TargetMode="External"/><Relationship Id="rId351" Type="http://schemas.openxmlformats.org/officeDocument/2006/relationships/hyperlink" Target="https://hi.likeminds.community/d/bsb-life-academy" TargetMode="External"/><Relationship Id="rId2273" Type="http://schemas.openxmlformats.org/officeDocument/2006/relationships/hyperlink" Target="https://hi.likeminds.community/d/spokken-2" TargetMode="External"/><Relationship Id="rId350" Type="http://schemas.openxmlformats.org/officeDocument/2006/relationships/hyperlink" Target="https://hi.likeminds.community/d/bsb-life-academy" TargetMode="External"/><Relationship Id="rId2274" Type="http://schemas.openxmlformats.org/officeDocument/2006/relationships/hyperlink" Target="https://hi.likeminds.community/d/spokken-2" TargetMode="External"/><Relationship Id="rId2275" Type="http://schemas.openxmlformats.org/officeDocument/2006/relationships/hyperlink" Target="https://hi.likeminds.community/d/spokken-2" TargetMode="External"/><Relationship Id="rId356" Type="http://schemas.openxmlformats.org/officeDocument/2006/relationships/hyperlink" Target="https://hi.likeminds.community/budding-teachers" TargetMode="External"/><Relationship Id="rId2276" Type="http://schemas.openxmlformats.org/officeDocument/2006/relationships/hyperlink" Target="https://hi.likeminds.community/d/spokken-2" TargetMode="External"/><Relationship Id="rId355" Type="http://schemas.openxmlformats.org/officeDocument/2006/relationships/hyperlink" Target="https://hi.likeminds.community/d/bsb-life-academy" TargetMode="External"/><Relationship Id="rId2277" Type="http://schemas.openxmlformats.org/officeDocument/2006/relationships/hyperlink" Target="https://hi.likeminds.community/d/spokken-2" TargetMode="External"/><Relationship Id="rId354" Type="http://schemas.openxmlformats.org/officeDocument/2006/relationships/hyperlink" Target="https://hi.likeminds.community/d/bsb-life-academy" TargetMode="External"/><Relationship Id="rId2278" Type="http://schemas.openxmlformats.org/officeDocument/2006/relationships/hyperlink" Target="https://hi.likeminds.community/d/spokken-2" TargetMode="External"/><Relationship Id="rId353" Type="http://schemas.openxmlformats.org/officeDocument/2006/relationships/hyperlink" Target="https://hi.likeminds.community/d/bsb-life-academy" TargetMode="External"/><Relationship Id="rId2279" Type="http://schemas.openxmlformats.org/officeDocument/2006/relationships/hyperlink" Target="https://hi.likeminds.community/d/spokken-2" TargetMode="External"/><Relationship Id="rId1378" Type="http://schemas.openxmlformats.org/officeDocument/2006/relationships/hyperlink" Target="https://community.likeminds.community/ladies-and-gentlemen" TargetMode="External"/><Relationship Id="rId2225" Type="http://schemas.openxmlformats.org/officeDocument/2006/relationships/hyperlink" Target="https://hi.likeminds.community/d/rapto-bhara-jeevan" TargetMode="External"/><Relationship Id="rId1379" Type="http://schemas.openxmlformats.org/officeDocument/2006/relationships/hyperlink" Target="https://community.likeminds.community/ladies-and-gentlemen" TargetMode="External"/><Relationship Id="rId2226" Type="http://schemas.openxmlformats.org/officeDocument/2006/relationships/hyperlink" Target="https://hi.likeminds.community/d/rapto-bhara-jeevan" TargetMode="External"/><Relationship Id="rId2227" Type="http://schemas.openxmlformats.org/officeDocument/2006/relationships/hyperlink" Target="https://hi.likeminds.community/d/rapto-bhara-jeevan" TargetMode="External"/><Relationship Id="rId2228" Type="http://schemas.openxmlformats.org/officeDocument/2006/relationships/hyperlink" Target="https://hi.likeminds.community/d/rapto-bhara-jeevan" TargetMode="External"/><Relationship Id="rId2229" Type="http://schemas.openxmlformats.org/officeDocument/2006/relationships/hyperlink" Target="https://hi.likeminds.community/d/rapto-bhara-jeevan" TargetMode="External"/><Relationship Id="rId305" Type="http://schemas.openxmlformats.org/officeDocument/2006/relationships/hyperlink" Target="https://hi.likeminds.community/d/bsb-life-academy" TargetMode="External"/><Relationship Id="rId789" Type="http://schemas.openxmlformats.org/officeDocument/2006/relationships/hyperlink" Target="https://hi.likeminds.community/d/energy-healing-by-dr-bharti-dua" TargetMode="External"/><Relationship Id="rId304" Type="http://schemas.openxmlformats.org/officeDocument/2006/relationships/hyperlink" Target="https://hi.likeminds.community/d/bsb-life-academy" TargetMode="External"/><Relationship Id="rId788" Type="http://schemas.openxmlformats.org/officeDocument/2006/relationships/hyperlink" Target="https://hi.likeminds.community/d/energy-healing-by-dr-bharti-dua" TargetMode="External"/><Relationship Id="rId303" Type="http://schemas.openxmlformats.org/officeDocument/2006/relationships/hyperlink" Target="https://hi.likeminds.community/d/bsb-life-academy" TargetMode="External"/><Relationship Id="rId787" Type="http://schemas.openxmlformats.org/officeDocument/2006/relationships/hyperlink" Target="https://hi.likeminds.community/d/emptycup" TargetMode="External"/><Relationship Id="rId302" Type="http://schemas.openxmlformats.org/officeDocument/2006/relationships/hyperlink" Target="https://hi.likeminds.community/d/bsb-life-academy" TargetMode="External"/><Relationship Id="rId786" Type="http://schemas.openxmlformats.org/officeDocument/2006/relationships/hyperlink" Target="https://hi.likeminds.community/d/emptycup" TargetMode="External"/><Relationship Id="rId309" Type="http://schemas.openxmlformats.org/officeDocument/2006/relationships/hyperlink" Target="https://hi.likeminds.community/d/bsb-life-academy" TargetMode="External"/><Relationship Id="rId308" Type="http://schemas.openxmlformats.org/officeDocument/2006/relationships/hyperlink" Target="https://hi.likeminds.community/d/bsb-life-academy" TargetMode="External"/><Relationship Id="rId307" Type="http://schemas.openxmlformats.org/officeDocument/2006/relationships/hyperlink" Target="https://hi.likeminds.community/d/bsb-life-academy" TargetMode="External"/><Relationship Id="rId306" Type="http://schemas.openxmlformats.org/officeDocument/2006/relationships/hyperlink" Target="https://hi.likeminds.community/d/bsb-life-academy" TargetMode="External"/><Relationship Id="rId781" Type="http://schemas.openxmlformats.org/officeDocument/2006/relationships/hyperlink" Target="https://hi.likeminds.community/d/emptycup" TargetMode="External"/><Relationship Id="rId1370" Type="http://schemas.openxmlformats.org/officeDocument/2006/relationships/hyperlink" Target="https://hi.likeminds.community/khushi-se-yoga" TargetMode="External"/><Relationship Id="rId780" Type="http://schemas.openxmlformats.org/officeDocument/2006/relationships/hyperlink" Target="https://hi.likeminds.community/d/emptycup" TargetMode="External"/><Relationship Id="rId1371" Type="http://schemas.openxmlformats.org/officeDocument/2006/relationships/hyperlink" Target="https://hi.likeminds.community/khushi-se-yoga" TargetMode="External"/><Relationship Id="rId1372" Type="http://schemas.openxmlformats.org/officeDocument/2006/relationships/hyperlink" Target="https://hi.likeminds.community/khushi-se-yoga" TargetMode="External"/><Relationship Id="rId1373" Type="http://schemas.openxmlformats.org/officeDocument/2006/relationships/hyperlink" Target="https://hi.likeminds.community/khushi-se-yoga" TargetMode="External"/><Relationship Id="rId2220" Type="http://schemas.openxmlformats.org/officeDocument/2006/relationships/hyperlink" Target="https://hi.likeminds.community/d/rapto-bhara-jeevan" TargetMode="External"/><Relationship Id="rId301" Type="http://schemas.openxmlformats.org/officeDocument/2006/relationships/hyperlink" Target="https://hi.likeminds.community/d/bsb-life-academy" TargetMode="External"/><Relationship Id="rId785" Type="http://schemas.openxmlformats.org/officeDocument/2006/relationships/hyperlink" Target="https://hi.likeminds.community/d/emptycup" TargetMode="External"/><Relationship Id="rId1374" Type="http://schemas.openxmlformats.org/officeDocument/2006/relationships/hyperlink" Target="https://hi.likeminds.community/khushi-se-yoga" TargetMode="External"/><Relationship Id="rId2221" Type="http://schemas.openxmlformats.org/officeDocument/2006/relationships/hyperlink" Target="https://hi.likeminds.community/d/rapto-bhara-jeevan" TargetMode="External"/><Relationship Id="rId300" Type="http://schemas.openxmlformats.org/officeDocument/2006/relationships/hyperlink" Target="https://hi.likeminds.community/d/bonjour-amis-french" TargetMode="External"/><Relationship Id="rId784" Type="http://schemas.openxmlformats.org/officeDocument/2006/relationships/hyperlink" Target="https://hi.likeminds.community/d/emptycup" TargetMode="External"/><Relationship Id="rId1375" Type="http://schemas.openxmlformats.org/officeDocument/2006/relationships/hyperlink" Target="https://community.likeminds.community/ladies-and-gentlemen" TargetMode="External"/><Relationship Id="rId2222" Type="http://schemas.openxmlformats.org/officeDocument/2006/relationships/hyperlink" Target="https://hi.likeminds.community/d/rapto-bhara-jeevan" TargetMode="External"/><Relationship Id="rId783" Type="http://schemas.openxmlformats.org/officeDocument/2006/relationships/hyperlink" Target="https://hi.likeminds.community/d/emptycup" TargetMode="External"/><Relationship Id="rId1376" Type="http://schemas.openxmlformats.org/officeDocument/2006/relationships/hyperlink" Target="https://community.likeminds.community/ladies-and-gentlemen" TargetMode="External"/><Relationship Id="rId2223" Type="http://schemas.openxmlformats.org/officeDocument/2006/relationships/hyperlink" Target="https://hi.likeminds.community/d/rapto-bhara-jeevan" TargetMode="External"/><Relationship Id="rId782" Type="http://schemas.openxmlformats.org/officeDocument/2006/relationships/hyperlink" Target="https://hi.likeminds.community/d/emptycup" TargetMode="External"/><Relationship Id="rId1377" Type="http://schemas.openxmlformats.org/officeDocument/2006/relationships/hyperlink" Target="https://community.likeminds.community/ladies-and-gentlemen" TargetMode="External"/><Relationship Id="rId2224" Type="http://schemas.openxmlformats.org/officeDocument/2006/relationships/hyperlink" Target="https://hi.likeminds.community/d/rapto-bhara-jeevan" TargetMode="External"/><Relationship Id="rId1367" Type="http://schemas.openxmlformats.org/officeDocument/2006/relationships/hyperlink" Target="https://hi.likeminds.community/khushi-se-yoga" TargetMode="External"/><Relationship Id="rId2214" Type="http://schemas.openxmlformats.org/officeDocument/2006/relationships/hyperlink" Target="https://hi.likeminds.community/d/rapto-bhara-jeevan" TargetMode="External"/><Relationship Id="rId2698" Type="http://schemas.openxmlformats.org/officeDocument/2006/relationships/hyperlink" Target="https://community.likeminds.community/yo-geek-the-modern-yogi" TargetMode="External"/><Relationship Id="rId1368" Type="http://schemas.openxmlformats.org/officeDocument/2006/relationships/hyperlink" Target="https://hi.likeminds.community/khushi-se-yoga" TargetMode="External"/><Relationship Id="rId2215" Type="http://schemas.openxmlformats.org/officeDocument/2006/relationships/hyperlink" Target="https://hi.likeminds.community/d/rapto-bhara-jeevan" TargetMode="External"/><Relationship Id="rId2699" Type="http://schemas.openxmlformats.org/officeDocument/2006/relationships/hyperlink" Target="https://community.likeminds.community/yo-geek-the-modern-yogi" TargetMode="External"/><Relationship Id="rId1369" Type="http://schemas.openxmlformats.org/officeDocument/2006/relationships/hyperlink" Target="https://hi.likeminds.community/khushi-se-yoga" TargetMode="External"/><Relationship Id="rId2216" Type="http://schemas.openxmlformats.org/officeDocument/2006/relationships/hyperlink" Target="https://hi.likeminds.community/d/rapto-bhara-jeevan" TargetMode="External"/><Relationship Id="rId2217" Type="http://schemas.openxmlformats.org/officeDocument/2006/relationships/hyperlink" Target="https://hi.likeminds.community/d/rapto-bhara-jeevan" TargetMode="External"/><Relationship Id="rId2218" Type="http://schemas.openxmlformats.org/officeDocument/2006/relationships/hyperlink" Target="https://hi.likeminds.community/d/rapto-bhara-jeevan" TargetMode="External"/><Relationship Id="rId2219" Type="http://schemas.openxmlformats.org/officeDocument/2006/relationships/hyperlink" Target="https://hi.likeminds.community/d/rapto-bhara-jeevan" TargetMode="External"/><Relationship Id="rId778" Type="http://schemas.openxmlformats.org/officeDocument/2006/relationships/hyperlink" Target="https://hi.likeminds.community/d/emptycup" TargetMode="External"/><Relationship Id="rId777" Type="http://schemas.openxmlformats.org/officeDocument/2006/relationships/hyperlink" Target="https://hi.likeminds.community/d/emptycup" TargetMode="External"/><Relationship Id="rId776" Type="http://schemas.openxmlformats.org/officeDocument/2006/relationships/hyperlink" Target="https://hi.likeminds.community/d/emptycup" TargetMode="External"/><Relationship Id="rId775" Type="http://schemas.openxmlformats.org/officeDocument/2006/relationships/hyperlink" Target="https://hi.likeminds.community/d/emptycup" TargetMode="External"/><Relationship Id="rId779" Type="http://schemas.openxmlformats.org/officeDocument/2006/relationships/hyperlink" Target="https://hi.likeminds.community/d/emptycup" TargetMode="External"/><Relationship Id="rId770" Type="http://schemas.openxmlformats.org/officeDocument/2006/relationships/hyperlink" Target="https://hi.likeminds.community/d/emptycup" TargetMode="External"/><Relationship Id="rId2690" Type="http://schemas.openxmlformats.org/officeDocument/2006/relationships/hyperlink" Target="https://community.likeminds.community/yo-geek-the-modern-yogi" TargetMode="External"/><Relationship Id="rId1360" Type="http://schemas.openxmlformats.org/officeDocument/2006/relationships/hyperlink" Target="https://hi.likeminds.community/khushi-se-yoga" TargetMode="External"/><Relationship Id="rId2691" Type="http://schemas.openxmlformats.org/officeDocument/2006/relationships/hyperlink" Target="https://community.likeminds.community/yo-geek-the-modern-yogi" TargetMode="External"/><Relationship Id="rId1361" Type="http://schemas.openxmlformats.org/officeDocument/2006/relationships/hyperlink" Target="https://hi.likeminds.community/khushi-se-yoga" TargetMode="External"/><Relationship Id="rId2692" Type="http://schemas.openxmlformats.org/officeDocument/2006/relationships/hyperlink" Target="https://community.likeminds.community/yo-geek-the-modern-yogi" TargetMode="External"/><Relationship Id="rId1362" Type="http://schemas.openxmlformats.org/officeDocument/2006/relationships/hyperlink" Target="https://hi.likeminds.community/khushi-se-yoga" TargetMode="External"/><Relationship Id="rId2693" Type="http://schemas.openxmlformats.org/officeDocument/2006/relationships/hyperlink" Target="https://community.likeminds.community/yo-geek-the-modern-yogi" TargetMode="External"/><Relationship Id="rId774" Type="http://schemas.openxmlformats.org/officeDocument/2006/relationships/hyperlink" Target="https://hi.likeminds.community/d/emptycup" TargetMode="External"/><Relationship Id="rId1363" Type="http://schemas.openxmlformats.org/officeDocument/2006/relationships/hyperlink" Target="https://hi.likeminds.community/khushi-se-yoga" TargetMode="External"/><Relationship Id="rId2210" Type="http://schemas.openxmlformats.org/officeDocument/2006/relationships/hyperlink" Target="https://hi.likeminds.community/d/rapto-bhara-jeevan" TargetMode="External"/><Relationship Id="rId2694" Type="http://schemas.openxmlformats.org/officeDocument/2006/relationships/hyperlink" Target="https://community.likeminds.community/yo-geek-the-modern-yogi" TargetMode="External"/><Relationship Id="rId773" Type="http://schemas.openxmlformats.org/officeDocument/2006/relationships/hyperlink" Target="https://hi.likeminds.community/d/emptycup" TargetMode="External"/><Relationship Id="rId1364" Type="http://schemas.openxmlformats.org/officeDocument/2006/relationships/hyperlink" Target="https://hi.likeminds.community/khushi-se-yoga" TargetMode="External"/><Relationship Id="rId2211" Type="http://schemas.openxmlformats.org/officeDocument/2006/relationships/hyperlink" Target="https://hi.likeminds.community/d/rapto-bhara-jeevan" TargetMode="External"/><Relationship Id="rId2695" Type="http://schemas.openxmlformats.org/officeDocument/2006/relationships/hyperlink" Target="https://community.likeminds.community/yo-geek-the-modern-yogi" TargetMode="External"/><Relationship Id="rId772" Type="http://schemas.openxmlformats.org/officeDocument/2006/relationships/hyperlink" Target="https://hi.likeminds.community/d/emptycup" TargetMode="External"/><Relationship Id="rId1365" Type="http://schemas.openxmlformats.org/officeDocument/2006/relationships/hyperlink" Target="https://hi.likeminds.community/khushi-se-yoga" TargetMode="External"/><Relationship Id="rId2212" Type="http://schemas.openxmlformats.org/officeDocument/2006/relationships/hyperlink" Target="https://hi.likeminds.community/d/rapto-bhara-jeevan" TargetMode="External"/><Relationship Id="rId2696" Type="http://schemas.openxmlformats.org/officeDocument/2006/relationships/hyperlink" Target="https://community.likeminds.community/yo-geek-the-modern-yogi" TargetMode="External"/><Relationship Id="rId771" Type="http://schemas.openxmlformats.org/officeDocument/2006/relationships/hyperlink" Target="https://hi.likeminds.community/d/emptycup" TargetMode="External"/><Relationship Id="rId1366" Type="http://schemas.openxmlformats.org/officeDocument/2006/relationships/hyperlink" Target="https://hi.likeminds.community/khushi-se-yoga" TargetMode="External"/><Relationship Id="rId2213" Type="http://schemas.openxmlformats.org/officeDocument/2006/relationships/hyperlink" Target="https://hi.likeminds.community/d/rapto-bhara-jeevan" TargetMode="External"/><Relationship Id="rId2697" Type="http://schemas.openxmlformats.org/officeDocument/2006/relationships/hyperlink" Target="https://community.likeminds.community/yo-geek-the-modern-yogi" TargetMode="External"/><Relationship Id="rId2247" Type="http://schemas.openxmlformats.org/officeDocument/2006/relationships/hyperlink" Target="https://hi.likeminds.community/d/rapto-bhara-jeevan" TargetMode="External"/><Relationship Id="rId2248" Type="http://schemas.openxmlformats.org/officeDocument/2006/relationships/hyperlink" Target="https://hi.likeminds.community/d/rapto-bhara-jeevan" TargetMode="External"/><Relationship Id="rId2249" Type="http://schemas.openxmlformats.org/officeDocument/2006/relationships/hyperlink" Target="https://hi.likeminds.community/d/she-splash" TargetMode="External"/><Relationship Id="rId327" Type="http://schemas.openxmlformats.org/officeDocument/2006/relationships/hyperlink" Target="https://hi.likeminds.community/d/bsb-life-academy" TargetMode="External"/><Relationship Id="rId326" Type="http://schemas.openxmlformats.org/officeDocument/2006/relationships/hyperlink" Target="https://hi.likeminds.community/d/bsb-life-academy" TargetMode="External"/><Relationship Id="rId325" Type="http://schemas.openxmlformats.org/officeDocument/2006/relationships/hyperlink" Target="https://hi.likeminds.community/d/bsb-life-academy" TargetMode="External"/><Relationship Id="rId324" Type="http://schemas.openxmlformats.org/officeDocument/2006/relationships/hyperlink" Target="https://hi.likeminds.community/d/bsb-life-academy" TargetMode="External"/><Relationship Id="rId329" Type="http://schemas.openxmlformats.org/officeDocument/2006/relationships/hyperlink" Target="https://hi.likeminds.community/d/bsb-life-academy" TargetMode="External"/><Relationship Id="rId1390" Type="http://schemas.openxmlformats.org/officeDocument/2006/relationships/hyperlink" Target="https://community.likeminds.community/ladies-and-gentlemen" TargetMode="External"/><Relationship Id="rId328" Type="http://schemas.openxmlformats.org/officeDocument/2006/relationships/hyperlink" Target="https://hi.likeminds.community/d/bsb-life-academy" TargetMode="External"/><Relationship Id="rId1391" Type="http://schemas.openxmlformats.org/officeDocument/2006/relationships/hyperlink" Target="https://community.likeminds.community/ladies-and-gentlemen" TargetMode="External"/><Relationship Id="rId1392" Type="http://schemas.openxmlformats.org/officeDocument/2006/relationships/hyperlink" Target="https://community.likeminds.community/ladies-and-gentlemen" TargetMode="External"/><Relationship Id="rId1393" Type="http://schemas.openxmlformats.org/officeDocument/2006/relationships/hyperlink" Target="https://community.likeminds.community/ladies-and-gentlemen" TargetMode="External"/><Relationship Id="rId2240" Type="http://schemas.openxmlformats.org/officeDocument/2006/relationships/hyperlink" Target="https://hi.likeminds.community/d/rapto-bhara-jeevan" TargetMode="External"/><Relationship Id="rId1394" Type="http://schemas.openxmlformats.org/officeDocument/2006/relationships/hyperlink" Target="https://community.likeminds.community/ladies-and-gentlemen" TargetMode="External"/><Relationship Id="rId2241" Type="http://schemas.openxmlformats.org/officeDocument/2006/relationships/hyperlink" Target="https://hi.likeminds.community/d/rapto-bhara-jeevan" TargetMode="External"/><Relationship Id="rId1395" Type="http://schemas.openxmlformats.org/officeDocument/2006/relationships/hyperlink" Target="https://community.likeminds.community/ladies-and-gentlemen" TargetMode="External"/><Relationship Id="rId2242" Type="http://schemas.openxmlformats.org/officeDocument/2006/relationships/hyperlink" Target="https://hi.likeminds.community/d/rapto-bhara-jeevan" TargetMode="External"/><Relationship Id="rId323" Type="http://schemas.openxmlformats.org/officeDocument/2006/relationships/hyperlink" Target="https://hi.likeminds.community/d/bsb-life-academy" TargetMode="External"/><Relationship Id="rId1396" Type="http://schemas.openxmlformats.org/officeDocument/2006/relationships/hyperlink" Target="https://community.likeminds.community/ladies-and-gentlemen" TargetMode="External"/><Relationship Id="rId2243" Type="http://schemas.openxmlformats.org/officeDocument/2006/relationships/hyperlink" Target="https://hi.likeminds.community/d/rapto-bhara-jeevan" TargetMode="External"/><Relationship Id="rId322" Type="http://schemas.openxmlformats.org/officeDocument/2006/relationships/hyperlink" Target="https://hi.likeminds.community/d/bsb-life-academy" TargetMode="External"/><Relationship Id="rId1397" Type="http://schemas.openxmlformats.org/officeDocument/2006/relationships/hyperlink" Target="https://community.likeminds.community/ladies-and-gentlemen" TargetMode="External"/><Relationship Id="rId2244" Type="http://schemas.openxmlformats.org/officeDocument/2006/relationships/hyperlink" Target="https://hi.likeminds.community/d/rapto-bhara-jeevan" TargetMode="External"/><Relationship Id="rId321" Type="http://schemas.openxmlformats.org/officeDocument/2006/relationships/hyperlink" Target="https://hi.likeminds.community/d/bsb-life-academy" TargetMode="External"/><Relationship Id="rId1398" Type="http://schemas.openxmlformats.org/officeDocument/2006/relationships/hyperlink" Target="https://community.likeminds.community/ladies-and-gentlemen" TargetMode="External"/><Relationship Id="rId2245" Type="http://schemas.openxmlformats.org/officeDocument/2006/relationships/hyperlink" Target="https://hi.likeminds.community/d/rapto-bhara-jeevan" TargetMode="External"/><Relationship Id="rId320" Type="http://schemas.openxmlformats.org/officeDocument/2006/relationships/hyperlink" Target="https://hi.likeminds.community/d/bsb-life-academy" TargetMode="External"/><Relationship Id="rId1399" Type="http://schemas.openxmlformats.org/officeDocument/2006/relationships/hyperlink" Target="https://community.likeminds.community/ladies-and-gentlemen" TargetMode="External"/><Relationship Id="rId2246" Type="http://schemas.openxmlformats.org/officeDocument/2006/relationships/hyperlink" Target="https://hi.likeminds.community/d/rapto-bhara-jeevan" TargetMode="External"/><Relationship Id="rId1389" Type="http://schemas.openxmlformats.org/officeDocument/2006/relationships/hyperlink" Target="https://community.likeminds.community/ladies-and-gentlemen" TargetMode="External"/><Relationship Id="rId2236" Type="http://schemas.openxmlformats.org/officeDocument/2006/relationships/hyperlink" Target="https://hi.likeminds.community/d/rapto-bhara-jeevan" TargetMode="External"/><Relationship Id="rId2237" Type="http://schemas.openxmlformats.org/officeDocument/2006/relationships/hyperlink" Target="https://hi.likeminds.community/d/rapto-bhara-jeevan" TargetMode="External"/><Relationship Id="rId2238" Type="http://schemas.openxmlformats.org/officeDocument/2006/relationships/hyperlink" Target="https://hi.likeminds.community/d/rapto-bhara-jeevan" TargetMode="External"/><Relationship Id="rId2239" Type="http://schemas.openxmlformats.org/officeDocument/2006/relationships/hyperlink" Target="https://hi.likeminds.community/d/rapto-bhara-jeevan" TargetMode="External"/><Relationship Id="rId316" Type="http://schemas.openxmlformats.org/officeDocument/2006/relationships/hyperlink" Target="https://hi.likeminds.community/d/bsb-life-academy" TargetMode="External"/><Relationship Id="rId315" Type="http://schemas.openxmlformats.org/officeDocument/2006/relationships/hyperlink" Target="https://hi.likeminds.community/d/bsb-life-academy" TargetMode="External"/><Relationship Id="rId799" Type="http://schemas.openxmlformats.org/officeDocument/2006/relationships/hyperlink" Target="https://hi.likeminds.community/d/energy-healing-by-dr-bharti-dua" TargetMode="External"/><Relationship Id="rId314" Type="http://schemas.openxmlformats.org/officeDocument/2006/relationships/hyperlink" Target="https://hi.likeminds.community/d/bsb-life-academy" TargetMode="External"/><Relationship Id="rId798" Type="http://schemas.openxmlformats.org/officeDocument/2006/relationships/hyperlink" Target="https://hi.likeminds.community/d/energy-healing-by-dr-bharti-dua" TargetMode="External"/><Relationship Id="rId313" Type="http://schemas.openxmlformats.org/officeDocument/2006/relationships/hyperlink" Target="https://hi.likeminds.community/d/bsb-life-academy" TargetMode="External"/><Relationship Id="rId797" Type="http://schemas.openxmlformats.org/officeDocument/2006/relationships/hyperlink" Target="https://hi.likeminds.community/d/energy-healing-by-dr-bharti-dua" TargetMode="External"/><Relationship Id="rId319" Type="http://schemas.openxmlformats.org/officeDocument/2006/relationships/hyperlink" Target="https://hi.likeminds.community/d/bsb-life-academy" TargetMode="External"/><Relationship Id="rId318" Type="http://schemas.openxmlformats.org/officeDocument/2006/relationships/hyperlink" Target="https://hi.likeminds.community/d/bsb-life-academy" TargetMode="External"/><Relationship Id="rId317" Type="http://schemas.openxmlformats.org/officeDocument/2006/relationships/hyperlink" Target="https://hi.likeminds.community/d/bsb-life-academy" TargetMode="External"/><Relationship Id="rId1380" Type="http://schemas.openxmlformats.org/officeDocument/2006/relationships/hyperlink" Target="https://community.likeminds.community/ladies-and-gentlemen" TargetMode="External"/><Relationship Id="rId792" Type="http://schemas.openxmlformats.org/officeDocument/2006/relationships/hyperlink" Target="https://hi.likeminds.community/d/energy-healing-by-dr-bharti-dua" TargetMode="External"/><Relationship Id="rId1381" Type="http://schemas.openxmlformats.org/officeDocument/2006/relationships/hyperlink" Target="https://community.likeminds.community/ladies-and-gentlemen" TargetMode="External"/><Relationship Id="rId791" Type="http://schemas.openxmlformats.org/officeDocument/2006/relationships/hyperlink" Target="https://hi.likeminds.community/d/energy-healing-by-dr-bharti-dua" TargetMode="External"/><Relationship Id="rId1382" Type="http://schemas.openxmlformats.org/officeDocument/2006/relationships/hyperlink" Target="https://community.likeminds.community/ladies-and-gentlemen" TargetMode="External"/><Relationship Id="rId790" Type="http://schemas.openxmlformats.org/officeDocument/2006/relationships/hyperlink" Target="https://hi.likeminds.community/d/energy-healing-by-dr-bharti-dua" TargetMode="External"/><Relationship Id="rId1383" Type="http://schemas.openxmlformats.org/officeDocument/2006/relationships/hyperlink" Target="https://community.likeminds.community/ladies-and-gentlemen" TargetMode="External"/><Relationship Id="rId2230" Type="http://schemas.openxmlformats.org/officeDocument/2006/relationships/hyperlink" Target="https://hi.likeminds.community/d/rapto-bhara-jeevan" TargetMode="External"/><Relationship Id="rId1384" Type="http://schemas.openxmlformats.org/officeDocument/2006/relationships/hyperlink" Target="https://community.likeminds.community/ladies-and-gentlemen" TargetMode="External"/><Relationship Id="rId2231" Type="http://schemas.openxmlformats.org/officeDocument/2006/relationships/hyperlink" Target="https://hi.likeminds.community/d/rapto-bhara-jeevan" TargetMode="External"/><Relationship Id="rId312" Type="http://schemas.openxmlformats.org/officeDocument/2006/relationships/hyperlink" Target="https://hi.likeminds.community/d/bsb-life-academy" TargetMode="External"/><Relationship Id="rId796" Type="http://schemas.openxmlformats.org/officeDocument/2006/relationships/hyperlink" Target="https://hi.likeminds.community/d/energy-healing-by-dr-bharti-dua" TargetMode="External"/><Relationship Id="rId1385" Type="http://schemas.openxmlformats.org/officeDocument/2006/relationships/hyperlink" Target="https://community.likeminds.community/ladies-and-gentlemen" TargetMode="External"/><Relationship Id="rId2232" Type="http://schemas.openxmlformats.org/officeDocument/2006/relationships/hyperlink" Target="https://hi.likeminds.community/d/rapto-bhara-jeevan" TargetMode="External"/><Relationship Id="rId311" Type="http://schemas.openxmlformats.org/officeDocument/2006/relationships/hyperlink" Target="https://hi.likeminds.community/d/bsb-life-academy" TargetMode="External"/><Relationship Id="rId795" Type="http://schemas.openxmlformats.org/officeDocument/2006/relationships/hyperlink" Target="https://hi.likeminds.community/d/energy-healing-by-dr-bharti-dua" TargetMode="External"/><Relationship Id="rId1386" Type="http://schemas.openxmlformats.org/officeDocument/2006/relationships/hyperlink" Target="https://community.likeminds.community/ladies-and-gentlemen" TargetMode="External"/><Relationship Id="rId2233" Type="http://schemas.openxmlformats.org/officeDocument/2006/relationships/hyperlink" Target="https://hi.likeminds.community/d/rapto-bhara-jeevan" TargetMode="External"/><Relationship Id="rId310" Type="http://schemas.openxmlformats.org/officeDocument/2006/relationships/hyperlink" Target="https://hi.likeminds.community/d/bsb-life-academy" TargetMode="External"/><Relationship Id="rId794" Type="http://schemas.openxmlformats.org/officeDocument/2006/relationships/hyperlink" Target="https://hi.likeminds.community/d/energy-healing-by-dr-bharti-dua" TargetMode="External"/><Relationship Id="rId1387" Type="http://schemas.openxmlformats.org/officeDocument/2006/relationships/hyperlink" Target="https://community.likeminds.community/ladies-and-gentlemen" TargetMode="External"/><Relationship Id="rId2234" Type="http://schemas.openxmlformats.org/officeDocument/2006/relationships/hyperlink" Target="https://hi.likeminds.community/d/rapto-bhara-jeevan" TargetMode="External"/><Relationship Id="rId793" Type="http://schemas.openxmlformats.org/officeDocument/2006/relationships/hyperlink" Target="https://hi.likeminds.community/d/energy-healing-by-dr-bharti-dua" TargetMode="External"/><Relationship Id="rId1388" Type="http://schemas.openxmlformats.org/officeDocument/2006/relationships/hyperlink" Target="https://community.likeminds.community/ladies-and-gentlemen" TargetMode="External"/><Relationship Id="rId2235" Type="http://schemas.openxmlformats.org/officeDocument/2006/relationships/hyperlink" Target="https://hi.likeminds.community/d/rapto-bhara-jeevan" TargetMode="External"/><Relationship Id="rId297" Type="http://schemas.openxmlformats.org/officeDocument/2006/relationships/hyperlink" Target="https://hi.likeminds.community/d/bonjour-amis-french" TargetMode="External"/><Relationship Id="rId296" Type="http://schemas.openxmlformats.org/officeDocument/2006/relationships/hyperlink" Target="https://hi.likeminds.community/d/bonjour-amis-french" TargetMode="External"/><Relationship Id="rId295" Type="http://schemas.openxmlformats.org/officeDocument/2006/relationships/hyperlink" Target="https://hi.likeminds.community/d/bonjour-amis-french" TargetMode="External"/><Relationship Id="rId294" Type="http://schemas.openxmlformats.org/officeDocument/2006/relationships/hyperlink" Target="https://hi.likeminds.community/d/bonjour-amis-french" TargetMode="External"/><Relationship Id="rId299" Type="http://schemas.openxmlformats.org/officeDocument/2006/relationships/hyperlink" Target="https://hi.likeminds.community/d/bonjour-amis-french" TargetMode="External"/><Relationship Id="rId298" Type="http://schemas.openxmlformats.org/officeDocument/2006/relationships/hyperlink" Target="https://hi.likeminds.community/d/bonjour-amis-french" TargetMode="External"/><Relationship Id="rId271" Type="http://schemas.openxmlformats.org/officeDocument/2006/relationships/hyperlink" Target="https://hi.likeminds.community/d/bonjour-amis-french" TargetMode="External"/><Relationship Id="rId270" Type="http://schemas.openxmlformats.org/officeDocument/2006/relationships/hyperlink" Target="https://hi.likeminds.community/d/bonjour-amis-french" TargetMode="External"/><Relationship Id="rId269" Type="http://schemas.openxmlformats.org/officeDocument/2006/relationships/hyperlink" Target="https://hi.likeminds.community/d/bonjour-amis-french" TargetMode="External"/><Relationship Id="rId264" Type="http://schemas.openxmlformats.org/officeDocument/2006/relationships/hyperlink" Target="https://hi.likeminds.community/d/bonjour-amis-french" TargetMode="External"/><Relationship Id="rId263" Type="http://schemas.openxmlformats.org/officeDocument/2006/relationships/hyperlink" Target="https://hi.likeminds.community/d/bonjour-amis-french" TargetMode="External"/><Relationship Id="rId262" Type="http://schemas.openxmlformats.org/officeDocument/2006/relationships/hyperlink" Target="https://hi.likeminds.community/d/bonjour-amis-french" TargetMode="External"/><Relationship Id="rId261" Type="http://schemas.openxmlformats.org/officeDocument/2006/relationships/hyperlink" Target="https://hi.likeminds.community/d/bonjour-amis-french" TargetMode="External"/><Relationship Id="rId268" Type="http://schemas.openxmlformats.org/officeDocument/2006/relationships/hyperlink" Target="https://hi.likeminds.community/d/bonjour-amis-french" TargetMode="External"/><Relationship Id="rId267" Type="http://schemas.openxmlformats.org/officeDocument/2006/relationships/hyperlink" Target="https://hi.likeminds.community/d/bonjour-amis-french" TargetMode="External"/><Relationship Id="rId266" Type="http://schemas.openxmlformats.org/officeDocument/2006/relationships/hyperlink" Target="https://hi.likeminds.community/d/bonjour-amis-french" TargetMode="External"/><Relationship Id="rId265" Type="http://schemas.openxmlformats.org/officeDocument/2006/relationships/hyperlink" Target="https://hi.likeminds.community/d/bonjour-amis-french" TargetMode="External"/><Relationship Id="rId260" Type="http://schemas.openxmlformats.org/officeDocument/2006/relationships/hyperlink" Target="https://hi.likeminds.community/d/bonjour-amis-french" TargetMode="External"/><Relationship Id="rId259" Type="http://schemas.openxmlformats.org/officeDocument/2006/relationships/hyperlink" Target="https://hi.likeminds.community/d/bonjour-amis-french" TargetMode="External"/><Relationship Id="rId258" Type="http://schemas.openxmlformats.org/officeDocument/2006/relationships/hyperlink" Target="https://hi.likeminds.community/d/bonjour-amis-french" TargetMode="External"/><Relationship Id="rId2290" Type="http://schemas.openxmlformats.org/officeDocument/2006/relationships/hyperlink" Target="https://hi.likeminds.community/d/spokken-2" TargetMode="External"/><Relationship Id="rId2291" Type="http://schemas.openxmlformats.org/officeDocument/2006/relationships/hyperlink" Target="https://hi.likeminds.community/d/spokken-2" TargetMode="External"/><Relationship Id="rId2292" Type="http://schemas.openxmlformats.org/officeDocument/2006/relationships/hyperlink" Target="https://hi.likeminds.community/d/spokken-2" TargetMode="External"/><Relationship Id="rId2293" Type="http://schemas.openxmlformats.org/officeDocument/2006/relationships/hyperlink" Target="https://hi.likeminds.community/d/spokken-2" TargetMode="External"/><Relationship Id="rId253" Type="http://schemas.openxmlformats.org/officeDocument/2006/relationships/hyperlink" Target="https://hi.likeminds.community/d/bonjour-amis-french" TargetMode="External"/><Relationship Id="rId2294" Type="http://schemas.openxmlformats.org/officeDocument/2006/relationships/hyperlink" Target="https://hi.likeminds.community/d/spokken-2" TargetMode="External"/><Relationship Id="rId252" Type="http://schemas.openxmlformats.org/officeDocument/2006/relationships/hyperlink" Target="https://hi.likeminds.community/d/bonjour-amis-french" TargetMode="External"/><Relationship Id="rId2295" Type="http://schemas.openxmlformats.org/officeDocument/2006/relationships/hyperlink" Target="https://hi.likeminds.community/d/spokken-2" TargetMode="External"/><Relationship Id="rId251" Type="http://schemas.openxmlformats.org/officeDocument/2006/relationships/hyperlink" Target="https://hi.likeminds.community/d/bonjour-amis-french" TargetMode="External"/><Relationship Id="rId2296" Type="http://schemas.openxmlformats.org/officeDocument/2006/relationships/hyperlink" Target="https://hi.likeminds.community/d/spokken-2" TargetMode="External"/><Relationship Id="rId250" Type="http://schemas.openxmlformats.org/officeDocument/2006/relationships/hyperlink" Target="https://hi.likeminds.community/d/bonjour-amis-french" TargetMode="External"/><Relationship Id="rId2297" Type="http://schemas.openxmlformats.org/officeDocument/2006/relationships/hyperlink" Target="https://hi.likeminds.community/d/spokken-2" TargetMode="External"/><Relationship Id="rId257" Type="http://schemas.openxmlformats.org/officeDocument/2006/relationships/hyperlink" Target="https://hi.likeminds.community/d/bonjour-amis-french" TargetMode="External"/><Relationship Id="rId2298" Type="http://schemas.openxmlformats.org/officeDocument/2006/relationships/hyperlink" Target="https://hi.likeminds.community/d/spokken-2" TargetMode="External"/><Relationship Id="rId256" Type="http://schemas.openxmlformats.org/officeDocument/2006/relationships/hyperlink" Target="https://hi.likeminds.community/d/bonjour-amis-french" TargetMode="External"/><Relationship Id="rId2299" Type="http://schemas.openxmlformats.org/officeDocument/2006/relationships/hyperlink" Target="https://hi.likeminds.community/d/spokken-2" TargetMode="External"/><Relationship Id="rId255" Type="http://schemas.openxmlformats.org/officeDocument/2006/relationships/hyperlink" Target="https://hi.likeminds.community/d/bonjour-amis-french" TargetMode="External"/><Relationship Id="rId254" Type="http://schemas.openxmlformats.org/officeDocument/2006/relationships/hyperlink" Target="https://hi.likeminds.community/d/bonjour-amis-french" TargetMode="External"/><Relationship Id="rId293" Type="http://schemas.openxmlformats.org/officeDocument/2006/relationships/hyperlink" Target="https://hi.likeminds.community/d/bonjour-amis-french" TargetMode="External"/><Relationship Id="rId292" Type="http://schemas.openxmlformats.org/officeDocument/2006/relationships/hyperlink" Target="https://hi.likeminds.community/d/bonjour-amis-french" TargetMode="External"/><Relationship Id="rId291" Type="http://schemas.openxmlformats.org/officeDocument/2006/relationships/hyperlink" Target="https://hi.likeminds.community/d/bonjour-amis-french" TargetMode="External"/><Relationship Id="rId290" Type="http://schemas.openxmlformats.org/officeDocument/2006/relationships/hyperlink" Target="https://hi.likeminds.community/d/bonjour-amis-french" TargetMode="External"/><Relationship Id="rId286" Type="http://schemas.openxmlformats.org/officeDocument/2006/relationships/hyperlink" Target="https://hi.likeminds.community/d/bonjour-amis-french" TargetMode="External"/><Relationship Id="rId285" Type="http://schemas.openxmlformats.org/officeDocument/2006/relationships/hyperlink" Target="https://hi.likeminds.community/d/bonjour-amis-french" TargetMode="External"/><Relationship Id="rId284" Type="http://schemas.openxmlformats.org/officeDocument/2006/relationships/hyperlink" Target="https://hi.likeminds.community/d/bonjour-amis-french" TargetMode="External"/><Relationship Id="rId283" Type="http://schemas.openxmlformats.org/officeDocument/2006/relationships/hyperlink" Target="https://hi.likeminds.community/d/bonjour-amis-french" TargetMode="External"/><Relationship Id="rId289" Type="http://schemas.openxmlformats.org/officeDocument/2006/relationships/hyperlink" Target="https://hi.likeminds.community/d/bonjour-amis-french" TargetMode="External"/><Relationship Id="rId288" Type="http://schemas.openxmlformats.org/officeDocument/2006/relationships/hyperlink" Target="https://hi.likeminds.community/d/bonjour-amis-french" TargetMode="External"/><Relationship Id="rId287" Type="http://schemas.openxmlformats.org/officeDocument/2006/relationships/hyperlink" Target="https://hi.likeminds.community/d/bonjour-amis-french" TargetMode="External"/><Relationship Id="rId282" Type="http://schemas.openxmlformats.org/officeDocument/2006/relationships/hyperlink" Target="https://hi.likeminds.community/d/bonjour-amis-french" TargetMode="External"/><Relationship Id="rId281" Type="http://schemas.openxmlformats.org/officeDocument/2006/relationships/hyperlink" Target="https://hi.likeminds.community/d/bonjour-amis-french" TargetMode="External"/><Relationship Id="rId280" Type="http://schemas.openxmlformats.org/officeDocument/2006/relationships/hyperlink" Target="https://hi.likeminds.community/d/bonjour-amis-french" TargetMode="External"/><Relationship Id="rId275" Type="http://schemas.openxmlformats.org/officeDocument/2006/relationships/hyperlink" Target="https://hi.likeminds.community/d/bonjour-amis-french" TargetMode="External"/><Relationship Id="rId274" Type="http://schemas.openxmlformats.org/officeDocument/2006/relationships/hyperlink" Target="https://hi.likeminds.community/d/bonjour-amis-french" TargetMode="External"/><Relationship Id="rId273" Type="http://schemas.openxmlformats.org/officeDocument/2006/relationships/hyperlink" Target="https://hi.likeminds.community/d/bonjour-amis-french" TargetMode="External"/><Relationship Id="rId272" Type="http://schemas.openxmlformats.org/officeDocument/2006/relationships/hyperlink" Target="https://hi.likeminds.community/d/bonjour-amis-french" TargetMode="External"/><Relationship Id="rId279" Type="http://schemas.openxmlformats.org/officeDocument/2006/relationships/hyperlink" Target="https://hi.likeminds.community/d/bonjour-amis-french" TargetMode="External"/><Relationship Id="rId278" Type="http://schemas.openxmlformats.org/officeDocument/2006/relationships/hyperlink" Target="https://hi.likeminds.community/d/bonjour-amis-french" TargetMode="External"/><Relationship Id="rId277" Type="http://schemas.openxmlformats.org/officeDocument/2006/relationships/hyperlink" Target="https://hi.likeminds.community/d/bonjour-amis-french" TargetMode="External"/><Relationship Id="rId276" Type="http://schemas.openxmlformats.org/officeDocument/2006/relationships/hyperlink" Target="https://hi.likeminds.community/d/bonjour-amis-french" TargetMode="External"/><Relationship Id="rId1851" Type="http://schemas.openxmlformats.org/officeDocument/2006/relationships/hyperlink" Target="https://hi.likeminds.community/networking-business" TargetMode="External"/><Relationship Id="rId1852" Type="http://schemas.openxmlformats.org/officeDocument/2006/relationships/hyperlink" Target="https://hi.likeminds.community/networking-business" TargetMode="External"/><Relationship Id="rId1853" Type="http://schemas.openxmlformats.org/officeDocument/2006/relationships/hyperlink" Target="https://hi.likeminds.community/networking-business" TargetMode="External"/><Relationship Id="rId2700" Type="http://schemas.openxmlformats.org/officeDocument/2006/relationships/hyperlink" Target="https://community.likeminds.community/yo-geek-the-modern-yogi" TargetMode="External"/><Relationship Id="rId1854" Type="http://schemas.openxmlformats.org/officeDocument/2006/relationships/hyperlink" Target="https://hi.likeminds.community/networking-business" TargetMode="External"/><Relationship Id="rId2701" Type="http://schemas.openxmlformats.org/officeDocument/2006/relationships/hyperlink" Target="https://community.likeminds.community/yo-geek-the-modern-yogi" TargetMode="External"/><Relationship Id="rId1855" Type="http://schemas.openxmlformats.org/officeDocument/2006/relationships/hyperlink" Target="https://hi.likeminds.community/d/pet-parents-wellness" TargetMode="External"/><Relationship Id="rId2702" Type="http://schemas.openxmlformats.org/officeDocument/2006/relationships/hyperlink" Target="https://hi.likeminds.community/d/yum-bites-food-art" TargetMode="External"/><Relationship Id="rId1856" Type="http://schemas.openxmlformats.org/officeDocument/2006/relationships/hyperlink" Target="https://hi.likeminds.community/d/pet-parents-wellness" TargetMode="External"/><Relationship Id="rId2703" Type="http://schemas.openxmlformats.org/officeDocument/2006/relationships/drawing" Target="../drawings/drawing3.xml"/><Relationship Id="rId1857" Type="http://schemas.openxmlformats.org/officeDocument/2006/relationships/hyperlink" Target="https://hi.likeminds.community/d/pet-parents-wellness" TargetMode="External"/><Relationship Id="rId1858" Type="http://schemas.openxmlformats.org/officeDocument/2006/relationships/hyperlink" Target="https://hi.likeminds.community/d/pet-parents-wellness" TargetMode="External"/><Relationship Id="rId1859" Type="http://schemas.openxmlformats.org/officeDocument/2006/relationships/hyperlink" Target="https://hi.likeminds.community/d/pet-parents-wellness" TargetMode="External"/><Relationship Id="rId1850" Type="http://schemas.openxmlformats.org/officeDocument/2006/relationships/hyperlink" Target="https://hi.likeminds.community/networking-business" TargetMode="External"/><Relationship Id="rId1840" Type="http://schemas.openxmlformats.org/officeDocument/2006/relationships/hyperlink" Target="https://hi.likeminds.community/networking-business" TargetMode="External"/><Relationship Id="rId1841" Type="http://schemas.openxmlformats.org/officeDocument/2006/relationships/hyperlink" Target="https://hi.likeminds.community/networking-business" TargetMode="External"/><Relationship Id="rId1842" Type="http://schemas.openxmlformats.org/officeDocument/2006/relationships/hyperlink" Target="https://hi.likeminds.community/networking-business" TargetMode="External"/><Relationship Id="rId1843" Type="http://schemas.openxmlformats.org/officeDocument/2006/relationships/hyperlink" Target="https://hi.likeminds.community/networking-business" TargetMode="External"/><Relationship Id="rId1844" Type="http://schemas.openxmlformats.org/officeDocument/2006/relationships/hyperlink" Target="https://hi.likeminds.community/networking-business" TargetMode="External"/><Relationship Id="rId1845" Type="http://schemas.openxmlformats.org/officeDocument/2006/relationships/hyperlink" Target="https://hi.likeminds.community/networking-business" TargetMode="External"/><Relationship Id="rId1846" Type="http://schemas.openxmlformats.org/officeDocument/2006/relationships/hyperlink" Target="https://hi.likeminds.community/networking-business" TargetMode="External"/><Relationship Id="rId1847" Type="http://schemas.openxmlformats.org/officeDocument/2006/relationships/hyperlink" Target="https://hi.likeminds.community/networking-business" TargetMode="External"/><Relationship Id="rId1848" Type="http://schemas.openxmlformats.org/officeDocument/2006/relationships/hyperlink" Target="https://hi.likeminds.community/networking-business" TargetMode="External"/><Relationship Id="rId1849" Type="http://schemas.openxmlformats.org/officeDocument/2006/relationships/hyperlink" Target="https://hi.likeminds.community/networking-business" TargetMode="External"/><Relationship Id="rId1873" Type="http://schemas.openxmlformats.org/officeDocument/2006/relationships/hyperlink" Target="https://hi.likeminds.community/d/pet-parents-wellness" TargetMode="External"/><Relationship Id="rId1874" Type="http://schemas.openxmlformats.org/officeDocument/2006/relationships/hyperlink" Target="https://hi.likeminds.community/d/pet-parents-wellness" TargetMode="External"/><Relationship Id="rId1875" Type="http://schemas.openxmlformats.org/officeDocument/2006/relationships/hyperlink" Target="https://hi.likeminds.community/d/pet-parents-wellness" TargetMode="External"/><Relationship Id="rId1876" Type="http://schemas.openxmlformats.org/officeDocument/2006/relationships/hyperlink" Target="https://hi.likeminds.community/d/pet-parents-wellness" TargetMode="External"/><Relationship Id="rId1877" Type="http://schemas.openxmlformats.org/officeDocument/2006/relationships/hyperlink" Target="https://hi.likeminds.community/d/pet-parents-wellness" TargetMode="External"/><Relationship Id="rId1878" Type="http://schemas.openxmlformats.org/officeDocument/2006/relationships/hyperlink" Target="https://hi.likeminds.community/d/pet-parents-wellness" TargetMode="External"/><Relationship Id="rId1879" Type="http://schemas.openxmlformats.org/officeDocument/2006/relationships/hyperlink" Target="https://hi.likeminds.community/d/pet-parents-wellness" TargetMode="External"/><Relationship Id="rId1870" Type="http://schemas.openxmlformats.org/officeDocument/2006/relationships/hyperlink" Target="https://hi.likeminds.community/d/pet-parents-wellness" TargetMode="External"/><Relationship Id="rId1871" Type="http://schemas.openxmlformats.org/officeDocument/2006/relationships/hyperlink" Target="https://hi.likeminds.community/d/pet-parents-wellness" TargetMode="External"/><Relationship Id="rId1872" Type="http://schemas.openxmlformats.org/officeDocument/2006/relationships/hyperlink" Target="https://hi.likeminds.community/d/pet-parents-wellness" TargetMode="External"/><Relationship Id="rId1862" Type="http://schemas.openxmlformats.org/officeDocument/2006/relationships/hyperlink" Target="https://hi.likeminds.community/d/pet-parents-wellness" TargetMode="External"/><Relationship Id="rId1863" Type="http://schemas.openxmlformats.org/officeDocument/2006/relationships/hyperlink" Target="https://hi.likeminds.community/d/pet-parents-wellness" TargetMode="External"/><Relationship Id="rId1864" Type="http://schemas.openxmlformats.org/officeDocument/2006/relationships/hyperlink" Target="https://hi.likeminds.community/d/pet-parents-wellness" TargetMode="External"/><Relationship Id="rId1865" Type="http://schemas.openxmlformats.org/officeDocument/2006/relationships/hyperlink" Target="https://hi.likeminds.community/d/pet-parents-wellness" TargetMode="External"/><Relationship Id="rId1866" Type="http://schemas.openxmlformats.org/officeDocument/2006/relationships/hyperlink" Target="https://hi.likeminds.community/d/pet-parents-wellness" TargetMode="External"/><Relationship Id="rId1867" Type="http://schemas.openxmlformats.org/officeDocument/2006/relationships/hyperlink" Target="https://hi.likeminds.community/d/pet-parents-wellness" TargetMode="External"/><Relationship Id="rId1868" Type="http://schemas.openxmlformats.org/officeDocument/2006/relationships/hyperlink" Target="https://hi.likeminds.community/d/pet-parents-wellness" TargetMode="External"/><Relationship Id="rId1869" Type="http://schemas.openxmlformats.org/officeDocument/2006/relationships/hyperlink" Target="https://hi.likeminds.community/d/pet-parents-wellness" TargetMode="External"/><Relationship Id="rId1860" Type="http://schemas.openxmlformats.org/officeDocument/2006/relationships/hyperlink" Target="https://hi.likeminds.community/d/pet-parents-wellness" TargetMode="External"/><Relationship Id="rId1861" Type="http://schemas.openxmlformats.org/officeDocument/2006/relationships/hyperlink" Target="https://hi.likeminds.community/d/pet-parents-wellness" TargetMode="External"/><Relationship Id="rId1810" Type="http://schemas.openxmlformats.org/officeDocument/2006/relationships/hyperlink" Target="https://hi.likeminds.community/networking-business" TargetMode="External"/><Relationship Id="rId1811" Type="http://schemas.openxmlformats.org/officeDocument/2006/relationships/hyperlink" Target="https://hi.likeminds.community/networking-business" TargetMode="External"/><Relationship Id="rId1812" Type="http://schemas.openxmlformats.org/officeDocument/2006/relationships/hyperlink" Target="https://hi.likeminds.community/networking-business" TargetMode="External"/><Relationship Id="rId1813" Type="http://schemas.openxmlformats.org/officeDocument/2006/relationships/hyperlink" Target="https://hi.likeminds.community/networking-business" TargetMode="External"/><Relationship Id="rId1814" Type="http://schemas.openxmlformats.org/officeDocument/2006/relationships/hyperlink" Target="https://hi.likeminds.community/networking-business" TargetMode="External"/><Relationship Id="rId1815" Type="http://schemas.openxmlformats.org/officeDocument/2006/relationships/hyperlink" Target="https://hi.likeminds.community/networking-business" TargetMode="External"/><Relationship Id="rId1816" Type="http://schemas.openxmlformats.org/officeDocument/2006/relationships/hyperlink" Target="https://hi.likeminds.community/networking-business" TargetMode="External"/><Relationship Id="rId1817" Type="http://schemas.openxmlformats.org/officeDocument/2006/relationships/hyperlink" Target="https://hi.likeminds.community/networking-business" TargetMode="External"/><Relationship Id="rId1818" Type="http://schemas.openxmlformats.org/officeDocument/2006/relationships/hyperlink" Target="https://hi.likeminds.community/networking-business" TargetMode="External"/><Relationship Id="rId1819" Type="http://schemas.openxmlformats.org/officeDocument/2006/relationships/hyperlink" Target="https://hi.likeminds.community/networking-business" TargetMode="External"/><Relationship Id="rId1800" Type="http://schemas.openxmlformats.org/officeDocument/2006/relationships/hyperlink" Target="https://hi.likeminds.community/d/nature-enthusiasts-fareenavblogs" TargetMode="External"/><Relationship Id="rId1801" Type="http://schemas.openxmlformats.org/officeDocument/2006/relationships/hyperlink" Target="https://hi.likeminds.community/d/nature-enthusiasts-fareenavblogs" TargetMode="External"/><Relationship Id="rId1802" Type="http://schemas.openxmlformats.org/officeDocument/2006/relationships/hyperlink" Target="https://hi.likeminds.community/d/nature-enthusiasts-fareenavblogs" TargetMode="External"/><Relationship Id="rId1803" Type="http://schemas.openxmlformats.org/officeDocument/2006/relationships/hyperlink" Target="https://hi.likeminds.community/d/nature-enthusiasts-fareenavblogs" TargetMode="External"/><Relationship Id="rId1804" Type="http://schemas.openxmlformats.org/officeDocument/2006/relationships/hyperlink" Target="https://hi.likeminds.community/d/nature-enthusiasts-fareenavblogs" TargetMode="External"/><Relationship Id="rId1805" Type="http://schemas.openxmlformats.org/officeDocument/2006/relationships/hyperlink" Target="https://hi.likeminds.community/d/nature-enthusiasts-fareenavblogs" TargetMode="External"/><Relationship Id="rId1806" Type="http://schemas.openxmlformats.org/officeDocument/2006/relationships/hyperlink" Target="https://hi.likeminds.community/networking-business" TargetMode="External"/><Relationship Id="rId1807" Type="http://schemas.openxmlformats.org/officeDocument/2006/relationships/hyperlink" Target="https://hi.likeminds.community/networking-business" TargetMode="External"/><Relationship Id="rId1808" Type="http://schemas.openxmlformats.org/officeDocument/2006/relationships/hyperlink" Target="https://hi.likeminds.community/networking-business" TargetMode="External"/><Relationship Id="rId1809" Type="http://schemas.openxmlformats.org/officeDocument/2006/relationships/hyperlink" Target="https://hi.likeminds.community/networking-business" TargetMode="External"/><Relationship Id="rId1830" Type="http://schemas.openxmlformats.org/officeDocument/2006/relationships/hyperlink" Target="https://hi.likeminds.community/networking-business" TargetMode="External"/><Relationship Id="rId1831" Type="http://schemas.openxmlformats.org/officeDocument/2006/relationships/hyperlink" Target="https://hi.likeminds.community/networking-business" TargetMode="External"/><Relationship Id="rId1832" Type="http://schemas.openxmlformats.org/officeDocument/2006/relationships/hyperlink" Target="https://hi.likeminds.community/networking-business" TargetMode="External"/><Relationship Id="rId1833" Type="http://schemas.openxmlformats.org/officeDocument/2006/relationships/hyperlink" Target="https://hi.likeminds.community/networking-business" TargetMode="External"/><Relationship Id="rId1834" Type="http://schemas.openxmlformats.org/officeDocument/2006/relationships/hyperlink" Target="https://hi.likeminds.community/networking-business" TargetMode="External"/><Relationship Id="rId1835" Type="http://schemas.openxmlformats.org/officeDocument/2006/relationships/hyperlink" Target="https://hi.likeminds.community/networking-business" TargetMode="External"/><Relationship Id="rId1836" Type="http://schemas.openxmlformats.org/officeDocument/2006/relationships/hyperlink" Target="https://hi.likeminds.community/networking-business" TargetMode="External"/><Relationship Id="rId1837" Type="http://schemas.openxmlformats.org/officeDocument/2006/relationships/hyperlink" Target="https://hi.likeminds.community/networking-business" TargetMode="External"/><Relationship Id="rId1838" Type="http://schemas.openxmlformats.org/officeDocument/2006/relationships/hyperlink" Target="https://hi.likeminds.community/networking-business" TargetMode="External"/><Relationship Id="rId1839" Type="http://schemas.openxmlformats.org/officeDocument/2006/relationships/hyperlink" Target="https://hi.likeminds.community/networking-business" TargetMode="External"/><Relationship Id="rId1820" Type="http://schemas.openxmlformats.org/officeDocument/2006/relationships/hyperlink" Target="https://hi.likeminds.community/networking-business" TargetMode="External"/><Relationship Id="rId1821" Type="http://schemas.openxmlformats.org/officeDocument/2006/relationships/hyperlink" Target="https://hi.likeminds.community/networking-business" TargetMode="External"/><Relationship Id="rId1822" Type="http://schemas.openxmlformats.org/officeDocument/2006/relationships/hyperlink" Target="https://hi.likeminds.community/networking-business" TargetMode="External"/><Relationship Id="rId1823" Type="http://schemas.openxmlformats.org/officeDocument/2006/relationships/hyperlink" Target="https://hi.likeminds.community/networking-business" TargetMode="External"/><Relationship Id="rId1824" Type="http://schemas.openxmlformats.org/officeDocument/2006/relationships/hyperlink" Target="https://hi.likeminds.community/networking-business" TargetMode="External"/><Relationship Id="rId1825" Type="http://schemas.openxmlformats.org/officeDocument/2006/relationships/hyperlink" Target="https://hi.likeminds.community/networking-business" TargetMode="External"/><Relationship Id="rId1826" Type="http://schemas.openxmlformats.org/officeDocument/2006/relationships/hyperlink" Target="https://hi.likeminds.community/networking-business" TargetMode="External"/><Relationship Id="rId1827" Type="http://schemas.openxmlformats.org/officeDocument/2006/relationships/hyperlink" Target="https://hi.likeminds.community/networking-business" TargetMode="External"/><Relationship Id="rId1828" Type="http://schemas.openxmlformats.org/officeDocument/2006/relationships/hyperlink" Target="https://hi.likeminds.community/networking-business" TargetMode="External"/><Relationship Id="rId1829" Type="http://schemas.openxmlformats.org/officeDocument/2006/relationships/hyperlink" Target="https://hi.likeminds.community/networking-business" TargetMode="External"/><Relationship Id="rId1455" Type="http://schemas.openxmlformats.org/officeDocument/2006/relationships/hyperlink" Target="https://hi.likeminds.community/ladies-and-gentlemen" TargetMode="External"/><Relationship Id="rId2302" Type="http://schemas.openxmlformats.org/officeDocument/2006/relationships/hyperlink" Target="https://hi.likeminds.community/d/spokken-2" TargetMode="External"/><Relationship Id="rId1456" Type="http://schemas.openxmlformats.org/officeDocument/2006/relationships/hyperlink" Target="https://hi.likeminds.community/ladies-and-gentlemen" TargetMode="External"/><Relationship Id="rId2303" Type="http://schemas.openxmlformats.org/officeDocument/2006/relationships/hyperlink" Target="https://hi.likeminds.community/d/spokken-2" TargetMode="External"/><Relationship Id="rId1457" Type="http://schemas.openxmlformats.org/officeDocument/2006/relationships/hyperlink" Target="https://hi.likeminds.community/ladies-and-gentlemen" TargetMode="External"/><Relationship Id="rId2304" Type="http://schemas.openxmlformats.org/officeDocument/2006/relationships/hyperlink" Target="https://hi.likeminds.community/d/spokken-2" TargetMode="External"/><Relationship Id="rId1458" Type="http://schemas.openxmlformats.org/officeDocument/2006/relationships/hyperlink" Target="https://hi.likeminds.community/ladies-and-gentlemen" TargetMode="External"/><Relationship Id="rId2305" Type="http://schemas.openxmlformats.org/officeDocument/2006/relationships/hyperlink" Target="https://hi.likeminds.community/d/spokken-2" TargetMode="External"/><Relationship Id="rId1459" Type="http://schemas.openxmlformats.org/officeDocument/2006/relationships/hyperlink" Target="https://hi.likeminds.community/ladies-and-gentlemen" TargetMode="External"/><Relationship Id="rId2306" Type="http://schemas.openxmlformats.org/officeDocument/2006/relationships/hyperlink" Target="https://hi.likeminds.community/d/spokken-2" TargetMode="External"/><Relationship Id="rId2307" Type="http://schemas.openxmlformats.org/officeDocument/2006/relationships/hyperlink" Target="https://hi.likeminds.community/d/spokken-2" TargetMode="External"/><Relationship Id="rId2308" Type="http://schemas.openxmlformats.org/officeDocument/2006/relationships/hyperlink" Target="https://hi.likeminds.community/d/spokken-2" TargetMode="External"/><Relationship Id="rId2309" Type="http://schemas.openxmlformats.org/officeDocument/2006/relationships/hyperlink" Target="https://hi.likeminds.community/d/spokken-2" TargetMode="External"/><Relationship Id="rId629" Type="http://schemas.openxmlformats.org/officeDocument/2006/relationships/hyperlink" Target="https://hi.likeminds.community/d/digital-writopreneurs-hub" TargetMode="External"/><Relationship Id="rId624" Type="http://schemas.openxmlformats.org/officeDocument/2006/relationships/hyperlink" Target="https://hi.likeminds.community/d/digital-writopreneurs-hub" TargetMode="External"/><Relationship Id="rId623" Type="http://schemas.openxmlformats.org/officeDocument/2006/relationships/hyperlink" Target="https://hi.likeminds.community/d/digital-writopreneurs-hub" TargetMode="External"/><Relationship Id="rId622" Type="http://schemas.openxmlformats.org/officeDocument/2006/relationships/hyperlink" Target="https://hi.likeminds.community/d/digital-writopreneurs-hub" TargetMode="External"/><Relationship Id="rId621" Type="http://schemas.openxmlformats.org/officeDocument/2006/relationships/hyperlink" Target="https://hi.likeminds.community/d/digital-writopreneurs-hub" TargetMode="External"/><Relationship Id="rId628" Type="http://schemas.openxmlformats.org/officeDocument/2006/relationships/hyperlink" Target="https://hi.likeminds.community/d/digital-writopreneurs-hub" TargetMode="External"/><Relationship Id="rId627" Type="http://schemas.openxmlformats.org/officeDocument/2006/relationships/hyperlink" Target="https://hi.likeminds.community/d/digital-writopreneurs-hub" TargetMode="External"/><Relationship Id="rId626" Type="http://schemas.openxmlformats.org/officeDocument/2006/relationships/hyperlink" Target="https://hi.likeminds.community/d/digital-writopreneurs-hub" TargetMode="External"/><Relationship Id="rId625" Type="http://schemas.openxmlformats.org/officeDocument/2006/relationships/hyperlink" Target="https://hi.likeminds.community/d/digital-writopreneurs-hub" TargetMode="External"/><Relationship Id="rId1450" Type="http://schemas.openxmlformats.org/officeDocument/2006/relationships/hyperlink" Target="https://community.likeminds.community/ladies-and-gentlemen" TargetMode="External"/><Relationship Id="rId620" Type="http://schemas.openxmlformats.org/officeDocument/2006/relationships/hyperlink" Target="https://hi.likeminds.community/d/digital-writopreneurs-hub" TargetMode="External"/><Relationship Id="rId1451" Type="http://schemas.openxmlformats.org/officeDocument/2006/relationships/hyperlink" Target="https://community.likeminds.community/ladies-and-gentlemen" TargetMode="External"/><Relationship Id="rId1452" Type="http://schemas.openxmlformats.org/officeDocument/2006/relationships/hyperlink" Target="https://hi.likeminds.community/ladies-and-gentlemen" TargetMode="External"/><Relationship Id="rId1453" Type="http://schemas.openxmlformats.org/officeDocument/2006/relationships/hyperlink" Target="https://hi.likeminds.community/ladies-and-gentlemen" TargetMode="External"/><Relationship Id="rId2300" Type="http://schemas.openxmlformats.org/officeDocument/2006/relationships/hyperlink" Target="https://hi.likeminds.community/d/spokken-2" TargetMode="External"/><Relationship Id="rId1454" Type="http://schemas.openxmlformats.org/officeDocument/2006/relationships/hyperlink" Target="https://hi.likeminds.community/ladies-and-gentlemen" TargetMode="External"/><Relationship Id="rId2301" Type="http://schemas.openxmlformats.org/officeDocument/2006/relationships/hyperlink" Target="https://hi.likeminds.community/d/spokken-2" TargetMode="External"/><Relationship Id="rId1444" Type="http://schemas.openxmlformats.org/officeDocument/2006/relationships/hyperlink" Target="https://community.likeminds.community/ladies-and-gentlemen" TargetMode="External"/><Relationship Id="rId1445" Type="http://schemas.openxmlformats.org/officeDocument/2006/relationships/hyperlink" Target="https://community.likeminds.community/ladies-and-gentlemen" TargetMode="External"/><Relationship Id="rId1446" Type="http://schemas.openxmlformats.org/officeDocument/2006/relationships/hyperlink" Target="https://community.likeminds.community/ladies-and-gentlemen" TargetMode="External"/><Relationship Id="rId1447" Type="http://schemas.openxmlformats.org/officeDocument/2006/relationships/hyperlink" Target="https://community.likeminds.community/ladies-and-gentlemen" TargetMode="External"/><Relationship Id="rId1448" Type="http://schemas.openxmlformats.org/officeDocument/2006/relationships/hyperlink" Target="https://community.likeminds.community/ladies-and-gentlemen" TargetMode="External"/><Relationship Id="rId1449" Type="http://schemas.openxmlformats.org/officeDocument/2006/relationships/hyperlink" Target="https://community.likeminds.community/ladies-and-gentlemen" TargetMode="External"/><Relationship Id="rId619" Type="http://schemas.openxmlformats.org/officeDocument/2006/relationships/hyperlink" Target="https://hi.likeminds.community/d/digital-writopreneurs-hub" TargetMode="External"/><Relationship Id="rId618" Type="http://schemas.openxmlformats.org/officeDocument/2006/relationships/hyperlink" Target="https://hi.likeminds.community/d/digital-writopreneurs-hub" TargetMode="External"/><Relationship Id="rId613" Type="http://schemas.openxmlformats.org/officeDocument/2006/relationships/hyperlink" Target="https://hi.likeminds.community/d/digital-writopreneurs-hub" TargetMode="External"/><Relationship Id="rId612" Type="http://schemas.openxmlformats.org/officeDocument/2006/relationships/hyperlink" Target="https://hi.likeminds.community/d/digital-writopreneurs-hub" TargetMode="External"/><Relationship Id="rId611" Type="http://schemas.openxmlformats.org/officeDocument/2006/relationships/hyperlink" Target="https://hi.likeminds.community/d/digital-writopreneurs-hub" TargetMode="External"/><Relationship Id="rId610" Type="http://schemas.openxmlformats.org/officeDocument/2006/relationships/hyperlink" Target="https://hi.likeminds.community/d/digital-writopreneurs-hub" TargetMode="External"/><Relationship Id="rId617" Type="http://schemas.openxmlformats.org/officeDocument/2006/relationships/hyperlink" Target="https://hi.likeminds.community/d/digital-writopreneurs-hub" TargetMode="External"/><Relationship Id="rId616" Type="http://schemas.openxmlformats.org/officeDocument/2006/relationships/hyperlink" Target="https://hi.likeminds.community/d/digital-writopreneurs-hub" TargetMode="External"/><Relationship Id="rId615" Type="http://schemas.openxmlformats.org/officeDocument/2006/relationships/hyperlink" Target="https://hi.likeminds.community/d/digital-writopreneurs-hub" TargetMode="External"/><Relationship Id="rId614" Type="http://schemas.openxmlformats.org/officeDocument/2006/relationships/hyperlink" Target="https://hi.likeminds.community/d/digital-writopreneurs-hub" TargetMode="External"/><Relationship Id="rId1440" Type="http://schemas.openxmlformats.org/officeDocument/2006/relationships/hyperlink" Target="https://community.likeminds.community/ladies-and-gentlemen" TargetMode="External"/><Relationship Id="rId1441" Type="http://schemas.openxmlformats.org/officeDocument/2006/relationships/hyperlink" Target="https://community.likeminds.community/ladies-and-gentlemen" TargetMode="External"/><Relationship Id="rId1442" Type="http://schemas.openxmlformats.org/officeDocument/2006/relationships/hyperlink" Target="https://community.likeminds.community/ladies-and-gentlemen" TargetMode="External"/><Relationship Id="rId1443" Type="http://schemas.openxmlformats.org/officeDocument/2006/relationships/hyperlink" Target="https://community.likeminds.community/ladies-and-gentlemen" TargetMode="External"/><Relationship Id="rId1477" Type="http://schemas.openxmlformats.org/officeDocument/2006/relationships/hyperlink" Target="https://hi.likeminds.community/ladies-and-gentlemen" TargetMode="External"/><Relationship Id="rId2324" Type="http://schemas.openxmlformats.org/officeDocument/2006/relationships/hyperlink" Target="https://hi.likeminds.community/d/spokken-2" TargetMode="External"/><Relationship Id="rId1478" Type="http://schemas.openxmlformats.org/officeDocument/2006/relationships/hyperlink" Target="https://hi.likeminds.community/ladies-and-gentlemen" TargetMode="External"/><Relationship Id="rId2325" Type="http://schemas.openxmlformats.org/officeDocument/2006/relationships/hyperlink" Target="https://hi.likeminds.community/d/spokken-2" TargetMode="External"/><Relationship Id="rId1479" Type="http://schemas.openxmlformats.org/officeDocument/2006/relationships/hyperlink" Target="https://community.likeminds.community/ladies-and-gentlemen" TargetMode="External"/><Relationship Id="rId2326" Type="http://schemas.openxmlformats.org/officeDocument/2006/relationships/hyperlink" Target="https://hi.likeminds.community/d/spokken-2" TargetMode="External"/><Relationship Id="rId2327" Type="http://schemas.openxmlformats.org/officeDocument/2006/relationships/hyperlink" Target="https://hi.likeminds.community/d/spokken-2" TargetMode="External"/><Relationship Id="rId2328" Type="http://schemas.openxmlformats.org/officeDocument/2006/relationships/hyperlink" Target="https://hi.likeminds.community/d/spokken-2" TargetMode="External"/><Relationship Id="rId2329" Type="http://schemas.openxmlformats.org/officeDocument/2006/relationships/hyperlink" Target="https://hi.likeminds.community/d/spokken-2" TargetMode="External"/><Relationship Id="rId646" Type="http://schemas.openxmlformats.org/officeDocument/2006/relationships/hyperlink" Target="https://hi.likeminds.community/d/digital-writopreneurs-hub" TargetMode="External"/><Relationship Id="rId645" Type="http://schemas.openxmlformats.org/officeDocument/2006/relationships/hyperlink" Target="https://hi.likeminds.community/d/digital-writopreneurs-hub" TargetMode="External"/><Relationship Id="rId644" Type="http://schemas.openxmlformats.org/officeDocument/2006/relationships/hyperlink" Target="https://hi.likeminds.community/d/digital-writopreneurs-hub" TargetMode="External"/><Relationship Id="rId643" Type="http://schemas.openxmlformats.org/officeDocument/2006/relationships/hyperlink" Target="https://hi.likeminds.community/d/digital-writopreneurs-hub" TargetMode="External"/><Relationship Id="rId649" Type="http://schemas.openxmlformats.org/officeDocument/2006/relationships/hyperlink" Target="https://hi.likeminds.community/d/digital-writopreneurs-hub" TargetMode="External"/><Relationship Id="rId648" Type="http://schemas.openxmlformats.org/officeDocument/2006/relationships/hyperlink" Target="https://hi.likeminds.community/d/digital-writopreneurs-hub" TargetMode="External"/><Relationship Id="rId647" Type="http://schemas.openxmlformats.org/officeDocument/2006/relationships/hyperlink" Target="https://hi.likeminds.community/d/digital-writopreneurs-hub" TargetMode="External"/><Relationship Id="rId1470" Type="http://schemas.openxmlformats.org/officeDocument/2006/relationships/hyperlink" Target="https://hi.likeminds.community/ladies-and-gentlemen" TargetMode="External"/><Relationship Id="rId1471" Type="http://schemas.openxmlformats.org/officeDocument/2006/relationships/hyperlink" Target="https://hi.likeminds.community/ladies-and-gentlemen" TargetMode="External"/><Relationship Id="rId1472" Type="http://schemas.openxmlformats.org/officeDocument/2006/relationships/hyperlink" Target="https://hi.likeminds.community/ladies-and-gentlemen" TargetMode="External"/><Relationship Id="rId642" Type="http://schemas.openxmlformats.org/officeDocument/2006/relationships/hyperlink" Target="https://hi.likeminds.community/d/digital-writopreneurs-hub" TargetMode="External"/><Relationship Id="rId1473" Type="http://schemas.openxmlformats.org/officeDocument/2006/relationships/hyperlink" Target="https://hi.likeminds.community/ladies-and-gentlemen" TargetMode="External"/><Relationship Id="rId2320" Type="http://schemas.openxmlformats.org/officeDocument/2006/relationships/hyperlink" Target="https://hi.likeminds.community/d/spokken-2" TargetMode="External"/><Relationship Id="rId641" Type="http://schemas.openxmlformats.org/officeDocument/2006/relationships/hyperlink" Target="https://hi.likeminds.community/d/digital-writopreneurs-hub" TargetMode="External"/><Relationship Id="rId1474" Type="http://schemas.openxmlformats.org/officeDocument/2006/relationships/hyperlink" Target="https://hi.likeminds.community/ladies-and-gentlemen" TargetMode="External"/><Relationship Id="rId2321" Type="http://schemas.openxmlformats.org/officeDocument/2006/relationships/hyperlink" Target="https://hi.likeminds.community/d/spokken-2" TargetMode="External"/><Relationship Id="rId640" Type="http://schemas.openxmlformats.org/officeDocument/2006/relationships/hyperlink" Target="https://hi.likeminds.community/d/digital-writopreneurs-hub" TargetMode="External"/><Relationship Id="rId1475" Type="http://schemas.openxmlformats.org/officeDocument/2006/relationships/hyperlink" Target="https://hi.likeminds.community/ladies-and-gentlemen" TargetMode="External"/><Relationship Id="rId2322" Type="http://schemas.openxmlformats.org/officeDocument/2006/relationships/hyperlink" Target="https://hi.likeminds.community/d/spokken-2" TargetMode="External"/><Relationship Id="rId1476" Type="http://schemas.openxmlformats.org/officeDocument/2006/relationships/hyperlink" Target="https://hi.likeminds.community/ladies-and-gentlemen" TargetMode="External"/><Relationship Id="rId2323" Type="http://schemas.openxmlformats.org/officeDocument/2006/relationships/hyperlink" Target="https://hi.likeminds.community/d/spokken-2" TargetMode="External"/><Relationship Id="rId1466" Type="http://schemas.openxmlformats.org/officeDocument/2006/relationships/hyperlink" Target="https://hi.likeminds.community/ladies-and-gentlemen" TargetMode="External"/><Relationship Id="rId2313" Type="http://schemas.openxmlformats.org/officeDocument/2006/relationships/hyperlink" Target="https://hi.likeminds.community/d/spokken-2" TargetMode="External"/><Relationship Id="rId1467" Type="http://schemas.openxmlformats.org/officeDocument/2006/relationships/hyperlink" Target="https://hi.likeminds.community/ladies-and-gentlemen" TargetMode="External"/><Relationship Id="rId2314" Type="http://schemas.openxmlformats.org/officeDocument/2006/relationships/hyperlink" Target="https://hi.likeminds.community/d/spokken-2" TargetMode="External"/><Relationship Id="rId1468" Type="http://schemas.openxmlformats.org/officeDocument/2006/relationships/hyperlink" Target="https://hi.likeminds.community/ladies-and-gentlemen" TargetMode="External"/><Relationship Id="rId2315" Type="http://schemas.openxmlformats.org/officeDocument/2006/relationships/hyperlink" Target="https://hi.likeminds.community/d/spokken-2" TargetMode="External"/><Relationship Id="rId1469" Type="http://schemas.openxmlformats.org/officeDocument/2006/relationships/hyperlink" Target="https://hi.likeminds.community/ladies-and-gentlemen" TargetMode="External"/><Relationship Id="rId2316" Type="http://schemas.openxmlformats.org/officeDocument/2006/relationships/hyperlink" Target="https://hi.likeminds.community/d/spokken-2" TargetMode="External"/><Relationship Id="rId2317" Type="http://schemas.openxmlformats.org/officeDocument/2006/relationships/hyperlink" Target="https://hi.likeminds.community/d/spokken-2" TargetMode="External"/><Relationship Id="rId2318" Type="http://schemas.openxmlformats.org/officeDocument/2006/relationships/hyperlink" Target="https://hi.likeminds.community/d/spokken-2" TargetMode="External"/><Relationship Id="rId2319" Type="http://schemas.openxmlformats.org/officeDocument/2006/relationships/hyperlink" Target="https://hi.likeminds.community/d/spokken-2" TargetMode="External"/><Relationship Id="rId635" Type="http://schemas.openxmlformats.org/officeDocument/2006/relationships/hyperlink" Target="https://hi.likeminds.community/d/digital-writopreneurs-hub" TargetMode="External"/><Relationship Id="rId634" Type="http://schemas.openxmlformats.org/officeDocument/2006/relationships/hyperlink" Target="https://hi.likeminds.community/d/digital-writopreneurs-hub" TargetMode="External"/><Relationship Id="rId633" Type="http://schemas.openxmlformats.org/officeDocument/2006/relationships/hyperlink" Target="https://hi.likeminds.community/d/digital-writopreneurs-hub" TargetMode="External"/><Relationship Id="rId632" Type="http://schemas.openxmlformats.org/officeDocument/2006/relationships/hyperlink" Target="https://hi.likeminds.community/d/digital-writopreneurs-hub" TargetMode="External"/><Relationship Id="rId639" Type="http://schemas.openxmlformats.org/officeDocument/2006/relationships/hyperlink" Target="https://hi.likeminds.community/d/digital-writopreneurs-hub" TargetMode="External"/><Relationship Id="rId638" Type="http://schemas.openxmlformats.org/officeDocument/2006/relationships/hyperlink" Target="https://hi.likeminds.community/d/digital-writopreneurs-hub" TargetMode="External"/><Relationship Id="rId637" Type="http://schemas.openxmlformats.org/officeDocument/2006/relationships/hyperlink" Target="https://hi.likeminds.community/d/digital-writopreneurs-hub" TargetMode="External"/><Relationship Id="rId636" Type="http://schemas.openxmlformats.org/officeDocument/2006/relationships/hyperlink" Target="https://hi.likeminds.community/d/digital-writopreneurs-hub" TargetMode="External"/><Relationship Id="rId1460" Type="http://schemas.openxmlformats.org/officeDocument/2006/relationships/hyperlink" Target="https://hi.likeminds.community/ladies-and-gentlemen" TargetMode="External"/><Relationship Id="rId1461" Type="http://schemas.openxmlformats.org/officeDocument/2006/relationships/hyperlink" Target="https://hi.likeminds.community/ladies-and-gentlemen" TargetMode="External"/><Relationship Id="rId631" Type="http://schemas.openxmlformats.org/officeDocument/2006/relationships/hyperlink" Target="https://hi.likeminds.community/d/digital-writopreneurs-hub" TargetMode="External"/><Relationship Id="rId1462" Type="http://schemas.openxmlformats.org/officeDocument/2006/relationships/hyperlink" Target="https://hi.likeminds.community/ladies-and-gentlemen" TargetMode="External"/><Relationship Id="rId630" Type="http://schemas.openxmlformats.org/officeDocument/2006/relationships/hyperlink" Target="https://hi.likeminds.community/d/digital-writopreneurs-hub" TargetMode="External"/><Relationship Id="rId1463" Type="http://schemas.openxmlformats.org/officeDocument/2006/relationships/hyperlink" Target="https://hi.likeminds.community/ladies-and-gentlemen" TargetMode="External"/><Relationship Id="rId2310" Type="http://schemas.openxmlformats.org/officeDocument/2006/relationships/hyperlink" Target="https://hi.likeminds.community/d/spokken-2" TargetMode="External"/><Relationship Id="rId1464" Type="http://schemas.openxmlformats.org/officeDocument/2006/relationships/hyperlink" Target="https://hi.likeminds.community/ladies-and-gentlemen" TargetMode="External"/><Relationship Id="rId2311" Type="http://schemas.openxmlformats.org/officeDocument/2006/relationships/hyperlink" Target="https://hi.likeminds.community/d/spokken-2" TargetMode="External"/><Relationship Id="rId1465" Type="http://schemas.openxmlformats.org/officeDocument/2006/relationships/hyperlink" Target="https://hi.likeminds.community/ladies-and-gentlemen" TargetMode="External"/><Relationship Id="rId2312" Type="http://schemas.openxmlformats.org/officeDocument/2006/relationships/hyperlink" Target="https://hi.likeminds.community/d/spokken-2" TargetMode="External"/><Relationship Id="rId1411" Type="http://schemas.openxmlformats.org/officeDocument/2006/relationships/hyperlink" Target="https://community.likeminds.community/ladies-and-gentlemen" TargetMode="External"/><Relationship Id="rId1895" Type="http://schemas.openxmlformats.org/officeDocument/2006/relationships/hyperlink" Target="https://community.likeminds.community/pharmacology-insiders" TargetMode="External"/><Relationship Id="rId1412" Type="http://schemas.openxmlformats.org/officeDocument/2006/relationships/hyperlink" Target="https://community.likeminds.community/ladies-and-gentlemen" TargetMode="External"/><Relationship Id="rId1896" Type="http://schemas.openxmlformats.org/officeDocument/2006/relationships/hyperlink" Target="https://community.likeminds.community/pharmacology-insiders" TargetMode="External"/><Relationship Id="rId1413" Type="http://schemas.openxmlformats.org/officeDocument/2006/relationships/hyperlink" Target="https://community.likeminds.community/ladies-and-gentlemen" TargetMode="External"/><Relationship Id="rId1897" Type="http://schemas.openxmlformats.org/officeDocument/2006/relationships/hyperlink" Target="https://community.likeminds.community/pharmacology-insiders" TargetMode="External"/><Relationship Id="rId1414" Type="http://schemas.openxmlformats.org/officeDocument/2006/relationships/hyperlink" Target="https://community.likeminds.community/ladies-and-gentlemen" TargetMode="External"/><Relationship Id="rId1898" Type="http://schemas.openxmlformats.org/officeDocument/2006/relationships/hyperlink" Target="https://community.likeminds.community/pharmacology-insiders" TargetMode="External"/><Relationship Id="rId1415" Type="http://schemas.openxmlformats.org/officeDocument/2006/relationships/hyperlink" Target="https://community.likeminds.community/ladies-and-gentlemen" TargetMode="External"/><Relationship Id="rId1899" Type="http://schemas.openxmlformats.org/officeDocument/2006/relationships/hyperlink" Target="https://community.likeminds.community/pharmacology-insiders" TargetMode="External"/><Relationship Id="rId1416" Type="http://schemas.openxmlformats.org/officeDocument/2006/relationships/hyperlink" Target="https://community.likeminds.community/ladies-and-gentlemen" TargetMode="External"/><Relationship Id="rId1417" Type="http://schemas.openxmlformats.org/officeDocument/2006/relationships/hyperlink" Target="https://community.likeminds.community/ladies-and-gentlemen" TargetMode="External"/><Relationship Id="rId1418" Type="http://schemas.openxmlformats.org/officeDocument/2006/relationships/hyperlink" Target="https://community.likeminds.community/ladies-and-gentlemen" TargetMode="External"/><Relationship Id="rId1419" Type="http://schemas.openxmlformats.org/officeDocument/2006/relationships/hyperlink" Target="https://community.likeminds.community/ladies-and-gentlemen" TargetMode="External"/><Relationship Id="rId1890" Type="http://schemas.openxmlformats.org/officeDocument/2006/relationships/hyperlink" Target="https://community.likeminds.community/pharmacology-insiders" TargetMode="External"/><Relationship Id="rId1891" Type="http://schemas.openxmlformats.org/officeDocument/2006/relationships/hyperlink" Target="https://community.likeminds.community/pharmacology-insiders" TargetMode="External"/><Relationship Id="rId1892" Type="http://schemas.openxmlformats.org/officeDocument/2006/relationships/hyperlink" Target="https://community.likeminds.community/pharmacology-insiders" TargetMode="External"/><Relationship Id="rId1893" Type="http://schemas.openxmlformats.org/officeDocument/2006/relationships/hyperlink" Target="https://community.likeminds.community/pharmacology-insiders" TargetMode="External"/><Relationship Id="rId1410" Type="http://schemas.openxmlformats.org/officeDocument/2006/relationships/hyperlink" Target="https://community.likeminds.community/ladies-and-gentlemen" TargetMode="External"/><Relationship Id="rId1894" Type="http://schemas.openxmlformats.org/officeDocument/2006/relationships/hyperlink" Target="https://community.likeminds.community/pharmacology-insiders" TargetMode="External"/><Relationship Id="rId1400" Type="http://schemas.openxmlformats.org/officeDocument/2006/relationships/hyperlink" Target="https://community.likeminds.community/ladies-and-gentlemen" TargetMode="External"/><Relationship Id="rId1884" Type="http://schemas.openxmlformats.org/officeDocument/2006/relationships/hyperlink" Target="https://community.likeminds.community/pharmacology-insiders" TargetMode="External"/><Relationship Id="rId1401" Type="http://schemas.openxmlformats.org/officeDocument/2006/relationships/hyperlink" Target="https://community.likeminds.community/ladies-and-gentlemen" TargetMode="External"/><Relationship Id="rId1885" Type="http://schemas.openxmlformats.org/officeDocument/2006/relationships/hyperlink" Target="https://community.likeminds.community/pharmacology-insiders" TargetMode="External"/><Relationship Id="rId1402" Type="http://schemas.openxmlformats.org/officeDocument/2006/relationships/hyperlink" Target="https://community.likeminds.community/ladies-and-gentlemen" TargetMode="External"/><Relationship Id="rId1886" Type="http://schemas.openxmlformats.org/officeDocument/2006/relationships/hyperlink" Target="https://community.likeminds.community/pharmacology-insiders" TargetMode="External"/><Relationship Id="rId1403" Type="http://schemas.openxmlformats.org/officeDocument/2006/relationships/hyperlink" Target="https://community.likeminds.community/ladies-and-gentlemen" TargetMode="External"/><Relationship Id="rId1887" Type="http://schemas.openxmlformats.org/officeDocument/2006/relationships/hyperlink" Target="https://community.likeminds.community/pharmacology-insiders" TargetMode="External"/><Relationship Id="rId1404" Type="http://schemas.openxmlformats.org/officeDocument/2006/relationships/hyperlink" Target="https://community.likeminds.community/ladies-and-gentlemen" TargetMode="External"/><Relationship Id="rId1888" Type="http://schemas.openxmlformats.org/officeDocument/2006/relationships/hyperlink" Target="https://community.likeminds.community/pharmacology-insiders" TargetMode="External"/><Relationship Id="rId1405" Type="http://schemas.openxmlformats.org/officeDocument/2006/relationships/hyperlink" Target="https://community.likeminds.community/ladies-and-gentlemen" TargetMode="External"/><Relationship Id="rId1889" Type="http://schemas.openxmlformats.org/officeDocument/2006/relationships/hyperlink" Target="https://community.likeminds.community/pharmacology-insiders" TargetMode="External"/><Relationship Id="rId1406" Type="http://schemas.openxmlformats.org/officeDocument/2006/relationships/hyperlink" Target="https://community.likeminds.community/ladies-and-gentlemen" TargetMode="External"/><Relationship Id="rId1407" Type="http://schemas.openxmlformats.org/officeDocument/2006/relationships/hyperlink" Target="https://community.likeminds.community/ladies-and-gentlemen" TargetMode="External"/><Relationship Id="rId1408" Type="http://schemas.openxmlformats.org/officeDocument/2006/relationships/hyperlink" Target="https://community.likeminds.community/ladies-and-gentlemen" TargetMode="External"/><Relationship Id="rId1409" Type="http://schemas.openxmlformats.org/officeDocument/2006/relationships/hyperlink" Target="https://community.likeminds.community/ladies-and-gentlemen" TargetMode="External"/><Relationship Id="rId1880" Type="http://schemas.openxmlformats.org/officeDocument/2006/relationships/hyperlink" Target="https://hi.likeminds.community/d/pet-parents-wellness" TargetMode="External"/><Relationship Id="rId1881" Type="http://schemas.openxmlformats.org/officeDocument/2006/relationships/hyperlink" Target="https://community.likeminds.community/pharmacology-insiders" TargetMode="External"/><Relationship Id="rId1882" Type="http://schemas.openxmlformats.org/officeDocument/2006/relationships/hyperlink" Target="https://community.likeminds.community/pharmacology-insiders" TargetMode="External"/><Relationship Id="rId1883" Type="http://schemas.openxmlformats.org/officeDocument/2006/relationships/hyperlink" Target="https://community.likeminds.community/pharmacology-insiders" TargetMode="External"/><Relationship Id="rId1433" Type="http://schemas.openxmlformats.org/officeDocument/2006/relationships/hyperlink" Target="https://community.likeminds.community/ladies-and-gentlemen" TargetMode="External"/><Relationship Id="rId1434" Type="http://schemas.openxmlformats.org/officeDocument/2006/relationships/hyperlink" Target="https://community.likeminds.community/ladies-and-gentlemen" TargetMode="External"/><Relationship Id="rId1435" Type="http://schemas.openxmlformats.org/officeDocument/2006/relationships/hyperlink" Target="https://community.likeminds.community/ladies-and-gentlemen" TargetMode="External"/><Relationship Id="rId1436" Type="http://schemas.openxmlformats.org/officeDocument/2006/relationships/hyperlink" Target="https://community.likeminds.community/ladies-and-gentlemen" TargetMode="External"/><Relationship Id="rId1437" Type="http://schemas.openxmlformats.org/officeDocument/2006/relationships/hyperlink" Target="https://community.likeminds.community/ladies-and-gentlemen" TargetMode="External"/><Relationship Id="rId1438" Type="http://schemas.openxmlformats.org/officeDocument/2006/relationships/hyperlink" Target="https://community.likeminds.community/ladies-and-gentlemen" TargetMode="External"/><Relationship Id="rId1439" Type="http://schemas.openxmlformats.org/officeDocument/2006/relationships/hyperlink" Target="https://community.likeminds.community/ladies-and-gentlemen" TargetMode="External"/><Relationship Id="rId609" Type="http://schemas.openxmlformats.org/officeDocument/2006/relationships/hyperlink" Target="https://hi.likeminds.community/d/digital-writopreneurs-hub" TargetMode="External"/><Relationship Id="rId608" Type="http://schemas.openxmlformats.org/officeDocument/2006/relationships/hyperlink" Target="https://hi.likeminds.community/d/digital-writopreneurs-hub" TargetMode="External"/><Relationship Id="rId607" Type="http://schemas.openxmlformats.org/officeDocument/2006/relationships/hyperlink" Target="https://hi.likeminds.community/d/digital-writopreneurs-hub" TargetMode="External"/><Relationship Id="rId602" Type="http://schemas.openxmlformats.org/officeDocument/2006/relationships/hyperlink" Target="https://hi.likeminds.community/d/digital-writopreneurs-hub" TargetMode="External"/><Relationship Id="rId601" Type="http://schemas.openxmlformats.org/officeDocument/2006/relationships/hyperlink" Target="https://hi.likeminds.community/d/digital-writopreneurs-hub" TargetMode="External"/><Relationship Id="rId600" Type="http://schemas.openxmlformats.org/officeDocument/2006/relationships/hyperlink" Target="https://hi.likeminds.community/d/digital-writopreneurs-hub" TargetMode="External"/><Relationship Id="rId606" Type="http://schemas.openxmlformats.org/officeDocument/2006/relationships/hyperlink" Target="https://hi.likeminds.community/d/digital-writopreneurs-hub" TargetMode="External"/><Relationship Id="rId605" Type="http://schemas.openxmlformats.org/officeDocument/2006/relationships/hyperlink" Target="https://hi.likeminds.community/d/digital-writopreneurs-hub" TargetMode="External"/><Relationship Id="rId604" Type="http://schemas.openxmlformats.org/officeDocument/2006/relationships/hyperlink" Target="https://hi.likeminds.community/d/digital-writopreneurs-hub" TargetMode="External"/><Relationship Id="rId603" Type="http://schemas.openxmlformats.org/officeDocument/2006/relationships/hyperlink" Target="https://hi.likeminds.community/d/digital-writopreneurs-hub" TargetMode="External"/><Relationship Id="rId1430" Type="http://schemas.openxmlformats.org/officeDocument/2006/relationships/hyperlink" Target="https://community.likeminds.community/ladies-and-gentlemen" TargetMode="External"/><Relationship Id="rId1431" Type="http://schemas.openxmlformats.org/officeDocument/2006/relationships/hyperlink" Target="https://community.likeminds.community/ladies-and-gentlemen" TargetMode="External"/><Relationship Id="rId1432" Type="http://schemas.openxmlformats.org/officeDocument/2006/relationships/hyperlink" Target="https://community.likeminds.community/ladies-and-gentlemen" TargetMode="External"/><Relationship Id="rId1422" Type="http://schemas.openxmlformats.org/officeDocument/2006/relationships/hyperlink" Target="https://community.likeminds.community/ladies-and-gentlemen" TargetMode="External"/><Relationship Id="rId1423" Type="http://schemas.openxmlformats.org/officeDocument/2006/relationships/hyperlink" Target="https://community.likeminds.community/ladies-and-gentlemen" TargetMode="External"/><Relationship Id="rId1424" Type="http://schemas.openxmlformats.org/officeDocument/2006/relationships/hyperlink" Target="https://community.likeminds.community/ladies-and-gentlemen" TargetMode="External"/><Relationship Id="rId1425" Type="http://schemas.openxmlformats.org/officeDocument/2006/relationships/hyperlink" Target="https://community.likeminds.community/ladies-and-gentlemen" TargetMode="External"/><Relationship Id="rId1426" Type="http://schemas.openxmlformats.org/officeDocument/2006/relationships/hyperlink" Target="https://community.likeminds.community/ladies-and-gentlemen" TargetMode="External"/><Relationship Id="rId1427" Type="http://schemas.openxmlformats.org/officeDocument/2006/relationships/hyperlink" Target="https://community.likeminds.community/ladies-and-gentlemen" TargetMode="External"/><Relationship Id="rId1428" Type="http://schemas.openxmlformats.org/officeDocument/2006/relationships/hyperlink" Target="https://community.likeminds.community/ladies-and-gentlemen" TargetMode="External"/><Relationship Id="rId1429" Type="http://schemas.openxmlformats.org/officeDocument/2006/relationships/hyperlink" Target="https://community.likeminds.community/ladies-and-gentlemen" TargetMode="External"/><Relationship Id="rId1420" Type="http://schemas.openxmlformats.org/officeDocument/2006/relationships/hyperlink" Target="https://community.likeminds.community/ladies-and-gentlemen" TargetMode="External"/><Relationship Id="rId1421" Type="http://schemas.openxmlformats.org/officeDocument/2006/relationships/hyperlink" Target="https://community.likeminds.community/ladies-and-gentlemen" TargetMode="External"/><Relationship Id="rId1059" Type="http://schemas.openxmlformats.org/officeDocument/2006/relationships/hyperlink" Target="https://community.likeminds.community/hanhangul" TargetMode="External"/><Relationship Id="rId228" Type="http://schemas.openxmlformats.org/officeDocument/2006/relationships/hyperlink" Target="https://hi.likeminds.community/d/bonjour-amis-french" TargetMode="External"/><Relationship Id="rId227" Type="http://schemas.openxmlformats.org/officeDocument/2006/relationships/hyperlink" Target="https://hi.likeminds.community/d/bonjour-amis-french" TargetMode="External"/><Relationship Id="rId226" Type="http://schemas.openxmlformats.org/officeDocument/2006/relationships/hyperlink" Target="https://hi.likeminds.community/d/bonjour-amis-french" TargetMode="External"/><Relationship Id="rId225" Type="http://schemas.openxmlformats.org/officeDocument/2006/relationships/hyperlink" Target="https://hi.likeminds.community/d/bonjour-amis-french" TargetMode="External"/><Relationship Id="rId2380" Type="http://schemas.openxmlformats.org/officeDocument/2006/relationships/hyperlink" Target="https://hi.likeminds.community/d/thane-super-moms" TargetMode="External"/><Relationship Id="rId229" Type="http://schemas.openxmlformats.org/officeDocument/2006/relationships/hyperlink" Target="https://hi.likeminds.community/d/bonjour-amis-french" TargetMode="External"/><Relationship Id="rId1050" Type="http://schemas.openxmlformats.org/officeDocument/2006/relationships/hyperlink" Target="https://community.likeminds.community/hanhangul" TargetMode="External"/><Relationship Id="rId2381" Type="http://schemas.openxmlformats.org/officeDocument/2006/relationships/hyperlink" Target="https://hi.likeminds.community/the-data-talk" TargetMode="External"/><Relationship Id="rId220" Type="http://schemas.openxmlformats.org/officeDocument/2006/relationships/hyperlink" Target="https://hi.likeminds.community/d/bonjour-amis-french" TargetMode="External"/><Relationship Id="rId1051" Type="http://schemas.openxmlformats.org/officeDocument/2006/relationships/hyperlink" Target="https://community.likeminds.community/hanhangul" TargetMode="External"/><Relationship Id="rId2382" Type="http://schemas.openxmlformats.org/officeDocument/2006/relationships/hyperlink" Target="https://hi.likeminds.community/the-data-talk" TargetMode="External"/><Relationship Id="rId1052" Type="http://schemas.openxmlformats.org/officeDocument/2006/relationships/hyperlink" Target="https://community.likeminds.community/hanhangul" TargetMode="External"/><Relationship Id="rId2383" Type="http://schemas.openxmlformats.org/officeDocument/2006/relationships/hyperlink" Target="https://hi.likeminds.community/the-data-talk" TargetMode="External"/><Relationship Id="rId1053" Type="http://schemas.openxmlformats.org/officeDocument/2006/relationships/hyperlink" Target="https://community.likeminds.community/hanhangul" TargetMode="External"/><Relationship Id="rId2384" Type="http://schemas.openxmlformats.org/officeDocument/2006/relationships/hyperlink" Target="https://hi.likeminds.community/the-data-talk" TargetMode="External"/><Relationship Id="rId1054" Type="http://schemas.openxmlformats.org/officeDocument/2006/relationships/hyperlink" Target="https://community.likeminds.community/hanhangul" TargetMode="External"/><Relationship Id="rId2385" Type="http://schemas.openxmlformats.org/officeDocument/2006/relationships/hyperlink" Target="https://hi.likeminds.community/the-data-talk" TargetMode="External"/><Relationship Id="rId224" Type="http://schemas.openxmlformats.org/officeDocument/2006/relationships/hyperlink" Target="https://hi.likeminds.community/d/bonjour-amis-french" TargetMode="External"/><Relationship Id="rId1055" Type="http://schemas.openxmlformats.org/officeDocument/2006/relationships/hyperlink" Target="https://community.likeminds.community/hanhangul" TargetMode="External"/><Relationship Id="rId2386" Type="http://schemas.openxmlformats.org/officeDocument/2006/relationships/hyperlink" Target="https://hi.likeminds.community/the-data-talk" TargetMode="External"/><Relationship Id="rId223" Type="http://schemas.openxmlformats.org/officeDocument/2006/relationships/hyperlink" Target="https://hi.likeminds.community/d/bonjour-amis-french" TargetMode="External"/><Relationship Id="rId1056" Type="http://schemas.openxmlformats.org/officeDocument/2006/relationships/hyperlink" Target="https://community.likeminds.community/hanhangul" TargetMode="External"/><Relationship Id="rId2387" Type="http://schemas.openxmlformats.org/officeDocument/2006/relationships/hyperlink" Target="https://hi.likeminds.community/d/the-fewh-tribe" TargetMode="External"/><Relationship Id="rId222" Type="http://schemas.openxmlformats.org/officeDocument/2006/relationships/hyperlink" Target="https://hi.likeminds.community/d/bonjour-amis-french" TargetMode="External"/><Relationship Id="rId1057" Type="http://schemas.openxmlformats.org/officeDocument/2006/relationships/hyperlink" Target="https://community.likeminds.community/hanhangul" TargetMode="External"/><Relationship Id="rId2388" Type="http://schemas.openxmlformats.org/officeDocument/2006/relationships/hyperlink" Target="https://community.likeminds.community/finstreet" TargetMode="External"/><Relationship Id="rId221" Type="http://schemas.openxmlformats.org/officeDocument/2006/relationships/hyperlink" Target="https://hi.likeminds.community/d/bonjour-amis-french" TargetMode="External"/><Relationship Id="rId1058" Type="http://schemas.openxmlformats.org/officeDocument/2006/relationships/hyperlink" Target="https://community.likeminds.community/hanhangul" TargetMode="External"/><Relationship Id="rId2389" Type="http://schemas.openxmlformats.org/officeDocument/2006/relationships/hyperlink" Target="https://community.likeminds.community/finstreet" TargetMode="External"/><Relationship Id="rId1048" Type="http://schemas.openxmlformats.org/officeDocument/2006/relationships/hyperlink" Target="https://community.likeminds.community/hanhangul" TargetMode="External"/><Relationship Id="rId2379" Type="http://schemas.openxmlformats.org/officeDocument/2006/relationships/hyperlink" Target="https://hi.likeminds.community/d/thane-super-moms" TargetMode="External"/><Relationship Id="rId1049" Type="http://schemas.openxmlformats.org/officeDocument/2006/relationships/hyperlink" Target="https://community.likeminds.community/hanhangul" TargetMode="External"/><Relationship Id="rId217" Type="http://schemas.openxmlformats.org/officeDocument/2006/relationships/hyperlink" Target="https://hi.likeminds.community/d/bonjour-amis-french" TargetMode="External"/><Relationship Id="rId216" Type="http://schemas.openxmlformats.org/officeDocument/2006/relationships/hyperlink" Target="https://hi.likeminds.community/d/bonjour-amis-french" TargetMode="External"/><Relationship Id="rId215" Type="http://schemas.openxmlformats.org/officeDocument/2006/relationships/hyperlink" Target="https://hi.likeminds.community/d/bonjour-amis-french" TargetMode="External"/><Relationship Id="rId699" Type="http://schemas.openxmlformats.org/officeDocument/2006/relationships/hyperlink" Target="https://hi.likeminds.community/d/digital-writopreneurs-hub" TargetMode="External"/><Relationship Id="rId214" Type="http://schemas.openxmlformats.org/officeDocument/2006/relationships/hyperlink" Target="https://hi.likeminds.community/d/bonjour-amis-french" TargetMode="External"/><Relationship Id="rId698" Type="http://schemas.openxmlformats.org/officeDocument/2006/relationships/hyperlink" Target="https://hi.likeminds.community/d/digital-writopreneurs-hub" TargetMode="External"/><Relationship Id="rId219" Type="http://schemas.openxmlformats.org/officeDocument/2006/relationships/hyperlink" Target="https://hi.likeminds.community/d/bonjour-amis-french" TargetMode="External"/><Relationship Id="rId218" Type="http://schemas.openxmlformats.org/officeDocument/2006/relationships/hyperlink" Target="https://hi.likeminds.community/d/bonjour-amis-french" TargetMode="External"/><Relationship Id="rId2370" Type="http://schemas.openxmlformats.org/officeDocument/2006/relationships/hyperlink" Target="https://hi.likeminds.community/startup-change-leaders" TargetMode="External"/><Relationship Id="rId693" Type="http://schemas.openxmlformats.org/officeDocument/2006/relationships/hyperlink" Target="https://hi.likeminds.community/d/digital-writopreneurs-hub" TargetMode="External"/><Relationship Id="rId1040" Type="http://schemas.openxmlformats.org/officeDocument/2006/relationships/hyperlink" Target="https://community.likeminds.community/hanhangul" TargetMode="External"/><Relationship Id="rId2371" Type="http://schemas.openxmlformats.org/officeDocument/2006/relationships/hyperlink" Target="https://hi.likeminds.community/startup-change-leaders" TargetMode="External"/><Relationship Id="rId692" Type="http://schemas.openxmlformats.org/officeDocument/2006/relationships/hyperlink" Target="https://hi.likeminds.community/d/digital-writopreneurs-hub" TargetMode="External"/><Relationship Id="rId1041" Type="http://schemas.openxmlformats.org/officeDocument/2006/relationships/hyperlink" Target="https://community.likeminds.community/hanhangul" TargetMode="External"/><Relationship Id="rId2372" Type="http://schemas.openxmlformats.org/officeDocument/2006/relationships/hyperlink" Target="https://hi.likeminds.community/startup-change-leaders" TargetMode="External"/><Relationship Id="rId691" Type="http://schemas.openxmlformats.org/officeDocument/2006/relationships/hyperlink" Target="https://hi.likeminds.community/d/digital-writopreneurs-hub" TargetMode="External"/><Relationship Id="rId1042" Type="http://schemas.openxmlformats.org/officeDocument/2006/relationships/hyperlink" Target="https://community.likeminds.community/hanhangul" TargetMode="External"/><Relationship Id="rId2373" Type="http://schemas.openxmlformats.org/officeDocument/2006/relationships/hyperlink" Target="https://hi.likeminds.community/startup-change-leaders" TargetMode="External"/><Relationship Id="rId690" Type="http://schemas.openxmlformats.org/officeDocument/2006/relationships/hyperlink" Target="https://hi.likeminds.community/d/digital-writopreneurs-hub" TargetMode="External"/><Relationship Id="rId1043" Type="http://schemas.openxmlformats.org/officeDocument/2006/relationships/hyperlink" Target="https://community.likeminds.community/hanhangul" TargetMode="External"/><Relationship Id="rId2374" Type="http://schemas.openxmlformats.org/officeDocument/2006/relationships/hyperlink" Target="https://hi.likeminds.community/startup-change-leaders" TargetMode="External"/><Relationship Id="rId213" Type="http://schemas.openxmlformats.org/officeDocument/2006/relationships/hyperlink" Target="https://hi.likeminds.community/d/bonjour-amis-french" TargetMode="External"/><Relationship Id="rId697" Type="http://schemas.openxmlformats.org/officeDocument/2006/relationships/hyperlink" Target="https://hi.likeminds.community/d/digital-writopreneurs-hub" TargetMode="External"/><Relationship Id="rId1044" Type="http://schemas.openxmlformats.org/officeDocument/2006/relationships/hyperlink" Target="https://community.likeminds.community/hanhangul" TargetMode="External"/><Relationship Id="rId2375" Type="http://schemas.openxmlformats.org/officeDocument/2006/relationships/hyperlink" Target="https://hi.likeminds.community/d/thane-super-moms" TargetMode="External"/><Relationship Id="rId212" Type="http://schemas.openxmlformats.org/officeDocument/2006/relationships/hyperlink" Target="https://hi.likeminds.community/d/bonjour-amis-french" TargetMode="External"/><Relationship Id="rId696" Type="http://schemas.openxmlformats.org/officeDocument/2006/relationships/hyperlink" Target="https://hi.likeminds.community/d/digital-writopreneurs-hub" TargetMode="External"/><Relationship Id="rId1045" Type="http://schemas.openxmlformats.org/officeDocument/2006/relationships/hyperlink" Target="https://community.likeminds.community/hanhangul" TargetMode="External"/><Relationship Id="rId2376" Type="http://schemas.openxmlformats.org/officeDocument/2006/relationships/hyperlink" Target="https://hi.likeminds.community/d/thane-super-moms" TargetMode="External"/><Relationship Id="rId211" Type="http://schemas.openxmlformats.org/officeDocument/2006/relationships/hyperlink" Target="https://hi.likeminds.community/d/bonjour-amis-french" TargetMode="External"/><Relationship Id="rId695" Type="http://schemas.openxmlformats.org/officeDocument/2006/relationships/hyperlink" Target="https://hi.likeminds.community/d/digital-writopreneurs-hub" TargetMode="External"/><Relationship Id="rId1046" Type="http://schemas.openxmlformats.org/officeDocument/2006/relationships/hyperlink" Target="https://community.likeminds.community/hanhangul" TargetMode="External"/><Relationship Id="rId2377" Type="http://schemas.openxmlformats.org/officeDocument/2006/relationships/hyperlink" Target="https://hi.likeminds.community/d/thane-super-moms" TargetMode="External"/><Relationship Id="rId210" Type="http://schemas.openxmlformats.org/officeDocument/2006/relationships/hyperlink" Target="https://hi.likeminds.community/d/bonjour-amis-french" TargetMode="External"/><Relationship Id="rId694" Type="http://schemas.openxmlformats.org/officeDocument/2006/relationships/hyperlink" Target="https://hi.likeminds.community/d/digital-writopreneurs-hub" TargetMode="External"/><Relationship Id="rId1047" Type="http://schemas.openxmlformats.org/officeDocument/2006/relationships/hyperlink" Target="https://community.likeminds.community/hanhangul" TargetMode="External"/><Relationship Id="rId2378" Type="http://schemas.openxmlformats.org/officeDocument/2006/relationships/hyperlink" Target="https://hi.likeminds.community/d/thane-super-moms" TargetMode="External"/><Relationship Id="rId249" Type="http://schemas.openxmlformats.org/officeDocument/2006/relationships/hyperlink" Target="https://hi.likeminds.community/d/bonjour-amis-french" TargetMode="External"/><Relationship Id="rId248" Type="http://schemas.openxmlformats.org/officeDocument/2006/relationships/hyperlink" Target="https://hi.likeminds.community/d/bonjour-amis-french" TargetMode="External"/><Relationship Id="rId247" Type="http://schemas.openxmlformats.org/officeDocument/2006/relationships/hyperlink" Target="https://hi.likeminds.community/d/bonjour-amis-french" TargetMode="External"/><Relationship Id="rId1070" Type="http://schemas.openxmlformats.org/officeDocument/2006/relationships/hyperlink" Target="https://community.likeminds.community/hanhangul" TargetMode="External"/><Relationship Id="rId1071" Type="http://schemas.openxmlformats.org/officeDocument/2006/relationships/hyperlink" Target="https://community.likeminds.community/hanhangul" TargetMode="External"/><Relationship Id="rId1072" Type="http://schemas.openxmlformats.org/officeDocument/2006/relationships/hyperlink" Target="https://community.likeminds.community/hanhangul" TargetMode="External"/><Relationship Id="rId242" Type="http://schemas.openxmlformats.org/officeDocument/2006/relationships/hyperlink" Target="https://hi.likeminds.community/d/bonjour-amis-french" TargetMode="External"/><Relationship Id="rId1073" Type="http://schemas.openxmlformats.org/officeDocument/2006/relationships/hyperlink" Target="https://community.likeminds.community/hanhangul" TargetMode="External"/><Relationship Id="rId241" Type="http://schemas.openxmlformats.org/officeDocument/2006/relationships/hyperlink" Target="https://hi.likeminds.community/d/bonjour-amis-french" TargetMode="External"/><Relationship Id="rId1074" Type="http://schemas.openxmlformats.org/officeDocument/2006/relationships/hyperlink" Target="https://community.likeminds.community/hanhangul" TargetMode="External"/><Relationship Id="rId240" Type="http://schemas.openxmlformats.org/officeDocument/2006/relationships/hyperlink" Target="https://hi.likeminds.community/d/bonjour-amis-french" TargetMode="External"/><Relationship Id="rId1075" Type="http://schemas.openxmlformats.org/officeDocument/2006/relationships/hyperlink" Target="https://community.likeminds.community/hanhangul" TargetMode="External"/><Relationship Id="rId1076" Type="http://schemas.openxmlformats.org/officeDocument/2006/relationships/hyperlink" Target="https://community.likeminds.community/hanhangul" TargetMode="External"/><Relationship Id="rId246" Type="http://schemas.openxmlformats.org/officeDocument/2006/relationships/hyperlink" Target="https://hi.likeminds.community/d/bonjour-amis-french" TargetMode="External"/><Relationship Id="rId1077" Type="http://schemas.openxmlformats.org/officeDocument/2006/relationships/hyperlink" Target="https://community.likeminds.community/hanhangul" TargetMode="External"/><Relationship Id="rId245" Type="http://schemas.openxmlformats.org/officeDocument/2006/relationships/hyperlink" Target="https://hi.likeminds.community/d/bonjour-amis-french" TargetMode="External"/><Relationship Id="rId1078" Type="http://schemas.openxmlformats.org/officeDocument/2006/relationships/hyperlink" Target="https://community.likeminds.community/hanhangul" TargetMode="External"/><Relationship Id="rId244" Type="http://schemas.openxmlformats.org/officeDocument/2006/relationships/hyperlink" Target="https://hi.likeminds.community/d/bonjour-amis-french" TargetMode="External"/><Relationship Id="rId1079" Type="http://schemas.openxmlformats.org/officeDocument/2006/relationships/hyperlink" Target="https://community.likeminds.community/hanhangul" TargetMode="External"/><Relationship Id="rId243" Type="http://schemas.openxmlformats.org/officeDocument/2006/relationships/hyperlink" Target="https://hi.likeminds.community/d/bonjour-amis-french" TargetMode="External"/><Relationship Id="rId239" Type="http://schemas.openxmlformats.org/officeDocument/2006/relationships/hyperlink" Target="https://hi.likeminds.community/d/bonjour-amis-french" TargetMode="External"/><Relationship Id="rId238" Type="http://schemas.openxmlformats.org/officeDocument/2006/relationships/hyperlink" Target="https://hi.likeminds.community/d/bonjour-amis-french" TargetMode="External"/><Relationship Id="rId237" Type="http://schemas.openxmlformats.org/officeDocument/2006/relationships/hyperlink" Target="https://hi.likeminds.community/d/bonjour-amis-french" TargetMode="External"/><Relationship Id="rId236" Type="http://schemas.openxmlformats.org/officeDocument/2006/relationships/hyperlink" Target="https://hi.likeminds.community/d/bonjour-amis-french" TargetMode="External"/><Relationship Id="rId2390" Type="http://schemas.openxmlformats.org/officeDocument/2006/relationships/hyperlink" Target="https://community.likeminds.community/finstreet" TargetMode="External"/><Relationship Id="rId1060" Type="http://schemas.openxmlformats.org/officeDocument/2006/relationships/hyperlink" Target="https://community.likeminds.community/hanhangul" TargetMode="External"/><Relationship Id="rId2391" Type="http://schemas.openxmlformats.org/officeDocument/2006/relationships/hyperlink" Target="https://community.likeminds.community/finstreet" TargetMode="External"/><Relationship Id="rId1061" Type="http://schemas.openxmlformats.org/officeDocument/2006/relationships/hyperlink" Target="https://community.likeminds.community/hanhangul" TargetMode="External"/><Relationship Id="rId2392" Type="http://schemas.openxmlformats.org/officeDocument/2006/relationships/hyperlink" Target="https://community.likeminds.community/finstreet" TargetMode="External"/><Relationship Id="rId231" Type="http://schemas.openxmlformats.org/officeDocument/2006/relationships/hyperlink" Target="https://hi.likeminds.community/d/bonjour-amis-french" TargetMode="External"/><Relationship Id="rId1062" Type="http://schemas.openxmlformats.org/officeDocument/2006/relationships/hyperlink" Target="https://community.likeminds.community/hanhangul" TargetMode="External"/><Relationship Id="rId2393" Type="http://schemas.openxmlformats.org/officeDocument/2006/relationships/hyperlink" Target="https://community.likeminds.community/finstreet" TargetMode="External"/><Relationship Id="rId230" Type="http://schemas.openxmlformats.org/officeDocument/2006/relationships/hyperlink" Target="https://hi.likeminds.community/d/bonjour-amis-french" TargetMode="External"/><Relationship Id="rId1063" Type="http://schemas.openxmlformats.org/officeDocument/2006/relationships/hyperlink" Target="https://community.likeminds.community/hanhangul" TargetMode="External"/><Relationship Id="rId2394" Type="http://schemas.openxmlformats.org/officeDocument/2006/relationships/hyperlink" Target="https://community.likeminds.community/finstreet" TargetMode="External"/><Relationship Id="rId1064" Type="http://schemas.openxmlformats.org/officeDocument/2006/relationships/hyperlink" Target="https://community.likeminds.community/hanhangul" TargetMode="External"/><Relationship Id="rId2395" Type="http://schemas.openxmlformats.org/officeDocument/2006/relationships/hyperlink" Target="https://community.likeminds.community/finstreet" TargetMode="External"/><Relationship Id="rId1065" Type="http://schemas.openxmlformats.org/officeDocument/2006/relationships/hyperlink" Target="https://community.likeminds.community/hanhangul" TargetMode="External"/><Relationship Id="rId2396" Type="http://schemas.openxmlformats.org/officeDocument/2006/relationships/hyperlink" Target="https://community.likeminds.community/finstreet" TargetMode="External"/><Relationship Id="rId235" Type="http://schemas.openxmlformats.org/officeDocument/2006/relationships/hyperlink" Target="https://hi.likeminds.community/d/bonjour-amis-french" TargetMode="External"/><Relationship Id="rId1066" Type="http://schemas.openxmlformats.org/officeDocument/2006/relationships/hyperlink" Target="https://community.likeminds.community/hanhangul" TargetMode="External"/><Relationship Id="rId2397" Type="http://schemas.openxmlformats.org/officeDocument/2006/relationships/hyperlink" Target="https://community.likeminds.community/finstreet" TargetMode="External"/><Relationship Id="rId234" Type="http://schemas.openxmlformats.org/officeDocument/2006/relationships/hyperlink" Target="https://hi.likeminds.community/d/bonjour-amis-french" TargetMode="External"/><Relationship Id="rId1067" Type="http://schemas.openxmlformats.org/officeDocument/2006/relationships/hyperlink" Target="https://community.likeminds.community/hanhangul" TargetMode="External"/><Relationship Id="rId2398" Type="http://schemas.openxmlformats.org/officeDocument/2006/relationships/hyperlink" Target="https://hi.likeminds.community/d/the-man-makeover" TargetMode="External"/><Relationship Id="rId233" Type="http://schemas.openxmlformats.org/officeDocument/2006/relationships/hyperlink" Target="https://hi.likeminds.community/d/bonjour-amis-french" TargetMode="External"/><Relationship Id="rId1068" Type="http://schemas.openxmlformats.org/officeDocument/2006/relationships/hyperlink" Target="https://community.likeminds.community/hanhangul" TargetMode="External"/><Relationship Id="rId2399" Type="http://schemas.openxmlformats.org/officeDocument/2006/relationships/hyperlink" Target="https://hi.likeminds.community/d/the-man-makeover" TargetMode="External"/><Relationship Id="rId232" Type="http://schemas.openxmlformats.org/officeDocument/2006/relationships/hyperlink" Target="https://hi.likeminds.community/d/bonjour-amis-french" TargetMode="External"/><Relationship Id="rId1069" Type="http://schemas.openxmlformats.org/officeDocument/2006/relationships/hyperlink" Target="https://community.likeminds.community/hanhangul" TargetMode="External"/><Relationship Id="rId1015" Type="http://schemas.openxmlformats.org/officeDocument/2006/relationships/hyperlink" Target="https://community.likeminds.community/hanhangul" TargetMode="External"/><Relationship Id="rId1499" Type="http://schemas.openxmlformats.org/officeDocument/2006/relationships/hyperlink" Target="https://community.likeminds.community/language-careers" TargetMode="External"/><Relationship Id="rId2346" Type="http://schemas.openxmlformats.org/officeDocument/2006/relationships/hyperlink" Target="https://hi.likeminds.community/d/spokken-2" TargetMode="External"/><Relationship Id="rId1016" Type="http://schemas.openxmlformats.org/officeDocument/2006/relationships/hyperlink" Target="https://community.likeminds.community/hanhangul" TargetMode="External"/><Relationship Id="rId2347" Type="http://schemas.openxmlformats.org/officeDocument/2006/relationships/hyperlink" Target="https://hi.likeminds.community/d/spokken-2" TargetMode="External"/><Relationship Id="rId1017" Type="http://schemas.openxmlformats.org/officeDocument/2006/relationships/hyperlink" Target="https://community.likeminds.community/hanhangul" TargetMode="External"/><Relationship Id="rId2348" Type="http://schemas.openxmlformats.org/officeDocument/2006/relationships/hyperlink" Target="https://hi.likeminds.community/d/spokken-2" TargetMode="External"/><Relationship Id="rId1018" Type="http://schemas.openxmlformats.org/officeDocument/2006/relationships/hyperlink" Target="https://community.likeminds.community/hanhangul" TargetMode="External"/><Relationship Id="rId2349" Type="http://schemas.openxmlformats.org/officeDocument/2006/relationships/hyperlink" Target="https://hi.likeminds.community/d/spokken-2" TargetMode="External"/><Relationship Id="rId1019" Type="http://schemas.openxmlformats.org/officeDocument/2006/relationships/hyperlink" Target="https://community.likeminds.community/hanhangul" TargetMode="External"/><Relationship Id="rId668" Type="http://schemas.openxmlformats.org/officeDocument/2006/relationships/hyperlink" Target="https://hi.likeminds.community/d/digital-writopreneurs-hub" TargetMode="External"/><Relationship Id="rId667" Type="http://schemas.openxmlformats.org/officeDocument/2006/relationships/hyperlink" Target="https://hi.likeminds.community/d/digital-writopreneurs-hub" TargetMode="External"/><Relationship Id="rId666" Type="http://schemas.openxmlformats.org/officeDocument/2006/relationships/hyperlink" Target="https://hi.likeminds.community/d/digital-writopreneurs-hub" TargetMode="External"/><Relationship Id="rId665" Type="http://schemas.openxmlformats.org/officeDocument/2006/relationships/hyperlink" Target="https://hi.likeminds.community/d/digital-writopreneurs-hub" TargetMode="External"/><Relationship Id="rId669" Type="http://schemas.openxmlformats.org/officeDocument/2006/relationships/hyperlink" Target="https://hi.likeminds.community/d/digital-writopreneurs-hub" TargetMode="External"/><Relationship Id="rId1490" Type="http://schemas.openxmlformats.org/officeDocument/2006/relationships/hyperlink" Target="https://hi.likeminds.community/ladies-and-gentlemen" TargetMode="External"/><Relationship Id="rId660" Type="http://schemas.openxmlformats.org/officeDocument/2006/relationships/hyperlink" Target="https://hi.likeminds.community/d/digital-writopreneurs-hub" TargetMode="External"/><Relationship Id="rId1491" Type="http://schemas.openxmlformats.org/officeDocument/2006/relationships/hyperlink" Target="https://hi.likeminds.community/ladies-and-gentlemen" TargetMode="External"/><Relationship Id="rId1492" Type="http://schemas.openxmlformats.org/officeDocument/2006/relationships/hyperlink" Target="https://hi.likeminds.community/ladies-and-gentlemen" TargetMode="External"/><Relationship Id="rId1493" Type="http://schemas.openxmlformats.org/officeDocument/2006/relationships/hyperlink" Target="https://hi.likeminds.community/ladies-and-gentlemen" TargetMode="External"/><Relationship Id="rId2340" Type="http://schemas.openxmlformats.org/officeDocument/2006/relationships/hyperlink" Target="https://hi.likeminds.community/d/spokken-2" TargetMode="External"/><Relationship Id="rId1010" Type="http://schemas.openxmlformats.org/officeDocument/2006/relationships/hyperlink" Target="https://community.likeminds.community/hanhangul" TargetMode="External"/><Relationship Id="rId1494" Type="http://schemas.openxmlformats.org/officeDocument/2006/relationships/hyperlink" Target="https://hi.likeminds.community/ladies-and-gentlemen" TargetMode="External"/><Relationship Id="rId2341" Type="http://schemas.openxmlformats.org/officeDocument/2006/relationships/hyperlink" Target="https://hi.likeminds.community/d/spokken-2" TargetMode="External"/><Relationship Id="rId664" Type="http://schemas.openxmlformats.org/officeDocument/2006/relationships/hyperlink" Target="https://hi.likeminds.community/d/digital-writopreneurs-hub" TargetMode="External"/><Relationship Id="rId1011" Type="http://schemas.openxmlformats.org/officeDocument/2006/relationships/hyperlink" Target="https://community.likeminds.community/hanhangul" TargetMode="External"/><Relationship Id="rId1495" Type="http://schemas.openxmlformats.org/officeDocument/2006/relationships/hyperlink" Target="https://community.likeminds.community/language-careers" TargetMode="External"/><Relationship Id="rId2342" Type="http://schemas.openxmlformats.org/officeDocument/2006/relationships/hyperlink" Target="https://hi.likeminds.community/d/spokken-2" TargetMode="External"/><Relationship Id="rId663" Type="http://schemas.openxmlformats.org/officeDocument/2006/relationships/hyperlink" Target="https://hi.likeminds.community/d/digital-writopreneurs-hub" TargetMode="External"/><Relationship Id="rId1012" Type="http://schemas.openxmlformats.org/officeDocument/2006/relationships/hyperlink" Target="https://community.likeminds.community/hanhangul" TargetMode="External"/><Relationship Id="rId1496" Type="http://schemas.openxmlformats.org/officeDocument/2006/relationships/hyperlink" Target="https://community.likeminds.community/language-careers" TargetMode="External"/><Relationship Id="rId2343" Type="http://schemas.openxmlformats.org/officeDocument/2006/relationships/hyperlink" Target="https://hi.likeminds.community/d/spokken-2" TargetMode="External"/><Relationship Id="rId662" Type="http://schemas.openxmlformats.org/officeDocument/2006/relationships/hyperlink" Target="https://hi.likeminds.community/d/digital-writopreneurs-hub" TargetMode="External"/><Relationship Id="rId1013" Type="http://schemas.openxmlformats.org/officeDocument/2006/relationships/hyperlink" Target="https://community.likeminds.community/hanhangul" TargetMode="External"/><Relationship Id="rId1497" Type="http://schemas.openxmlformats.org/officeDocument/2006/relationships/hyperlink" Target="https://community.likeminds.community/language-careers" TargetMode="External"/><Relationship Id="rId2344" Type="http://schemas.openxmlformats.org/officeDocument/2006/relationships/hyperlink" Target="https://hi.likeminds.community/d/spokken-2" TargetMode="External"/><Relationship Id="rId661" Type="http://schemas.openxmlformats.org/officeDocument/2006/relationships/hyperlink" Target="https://hi.likeminds.community/d/digital-writopreneurs-hub" TargetMode="External"/><Relationship Id="rId1014" Type="http://schemas.openxmlformats.org/officeDocument/2006/relationships/hyperlink" Target="https://community.likeminds.community/hanhangul" TargetMode="External"/><Relationship Id="rId1498" Type="http://schemas.openxmlformats.org/officeDocument/2006/relationships/hyperlink" Target="https://community.likeminds.community/language-careers" TargetMode="External"/><Relationship Id="rId2345" Type="http://schemas.openxmlformats.org/officeDocument/2006/relationships/hyperlink" Target="https://hi.likeminds.community/d/spokken-2" TargetMode="External"/><Relationship Id="rId1004" Type="http://schemas.openxmlformats.org/officeDocument/2006/relationships/hyperlink" Target="https://community.likeminds.community/hanhangul" TargetMode="External"/><Relationship Id="rId1488" Type="http://schemas.openxmlformats.org/officeDocument/2006/relationships/hyperlink" Target="https://hi.likeminds.community/ladies-and-gentlemen" TargetMode="External"/><Relationship Id="rId2335" Type="http://schemas.openxmlformats.org/officeDocument/2006/relationships/hyperlink" Target="https://hi.likeminds.community/d/spokken-2" TargetMode="External"/><Relationship Id="rId1005" Type="http://schemas.openxmlformats.org/officeDocument/2006/relationships/hyperlink" Target="https://community.likeminds.community/hanhangul" TargetMode="External"/><Relationship Id="rId1489" Type="http://schemas.openxmlformats.org/officeDocument/2006/relationships/hyperlink" Target="https://hi.likeminds.community/ladies-and-gentlemen" TargetMode="External"/><Relationship Id="rId2336" Type="http://schemas.openxmlformats.org/officeDocument/2006/relationships/hyperlink" Target="https://hi.likeminds.community/d/spokken-2" TargetMode="External"/><Relationship Id="rId1006" Type="http://schemas.openxmlformats.org/officeDocument/2006/relationships/hyperlink" Target="https://community.likeminds.community/hanhangul" TargetMode="External"/><Relationship Id="rId2337" Type="http://schemas.openxmlformats.org/officeDocument/2006/relationships/hyperlink" Target="https://hi.likeminds.community/d/spokken-2" TargetMode="External"/><Relationship Id="rId1007" Type="http://schemas.openxmlformats.org/officeDocument/2006/relationships/hyperlink" Target="https://community.likeminds.community/hanhangul" TargetMode="External"/><Relationship Id="rId2338" Type="http://schemas.openxmlformats.org/officeDocument/2006/relationships/hyperlink" Target="https://hi.likeminds.community/d/spokken-2" TargetMode="External"/><Relationship Id="rId1008" Type="http://schemas.openxmlformats.org/officeDocument/2006/relationships/hyperlink" Target="https://community.likeminds.community/hanhangul" TargetMode="External"/><Relationship Id="rId2339" Type="http://schemas.openxmlformats.org/officeDocument/2006/relationships/hyperlink" Target="https://hi.likeminds.community/d/spokken-2" TargetMode="External"/><Relationship Id="rId1009" Type="http://schemas.openxmlformats.org/officeDocument/2006/relationships/hyperlink" Target="https://community.likeminds.community/hanhangul" TargetMode="External"/><Relationship Id="rId657" Type="http://schemas.openxmlformats.org/officeDocument/2006/relationships/hyperlink" Target="https://hi.likeminds.community/d/digital-writopreneurs-hub" TargetMode="External"/><Relationship Id="rId656" Type="http://schemas.openxmlformats.org/officeDocument/2006/relationships/hyperlink" Target="https://hi.likeminds.community/d/digital-writopreneurs-hub" TargetMode="External"/><Relationship Id="rId655" Type="http://schemas.openxmlformats.org/officeDocument/2006/relationships/hyperlink" Target="https://hi.likeminds.community/d/digital-writopreneurs-hub" TargetMode="External"/><Relationship Id="rId654" Type="http://schemas.openxmlformats.org/officeDocument/2006/relationships/hyperlink" Target="https://hi.likeminds.community/d/digital-writopreneurs-hub" TargetMode="External"/><Relationship Id="rId659" Type="http://schemas.openxmlformats.org/officeDocument/2006/relationships/hyperlink" Target="https://hi.likeminds.community/d/digital-writopreneurs-hub" TargetMode="External"/><Relationship Id="rId658" Type="http://schemas.openxmlformats.org/officeDocument/2006/relationships/hyperlink" Target="https://hi.likeminds.community/d/digital-writopreneurs-hub" TargetMode="External"/><Relationship Id="rId1480" Type="http://schemas.openxmlformats.org/officeDocument/2006/relationships/hyperlink" Target="https://hi.likeminds.community/ladies-and-gentlemen" TargetMode="External"/><Relationship Id="rId1481" Type="http://schemas.openxmlformats.org/officeDocument/2006/relationships/hyperlink" Target="https://hi.likeminds.community/ladies-and-gentlemen" TargetMode="External"/><Relationship Id="rId1482" Type="http://schemas.openxmlformats.org/officeDocument/2006/relationships/hyperlink" Target="https://hi.likeminds.community/ladies-and-gentlemen" TargetMode="External"/><Relationship Id="rId1483" Type="http://schemas.openxmlformats.org/officeDocument/2006/relationships/hyperlink" Target="https://hi.likeminds.community/ladies-and-gentlemen" TargetMode="External"/><Relationship Id="rId2330" Type="http://schemas.openxmlformats.org/officeDocument/2006/relationships/hyperlink" Target="https://hi.likeminds.community/d/spokken-2" TargetMode="External"/><Relationship Id="rId653" Type="http://schemas.openxmlformats.org/officeDocument/2006/relationships/hyperlink" Target="https://hi.likeminds.community/d/digital-writopreneurs-hub" TargetMode="External"/><Relationship Id="rId1000" Type="http://schemas.openxmlformats.org/officeDocument/2006/relationships/hyperlink" Target="https://community.likeminds.community/hanhangul" TargetMode="External"/><Relationship Id="rId1484" Type="http://schemas.openxmlformats.org/officeDocument/2006/relationships/hyperlink" Target="https://hi.likeminds.community/ladies-and-gentlemen" TargetMode="External"/><Relationship Id="rId2331" Type="http://schemas.openxmlformats.org/officeDocument/2006/relationships/hyperlink" Target="https://hi.likeminds.community/d/spokken-2" TargetMode="External"/><Relationship Id="rId652" Type="http://schemas.openxmlformats.org/officeDocument/2006/relationships/hyperlink" Target="https://hi.likeminds.community/d/digital-writopreneurs-hub" TargetMode="External"/><Relationship Id="rId1001" Type="http://schemas.openxmlformats.org/officeDocument/2006/relationships/hyperlink" Target="https://community.likeminds.community/hanhangul" TargetMode="External"/><Relationship Id="rId1485" Type="http://schemas.openxmlformats.org/officeDocument/2006/relationships/hyperlink" Target="https://hi.likeminds.community/ladies-and-gentlemen" TargetMode="External"/><Relationship Id="rId2332" Type="http://schemas.openxmlformats.org/officeDocument/2006/relationships/hyperlink" Target="https://hi.likeminds.community/d/spokken-2" TargetMode="External"/><Relationship Id="rId651" Type="http://schemas.openxmlformats.org/officeDocument/2006/relationships/hyperlink" Target="https://hi.likeminds.community/d/digital-writopreneurs-hub" TargetMode="External"/><Relationship Id="rId1002" Type="http://schemas.openxmlformats.org/officeDocument/2006/relationships/hyperlink" Target="https://community.likeminds.community/hanhangul" TargetMode="External"/><Relationship Id="rId1486" Type="http://schemas.openxmlformats.org/officeDocument/2006/relationships/hyperlink" Target="https://hi.likeminds.community/ladies-and-gentlemen" TargetMode="External"/><Relationship Id="rId2333" Type="http://schemas.openxmlformats.org/officeDocument/2006/relationships/hyperlink" Target="https://hi.likeminds.community/d/spokken-2" TargetMode="External"/><Relationship Id="rId650" Type="http://schemas.openxmlformats.org/officeDocument/2006/relationships/hyperlink" Target="https://hi.likeminds.community/d/digital-writopreneurs-hub" TargetMode="External"/><Relationship Id="rId1003" Type="http://schemas.openxmlformats.org/officeDocument/2006/relationships/hyperlink" Target="https://community.likeminds.community/hanhangul" TargetMode="External"/><Relationship Id="rId1487" Type="http://schemas.openxmlformats.org/officeDocument/2006/relationships/hyperlink" Target="https://hi.likeminds.community/ladies-and-gentlemen" TargetMode="External"/><Relationship Id="rId2334" Type="http://schemas.openxmlformats.org/officeDocument/2006/relationships/hyperlink" Target="https://hi.likeminds.community/d/spokken-2" TargetMode="External"/><Relationship Id="rId1037" Type="http://schemas.openxmlformats.org/officeDocument/2006/relationships/hyperlink" Target="https://community.likeminds.community/hanhangul" TargetMode="External"/><Relationship Id="rId2368" Type="http://schemas.openxmlformats.org/officeDocument/2006/relationships/hyperlink" Target="https://hi.likeminds.community/startup-change-leaders" TargetMode="External"/><Relationship Id="rId1038" Type="http://schemas.openxmlformats.org/officeDocument/2006/relationships/hyperlink" Target="https://community.likeminds.community/hanhangul" TargetMode="External"/><Relationship Id="rId2369" Type="http://schemas.openxmlformats.org/officeDocument/2006/relationships/hyperlink" Target="https://hi.likeminds.community/startup-change-leaders" TargetMode="External"/><Relationship Id="rId1039" Type="http://schemas.openxmlformats.org/officeDocument/2006/relationships/hyperlink" Target="https://community.likeminds.community/hanhangul" TargetMode="External"/><Relationship Id="rId206" Type="http://schemas.openxmlformats.org/officeDocument/2006/relationships/hyperlink" Target="https://hi.likeminds.community/d/bonjour-amis-french" TargetMode="External"/><Relationship Id="rId205" Type="http://schemas.openxmlformats.org/officeDocument/2006/relationships/hyperlink" Target="https://hi.likeminds.community/d/bonjour-amis-french" TargetMode="External"/><Relationship Id="rId689" Type="http://schemas.openxmlformats.org/officeDocument/2006/relationships/hyperlink" Target="https://hi.likeminds.community/d/digital-writopreneurs-hub" TargetMode="External"/><Relationship Id="rId204" Type="http://schemas.openxmlformats.org/officeDocument/2006/relationships/hyperlink" Target="https://hi.likeminds.community/blooming-rush" TargetMode="External"/><Relationship Id="rId688" Type="http://schemas.openxmlformats.org/officeDocument/2006/relationships/hyperlink" Target="https://hi.likeminds.community/d/digital-writopreneurs-hub" TargetMode="External"/><Relationship Id="rId203" Type="http://schemas.openxmlformats.org/officeDocument/2006/relationships/hyperlink" Target="https://hi.likeminds.community/blooming-rush" TargetMode="External"/><Relationship Id="rId687" Type="http://schemas.openxmlformats.org/officeDocument/2006/relationships/hyperlink" Target="https://hi.likeminds.community/d/digital-writopreneurs-hub" TargetMode="External"/><Relationship Id="rId209" Type="http://schemas.openxmlformats.org/officeDocument/2006/relationships/hyperlink" Target="https://hi.likeminds.community/d/bonjour-amis-french" TargetMode="External"/><Relationship Id="rId208" Type="http://schemas.openxmlformats.org/officeDocument/2006/relationships/hyperlink" Target="https://hi.likeminds.community/d/bonjour-amis-french" TargetMode="External"/><Relationship Id="rId207" Type="http://schemas.openxmlformats.org/officeDocument/2006/relationships/hyperlink" Target="https://hi.likeminds.community/d/bonjour-amis-french" TargetMode="External"/><Relationship Id="rId682" Type="http://schemas.openxmlformats.org/officeDocument/2006/relationships/hyperlink" Target="https://hi.likeminds.community/d/digital-writopreneurs-hub" TargetMode="External"/><Relationship Id="rId2360" Type="http://schemas.openxmlformats.org/officeDocument/2006/relationships/hyperlink" Target="https://hi.likeminds.community/d/spokken-2" TargetMode="External"/><Relationship Id="rId681" Type="http://schemas.openxmlformats.org/officeDocument/2006/relationships/hyperlink" Target="https://hi.likeminds.community/d/digital-writopreneurs-hub" TargetMode="External"/><Relationship Id="rId1030" Type="http://schemas.openxmlformats.org/officeDocument/2006/relationships/hyperlink" Target="https://community.likeminds.community/hanhangul" TargetMode="External"/><Relationship Id="rId2361" Type="http://schemas.openxmlformats.org/officeDocument/2006/relationships/hyperlink" Target="https://hi.likeminds.community/d/spokken-2" TargetMode="External"/><Relationship Id="rId680" Type="http://schemas.openxmlformats.org/officeDocument/2006/relationships/hyperlink" Target="https://hi.likeminds.community/d/digital-writopreneurs-hub" TargetMode="External"/><Relationship Id="rId1031" Type="http://schemas.openxmlformats.org/officeDocument/2006/relationships/hyperlink" Target="https://community.likeminds.community/hanhangul" TargetMode="External"/><Relationship Id="rId2362" Type="http://schemas.openxmlformats.org/officeDocument/2006/relationships/hyperlink" Target="https://hi.likeminds.community/d/spokken-2" TargetMode="External"/><Relationship Id="rId1032" Type="http://schemas.openxmlformats.org/officeDocument/2006/relationships/hyperlink" Target="https://community.likeminds.community/hanhangul" TargetMode="External"/><Relationship Id="rId2363" Type="http://schemas.openxmlformats.org/officeDocument/2006/relationships/hyperlink" Target="https://hi.likeminds.community/d/spokken-2" TargetMode="External"/><Relationship Id="rId202" Type="http://schemas.openxmlformats.org/officeDocument/2006/relationships/hyperlink" Target="https://hi.likeminds.community/blooming-rush" TargetMode="External"/><Relationship Id="rId686" Type="http://schemas.openxmlformats.org/officeDocument/2006/relationships/hyperlink" Target="https://hi.likeminds.community/d/digital-writopreneurs-hub" TargetMode="External"/><Relationship Id="rId1033" Type="http://schemas.openxmlformats.org/officeDocument/2006/relationships/hyperlink" Target="https://community.likeminds.community/hanhangul" TargetMode="External"/><Relationship Id="rId2364" Type="http://schemas.openxmlformats.org/officeDocument/2006/relationships/hyperlink" Target="https://hi.likeminds.community/startup-change-leaders" TargetMode="External"/><Relationship Id="rId201" Type="http://schemas.openxmlformats.org/officeDocument/2006/relationships/hyperlink" Target="https://hi.likeminds.community/blooming-rush" TargetMode="External"/><Relationship Id="rId685" Type="http://schemas.openxmlformats.org/officeDocument/2006/relationships/hyperlink" Target="https://hi.likeminds.community/d/digital-writopreneurs-hub" TargetMode="External"/><Relationship Id="rId1034" Type="http://schemas.openxmlformats.org/officeDocument/2006/relationships/hyperlink" Target="https://community.likeminds.community/hanhangul" TargetMode="External"/><Relationship Id="rId2365" Type="http://schemas.openxmlformats.org/officeDocument/2006/relationships/hyperlink" Target="https://hi.likeminds.community/startup-change-leaders" TargetMode="External"/><Relationship Id="rId200" Type="http://schemas.openxmlformats.org/officeDocument/2006/relationships/hyperlink" Target="https://hi.likeminds.community/blooming-rush" TargetMode="External"/><Relationship Id="rId684" Type="http://schemas.openxmlformats.org/officeDocument/2006/relationships/hyperlink" Target="https://hi.likeminds.community/d/digital-writopreneurs-hub" TargetMode="External"/><Relationship Id="rId1035" Type="http://schemas.openxmlformats.org/officeDocument/2006/relationships/hyperlink" Target="https://community.likeminds.community/hanhangul" TargetMode="External"/><Relationship Id="rId2366" Type="http://schemas.openxmlformats.org/officeDocument/2006/relationships/hyperlink" Target="https://hi.likeminds.community/startup-change-leaders" TargetMode="External"/><Relationship Id="rId683" Type="http://schemas.openxmlformats.org/officeDocument/2006/relationships/hyperlink" Target="https://hi.likeminds.community/d/digital-writopreneurs-hub" TargetMode="External"/><Relationship Id="rId1036" Type="http://schemas.openxmlformats.org/officeDocument/2006/relationships/hyperlink" Target="https://community.likeminds.community/hanhangul" TargetMode="External"/><Relationship Id="rId2367" Type="http://schemas.openxmlformats.org/officeDocument/2006/relationships/hyperlink" Target="https://hi.likeminds.community/startup-change-leaders" TargetMode="External"/><Relationship Id="rId1026" Type="http://schemas.openxmlformats.org/officeDocument/2006/relationships/hyperlink" Target="https://community.likeminds.community/hanhangul" TargetMode="External"/><Relationship Id="rId2357" Type="http://schemas.openxmlformats.org/officeDocument/2006/relationships/hyperlink" Target="https://hi.likeminds.community/d/spokken-2" TargetMode="External"/><Relationship Id="rId1027" Type="http://schemas.openxmlformats.org/officeDocument/2006/relationships/hyperlink" Target="https://community.likeminds.community/hanhangul" TargetMode="External"/><Relationship Id="rId2358" Type="http://schemas.openxmlformats.org/officeDocument/2006/relationships/hyperlink" Target="https://hi.likeminds.community/d/spokken-2" TargetMode="External"/><Relationship Id="rId1028" Type="http://schemas.openxmlformats.org/officeDocument/2006/relationships/hyperlink" Target="https://community.likeminds.community/hanhangul" TargetMode="External"/><Relationship Id="rId2359" Type="http://schemas.openxmlformats.org/officeDocument/2006/relationships/hyperlink" Target="https://hi.likeminds.community/d/spokken-2" TargetMode="External"/><Relationship Id="rId1029" Type="http://schemas.openxmlformats.org/officeDocument/2006/relationships/hyperlink" Target="https://community.likeminds.community/hanhangul" TargetMode="External"/><Relationship Id="rId679" Type="http://schemas.openxmlformats.org/officeDocument/2006/relationships/hyperlink" Target="https://hi.likeminds.community/d/digital-writopreneurs-hub" TargetMode="External"/><Relationship Id="rId678" Type="http://schemas.openxmlformats.org/officeDocument/2006/relationships/hyperlink" Target="https://hi.likeminds.community/d/digital-writopreneurs-hub" TargetMode="External"/><Relationship Id="rId677" Type="http://schemas.openxmlformats.org/officeDocument/2006/relationships/hyperlink" Target="https://hi.likeminds.community/d/digital-writopreneurs-hub" TargetMode="External"/><Relationship Id="rId676" Type="http://schemas.openxmlformats.org/officeDocument/2006/relationships/hyperlink" Target="https://hi.likeminds.community/d/digital-writopreneurs-hub" TargetMode="External"/><Relationship Id="rId671" Type="http://schemas.openxmlformats.org/officeDocument/2006/relationships/hyperlink" Target="https://hi.likeminds.community/d/digital-writopreneurs-hub" TargetMode="External"/><Relationship Id="rId670" Type="http://schemas.openxmlformats.org/officeDocument/2006/relationships/hyperlink" Target="https://hi.likeminds.community/d/digital-writopreneurs-hub" TargetMode="External"/><Relationship Id="rId2350" Type="http://schemas.openxmlformats.org/officeDocument/2006/relationships/hyperlink" Target="https://hi.likeminds.community/d/spokken-2" TargetMode="External"/><Relationship Id="rId1020" Type="http://schemas.openxmlformats.org/officeDocument/2006/relationships/hyperlink" Target="https://community.likeminds.community/hanhangul" TargetMode="External"/><Relationship Id="rId2351" Type="http://schemas.openxmlformats.org/officeDocument/2006/relationships/hyperlink" Target="https://hi.likeminds.community/d/spokken-2" TargetMode="External"/><Relationship Id="rId1021" Type="http://schemas.openxmlformats.org/officeDocument/2006/relationships/hyperlink" Target="https://community.likeminds.community/hanhangul" TargetMode="External"/><Relationship Id="rId2352" Type="http://schemas.openxmlformats.org/officeDocument/2006/relationships/hyperlink" Target="https://hi.likeminds.community/d/spokken-2" TargetMode="External"/><Relationship Id="rId675" Type="http://schemas.openxmlformats.org/officeDocument/2006/relationships/hyperlink" Target="https://hi.likeminds.community/d/digital-writopreneurs-hub" TargetMode="External"/><Relationship Id="rId1022" Type="http://schemas.openxmlformats.org/officeDocument/2006/relationships/hyperlink" Target="https://community.likeminds.community/hanhangul" TargetMode="External"/><Relationship Id="rId2353" Type="http://schemas.openxmlformats.org/officeDocument/2006/relationships/hyperlink" Target="https://hi.likeminds.community/d/spokken-2" TargetMode="External"/><Relationship Id="rId674" Type="http://schemas.openxmlformats.org/officeDocument/2006/relationships/hyperlink" Target="https://hi.likeminds.community/d/digital-writopreneurs-hub" TargetMode="External"/><Relationship Id="rId1023" Type="http://schemas.openxmlformats.org/officeDocument/2006/relationships/hyperlink" Target="https://community.likeminds.community/hanhangul" TargetMode="External"/><Relationship Id="rId2354" Type="http://schemas.openxmlformats.org/officeDocument/2006/relationships/hyperlink" Target="https://hi.likeminds.community/d/spokken-2" TargetMode="External"/><Relationship Id="rId673" Type="http://schemas.openxmlformats.org/officeDocument/2006/relationships/hyperlink" Target="https://hi.likeminds.community/d/digital-writopreneurs-hub" TargetMode="External"/><Relationship Id="rId1024" Type="http://schemas.openxmlformats.org/officeDocument/2006/relationships/hyperlink" Target="https://community.likeminds.community/hanhangul" TargetMode="External"/><Relationship Id="rId2355" Type="http://schemas.openxmlformats.org/officeDocument/2006/relationships/hyperlink" Target="https://hi.likeminds.community/d/spokken-2" TargetMode="External"/><Relationship Id="rId672" Type="http://schemas.openxmlformats.org/officeDocument/2006/relationships/hyperlink" Target="https://hi.likeminds.community/d/digital-writopreneurs-hub" TargetMode="External"/><Relationship Id="rId1025" Type="http://schemas.openxmlformats.org/officeDocument/2006/relationships/hyperlink" Target="https://community.likeminds.community/hanhangul" TargetMode="External"/><Relationship Id="rId2356" Type="http://schemas.openxmlformats.org/officeDocument/2006/relationships/hyperlink" Target="https://hi.likeminds.community/d/spokken-2" TargetMode="External"/><Relationship Id="rId190" Type="http://schemas.openxmlformats.org/officeDocument/2006/relationships/hyperlink" Target="https://hi.likeminds.community/blooming-rush" TargetMode="External"/><Relationship Id="rId194" Type="http://schemas.openxmlformats.org/officeDocument/2006/relationships/hyperlink" Target="https://hi.likeminds.community/blooming-rush" TargetMode="External"/><Relationship Id="rId193" Type="http://schemas.openxmlformats.org/officeDocument/2006/relationships/hyperlink" Target="https://hi.likeminds.community/blooming-rush" TargetMode="External"/><Relationship Id="rId192" Type="http://schemas.openxmlformats.org/officeDocument/2006/relationships/hyperlink" Target="https://hi.likeminds.community/blooming-rush" TargetMode="External"/><Relationship Id="rId191" Type="http://schemas.openxmlformats.org/officeDocument/2006/relationships/hyperlink" Target="https://hi.likeminds.community/blooming-rush" TargetMode="External"/><Relationship Id="rId187" Type="http://schemas.openxmlformats.org/officeDocument/2006/relationships/hyperlink" Target="https://hi.likeminds.community/d/blogging-life" TargetMode="External"/><Relationship Id="rId186" Type="http://schemas.openxmlformats.org/officeDocument/2006/relationships/hyperlink" Target="https://hi.likeminds.community/d/blogging-life" TargetMode="External"/><Relationship Id="rId185" Type="http://schemas.openxmlformats.org/officeDocument/2006/relationships/hyperlink" Target="https://hi.likeminds.community/d/blogging-life" TargetMode="External"/><Relationship Id="rId184" Type="http://schemas.openxmlformats.org/officeDocument/2006/relationships/hyperlink" Target="https://hi.likeminds.community/d/blogging-life" TargetMode="External"/><Relationship Id="rId189" Type="http://schemas.openxmlformats.org/officeDocument/2006/relationships/hyperlink" Target="https://hi.likeminds.community/blooming-rush" TargetMode="External"/><Relationship Id="rId188" Type="http://schemas.openxmlformats.org/officeDocument/2006/relationships/hyperlink" Target="https://hi.likeminds.community/blooming-rush" TargetMode="External"/><Relationship Id="rId183" Type="http://schemas.openxmlformats.org/officeDocument/2006/relationships/hyperlink" Target="https://hi.likeminds.community/d/blogging-life" TargetMode="External"/><Relationship Id="rId182" Type="http://schemas.openxmlformats.org/officeDocument/2006/relationships/hyperlink" Target="https://hi.likeminds.community/d/blogging-life" TargetMode="External"/><Relationship Id="rId181" Type="http://schemas.openxmlformats.org/officeDocument/2006/relationships/hyperlink" Target="https://hi.likeminds.community/d/blogging-life" TargetMode="External"/><Relationship Id="rId180" Type="http://schemas.openxmlformats.org/officeDocument/2006/relationships/hyperlink" Target="https://hi.likeminds.community/d/blogging-life" TargetMode="External"/><Relationship Id="rId176" Type="http://schemas.openxmlformats.org/officeDocument/2006/relationships/hyperlink" Target="https://hi.likeminds.community/d/blogging-life" TargetMode="External"/><Relationship Id="rId175" Type="http://schemas.openxmlformats.org/officeDocument/2006/relationships/hyperlink" Target="https://hi.likeminds.community/d/blogging-life" TargetMode="External"/><Relationship Id="rId174" Type="http://schemas.openxmlformats.org/officeDocument/2006/relationships/hyperlink" Target="https://hi.likeminds.community/d/blogging-life" TargetMode="External"/><Relationship Id="rId173" Type="http://schemas.openxmlformats.org/officeDocument/2006/relationships/hyperlink" Target="https://hi.likeminds.community/d/blogging-life" TargetMode="External"/><Relationship Id="rId179" Type="http://schemas.openxmlformats.org/officeDocument/2006/relationships/hyperlink" Target="https://hi.likeminds.community/d/blogging-life" TargetMode="External"/><Relationship Id="rId178" Type="http://schemas.openxmlformats.org/officeDocument/2006/relationships/hyperlink" Target="https://hi.likeminds.community/d/blogging-life" TargetMode="External"/><Relationship Id="rId177" Type="http://schemas.openxmlformats.org/officeDocument/2006/relationships/hyperlink" Target="https://hi.likeminds.community/d/blogging-life" TargetMode="External"/><Relationship Id="rId1910" Type="http://schemas.openxmlformats.org/officeDocument/2006/relationships/hyperlink" Target="https://community.likeminds.community/pharmacology-insiders" TargetMode="External"/><Relationship Id="rId1911" Type="http://schemas.openxmlformats.org/officeDocument/2006/relationships/hyperlink" Target="https://community.likeminds.community/pharmacology-insiders" TargetMode="External"/><Relationship Id="rId1912" Type="http://schemas.openxmlformats.org/officeDocument/2006/relationships/hyperlink" Target="https://community.likeminds.community/pharmacology-insiders" TargetMode="External"/><Relationship Id="rId1913" Type="http://schemas.openxmlformats.org/officeDocument/2006/relationships/hyperlink" Target="https://community.likeminds.community/pharmacology-insiders" TargetMode="External"/><Relationship Id="rId1914" Type="http://schemas.openxmlformats.org/officeDocument/2006/relationships/hyperlink" Target="https://community.likeminds.community/pharmacology-insiders" TargetMode="External"/><Relationship Id="rId1915" Type="http://schemas.openxmlformats.org/officeDocument/2006/relationships/hyperlink" Target="https://community.likeminds.community/pharmacology-insiders" TargetMode="External"/><Relationship Id="rId1916" Type="http://schemas.openxmlformats.org/officeDocument/2006/relationships/hyperlink" Target="https://community.likeminds.community/pharmacology-insiders" TargetMode="External"/><Relationship Id="rId1917" Type="http://schemas.openxmlformats.org/officeDocument/2006/relationships/hyperlink" Target="https://community.likeminds.community/pharmacology-insiders" TargetMode="External"/><Relationship Id="rId1918" Type="http://schemas.openxmlformats.org/officeDocument/2006/relationships/hyperlink" Target="https://community.likeminds.community/pharmacology-insiders" TargetMode="External"/><Relationship Id="rId1919" Type="http://schemas.openxmlformats.org/officeDocument/2006/relationships/hyperlink" Target="https://community.likeminds.community/pharmacology-insiders" TargetMode="External"/><Relationship Id="rId1900" Type="http://schemas.openxmlformats.org/officeDocument/2006/relationships/hyperlink" Target="https://community.likeminds.community/pharmacology-insiders" TargetMode="External"/><Relationship Id="rId1901" Type="http://schemas.openxmlformats.org/officeDocument/2006/relationships/hyperlink" Target="https://community.likeminds.community/pharmacology-insiders" TargetMode="External"/><Relationship Id="rId1902" Type="http://schemas.openxmlformats.org/officeDocument/2006/relationships/hyperlink" Target="https://community.likeminds.community/pharmacology-insiders" TargetMode="External"/><Relationship Id="rId1903" Type="http://schemas.openxmlformats.org/officeDocument/2006/relationships/hyperlink" Target="https://community.likeminds.community/pharmacology-insiders" TargetMode="External"/><Relationship Id="rId1904" Type="http://schemas.openxmlformats.org/officeDocument/2006/relationships/hyperlink" Target="https://community.likeminds.community/pharmacology-insiders" TargetMode="External"/><Relationship Id="rId1905" Type="http://schemas.openxmlformats.org/officeDocument/2006/relationships/hyperlink" Target="https://community.likeminds.community/pharmacology-insiders" TargetMode="External"/><Relationship Id="rId1906" Type="http://schemas.openxmlformats.org/officeDocument/2006/relationships/hyperlink" Target="https://community.likeminds.community/pharmacology-insiders" TargetMode="External"/><Relationship Id="rId1907" Type="http://schemas.openxmlformats.org/officeDocument/2006/relationships/hyperlink" Target="https://community.likeminds.community/pharmacology-insiders" TargetMode="External"/><Relationship Id="rId1908" Type="http://schemas.openxmlformats.org/officeDocument/2006/relationships/hyperlink" Target="https://community.likeminds.community/pharmacology-insiders" TargetMode="External"/><Relationship Id="rId1909" Type="http://schemas.openxmlformats.org/officeDocument/2006/relationships/hyperlink" Target="https://community.likeminds.community/pharmacology-insiders" TargetMode="External"/><Relationship Id="rId198" Type="http://schemas.openxmlformats.org/officeDocument/2006/relationships/hyperlink" Target="https://hi.likeminds.community/blooming-rush" TargetMode="External"/><Relationship Id="rId197" Type="http://schemas.openxmlformats.org/officeDocument/2006/relationships/hyperlink" Target="https://hi.likeminds.community/blooming-rush" TargetMode="External"/><Relationship Id="rId196" Type="http://schemas.openxmlformats.org/officeDocument/2006/relationships/hyperlink" Target="https://hi.likeminds.community/blooming-rush" TargetMode="External"/><Relationship Id="rId195" Type="http://schemas.openxmlformats.org/officeDocument/2006/relationships/hyperlink" Target="https://hi.likeminds.community/blooming-rush" TargetMode="External"/><Relationship Id="rId199" Type="http://schemas.openxmlformats.org/officeDocument/2006/relationships/hyperlink" Target="https://hi.likeminds.community/blooming-rush" TargetMode="External"/><Relationship Id="rId150" Type="http://schemas.openxmlformats.org/officeDocument/2006/relationships/hyperlink" Target="https://hi.likeminds.community/d/being-earthable" TargetMode="External"/><Relationship Id="rId149" Type="http://schemas.openxmlformats.org/officeDocument/2006/relationships/hyperlink" Target="https://hi.likeminds.community/d/being-earthable" TargetMode="External"/><Relationship Id="rId148" Type="http://schemas.openxmlformats.org/officeDocument/2006/relationships/hyperlink" Target="https://hi.likeminds.community/d/being-earthable" TargetMode="External"/><Relationship Id="rId1090" Type="http://schemas.openxmlformats.org/officeDocument/2006/relationships/hyperlink" Target="https://community.likeminds.community/hanhangul" TargetMode="External"/><Relationship Id="rId1091" Type="http://schemas.openxmlformats.org/officeDocument/2006/relationships/hyperlink" Target="https://community.likeminds.community/hanhangul" TargetMode="External"/><Relationship Id="rId1092" Type="http://schemas.openxmlformats.org/officeDocument/2006/relationships/hyperlink" Target="https://community.likeminds.community/hanhangul" TargetMode="External"/><Relationship Id="rId1093" Type="http://schemas.openxmlformats.org/officeDocument/2006/relationships/hyperlink" Target="https://community.likeminds.community/hanhangul" TargetMode="External"/><Relationship Id="rId1094" Type="http://schemas.openxmlformats.org/officeDocument/2006/relationships/hyperlink" Target="https://community.likeminds.community/hanhangul" TargetMode="External"/><Relationship Id="rId143" Type="http://schemas.openxmlformats.org/officeDocument/2006/relationships/hyperlink" Target="https://hi.likeminds.community/d/being-earthable" TargetMode="External"/><Relationship Id="rId1095" Type="http://schemas.openxmlformats.org/officeDocument/2006/relationships/hyperlink" Target="https://community.likeminds.community/hanhangul" TargetMode="External"/><Relationship Id="rId142" Type="http://schemas.openxmlformats.org/officeDocument/2006/relationships/hyperlink" Target="https://hi.likeminds.community/d/being-earthable" TargetMode="External"/><Relationship Id="rId1096" Type="http://schemas.openxmlformats.org/officeDocument/2006/relationships/hyperlink" Target="https://community.likeminds.community/hanhangul" TargetMode="External"/><Relationship Id="rId141" Type="http://schemas.openxmlformats.org/officeDocument/2006/relationships/hyperlink" Target="https://hi.likeminds.community/d/being-earthable" TargetMode="External"/><Relationship Id="rId1097" Type="http://schemas.openxmlformats.org/officeDocument/2006/relationships/hyperlink" Target="https://community.likeminds.community/hanhangul" TargetMode="External"/><Relationship Id="rId140" Type="http://schemas.openxmlformats.org/officeDocument/2006/relationships/hyperlink" Target="https://hi.likeminds.community/d/being-earthable" TargetMode="External"/><Relationship Id="rId1098" Type="http://schemas.openxmlformats.org/officeDocument/2006/relationships/hyperlink" Target="https://community.likeminds.community/hanhangul" TargetMode="External"/><Relationship Id="rId147" Type="http://schemas.openxmlformats.org/officeDocument/2006/relationships/hyperlink" Target="https://hi.likeminds.community/d/being-earthable" TargetMode="External"/><Relationship Id="rId1099" Type="http://schemas.openxmlformats.org/officeDocument/2006/relationships/hyperlink" Target="https://community.likeminds.community/hanhangul" TargetMode="External"/><Relationship Id="rId146" Type="http://schemas.openxmlformats.org/officeDocument/2006/relationships/hyperlink" Target="https://hi.likeminds.community/d/being-earthable" TargetMode="External"/><Relationship Id="rId145" Type="http://schemas.openxmlformats.org/officeDocument/2006/relationships/hyperlink" Target="https://hi.likeminds.community/d/being-earthable" TargetMode="External"/><Relationship Id="rId144" Type="http://schemas.openxmlformats.org/officeDocument/2006/relationships/hyperlink" Target="https://hi.likeminds.community/d/being-earthable" TargetMode="External"/><Relationship Id="rId139" Type="http://schemas.openxmlformats.org/officeDocument/2006/relationships/hyperlink" Target="https://hi.likeminds.community/d/being-earthable" TargetMode="External"/><Relationship Id="rId138" Type="http://schemas.openxmlformats.org/officeDocument/2006/relationships/hyperlink" Target="https://hi.likeminds.community/d/being-earthable" TargetMode="External"/><Relationship Id="rId137" Type="http://schemas.openxmlformats.org/officeDocument/2006/relationships/hyperlink" Target="https://hi.likeminds.community/d/being-earthable" TargetMode="External"/><Relationship Id="rId1080" Type="http://schemas.openxmlformats.org/officeDocument/2006/relationships/hyperlink" Target="https://community.likeminds.community/hanhangul" TargetMode="External"/><Relationship Id="rId1081" Type="http://schemas.openxmlformats.org/officeDocument/2006/relationships/hyperlink" Target="https://community.likeminds.community/hanhangul" TargetMode="External"/><Relationship Id="rId1082" Type="http://schemas.openxmlformats.org/officeDocument/2006/relationships/hyperlink" Target="https://community.likeminds.community/hanhangul" TargetMode="External"/><Relationship Id="rId1083" Type="http://schemas.openxmlformats.org/officeDocument/2006/relationships/hyperlink" Target="https://community.likeminds.community/hanhangul" TargetMode="External"/><Relationship Id="rId132" Type="http://schemas.openxmlformats.org/officeDocument/2006/relationships/hyperlink" Target="https://hi.likeminds.community/d/being-earthable" TargetMode="External"/><Relationship Id="rId1084" Type="http://schemas.openxmlformats.org/officeDocument/2006/relationships/hyperlink" Target="https://community.likeminds.community/hanhangul" TargetMode="External"/><Relationship Id="rId131" Type="http://schemas.openxmlformats.org/officeDocument/2006/relationships/hyperlink" Target="https://hi.likeminds.community/d/being-earthable" TargetMode="External"/><Relationship Id="rId1085" Type="http://schemas.openxmlformats.org/officeDocument/2006/relationships/hyperlink" Target="https://community.likeminds.community/hanhangul" TargetMode="External"/><Relationship Id="rId130" Type="http://schemas.openxmlformats.org/officeDocument/2006/relationships/hyperlink" Target="https://hi.likeminds.community/d/being-earthable" TargetMode="External"/><Relationship Id="rId1086" Type="http://schemas.openxmlformats.org/officeDocument/2006/relationships/hyperlink" Target="https://community.likeminds.community/hanhangul" TargetMode="External"/><Relationship Id="rId1087" Type="http://schemas.openxmlformats.org/officeDocument/2006/relationships/hyperlink" Target="https://community.likeminds.community/hanhangul" TargetMode="External"/><Relationship Id="rId136" Type="http://schemas.openxmlformats.org/officeDocument/2006/relationships/hyperlink" Target="https://hi.likeminds.community/d/being-earthable" TargetMode="External"/><Relationship Id="rId1088" Type="http://schemas.openxmlformats.org/officeDocument/2006/relationships/hyperlink" Target="https://community.likeminds.community/hanhangul" TargetMode="External"/><Relationship Id="rId135" Type="http://schemas.openxmlformats.org/officeDocument/2006/relationships/hyperlink" Target="https://hi.likeminds.community/d/being-earthable" TargetMode="External"/><Relationship Id="rId1089" Type="http://schemas.openxmlformats.org/officeDocument/2006/relationships/hyperlink" Target="https://community.likeminds.community/hanhangul" TargetMode="External"/><Relationship Id="rId134" Type="http://schemas.openxmlformats.org/officeDocument/2006/relationships/hyperlink" Target="https://hi.likeminds.community/d/being-earthable" TargetMode="External"/><Relationship Id="rId133" Type="http://schemas.openxmlformats.org/officeDocument/2006/relationships/hyperlink" Target="https://hi.likeminds.community/d/being-earthable" TargetMode="External"/><Relationship Id="rId172" Type="http://schemas.openxmlformats.org/officeDocument/2006/relationships/hyperlink" Target="https://hi.likeminds.community/d/blogging-life" TargetMode="External"/><Relationship Id="rId171" Type="http://schemas.openxmlformats.org/officeDocument/2006/relationships/hyperlink" Target="https://hi.likeminds.community/d/blogging-life" TargetMode="External"/><Relationship Id="rId170" Type="http://schemas.openxmlformats.org/officeDocument/2006/relationships/hyperlink" Target="https://hi.likeminds.community/d/blogging-life" TargetMode="External"/><Relationship Id="rId165" Type="http://schemas.openxmlformats.org/officeDocument/2006/relationships/hyperlink" Target="https://hi.likeminds.community/d/blogging-life" TargetMode="External"/><Relationship Id="rId164" Type="http://schemas.openxmlformats.org/officeDocument/2006/relationships/hyperlink" Target="https://hi.likeminds.community/d/blogging-life" TargetMode="External"/><Relationship Id="rId163" Type="http://schemas.openxmlformats.org/officeDocument/2006/relationships/hyperlink" Target="https://hi.likeminds.community/d/blogging-life" TargetMode="External"/><Relationship Id="rId162" Type="http://schemas.openxmlformats.org/officeDocument/2006/relationships/hyperlink" Target="https://hi.likeminds.community/d/being-earthable" TargetMode="External"/><Relationship Id="rId169" Type="http://schemas.openxmlformats.org/officeDocument/2006/relationships/hyperlink" Target="https://hi.likeminds.community/d/blogging-life" TargetMode="External"/><Relationship Id="rId168" Type="http://schemas.openxmlformats.org/officeDocument/2006/relationships/hyperlink" Target="https://hi.likeminds.community/d/blogging-life" TargetMode="External"/><Relationship Id="rId167" Type="http://schemas.openxmlformats.org/officeDocument/2006/relationships/hyperlink" Target="https://hi.likeminds.community/d/blogging-life" TargetMode="External"/><Relationship Id="rId166" Type="http://schemas.openxmlformats.org/officeDocument/2006/relationships/hyperlink" Target="https://hi.likeminds.community/d/blogging-life" TargetMode="External"/><Relationship Id="rId161" Type="http://schemas.openxmlformats.org/officeDocument/2006/relationships/hyperlink" Target="https://hi.likeminds.community/d/being-earthable" TargetMode="External"/><Relationship Id="rId160" Type="http://schemas.openxmlformats.org/officeDocument/2006/relationships/hyperlink" Target="https://hi.likeminds.community/d/being-earthable" TargetMode="External"/><Relationship Id="rId159" Type="http://schemas.openxmlformats.org/officeDocument/2006/relationships/hyperlink" Target="https://hi.likeminds.community/d/being-earthable" TargetMode="External"/><Relationship Id="rId154" Type="http://schemas.openxmlformats.org/officeDocument/2006/relationships/hyperlink" Target="https://hi.likeminds.community/d/being-earthable" TargetMode="External"/><Relationship Id="rId153" Type="http://schemas.openxmlformats.org/officeDocument/2006/relationships/hyperlink" Target="https://hi.likeminds.community/d/being-earthable" TargetMode="External"/><Relationship Id="rId152" Type="http://schemas.openxmlformats.org/officeDocument/2006/relationships/hyperlink" Target="https://hi.likeminds.community/d/being-earthable" TargetMode="External"/><Relationship Id="rId151" Type="http://schemas.openxmlformats.org/officeDocument/2006/relationships/hyperlink" Target="https://hi.likeminds.community/d/being-earthable" TargetMode="External"/><Relationship Id="rId158" Type="http://schemas.openxmlformats.org/officeDocument/2006/relationships/hyperlink" Target="https://hi.likeminds.community/d/being-earthable" TargetMode="External"/><Relationship Id="rId157" Type="http://schemas.openxmlformats.org/officeDocument/2006/relationships/hyperlink" Target="https://hi.likeminds.community/d/being-earthable" TargetMode="External"/><Relationship Id="rId156" Type="http://schemas.openxmlformats.org/officeDocument/2006/relationships/hyperlink" Target="https://hi.likeminds.community/d/being-earthable" TargetMode="External"/><Relationship Id="rId155" Type="http://schemas.openxmlformats.org/officeDocument/2006/relationships/hyperlink" Target="https://hi.likeminds.community/d/being-earthable" TargetMode="External"/><Relationship Id="rId1972" Type="http://schemas.openxmlformats.org/officeDocument/2006/relationships/hyperlink" Target="https://hi.likeminds.community/d/power-of-communications" TargetMode="External"/><Relationship Id="rId1973" Type="http://schemas.openxmlformats.org/officeDocument/2006/relationships/hyperlink" Target="https://hi.likeminds.community/d/power-of-communications" TargetMode="External"/><Relationship Id="rId1974" Type="http://schemas.openxmlformats.org/officeDocument/2006/relationships/hyperlink" Target="https://hi.likeminds.community/d/power-of-communications" TargetMode="External"/><Relationship Id="rId1975" Type="http://schemas.openxmlformats.org/officeDocument/2006/relationships/hyperlink" Target="https://hi.likeminds.community/d/power-of-communications" TargetMode="External"/><Relationship Id="rId1976" Type="http://schemas.openxmlformats.org/officeDocument/2006/relationships/hyperlink" Target="https://hi.likeminds.community/d/power-of-communications" TargetMode="External"/><Relationship Id="rId1977" Type="http://schemas.openxmlformats.org/officeDocument/2006/relationships/hyperlink" Target="https://hi.likeminds.community/d/power-of-communications" TargetMode="External"/><Relationship Id="rId1978" Type="http://schemas.openxmlformats.org/officeDocument/2006/relationships/hyperlink" Target="https://hi.likeminds.community/d/power-of-communications" TargetMode="External"/><Relationship Id="rId1979" Type="http://schemas.openxmlformats.org/officeDocument/2006/relationships/hyperlink" Target="https://hi.likeminds.community/d/power-of-communications" TargetMode="External"/><Relationship Id="rId1970" Type="http://schemas.openxmlformats.org/officeDocument/2006/relationships/hyperlink" Target="https://hi.likeminds.community/d/power-of-communications" TargetMode="External"/><Relationship Id="rId1971" Type="http://schemas.openxmlformats.org/officeDocument/2006/relationships/hyperlink" Target="https://hi.likeminds.community/d/power-of-communications" TargetMode="External"/><Relationship Id="rId1961" Type="http://schemas.openxmlformats.org/officeDocument/2006/relationships/hyperlink" Target="https://hi.likeminds.community/d/power-of-communications" TargetMode="External"/><Relationship Id="rId1962" Type="http://schemas.openxmlformats.org/officeDocument/2006/relationships/hyperlink" Target="https://hi.likeminds.community/d/power-of-communications" TargetMode="External"/><Relationship Id="rId1963" Type="http://schemas.openxmlformats.org/officeDocument/2006/relationships/hyperlink" Target="https://hi.likeminds.community/d/power-of-communications" TargetMode="External"/><Relationship Id="rId1964" Type="http://schemas.openxmlformats.org/officeDocument/2006/relationships/hyperlink" Target="https://hi.likeminds.community/d/power-of-communications" TargetMode="External"/><Relationship Id="rId1965" Type="http://schemas.openxmlformats.org/officeDocument/2006/relationships/hyperlink" Target="https://hi.likeminds.community/d/power-of-communications" TargetMode="External"/><Relationship Id="rId1966" Type="http://schemas.openxmlformats.org/officeDocument/2006/relationships/hyperlink" Target="https://hi.likeminds.community/d/power-of-communications" TargetMode="External"/><Relationship Id="rId1967" Type="http://schemas.openxmlformats.org/officeDocument/2006/relationships/hyperlink" Target="https://hi.likeminds.community/d/power-of-communications" TargetMode="External"/><Relationship Id="rId1968" Type="http://schemas.openxmlformats.org/officeDocument/2006/relationships/hyperlink" Target="https://hi.likeminds.community/d/power-of-communications" TargetMode="External"/><Relationship Id="rId1969" Type="http://schemas.openxmlformats.org/officeDocument/2006/relationships/hyperlink" Target="https://hi.likeminds.community/d/power-of-communications" TargetMode="External"/><Relationship Id="rId1960" Type="http://schemas.openxmlformats.org/officeDocument/2006/relationships/hyperlink" Target="https://hi.likeminds.community/d/power-of-communications" TargetMode="External"/><Relationship Id="rId1510" Type="http://schemas.openxmlformats.org/officeDocument/2006/relationships/hyperlink" Target="https://community.likeminds.community/language-careers" TargetMode="External"/><Relationship Id="rId1994" Type="http://schemas.openxmlformats.org/officeDocument/2006/relationships/hyperlink" Target="https://hi.likeminds.community/d/power-of-communications" TargetMode="External"/><Relationship Id="rId1511" Type="http://schemas.openxmlformats.org/officeDocument/2006/relationships/hyperlink" Target="https://community.likeminds.community/language-careers" TargetMode="External"/><Relationship Id="rId1995" Type="http://schemas.openxmlformats.org/officeDocument/2006/relationships/hyperlink" Target="https://hi.likeminds.community/d/power-of-communications" TargetMode="External"/><Relationship Id="rId1512" Type="http://schemas.openxmlformats.org/officeDocument/2006/relationships/hyperlink" Target="https://community.likeminds.community/language-careers" TargetMode="External"/><Relationship Id="rId1996" Type="http://schemas.openxmlformats.org/officeDocument/2006/relationships/hyperlink" Target="https://hi.likeminds.community/d/power-of-communications" TargetMode="External"/><Relationship Id="rId1513" Type="http://schemas.openxmlformats.org/officeDocument/2006/relationships/hyperlink" Target="https://community.likeminds.community/language-careers" TargetMode="External"/><Relationship Id="rId1997" Type="http://schemas.openxmlformats.org/officeDocument/2006/relationships/hyperlink" Target="https://hi.likeminds.community/d/power-of-communications" TargetMode="External"/><Relationship Id="rId1514" Type="http://schemas.openxmlformats.org/officeDocument/2006/relationships/hyperlink" Target="https://community.likeminds.community/language-careers" TargetMode="External"/><Relationship Id="rId1998" Type="http://schemas.openxmlformats.org/officeDocument/2006/relationships/hyperlink" Target="https://hi.likeminds.community/d/power-of-communications" TargetMode="External"/><Relationship Id="rId1515" Type="http://schemas.openxmlformats.org/officeDocument/2006/relationships/hyperlink" Target="https://community.likeminds.community/language-careers" TargetMode="External"/><Relationship Id="rId1999" Type="http://schemas.openxmlformats.org/officeDocument/2006/relationships/hyperlink" Target="https://hi.likeminds.community/d/power-of-communications" TargetMode="External"/><Relationship Id="rId1516" Type="http://schemas.openxmlformats.org/officeDocument/2006/relationships/hyperlink" Target="https://community.likeminds.community/language-careers" TargetMode="External"/><Relationship Id="rId1517" Type="http://schemas.openxmlformats.org/officeDocument/2006/relationships/hyperlink" Target="https://community.likeminds.community/language-careers" TargetMode="External"/><Relationship Id="rId1518" Type="http://schemas.openxmlformats.org/officeDocument/2006/relationships/hyperlink" Target="https://community.likeminds.community/language-careers" TargetMode="External"/><Relationship Id="rId1519" Type="http://schemas.openxmlformats.org/officeDocument/2006/relationships/hyperlink" Target="https://community.likeminds.community/language-careers" TargetMode="External"/><Relationship Id="rId1990" Type="http://schemas.openxmlformats.org/officeDocument/2006/relationships/hyperlink" Target="https://hi.likeminds.community/d/power-of-communications" TargetMode="External"/><Relationship Id="rId1991" Type="http://schemas.openxmlformats.org/officeDocument/2006/relationships/hyperlink" Target="https://hi.likeminds.community/d/power-of-communications" TargetMode="External"/><Relationship Id="rId1992" Type="http://schemas.openxmlformats.org/officeDocument/2006/relationships/hyperlink" Target="https://hi.likeminds.community/d/power-of-communications" TargetMode="External"/><Relationship Id="rId1993" Type="http://schemas.openxmlformats.org/officeDocument/2006/relationships/hyperlink" Target="https://hi.likeminds.community/d/power-of-communications" TargetMode="External"/><Relationship Id="rId1983" Type="http://schemas.openxmlformats.org/officeDocument/2006/relationships/hyperlink" Target="https://hi.likeminds.community/d/power-of-communications" TargetMode="External"/><Relationship Id="rId1500" Type="http://schemas.openxmlformats.org/officeDocument/2006/relationships/hyperlink" Target="https://community.likeminds.community/language-careers" TargetMode="External"/><Relationship Id="rId1984" Type="http://schemas.openxmlformats.org/officeDocument/2006/relationships/hyperlink" Target="https://hi.likeminds.community/d/power-of-communications" TargetMode="External"/><Relationship Id="rId1501" Type="http://schemas.openxmlformats.org/officeDocument/2006/relationships/hyperlink" Target="https://community.likeminds.community/language-careers" TargetMode="External"/><Relationship Id="rId1985" Type="http://schemas.openxmlformats.org/officeDocument/2006/relationships/hyperlink" Target="https://hi.likeminds.community/d/power-of-communications" TargetMode="External"/><Relationship Id="rId1502" Type="http://schemas.openxmlformats.org/officeDocument/2006/relationships/hyperlink" Target="https://community.likeminds.community/language-careers" TargetMode="External"/><Relationship Id="rId1986" Type="http://schemas.openxmlformats.org/officeDocument/2006/relationships/hyperlink" Target="https://hi.likeminds.community/d/power-of-communications" TargetMode="External"/><Relationship Id="rId1503" Type="http://schemas.openxmlformats.org/officeDocument/2006/relationships/hyperlink" Target="https://community.likeminds.community/language-careers" TargetMode="External"/><Relationship Id="rId1987" Type="http://schemas.openxmlformats.org/officeDocument/2006/relationships/hyperlink" Target="https://hi.likeminds.community/d/power-of-communications" TargetMode="External"/><Relationship Id="rId1504" Type="http://schemas.openxmlformats.org/officeDocument/2006/relationships/hyperlink" Target="https://community.likeminds.community/language-careers" TargetMode="External"/><Relationship Id="rId1988" Type="http://schemas.openxmlformats.org/officeDocument/2006/relationships/hyperlink" Target="https://hi.likeminds.community/d/power-of-communications" TargetMode="External"/><Relationship Id="rId1505" Type="http://schemas.openxmlformats.org/officeDocument/2006/relationships/hyperlink" Target="https://community.likeminds.community/language-careers" TargetMode="External"/><Relationship Id="rId1989" Type="http://schemas.openxmlformats.org/officeDocument/2006/relationships/hyperlink" Target="https://hi.likeminds.community/d/power-of-communications" TargetMode="External"/><Relationship Id="rId1506" Type="http://schemas.openxmlformats.org/officeDocument/2006/relationships/hyperlink" Target="https://community.likeminds.community/language-careers" TargetMode="External"/><Relationship Id="rId1507" Type="http://schemas.openxmlformats.org/officeDocument/2006/relationships/hyperlink" Target="https://community.likeminds.community/language-careers" TargetMode="External"/><Relationship Id="rId1508" Type="http://schemas.openxmlformats.org/officeDocument/2006/relationships/hyperlink" Target="https://community.likeminds.community/language-careers" TargetMode="External"/><Relationship Id="rId1509" Type="http://schemas.openxmlformats.org/officeDocument/2006/relationships/hyperlink" Target="https://community.likeminds.community/language-careers" TargetMode="External"/><Relationship Id="rId1980" Type="http://schemas.openxmlformats.org/officeDocument/2006/relationships/hyperlink" Target="https://hi.likeminds.community/d/power-of-communications" TargetMode="External"/><Relationship Id="rId1981" Type="http://schemas.openxmlformats.org/officeDocument/2006/relationships/hyperlink" Target="https://hi.likeminds.community/d/power-of-communications" TargetMode="External"/><Relationship Id="rId1982" Type="http://schemas.openxmlformats.org/officeDocument/2006/relationships/hyperlink" Target="https://hi.likeminds.community/d/power-of-communications" TargetMode="External"/><Relationship Id="rId1930" Type="http://schemas.openxmlformats.org/officeDocument/2006/relationships/hyperlink" Target="https://community.likeminds.community/pharmacology-insiders" TargetMode="External"/><Relationship Id="rId1931" Type="http://schemas.openxmlformats.org/officeDocument/2006/relationships/hyperlink" Target="https://community.likeminds.community/pharmacology-insiders" TargetMode="External"/><Relationship Id="rId1932" Type="http://schemas.openxmlformats.org/officeDocument/2006/relationships/hyperlink" Target="https://community.likeminds.community/pharmacology-insiders" TargetMode="External"/><Relationship Id="rId1933" Type="http://schemas.openxmlformats.org/officeDocument/2006/relationships/hyperlink" Target="https://community.likeminds.community/pharmacology-insiders" TargetMode="External"/><Relationship Id="rId1934" Type="http://schemas.openxmlformats.org/officeDocument/2006/relationships/hyperlink" Target="https://community.likeminds.community/pharmacology-insiders" TargetMode="External"/><Relationship Id="rId1935" Type="http://schemas.openxmlformats.org/officeDocument/2006/relationships/hyperlink" Target="https://community.likeminds.community/pharmacology-insiders" TargetMode="External"/><Relationship Id="rId1936" Type="http://schemas.openxmlformats.org/officeDocument/2006/relationships/hyperlink" Target="https://community.likeminds.community/pharmacology-insiders" TargetMode="External"/><Relationship Id="rId1937" Type="http://schemas.openxmlformats.org/officeDocument/2006/relationships/hyperlink" Target="https://community.likeminds.community/pharmacology-insiders" TargetMode="External"/><Relationship Id="rId1938" Type="http://schemas.openxmlformats.org/officeDocument/2006/relationships/hyperlink" Target="https://community.likeminds.community/pharmacology-insiders" TargetMode="External"/><Relationship Id="rId1939" Type="http://schemas.openxmlformats.org/officeDocument/2006/relationships/hyperlink" Target="https://hi.likeminds.community/d/power-of-communications" TargetMode="External"/><Relationship Id="rId1920" Type="http://schemas.openxmlformats.org/officeDocument/2006/relationships/hyperlink" Target="https://community.likeminds.community/pharmacology-insiders" TargetMode="External"/><Relationship Id="rId1921" Type="http://schemas.openxmlformats.org/officeDocument/2006/relationships/hyperlink" Target="https://community.likeminds.community/pharmacology-insiders" TargetMode="External"/><Relationship Id="rId1922" Type="http://schemas.openxmlformats.org/officeDocument/2006/relationships/hyperlink" Target="https://community.likeminds.community/pharmacology-insiders" TargetMode="External"/><Relationship Id="rId1923" Type="http://schemas.openxmlformats.org/officeDocument/2006/relationships/hyperlink" Target="https://community.likeminds.community/pharmacology-insiders" TargetMode="External"/><Relationship Id="rId1924" Type="http://schemas.openxmlformats.org/officeDocument/2006/relationships/hyperlink" Target="https://community.likeminds.community/pharmacology-insiders" TargetMode="External"/><Relationship Id="rId1925" Type="http://schemas.openxmlformats.org/officeDocument/2006/relationships/hyperlink" Target="https://community.likeminds.community/pharmacology-insiders" TargetMode="External"/><Relationship Id="rId1926" Type="http://schemas.openxmlformats.org/officeDocument/2006/relationships/hyperlink" Target="https://community.likeminds.community/pharmacology-insiders" TargetMode="External"/><Relationship Id="rId1927" Type="http://schemas.openxmlformats.org/officeDocument/2006/relationships/hyperlink" Target="https://community.likeminds.community/pharmacology-insiders" TargetMode="External"/><Relationship Id="rId1928" Type="http://schemas.openxmlformats.org/officeDocument/2006/relationships/hyperlink" Target="https://community.likeminds.community/pharmacology-insiders" TargetMode="External"/><Relationship Id="rId1929" Type="http://schemas.openxmlformats.org/officeDocument/2006/relationships/hyperlink" Target="https://community.likeminds.community/pharmacology-insiders" TargetMode="External"/><Relationship Id="rId1950" Type="http://schemas.openxmlformats.org/officeDocument/2006/relationships/hyperlink" Target="https://hi.likeminds.community/d/power-of-communications" TargetMode="External"/><Relationship Id="rId1951" Type="http://schemas.openxmlformats.org/officeDocument/2006/relationships/hyperlink" Target="https://hi.likeminds.community/d/power-of-communications" TargetMode="External"/><Relationship Id="rId1952" Type="http://schemas.openxmlformats.org/officeDocument/2006/relationships/hyperlink" Target="https://hi.likeminds.community/d/power-of-communications" TargetMode="External"/><Relationship Id="rId1953" Type="http://schemas.openxmlformats.org/officeDocument/2006/relationships/hyperlink" Target="https://hi.likeminds.community/d/power-of-communications" TargetMode="External"/><Relationship Id="rId1954" Type="http://schemas.openxmlformats.org/officeDocument/2006/relationships/hyperlink" Target="https://hi.likeminds.community/d/power-of-communications" TargetMode="External"/><Relationship Id="rId1955" Type="http://schemas.openxmlformats.org/officeDocument/2006/relationships/hyperlink" Target="https://hi.likeminds.community/d/power-of-communications" TargetMode="External"/><Relationship Id="rId1956" Type="http://schemas.openxmlformats.org/officeDocument/2006/relationships/hyperlink" Target="https://hi.likeminds.community/d/power-of-communications" TargetMode="External"/><Relationship Id="rId1957" Type="http://schemas.openxmlformats.org/officeDocument/2006/relationships/hyperlink" Target="https://hi.likeminds.community/d/power-of-communications" TargetMode="External"/><Relationship Id="rId1958" Type="http://schemas.openxmlformats.org/officeDocument/2006/relationships/hyperlink" Target="https://hi.likeminds.community/d/power-of-communications" TargetMode="External"/><Relationship Id="rId1959" Type="http://schemas.openxmlformats.org/officeDocument/2006/relationships/hyperlink" Target="https://hi.likeminds.community/d/power-of-communications" TargetMode="External"/><Relationship Id="rId1940" Type="http://schemas.openxmlformats.org/officeDocument/2006/relationships/hyperlink" Target="https://hi.likeminds.community/d/power-of-communications" TargetMode="External"/><Relationship Id="rId1941" Type="http://schemas.openxmlformats.org/officeDocument/2006/relationships/hyperlink" Target="https://hi.likeminds.community/d/power-of-communications" TargetMode="External"/><Relationship Id="rId1942" Type="http://schemas.openxmlformats.org/officeDocument/2006/relationships/hyperlink" Target="https://hi.likeminds.community/d/power-of-communications" TargetMode="External"/><Relationship Id="rId1943" Type="http://schemas.openxmlformats.org/officeDocument/2006/relationships/hyperlink" Target="https://hi.likeminds.community/d/power-of-communications" TargetMode="External"/><Relationship Id="rId1944" Type="http://schemas.openxmlformats.org/officeDocument/2006/relationships/hyperlink" Target="https://hi.likeminds.community/d/power-of-communications" TargetMode="External"/><Relationship Id="rId1945" Type="http://schemas.openxmlformats.org/officeDocument/2006/relationships/hyperlink" Target="https://hi.likeminds.community/d/power-of-communications" TargetMode="External"/><Relationship Id="rId1946" Type="http://schemas.openxmlformats.org/officeDocument/2006/relationships/hyperlink" Target="https://hi.likeminds.community/d/power-of-communications" TargetMode="External"/><Relationship Id="rId1947" Type="http://schemas.openxmlformats.org/officeDocument/2006/relationships/hyperlink" Target="https://hi.likeminds.community/d/power-of-communications" TargetMode="External"/><Relationship Id="rId1948" Type="http://schemas.openxmlformats.org/officeDocument/2006/relationships/hyperlink" Target="https://hi.likeminds.community/d/power-of-communications" TargetMode="External"/><Relationship Id="rId1949" Type="http://schemas.openxmlformats.org/officeDocument/2006/relationships/hyperlink" Target="https://hi.likeminds.community/d/power-of-communications" TargetMode="External"/><Relationship Id="rId1576" Type="http://schemas.openxmlformats.org/officeDocument/2006/relationships/hyperlink" Target="https://hi.likeminds.community/d/heer-haria" TargetMode="External"/><Relationship Id="rId2423" Type="http://schemas.openxmlformats.org/officeDocument/2006/relationships/hyperlink" Target="https://community.likeminds.community/the-smart-work-for-neet-ug" TargetMode="External"/><Relationship Id="rId1577" Type="http://schemas.openxmlformats.org/officeDocument/2006/relationships/hyperlink" Target="https://hi.likeminds.community/d/heer-haria" TargetMode="External"/><Relationship Id="rId2424" Type="http://schemas.openxmlformats.org/officeDocument/2006/relationships/hyperlink" Target="https://community.likeminds.community/the-smart-work-for-neet-ug" TargetMode="External"/><Relationship Id="rId1578" Type="http://schemas.openxmlformats.org/officeDocument/2006/relationships/hyperlink" Target="https://hi.likeminds.community/d/heer-haria" TargetMode="External"/><Relationship Id="rId2425" Type="http://schemas.openxmlformats.org/officeDocument/2006/relationships/hyperlink" Target="https://community.likeminds.community/the-smart-work-for-neet-ug" TargetMode="External"/><Relationship Id="rId1579" Type="http://schemas.openxmlformats.org/officeDocument/2006/relationships/hyperlink" Target="https://hi.likeminds.community/d/heer-haria" TargetMode="External"/><Relationship Id="rId2426" Type="http://schemas.openxmlformats.org/officeDocument/2006/relationships/hyperlink" Target="https://community.likeminds.community/the-smart-work-for-neet-ug" TargetMode="External"/><Relationship Id="rId2427" Type="http://schemas.openxmlformats.org/officeDocument/2006/relationships/hyperlink" Target="https://community.likeminds.community/the-smart-work-for-neet-ug" TargetMode="External"/><Relationship Id="rId2428" Type="http://schemas.openxmlformats.org/officeDocument/2006/relationships/hyperlink" Target="https://community.likeminds.community/the-smart-work-for-neet-ug" TargetMode="External"/><Relationship Id="rId2429" Type="http://schemas.openxmlformats.org/officeDocument/2006/relationships/hyperlink" Target="https://community.likeminds.community/the-smart-work-for-neet-ug" TargetMode="External"/><Relationship Id="rId509" Type="http://schemas.openxmlformats.org/officeDocument/2006/relationships/hyperlink" Target="https://hi.likeminds.community/d/design-forward" TargetMode="External"/><Relationship Id="rId508" Type="http://schemas.openxmlformats.org/officeDocument/2006/relationships/hyperlink" Target="https://hi.likeminds.community/d/design-forward" TargetMode="External"/><Relationship Id="rId503" Type="http://schemas.openxmlformats.org/officeDocument/2006/relationships/hyperlink" Target="https://hi.likeminds.community/d/design-forward" TargetMode="External"/><Relationship Id="rId987" Type="http://schemas.openxmlformats.org/officeDocument/2006/relationships/hyperlink" Target="https://hi.likeminds.community/d/garv-malik" TargetMode="External"/><Relationship Id="rId502" Type="http://schemas.openxmlformats.org/officeDocument/2006/relationships/hyperlink" Target="https://hi.likeminds.community/d/design-forward" TargetMode="External"/><Relationship Id="rId986" Type="http://schemas.openxmlformats.org/officeDocument/2006/relationships/hyperlink" Target="https://hi.likeminds.community/d/garv-malik" TargetMode="External"/><Relationship Id="rId501" Type="http://schemas.openxmlformats.org/officeDocument/2006/relationships/hyperlink" Target="https://hi.likeminds.community/d/design-forward" TargetMode="External"/><Relationship Id="rId985" Type="http://schemas.openxmlformats.org/officeDocument/2006/relationships/hyperlink" Target="https://hi.likeminds.community/d/garv-malik" TargetMode="External"/><Relationship Id="rId500" Type="http://schemas.openxmlformats.org/officeDocument/2006/relationships/hyperlink" Target="https://hi.likeminds.community/d/design-forward" TargetMode="External"/><Relationship Id="rId984" Type="http://schemas.openxmlformats.org/officeDocument/2006/relationships/hyperlink" Target="https://hi.likeminds.community/d/garv-malik" TargetMode="External"/><Relationship Id="rId507" Type="http://schemas.openxmlformats.org/officeDocument/2006/relationships/hyperlink" Target="https://hi.likeminds.community/d/design-forward" TargetMode="External"/><Relationship Id="rId506" Type="http://schemas.openxmlformats.org/officeDocument/2006/relationships/hyperlink" Target="https://hi.likeminds.community/d/design-forward" TargetMode="External"/><Relationship Id="rId505" Type="http://schemas.openxmlformats.org/officeDocument/2006/relationships/hyperlink" Target="https://hi.likeminds.community/d/design-forward" TargetMode="External"/><Relationship Id="rId989" Type="http://schemas.openxmlformats.org/officeDocument/2006/relationships/hyperlink" Target="https://hi.likeminds.community/d/garv-malik" TargetMode="External"/><Relationship Id="rId504" Type="http://schemas.openxmlformats.org/officeDocument/2006/relationships/hyperlink" Target="https://hi.likeminds.community/d/design-forward" TargetMode="External"/><Relationship Id="rId988" Type="http://schemas.openxmlformats.org/officeDocument/2006/relationships/hyperlink" Target="https://hi.likeminds.community/d/garv-malik" TargetMode="External"/><Relationship Id="rId1570" Type="http://schemas.openxmlformats.org/officeDocument/2006/relationships/hyperlink" Target="https://hi.likeminds.community/d/heer-haria" TargetMode="External"/><Relationship Id="rId1571" Type="http://schemas.openxmlformats.org/officeDocument/2006/relationships/hyperlink" Target="https://hi.likeminds.community/d/heer-haria" TargetMode="External"/><Relationship Id="rId983" Type="http://schemas.openxmlformats.org/officeDocument/2006/relationships/hyperlink" Target="https://hi.likeminds.community/d/garv-malik" TargetMode="External"/><Relationship Id="rId1572" Type="http://schemas.openxmlformats.org/officeDocument/2006/relationships/hyperlink" Target="https://hi.likeminds.community/d/heer-haria" TargetMode="External"/><Relationship Id="rId982" Type="http://schemas.openxmlformats.org/officeDocument/2006/relationships/hyperlink" Target="https://hi.likeminds.community/d/garv-malik" TargetMode="External"/><Relationship Id="rId1573" Type="http://schemas.openxmlformats.org/officeDocument/2006/relationships/hyperlink" Target="https://hi.likeminds.community/d/heer-haria" TargetMode="External"/><Relationship Id="rId2420" Type="http://schemas.openxmlformats.org/officeDocument/2006/relationships/hyperlink" Target="https://hi.likeminds.community/d/the-man-makeover" TargetMode="External"/><Relationship Id="rId981" Type="http://schemas.openxmlformats.org/officeDocument/2006/relationships/hyperlink" Target="https://hi.likeminds.community/d/garv-malik" TargetMode="External"/><Relationship Id="rId1574" Type="http://schemas.openxmlformats.org/officeDocument/2006/relationships/hyperlink" Target="https://hi.likeminds.community/d/heer-haria" TargetMode="External"/><Relationship Id="rId2421" Type="http://schemas.openxmlformats.org/officeDocument/2006/relationships/hyperlink" Target="https://hi.likeminds.community/d/the-man-makeover" TargetMode="External"/><Relationship Id="rId980" Type="http://schemas.openxmlformats.org/officeDocument/2006/relationships/hyperlink" Target="https://hi.likeminds.community/d/garv-malik" TargetMode="External"/><Relationship Id="rId1575" Type="http://schemas.openxmlformats.org/officeDocument/2006/relationships/hyperlink" Target="https://hi.likeminds.community/d/heer-haria" TargetMode="External"/><Relationship Id="rId2422" Type="http://schemas.openxmlformats.org/officeDocument/2006/relationships/hyperlink" Target="https://community.likeminds.community/the-smart-work-for-neet-ug" TargetMode="External"/><Relationship Id="rId1565" Type="http://schemas.openxmlformats.org/officeDocument/2006/relationships/hyperlink" Target="https://hi.likeminds.community/d/heer-haria" TargetMode="External"/><Relationship Id="rId2412" Type="http://schemas.openxmlformats.org/officeDocument/2006/relationships/hyperlink" Target="https://hi.likeminds.community/d/the-man-makeover" TargetMode="External"/><Relationship Id="rId1566" Type="http://schemas.openxmlformats.org/officeDocument/2006/relationships/hyperlink" Target="https://hi.likeminds.community/d/heer-haria" TargetMode="External"/><Relationship Id="rId2413" Type="http://schemas.openxmlformats.org/officeDocument/2006/relationships/hyperlink" Target="https://hi.likeminds.community/d/the-man-makeover" TargetMode="External"/><Relationship Id="rId1567" Type="http://schemas.openxmlformats.org/officeDocument/2006/relationships/hyperlink" Target="https://hi.likeminds.community/d/heer-haria" TargetMode="External"/><Relationship Id="rId2414" Type="http://schemas.openxmlformats.org/officeDocument/2006/relationships/hyperlink" Target="https://hi.likeminds.community/d/the-man-makeover" TargetMode="External"/><Relationship Id="rId1568" Type="http://schemas.openxmlformats.org/officeDocument/2006/relationships/hyperlink" Target="https://hi.likeminds.community/d/heer-haria" TargetMode="External"/><Relationship Id="rId2415" Type="http://schemas.openxmlformats.org/officeDocument/2006/relationships/hyperlink" Target="https://hi.likeminds.community/d/the-man-makeover" TargetMode="External"/><Relationship Id="rId1569" Type="http://schemas.openxmlformats.org/officeDocument/2006/relationships/hyperlink" Target="https://hi.likeminds.community/d/heer-haria" TargetMode="External"/><Relationship Id="rId2416" Type="http://schemas.openxmlformats.org/officeDocument/2006/relationships/hyperlink" Target="https://hi.likeminds.community/d/the-man-makeover" TargetMode="External"/><Relationship Id="rId2417" Type="http://schemas.openxmlformats.org/officeDocument/2006/relationships/hyperlink" Target="https://hi.likeminds.community/d/the-man-makeover" TargetMode="External"/><Relationship Id="rId2418" Type="http://schemas.openxmlformats.org/officeDocument/2006/relationships/hyperlink" Target="https://hi.likeminds.community/d/the-man-makeover" TargetMode="External"/><Relationship Id="rId2419" Type="http://schemas.openxmlformats.org/officeDocument/2006/relationships/hyperlink" Target="https://hi.likeminds.community/d/the-man-makeover" TargetMode="External"/><Relationship Id="rId976" Type="http://schemas.openxmlformats.org/officeDocument/2006/relationships/hyperlink" Target="https://hi.likeminds.community/d/garv-malik" TargetMode="External"/><Relationship Id="rId975" Type="http://schemas.openxmlformats.org/officeDocument/2006/relationships/hyperlink" Target="https://hi.likeminds.community/d/garv-malik" TargetMode="External"/><Relationship Id="rId974" Type="http://schemas.openxmlformats.org/officeDocument/2006/relationships/hyperlink" Target="https://hi.likeminds.community/d/garv-malik" TargetMode="External"/><Relationship Id="rId973" Type="http://schemas.openxmlformats.org/officeDocument/2006/relationships/hyperlink" Target="https://hi.likeminds.community/d/garv-malik" TargetMode="External"/><Relationship Id="rId979" Type="http://schemas.openxmlformats.org/officeDocument/2006/relationships/hyperlink" Target="https://hi.likeminds.community/d/garv-malik" TargetMode="External"/><Relationship Id="rId978" Type="http://schemas.openxmlformats.org/officeDocument/2006/relationships/hyperlink" Target="https://hi.likeminds.community/d/garv-malik" TargetMode="External"/><Relationship Id="rId977" Type="http://schemas.openxmlformats.org/officeDocument/2006/relationships/hyperlink" Target="https://hi.likeminds.community/d/garv-malik" TargetMode="External"/><Relationship Id="rId1560" Type="http://schemas.openxmlformats.org/officeDocument/2006/relationships/hyperlink" Target="https://hi.likeminds.community/lazy-gamers" TargetMode="External"/><Relationship Id="rId972" Type="http://schemas.openxmlformats.org/officeDocument/2006/relationships/hyperlink" Target="https://hi.likeminds.community/d/garv-malik" TargetMode="External"/><Relationship Id="rId1561" Type="http://schemas.openxmlformats.org/officeDocument/2006/relationships/hyperlink" Target="https://hi.likeminds.community/lazy-gamers" TargetMode="External"/><Relationship Id="rId971" Type="http://schemas.openxmlformats.org/officeDocument/2006/relationships/hyperlink" Target="https://hi.likeminds.community/d/garv-malik" TargetMode="External"/><Relationship Id="rId1562" Type="http://schemas.openxmlformats.org/officeDocument/2006/relationships/hyperlink" Target="https://hi.likeminds.community/lazy-gamers" TargetMode="External"/><Relationship Id="rId970" Type="http://schemas.openxmlformats.org/officeDocument/2006/relationships/hyperlink" Target="https://hi.likeminds.community/d/garv-malik" TargetMode="External"/><Relationship Id="rId1563" Type="http://schemas.openxmlformats.org/officeDocument/2006/relationships/hyperlink" Target="https://hi.likeminds.community/lazy-gamers" TargetMode="External"/><Relationship Id="rId2410" Type="http://schemas.openxmlformats.org/officeDocument/2006/relationships/hyperlink" Target="https://hi.likeminds.community/d/the-man-makeover" TargetMode="External"/><Relationship Id="rId1564" Type="http://schemas.openxmlformats.org/officeDocument/2006/relationships/hyperlink" Target="https://hi.likeminds.community/lazy-gamers" TargetMode="External"/><Relationship Id="rId2411" Type="http://schemas.openxmlformats.org/officeDocument/2006/relationships/hyperlink" Target="https://hi.likeminds.community/d/the-man-makeover" TargetMode="External"/><Relationship Id="rId1114" Type="http://schemas.openxmlformats.org/officeDocument/2006/relationships/hyperlink" Target="https://community.likeminds.community/hanhangul" TargetMode="External"/><Relationship Id="rId1598" Type="http://schemas.openxmlformats.org/officeDocument/2006/relationships/hyperlink" Target="https://community.likeminds.community/d/lets-speak-english" TargetMode="External"/><Relationship Id="rId2445" Type="http://schemas.openxmlformats.org/officeDocument/2006/relationships/hyperlink" Target="https://community.likeminds.community/the-smart-work-for-neet-ug" TargetMode="External"/><Relationship Id="rId1115" Type="http://schemas.openxmlformats.org/officeDocument/2006/relationships/hyperlink" Target="https://community.likeminds.community/hanhangul" TargetMode="External"/><Relationship Id="rId1599" Type="http://schemas.openxmlformats.org/officeDocument/2006/relationships/hyperlink" Target="https://community.likeminds.community/d/lets-speak-english" TargetMode="External"/><Relationship Id="rId2446" Type="http://schemas.openxmlformats.org/officeDocument/2006/relationships/hyperlink" Target="https://community.likeminds.community/the-smart-work-for-neet-ug" TargetMode="External"/><Relationship Id="rId1116" Type="http://schemas.openxmlformats.org/officeDocument/2006/relationships/hyperlink" Target="https://community.likeminds.community/hanhangul" TargetMode="External"/><Relationship Id="rId2447" Type="http://schemas.openxmlformats.org/officeDocument/2006/relationships/hyperlink" Target="https://community.likeminds.community/the-smart-work-for-neet-ug" TargetMode="External"/><Relationship Id="rId1117" Type="http://schemas.openxmlformats.org/officeDocument/2006/relationships/hyperlink" Target="https://community.likeminds.community/hanhangul" TargetMode="External"/><Relationship Id="rId2448" Type="http://schemas.openxmlformats.org/officeDocument/2006/relationships/hyperlink" Target="https://community.likeminds.community/the-smart-work-for-neet-ug" TargetMode="External"/><Relationship Id="rId1118" Type="http://schemas.openxmlformats.org/officeDocument/2006/relationships/hyperlink" Target="https://community.likeminds.community/hanhangul" TargetMode="External"/><Relationship Id="rId2449" Type="http://schemas.openxmlformats.org/officeDocument/2006/relationships/hyperlink" Target="https://community.likeminds.community/the-smart-work-for-neet-ug" TargetMode="External"/><Relationship Id="rId1119" Type="http://schemas.openxmlformats.org/officeDocument/2006/relationships/hyperlink" Target="https://community.likeminds.community/hanhangul" TargetMode="External"/><Relationship Id="rId525" Type="http://schemas.openxmlformats.org/officeDocument/2006/relationships/hyperlink" Target="https://hi.likeminds.community/d/design-forward" TargetMode="External"/><Relationship Id="rId524" Type="http://schemas.openxmlformats.org/officeDocument/2006/relationships/hyperlink" Target="https://hi.likeminds.community/d/design-forward" TargetMode="External"/><Relationship Id="rId523" Type="http://schemas.openxmlformats.org/officeDocument/2006/relationships/hyperlink" Target="https://hi.likeminds.community/d/design-forward" TargetMode="External"/><Relationship Id="rId522" Type="http://schemas.openxmlformats.org/officeDocument/2006/relationships/hyperlink" Target="https://hi.likeminds.community/d/design-forward" TargetMode="External"/><Relationship Id="rId529" Type="http://schemas.openxmlformats.org/officeDocument/2006/relationships/hyperlink" Target="https://hi.likeminds.community/d/design-forward" TargetMode="External"/><Relationship Id="rId528" Type="http://schemas.openxmlformats.org/officeDocument/2006/relationships/hyperlink" Target="https://hi.likeminds.community/d/design-forward" TargetMode="External"/><Relationship Id="rId527" Type="http://schemas.openxmlformats.org/officeDocument/2006/relationships/hyperlink" Target="https://hi.likeminds.community/d/design-forward" TargetMode="External"/><Relationship Id="rId526" Type="http://schemas.openxmlformats.org/officeDocument/2006/relationships/hyperlink" Target="https://hi.likeminds.community/d/design-forward" TargetMode="External"/><Relationship Id="rId1590" Type="http://schemas.openxmlformats.org/officeDocument/2006/relationships/hyperlink" Target="https://community.likeminds.community/d/lets-speak-english" TargetMode="External"/><Relationship Id="rId1591" Type="http://schemas.openxmlformats.org/officeDocument/2006/relationships/hyperlink" Target="https://community.likeminds.community/d/lets-speak-english" TargetMode="External"/><Relationship Id="rId1592" Type="http://schemas.openxmlformats.org/officeDocument/2006/relationships/hyperlink" Target="https://community.likeminds.community/d/lets-speak-english" TargetMode="External"/><Relationship Id="rId1593" Type="http://schemas.openxmlformats.org/officeDocument/2006/relationships/hyperlink" Target="https://community.likeminds.community/d/lets-speak-english" TargetMode="External"/><Relationship Id="rId2440" Type="http://schemas.openxmlformats.org/officeDocument/2006/relationships/hyperlink" Target="https://community.likeminds.community/the-smart-work-for-neet-ug" TargetMode="External"/><Relationship Id="rId521" Type="http://schemas.openxmlformats.org/officeDocument/2006/relationships/hyperlink" Target="https://hi.likeminds.community/d/design-forward" TargetMode="External"/><Relationship Id="rId1110" Type="http://schemas.openxmlformats.org/officeDocument/2006/relationships/hyperlink" Target="https://community.likeminds.community/hanhangul" TargetMode="External"/><Relationship Id="rId1594" Type="http://schemas.openxmlformats.org/officeDocument/2006/relationships/hyperlink" Target="https://community.likeminds.community/d/lets-speak-english" TargetMode="External"/><Relationship Id="rId2441" Type="http://schemas.openxmlformats.org/officeDocument/2006/relationships/hyperlink" Target="https://community.likeminds.community/the-smart-work-for-neet-ug" TargetMode="External"/><Relationship Id="rId520" Type="http://schemas.openxmlformats.org/officeDocument/2006/relationships/hyperlink" Target="https://hi.likeminds.community/d/design-forward" TargetMode="External"/><Relationship Id="rId1111" Type="http://schemas.openxmlformats.org/officeDocument/2006/relationships/hyperlink" Target="https://community.likeminds.community/hanhangul" TargetMode="External"/><Relationship Id="rId1595" Type="http://schemas.openxmlformats.org/officeDocument/2006/relationships/hyperlink" Target="https://community.likeminds.community/d/lets-speak-english" TargetMode="External"/><Relationship Id="rId2442" Type="http://schemas.openxmlformats.org/officeDocument/2006/relationships/hyperlink" Target="https://community.likeminds.community/the-smart-work-for-neet-ug" TargetMode="External"/><Relationship Id="rId1112" Type="http://schemas.openxmlformats.org/officeDocument/2006/relationships/hyperlink" Target="https://community.likeminds.community/hanhangul" TargetMode="External"/><Relationship Id="rId1596" Type="http://schemas.openxmlformats.org/officeDocument/2006/relationships/hyperlink" Target="https://community.likeminds.community/d/lets-speak-english" TargetMode="External"/><Relationship Id="rId2443" Type="http://schemas.openxmlformats.org/officeDocument/2006/relationships/hyperlink" Target="https://community.likeminds.community/the-smart-work-for-neet-ug" TargetMode="External"/><Relationship Id="rId1113" Type="http://schemas.openxmlformats.org/officeDocument/2006/relationships/hyperlink" Target="https://community.likeminds.community/hanhangul" TargetMode="External"/><Relationship Id="rId1597" Type="http://schemas.openxmlformats.org/officeDocument/2006/relationships/hyperlink" Target="https://community.likeminds.community/d/lets-speak-english" TargetMode="External"/><Relationship Id="rId2444" Type="http://schemas.openxmlformats.org/officeDocument/2006/relationships/hyperlink" Target="https://community.likeminds.community/the-smart-work-for-neet-ug" TargetMode="External"/><Relationship Id="rId1103" Type="http://schemas.openxmlformats.org/officeDocument/2006/relationships/hyperlink" Target="https://community.likeminds.community/hanhangul" TargetMode="External"/><Relationship Id="rId1587" Type="http://schemas.openxmlformats.org/officeDocument/2006/relationships/hyperlink" Target="https://community.likeminds.community/d/lets-speak-english" TargetMode="External"/><Relationship Id="rId2434" Type="http://schemas.openxmlformats.org/officeDocument/2006/relationships/hyperlink" Target="https://community.likeminds.community/the-smart-work-for-neet-ug" TargetMode="External"/><Relationship Id="rId1104" Type="http://schemas.openxmlformats.org/officeDocument/2006/relationships/hyperlink" Target="https://community.likeminds.community/hanhangul" TargetMode="External"/><Relationship Id="rId1588" Type="http://schemas.openxmlformats.org/officeDocument/2006/relationships/hyperlink" Target="https://community.likeminds.community/d/lets-speak-english" TargetMode="External"/><Relationship Id="rId2435" Type="http://schemas.openxmlformats.org/officeDocument/2006/relationships/hyperlink" Target="https://community.likeminds.community/the-smart-work-for-neet-ug" TargetMode="External"/><Relationship Id="rId1105" Type="http://schemas.openxmlformats.org/officeDocument/2006/relationships/hyperlink" Target="https://community.likeminds.community/hanhangul" TargetMode="External"/><Relationship Id="rId1589" Type="http://schemas.openxmlformats.org/officeDocument/2006/relationships/hyperlink" Target="https://community.likeminds.community/d/lets-speak-english" TargetMode="External"/><Relationship Id="rId2436" Type="http://schemas.openxmlformats.org/officeDocument/2006/relationships/hyperlink" Target="https://community.likeminds.community/the-smart-work-for-neet-ug" TargetMode="External"/><Relationship Id="rId1106" Type="http://schemas.openxmlformats.org/officeDocument/2006/relationships/hyperlink" Target="https://community.likeminds.community/hanhangul" TargetMode="External"/><Relationship Id="rId2437" Type="http://schemas.openxmlformats.org/officeDocument/2006/relationships/hyperlink" Target="https://community.likeminds.community/the-smart-work-for-neet-ug" TargetMode="External"/><Relationship Id="rId1107" Type="http://schemas.openxmlformats.org/officeDocument/2006/relationships/hyperlink" Target="https://community.likeminds.community/hanhangul" TargetMode="External"/><Relationship Id="rId2438" Type="http://schemas.openxmlformats.org/officeDocument/2006/relationships/hyperlink" Target="https://community.likeminds.community/the-smart-work-for-neet-ug" TargetMode="External"/><Relationship Id="rId1108" Type="http://schemas.openxmlformats.org/officeDocument/2006/relationships/hyperlink" Target="https://community.likeminds.community/hanhangul" TargetMode="External"/><Relationship Id="rId2439" Type="http://schemas.openxmlformats.org/officeDocument/2006/relationships/hyperlink" Target="https://community.likeminds.community/the-smart-work-for-neet-ug" TargetMode="External"/><Relationship Id="rId1109" Type="http://schemas.openxmlformats.org/officeDocument/2006/relationships/hyperlink" Target="https://community.likeminds.community/hanhangul" TargetMode="External"/><Relationship Id="rId519" Type="http://schemas.openxmlformats.org/officeDocument/2006/relationships/hyperlink" Target="https://hi.likeminds.community/d/design-forward" TargetMode="External"/><Relationship Id="rId514" Type="http://schemas.openxmlformats.org/officeDocument/2006/relationships/hyperlink" Target="https://hi.likeminds.community/d/design-forward" TargetMode="External"/><Relationship Id="rId998" Type="http://schemas.openxmlformats.org/officeDocument/2006/relationships/hyperlink" Target="https://hi.likeminds.community/d/garv-malik" TargetMode="External"/><Relationship Id="rId513" Type="http://schemas.openxmlformats.org/officeDocument/2006/relationships/hyperlink" Target="https://hi.likeminds.community/d/design-forward" TargetMode="External"/><Relationship Id="rId997" Type="http://schemas.openxmlformats.org/officeDocument/2006/relationships/hyperlink" Target="https://hi.likeminds.community/d/garv-malik" TargetMode="External"/><Relationship Id="rId512" Type="http://schemas.openxmlformats.org/officeDocument/2006/relationships/hyperlink" Target="https://hi.likeminds.community/d/design-forward" TargetMode="External"/><Relationship Id="rId996" Type="http://schemas.openxmlformats.org/officeDocument/2006/relationships/hyperlink" Target="https://hi.likeminds.community/d/garv-malik" TargetMode="External"/><Relationship Id="rId511" Type="http://schemas.openxmlformats.org/officeDocument/2006/relationships/hyperlink" Target="https://hi.likeminds.community/d/design-forward" TargetMode="External"/><Relationship Id="rId995" Type="http://schemas.openxmlformats.org/officeDocument/2006/relationships/hyperlink" Target="https://hi.likeminds.community/d/garv-malik" TargetMode="External"/><Relationship Id="rId518" Type="http://schemas.openxmlformats.org/officeDocument/2006/relationships/hyperlink" Target="https://hi.likeminds.community/d/design-forward" TargetMode="External"/><Relationship Id="rId517" Type="http://schemas.openxmlformats.org/officeDocument/2006/relationships/hyperlink" Target="https://hi.likeminds.community/d/design-forward" TargetMode="External"/><Relationship Id="rId516" Type="http://schemas.openxmlformats.org/officeDocument/2006/relationships/hyperlink" Target="https://hi.likeminds.community/d/design-forward" TargetMode="External"/><Relationship Id="rId515" Type="http://schemas.openxmlformats.org/officeDocument/2006/relationships/hyperlink" Target="https://hi.likeminds.community/d/design-forward" TargetMode="External"/><Relationship Id="rId999" Type="http://schemas.openxmlformats.org/officeDocument/2006/relationships/hyperlink" Target="https://community.likeminds.community/hanhangul" TargetMode="External"/><Relationship Id="rId990" Type="http://schemas.openxmlformats.org/officeDocument/2006/relationships/hyperlink" Target="https://hi.likeminds.community/d/garv-malik" TargetMode="External"/><Relationship Id="rId1580" Type="http://schemas.openxmlformats.org/officeDocument/2006/relationships/hyperlink" Target="https://hi.likeminds.community/d/heer-haria" TargetMode="External"/><Relationship Id="rId1581" Type="http://schemas.openxmlformats.org/officeDocument/2006/relationships/hyperlink" Target="https://community.likeminds.community/d/lets-speak-english" TargetMode="External"/><Relationship Id="rId1582" Type="http://schemas.openxmlformats.org/officeDocument/2006/relationships/hyperlink" Target="https://community.likeminds.community/d/lets-speak-english" TargetMode="External"/><Relationship Id="rId510" Type="http://schemas.openxmlformats.org/officeDocument/2006/relationships/hyperlink" Target="https://hi.likeminds.community/d/design-forward" TargetMode="External"/><Relationship Id="rId994" Type="http://schemas.openxmlformats.org/officeDocument/2006/relationships/hyperlink" Target="https://hi.likeminds.community/d/garv-malik" TargetMode="External"/><Relationship Id="rId1583" Type="http://schemas.openxmlformats.org/officeDocument/2006/relationships/hyperlink" Target="https://community.likeminds.community/d/lets-speak-english" TargetMode="External"/><Relationship Id="rId2430" Type="http://schemas.openxmlformats.org/officeDocument/2006/relationships/hyperlink" Target="https://community.likeminds.community/the-smart-work-for-neet-ug" TargetMode="External"/><Relationship Id="rId993" Type="http://schemas.openxmlformats.org/officeDocument/2006/relationships/hyperlink" Target="https://hi.likeminds.community/d/garv-malik" TargetMode="External"/><Relationship Id="rId1100" Type="http://schemas.openxmlformats.org/officeDocument/2006/relationships/hyperlink" Target="https://community.likeminds.community/hanhangul" TargetMode="External"/><Relationship Id="rId1584" Type="http://schemas.openxmlformats.org/officeDocument/2006/relationships/hyperlink" Target="https://community.likeminds.community/d/lets-speak-english" TargetMode="External"/><Relationship Id="rId2431" Type="http://schemas.openxmlformats.org/officeDocument/2006/relationships/hyperlink" Target="https://community.likeminds.community/the-smart-work-for-neet-ug" TargetMode="External"/><Relationship Id="rId992" Type="http://schemas.openxmlformats.org/officeDocument/2006/relationships/hyperlink" Target="https://hi.likeminds.community/d/garv-malik" TargetMode="External"/><Relationship Id="rId1101" Type="http://schemas.openxmlformats.org/officeDocument/2006/relationships/hyperlink" Target="https://community.likeminds.community/hanhangul" TargetMode="External"/><Relationship Id="rId1585" Type="http://schemas.openxmlformats.org/officeDocument/2006/relationships/hyperlink" Target="https://community.likeminds.community/d/lets-speak-english" TargetMode="External"/><Relationship Id="rId2432" Type="http://schemas.openxmlformats.org/officeDocument/2006/relationships/hyperlink" Target="https://community.likeminds.community/the-smart-work-for-neet-ug" TargetMode="External"/><Relationship Id="rId991" Type="http://schemas.openxmlformats.org/officeDocument/2006/relationships/hyperlink" Target="https://hi.likeminds.community/d/garv-malik" TargetMode="External"/><Relationship Id="rId1102" Type="http://schemas.openxmlformats.org/officeDocument/2006/relationships/hyperlink" Target="https://community.likeminds.community/hanhangul" TargetMode="External"/><Relationship Id="rId1586" Type="http://schemas.openxmlformats.org/officeDocument/2006/relationships/hyperlink" Target="https://community.likeminds.community/d/lets-speak-english" TargetMode="External"/><Relationship Id="rId2433" Type="http://schemas.openxmlformats.org/officeDocument/2006/relationships/hyperlink" Target="https://community.likeminds.community/the-smart-work-for-neet-ug" TargetMode="External"/><Relationship Id="rId1532" Type="http://schemas.openxmlformats.org/officeDocument/2006/relationships/hyperlink" Target="https://community.likeminds.community/language-careers" TargetMode="External"/><Relationship Id="rId1533" Type="http://schemas.openxmlformats.org/officeDocument/2006/relationships/hyperlink" Target="https://community.likeminds.community/language-careers" TargetMode="External"/><Relationship Id="rId1534" Type="http://schemas.openxmlformats.org/officeDocument/2006/relationships/hyperlink" Target="https://community.likeminds.community/language-careers" TargetMode="External"/><Relationship Id="rId1535" Type="http://schemas.openxmlformats.org/officeDocument/2006/relationships/hyperlink" Target="https://community.likeminds.community/language-careers" TargetMode="External"/><Relationship Id="rId1536" Type="http://schemas.openxmlformats.org/officeDocument/2006/relationships/hyperlink" Target="https://community.likeminds.community/language-careers" TargetMode="External"/><Relationship Id="rId1537" Type="http://schemas.openxmlformats.org/officeDocument/2006/relationships/hyperlink" Target="https://community.likeminds.community/language-careers" TargetMode="External"/><Relationship Id="rId1538" Type="http://schemas.openxmlformats.org/officeDocument/2006/relationships/hyperlink" Target="https://community.likeminds.community/language-careers" TargetMode="External"/><Relationship Id="rId1539" Type="http://schemas.openxmlformats.org/officeDocument/2006/relationships/hyperlink" Target="https://community.likeminds.community/language-careers" TargetMode="External"/><Relationship Id="rId949" Type="http://schemas.openxmlformats.org/officeDocument/2006/relationships/hyperlink" Target="https://community.likeminds.community/finstreet" TargetMode="External"/><Relationship Id="rId948" Type="http://schemas.openxmlformats.org/officeDocument/2006/relationships/hyperlink" Target="https://community.likeminds.community/finstreet" TargetMode="External"/><Relationship Id="rId943" Type="http://schemas.openxmlformats.org/officeDocument/2006/relationships/hyperlink" Target="https://community.likeminds.community/finstreet" TargetMode="External"/><Relationship Id="rId942" Type="http://schemas.openxmlformats.org/officeDocument/2006/relationships/hyperlink" Target="https://community.likeminds.community/finstreet" TargetMode="External"/><Relationship Id="rId941" Type="http://schemas.openxmlformats.org/officeDocument/2006/relationships/hyperlink" Target="https://community.likeminds.community/finstreet" TargetMode="External"/><Relationship Id="rId940" Type="http://schemas.openxmlformats.org/officeDocument/2006/relationships/hyperlink" Target="https://community.likeminds.community/finstreet" TargetMode="External"/><Relationship Id="rId947" Type="http://schemas.openxmlformats.org/officeDocument/2006/relationships/hyperlink" Target="https://community.likeminds.community/finstreet" TargetMode="External"/><Relationship Id="rId946" Type="http://schemas.openxmlformats.org/officeDocument/2006/relationships/hyperlink" Target="https://community.likeminds.community/finstreet" TargetMode="External"/><Relationship Id="rId945" Type="http://schemas.openxmlformats.org/officeDocument/2006/relationships/hyperlink" Target="https://community.likeminds.community/finstreet" TargetMode="External"/><Relationship Id="rId944" Type="http://schemas.openxmlformats.org/officeDocument/2006/relationships/hyperlink" Target="https://community.likeminds.community/finstreet" TargetMode="External"/><Relationship Id="rId1530" Type="http://schemas.openxmlformats.org/officeDocument/2006/relationships/hyperlink" Target="https://community.likeminds.community/language-careers" TargetMode="External"/><Relationship Id="rId1531" Type="http://schemas.openxmlformats.org/officeDocument/2006/relationships/hyperlink" Target="https://community.likeminds.community/language-careers" TargetMode="External"/><Relationship Id="rId1521" Type="http://schemas.openxmlformats.org/officeDocument/2006/relationships/hyperlink" Target="https://community.likeminds.community/language-careers" TargetMode="External"/><Relationship Id="rId1522" Type="http://schemas.openxmlformats.org/officeDocument/2006/relationships/hyperlink" Target="https://community.likeminds.community/language-careers" TargetMode="External"/><Relationship Id="rId1523" Type="http://schemas.openxmlformats.org/officeDocument/2006/relationships/hyperlink" Target="https://community.likeminds.community/language-careers" TargetMode="External"/><Relationship Id="rId1524" Type="http://schemas.openxmlformats.org/officeDocument/2006/relationships/hyperlink" Target="https://community.likeminds.community/language-careers" TargetMode="External"/><Relationship Id="rId1525" Type="http://schemas.openxmlformats.org/officeDocument/2006/relationships/hyperlink" Target="https://community.likeminds.community/language-careers" TargetMode="External"/><Relationship Id="rId1526" Type="http://schemas.openxmlformats.org/officeDocument/2006/relationships/hyperlink" Target="https://community.likeminds.community/language-careers" TargetMode="External"/><Relationship Id="rId1527" Type="http://schemas.openxmlformats.org/officeDocument/2006/relationships/hyperlink" Target="https://community.likeminds.community/language-careers" TargetMode="External"/><Relationship Id="rId1528" Type="http://schemas.openxmlformats.org/officeDocument/2006/relationships/hyperlink" Target="https://community.likeminds.community/language-careers" TargetMode="External"/><Relationship Id="rId1529" Type="http://schemas.openxmlformats.org/officeDocument/2006/relationships/hyperlink" Target="https://community.likeminds.community/language-careers" TargetMode="External"/><Relationship Id="rId939" Type="http://schemas.openxmlformats.org/officeDocument/2006/relationships/hyperlink" Target="https://community.likeminds.community/finstreet" TargetMode="External"/><Relationship Id="rId938" Type="http://schemas.openxmlformats.org/officeDocument/2006/relationships/hyperlink" Target="https://community.likeminds.community/finstreet" TargetMode="External"/><Relationship Id="rId937" Type="http://schemas.openxmlformats.org/officeDocument/2006/relationships/hyperlink" Target="https://community.likeminds.community/finstreet" TargetMode="External"/><Relationship Id="rId932" Type="http://schemas.openxmlformats.org/officeDocument/2006/relationships/hyperlink" Target="https://community.likeminds.community/finstreet" TargetMode="External"/><Relationship Id="rId931" Type="http://schemas.openxmlformats.org/officeDocument/2006/relationships/hyperlink" Target="https://community.likeminds.community/finstreet" TargetMode="External"/><Relationship Id="rId930" Type="http://schemas.openxmlformats.org/officeDocument/2006/relationships/hyperlink" Target="https://community.likeminds.community/finstreet" TargetMode="External"/><Relationship Id="rId936" Type="http://schemas.openxmlformats.org/officeDocument/2006/relationships/hyperlink" Target="https://community.likeminds.community/finstreet" TargetMode="External"/><Relationship Id="rId935" Type="http://schemas.openxmlformats.org/officeDocument/2006/relationships/hyperlink" Target="https://community.likeminds.community/finstreet" TargetMode="External"/><Relationship Id="rId934" Type="http://schemas.openxmlformats.org/officeDocument/2006/relationships/hyperlink" Target="https://community.likeminds.community/finstreet" TargetMode="External"/><Relationship Id="rId933" Type="http://schemas.openxmlformats.org/officeDocument/2006/relationships/hyperlink" Target="https://community.likeminds.community/finstreet" TargetMode="External"/><Relationship Id="rId1520" Type="http://schemas.openxmlformats.org/officeDocument/2006/relationships/hyperlink" Target="https://community.likeminds.community/language-careers" TargetMode="External"/><Relationship Id="rId1554" Type="http://schemas.openxmlformats.org/officeDocument/2006/relationships/hyperlink" Target="https://hi.likeminds.community/lazy-gamers" TargetMode="External"/><Relationship Id="rId2401" Type="http://schemas.openxmlformats.org/officeDocument/2006/relationships/hyperlink" Target="https://hi.likeminds.community/d/the-man-makeover" TargetMode="External"/><Relationship Id="rId1555" Type="http://schemas.openxmlformats.org/officeDocument/2006/relationships/hyperlink" Target="https://hi.likeminds.community/lazy-gamers" TargetMode="External"/><Relationship Id="rId2402" Type="http://schemas.openxmlformats.org/officeDocument/2006/relationships/hyperlink" Target="https://hi.likeminds.community/d/the-man-makeover" TargetMode="External"/><Relationship Id="rId1556" Type="http://schemas.openxmlformats.org/officeDocument/2006/relationships/hyperlink" Target="https://hi.likeminds.community/lazy-gamers" TargetMode="External"/><Relationship Id="rId2403" Type="http://schemas.openxmlformats.org/officeDocument/2006/relationships/hyperlink" Target="https://hi.likeminds.community/d/the-man-makeover" TargetMode="External"/><Relationship Id="rId1557" Type="http://schemas.openxmlformats.org/officeDocument/2006/relationships/hyperlink" Target="https://hi.likeminds.community/lazy-gamers" TargetMode="External"/><Relationship Id="rId2404" Type="http://schemas.openxmlformats.org/officeDocument/2006/relationships/hyperlink" Target="https://hi.likeminds.community/d/the-man-makeover" TargetMode="External"/><Relationship Id="rId1558" Type="http://schemas.openxmlformats.org/officeDocument/2006/relationships/hyperlink" Target="https://hi.likeminds.community/lazy-gamers" TargetMode="External"/><Relationship Id="rId2405" Type="http://schemas.openxmlformats.org/officeDocument/2006/relationships/hyperlink" Target="https://hi.likeminds.community/d/the-man-makeover" TargetMode="External"/><Relationship Id="rId1559" Type="http://schemas.openxmlformats.org/officeDocument/2006/relationships/hyperlink" Target="https://hi.likeminds.community/lazy-gamers" TargetMode="External"/><Relationship Id="rId2406" Type="http://schemas.openxmlformats.org/officeDocument/2006/relationships/hyperlink" Target="https://hi.likeminds.community/d/the-man-makeover" TargetMode="External"/><Relationship Id="rId2407" Type="http://schemas.openxmlformats.org/officeDocument/2006/relationships/hyperlink" Target="https://hi.likeminds.community/d/the-man-makeover" TargetMode="External"/><Relationship Id="rId2408" Type="http://schemas.openxmlformats.org/officeDocument/2006/relationships/hyperlink" Target="https://hi.likeminds.community/d/the-man-makeover" TargetMode="External"/><Relationship Id="rId2409" Type="http://schemas.openxmlformats.org/officeDocument/2006/relationships/hyperlink" Target="https://hi.likeminds.community/d/the-man-makeover" TargetMode="External"/><Relationship Id="rId965" Type="http://schemas.openxmlformats.org/officeDocument/2006/relationships/hyperlink" Target="https://community.likeminds.community/finstreet" TargetMode="External"/><Relationship Id="rId964" Type="http://schemas.openxmlformats.org/officeDocument/2006/relationships/hyperlink" Target="https://community.likeminds.community/finstreet" TargetMode="External"/><Relationship Id="rId963" Type="http://schemas.openxmlformats.org/officeDocument/2006/relationships/hyperlink" Target="https://community.likeminds.community/finstreet" TargetMode="External"/><Relationship Id="rId962" Type="http://schemas.openxmlformats.org/officeDocument/2006/relationships/hyperlink" Target="https://community.likeminds.community/finstreet" TargetMode="External"/><Relationship Id="rId969" Type="http://schemas.openxmlformats.org/officeDocument/2006/relationships/hyperlink" Target="https://hi.likeminds.community/d/garv-malik" TargetMode="External"/><Relationship Id="rId968" Type="http://schemas.openxmlformats.org/officeDocument/2006/relationships/hyperlink" Target="https://hi.likeminds.community/d/flavors-n-fitness" TargetMode="External"/><Relationship Id="rId967" Type="http://schemas.openxmlformats.org/officeDocument/2006/relationships/hyperlink" Target="https://hi.likeminds.community/d/flavors-n-fitness" TargetMode="External"/><Relationship Id="rId966" Type="http://schemas.openxmlformats.org/officeDocument/2006/relationships/hyperlink" Target="https://hi.likeminds.community/d/flavors-n-fitness" TargetMode="External"/><Relationship Id="rId961" Type="http://schemas.openxmlformats.org/officeDocument/2006/relationships/hyperlink" Target="https://community.likeminds.community/finstreet" TargetMode="External"/><Relationship Id="rId1550" Type="http://schemas.openxmlformats.org/officeDocument/2006/relationships/hyperlink" Target="https://community.likeminds.community/language-careers" TargetMode="External"/><Relationship Id="rId960" Type="http://schemas.openxmlformats.org/officeDocument/2006/relationships/hyperlink" Target="https://community.likeminds.community/finstreet" TargetMode="External"/><Relationship Id="rId1551" Type="http://schemas.openxmlformats.org/officeDocument/2006/relationships/hyperlink" Target="https://hi.likeminds.community/lazy-gamers" TargetMode="External"/><Relationship Id="rId1552" Type="http://schemas.openxmlformats.org/officeDocument/2006/relationships/hyperlink" Target="https://hi.likeminds.community/lazy-gamers" TargetMode="External"/><Relationship Id="rId1553" Type="http://schemas.openxmlformats.org/officeDocument/2006/relationships/hyperlink" Target="https://hi.likeminds.community/lazy-gamers" TargetMode="External"/><Relationship Id="rId2400" Type="http://schemas.openxmlformats.org/officeDocument/2006/relationships/hyperlink" Target="https://hi.likeminds.community/d/the-man-makeover" TargetMode="External"/><Relationship Id="rId1543" Type="http://schemas.openxmlformats.org/officeDocument/2006/relationships/hyperlink" Target="https://community.likeminds.community/language-careers" TargetMode="External"/><Relationship Id="rId1544" Type="http://schemas.openxmlformats.org/officeDocument/2006/relationships/hyperlink" Target="https://community.likeminds.community/language-careers" TargetMode="External"/><Relationship Id="rId1545" Type="http://schemas.openxmlformats.org/officeDocument/2006/relationships/hyperlink" Target="https://community.likeminds.community/language-careers" TargetMode="External"/><Relationship Id="rId1546" Type="http://schemas.openxmlformats.org/officeDocument/2006/relationships/hyperlink" Target="https://community.likeminds.community/language-careers" TargetMode="External"/><Relationship Id="rId1547" Type="http://schemas.openxmlformats.org/officeDocument/2006/relationships/hyperlink" Target="https://community.likeminds.community/language-careers" TargetMode="External"/><Relationship Id="rId1548" Type="http://schemas.openxmlformats.org/officeDocument/2006/relationships/hyperlink" Target="https://community.likeminds.community/language-careers" TargetMode="External"/><Relationship Id="rId1549" Type="http://schemas.openxmlformats.org/officeDocument/2006/relationships/hyperlink" Target="https://community.likeminds.community/language-careers" TargetMode="External"/><Relationship Id="rId959" Type="http://schemas.openxmlformats.org/officeDocument/2006/relationships/hyperlink" Target="https://community.likeminds.community/finstreet" TargetMode="External"/><Relationship Id="rId954" Type="http://schemas.openxmlformats.org/officeDocument/2006/relationships/hyperlink" Target="https://community.likeminds.community/finstreet" TargetMode="External"/><Relationship Id="rId953" Type="http://schemas.openxmlformats.org/officeDocument/2006/relationships/hyperlink" Target="https://community.likeminds.community/finstreet" TargetMode="External"/><Relationship Id="rId952" Type="http://schemas.openxmlformats.org/officeDocument/2006/relationships/hyperlink" Target="https://community.likeminds.community/finstreet" TargetMode="External"/><Relationship Id="rId951" Type="http://schemas.openxmlformats.org/officeDocument/2006/relationships/hyperlink" Target="https://community.likeminds.community/finstreet" TargetMode="External"/><Relationship Id="rId958" Type="http://schemas.openxmlformats.org/officeDocument/2006/relationships/hyperlink" Target="https://community.likeminds.community/finstreet" TargetMode="External"/><Relationship Id="rId957" Type="http://schemas.openxmlformats.org/officeDocument/2006/relationships/hyperlink" Target="https://community.likeminds.community/finstreet" TargetMode="External"/><Relationship Id="rId956" Type="http://schemas.openxmlformats.org/officeDocument/2006/relationships/hyperlink" Target="https://community.likeminds.community/finstreet" TargetMode="External"/><Relationship Id="rId955" Type="http://schemas.openxmlformats.org/officeDocument/2006/relationships/hyperlink" Target="https://community.likeminds.community/finstreet" TargetMode="External"/><Relationship Id="rId950" Type="http://schemas.openxmlformats.org/officeDocument/2006/relationships/hyperlink" Target="https://community.likeminds.community/finstreet" TargetMode="External"/><Relationship Id="rId1540" Type="http://schemas.openxmlformats.org/officeDocument/2006/relationships/hyperlink" Target="https://community.likeminds.community/language-careers" TargetMode="External"/><Relationship Id="rId1541" Type="http://schemas.openxmlformats.org/officeDocument/2006/relationships/hyperlink" Target="https://community.likeminds.community/language-careers" TargetMode="External"/><Relationship Id="rId1542" Type="http://schemas.openxmlformats.org/officeDocument/2006/relationships/hyperlink" Target="https://community.likeminds.community/language-careers" TargetMode="External"/><Relationship Id="rId2027" Type="http://schemas.openxmlformats.org/officeDocument/2006/relationships/hyperlink" Target="https://hi.likeminds.community/d/power-of-communications" TargetMode="External"/><Relationship Id="rId2028" Type="http://schemas.openxmlformats.org/officeDocument/2006/relationships/hyperlink" Target="https://hi.likeminds.community/d/power-of-communications" TargetMode="External"/><Relationship Id="rId2029" Type="http://schemas.openxmlformats.org/officeDocument/2006/relationships/hyperlink" Target="https://hi.likeminds.community/d/power-of-communications" TargetMode="External"/><Relationship Id="rId590" Type="http://schemas.openxmlformats.org/officeDocument/2006/relationships/hyperlink" Target="https://hi.likeminds.community/d/digital-writopreneurs-hub" TargetMode="External"/><Relationship Id="rId107" Type="http://schemas.openxmlformats.org/officeDocument/2006/relationships/hyperlink" Target="https://hi.likeminds.community/d/being-earthable" TargetMode="External"/><Relationship Id="rId106" Type="http://schemas.openxmlformats.org/officeDocument/2006/relationships/hyperlink" Target="https://hi.likeminds.community/d/being-earthable" TargetMode="External"/><Relationship Id="rId105" Type="http://schemas.openxmlformats.org/officeDocument/2006/relationships/hyperlink" Target="https://hi.likeminds.community/d/being-earthable" TargetMode="External"/><Relationship Id="rId589" Type="http://schemas.openxmlformats.org/officeDocument/2006/relationships/hyperlink" Target="https://hi.likeminds.community/d/digital-writopreneurs-hub" TargetMode="External"/><Relationship Id="rId104" Type="http://schemas.openxmlformats.org/officeDocument/2006/relationships/hyperlink" Target="https://hi.likeminds.community/d/being-earthable" TargetMode="External"/><Relationship Id="rId588" Type="http://schemas.openxmlformats.org/officeDocument/2006/relationships/hyperlink" Target="https://hi.likeminds.community/d/digital-writopreneurs-hub" TargetMode="External"/><Relationship Id="rId109" Type="http://schemas.openxmlformats.org/officeDocument/2006/relationships/hyperlink" Target="https://hi.likeminds.community/d/being-earthable" TargetMode="External"/><Relationship Id="rId1170" Type="http://schemas.openxmlformats.org/officeDocument/2006/relationships/hyperlink" Target="https://hi.likeminds.community/d/happiness-fountain" TargetMode="External"/><Relationship Id="rId108" Type="http://schemas.openxmlformats.org/officeDocument/2006/relationships/hyperlink" Target="https://hi.likeminds.community/d/being-earthable" TargetMode="External"/><Relationship Id="rId1171" Type="http://schemas.openxmlformats.org/officeDocument/2006/relationships/hyperlink" Target="https://hi.likeminds.community/d/happiness-fountain" TargetMode="External"/><Relationship Id="rId583" Type="http://schemas.openxmlformats.org/officeDocument/2006/relationships/hyperlink" Target="https://hi.likeminds.community/d/digital-writopreneurs-hub" TargetMode="External"/><Relationship Id="rId1172" Type="http://schemas.openxmlformats.org/officeDocument/2006/relationships/hyperlink" Target="https://hi.likeminds.community/d/happiness-fountain" TargetMode="External"/><Relationship Id="rId582" Type="http://schemas.openxmlformats.org/officeDocument/2006/relationships/hyperlink" Target="https://hi.likeminds.community/d/digital-writopreneurs-hub" TargetMode="External"/><Relationship Id="rId1173" Type="http://schemas.openxmlformats.org/officeDocument/2006/relationships/hyperlink" Target="https://hi.likeminds.community/d/happiness-fountain" TargetMode="External"/><Relationship Id="rId2020" Type="http://schemas.openxmlformats.org/officeDocument/2006/relationships/hyperlink" Target="https://hi.likeminds.community/d/power-of-communications" TargetMode="External"/><Relationship Id="rId581" Type="http://schemas.openxmlformats.org/officeDocument/2006/relationships/hyperlink" Target="https://hi.likeminds.community/d/digital-writopreneurs-hub" TargetMode="External"/><Relationship Id="rId1174" Type="http://schemas.openxmlformats.org/officeDocument/2006/relationships/hyperlink" Target="https://hi.likeminds.community/d/happiness-fountain" TargetMode="External"/><Relationship Id="rId2021" Type="http://schemas.openxmlformats.org/officeDocument/2006/relationships/hyperlink" Target="https://hi.likeminds.community/d/power-of-communications" TargetMode="External"/><Relationship Id="rId580" Type="http://schemas.openxmlformats.org/officeDocument/2006/relationships/hyperlink" Target="https://hi.likeminds.community/d/digital-writopreneurs-hub" TargetMode="External"/><Relationship Id="rId1175" Type="http://schemas.openxmlformats.org/officeDocument/2006/relationships/hyperlink" Target="https://hi.likeminds.community/d/happiness-fountain" TargetMode="External"/><Relationship Id="rId2022" Type="http://schemas.openxmlformats.org/officeDocument/2006/relationships/hyperlink" Target="https://hi.likeminds.community/d/power-of-communications" TargetMode="External"/><Relationship Id="rId103" Type="http://schemas.openxmlformats.org/officeDocument/2006/relationships/hyperlink" Target="https://hi.likeminds.community/d/being-earthable" TargetMode="External"/><Relationship Id="rId587" Type="http://schemas.openxmlformats.org/officeDocument/2006/relationships/hyperlink" Target="https://hi.likeminds.community/d/digital-writopreneurs-hub" TargetMode="External"/><Relationship Id="rId1176" Type="http://schemas.openxmlformats.org/officeDocument/2006/relationships/hyperlink" Target="https://hi.likeminds.community/d/happiness-fountain" TargetMode="External"/><Relationship Id="rId2023" Type="http://schemas.openxmlformats.org/officeDocument/2006/relationships/hyperlink" Target="https://hi.likeminds.community/d/power-of-communications" TargetMode="External"/><Relationship Id="rId102" Type="http://schemas.openxmlformats.org/officeDocument/2006/relationships/hyperlink" Target="https://community.likeminds.community/ahoj-lets-blog" TargetMode="External"/><Relationship Id="rId586" Type="http://schemas.openxmlformats.org/officeDocument/2006/relationships/hyperlink" Target="https://hi.likeminds.community/d/digital-writopreneurs-hub" TargetMode="External"/><Relationship Id="rId1177" Type="http://schemas.openxmlformats.org/officeDocument/2006/relationships/hyperlink" Target="https://hi.likeminds.community/d/happiness-fountain" TargetMode="External"/><Relationship Id="rId2024" Type="http://schemas.openxmlformats.org/officeDocument/2006/relationships/hyperlink" Target="https://hi.likeminds.community/d/power-of-communications" TargetMode="External"/><Relationship Id="rId101" Type="http://schemas.openxmlformats.org/officeDocument/2006/relationships/hyperlink" Target="https://community.likeminds.community/ahoj-lets-blog" TargetMode="External"/><Relationship Id="rId585" Type="http://schemas.openxmlformats.org/officeDocument/2006/relationships/hyperlink" Target="https://hi.likeminds.community/d/digital-writopreneurs-hub" TargetMode="External"/><Relationship Id="rId1178" Type="http://schemas.openxmlformats.org/officeDocument/2006/relationships/hyperlink" Target="https://hi.likeminds.community/d/happiness-fountain" TargetMode="External"/><Relationship Id="rId2025" Type="http://schemas.openxmlformats.org/officeDocument/2006/relationships/hyperlink" Target="https://hi.likeminds.community/d/power-of-communications" TargetMode="External"/><Relationship Id="rId100" Type="http://schemas.openxmlformats.org/officeDocument/2006/relationships/hyperlink" Target="https://community.likeminds.community/ahoj-lets-blog" TargetMode="External"/><Relationship Id="rId584" Type="http://schemas.openxmlformats.org/officeDocument/2006/relationships/hyperlink" Target="https://hi.likeminds.community/d/digital-writopreneurs-hub" TargetMode="External"/><Relationship Id="rId1179" Type="http://schemas.openxmlformats.org/officeDocument/2006/relationships/hyperlink" Target="https://hi.likeminds.community/d/happiness-fountain" TargetMode="External"/><Relationship Id="rId2026" Type="http://schemas.openxmlformats.org/officeDocument/2006/relationships/hyperlink" Target="https://hi.likeminds.community/d/power-of-communications" TargetMode="External"/><Relationship Id="rId1169" Type="http://schemas.openxmlformats.org/officeDocument/2006/relationships/hyperlink" Target="https://hi.likeminds.community/d/happiness-fountain" TargetMode="External"/><Relationship Id="rId2016" Type="http://schemas.openxmlformats.org/officeDocument/2006/relationships/hyperlink" Target="https://hi.likeminds.community/d/power-of-communications" TargetMode="External"/><Relationship Id="rId2017" Type="http://schemas.openxmlformats.org/officeDocument/2006/relationships/hyperlink" Target="https://hi.likeminds.community/d/power-of-communications" TargetMode="External"/><Relationship Id="rId2018" Type="http://schemas.openxmlformats.org/officeDocument/2006/relationships/hyperlink" Target="https://hi.likeminds.community/d/power-of-communications" TargetMode="External"/><Relationship Id="rId2019" Type="http://schemas.openxmlformats.org/officeDocument/2006/relationships/hyperlink" Target="https://hi.likeminds.community/d/power-of-communications" TargetMode="External"/><Relationship Id="rId579" Type="http://schemas.openxmlformats.org/officeDocument/2006/relationships/hyperlink" Target="https://hi.likeminds.community/d/digital-writopreneurs-hub" TargetMode="External"/><Relationship Id="rId578" Type="http://schemas.openxmlformats.org/officeDocument/2006/relationships/hyperlink" Target="https://hi.likeminds.community/d/digital-writopreneurs-hub" TargetMode="External"/><Relationship Id="rId577" Type="http://schemas.openxmlformats.org/officeDocument/2006/relationships/hyperlink" Target="https://hi.likeminds.community/d/digital-writopreneurs-hub" TargetMode="External"/><Relationship Id="rId2490" Type="http://schemas.openxmlformats.org/officeDocument/2006/relationships/hyperlink" Target="https://hi.likeminds.community/d/through-thick-and-thin" TargetMode="External"/><Relationship Id="rId1160" Type="http://schemas.openxmlformats.org/officeDocument/2006/relationships/hyperlink" Target="https://hi.likeminds.community/d/happiness-fountain" TargetMode="External"/><Relationship Id="rId2491" Type="http://schemas.openxmlformats.org/officeDocument/2006/relationships/hyperlink" Target="https://hi.likeminds.community/d/through-thick-and-thin" TargetMode="External"/><Relationship Id="rId572" Type="http://schemas.openxmlformats.org/officeDocument/2006/relationships/hyperlink" Target="https://hi.likeminds.community/d/digital-writopreneurs-hub" TargetMode="External"/><Relationship Id="rId1161" Type="http://schemas.openxmlformats.org/officeDocument/2006/relationships/hyperlink" Target="https://hi.likeminds.community/d/happiness-fountain" TargetMode="External"/><Relationship Id="rId2492" Type="http://schemas.openxmlformats.org/officeDocument/2006/relationships/hyperlink" Target="https://hi.likeminds.community/d/through-thick-and-thin" TargetMode="External"/><Relationship Id="rId571" Type="http://schemas.openxmlformats.org/officeDocument/2006/relationships/hyperlink" Target="https://hi.likeminds.community/d/digital-writopreneurs-hub" TargetMode="External"/><Relationship Id="rId1162" Type="http://schemas.openxmlformats.org/officeDocument/2006/relationships/hyperlink" Target="https://hi.likeminds.community/d/happiness-fountain" TargetMode="External"/><Relationship Id="rId2493" Type="http://schemas.openxmlformats.org/officeDocument/2006/relationships/hyperlink" Target="https://hi.likeminds.community/d/through-thick-and-thin" TargetMode="External"/><Relationship Id="rId570" Type="http://schemas.openxmlformats.org/officeDocument/2006/relationships/hyperlink" Target="https://hi.likeminds.community/d/digital-writopreneurs-hub" TargetMode="External"/><Relationship Id="rId1163" Type="http://schemas.openxmlformats.org/officeDocument/2006/relationships/hyperlink" Target="https://hi.likeminds.community/d/happiness-fountain" TargetMode="External"/><Relationship Id="rId2010" Type="http://schemas.openxmlformats.org/officeDocument/2006/relationships/hyperlink" Target="https://hi.likeminds.community/d/power-of-communications" TargetMode="External"/><Relationship Id="rId2494" Type="http://schemas.openxmlformats.org/officeDocument/2006/relationships/hyperlink" Target="https://hi.likeminds.community/d/through-thick-and-thin" TargetMode="External"/><Relationship Id="rId1164" Type="http://schemas.openxmlformats.org/officeDocument/2006/relationships/hyperlink" Target="https://hi.likeminds.community/d/happiness-fountain" TargetMode="External"/><Relationship Id="rId2011" Type="http://schemas.openxmlformats.org/officeDocument/2006/relationships/hyperlink" Target="https://hi.likeminds.community/d/power-of-communications" TargetMode="External"/><Relationship Id="rId2495" Type="http://schemas.openxmlformats.org/officeDocument/2006/relationships/hyperlink" Target="https://hi.likeminds.community/d/through-thick-and-thin" TargetMode="External"/><Relationship Id="rId576" Type="http://schemas.openxmlformats.org/officeDocument/2006/relationships/hyperlink" Target="https://hi.likeminds.community/d/digital-writopreneurs-hub" TargetMode="External"/><Relationship Id="rId1165" Type="http://schemas.openxmlformats.org/officeDocument/2006/relationships/hyperlink" Target="https://hi.likeminds.community/d/happiness-fountain" TargetMode="External"/><Relationship Id="rId2012" Type="http://schemas.openxmlformats.org/officeDocument/2006/relationships/hyperlink" Target="https://hi.likeminds.community/d/power-of-communications" TargetMode="External"/><Relationship Id="rId2496" Type="http://schemas.openxmlformats.org/officeDocument/2006/relationships/hyperlink" Target="https://hi.likeminds.community/d/through-thick-and-thin" TargetMode="External"/><Relationship Id="rId575" Type="http://schemas.openxmlformats.org/officeDocument/2006/relationships/hyperlink" Target="https://hi.likeminds.community/d/digital-writopreneurs-hub" TargetMode="External"/><Relationship Id="rId1166" Type="http://schemas.openxmlformats.org/officeDocument/2006/relationships/hyperlink" Target="https://hi.likeminds.community/d/happiness-fountain" TargetMode="External"/><Relationship Id="rId2013" Type="http://schemas.openxmlformats.org/officeDocument/2006/relationships/hyperlink" Target="https://hi.likeminds.community/d/power-of-communications" TargetMode="External"/><Relationship Id="rId2497" Type="http://schemas.openxmlformats.org/officeDocument/2006/relationships/hyperlink" Target="https://hi.likeminds.community/d/through-thick-and-thin" TargetMode="External"/><Relationship Id="rId574" Type="http://schemas.openxmlformats.org/officeDocument/2006/relationships/hyperlink" Target="https://hi.likeminds.community/d/digital-writopreneurs-hub" TargetMode="External"/><Relationship Id="rId1167" Type="http://schemas.openxmlformats.org/officeDocument/2006/relationships/hyperlink" Target="https://hi.likeminds.community/d/happiness-fountain" TargetMode="External"/><Relationship Id="rId2014" Type="http://schemas.openxmlformats.org/officeDocument/2006/relationships/hyperlink" Target="https://hi.likeminds.community/d/power-of-communications" TargetMode="External"/><Relationship Id="rId2498" Type="http://schemas.openxmlformats.org/officeDocument/2006/relationships/hyperlink" Target="https://hi.likeminds.community/d/transformed-finance-professionals" TargetMode="External"/><Relationship Id="rId573" Type="http://schemas.openxmlformats.org/officeDocument/2006/relationships/hyperlink" Target="https://hi.likeminds.community/d/digital-writopreneurs-hub" TargetMode="External"/><Relationship Id="rId1168" Type="http://schemas.openxmlformats.org/officeDocument/2006/relationships/hyperlink" Target="https://hi.likeminds.community/d/happiness-fountain" TargetMode="External"/><Relationship Id="rId2015" Type="http://schemas.openxmlformats.org/officeDocument/2006/relationships/hyperlink" Target="https://hi.likeminds.community/d/power-of-communications" TargetMode="External"/><Relationship Id="rId2499" Type="http://schemas.openxmlformats.org/officeDocument/2006/relationships/hyperlink" Target="https://hi.likeminds.community/d/transformed-finance-professionals" TargetMode="External"/><Relationship Id="rId2049" Type="http://schemas.openxmlformats.org/officeDocument/2006/relationships/hyperlink" Target="https://hi.likeminds.community/d/power-of-communications" TargetMode="External"/><Relationship Id="rId129" Type="http://schemas.openxmlformats.org/officeDocument/2006/relationships/hyperlink" Target="https://hi.likeminds.community/d/being-earthable" TargetMode="External"/><Relationship Id="rId128" Type="http://schemas.openxmlformats.org/officeDocument/2006/relationships/hyperlink" Target="https://hi.likeminds.community/d/being-earthable" TargetMode="External"/><Relationship Id="rId127" Type="http://schemas.openxmlformats.org/officeDocument/2006/relationships/hyperlink" Target="https://hi.likeminds.community/d/being-earthable" TargetMode="External"/><Relationship Id="rId126" Type="http://schemas.openxmlformats.org/officeDocument/2006/relationships/hyperlink" Target="https://hi.likeminds.community/d/being-earthable" TargetMode="External"/><Relationship Id="rId1190" Type="http://schemas.openxmlformats.org/officeDocument/2006/relationships/hyperlink" Target="https://hi.likeminds.community/d/happiness-fountain" TargetMode="External"/><Relationship Id="rId1191" Type="http://schemas.openxmlformats.org/officeDocument/2006/relationships/hyperlink" Target="https://hi.likeminds.community/d/happiness-fountain" TargetMode="External"/><Relationship Id="rId1192" Type="http://schemas.openxmlformats.org/officeDocument/2006/relationships/hyperlink" Target="https://hi.likeminds.community/d/happiness-fountain" TargetMode="External"/><Relationship Id="rId1193" Type="http://schemas.openxmlformats.org/officeDocument/2006/relationships/hyperlink" Target="https://hi.likeminds.community/d/happiness-fountain" TargetMode="External"/><Relationship Id="rId2040" Type="http://schemas.openxmlformats.org/officeDocument/2006/relationships/hyperlink" Target="https://hi.likeminds.community/d/power-of-communications" TargetMode="External"/><Relationship Id="rId121" Type="http://schemas.openxmlformats.org/officeDocument/2006/relationships/hyperlink" Target="https://hi.likeminds.community/d/being-earthable" TargetMode="External"/><Relationship Id="rId1194" Type="http://schemas.openxmlformats.org/officeDocument/2006/relationships/hyperlink" Target="https://hi.likeminds.community/d/happiness-fountain" TargetMode="External"/><Relationship Id="rId2041" Type="http://schemas.openxmlformats.org/officeDocument/2006/relationships/hyperlink" Target="https://hi.likeminds.community/d/power-of-communications" TargetMode="External"/><Relationship Id="rId120" Type="http://schemas.openxmlformats.org/officeDocument/2006/relationships/hyperlink" Target="https://hi.likeminds.community/d/being-earthable" TargetMode="External"/><Relationship Id="rId1195" Type="http://schemas.openxmlformats.org/officeDocument/2006/relationships/hyperlink" Target="https://hi.likeminds.community/d/happiness-fountain" TargetMode="External"/><Relationship Id="rId2042" Type="http://schemas.openxmlformats.org/officeDocument/2006/relationships/hyperlink" Target="https://hi.likeminds.community/d/power-of-communications" TargetMode="External"/><Relationship Id="rId1196" Type="http://schemas.openxmlformats.org/officeDocument/2006/relationships/hyperlink" Target="https://hi.likeminds.community/d/happy-ashram" TargetMode="External"/><Relationship Id="rId2043" Type="http://schemas.openxmlformats.org/officeDocument/2006/relationships/hyperlink" Target="https://hi.likeminds.community/d/power-of-communications" TargetMode="External"/><Relationship Id="rId1197" Type="http://schemas.openxmlformats.org/officeDocument/2006/relationships/hyperlink" Target="https://hi.likeminds.community/d/happy-ashram" TargetMode="External"/><Relationship Id="rId2044" Type="http://schemas.openxmlformats.org/officeDocument/2006/relationships/hyperlink" Target="https://hi.likeminds.community/d/power-of-communications" TargetMode="External"/><Relationship Id="rId125" Type="http://schemas.openxmlformats.org/officeDocument/2006/relationships/hyperlink" Target="https://hi.likeminds.community/d/being-earthable" TargetMode="External"/><Relationship Id="rId1198" Type="http://schemas.openxmlformats.org/officeDocument/2006/relationships/hyperlink" Target="https://hi.likeminds.community/d/happy-ashram" TargetMode="External"/><Relationship Id="rId2045" Type="http://schemas.openxmlformats.org/officeDocument/2006/relationships/hyperlink" Target="https://hi.likeminds.community/d/power-of-communications" TargetMode="External"/><Relationship Id="rId124" Type="http://schemas.openxmlformats.org/officeDocument/2006/relationships/hyperlink" Target="https://hi.likeminds.community/d/being-earthable" TargetMode="External"/><Relationship Id="rId1199" Type="http://schemas.openxmlformats.org/officeDocument/2006/relationships/hyperlink" Target="https://hi.likeminds.community/d/happy-ashram" TargetMode="External"/><Relationship Id="rId2046" Type="http://schemas.openxmlformats.org/officeDocument/2006/relationships/hyperlink" Target="https://hi.likeminds.community/d/power-of-communications" TargetMode="External"/><Relationship Id="rId123" Type="http://schemas.openxmlformats.org/officeDocument/2006/relationships/hyperlink" Target="https://hi.likeminds.community/d/being-earthable" TargetMode="External"/><Relationship Id="rId2047" Type="http://schemas.openxmlformats.org/officeDocument/2006/relationships/hyperlink" Target="https://hi.likeminds.community/d/power-of-communications" TargetMode="External"/><Relationship Id="rId122" Type="http://schemas.openxmlformats.org/officeDocument/2006/relationships/hyperlink" Target="https://hi.likeminds.community/d/being-earthable" TargetMode="External"/><Relationship Id="rId2048" Type="http://schemas.openxmlformats.org/officeDocument/2006/relationships/hyperlink" Target="https://hi.likeminds.community/d/power-of-communications" TargetMode="External"/><Relationship Id="rId2038" Type="http://schemas.openxmlformats.org/officeDocument/2006/relationships/hyperlink" Target="https://hi.likeminds.community/d/power-of-communications" TargetMode="External"/><Relationship Id="rId2039" Type="http://schemas.openxmlformats.org/officeDocument/2006/relationships/hyperlink" Target="https://hi.likeminds.community/d/power-of-communications" TargetMode="External"/><Relationship Id="rId118" Type="http://schemas.openxmlformats.org/officeDocument/2006/relationships/hyperlink" Target="https://hi.likeminds.community/d/being-earthable" TargetMode="External"/><Relationship Id="rId117" Type="http://schemas.openxmlformats.org/officeDocument/2006/relationships/hyperlink" Target="https://hi.likeminds.community/d/being-earthable" TargetMode="External"/><Relationship Id="rId116" Type="http://schemas.openxmlformats.org/officeDocument/2006/relationships/hyperlink" Target="https://hi.likeminds.community/d/being-earthable" TargetMode="External"/><Relationship Id="rId115" Type="http://schemas.openxmlformats.org/officeDocument/2006/relationships/hyperlink" Target="https://hi.likeminds.community/d/being-earthable" TargetMode="External"/><Relationship Id="rId599" Type="http://schemas.openxmlformats.org/officeDocument/2006/relationships/hyperlink" Target="https://hi.likeminds.community/d/digital-writopreneurs-hub" TargetMode="External"/><Relationship Id="rId1180" Type="http://schemas.openxmlformats.org/officeDocument/2006/relationships/hyperlink" Target="https://hi.likeminds.community/d/happiness-fountain" TargetMode="External"/><Relationship Id="rId1181" Type="http://schemas.openxmlformats.org/officeDocument/2006/relationships/hyperlink" Target="https://hi.likeminds.community/d/happiness-fountain" TargetMode="External"/><Relationship Id="rId119" Type="http://schemas.openxmlformats.org/officeDocument/2006/relationships/hyperlink" Target="https://hi.likeminds.community/d/being-earthable" TargetMode="External"/><Relationship Id="rId1182" Type="http://schemas.openxmlformats.org/officeDocument/2006/relationships/hyperlink" Target="https://hi.likeminds.community/d/happiness-fountain" TargetMode="External"/><Relationship Id="rId110" Type="http://schemas.openxmlformats.org/officeDocument/2006/relationships/hyperlink" Target="https://hi.likeminds.community/d/being-earthable" TargetMode="External"/><Relationship Id="rId594" Type="http://schemas.openxmlformats.org/officeDocument/2006/relationships/hyperlink" Target="https://hi.likeminds.community/d/digital-writopreneurs-hub" TargetMode="External"/><Relationship Id="rId1183" Type="http://schemas.openxmlformats.org/officeDocument/2006/relationships/hyperlink" Target="https://hi.likeminds.community/d/happiness-fountain" TargetMode="External"/><Relationship Id="rId2030" Type="http://schemas.openxmlformats.org/officeDocument/2006/relationships/hyperlink" Target="https://hi.likeminds.community/d/power-of-communications" TargetMode="External"/><Relationship Id="rId593" Type="http://schemas.openxmlformats.org/officeDocument/2006/relationships/hyperlink" Target="https://hi.likeminds.community/d/digital-writopreneurs-hub" TargetMode="External"/><Relationship Id="rId1184" Type="http://schemas.openxmlformats.org/officeDocument/2006/relationships/hyperlink" Target="https://hi.likeminds.community/d/happiness-fountain" TargetMode="External"/><Relationship Id="rId2031" Type="http://schemas.openxmlformats.org/officeDocument/2006/relationships/hyperlink" Target="https://hi.likeminds.community/d/power-of-communications" TargetMode="External"/><Relationship Id="rId592" Type="http://schemas.openxmlformats.org/officeDocument/2006/relationships/hyperlink" Target="https://hi.likeminds.community/d/digital-writopreneurs-hub" TargetMode="External"/><Relationship Id="rId1185" Type="http://schemas.openxmlformats.org/officeDocument/2006/relationships/hyperlink" Target="https://hi.likeminds.community/d/happiness-fountain" TargetMode="External"/><Relationship Id="rId2032" Type="http://schemas.openxmlformats.org/officeDocument/2006/relationships/hyperlink" Target="https://hi.likeminds.community/d/power-of-communications" TargetMode="External"/><Relationship Id="rId591" Type="http://schemas.openxmlformats.org/officeDocument/2006/relationships/hyperlink" Target="https://hi.likeminds.community/d/digital-writopreneurs-hub" TargetMode="External"/><Relationship Id="rId1186" Type="http://schemas.openxmlformats.org/officeDocument/2006/relationships/hyperlink" Target="https://hi.likeminds.community/d/happiness-fountain" TargetMode="External"/><Relationship Id="rId2033" Type="http://schemas.openxmlformats.org/officeDocument/2006/relationships/hyperlink" Target="https://hi.likeminds.community/d/power-of-communications" TargetMode="External"/><Relationship Id="rId114" Type="http://schemas.openxmlformats.org/officeDocument/2006/relationships/hyperlink" Target="https://hi.likeminds.community/d/being-earthable" TargetMode="External"/><Relationship Id="rId598" Type="http://schemas.openxmlformats.org/officeDocument/2006/relationships/hyperlink" Target="https://hi.likeminds.community/d/digital-writopreneurs-hub" TargetMode="External"/><Relationship Id="rId1187" Type="http://schemas.openxmlformats.org/officeDocument/2006/relationships/hyperlink" Target="https://hi.likeminds.community/d/happiness-fountain" TargetMode="External"/><Relationship Id="rId2034" Type="http://schemas.openxmlformats.org/officeDocument/2006/relationships/hyperlink" Target="https://hi.likeminds.community/d/power-of-communications" TargetMode="External"/><Relationship Id="rId113" Type="http://schemas.openxmlformats.org/officeDocument/2006/relationships/hyperlink" Target="https://hi.likeminds.community/d/being-earthable" TargetMode="External"/><Relationship Id="rId597" Type="http://schemas.openxmlformats.org/officeDocument/2006/relationships/hyperlink" Target="https://hi.likeminds.community/d/digital-writopreneurs-hub" TargetMode="External"/><Relationship Id="rId1188" Type="http://schemas.openxmlformats.org/officeDocument/2006/relationships/hyperlink" Target="https://hi.likeminds.community/d/happiness-fountain" TargetMode="External"/><Relationship Id="rId2035" Type="http://schemas.openxmlformats.org/officeDocument/2006/relationships/hyperlink" Target="https://hi.likeminds.community/d/power-of-communications" TargetMode="External"/><Relationship Id="rId112" Type="http://schemas.openxmlformats.org/officeDocument/2006/relationships/hyperlink" Target="https://hi.likeminds.community/d/being-earthable" TargetMode="External"/><Relationship Id="rId596" Type="http://schemas.openxmlformats.org/officeDocument/2006/relationships/hyperlink" Target="https://hi.likeminds.community/d/digital-writopreneurs-hub" TargetMode="External"/><Relationship Id="rId1189" Type="http://schemas.openxmlformats.org/officeDocument/2006/relationships/hyperlink" Target="https://hi.likeminds.community/d/happiness-fountain" TargetMode="External"/><Relationship Id="rId2036" Type="http://schemas.openxmlformats.org/officeDocument/2006/relationships/hyperlink" Target="https://hi.likeminds.community/d/power-of-communications" TargetMode="External"/><Relationship Id="rId111" Type="http://schemas.openxmlformats.org/officeDocument/2006/relationships/hyperlink" Target="https://hi.likeminds.community/d/being-earthable" TargetMode="External"/><Relationship Id="rId595" Type="http://schemas.openxmlformats.org/officeDocument/2006/relationships/hyperlink" Target="https://hi.likeminds.community/d/digital-writopreneurs-hub" TargetMode="External"/><Relationship Id="rId2037" Type="http://schemas.openxmlformats.org/officeDocument/2006/relationships/hyperlink" Target="https://hi.likeminds.community/d/power-of-communications" TargetMode="External"/><Relationship Id="rId1136" Type="http://schemas.openxmlformats.org/officeDocument/2006/relationships/hyperlink" Target="https://community.likeminds.community/hanhangul" TargetMode="External"/><Relationship Id="rId2467" Type="http://schemas.openxmlformats.org/officeDocument/2006/relationships/hyperlink" Target="https://community.likeminds.community/the-smart-work-for-neet-ug" TargetMode="External"/><Relationship Id="rId1137" Type="http://schemas.openxmlformats.org/officeDocument/2006/relationships/hyperlink" Target="https://community.likeminds.community/hanhangul" TargetMode="External"/><Relationship Id="rId2468" Type="http://schemas.openxmlformats.org/officeDocument/2006/relationships/hyperlink" Target="https://hi.likeminds.community/d/through-thick-and-thin" TargetMode="External"/><Relationship Id="rId1138" Type="http://schemas.openxmlformats.org/officeDocument/2006/relationships/hyperlink" Target="https://community.likeminds.community/hanhangul" TargetMode="External"/><Relationship Id="rId2469" Type="http://schemas.openxmlformats.org/officeDocument/2006/relationships/hyperlink" Target="https://hi.likeminds.community/d/through-thick-and-thin" TargetMode="External"/><Relationship Id="rId1139" Type="http://schemas.openxmlformats.org/officeDocument/2006/relationships/hyperlink" Target="https://community.likeminds.community/hanhangul" TargetMode="External"/><Relationship Id="rId547" Type="http://schemas.openxmlformats.org/officeDocument/2006/relationships/hyperlink" Target="https://community.likeminds.community/deutsch-in-tandem" TargetMode="External"/><Relationship Id="rId546" Type="http://schemas.openxmlformats.org/officeDocument/2006/relationships/hyperlink" Target="https://community.likeminds.community/deutsch-in-tandem" TargetMode="External"/><Relationship Id="rId545" Type="http://schemas.openxmlformats.org/officeDocument/2006/relationships/hyperlink" Target="https://community.likeminds.community/deutsch-in-tandem" TargetMode="External"/><Relationship Id="rId544" Type="http://schemas.openxmlformats.org/officeDocument/2006/relationships/hyperlink" Target="https://community.likeminds.community/deutsch-in-tandem" TargetMode="External"/><Relationship Id="rId549" Type="http://schemas.openxmlformats.org/officeDocument/2006/relationships/hyperlink" Target="https://community.likeminds.community/deutsch-in-tandem" TargetMode="External"/><Relationship Id="rId548" Type="http://schemas.openxmlformats.org/officeDocument/2006/relationships/hyperlink" Target="https://community.likeminds.community/deutsch-in-tandem" TargetMode="External"/><Relationship Id="rId2460" Type="http://schemas.openxmlformats.org/officeDocument/2006/relationships/hyperlink" Target="https://community.likeminds.community/the-smart-work-for-neet-ug" TargetMode="External"/><Relationship Id="rId1130" Type="http://schemas.openxmlformats.org/officeDocument/2006/relationships/hyperlink" Target="https://community.likeminds.community/hanhangul" TargetMode="External"/><Relationship Id="rId2461" Type="http://schemas.openxmlformats.org/officeDocument/2006/relationships/hyperlink" Target="https://community.likeminds.community/the-smart-work-for-neet-ug" TargetMode="External"/><Relationship Id="rId1131" Type="http://schemas.openxmlformats.org/officeDocument/2006/relationships/hyperlink" Target="https://community.likeminds.community/hanhangul" TargetMode="External"/><Relationship Id="rId2462" Type="http://schemas.openxmlformats.org/officeDocument/2006/relationships/hyperlink" Target="https://community.likeminds.community/the-smart-work-for-neet-ug" TargetMode="External"/><Relationship Id="rId543" Type="http://schemas.openxmlformats.org/officeDocument/2006/relationships/hyperlink" Target="https://community.likeminds.community/deutsch-in-tandem" TargetMode="External"/><Relationship Id="rId1132" Type="http://schemas.openxmlformats.org/officeDocument/2006/relationships/hyperlink" Target="https://community.likeminds.community/hanhangul" TargetMode="External"/><Relationship Id="rId2463" Type="http://schemas.openxmlformats.org/officeDocument/2006/relationships/hyperlink" Target="https://community.likeminds.community/the-smart-work-for-neet-ug" TargetMode="External"/><Relationship Id="rId542" Type="http://schemas.openxmlformats.org/officeDocument/2006/relationships/hyperlink" Target="https://community.likeminds.community/deutsch-in-tandem" TargetMode="External"/><Relationship Id="rId1133" Type="http://schemas.openxmlformats.org/officeDocument/2006/relationships/hyperlink" Target="https://hi.likeminds.community/hanhangul" TargetMode="External"/><Relationship Id="rId2464" Type="http://schemas.openxmlformats.org/officeDocument/2006/relationships/hyperlink" Target="https://community.likeminds.community/the-smart-work-for-neet-ug" TargetMode="External"/><Relationship Id="rId541" Type="http://schemas.openxmlformats.org/officeDocument/2006/relationships/hyperlink" Target="https://community.likeminds.community/deutsch-in-tandem" TargetMode="External"/><Relationship Id="rId1134" Type="http://schemas.openxmlformats.org/officeDocument/2006/relationships/hyperlink" Target="https://hi.likeminds.community/hanhangul" TargetMode="External"/><Relationship Id="rId2465" Type="http://schemas.openxmlformats.org/officeDocument/2006/relationships/hyperlink" Target="https://community.likeminds.community/the-smart-work-for-neet-ug" TargetMode="External"/><Relationship Id="rId540" Type="http://schemas.openxmlformats.org/officeDocument/2006/relationships/hyperlink" Target="https://community.likeminds.community/deutsch-in-tandem" TargetMode="External"/><Relationship Id="rId1135" Type="http://schemas.openxmlformats.org/officeDocument/2006/relationships/hyperlink" Target="https://hi.likeminds.community/hanhangul" TargetMode="External"/><Relationship Id="rId2466" Type="http://schemas.openxmlformats.org/officeDocument/2006/relationships/hyperlink" Target="https://community.likeminds.community/the-smart-work-for-neet-ug" TargetMode="External"/><Relationship Id="rId1125" Type="http://schemas.openxmlformats.org/officeDocument/2006/relationships/hyperlink" Target="https://community.likeminds.community/hanhangul" TargetMode="External"/><Relationship Id="rId2456" Type="http://schemas.openxmlformats.org/officeDocument/2006/relationships/hyperlink" Target="https://community.likeminds.community/the-smart-work-for-neet-ug" TargetMode="External"/><Relationship Id="rId1126" Type="http://schemas.openxmlformats.org/officeDocument/2006/relationships/hyperlink" Target="https://hi.likeminds.community/hanhangul" TargetMode="External"/><Relationship Id="rId2457" Type="http://schemas.openxmlformats.org/officeDocument/2006/relationships/hyperlink" Target="https://community.likeminds.community/the-smart-work-for-neet-ug" TargetMode="External"/><Relationship Id="rId1127" Type="http://schemas.openxmlformats.org/officeDocument/2006/relationships/hyperlink" Target="https://community.likeminds.community/hanhangul" TargetMode="External"/><Relationship Id="rId2458" Type="http://schemas.openxmlformats.org/officeDocument/2006/relationships/hyperlink" Target="https://community.likeminds.community/the-smart-work-for-neet-ug" TargetMode="External"/><Relationship Id="rId1128" Type="http://schemas.openxmlformats.org/officeDocument/2006/relationships/hyperlink" Target="https://community.likeminds.community/hanhangul" TargetMode="External"/><Relationship Id="rId2459" Type="http://schemas.openxmlformats.org/officeDocument/2006/relationships/hyperlink" Target="https://community.likeminds.community/the-smart-work-for-neet-ug" TargetMode="External"/><Relationship Id="rId1129" Type="http://schemas.openxmlformats.org/officeDocument/2006/relationships/hyperlink" Target="https://community.likeminds.community/hanhangul" TargetMode="External"/><Relationship Id="rId536" Type="http://schemas.openxmlformats.org/officeDocument/2006/relationships/hyperlink" Target="https://community.likeminds.community/dme-deigning-made-easy" TargetMode="External"/><Relationship Id="rId535" Type="http://schemas.openxmlformats.org/officeDocument/2006/relationships/hyperlink" Target="https://community.likeminds.community/dme-deigning-made-easy" TargetMode="External"/><Relationship Id="rId534" Type="http://schemas.openxmlformats.org/officeDocument/2006/relationships/hyperlink" Target="https://community.likeminds.community/dme-deigning-made-easy" TargetMode="External"/><Relationship Id="rId533" Type="http://schemas.openxmlformats.org/officeDocument/2006/relationships/hyperlink" Target="https://community.likeminds.community/dme-deigning-made-easy" TargetMode="External"/><Relationship Id="rId539" Type="http://schemas.openxmlformats.org/officeDocument/2006/relationships/hyperlink" Target="https://community.likeminds.community/deutsch-in-tandem" TargetMode="External"/><Relationship Id="rId538" Type="http://schemas.openxmlformats.org/officeDocument/2006/relationships/hyperlink" Target="https://community.likeminds.community/deutsch-in-tandem" TargetMode="External"/><Relationship Id="rId537" Type="http://schemas.openxmlformats.org/officeDocument/2006/relationships/hyperlink" Target="https://community.likeminds.community/dme-deigning-made-easy" TargetMode="External"/><Relationship Id="rId2450" Type="http://schemas.openxmlformats.org/officeDocument/2006/relationships/hyperlink" Target="https://community.likeminds.community/the-smart-work-for-neet-ug" TargetMode="External"/><Relationship Id="rId1120" Type="http://schemas.openxmlformats.org/officeDocument/2006/relationships/hyperlink" Target="https://community.likeminds.community/hanhangul" TargetMode="External"/><Relationship Id="rId2451" Type="http://schemas.openxmlformats.org/officeDocument/2006/relationships/hyperlink" Target="https://community.likeminds.community/the-smart-work-for-neet-ug" TargetMode="External"/><Relationship Id="rId532" Type="http://schemas.openxmlformats.org/officeDocument/2006/relationships/hyperlink" Target="https://community.likeminds.community/dme-deigning-made-easy" TargetMode="External"/><Relationship Id="rId1121" Type="http://schemas.openxmlformats.org/officeDocument/2006/relationships/hyperlink" Target="https://community.likeminds.community/hanhangul" TargetMode="External"/><Relationship Id="rId2452" Type="http://schemas.openxmlformats.org/officeDocument/2006/relationships/hyperlink" Target="https://community.likeminds.community/the-smart-work-for-neet-ug" TargetMode="External"/><Relationship Id="rId531" Type="http://schemas.openxmlformats.org/officeDocument/2006/relationships/hyperlink" Target="https://hi.likeminds.community/d/design-forward" TargetMode="External"/><Relationship Id="rId1122" Type="http://schemas.openxmlformats.org/officeDocument/2006/relationships/hyperlink" Target="https://community.likeminds.community/hanhangul" TargetMode="External"/><Relationship Id="rId2453" Type="http://schemas.openxmlformats.org/officeDocument/2006/relationships/hyperlink" Target="https://community.likeminds.community/the-smart-work-for-neet-ug" TargetMode="External"/><Relationship Id="rId530" Type="http://schemas.openxmlformats.org/officeDocument/2006/relationships/hyperlink" Target="https://hi.likeminds.community/d/design-forward" TargetMode="External"/><Relationship Id="rId1123" Type="http://schemas.openxmlformats.org/officeDocument/2006/relationships/hyperlink" Target="https://community.likeminds.community/hanhangul" TargetMode="External"/><Relationship Id="rId2454" Type="http://schemas.openxmlformats.org/officeDocument/2006/relationships/hyperlink" Target="https://community.likeminds.community/the-smart-work-for-neet-ug" TargetMode="External"/><Relationship Id="rId1124" Type="http://schemas.openxmlformats.org/officeDocument/2006/relationships/hyperlink" Target="https://community.likeminds.community/hanhangul" TargetMode="External"/><Relationship Id="rId2455" Type="http://schemas.openxmlformats.org/officeDocument/2006/relationships/hyperlink" Target="https://community.likeminds.community/the-smart-work-for-neet-ug" TargetMode="External"/><Relationship Id="rId1158" Type="http://schemas.openxmlformats.org/officeDocument/2006/relationships/hyperlink" Target="https://community.likeminds.community/hanhangul" TargetMode="External"/><Relationship Id="rId2005" Type="http://schemas.openxmlformats.org/officeDocument/2006/relationships/hyperlink" Target="https://hi.likeminds.community/d/power-of-communications" TargetMode="External"/><Relationship Id="rId2489" Type="http://schemas.openxmlformats.org/officeDocument/2006/relationships/hyperlink" Target="https://hi.likeminds.community/d/through-thick-and-thin" TargetMode="External"/><Relationship Id="rId1159" Type="http://schemas.openxmlformats.org/officeDocument/2006/relationships/hyperlink" Target="https://community.likeminds.community/hanhangul" TargetMode="External"/><Relationship Id="rId2006" Type="http://schemas.openxmlformats.org/officeDocument/2006/relationships/hyperlink" Target="https://hi.likeminds.community/d/power-of-communications" TargetMode="External"/><Relationship Id="rId2007" Type="http://schemas.openxmlformats.org/officeDocument/2006/relationships/hyperlink" Target="https://hi.likeminds.community/d/power-of-communications" TargetMode="External"/><Relationship Id="rId2008" Type="http://schemas.openxmlformats.org/officeDocument/2006/relationships/hyperlink" Target="https://hi.likeminds.community/d/power-of-communications" TargetMode="External"/><Relationship Id="rId2009" Type="http://schemas.openxmlformats.org/officeDocument/2006/relationships/hyperlink" Target="https://hi.likeminds.community/d/power-of-communications" TargetMode="External"/><Relationship Id="rId569" Type="http://schemas.openxmlformats.org/officeDocument/2006/relationships/hyperlink" Target="https://hi.likeminds.community/d/digital-writopreneurs-hub" TargetMode="External"/><Relationship Id="rId568" Type="http://schemas.openxmlformats.org/officeDocument/2006/relationships/hyperlink" Target="https://hi.likeminds.community/d/digital-writopreneurs-hub" TargetMode="External"/><Relationship Id="rId567" Type="http://schemas.openxmlformats.org/officeDocument/2006/relationships/hyperlink" Target="https://hi.likeminds.community/d/digital-writopreneurs-hub" TargetMode="External"/><Relationship Id="rId566" Type="http://schemas.openxmlformats.org/officeDocument/2006/relationships/hyperlink" Target="https://hi.likeminds.community/d/digital-writopreneurs-hub" TargetMode="External"/><Relationship Id="rId2480" Type="http://schemas.openxmlformats.org/officeDocument/2006/relationships/hyperlink" Target="https://hi.likeminds.community/d/through-thick-and-thin" TargetMode="External"/><Relationship Id="rId561" Type="http://schemas.openxmlformats.org/officeDocument/2006/relationships/hyperlink" Target="https://community.likeminds.community/deutsch-in-tandem" TargetMode="External"/><Relationship Id="rId1150" Type="http://schemas.openxmlformats.org/officeDocument/2006/relationships/hyperlink" Target="https://community.likeminds.community/hanhangul" TargetMode="External"/><Relationship Id="rId2481" Type="http://schemas.openxmlformats.org/officeDocument/2006/relationships/hyperlink" Target="https://hi.likeminds.community/d/through-thick-and-thin" TargetMode="External"/><Relationship Id="rId560" Type="http://schemas.openxmlformats.org/officeDocument/2006/relationships/hyperlink" Target="https://community.likeminds.community/deutsch-in-tandem" TargetMode="External"/><Relationship Id="rId1151" Type="http://schemas.openxmlformats.org/officeDocument/2006/relationships/hyperlink" Target="https://community.likeminds.community/hanhangul" TargetMode="External"/><Relationship Id="rId2482" Type="http://schemas.openxmlformats.org/officeDocument/2006/relationships/hyperlink" Target="https://hi.likeminds.community/d/through-thick-and-thin" TargetMode="External"/><Relationship Id="rId1152" Type="http://schemas.openxmlformats.org/officeDocument/2006/relationships/hyperlink" Target="https://community.likeminds.community/hanhangul" TargetMode="External"/><Relationship Id="rId2483" Type="http://schemas.openxmlformats.org/officeDocument/2006/relationships/hyperlink" Target="https://hi.likeminds.community/d/through-thick-and-thin" TargetMode="External"/><Relationship Id="rId1153" Type="http://schemas.openxmlformats.org/officeDocument/2006/relationships/hyperlink" Target="https://community.likeminds.community/hanhangul" TargetMode="External"/><Relationship Id="rId2000" Type="http://schemas.openxmlformats.org/officeDocument/2006/relationships/hyperlink" Target="https://hi.likeminds.community/d/power-of-communications" TargetMode="External"/><Relationship Id="rId2484" Type="http://schemas.openxmlformats.org/officeDocument/2006/relationships/hyperlink" Target="https://hi.likeminds.community/d/through-thick-and-thin" TargetMode="External"/><Relationship Id="rId565" Type="http://schemas.openxmlformats.org/officeDocument/2006/relationships/hyperlink" Target="https://community.likeminds.community/deutsch-in-tandem" TargetMode="External"/><Relationship Id="rId1154" Type="http://schemas.openxmlformats.org/officeDocument/2006/relationships/hyperlink" Target="https://community.likeminds.community/hanhangul" TargetMode="External"/><Relationship Id="rId2001" Type="http://schemas.openxmlformats.org/officeDocument/2006/relationships/hyperlink" Target="https://hi.likeminds.community/d/power-of-communications" TargetMode="External"/><Relationship Id="rId2485" Type="http://schemas.openxmlformats.org/officeDocument/2006/relationships/hyperlink" Target="https://hi.likeminds.community/d/through-thick-and-thin" TargetMode="External"/><Relationship Id="rId564" Type="http://schemas.openxmlformats.org/officeDocument/2006/relationships/hyperlink" Target="https://community.likeminds.community/deutsch-in-tandem" TargetMode="External"/><Relationship Id="rId1155" Type="http://schemas.openxmlformats.org/officeDocument/2006/relationships/hyperlink" Target="https://community.likeminds.community/hanhangul" TargetMode="External"/><Relationship Id="rId2002" Type="http://schemas.openxmlformats.org/officeDocument/2006/relationships/hyperlink" Target="https://hi.likeminds.community/d/power-of-communications" TargetMode="External"/><Relationship Id="rId2486" Type="http://schemas.openxmlformats.org/officeDocument/2006/relationships/hyperlink" Target="https://hi.likeminds.community/d/through-thick-and-thin" TargetMode="External"/><Relationship Id="rId563" Type="http://schemas.openxmlformats.org/officeDocument/2006/relationships/hyperlink" Target="https://community.likeminds.community/deutsch-in-tandem" TargetMode="External"/><Relationship Id="rId1156" Type="http://schemas.openxmlformats.org/officeDocument/2006/relationships/hyperlink" Target="https://community.likeminds.community/hanhangul" TargetMode="External"/><Relationship Id="rId2003" Type="http://schemas.openxmlformats.org/officeDocument/2006/relationships/hyperlink" Target="https://hi.likeminds.community/d/power-of-communications" TargetMode="External"/><Relationship Id="rId2487" Type="http://schemas.openxmlformats.org/officeDocument/2006/relationships/hyperlink" Target="https://hi.likeminds.community/d/through-thick-and-thin" TargetMode="External"/><Relationship Id="rId562" Type="http://schemas.openxmlformats.org/officeDocument/2006/relationships/hyperlink" Target="https://community.likeminds.community/deutsch-in-tandem" TargetMode="External"/><Relationship Id="rId1157" Type="http://schemas.openxmlformats.org/officeDocument/2006/relationships/hyperlink" Target="https://community.likeminds.community/hanhangul" TargetMode="External"/><Relationship Id="rId2004" Type="http://schemas.openxmlformats.org/officeDocument/2006/relationships/hyperlink" Target="https://hi.likeminds.community/d/power-of-communications" TargetMode="External"/><Relationship Id="rId2488" Type="http://schemas.openxmlformats.org/officeDocument/2006/relationships/hyperlink" Target="https://hi.likeminds.community/d/through-thick-and-thin" TargetMode="External"/><Relationship Id="rId1147" Type="http://schemas.openxmlformats.org/officeDocument/2006/relationships/hyperlink" Target="https://community.likeminds.community/hanhangul" TargetMode="External"/><Relationship Id="rId2478" Type="http://schemas.openxmlformats.org/officeDocument/2006/relationships/hyperlink" Target="https://hi.likeminds.community/d/through-thick-and-thin" TargetMode="External"/><Relationship Id="rId1148" Type="http://schemas.openxmlformats.org/officeDocument/2006/relationships/hyperlink" Target="https://community.likeminds.community/hanhangul" TargetMode="External"/><Relationship Id="rId2479" Type="http://schemas.openxmlformats.org/officeDocument/2006/relationships/hyperlink" Target="https://hi.likeminds.community/d/through-thick-and-thin" TargetMode="External"/><Relationship Id="rId1149" Type="http://schemas.openxmlformats.org/officeDocument/2006/relationships/hyperlink" Target="https://community.likeminds.community/hanhangul" TargetMode="External"/><Relationship Id="rId558" Type="http://schemas.openxmlformats.org/officeDocument/2006/relationships/hyperlink" Target="https://community.likeminds.community/deutsch-in-tandem" TargetMode="External"/><Relationship Id="rId557" Type="http://schemas.openxmlformats.org/officeDocument/2006/relationships/hyperlink" Target="https://community.likeminds.community/deutsch-in-tandem" TargetMode="External"/><Relationship Id="rId556" Type="http://schemas.openxmlformats.org/officeDocument/2006/relationships/hyperlink" Target="https://community.likeminds.community/deutsch-in-tandem" TargetMode="External"/><Relationship Id="rId555" Type="http://schemas.openxmlformats.org/officeDocument/2006/relationships/hyperlink" Target="https://community.likeminds.community/deutsch-in-tandem" TargetMode="External"/><Relationship Id="rId559" Type="http://schemas.openxmlformats.org/officeDocument/2006/relationships/hyperlink" Target="https://community.likeminds.community/deutsch-in-tandem" TargetMode="External"/><Relationship Id="rId550" Type="http://schemas.openxmlformats.org/officeDocument/2006/relationships/hyperlink" Target="https://community.likeminds.community/deutsch-in-tandem" TargetMode="External"/><Relationship Id="rId2470" Type="http://schemas.openxmlformats.org/officeDocument/2006/relationships/hyperlink" Target="https://hi.likeminds.community/d/through-thick-and-thin" TargetMode="External"/><Relationship Id="rId1140" Type="http://schemas.openxmlformats.org/officeDocument/2006/relationships/hyperlink" Target="https://community.likeminds.community/hanhangul" TargetMode="External"/><Relationship Id="rId2471" Type="http://schemas.openxmlformats.org/officeDocument/2006/relationships/hyperlink" Target="https://hi.likeminds.community/d/through-thick-and-thin" TargetMode="External"/><Relationship Id="rId1141" Type="http://schemas.openxmlformats.org/officeDocument/2006/relationships/hyperlink" Target="https://community.likeminds.community/hanhangul" TargetMode="External"/><Relationship Id="rId2472" Type="http://schemas.openxmlformats.org/officeDocument/2006/relationships/hyperlink" Target="https://hi.likeminds.community/d/through-thick-and-thin" TargetMode="External"/><Relationship Id="rId1142" Type="http://schemas.openxmlformats.org/officeDocument/2006/relationships/hyperlink" Target="https://community.likeminds.community/hanhangul" TargetMode="External"/><Relationship Id="rId2473" Type="http://schemas.openxmlformats.org/officeDocument/2006/relationships/hyperlink" Target="https://hi.likeminds.community/d/through-thick-and-thin" TargetMode="External"/><Relationship Id="rId554" Type="http://schemas.openxmlformats.org/officeDocument/2006/relationships/hyperlink" Target="https://community.likeminds.community/deutsch-in-tandem" TargetMode="External"/><Relationship Id="rId1143" Type="http://schemas.openxmlformats.org/officeDocument/2006/relationships/hyperlink" Target="https://community.likeminds.community/hanhangul" TargetMode="External"/><Relationship Id="rId2474" Type="http://schemas.openxmlformats.org/officeDocument/2006/relationships/hyperlink" Target="https://hi.likeminds.community/d/through-thick-and-thin" TargetMode="External"/><Relationship Id="rId553" Type="http://schemas.openxmlformats.org/officeDocument/2006/relationships/hyperlink" Target="https://community.likeminds.community/deutsch-in-tandem" TargetMode="External"/><Relationship Id="rId1144" Type="http://schemas.openxmlformats.org/officeDocument/2006/relationships/hyperlink" Target="https://community.likeminds.community/hanhangul" TargetMode="External"/><Relationship Id="rId2475" Type="http://schemas.openxmlformats.org/officeDocument/2006/relationships/hyperlink" Target="https://hi.likeminds.community/d/through-thick-and-thin" TargetMode="External"/><Relationship Id="rId552" Type="http://schemas.openxmlformats.org/officeDocument/2006/relationships/hyperlink" Target="https://community.likeminds.community/deutsch-in-tandem" TargetMode="External"/><Relationship Id="rId1145" Type="http://schemas.openxmlformats.org/officeDocument/2006/relationships/hyperlink" Target="https://community.likeminds.community/hanhangul" TargetMode="External"/><Relationship Id="rId2476" Type="http://schemas.openxmlformats.org/officeDocument/2006/relationships/hyperlink" Target="https://hi.likeminds.community/d/through-thick-and-thin" TargetMode="External"/><Relationship Id="rId551" Type="http://schemas.openxmlformats.org/officeDocument/2006/relationships/hyperlink" Target="https://community.likeminds.community/deutsch-in-tandem" TargetMode="External"/><Relationship Id="rId1146" Type="http://schemas.openxmlformats.org/officeDocument/2006/relationships/hyperlink" Target="https://community.likeminds.community/hanhangul" TargetMode="External"/><Relationship Id="rId2477" Type="http://schemas.openxmlformats.org/officeDocument/2006/relationships/hyperlink" Target="https://hi.likeminds.community/d/through-thick-and-thin" TargetMode="External"/><Relationship Id="rId2090" Type="http://schemas.openxmlformats.org/officeDocument/2006/relationships/hyperlink" Target="https://hi.likeminds.community/d/powerpoint-pro" TargetMode="External"/><Relationship Id="rId2091" Type="http://schemas.openxmlformats.org/officeDocument/2006/relationships/hyperlink" Target="https://hi.likeminds.community/d/powerpoint-pro" TargetMode="External"/><Relationship Id="rId2092" Type="http://schemas.openxmlformats.org/officeDocument/2006/relationships/hyperlink" Target="https://hi.likeminds.community/d/powerpoint-pro" TargetMode="External"/><Relationship Id="rId2093" Type="http://schemas.openxmlformats.org/officeDocument/2006/relationships/hyperlink" Target="https://hi.likeminds.community/python-geeks" TargetMode="External"/><Relationship Id="rId2094" Type="http://schemas.openxmlformats.org/officeDocument/2006/relationships/hyperlink" Target="https://hi.likeminds.community/python-geeks" TargetMode="External"/><Relationship Id="rId2095" Type="http://schemas.openxmlformats.org/officeDocument/2006/relationships/hyperlink" Target="https://hi.likeminds.community/python-geeks" TargetMode="External"/><Relationship Id="rId2096" Type="http://schemas.openxmlformats.org/officeDocument/2006/relationships/hyperlink" Target="https://hi.likeminds.community/python-geeks" TargetMode="External"/><Relationship Id="rId2097" Type="http://schemas.openxmlformats.org/officeDocument/2006/relationships/hyperlink" Target="https://hi.likeminds.community/python-geeks" TargetMode="External"/><Relationship Id="rId2098" Type="http://schemas.openxmlformats.org/officeDocument/2006/relationships/hyperlink" Target="https://hi.likeminds.community/python-geeks" TargetMode="External"/><Relationship Id="rId2099" Type="http://schemas.openxmlformats.org/officeDocument/2006/relationships/hyperlink" Target="https://hi.likeminds.community/python-geeks" TargetMode="External"/><Relationship Id="rId2060" Type="http://schemas.openxmlformats.org/officeDocument/2006/relationships/hyperlink" Target="https://hi.likeminds.community/d/power-of-communications" TargetMode="External"/><Relationship Id="rId2061" Type="http://schemas.openxmlformats.org/officeDocument/2006/relationships/hyperlink" Target="https://hi.likeminds.community/d/power-of-communications" TargetMode="External"/><Relationship Id="rId2062" Type="http://schemas.openxmlformats.org/officeDocument/2006/relationships/hyperlink" Target="https://hi.likeminds.community/d/power-of-communications" TargetMode="External"/><Relationship Id="rId2063" Type="http://schemas.openxmlformats.org/officeDocument/2006/relationships/hyperlink" Target="https://hi.likeminds.community/d/power-of-communications" TargetMode="External"/><Relationship Id="rId2064" Type="http://schemas.openxmlformats.org/officeDocument/2006/relationships/hyperlink" Target="https://hi.likeminds.community/d/power-of-communications" TargetMode="External"/><Relationship Id="rId2065" Type="http://schemas.openxmlformats.org/officeDocument/2006/relationships/hyperlink" Target="https://hi.likeminds.community/d/power-of-communications" TargetMode="External"/><Relationship Id="rId2066" Type="http://schemas.openxmlformats.org/officeDocument/2006/relationships/hyperlink" Target="https://hi.likeminds.community/d/power-of-communications" TargetMode="External"/><Relationship Id="rId2067" Type="http://schemas.openxmlformats.org/officeDocument/2006/relationships/hyperlink" Target="https://hi.likeminds.community/d/power-of-communications" TargetMode="External"/><Relationship Id="rId2068" Type="http://schemas.openxmlformats.org/officeDocument/2006/relationships/hyperlink" Target="https://hi.likeminds.community/d/power-of-communications" TargetMode="External"/><Relationship Id="rId2069" Type="http://schemas.openxmlformats.org/officeDocument/2006/relationships/hyperlink" Target="https://hi.likeminds.community/d/power-of-communications" TargetMode="External"/><Relationship Id="rId2050" Type="http://schemas.openxmlformats.org/officeDocument/2006/relationships/hyperlink" Target="https://hi.likeminds.community/d/power-of-communications" TargetMode="External"/><Relationship Id="rId2051" Type="http://schemas.openxmlformats.org/officeDocument/2006/relationships/hyperlink" Target="https://hi.likeminds.community/d/power-of-communications" TargetMode="External"/><Relationship Id="rId495" Type="http://schemas.openxmlformats.org/officeDocument/2006/relationships/hyperlink" Target="https://hi.likeminds.community/d/design-forward" TargetMode="External"/><Relationship Id="rId2052" Type="http://schemas.openxmlformats.org/officeDocument/2006/relationships/hyperlink" Target="https://hi.likeminds.community/d/power-of-communications" TargetMode="External"/><Relationship Id="rId494" Type="http://schemas.openxmlformats.org/officeDocument/2006/relationships/hyperlink" Target="https://hi.likeminds.community/d/design-forward" TargetMode="External"/><Relationship Id="rId2053" Type="http://schemas.openxmlformats.org/officeDocument/2006/relationships/hyperlink" Target="https://hi.likeminds.community/d/power-of-communications" TargetMode="External"/><Relationship Id="rId493" Type="http://schemas.openxmlformats.org/officeDocument/2006/relationships/hyperlink" Target="https://hi.likeminds.community/d/design-forward" TargetMode="External"/><Relationship Id="rId2054" Type="http://schemas.openxmlformats.org/officeDocument/2006/relationships/hyperlink" Target="https://hi.likeminds.community/d/power-of-communications" TargetMode="External"/><Relationship Id="rId492" Type="http://schemas.openxmlformats.org/officeDocument/2006/relationships/hyperlink" Target="https://hi.likeminds.community/d/design-forward" TargetMode="External"/><Relationship Id="rId2055" Type="http://schemas.openxmlformats.org/officeDocument/2006/relationships/hyperlink" Target="https://hi.likeminds.community/d/power-of-communications" TargetMode="External"/><Relationship Id="rId499" Type="http://schemas.openxmlformats.org/officeDocument/2006/relationships/hyperlink" Target="https://hi.likeminds.community/d/design-forward" TargetMode="External"/><Relationship Id="rId2056" Type="http://schemas.openxmlformats.org/officeDocument/2006/relationships/hyperlink" Target="https://hi.likeminds.community/d/power-of-communications" TargetMode="External"/><Relationship Id="rId498" Type="http://schemas.openxmlformats.org/officeDocument/2006/relationships/hyperlink" Target="https://hi.likeminds.community/d/design-forward" TargetMode="External"/><Relationship Id="rId2057" Type="http://schemas.openxmlformats.org/officeDocument/2006/relationships/hyperlink" Target="https://hi.likeminds.community/d/power-of-communications" TargetMode="External"/><Relationship Id="rId497" Type="http://schemas.openxmlformats.org/officeDocument/2006/relationships/hyperlink" Target="https://hi.likeminds.community/d/design-forward" TargetMode="External"/><Relationship Id="rId2058" Type="http://schemas.openxmlformats.org/officeDocument/2006/relationships/hyperlink" Target="https://hi.likeminds.community/d/power-of-communications" TargetMode="External"/><Relationship Id="rId496" Type="http://schemas.openxmlformats.org/officeDocument/2006/relationships/hyperlink" Target="https://hi.likeminds.community/d/design-forward" TargetMode="External"/><Relationship Id="rId2059" Type="http://schemas.openxmlformats.org/officeDocument/2006/relationships/hyperlink" Target="https://hi.likeminds.community/d/power-of-communications" TargetMode="External"/><Relationship Id="rId2080" Type="http://schemas.openxmlformats.org/officeDocument/2006/relationships/hyperlink" Target="https://hi.likeminds.community/d/powerpoint-pro" TargetMode="External"/><Relationship Id="rId2081" Type="http://schemas.openxmlformats.org/officeDocument/2006/relationships/hyperlink" Target="https://hi.likeminds.community/d/powerpoint-pro" TargetMode="External"/><Relationship Id="rId2082" Type="http://schemas.openxmlformats.org/officeDocument/2006/relationships/hyperlink" Target="https://hi.likeminds.community/d/powerpoint-pro" TargetMode="External"/><Relationship Id="rId2083" Type="http://schemas.openxmlformats.org/officeDocument/2006/relationships/hyperlink" Target="https://hi.likeminds.community/d/powerpoint-pro" TargetMode="External"/><Relationship Id="rId2084" Type="http://schemas.openxmlformats.org/officeDocument/2006/relationships/hyperlink" Target="https://hi.likeminds.community/d/powerpoint-pro" TargetMode="External"/><Relationship Id="rId2085" Type="http://schemas.openxmlformats.org/officeDocument/2006/relationships/hyperlink" Target="https://hi.likeminds.community/d/powerpoint-pro" TargetMode="External"/><Relationship Id="rId2086" Type="http://schemas.openxmlformats.org/officeDocument/2006/relationships/hyperlink" Target="https://hi.likeminds.community/d/powerpoint-pro" TargetMode="External"/><Relationship Id="rId2087" Type="http://schemas.openxmlformats.org/officeDocument/2006/relationships/hyperlink" Target="https://hi.likeminds.community/d/powerpoint-pro" TargetMode="External"/><Relationship Id="rId2088" Type="http://schemas.openxmlformats.org/officeDocument/2006/relationships/hyperlink" Target="https://hi.likeminds.community/d/powerpoint-pro" TargetMode="External"/><Relationship Id="rId2089" Type="http://schemas.openxmlformats.org/officeDocument/2006/relationships/hyperlink" Target="https://hi.likeminds.community/d/powerpoint-pro" TargetMode="External"/><Relationship Id="rId2070" Type="http://schemas.openxmlformats.org/officeDocument/2006/relationships/hyperlink" Target="https://hi.likeminds.community/d/power-of-communications" TargetMode="External"/><Relationship Id="rId2071" Type="http://schemas.openxmlformats.org/officeDocument/2006/relationships/hyperlink" Target="https://hi.likeminds.community/d/power-of-communications" TargetMode="External"/><Relationship Id="rId2072" Type="http://schemas.openxmlformats.org/officeDocument/2006/relationships/hyperlink" Target="https://hi.likeminds.community/d/power-of-communications" TargetMode="External"/><Relationship Id="rId2073" Type="http://schemas.openxmlformats.org/officeDocument/2006/relationships/hyperlink" Target="https://hi.likeminds.community/d/power-of-communications" TargetMode="External"/><Relationship Id="rId2074" Type="http://schemas.openxmlformats.org/officeDocument/2006/relationships/hyperlink" Target="https://hi.likeminds.community/d/power-of-communications" TargetMode="External"/><Relationship Id="rId2075" Type="http://schemas.openxmlformats.org/officeDocument/2006/relationships/hyperlink" Target="https://hi.likeminds.community/d/power-of-communications" TargetMode="External"/><Relationship Id="rId2076" Type="http://schemas.openxmlformats.org/officeDocument/2006/relationships/hyperlink" Target="https://hi.likeminds.community/d/power-of-communications" TargetMode="External"/><Relationship Id="rId2077" Type="http://schemas.openxmlformats.org/officeDocument/2006/relationships/hyperlink" Target="https://hi.likeminds.community/d/power-of-communications" TargetMode="External"/><Relationship Id="rId2078" Type="http://schemas.openxmlformats.org/officeDocument/2006/relationships/hyperlink" Target="https://hi.likeminds.community/d/powerpoint-pro" TargetMode="External"/><Relationship Id="rId2079" Type="http://schemas.openxmlformats.org/officeDocument/2006/relationships/hyperlink" Target="https://hi.likeminds.community/d/powerpoint-pro" TargetMode="External"/><Relationship Id="rId1610" Type="http://schemas.openxmlformats.org/officeDocument/2006/relationships/hyperlink" Target="https://community.likeminds.community/d/lets-speak-english" TargetMode="External"/><Relationship Id="rId1611" Type="http://schemas.openxmlformats.org/officeDocument/2006/relationships/hyperlink" Target="https://community.likeminds.community/d/lets-speak-english" TargetMode="External"/><Relationship Id="rId1612" Type="http://schemas.openxmlformats.org/officeDocument/2006/relationships/hyperlink" Target="https://community.likeminds.community/d/lets-speak-english" TargetMode="External"/><Relationship Id="rId1613" Type="http://schemas.openxmlformats.org/officeDocument/2006/relationships/hyperlink" Target="https://community.likeminds.community/d/lets-speak-english" TargetMode="External"/><Relationship Id="rId1614" Type="http://schemas.openxmlformats.org/officeDocument/2006/relationships/hyperlink" Target="https://community.likeminds.community/d/lets-speak-english" TargetMode="External"/><Relationship Id="rId1615" Type="http://schemas.openxmlformats.org/officeDocument/2006/relationships/hyperlink" Target="https://community.likeminds.community/d/lets-speak-english" TargetMode="External"/><Relationship Id="rId1616" Type="http://schemas.openxmlformats.org/officeDocument/2006/relationships/hyperlink" Target="https://community.likeminds.community/d/lets-speak-english" TargetMode="External"/><Relationship Id="rId907" Type="http://schemas.openxmlformats.org/officeDocument/2006/relationships/hyperlink" Target="https://community.likeminds.community/finstreet" TargetMode="External"/><Relationship Id="rId1617" Type="http://schemas.openxmlformats.org/officeDocument/2006/relationships/hyperlink" Target="https://community.likeminds.community/d/lets-speak-english" TargetMode="External"/><Relationship Id="rId906" Type="http://schemas.openxmlformats.org/officeDocument/2006/relationships/hyperlink" Target="https://community.likeminds.community/finstreet" TargetMode="External"/><Relationship Id="rId1618" Type="http://schemas.openxmlformats.org/officeDocument/2006/relationships/hyperlink" Target="https://community.likeminds.community/d/lets-speak-english" TargetMode="External"/><Relationship Id="rId905" Type="http://schemas.openxmlformats.org/officeDocument/2006/relationships/hyperlink" Target="https://hi.likeminds.community/d/finowiz" TargetMode="External"/><Relationship Id="rId1619" Type="http://schemas.openxmlformats.org/officeDocument/2006/relationships/hyperlink" Target="https://community.likeminds.community/d/lets-speak-english" TargetMode="External"/><Relationship Id="rId904" Type="http://schemas.openxmlformats.org/officeDocument/2006/relationships/hyperlink" Target="https://hi.likeminds.community/d/finowiz" TargetMode="External"/><Relationship Id="rId909" Type="http://schemas.openxmlformats.org/officeDocument/2006/relationships/hyperlink" Target="https://community.likeminds.community/finstreet" TargetMode="External"/><Relationship Id="rId908" Type="http://schemas.openxmlformats.org/officeDocument/2006/relationships/hyperlink" Target="https://community.likeminds.community/finstreet" TargetMode="External"/><Relationship Id="rId903" Type="http://schemas.openxmlformats.org/officeDocument/2006/relationships/hyperlink" Target="https://hi.likeminds.community/d/finowiz" TargetMode="External"/><Relationship Id="rId902" Type="http://schemas.openxmlformats.org/officeDocument/2006/relationships/hyperlink" Target="https://community.likeminds.community/exapython" TargetMode="External"/><Relationship Id="rId901" Type="http://schemas.openxmlformats.org/officeDocument/2006/relationships/hyperlink" Target="https://community.likeminds.community/exapython" TargetMode="External"/><Relationship Id="rId900" Type="http://schemas.openxmlformats.org/officeDocument/2006/relationships/hyperlink" Target="https://community.likeminds.community/exapython" TargetMode="External"/><Relationship Id="rId1600" Type="http://schemas.openxmlformats.org/officeDocument/2006/relationships/hyperlink" Target="https://community.likeminds.community/d/lets-speak-english" TargetMode="External"/><Relationship Id="rId1601" Type="http://schemas.openxmlformats.org/officeDocument/2006/relationships/hyperlink" Target="https://community.likeminds.community/d/lets-speak-english" TargetMode="External"/><Relationship Id="rId1602" Type="http://schemas.openxmlformats.org/officeDocument/2006/relationships/hyperlink" Target="https://community.likeminds.community/d/lets-speak-english" TargetMode="External"/><Relationship Id="rId1603" Type="http://schemas.openxmlformats.org/officeDocument/2006/relationships/hyperlink" Target="https://community.likeminds.community/d/lets-speak-english" TargetMode="External"/><Relationship Id="rId1604" Type="http://schemas.openxmlformats.org/officeDocument/2006/relationships/hyperlink" Target="https://community.likeminds.community/d/lets-speak-english" TargetMode="External"/><Relationship Id="rId1605" Type="http://schemas.openxmlformats.org/officeDocument/2006/relationships/hyperlink" Target="https://community.likeminds.community/d/lets-speak-english" TargetMode="External"/><Relationship Id="rId1606" Type="http://schemas.openxmlformats.org/officeDocument/2006/relationships/hyperlink" Target="https://community.likeminds.community/d/lets-speak-english" TargetMode="External"/><Relationship Id="rId1607" Type="http://schemas.openxmlformats.org/officeDocument/2006/relationships/hyperlink" Target="https://community.likeminds.community/d/lets-speak-english" TargetMode="External"/><Relationship Id="rId1608" Type="http://schemas.openxmlformats.org/officeDocument/2006/relationships/hyperlink" Target="https://community.likeminds.community/d/lets-speak-english" TargetMode="External"/><Relationship Id="rId1609" Type="http://schemas.openxmlformats.org/officeDocument/2006/relationships/hyperlink" Target="https://community.likeminds.community/d/lets-speak-english" TargetMode="External"/><Relationship Id="rId1631" Type="http://schemas.openxmlformats.org/officeDocument/2006/relationships/hyperlink" Target="https://community.likeminds.community/d/lets-speak-english" TargetMode="External"/><Relationship Id="rId1632" Type="http://schemas.openxmlformats.org/officeDocument/2006/relationships/hyperlink" Target="https://community.likeminds.community/d/lets-speak-english" TargetMode="External"/><Relationship Id="rId1633" Type="http://schemas.openxmlformats.org/officeDocument/2006/relationships/hyperlink" Target="https://community.likeminds.community/d/lets-speak-english" TargetMode="External"/><Relationship Id="rId1634" Type="http://schemas.openxmlformats.org/officeDocument/2006/relationships/hyperlink" Target="https://community.likeminds.community/d/lets-speak-english" TargetMode="External"/><Relationship Id="rId1635" Type="http://schemas.openxmlformats.org/officeDocument/2006/relationships/hyperlink" Target="https://community.likeminds.community/d/lets-speak-english" TargetMode="External"/><Relationship Id="rId1636" Type="http://schemas.openxmlformats.org/officeDocument/2006/relationships/hyperlink" Target="https://community.likeminds.community/d/lets-speak-english" TargetMode="External"/><Relationship Id="rId1637" Type="http://schemas.openxmlformats.org/officeDocument/2006/relationships/hyperlink" Target="https://community.likeminds.community/d/lets-speak-english" TargetMode="External"/><Relationship Id="rId1638" Type="http://schemas.openxmlformats.org/officeDocument/2006/relationships/hyperlink" Target="https://community.likeminds.community/d/lets-speak-english" TargetMode="External"/><Relationship Id="rId929" Type="http://schemas.openxmlformats.org/officeDocument/2006/relationships/hyperlink" Target="https://community.likeminds.community/finstreet" TargetMode="External"/><Relationship Id="rId1639" Type="http://schemas.openxmlformats.org/officeDocument/2006/relationships/hyperlink" Target="https://community.likeminds.community/d/lets-speak-english" TargetMode="External"/><Relationship Id="rId928" Type="http://schemas.openxmlformats.org/officeDocument/2006/relationships/hyperlink" Target="https://community.likeminds.community/finstreet" TargetMode="External"/><Relationship Id="rId927" Type="http://schemas.openxmlformats.org/officeDocument/2006/relationships/hyperlink" Target="https://community.likeminds.community/finstreet" TargetMode="External"/><Relationship Id="rId926" Type="http://schemas.openxmlformats.org/officeDocument/2006/relationships/hyperlink" Target="https://community.likeminds.community/finstreet" TargetMode="External"/><Relationship Id="rId921" Type="http://schemas.openxmlformats.org/officeDocument/2006/relationships/hyperlink" Target="https://community.likeminds.community/finstreet" TargetMode="External"/><Relationship Id="rId920" Type="http://schemas.openxmlformats.org/officeDocument/2006/relationships/hyperlink" Target="https://community.likeminds.community/finstreet" TargetMode="External"/><Relationship Id="rId925" Type="http://schemas.openxmlformats.org/officeDocument/2006/relationships/hyperlink" Target="https://community.likeminds.community/finstreet" TargetMode="External"/><Relationship Id="rId924" Type="http://schemas.openxmlformats.org/officeDocument/2006/relationships/hyperlink" Target="https://community.likeminds.community/finstreet" TargetMode="External"/><Relationship Id="rId923" Type="http://schemas.openxmlformats.org/officeDocument/2006/relationships/hyperlink" Target="https://community.likeminds.community/finstreet" TargetMode="External"/><Relationship Id="rId922" Type="http://schemas.openxmlformats.org/officeDocument/2006/relationships/hyperlink" Target="https://community.likeminds.community/finstreet" TargetMode="External"/><Relationship Id="rId1630" Type="http://schemas.openxmlformats.org/officeDocument/2006/relationships/hyperlink" Target="https://community.likeminds.community/d/lets-speak-english" TargetMode="External"/><Relationship Id="rId1620" Type="http://schemas.openxmlformats.org/officeDocument/2006/relationships/hyperlink" Target="https://community.likeminds.community/d/lets-speak-english" TargetMode="External"/><Relationship Id="rId1621" Type="http://schemas.openxmlformats.org/officeDocument/2006/relationships/hyperlink" Target="https://community.likeminds.community/d/lets-speak-english" TargetMode="External"/><Relationship Id="rId1622" Type="http://schemas.openxmlformats.org/officeDocument/2006/relationships/hyperlink" Target="https://community.likeminds.community/d/lets-speak-english" TargetMode="External"/><Relationship Id="rId1623" Type="http://schemas.openxmlformats.org/officeDocument/2006/relationships/hyperlink" Target="https://community.likeminds.community/d/lets-speak-english" TargetMode="External"/><Relationship Id="rId1624" Type="http://schemas.openxmlformats.org/officeDocument/2006/relationships/hyperlink" Target="https://community.likeminds.community/d/lets-speak-english" TargetMode="External"/><Relationship Id="rId1625" Type="http://schemas.openxmlformats.org/officeDocument/2006/relationships/hyperlink" Target="https://community.likeminds.community/d/lets-speak-english" TargetMode="External"/><Relationship Id="rId1626" Type="http://schemas.openxmlformats.org/officeDocument/2006/relationships/hyperlink" Target="https://community.likeminds.community/d/lets-speak-english" TargetMode="External"/><Relationship Id="rId1627" Type="http://schemas.openxmlformats.org/officeDocument/2006/relationships/hyperlink" Target="https://community.likeminds.community/d/lets-speak-english" TargetMode="External"/><Relationship Id="rId918" Type="http://schemas.openxmlformats.org/officeDocument/2006/relationships/hyperlink" Target="https://community.likeminds.community/finstreet" TargetMode="External"/><Relationship Id="rId1628" Type="http://schemas.openxmlformats.org/officeDocument/2006/relationships/hyperlink" Target="https://community.likeminds.community/d/lets-speak-english" TargetMode="External"/><Relationship Id="rId917" Type="http://schemas.openxmlformats.org/officeDocument/2006/relationships/hyperlink" Target="https://community.likeminds.community/finstreet" TargetMode="External"/><Relationship Id="rId1629" Type="http://schemas.openxmlformats.org/officeDocument/2006/relationships/hyperlink" Target="https://community.likeminds.community/d/lets-speak-english" TargetMode="External"/><Relationship Id="rId916" Type="http://schemas.openxmlformats.org/officeDocument/2006/relationships/hyperlink" Target="https://community.likeminds.community/finstreet" TargetMode="External"/><Relationship Id="rId915" Type="http://schemas.openxmlformats.org/officeDocument/2006/relationships/hyperlink" Target="https://community.likeminds.community/finstreet" TargetMode="External"/><Relationship Id="rId919" Type="http://schemas.openxmlformats.org/officeDocument/2006/relationships/hyperlink" Target="https://community.likeminds.community/finstreet" TargetMode="External"/><Relationship Id="rId910" Type="http://schemas.openxmlformats.org/officeDocument/2006/relationships/hyperlink" Target="https://community.likeminds.community/finstreet" TargetMode="External"/><Relationship Id="rId914" Type="http://schemas.openxmlformats.org/officeDocument/2006/relationships/hyperlink" Target="https://community.likeminds.community/finstreet" TargetMode="External"/><Relationship Id="rId913" Type="http://schemas.openxmlformats.org/officeDocument/2006/relationships/hyperlink" Target="https://community.likeminds.community/finstreet" TargetMode="External"/><Relationship Id="rId912" Type="http://schemas.openxmlformats.org/officeDocument/2006/relationships/hyperlink" Target="https://community.likeminds.community/finstreet" TargetMode="External"/><Relationship Id="rId911" Type="http://schemas.openxmlformats.org/officeDocument/2006/relationships/hyperlink" Target="https://community.likeminds.community/finstreet" TargetMode="External"/><Relationship Id="rId1213" Type="http://schemas.openxmlformats.org/officeDocument/2006/relationships/hyperlink" Target="https://hi.likeminds.community/d/happy-ashram" TargetMode="External"/><Relationship Id="rId1697" Type="http://schemas.openxmlformats.org/officeDocument/2006/relationships/hyperlink" Target="https://community.likeminds.community/mom-shares-club" TargetMode="External"/><Relationship Id="rId2544" Type="http://schemas.openxmlformats.org/officeDocument/2006/relationships/hyperlink" Target="https://hi.likeminds.community/d/transformed-finance-professionals" TargetMode="External"/><Relationship Id="rId1214" Type="http://schemas.openxmlformats.org/officeDocument/2006/relationships/hyperlink" Target="https://hi.likeminds.community/d/happy-ashram" TargetMode="External"/><Relationship Id="rId1698" Type="http://schemas.openxmlformats.org/officeDocument/2006/relationships/hyperlink" Target="https://community.likeminds.community/mom-shares-club" TargetMode="External"/><Relationship Id="rId2545" Type="http://schemas.openxmlformats.org/officeDocument/2006/relationships/hyperlink" Target="https://hi.likeminds.community/d/transformed-finance-professionals" TargetMode="External"/><Relationship Id="rId1215" Type="http://schemas.openxmlformats.org/officeDocument/2006/relationships/hyperlink" Target="https://hi.likeminds.community/d/happy-ashram" TargetMode="External"/><Relationship Id="rId1699" Type="http://schemas.openxmlformats.org/officeDocument/2006/relationships/hyperlink" Target="https://community.likeminds.community/mom-shares-club" TargetMode="External"/><Relationship Id="rId2546" Type="http://schemas.openxmlformats.org/officeDocument/2006/relationships/hyperlink" Target="https://hi.likeminds.community/d/transformed-finance-professionals" TargetMode="External"/><Relationship Id="rId1216" Type="http://schemas.openxmlformats.org/officeDocument/2006/relationships/hyperlink" Target="https://hi.likeminds.community/d/happy-ashram" TargetMode="External"/><Relationship Id="rId2547" Type="http://schemas.openxmlformats.org/officeDocument/2006/relationships/hyperlink" Target="https://hi.likeminds.community/d/transformed-finance-professionals" TargetMode="External"/><Relationship Id="rId1217" Type="http://schemas.openxmlformats.org/officeDocument/2006/relationships/hyperlink" Target="https://hi.likeminds.community/d/happy-ashram" TargetMode="External"/><Relationship Id="rId2548" Type="http://schemas.openxmlformats.org/officeDocument/2006/relationships/hyperlink" Target="https://hi.likeminds.community/d/transformed-finance-professionals" TargetMode="External"/><Relationship Id="rId1218" Type="http://schemas.openxmlformats.org/officeDocument/2006/relationships/hyperlink" Target="https://hi.likeminds.community/d/happy-ashram" TargetMode="External"/><Relationship Id="rId2549" Type="http://schemas.openxmlformats.org/officeDocument/2006/relationships/hyperlink" Target="https://hi.likeminds.community/d/transformed-finance-professionals" TargetMode="External"/><Relationship Id="rId1219" Type="http://schemas.openxmlformats.org/officeDocument/2006/relationships/hyperlink" Target="https://hi.likeminds.community/d/happy-ashram" TargetMode="External"/><Relationship Id="rId866" Type="http://schemas.openxmlformats.org/officeDocument/2006/relationships/hyperlink" Target="https://community.likeminds.community/exapython" TargetMode="External"/><Relationship Id="rId865" Type="http://schemas.openxmlformats.org/officeDocument/2006/relationships/hyperlink" Target="https://community.likeminds.community/exapython" TargetMode="External"/><Relationship Id="rId864" Type="http://schemas.openxmlformats.org/officeDocument/2006/relationships/hyperlink" Target="https://community.likeminds.community/exapython" TargetMode="External"/><Relationship Id="rId863" Type="http://schemas.openxmlformats.org/officeDocument/2006/relationships/hyperlink" Target="https://community.likeminds.community/exapython" TargetMode="External"/><Relationship Id="rId869" Type="http://schemas.openxmlformats.org/officeDocument/2006/relationships/hyperlink" Target="https://community.likeminds.community/exapython" TargetMode="External"/><Relationship Id="rId868" Type="http://schemas.openxmlformats.org/officeDocument/2006/relationships/hyperlink" Target="https://community.likeminds.community/exapython" TargetMode="External"/><Relationship Id="rId867" Type="http://schemas.openxmlformats.org/officeDocument/2006/relationships/hyperlink" Target="https://community.likeminds.community/exapython" TargetMode="External"/><Relationship Id="rId1690" Type="http://schemas.openxmlformats.org/officeDocument/2006/relationships/hyperlink" Target="https://community.likeminds.community/mom-shares-club" TargetMode="External"/><Relationship Id="rId1691" Type="http://schemas.openxmlformats.org/officeDocument/2006/relationships/hyperlink" Target="https://community.likeminds.community/mom-shares-club" TargetMode="External"/><Relationship Id="rId1692" Type="http://schemas.openxmlformats.org/officeDocument/2006/relationships/hyperlink" Target="https://community.likeminds.community/mom-shares-club" TargetMode="External"/><Relationship Id="rId862" Type="http://schemas.openxmlformats.org/officeDocument/2006/relationships/hyperlink" Target="https://community.likeminds.community/exapython" TargetMode="External"/><Relationship Id="rId1693" Type="http://schemas.openxmlformats.org/officeDocument/2006/relationships/hyperlink" Target="https://community.likeminds.community/mom-shares-club" TargetMode="External"/><Relationship Id="rId2540" Type="http://schemas.openxmlformats.org/officeDocument/2006/relationships/hyperlink" Target="https://hi.likeminds.community/d/transformed-finance-professionals" TargetMode="External"/><Relationship Id="rId861" Type="http://schemas.openxmlformats.org/officeDocument/2006/relationships/hyperlink" Target="https://community.likeminds.community/exapython" TargetMode="External"/><Relationship Id="rId1210" Type="http://schemas.openxmlformats.org/officeDocument/2006/relationships/hyperlink" Target="https://hi.likeminds.community/d/happy-ashram" TargetMode="External"/><Relationship Id="rId1694" Type="http://schemas.openxmlformats.org/officeDocument/2006/relationships/hyperlink" Target="https://community.likeminds.community/mom-shares-club" TargetMode="External"/><Relationship Id="rId2541" Type="http://schemas.openxmlformats.org/officeDocument/2006/relationships/hyperlink" Target="https://hi.likeminds.community/d/transformed-finance-professionals" TargetMode="External"/><Relationship Id="rId860" Type="http://schemas.openxmlformats.org/officeDocument/2006/relationships/hyperlink" Target="https://community.likeminds.community/exapython" TargetMode="External"/><Relationship Id="rId1211" Type="http://schemas.openxmlformats.org/officeDocument/2006/relationships/hyperlink" Target="https://hi.likeminds.community/d/happy-ashram" TargetMode="External"/><Relationship Id="rId1695" Type="http://schemas.openxmlformats.org/officeDocument/2006/relationships/hyperlink" Target="https://community.likeminds.community/mom-shares-club" TargetMode="External"/><Relationship Id="rId2542" Type="http://schemas.openxmlformats.org/officeDocument/2006/relationships/hyperlink" Target="https://hi.likeminds.community/d/transformed-finance-professionals" TargetMode="External"/><Relationship Id="rId1212" Type="http://schemas.openxmlformats.org/officeDocument/2006/relationships/hyperlink" Target="https://hi.likeminds.community/d/happy-ashram" TargetMode="External"/><Relationship Id="rId1696" Type="http://schemas.openxmlformats.org/officeDocument/2006/relationships/hyperlink" Target="https://community.likeminds.community/mom-shares-club" TargetMode="External"/><Relationship Id="rId2543" Type="http://schemas.openxmlformats.org/officeDocument/2006/relationships/hyperlink" Target="https://hi.likeminds.community/d/transformed-finance-professionals" TargetMode="External"/><Relationship Id="rId1202" Type="http://schemas.openxmlformats.org/officeDocument/2006/relationships/hyperlink" Target="https://hi.likeminds.community/d/happy-ashram" TargetMode="External"/><Relationship Id="rId1686" Type="http://schemas.openxmlformats.org/officeDocument/2006/relationships/hyperlink" Target="https://community.likeminds.community/mom-shares-club" TargetMode="External"/><Relationship Id="rId2533" Type="http://schemas.openxmlformats.org/officeDocument/2006/relationships/hyperlink" Target="https://hi.likeminds.community/d/transformed-finance-professionals" TargetMode="External"/><Relationship Id="rId1203" Type="http://schemas.openxmlformats.org/officeDocument/2006/relationships/hyperlink" Target="https://hi.likeminds.community/d/happy-ashram" TargetMode="External"/><Relationship Id="rId1687" Type="http://schemas.openxmlformats.org/officeDocument/2006/relationships/hyperlink" Target="https://community.likeminds.community/mom-shares-club" TargetMode="External"/><Relationship Id="rId2534" Type="http://schemas.openxmlformats.org/officeDocument/2006/relationships/hyperlink" Target="https://hi.likeminds.community/d/transformed-finance-professionals" TargetMode="External"/><Relationship Id="rId1204" Type="http://schemas.openxmlformats.org/officeDocument/2006/relationships/hyperlink" Target="https://hi.likeminds.community/d/happy-ashram" TargetMode="External"/><Relationship Id="rId1688" Type="http://schemas.openxmlformats.org/officeDocument/2006/relationships/hyperlink" Target="https://community.likeminds.community/mom-shares-club" TargetMode="External"/><Relationship Id="rId2535" Type="http://schemas.openxmlformats.org/officeDocument/2006/relationships/hyperlink" Target="https://hi.likeminds.community/d/transformed-finance-professionals" TargetMode="External"/><Relationship Id="rId1205" Type="http://schemas.openxmlformats.org/officeDocument/2006/relationships/hyperlink" Target="https://hi.likeminds.community/d/happy-ashram" TargetMode="External"/><Relationship Id="rId1689" Type="http://schemas.openxmlformats.org/officeDocument/2006/relationships/hyperlink" Target="https://community.likeminds.community/mom-shares-club" TargetMode="External"/><Relationship Id="rId2536" Type="http://schemas.openxmlformats.org/officeDocument/2006/relationships/hyperlink" Target="https://hi.likeminds.community/d/transformed-finance-professionals" TargetMode="External"/><Relationship Id="rId1206" Type="http://schemas.openxmlformats.org/officeDocument/2006/relationships/hyperlink" Target="https://hi.likeminds.community/d/happy-ashram" TargetMode="External"/><Relationship Id="rId2537" Type="http://schemas.openxmlformats.org/officeDocument/2006/relationships/hyperlink" Target="https://hi.likeminds.community/d/transformed-finance-professionals" TargetMode="External"/><Relationship Id="rId1207" Type="http://schemas.openxmlformats.org/officeDocument/2006/relationships/hyperlink" Target="https://hi.likeminds.community/d/happy-ashram" TargetMode="External"/><Relationship Id="rId2538" Type="http://schemas.openxmlformats.org/officeDocument/2006/relationships/hyperlink" Target="https://hi.likeminds.community/d/transformed-finance-professionals" TargetMode="External"/><Relationship Id="rId1208" Type="http://schemas.openxmlformats.org/officeDocument/2006/relationships/hyperlink" Target="https://hi.likeminds.community/d/happy-ashram" TargetMode="External"/><Relationship Id="rId2539" Type="http://schemas.openxmlformats.org/officeDocument/2006/relationships/hyperlink" Target="https://hi.likeminds.community/d/transformed-finance-professionals" TargetMode="External"/><Relationship Id="rId1209" Type="http://schemas.openxmlformats.org/officeDocument/2006/relationships/hyperlink" Target="https://hi.likeminds.community/d/happy-ashram" TargetMode="External"/><Relationship Id="rId855" Type="http://schemas.openxmlformats.org/officeDocument/2006/relationships/hyperlink" Target="https://community.likeminds.community/exapython" TargetMode="External"/><Relationship Id="rId854" Type="http://schemas.openxmlformats.org/officeDocument/2006/relationships/hyperlink" Target="https://community.likeminds.community/exapython" TargetMode="External"/><Relationship Id="rId853" Type="http://schemas.openxmlformats.org/officeDocument/2006/relationships/hyperlink" Target="https://community.likeminds.community/exapython" TargetMode="External"/><Relationship Id="rId852" Type="http://schemas.openxmlformats.org/officeDocument/2006/relationships/hyperlink" Target="https://community.likeminds.community/exapython" TargetMode="External"/><Relationship Id="rId859" Type="http://schemas.openxmlformats.org/officeDocument/2006/relationships/hyperlink" Target="https://community.likeminds.community/exapython" TargetMode="External"/><Relationship Id="rId858" Type="http://schemas.openxmlformats.org/officeDocument/2006/relationships/hyperlink" Target="https://community.likeminds.community/exapython" TargetMode="External"/><Relationship Id="rId857" Type="http://schemas.openxmlformats.org/officeDocument/2006/relationships/hyperlink" Target="https://community.likeminds.community/exapython" TargetMode="External"/><Relationship Id="rId856" Type="http://schemas.openxmlformats.org/officeDocument/2006/relationships/hyperlink" Target="https://community.likeminds.community/exapython" TargetMode="External"/><Relationship Id="rId1680" Type="http://schemas.openxmlformats.org/officeDocument/2006/relationships/hyperlink" Target="https://community.likeminds.community/mom-shares-club" TargetMode="External"/><Relationship Id="rId1681" Type="http://schemas.openxmlformats.org/officeDocument/2006/relationships/hyperlink" Target="https://community.likeminds.community/mom-shares-club" TargetMode="External"/><Relationship Id="rId851" Type="http://schemas.openxmlformats.org/officeDocument/2006/relationships/hyperlink" Target="https://community.likeminds.community/exapython" TargetMode="External"/><Relationship Id="rId1682" Type="http://schemas.openxmlformats.org/officeDocument/2006/relationships/hyperlink" Target="https://community.likeminds.community/mom-shares-club" TargetMode="External"/><Relationship Id="rId850" Type="http://schemas.openxmlformats.org/officeDocument/2006/relationships/hyperlink" Target="https://community.likeminds.community/exapython" TargetMode="External"/><Relationship Id="rId1683" Type="http://schemas.openxmlformats.org/officeDocument/2006/relationships/hyperlink" Target="https://community.likeminds.community/mom-shares-club" TargetMode="External"/><Relationship Id="rId2530" Type="http://schemas.openxmlformats.org/officeDocument/2006/relationships/hyperlink" Target="https://hi.likeminds.community/d/transformed-finance-professionals" TargetMode="External"/><Relationship Id="rId1200" Type="http://schemas.openxmlformats.org/officeDocument/2006/relationships/hyperlink" Target="https://hi.likeminds.community/d/happy-ashram" TargetMode="External"/><Relationship Id="rId1684" Type="http://schemas.openxmlformats.org/officeDocument/2006/relationships/hyperlink" Target="https://community.likeminds.community/mom-shares-club" TargetMode="External"/><Relationship Id="rId2531" Type="http://schemas.openxmlformats.org/officeDocument/2006/relationships/hyperlink" Target="https://hi.likeminds.community/d/transformed-finance-professionals" TargetMode="External"/><Relationship Id="rId1201" Type="http://schemas.openxmlformats.org/officeDocument/2006/relationships/hyperlink" Target="https://hi.likeminds.community/d/happy-ashram" TargetMode="External"/><Relationship Id="rId1685" Type="http://schemas.openxmlformats.org/officeDocument/2006/relationships/hyperlink" Target="https://community.likeminds.community/mom-shares-club" TargetMode="External"/><Relationship Id="rId2532" Type="http://schemas.openxmlformats.org/officeDocument/2006/relationships/hyperlink" Target="https://hi.likeminds.community/d/transformed-finance-professionals" TargetMode="External"/><Relationship Id="rId1235" Type="http://schemas.openxmlformats.org/officeDocument/2006/relationships/hyperlink" Target="https://hi.likeminds.community/d/happy-living" TargetMode="External"/><Relationship Id="rId2566" Type="http://schemas.openxmlformats.org/officeDocument/2006/relationships/hyperlink" Target="https://community.likeminds.community/well-being" TargetMode="External"/><Relationship Id="rId1236" Type="http://schemas.openxmlformats.org/officeDocument/2006/relationships/hyperlink" Target="https://hi.likeminds.community/d/happy-living" TargetMode="External"/><Relationship Id="rId2567" Type="http://schemas.openxmlformats.org/officeDocument/2006/relationships/hyperlink" Target="https://community.likeminds.community/well-being" TargetMode="External"/><Relationship Id="rId1237" Type="http://schemas.openxmlformats.org/officeDocument/2006/relationships/hyperlink" Target="https://hi.likeminds.community/d/happy-living" TargetMode="External"/><Relationship Id="rId2568" Type="http://schemas.openxmlformats.org/officeDocument/2006/relationships/hyperlink" Target="https://community.likeminds.community/well-being" TargetMode="External"/><Relationship Id="rId1238" Type="http://schemas.openxmlformats.org/officeDocument/2006/relationships/hyperlink" Target="https://hi.likeminds.community/d/happy-living" TargetMode="External"/><Relationship Id="rId2569" Type="http://schemas.openxmlformats.org/officeDocument/2006/relationships/hyperlink" Target="https://community.likeminds.community/well-being" TargetMode="External"/><Relationship Id="rId1239" Type="http://schemas.openxmlformats.org/officeDocument/2006/relationships/hyperlink" Target="https://hi.likeminds.community/d/happy-living" TargetMode="External"/><Relationship Id="rId409" Type="http://schemas.openxmlformats.org/officeDocument/2006/relationships/hyperlink" Target="https://community.likeminds.community/debattlers" TargetMode="External"/><Relationship Id="rId404" Type="http://schemas.openxmlformats.org/officeDocument/2006/relationships/hyperlink" Target="https://community.likeminds.community/debattlers" TargetMode="External"/><Relationship Id="rId888" Type="http://schemas.openxmlformats.org/officeDocument/2006/relationships/hyperlink" Target="https://community.likeminds.community/exapython" TargetMode="External"/><Relationship Id="rId403" Type="http://schemas.openxmlformats.org/officeDocument/2006/relationships/hyperlink" Target="https://community.likeminds.community/debattlers" TargetMode="External"/><Relationship Id="rId887" Type="http://schemas.openxmlformats.org/officeDocument/2006/relationships/hyperlink" Target="https://community.likeminds.community/exapython" TargetMode="External"/><Relationship Id="rId402" Type="http://schemas.openxmlformats.org/officeDocument/2006/relationships/hyperlink" Target="https://community.likeminds.community/debattlers" TargetMode="External"/><Relationship Id="rId886" Type="http://schemas.openxmlformats.org/officeDocument/2006/relationships/hyperlink" Target="https://community.likeminds.community/exapython" TargetMode="External"/><Relationship Id="rId401" Type="http://schemas.openxmlformats.org/officeDocument/2006/relationships/hyperlink" Target="https://community.likeminds.community/debattlers" TargetMode="External"/><Relationship Id="rId885" Type="http://schemas.openxmlformats.org/officeDocument/2006/relationships/hyperlink" Target="https://community.likeminds.community/exapython" TargetMode="External"/><Relationship Id="rId408" Type="http://schemas.openxmlformats.org/officeDocument/2006/relationships/hyperlink" Target="https://community.likeminds.community/debattlers" TargetMode="External"/><Relationship Id="rId407" Type="http://schemas.openxmlformats.org/officeDocument/2006/relationships/hyperlink" Target="https://community.likeminds.community/debattlers" TargetMode="External"/><Relationship Id="rId406" Type="http://schemas.openxmlformats.org/officeDocument/2006/relationships/hyperlink" Target="https://community.likeminds.community/debattlers" TargetMode="External"/><Relationship Id="rId405" Type="http://schemas.openxmlformats.org/officeDocument/2006/relationships/hyperlink" Target="https://community.likeminds.community/debattlers" TargetMode="External"/><Relationship Id="rId889" Type="http://schemas.openxmlformats.org/officeDocument/2006/relationships/hyperlink" Target="https://community.likeminds.community/exapython" TargetMode="External"/><Relationship Id="rId880" Type="http://schemas.openxmlformats.org/officeDocument/2006/relationships/hyperlink" Target="https://community.likeminds.community/exapython" TargetMode="External"/><Relationship Id="rId2560" Type="http://schemas.openxmlformats.org/officeDocument/2006/relationships/hyperlink" Target="https://hi.likeminds.community/d/transformed-finance-professionals" TargetMode="External"/><Relationship Id="rId1230" Type="http://schemas.openxmlformats.org/officeDocument/2006/relationships/hyperlink" Target="https://hi.likeminds.community/d/happy-ashram" TargetMode="External"/><Relationship Id="rId2561" Type="http://schemas.openxmlformats.org/officeDocument/2006/relationships/hyperlink" Target="https://hi.likeminds.community/d/transformed-finance-professionals" TargetMode="External"/><Relationship Id="rId400" Type="http://schemas.openxmlformats.org/officeDocument/2006/relationships/hyperlink" Target="https://community.likeminds.community/debattlers" TargetMode="External"/><Relationship Id="rId884" Type="http://schemas.openxmlformats.org/officeDocument/2006/relationships/hyperlink" Target="https://community.likeminds.community/exapython" TargetMode="External"/><Relationship Id="rId1231" Type="http://schemas.openxmlformats.org/officeDocument/2006/relationships/hyperlink" Target="https://hi.likeminds.community/d/happy-ashram" TargetMode="External"/><Relationship Id="rId2562" Type="http://schemas.openxmlformats.org/officeDocument/2006/relationships/hyperlink" Target="https://hi.likeminds.community/d/transformed-finance-professionals" TargetMode="External"/><Relationship Id="rId883" Type="http://schemas.openxmlformats.org/officeDocument/2006/relationships/hyperlink" Target="https://community.likeminds.community/exapython" TargetMode="External"/><Relationship Id="rId1232" Type="http://schemas.openxmlformats.org/officeDocument/2006/relationships/hyperlink" Target="https://hi.likeminds.community/d/happy-ashram" TargetMode="External"/><Relationship Id="rId2563" Type="http://schemas.openxmlformats.org/officeDocument/2006/relationships/hyperlink" Target="https://hi.likeminds.community/d/transformed-finance-professionals" TargetMode="External"/><Relationship Id="rId882" Type="http://schemas.openxmlformats.org/officeDocument/2006/relationships/hyperlink" Target="https://community.likeminds.community/exapython" TargetMode="External"/><Relationship Id="rId1233" Type="http://schemas.openxmlformats.org/officeDocument/2006/relationships/hyperlink" Target="https://hi.likeminds.community/d/happy-ashram" TargetMode="External"/><Relationship Id="rId2564" Type="http://schemas.openxmlformats.org/officeDocument/2006/relationships/hyperlink" Target="https://hi.likeminds.community/d/transformed-finance-professionals" TargetMode="External"/><Relationship Id="rId881" Type="http://schemas.openxmlformats.org/officeDocument/2006/relationships/hyperlink" Target="https://community.likeminds.community/exapython" TargetMode="External"/><Relationship Id="rId1234" Type="http://schemas.openxmlformats.org/officeDocument/2006/relationships/hyperlink" Target="https://hi.likeminds.community/d/happy-living" TargetMode="External"/><Relationship Id="rId2565" Type="http://schemas.openxmlformats.org/officeDocument/2006/relationships/hyperlink" Target="https://hi.likeminds.community/d/pooja-misra" TargetMode="External"/><Relationship Id="rId1224" Type="http://schemas.openxmlformats.org/officeDocument/2006/relationships/hyperlink" Target="https://hi.likeminds.community/d/happy-ashram" TargetMode="External"/><Relationship Id="rId2555" Type="http://schemas.openxmlformats.org/officeDocument/2006/relationships/hyperlink" Target="https://hi.likeminds.community/d/transformed-finance-professionals" TargetMode="External"/><Relationship Id="rId1225" Type="http://schemas.openxmlformats.org/officeDocument/2006/relationships/hyperlink" Target="https://hi.likeminds.community/d/happy-ashram" TargetMode="External"/><Relationship Id="rId2556" Type="http://schemas.openxmlformats.org/officeDocument/2006/relationships/hyperlink" Target="https://hi.likeminds.community/d/transformed-finance-professionals" TargetMode="External"/><Relationship Id="rId1226" Type="http://schemas.openxmlformats.org/officeDocument/2006/relationships/hyperlink" Target="https://hi.likeminds.community/d/happy-ashram" TargetMode="External"/><Relationship Id="rId2557" Type="http://schemas.openxmlformats.org/officeDocument/2006/relationships/hyperlink" Target="https://hi.likeminds.community/d/transformed-finance-professionals" TargetMode="External"/><Relationship Id="rId1227" Type="http://schemas.openxmlformats.org/officeDocument/2006/relationships/hyperlink" Target="https://hi.likeminds.community/d/happy-ashram" TargetMode="External"/><Relationship Id="rId2558" Type="http://schemas.openxmlformats.org/officeDocument/2006/relationships/hyperlink" Target="https://hi.likeminds.community/d/transformed-finance-professionals" TargetMode="External"/><Relationship Id="rId1228" Type="http://schemas.openxmlformats.org/officeDocument/2006/relationships/hyperlink" Target="https://hi.likeminds.community/d/happy-ashram" TargetMode="External"/><Relationship Id="rId2559" Type="http://schemas.openxmlformats.org/officeDocument/2006/relationships/hyperlink" Target="https://hi.likeminds.community/d/transformed-finance-professionals" TargetMode="External"/><Relationship Id="rId1229" Type="http://schemas.openxmlformats.org/officeDocument/2006/relationships/hyperlink" Target="https://hi.likeminds.community/d/happy-ashram" TargetMode="External"/><Relationship Id="rId877" Type="http://schemas.openxmlformats.org/officeDocument/2006/relationships/hyperlink" Target="https://community.likeminds.community/exapython" TargetMode="External"/><Relationship Id="rId876" Type="http://schemas.openxmlformats.org/officeDocument/2006/relationships/hyperlink" Target="https://community.likeminds.community/exapython" TargetMode="External"/><Relationship Id="rId875" Type="http://schemas.openxmlformats.org/officeDocument/2006/relationships/hyperlink" Target="https://community.likeminds.community/exapython" TargetMode="External"/><Relationship Id="rId874" Type="http://schemas.openxmlformats.org/officeDocument/2006/relationships/hyperlink" Target="https://community.likeminds.community/exapython" TargetMode="External"/><Relationship Id="rId879" Type="http://schemas.openxmlformats.org/officeDocument/2006/relationships/hyperlink" Target="https://community.likeminds.community/exapython" TargetMode="External"/><Relationship Id="rId878" Type="http://schemas.openxmlformats.org/officeDocument/2006/relationships/hyperlink" Target="https://community.likeminds.community/exapython" TargetMode="External"/><Relationship Id="rId2550" Type="http://schemas.openxmlformats.org/officeDocument/2006/relationships/hyperlink" Target="https://hi.likeminds.community/d/transformed-finance-professionals" TargetMode="External"/><Relationship Id="rId873" Type="http://schemas.openxmlformats.org/officeDocument/2006/relationships/hyperlink" Target="https://community.likeminds.community/exapython" TargetMode="External"/><Relationship Id="rId1220" Type="http://schemas.openxmlformats.org/officeDocument/2006/relationships/hyperlink" Target="https://hi.likeminds.community/d/happy-ashram" TargetMode="External"/><Relationship Id="rId2551" Type="http://schemas.openxmlformats.org/officeDocument/2006/relationships/hyperlink" Target="https://hi.likeminds.community/d/transformed-finance-professionals" TargetMode="External"/><Relationship Id="rId872" Type="http://schemas.openxmlformats.org/officeDocument/2006/relationships/hyperlink" Target="https://community.likeminds.community/exapython" TargetMode="External"/><Relationship Id="rId1221" Type="http://schemas.openxmlformats.org/officeDocument/2006/relationships/hyperlink" Target="https://hi.likeminds.community/d/happy-ashram" TargetMode="External"/><Relationship Id="rId2552" Type="http://schemas.openxmlformats.org/officeDocument/2006/relationships/hyperlink" Target="https://hi.likeminds.community/d/transformed-finance-professionals" TargetMode="External"/><Relationship Id="rId871" Type="http://schemas.openxmlformats.org/officeDocument/2006/relationships/hyperlink" Target="https://community.likeminds.community/exapython" TargetMode="External"/><Relationship Id="rId1222" Type="http://schemas.openxmlformats.org/officeDocument/2006/relationships/hyperlink" Target="https://hi.likeminds.community/d/happy-ashram" TargetMode="External"/><Relationship Id="rId2553" Type="http://schemas.openxmlformats.org/officeDocument/2006/relationships/hyperlink" Target="https://hi.likeminds.community/d/transformed-finance-professionals" TargetMode="External"/><Relationship Id="rId870" Type="http://schemas.openxmlformats.org/officeDocument/2006/relationships/hyperlink" Target="https://community.likeminds.community/exapython" TargetMode="External"/><Relationship Id="rId1223" Type="http://schemas.openxmlformats.org/officeDocument/2006/relationships/hyperlink" Target="https://hi.likeminds.community/d/happy-ashram" TargetMode="External"/><Relationship Id="rId2554" Type="http://schemas.openxmlformats.org/officeDocument/2006/relationships/hyperlink" Target="https://hi.likeminds.community/d/transformed-finance-professionals" TargetMode="External"/><Relationship Id="rId1653" Type="http://schemas.openxmlformats.org/officeDocument/2006/relationships/hyperlink" Target="https://community.likeminds.community/d/lets-speak-english" TargetMode="External"/><Relationship Id="rId2500" Type="http://schemas.openxmlformats.org/officeDocument/2006/relationships/hyperlink" Target="https://hi.likeminds.community/d/transformed-finance-professionals" TargetMode="External"/><Relationship Id="rId1654" Type="http://schemas.openxmlformats.org/officeDocument/2006/relationships/hyperlink" Target="https://community.likeminds.community/d/lets-speak-english" TargetMode="External"/><Relationship Id="rId2501" Type="http://schemas.openxmlformats.org/officeDocument/2006/relationships/hyperlink" Target="https://hi.likeminds.community/d/transformed-finance-professionals" TargetMode="External"/><Relationship Id="rId1655" Type="http://schemas.openxmlformats.org/officeDocument/2006/relationships/hyperlink" Target="https://community.likeminds.community/d/lets-speak-english" TargetMode="External"/><Relationship Id="rId2502" Type="http://schemas.openxmlformats.org/officeDocument/2006/relationships/hyperlink" Target="https://hi.likeminds.community/d/transformed-finance-professionals" TargetMode="External"/><Relationship Id="rId1656" Type="http://schemas.openxmlformats.org/officeDocument/2006/relationships/hyperlink" Target="https://hi.likeminds.community/d/lets-speak-english" TargetMode="External"/><Relationship Id="rId2503" Type="http://schemas.openxmlformats.org/officeDocument/2006/relationships/hyperlink" Target="https://hi.likeminds.community/d/transformed-finance-professionals" TargetMode="External"/><Relationship Id="rId1657" Type="http://schemas.openxmlformats.org/officeDocument/2006/relationships/hyperlink" Target="https://community.likeminds.community/d/lets-speak-english" TargetMode="External"/><Relationship Id="rId2504" Type="http://schemas.openxmlformats.org/officeDocument/2006/relationships/hyperlink" Target="https://hi.likeminds.community/d/transformed-finance-professionals" TargetMode="External"/><Relationship Id="rId1658" Type="http://schemas.openxmlformats.org/officeDocument/2006/relationships/hyperlink" Target="https://community.likeminds.community/d/lets-speak-english" TargetMode="External"/><Relationship Id="rId2505" Type="http://schemas.openxmlformats.org/officeDocument/2006/relationships/hyperlink" Target="https://hi.likeminds.community/d/transformed-finance-professionals" TargetMode="External"/><Relationship Id="rId1659" Type="http://schemas.openxmlformats.org/officeDocument/2006/relationships/hyperlink" Target="https://community.likeminds.community/d/lets-speak-english" TargetMode="External"/><Relationship Id="rId2506" Type="http://schemas.openxmlformats.org/officeDocument/2006/relationships/hyperlink" Target="https://hi.likeminds.community/d/transformed-finance-professionals" TargetMode="External"/><Relationship Id="rId2507" Type="http://schemas.openxmlformats.org/officeDocument/2006/relationships/hyperlink" Target="https://hi.likeminds.community/d/transformed-finance-professionals" TargetMode="External"/><Relationship Id="rId2508" Type="http://schemas.openxmlformats.org/officeDocument/2006/relationships/hyperlink" Target="https://hi.likeminds.community/d/transformed-finance-professionals" TargetMode="External"/><Relationship Id="rId829" Type="http://schemas.openxmlformats.org/officeDocument/2006/relationships/hyperlink" Target="https://hi.likeminds.community/d/energy-healing-by-dr-bharti-dua" TargetMode="External"/><Relationship Id="rId2509" Type="http://schemas.openxmlformats.org/officeDocument/2006/relationships/hyperlink" Target="https://hi.likeminds.community/d/transformed-finance-professionals" TargetMode="External"/><Relationship Id="rId828" Type="http://schemas.openxmlformats.org/officeDocument/2006/relationships/hyperlink" Target="https://hi.likeminds.community/d/energy-healing-by-dr-bharti-dua" TargetMode="External"/><Relationship Id="rId827" Type="http://schemas.openxmlformats.org/officeDocument/2006/relationships/hyperlink" Target="https://hi.likeminds.community/d/energy-healing-by-dr-bharti-dua" TargetMode="External"/><Relationship Id="rId822" Type="http://schemas.openxmlformats.org/officeDocument/2006/relationships/hyperlink" Target="https://hi.likeminds.community/d/energy-healing-by-dr-bharti-dua" TargetMode="External"/><Relationship Id="rId821" Type="http://schemas.openxmlformats.org/officeDocument/2006/relationships/hyperlink" Target="https://hi.likeminds.community/d/energy-healing-by-dr-bharti-dua" TargetMode="External"/><Relationship Id="rId820" Type="http://schemas.openxmlformats.org/officeDocument/2006/relationships/hyperlink" Target="https://hi.likeminds.community/d/energy-healing-by-dr-bharti-dua" TargetMode="External"/><Relationship Id="rId826" Type="http://schemas.openxmlformats.org/officeDocument/2006/relationships/hyperlink" Target="https://hi.likeminds.community/d/energy-healing-by-dr-bharti-dua" TargetMode="External"/><Relationship Id="rId825" Type="http://schemas.openxmlformats.org/officeDocument/2006/relationships/hyperlink" Target="https://hi.likeminds.community/d/energy-healing-by-dr-bharti-dua" TargetMode="External"/><Relationship Id="rId824" Type="http://schemas.openxmlformats.org/officeDocument/2006/relationships/hyperlink" Target="https://hi.likeminds.community/d/energy-healing-by-dr-bharti-dua" TargetMode="External"/><Relationship Id="rId823" Type="http://schemas.openxmlformats.org/officeDocument/2006/relationships/hyperlink" Target="https://hi.likeminds.community/d/energy-healing-by-dr-bharti-dua" TargetMode="External"/><Relationship Id="rId1650" Type="http://schemas.openxmlformats.org/officeDocument/2006/relationships/hyperlink" Target="https://community.likeminds.community/d/lets-speak-english" TargetMode="External"/><Relationship Id="rId1651" Type="http://schemas.openxmlformats.org/officeDocument/2006/relationships/hyperlink" Target="https://community.likeminds.community/d/lets-speak-english" TargetMode="External"/><Relationship Id="rId1652" Type="http://schemas.openxmlformats.org/officeDocument/2006/relationships/hyperlink" Target="https://community.likeminds.community/d/lets-speak-english" TargetMode="External"/><Relationship Id="rId1642" Type="http://schemas.openxmlformats.org/officeDocument/2006/relationships/hyperlink" Target="https://community.likeminds.community/d/lets-speak-english" TargetMode="External"/><Relationship Id="rId1643" Type="http://schemas.openxmlformats.org/officeDocument/2006/relationships/hyperlink" Target="https://community.likeminds.community/d/lets-speak-english" TargetMode="External"/><Relationship Id="rId1644" Type="http://schemas.openxmlformats.org/officeDocument/2006/relationships/hyperlink" Target="https://community.likeminds.community/d/lets-speak-english" TargetMode="External"/><Relationship Id="rId1645" Type="http://schemas.openxmlformats.org/officeDocument/2006/relationships/hyperlink" Target="https://community.likeminds.community/d/lets-speak-english" TargetMode="External"/><Relationship Id="rId1646" Type="http://schemas.openxmlformats.org/officeDocument/2006/relationships/hyperlink" Target="https://hi.likeminds.community/d/lets-speak-english" TargetMode="External"/><Relationship Id="rId1647" Type="http://schemas.openxmlformats.org/officeDocument/2006/relationships/hyperlink" Target="https://community.likeminds.community/d/lets-speak-english" TargetMode="External"/><Relationship Id="rId1648" Type="http://schemas.openxmlformats.org/officeDocument/2006/relationships/hyperlink" Target="https://community.likeminds.community/d/lets-speak-english" TargetMode="External"/><Relationship Id="rId1649" Type="http://schemas.openxmlformats.org/officeDocument/2006/relationships/hyperlink" Target="https://community.likeminds.community/d/lets-speak-english" TargetMode="External"/><Relationship Id="rId819" Type="http://schemas.openxmlformats.org/officeDocument/2006/relationships/hyperlink" Target="https://hi.likeminds.community/d/energy-healing-by-dr-bharti-dua" TargetMode="External"/><Relationship Id="rId818" Type="http://schemas.openxmlformats.org/officeDocument/2006/relationships/hyperlink" Target="https://hi.likeminds.community/d/energy-healing-by-dr-bharti-dua" TargetMode="External"/><Relationship Id="rId817" Type="http://schemas.openxmlformats.org/officeDocument/2006/relationships/hyperlink" Target="https://hi.likeminds.community/d/energy-healing-by-dr-bharti-dua" TargetMode="External"/><Relationship Id="rId816" Type="http://schemas.openxmlformats.org/officeDocument/2006/relationships/hyperlink" Target="https://hi.likeminds.community/d/energy-healing-by-dr-bharti-dua" TargetMode="External"/><Relationship Id="rId811" Type="http://schemas.openxmlformats.org/officeDocument/2006/relationships/hyperlink" Target="https://hi.likeminds.community/d/energy-healing-by-dr-bharti-dua" TargetMode="External"/><Relationship Id="rId810" Type="http://schemas.openxmlformats.org/officeDocument/2006/relationships/hyperlink" Target="https://hi.likeminds.community/d/energy-healing-by-dr-bharti-dua" TargetMode="External"/><Relationship Id="rId815" Type="http://schemas.openxmlformats.org/officeDocument/2006/relationships/hyperlink" Target="https://hi.likeminds.community/d/energy-healing-by-dr-bharti-dua" TargetMode="External"/><Relationship Id="rId814" Type="http://schemas.openxmlformats.org/officeDocument/2006/relationships/hyperlink" Target="https://hi.likeminds.community/d/energy-healing-by-dr-bharti-dua" TargetMode="External"/><Relationship Id="rId813" Type="http://schemas.openxmlformats.org/officeDocument/2006/relationships/hyperlink" Target="https://hi.likeminds.community/d/energy-healing-by-dr-bharti-dua" TargetMode="External"/><Relationship Id="rId812" Type="http://schemas.openxmlformats.org/officeDocument/2006/relationships/hyperlink" Target="https://hi.likeminds.community/d/energy-healing-by-dr-bharti-dua" TargetMode="External"/><Relationship Id="rId1640" Type="http://schemas.openxmlformats.org/officeDocument/2006/relationships/hyperlink" Target="https://community.likeminds.community/d/lets-speak-english" TargetMode="External"/><Relationship Id="rId1641" Type="http://schemas.openxmlformats.org/officeDocument/2006/relationships/hyperlink" Target="https://community.likeminds.community/d/lets-speak-english" TargetMode="External"/><Relationship Id="rId1675" Type="http://schemas.openxmlformats.org/officeDocument/2006/relationships/hyperlink" Target="https://community.likeminds.community/mom-shares-club" TargetMode="External"/><Relationship Id="rId2522" Type="http://schemas.openxmlformats.org/officeDocument/2006/relationships/hyperlink" Target="https://hi.likeminds.community/d/transformed-finance-professionals" TargetMode="External"/><Relationship Id="rId1676" Type="http://schemas.openxmlformats.org/officeDocument/2006/relationships/hyperlink" Target="https://community.likeminds.community/mom-shares-club" TargetMode="External"/><Relationship Id="rId2523" Type="http://schemas.openxmlformats.org/officeDocument/2006/relationships/hyperlink" Target="https://hi.likeminds.community/d/transformed-finance-professionals" TargetMode="External"/><Relationship Id="rId1677" Type="http://schemas.openxmlformats.org/officeDocument/2006/relationships/hyperlink" Target="https://community.likeminds.community/mom-shares-club" TargetMode="External"/><Relationship Id="rId2524" Type="http://schemas.openxmlformats.org/officeDocument/2006/relationships/hyperlink" Target="https://hi.likeminds.community/d/transformed-finance-professionals" TargetMode="External"/><Relationship Id="rId1678" Type="http://schemas.openxmlformats.org/officeDocument/2006/relationships/hyperlink" Target="https://community.likeminds.community/mom-shares-club" TargetMode="External"/><Relationship Id="rId2525" Type="http://schemas.openxmlformats.org/officeDocument/2006/relationships/hyperlink" Target="https://hi.likeminds.community/d/transformed-finance-professionals" TargetMode="External"/><Relationship Id="rId1679" Type="http://schemas.openxmlformats.org/officeDocument/2006/relationships/hyperlink" Target="https://community.likeminds.community/mom-shares-club" TargetMode="External"/><Relationship Id="rId2526" Type="http://schemas.openxmlformats.org/officeDocument/2006/relationships/hyperlink" Target="https://hi.likeminds.community/d/transformed-finance-professionals" TargetMode="External"/><Relationship Id="rId2527" Type="http://schemas.openxmlformats.org/officeDocument/2006/relationships/hyperlink" Target="https://hi.likeminds.community/d/transformed-finance-professionals" TargetMode="External"/><Relationship Id="rId2528" Type="http://schemas.openxmlformats.org/officeDocument/2006/relationships/hyperlink" Target="https://hi.likeminds.community/d/transformed-finance-professionals" TargetMode="External"/><Relationship Id="rId2529" Type="http://schemas.openxmlformats.org/officeDocument/2006/relationships/hyperlink" Target="https://hi.likeminds.community/d/transformed-finance-professionals" TargetMode="External"/><Relationship Id="rId849" Type="http://schemas.openxmlformats.org/officeDocument/2006/relationships/hyperlink" Target="https://community.likeminds.community/exapython" TargetMode="External"/><Relationship Id="rId844" Type="http://schemas.openxmlformats.org/officeDocument/2006/relationships/hyperlink" Target="https://community.likeminds.community/exapython" TargetMode="External"/><Relationship Id="rId843" Type="http://schemas.openxmlformats.org/officeDocument/2006/relationships/hyperlink" Target="https://community.likeminds.community/exapython" TargetMode="External"/><Relationship Id="rId842" Type="http://schemas.openxmlformats.org/officeDocument/2006/relationships/hyperlink" Target="https://community.likeminds.community/exapython" TargetMode="External"/><Relationship Id="rId841" Type="http://schemas.openxmlformats.org/officeDocument/2006/relationships/hyperlink" Target="https://community.likeminds.community/exapython" TargetMode="External"/><Relationship Id="rId848" Type="http://schemas.openxmlformats.org/officeDocument/2006/relationships/hyperlink" Target="https://community.likeminds.community/exapython" TargetMode="External"/><Relationship Id="rId847" Type="http://schemas.openxmlformats.org/officeDocument/2006/relationships/hyperlink" Target="https://community.likeminds.community/exapython" TargetMode="External"/><Relationship Id="rId846" Type="http://schemas.openxmlformats.org/officeDocument/2006/relationships/hyperlink" Target="https://community.likeminds.community/exapython" TargetMode="External"/><Relationship Id="rId845" Type="http://schemas.openxmlformats.org/officeDocument/2006/relationships/hyperlink" Target="https://community.likeminds.community/exapython" TargetMode="External"/><Relationship Id="rId1670" Type="http://schemas.openxmlformats.org/officeDocument/2006/relationships/hyperlink" Target="https://hi.likeminds.community/d/mentor-mate" TargetMode="External"/><Relationship Id="rId840" Type="http://schemas.openxmlformats.org/officeDocument/2006/relationships/hyperlink" Target="https://community.likeminds.community/exapython" TargetMode="External"/><Relationship Id="rId1671" Type="http://schemas.openxmlformats.org/officeDocument/2006/relationships/hyperlink" Target="https://community.likeminds.community/mom-shares-club" TargetMode="External"/><Relationship Id="rId1672" Type="http://schemas.openxmlformats.org/officeDocument/2006/relationships/hyperlink" Target="https://community.likeminds.community/mom-shares-club" TargetMode="External"/><Relationship Id="rId1673" Type="http://schemas.openxmlformats.org/officeDocument/2006/relationships/hyperlink" Target="https://community.likeminds.community/mom-shares-club" TargetMode="External"/><Relationship Id="rId2520" Type="http://schemas.openxmlformats.org/officeDocument/2006/relationships/hyperlink" Target="https://hi.likeminds.community/d/transformed-finance-professionals" TargetMode="External"/><Relationship Id="rId1674" Type="http://schemas.openxmlformats.org/officeDocument/2006/relationships/hyperlink" Target="https://community.likeminds.community/mom-shares-club" TargetMode="External"/><Relationship Id="rId2521" Type="http://schemas.openxmlformats.org/officeDocument/2006/relationships/hyperlink" Target="https://hi.likeminds.community/d/transformed-finance-professionals" TargetMode="External"/><Relationship Id="rId1664" Type="http://schemas.openxmlformats.org/officeDocument/2006/relationships/hyperlink" Target="https://community.likeminds.community/d/lets-speak-english" TargetMode="External"/><Relationship Id="rId2511" Type="http://schemas.openxmlformats.org/officeDocument/2006/relationships/hyperlink" Target="https://hi.likeminds.community/d/transformed-finance-professionals" TargetMode="External"/><Relationship Id="rId1665" Type="http://schemas.openxmlformats.org/officeDocument/2006/relationships/hyperlink" Target="https://hi.likeminds.community/d/lets-speak-english" TargetMode="External"/><Relationship Id="rId2512" Type="http://schemas.openxmlformats.org/officeDocument/2006/relationships/hyperlink" Target="https://hi.likeminds.community/d/transformed-finance-professionals" TargetMode="External"/><Relationship Id="rId1666" Type="http://schemas.openxmlformats.org/officeDocument/2006/relationships/hyperlink" Target="https://community.likeminds.community/d/lets-speak-english" TargetMode="External"/><Relationship Id="rId2513" Type="http://schemas.openxmlformats.org/officeDocument/2006/relationships/hyperlink" Target="https://hi.likeminds.community/d/transformed-finance-professionals" TargetMode="External"/><Relationship Id="rId1667" Type="http://schemas.openxmlformats.org/officeDocument/2006/relationships/hyperlink" Target="https://hi.likeminds.community/d/lets-speak-english" TargetMode="External"/><Relationship Id="rId2514" Type="http://schemas.openxmlformats.org/officeDocument/2006/relationships/hyperlink" Target="https://hi.likeminds.community/d/transformed-finance-professionals" TargetMode="External"/><Relationship Id="rId1668" Type="http://schemas.openxmlformats.org/officeDocument/2006/relationships/hyperlink" Target="https://hi.likeminds.community/d/magical-parenting" TargetMode="External"/><Relationship Id="rId2515" Type="http://schemas.openxmlformats.org/officeDocument/2006/relationships/hyperlink" Target="https://hi.likeminds.community/d/transformed-finance-professionals" TargetMode="External"/><Relationship Id="rId1669" Type="http://schemas.openxmlformats.org/officeDocument/2006/relationships/hyperlink" Target="https://hi.likeminds.community/d/magical-parenting" TargetMode="External"/><Relationship Id="rId2516" Type="http://schemas.openxmlformats.org/officeDocument/2006/relationships/hyperlink" Target="https://hi.likeminds.community/d/transformed-finance-professionals" TargetMode="External"/><Relationship Id="rId2517" Type="http://schemas.openxmlformats.org/officeDocument/2006/relationships/hyperlink" Target="https://hi.likeminds.community/d/transformed-finance-professionals" TargetMode="External"/><Relationship Id="rId2518" Type="http://schemas.openxmlformats.org/officeDocument/2006/relationships/hyperlink" Target="https://hi.likeminds.community/d/transformed-finance-professionals" TargetMode="External"/><Relationship Id="rId2519" Type="http://schemas.openxmlformats.org/officeDocument/2006/relationships/hyperlink" Target="https://hi.likeminds.community/d/transformed-finance-professionals" TargetMode="External"/><Relationship Id="rId839" Type="http://schemas.openxmlformats.org/officeDocument/2006/relationships/hyperlink" Target="https://community.likeminds.community/exapython" TargetMode="External"/><Relationship Id="rId838" Type="http://schemas.openxmlformats.org/officeDocument/2006/relationships/hyperlink" Target="https://community.likeminds.community/exapython" TargetMode="External"/><Relationship Id="rId833" Type="http://schemas.openxmlformats.org/officeDocument/2006/relationships/hyperlink" Target="https://community.likeminds.community/exapython" TargetMode="External"/><Relationship Id="rId832" Type="http://schemas.openxmlformats.org/officeDocument/2006/relationships/hyperlink" Target="https://community.likeminds.community/exapython" TargetMode="External"/><Relationship Id="rId831" Type="http://schemas.openxmlformats.org/officeDocument/2006/relationships/hyperlink" Target="https://community.likeminds.community/exapython" TargetMode="External"/><Relationship Id="rId830" Type="http://schemas.openxmlformats.org/officeDocument/2006/relationships/hyperlink" Target="https://community.likeminds.community/exapython" TargetMode="External"/><Relationship Id="rId837" Type="http://schemas.openxmlformats.org/officeDocument/2006/relationships/hyperlink" Target="https://community.likeminds.community/exapython" TargetMode="External"/><Relationship Id="rId836" Type="http://schemas.openxmlformats.org/officeDocument/2006/relationships/hyperlink" Target="https://community.likeminds.community/exapython" TargetMode="External"/><Relationship Id="rId835" Type="http://schemas.openxmlformats.org/officeDocument/2006/relationships/hyperlink" Target="https://community.likeminds.community/exapython" TargetMode="External"/><Relationship Id="rId834" Type="http://schemas.openxmlformats.org/officeDocument/2006/relationships/hyperlink" Target="https://community.likeminds.community/exapython" TargetMode="External"/><Relationship Id="rId1660" Type="http://schemas.openxmlformats.org/officeDocument/2006/relationships/hyperlink" Target="https://community.likeminds.community/d/lets-speak-english" TargetMode="External"/><Relationship Id="rId1661" Type="http://schemas.openxmlformats.org/officeDocument/2006/relationships/hyperlink" Target="https://community.likeminds.community/d/lets-speak-english" TargetMode="External"/><Relationship Id="rId1662" Type="http://schemas.openxmlformats.org/officeDocument/2006/relationships/hyperlink" Target="https://community.likeminds.community/d/lets-speak-english" TargetMode="External"/><Relationship Id="rId1663" Type="http://schemas.openxmlformats.org/officeDocument/2006/relationships/hyperlink" Target="https://community.likeminds.community/d/lets-speak-english" TargetMode="External"/><Relationship Id="rId2510" Type="http://schemas.openxmlformats.org/officeDocument/2006/relationships/hyperlink" Target="https://hi.likeminds.community/d/transformed-finance-professionals" TargetMode="External"/><Relationship Id="rId2148" Type="http://schemas.openxmlformats.org/officeDocument/2006/relationships/hyperlink" Target="https://hi.likeminds.community/python-geeks" TargetMode="External"/><Relationship Id="rId2149" Type="http://schemas.openxmlformats.org/officeDocument/2006/relationships/hyperlink" Target="https://hi.likeminds.community/python-geeks" TargetMode="External"/><Relationship Id="rId469" Type="http://schemas.openxmlformats.org/officeDocument/2006/relationships/hyperlink" Target="https://community.likeminds.community/debattlers" TargetMode="External"/><Relationship Id="rId468" Type="http://schemas.openxmlformats.org/officeDocument/2006/relationships/hyperlink" Target="https://community.likeminds.community/debattlers" TargetMode="External"/><Relationship Id="rId467" Type="http://schemas.openxmlformats.org/officeDocument/2006/relationships/hyperlink" Target="https://community.likeminds.community/debattlers" TargetMode="External"/><Relationship Id="rId1290" Type="http://schemas.openxmlformats.org/officeDocument/2006/relationships/hyperlink" Target="https://hi.likeminds.community/d/ishavasya-yoga-relaxation" TargetMode="External"/><Relationship Id="rId1291" Type="http://schemas.openxmlformats.org/officeDocument/2006/relationships/hyperlink" Target="https://hi.likeminds.community/d/ishavasya-yoga-relaxation" TargetMode="External"/><Relationship Id="rId1292" Type="http://schemas.openxmlformats.org/officeDocument/2006/relationships/hyperlink" Target="https://hi.likeminds.community/d/ishavasya-yoga-relaxation" TargetMode="External"/><Relationship Id="rId462" Type="http://schemas.openxmlformats.org/officeDocument/2006/relationships/hyperlink" Target="https://community.likeminds.community/debattlers" TargetMode="External"/><Relationship Id="rId1293" Type="http://schemas.openxmlformats.org/officeDocument/2006/relationships/hyperlink" Target="https://hi.likeminds.community/d/ishavasya-yoga-relaxation" TargetMode="External"/><Relationship Id="rId2140" Type="http://schemas.openxmlformats.org/officeDocument/2006/relationships/hyperlink" Target="https://hi.likeminds.community/python-geeks" TargetMode="External"/><Relationship Id="rId461" Type="http://schemas.openxmlformats.org/officeDocument/2006/relationships/hyperlink" Target="https://community.likeminds.community/debattlers" TargetMode="External"/><Relationship Id="rId1294" Type="http://schemas.openxmlformats.org/officeDocument/2006/relationships/hyperlink" Target="https://hi.likeminds.community/d/ishavasya-yoga-relaxation" TargetMode="External"/><Relationship Id="rId2141" Type="http://schemas.openxmlformats.org/officeDocument/2006/relationships/hyperlink" Target="https://hi.likeminds.community/python-geeks" TargetMode="External"/><Relationship Id="rId460" Type="http://schemas.openxmlformats.org/officeDocument/2006/relationships/hyperlink" Target="https://community.likeminds.community/debattlers" TargetMode="External"/><Relationship Id="rId1295" Type="http://schemas.openxmlformats.org/officeDocument/2006/relationships/hyperlink" Target="https://hi.likeminds.community/d/ishavasya-yoga-relaxation" TargetMode="External"/><Relationship Id="rId2142" Type="http://schemas.openxmlformats.org/officeDocument/2006/relationships/hyperlink" Target="https://hi.likeminds.community/python-geeks" TargetMode="External"/><Relationship Id="rId1296" Type="http://schemas.openxmlformats.org/officeDocument/2006/relationships/hyperlink" Target="https://hi.likeminds.community/d/ishavasya-yoga-relaxation" TargetMode="External"/><Relationship Id="rId2143" Type="http://schemas.openxmlformats.org/officeDocument/2006/relationships/hyperlink" Target="https://hi.likeminds.community/python-geeks" TargetMode="External"/><Relationship Id="rId466" Type="http://schemas.openxmlformats.org/officeDocument/2006/relationships/hyperlink" Target="https://community.likeminds.community/debattlers" TargetMode="External"/><Relationship Id="rId1297" Type="http://schemas.openxmlformats.org/officeDocument/2006/relationships/hyperlink" Target="https://hi.likeminds.community/d/ishavasya-yoga-relaxation" TargetMode="External"/><Relationship Id="rId2144" Type="http://schemas.openxmlformats.org/officeDocument/2006/relationships/hyperlink" Target="https://hi.likeminds.community/python-geeks" TargetMode="External"/><Relationship Id="rId465" Type="http://schemas.openxmlformats.org/officeDocument/2006/relationships/hyperlink" Target="https://community.likeminds.community/debattlers" TargetMode="External"/><Relationship Id="rId1298" Type="http://schemas.openxmlformats.org/officeDocument/2006/relationships/hyperlink" Target="https://hi.likeminds.community/d/ishavasya-yoga-relaxation" TargetMode="External"/><Relationship Id="rId2145" Type="http://schemas.openxmlformats.org/officeDocument/2006/relationships/hyperlink" Target="https://hi.likeminds.community/python-geeks" TargetMode="External"/><Relationship Id="rId464" Type="http://schemas.openxmlformats.org/officeDocument/2006/relationships/hyperlink" Target="https://community.likeminds.community/debattlers" TargetMode="External"/><Relationship Id="rId1299" Type="http://schemas.openxmlformats.org/officeDocument/2006/relationships/hyperlink" Target="https://hi.likeminds.community/d/ishavasya-yoga-relaxation" TargetMode="External"/><Relationship Id="rId2146" Type="http://schemas.openxmlformats.org/officeDocument/2006/relationships/hyperlink" Target="https://hi.likeminds.community/python-geeks" TargetMode="External"/><Relationship Id="rId463" Type="http://schemas.openxmlformats.org/officeDocument/2006/relationships/hyperlink" Target="https://community.likeminds.community/debattlers" TargetMode="External"/><Relationship Id="rId2147" Type="http://schemas.openxmlformats.org/officeDocument/2006/relationships/hyperlink" Target="https://hi.likeminds.community/python-geeks" TargetMode="External"/><Relationship Id="rId2137" Type="http://schemas.openxmlformats.org/officeDocument/2006/relationships/hyperlink" Target="https://hi.likeminds.community/python-geeks" TargetMode="External"/><Relationship Id="rId2138" Type="http://schemas.openxmlformats.org/officeDocument/2006/relationships/hyperlink" Target="https://hi.likeminds.community/python-geeks" TargetMode="External"/><Relationship Id="rId2139" Type="http://schemas.openxmlformats.org/officeDocument/2006/relationships/hyperlink" Target="https://hi.likeminds.community/python-geeks" TargetMode="External"/><Relationship Id="rId459" Type="http://schemas.openxmlformats.org/officeDocument/2006/relationships/hyperlink" Target="https://community.likeminds.community/debattlers" TargetMode="External"/><Relationship Id="rId458" Type="http://schemas.openxmlformats.org/officeDocument/2006/relationships/hyperlink" Target="https://community.likeminds.community/debattlers" TargetMode="External"/><Relationship Id="rId457" Type="http://schemas.openxmlformats.org/officeDocument/2006/relationships/hyperlink" Target="https://community.likeminds.community/debattlers" TargetMode="External"/><Relationship Id="rId456" Type="http://schemas.openxmlformats.org/officeDocument/2006/relationships/hyperlink" Target="https://community.likeminds.community/debattlers" TargetMode="External"/><Relationship Id="rId1280" Type="http://schemas.openxmlformats.org/officeDocument/2006/relationships/hyperlink" Target="https://hi.likeminds.community/d/ishavasya-yoga-relaxation" TargetMode="External"/><Relationship Id="rId1281" Type="http://schemas.openxmlformats.org/officeDocument/2006/relationships/hyperlink" Target="https://hi.likeminds.community/d/ishavasya-yoga-relaxation" TargetMode="External"/><Relationship Id="rId451" Type="http://schemas.openxmlformats.org/officeDocument/2006/relationships/hyperlink" Target="https://community.likeminds.community/debattlers" TargetMode="External"/><Relationship Id="rId1282" Type="http://schemas.openxmlformats.org/officeDocument/2006/relationships/hyperlink" Target="https://hi.likeminds.community/d/ishavasya-yoga-relaxation" TargetMode="External"/><Relationship Id="rId450" Type="http://schemas.openxmlformats.org/officeDocument/2006/relationships/hyperlink" Target="https://community.likeminds.community/debattlers" TargetMode="External"/><Relationship Id="rId1283" Type="http://schemas.openxmlformats.org/officeDocument/2006/relationships/hyperlink" Target="https://hi.likeminds.community/d/ishavasya-yoga-relaxation" TargetMode="External"/><Relationship Id="rId2130" Type="http://schemas.openxmlformats.org/officeDocument/2006/relationships/hyperlink" Target="https://hi.likeminds.community/python-geeks" TargetMode="External"/><Relationship Id="rId1284" Type="http://schemas.openxmlformats.org/officeDocument/2006/relationships/hyperlink" Target="https://hi.likeminds.community/d/ishavasya-yoga-relaxation" TargetMode="External"/><Relationship Id="rId2131" Type="http://schemas.openxmlformats.org/officeDocument/2006/relationships/hyperlink" Target="https://hi.likeminds.community/python-geeks" TargetMode="External"/><Relationship Id="rId1285" Type="http://schemas.openxmlformats.org/officeDocument/2006/relationships/hyperlink" Target="https://hi.likeminds.community/d/ishavasya-yoga-relaxation" TargetMode="External"/><Relationship Id="rId2132" Type="http://schemas.openxmlformats.org/officeDocument/2006/relationships/hyperlink" Target="https://hi.likeminds.community/python-geeks" TargetMode="External"/><Relationship Id="rId455" Type="http://schemas.openxmlformats.org/officeDocument/2006/relationships/hyperlink" Target="https://community.likeminds.community/debattlers" TargetMode="External"/><Relationship Id="rId1286" Type="http://schemas.openxmlformats.org/officeDocument/2006/relationships/hyperlink" Target="https://hi.likeminds.community/d/ishavasya-yoga-relaxation" TargetMode="External"/><Relationship Id="rId2133" Type="http://schemas.openxmlformats.org/officeDocument/2006/relationships/hyperlink" Target="https://hi.likeminds.community/python-geeks" TargetMode="External"/><Relationship Id="rId454" Type="http://schemas.openxmlformats.org/officeDocument/2006/relationships/hyperlink" Target="https://community.likeminds.community/debattlers" TargetMode="External"/><Relationship Id="rId1287" Type="http://schemas.openxmlformats.org/officeDocument/2006/relationships/hyperlink" Target="https://hi.likeminds.community/d/ishavasya-yoga-relaxation" TargetMode="External"/><Relationship Id="rId2134" Type="http://schemas.openxmlformats.org/officeDocument/2006/relationships/hyperlink" Target="https://hi.likeminds.community/python-geeks" TargetMode="External"/><Relationship Id="rId453" Type="http://schemas.openxmlformats.org/officeDocument/2006/relationships/hyperlink" Target="https://community.likeminds.community/debattlers" TargetMode="External"/><Relationship Id="rId1288" Type="http://schemas.openxmlformats.org/officeDocument/2006/relationships/hyperlink" Target="https://hi.likeminds.community/d/ishavasya-yoga-relaxation" TargetMode="External"/><Relationship Id="rId2135" Type="http://schemas.openxmlformats.org/officeDocument/2006/relationships/hyperlink" Target="https://hi.likeminds.community/python-geeks" TargetMode="External"/><Relationship Id="rId452" Type="http://schemas.openxmlformats.org/officeDocument/2006/relationships/hyperlink" Target="https://hi.likeminds.community/debattlers" TargetMode="External"/><Relationship Id="rId1289" Type="http://schemas.openxmlformats.org/officeDocument/2006/relationships/hyperlink" Target="https://hi.likeminds.community/d/ishavasya-yoga-relaxation" TargetMode="External"/><Relationship Id="rId2136" Type="http://schemas.openxmlformats.org/officeDocument/2006/relationships/hyperlink" Target="https://hi.likeminds.community/python-geeks" TargetMode="External"/><Relationship Id="rId491" Type="http://schemas.openxmlformats.org/officeDocument/2006/relationships/hyperlink" Target="https://hi.likeminds.community/d/design-forward" TargetMode="External"/><Relationship Id="rId490" Type="http://schemas.openxmlformats.org/officeDocument/2006/relationships/hyperlink" Target="https://hi.likeminds.community/d/design-forward" TargetMode="External"/><Relationship Id="rId489" Type="http://schemas.openxmlformats.org/officeDocument/2006/relationships/hyperlink" Target="https://hi.likeminds.community/d/design-forward" TargetMode="External"/><Relationship Id="rId2160" Type="http://schemas.openxmlformats.org/officeDocument/2006/relationships/hyperlink" Target="https://hi.likeminds.community/d/rapto-bhara-jeevan" TargetMode="External"/><Relationship Id="rId2161" Type="http://schemas.openxmlformats.org/officeDocument/2006/relationships/hyperlink" Target="https://hi.likeminds.community/d/rapto-bhara-jeevan" TargetMode="External"/><Relationship Id="rId484" Type="http://schemas.openxmlformats.org/officeDocument/2006/relationships/hyperlink" Target="https://hi.likeminds.community/d/design-forward" TargetMode="External"/><Relationship Id="rId2162" Type="http://schemas.openxmlformats.org/officeDocument/2006/relationships/hyperlink" Target="https://hi.likeminds.community/d/rapto-bhara-jeevan" TargetMode="External"/><Relationship Id="rId483" Type="http://schemas.openxmlformats.org/officeDocument/2006/relationships/hyperlink" Target="https://hi.likeminds.community/d/design-forward" TargetMode="External"/><Relationship Id="rId2163" Type="http://schemas.openxmlformats.org/officeDocument/2006/relationships/hyperlink" Target="https://hi.likeminds.community/d/rapto-bhara-jeevan" TargetMode="External"/><Relationship Id="rId482" Type="http://schemas.openxmlformats.org/officeDocument/2006/relationships/hyperlink" Target="https://hi.likeminds.community/d/design-forward" TargetMode="External"/><Relationship Id="rId2164" Type="http://schemas.openxmlformats.org/officeDocument/2006/relationships/hyperlink" Target="https://hi.likeminds.community/d/rapto-bhara-jeevan" TargetMode="External"/><Relationship Id="rId481" Type="http://schemas.openxmlformats.org/officeDocument/2006/relationships/hyperlink" Target="https://hi.likeminds.community/d/design-forward" TargetMode="External"/><Relationship Id="rId2165" Type="http://schemas.openxmlformats.org/officeDocument/2006/relationships/hyperlink" Target="https://hi.likeminds.community/d/rapto-bhara-jeevan" TargetMode="External"/><Relationship Id="rId488" Type="http://schemas.openxmlformats.org/officeDocument/2006/relationships/hyperlink" Target="https://hi.likeminds.community/d/design-forward" TargetMode="External"/><Relationship Id="rId2166" Type="http://schemas.openxmlformats.org/officeDocument/2006/relationships/hyperlink" Target="https://hi.likeminds.community/d/rapto-bhara-jeevan" TargetMode="External"/><Relationship Id="rId487" Type="http://schemas.openxmlformats.org/officeDocument/2006/relationships/hyperlink" Target="https://hi.likeminds.community/d/design-forward" TargetMode="External"/><Relationship Id="rId2167" Type="http://schemas.openxmlformats.org/officeDocument/2006/relationships/hyperlink" Target="https://hi.likeminds.community/d/rapto-bhara-jeevan" TargetMode="External"/><Relationship Id="rId486" Type="http://schemas.openxmlformats.org/officeDocument/2006/relationships/hyperlink" Target="https://hi.likeminds.community/d/design-forward" TargetMode="External"/><Relationship Id="rId2168" Type="http://schemas.openxmlformats.org/officeDocument/2006/relationships/hyperlink" Target="https://hi.likeminds.community/d/rapto-bhara-jeevan" TargetMode="External"/><Relationship Id="rId485" Type="http://schemas.openxmlformats.org/officeDocument/2006/relationships/hyperlink" Target="https://hi.likeminds.community/d/design-forward" TargetMode="External"/><Relationship Id="rId2169" Type="http://schemas.openxmlformats.org/officeDocument/2006/relationships/hyperlink" Target="https://hi.likeminds.community/d/rapto-bhara-jeevan" TargetMode="External"/><Relationship Id="rId2159" Type="http://schemas.openxmlformats.org/officeDocument/2006/relationships/hyperlink" Target="https://hi.likeminds.community/d/rapto-bhara-jeevan" TargetMode="External"/><Relationship Id="rId480" Type="http://schemas.openxmlformats.org/officeDocument/2006/relationships/hyperlink" Target="https://hi.likeminds.community/d/design-forward" TargetMode="External"/><Relationship Id="rId479" Type="http://schemas.openxmlformats.org/officeDocument/2006/relationships/hyperlink" Target="https://hi.likeminds.community/d/design-forward" TargetMode="External"/><Relationship Id="rId478" Type="http://schemas.openxmlformats.org/officeDocument/2006/relationships/hyperlink" Target="https://hi.likeminds.community/d/design-forward" TargetMode="External"/><Relationship Id="rId2150" Type="http://schemas.openxmlformats.org/officeDocument/2006/relationships/hyperlink" Target="https://hi.likeminds.community/python-geeks" TargetMode="External"/><Relationship Id="rId473" Type="http://schemas.openxmlformats.org/officeDocument/2006/relationships/hyperlink" Target="https://community.likeminds.community/debattlers" TargetMode="External"/><Relationship Id="rId2151" Type="http://schemas.openxmlformats.org/officeDocument/2006/relationships/hyperlink" Target="https://hi.likeminds.community/python-geeks" TargetMode="External"/><Relationship Id="rId472" Type="http://schemas.openxmlformats.org/officeDocument/2006/relationships/hyperlink" Target="https://community.likeminds.community/debattlers" TargetMode="External"/><Relationship Id="rId2152" Type="http://schemas.openxmlformats.org/officeDocument/2006/relationships/hyperlink" Target="https://hi.likeminds.community/python-geeks" TargetMode="External"/><Relationship Id="rId471" Type="http://schemas.openxmlformats.org/officeDocument/2006/relationships/hyperlink" Target="https://community.likeminds.community/debattlers" TargetMode="External"/><Relationship Id="rId2153" Type="http://schemas.openxmlformats.org/officeDocument/2006/relationships/hyperlink" Target="https://hi.likeminds.community/d/rapto-bhara-jeevan" TargetMode="External"/><Relationship Id="rId470" Type="http://schemas.openxmlformats.org/officeDocument/2006/relationships/hyperlink" Target="https://hi.likeminds.community/debattlers" TargetMode="External"/><Relationship Id="rId2154" Type="http://schemas.openxmlformats.org/officeDocument/2006/relationships/hyperlink" Target="https://hi.likeminds.community/d/rapto-bhara-jeevan" TargetMode="External"/><Relationship Id="rId477" Type="http://schemas.openxmlformats.org/officeDocument/2006/relationships/hyperlink" Target="https://hi.likeminds.community/d/design-forward" TargetMode="External"/><Relationship Id="rId2155" Type="http://schemas.openxmlformats.org/officeDocument/2006/relationships/hyperlink" Target="https://hi.likeminds.community/d/rapto-bhara-jeevan" TargetMode="External"/><Relationship Id="rId476" Type="http://schemas.openxmlformats.org/officeDocument/2006/relationships/hyperlink" Target="https://hi.likeminds.community/d/design-forward" TargetMode="External"/><Relationship Id="rId2156" Type="http://schemas.openxmlformats.org/officeDocument/2006/relationships/hyperlink" Target="https://hi.likeminds.community/d/rapto-bhara-jeevan" TargetMode="External"/><Relationship Id="rId475" Type="http://schemas.openxmlformats.org/officeDocument/2006/relationships/hyperlink" Target="https://hi.likeminds.community/d/design-forward" TargetMode="External"/><Relationship Id="rId2157" Type="http://schemas.openxmlformats.org/officeDocument/2006/relationships/hyperlink" Target="https://hi.likeminds.community/d/rapto-bhara-jeevan" TargetMode="External"/><Relationship Id="rId474" Type="http://schemas.openxmlformats.org/officeDocument/2006/relationships/hyperlink" Target="https://hi.likeminds.community/d/design-forward" TargetMode="External"/><Relationship Id="rId2158" Type="http://schemas.openxmlformats.org/officeDocument/2006/relationships/hyperlink" Target="https://hi.likeminds.community/d/rapto-bhara-jeevan" TargetMode="External"/><Relationship Id="rId1257" Type="http://schemas.openxmlformats.org/officeDocument/2006/relationships/hyperlink" Target="https://hi.likeminds.community/d/ishavasya-yoga-relaxation" TargetMode="External"/><Relationship Id="rId2104" Type="http://schemas.openxmlformats.org/officeDocument/2006/relationships/hyperlink" Target="https://hi.likeminds.community/python-geeks" TargetMode="External"/><Relationship Id="rId2588" Type="http://schemas.openxmlformats.org/officeDocument/2006/relationships/hyperlink" Target="https://community.likeminds.community/well-being" TargetMode="External"/><Relationship Id="rId1258" Type="http://schemas.openxmlformats.org/officeDocument/2006/relationships/hyperlink" Target="https://hi.likeminds.community/d/ishavasya-yoga-relaxation" TargetMode="External"/><Relationship Id="rId2105" Type="http://schemas.openxmlformats.org/officeDocument/2006/relationships/hyperlink" Target="https://hi.likeminds.community/python-geeks" TargetMode="External"/><Relationship Id="rId2589" Type="http://schemas.openxmlformats.org/officeDocument/2006/relationships/hyperlink" Target="https://community.likeminds.community/well-being" TargetMode="External"/><Relationship Id="rId1259" Type="http://schemas.openxmlformats.org/officeDocument/2006/relationships/hyperlink" Target="https://hi.likeminds.community/d/ishavasya-yoga-relaxation" TargetMode="External"/><Relationship Id="rId2106" Type="http://schemas.openxmlformats.org/officeDocument/2006/relationships/hyperlink" Target="https://hi.likeminds.community/python-geeks" TargetMode="External"/><Relationship Id="rId2107" Type="http://schemas.openxmlformats.org/officeDocument/2006/relationships/hyperlink" Target="https://hi.likeminds.community/python-geeks" TargetMode="External"/><Relationship Id="rId2108" Type="http://schemas.openxmlformats.org/officeDocument/2006/relationships/hyperlink" Target="https://hi.likeminds.community/python-geeks" TargetMode="External"/><Relationship Id="rId2109" Type="http://schemas.openxmlformats.org/officeDocument/2006/relationships/hyperlink" Target="https://hi.likeminds.community/python-geeks" TargetMode="External"/><Relationship Id="rId426" Type="http://schemas.openxmlformats.org/officeDocument/2006/relationships/hyperlink" Target="https://community.likeminds.community/debattlers" TargetMode="External"/><Relationship Id="rId425" Type="http://schemas.openxmlformats.org/officeDocument/2006/relationships/hyperlink" Target="https://community.likeminds.community/debattlers" TargetMode="External"/><Relationship Id="rId424" Type="http://schemas.openxmlformats.org/officeDocument/2006/relationships/hyperlink" Target="https://community.likeminds.community/debattlers" TargetMode="External"/><Relationship Id="rId423" Type="http://schemas.openxmlformats.org/officeDocument/2006/relationships/hyperlink" Target="https://community.likeminds.community/debattlers" TargetMode="External"/><Relationship Id="rId429" Type="http://schemas.openxmlformats.org/officeDocument/2006/relationships/hyperlink" Target="https://community.likeminds.community/debattlers" TargetMode="External"/><Relationship Id="rId428" Type="http://schemas.openxmlformats.org/officeDocument/2006/relationships/hyperlink" Target="https://community.likeminds.community/debattlers" TargetMode="External"/><Relationship Id="rId427" Type="http://schemas.openxmlformats.org/officeDocument/2006/relationships/hyperlink" Target="https://community.likeminds.community/debattlers" TargetMode="External"/><Relationship Id="rId2580" Type="http://schemas.openxmlformats.org/officeDocument/2006/relationships/hyperlink" Target="https://community.likeminds.community/well-being" TargetMode="External"/><Relationship Id="rId1250" Type="http://schemas.openxmlformats.org/officeDocument/2006/relationships/hyperlink" Target="https://hi.likeminds.community/d/heal-journey-to-happiness" TargetMode="External"/><Relationship Id="rId2581" Type="http://schemas.openxmlformats.org/officeDocument/2006/relationships/hyperlink" Target="https://community.likeminds.community/well-being" TargetMode="External"/><Relationship Id="rId1251" Type="http://schemas.openxmlformats.org/officeDocument/2006/relationships/hyperlink" Target="https://hi.likeminds.community/d/heal-journey-to-happiness" TargetMode="External"/><Relationship Id="rId2582" Type="http://schemas.openxmlformats.org/officeDocument/2006/relationships/hyperlink" Target="https://community.likeminds.community/well-being" TargetMode="External"/><Relationship Id="rId1252" Type="http://schemas.openxmlformats.org/officeDocument/2006/relationships/hyperlink" Target="https://hi.likeminds.community/d/heal-journey-to-happiness" TargetMode="External"/><Relationship Id="rId2583" Type="http://schemas.openxmlformats.org/officeDocument/2006/relationships/hyperlink" Target="https://community.likeminds.community/well-being" TargetMode="External"/><Relationship Id="rId422" Type="http://schemas.openxmlformats.org/officeDocument/2006/relationships/hyperlink" Target="https://community.likeminds.community/debattlers" TargetMode="External"/><Relationship Id="rId1253" Type="http://schemas.openxmlformats.org/officeDocument/2006/relationships/hyperlink" Target="https://hi.likeminds.community/d/ishavasya-yoga-relaxation" TargetMode="External"/><Relationship Id="rId2100" Type="http://schemas.openxmlformats.org/officeDocument/2006/relationships/hyperlink" Target="https://hi.likeminds.community/python-geeks" TargetMode="External"/><Relationship Id="rId2584" Type="http://schemas.openxmlformats.org/officeDocument/2006/relationships/hyperlink" Target="https://community.likeminds.community/well-being" TargetMode="External"/><Relationship Id="rId421" Type="http://schemas.openxmlformats.org/officeDocument/2006/relationships/hyperlink" Target="https://community.likeminds.community/debattlers" TargetMode="External"/><Relationship Id="rId1254" Type="http://schemas.openxmlformats.org/officeDocument/2006/relationships/hyperlink" Target="https://hi.likeminds.community/d/ishavasya-yoga-relaxation" TargetMode="External"/><Relationship Id="rId2101" Type="http://schemas.openxmlformats.org/officeDocument/2006/relationships/hyperlink" Target="https://hi.likeminds.community/python-geeks" TargetMode="External"/><Relationship Id="rId2585" Type="http://schemas.openxmlformats.org/officeDocument/2006/relationships/hyperlink" Target="https://community.likeminds.community/well-being" TargetMode="External"/><Relationship Id="rId420" Type="http://schemas.openxmlformats.org/officeDocument/2006/relationships/hyperlink" Target="https://community.likeminds.community/debattlers" TargetMode="External"/><Relationship Id="rId1255" Type="http://schemas.openxmlformats.org/officeDocument/2006/relationships/hyperlink" Target="https://hi.likeminds.community/d/ishavasya-yoga-relaxation" TargetMode="External"/><Relationship Id="rId2102" Type="http://schemas.openxmlformats.org/officeDocument/2006/relationships/hyperlink" Target="https://hi.likeminds.community/python-geeks" TargetMode="External"/><Relationship Id="rId2586" Type="http://schemas.openxmlformats.org/officeDocument/2006/relationships/hyperlink" Target="https://community.likeminds.community/well-being" TargetMode="External"/><Relationship Id="rId1256" Type="http://schemas.openxmlformats.org/officeDocument/2006/relationships/hyperlink" Target="https://hi.likeminds.community/d/ishavasya-yoga-relaxation" TargetMode="External"/><Relationship Id="rId2103" Type="http://schemas.openxmlformats.org/officeDocument/2006/relationships/hyperlink" Target="https://hi.likeminds.community/python-geeks" TargetMode="External"/><Relationship Id="rId2587" Type="http://schemas.openxmlformats.org/officeDocument/2006/relationships/hyperlink" Target="https://community.likeminds.community/well-being" TargetMode="External"/><Relationship Id="rId1246" Type="http://schemas.openxmlformats.org/officeDocument/2006/relationships/hyperlink" Target="https://hi.likeminds.community/d/happy-living" TargetMode="External"/><Relationship Id="rId2577" Type="http://schemas.openxmlformats.org/officeDocument/2006/relationships/hyperlink" Target="https://community.likeminds.community/well-being" TargetMode="External"/><Relationship Id="rId1247" Type="http://schemas.openxmlformats.org/officeDocument/2006/relationships/hyperlink" Target="https://hi.likeminds.community/d/happy-living" TargetMode="External"/><Relationship Id="rId2578" Type="http://schemas.openxmlformats.org/officeDocument/2006/relationships/hyperlink" Target="https://community.likeminds.community/well-being" TargetMode="External"/><Relationship Id="rId1248" Type="http://schemas.openxmlformats.org/officeDocument/2006/relationships/hyperlink" Target="https://hi.likeminds.community/d/heal-journey-to-happiness" TargetMode="External"/><Relationship Id="rId2579" Type="http://schemas.openxmlformats.org/officeDocument/2006/relationships/hyperlink" Target="https://community.likeminds.community/well-being" TargetMode="External"/><Relationship Id="rId1249" Type="http://schemas.openxmlformats.org/officeDocument/2006/relationships/hyperlink" Target="https://hi.likeminds.community/d/heal-journey-to-happiness" TargetMode="External"/><Relationship Id="rId415" Type="http://schemas.openxmlformats.org/officeDocument/2006/relationships/hyperlink" Target="https://community.likeminds.community/debattlers" TargetMode="External"/><Relationship Id="rId899" Type="http://schemas.openxmlformats.org/officeDocument/2006/relationships/hyperlink" Target="https://community.likeminds.community/exapython" TargetMode="External"/><Relationship Id="rId414" Type="http://schemas.openxmlformats.org/officeDocument/2006/relationships/hyperlink" Target="https://community.likeminds.community/debattlers" TargetMode="External"/><Relationship Id="rId898" Type="http://schemas.openxmlformats.org/officeDocument/2006/relationships/hyperlink" Target="https://community.likeminds.community/exapython" TargetMode="External"/><Relationship Id="rId413" Type="http://schemas.openxmlformats.org/officeDocument/2006/relationships/hyperlink" Target="https://community.likeminds.community/debattlers" TargetMode="External"/><Relationship Id="rId897" Type="http://schemas.openxmlformats.org/officeDocument/2006/relationships/hyperlink" Target="https://community.likeminds.community/exapython" TargetMode="External"/><Relationship Id="rId412" Type="http://schemas.openxmlformats.org/officeDocument/2006/relationships/hyperlink" Target="https://community.likeminds.community/debattlers" TargetMode="External"/><Relationship Id="rId896" Type="http://schemas.openxmlformats.org/officeDocument/2006/relationships/hyperlink" Target="https://community.likeminds.community/exapython" TargetMode="External"/><Relationship Id="rId419" Type="http://schemas.openxmlformats.org/officeDocument/2006/relationships/hyperlink" Target="https://community.likeminds.community/debattlers" TargetMode="External"/><Relationship Id="rId418" Type="http://schemas.openxmlformats.org/officeDocument/2006/relationships/hyperlink" Target="https://community.likeminds.community/debattlers" TargetMode="External"/><Relationship Id="rId417" Type="http://schemas.openxmlformats.org/officeDocument/2006/relationships/hyperlink" Target="https://community.likeminds.community/debattlers" TargetMode="External"/><Relationship Id="rId416" Type="http://schemas.openxmlformats.org/officeDocument/2006/relationships/hyperlink" Target="https://community.likeminds.community/debattlers" TargetMode="External"/><Relationship Id="rId891" Type="http://schemas.openxmlformats.org/officeDocument/2006/relationships/hyperlink" Target="https://community.likeminds.community/exapython" TargetMode="External"/><Relationship Id="rId890" Type="http://schemas.openxmlformats.org/officeDocument/2006/relationships/hyperlink" Target="https://community.likeminds.community/exapython" TargetMode="External"/><Relationship Id="rId2570" Type="http://schemas.openxmlformats.org/officeDocument/2006/relationships/hyperlink" Target="https://community.likeminds.community/well-being" TargetMode="External"/><Relationship Id="rId1240" Type="http://schemas.openxmlformats.org/officeDocument/2006/relationships/hyperlink" Target="https://hi.likeminds.community/d/happy-living" TargetMode="External"/><Relationship Id="rId2571" Type="http://schemas.openxmlformats.org/officeDocument/2006/relationships/hyperlink" Target="https://community.likeminds.community/well-being" TargetMode="External"/><Relationship Id="rId1241" Type="http://schemas.openxmlformats.org/officeDocument/2006/relationships/hyperlink" Target="https://hi.likeminds.community/d/happy-living" TargetMode="External"/><Relationship Id="rId2572" Type="http://schemas.openxmlformats.org/officeDocument/2006/relationships/hyperlink" Target="https://community.likeminds.community/well-being" TargetMode="External"/><Relationship Id="rId411" Type="http://schemas.openxmlformats.org/officeDocument/2006/relationships/hyperlink" Target="https://community.likeminds.community/debattlers" TargetMode="External"/><Relationship Id="rId895" Type="http://schemas.openxmlformats.org/officeDocument/2006/relationships/hyperlink" Target="https://community.likeminds.community/exapython" TargetMode="External"/><Relationship Id="rId1242" Type="http://schemas.openxmlformats.org/officeDocument/2006/relationships/hyperlink" Target="https://hi.likeminds.community/d/happy-living" TargetMode="External"/><Relationship Id="rId2573" Type="http://schemas.openxmlformats.org/officeDocument/2006/relationships/hyperlink" Target="https://community.likeminds.community/well-being" TargetMode="External"/><Relationship Id="rId410" Type="http://schemas.openxmlformats.org/officeDocument/2006/relationships/hyperlink" Target="https://community.likeminds.community/debattlers" TargetMode="External"/><Relationship Id="rId894" Type="http://schemas.openxmlformats.org/officeDocument/2006/relationships/hyperlink" Target="https://community.likeminds.community/exapython" TargetMode="External"/><Relationship Id="rId1243" Type="http://schemas.openxmlformats.org/officeDocument/2006/relationships/hyperlink" Target="https://hi.likeminds.community/d/happy-living" TargetMode="External"/><Relationship Id="rId2574" Type="http://schemas.openxmlformats.org/officeDocument/2006/relationships/hyperlink" Target="https://community.likeminds.community/well-being" TargetMode="External"/><Relationship Id="rId893" Type="http://schemas.openxmlformats.org/officeDocument/2006/relationships/hyperlink" Target="https://community.likeminds.community/exapython" TargetMode="External"/><Relationship Id="rId1244" Type="http://schemas.openxmlformats.org/officeDocument/2006/relationships/hyperlink" Target="https://hi.likeminds.community/d/happy-living" TargetMode="External"/><Relationship Id="rId2575" Type="http://schemas.openxmlformats.org/officeDocument/2006/relationships/hyperlink" Target="https://community.likeminds.community/well-being" TargetMode="External"/><Relationship Id="rId892" Type="http://schemas.openxmlformats.org/officeDocument/2006/relationships/hyperlink" Target="https://community.likeminds.community/exapython" TargetMode="External"/><Relationship Id="rId1245" Type="http://schemas.openxmlformats.org/officeDocument/2006/relationships/hyperlink" Target="https://hi.likeminds.community/d/happy-living" TargetMode="External"/><Relationship Id="rId2576" Type="http://schemas.openxmlformats.org/officeDocument/2006/relationships/hyperlink" Target="https://community.likeminds.community/well-being" TargetMode="External"/><Relationship Id="rId1279" Type="http://schemas.openxmlformats.org/officeDocument/2006/relationships/hyperlink" Target="https://hi.likeminds.community/d/ishavasya-yoga-relaxation" TargetMode="External"/><Relationship Id="rId2126" Type="http://schemas.openxmlformats.org/officeDocument/2006/relationships/hyperlink" Target="https://hi.likeminds.community/python-geeks" TargetMode="External"/><Relationship Id="rId2127" Type="http://schemas.openxmlformats.org/officeDocument/2006/relationships/hyperlink" Target="https://hi.likeminds.community/python-geeks" TargetMode="External"/><Relationship Id="rId2128" Type="http://schemas.openxmlformats.org/officeDocument/2006/relationships/hyperlink" Target="https://hi.likeminds.community/python-geeks" TargetMode="External"/><Relationship Id="rId2129" Type="http://schemas.openxmlformats.org/officeDocument/2006/relationships/hyperlink" Target="https://hi.likeminds.community/python-geeks" TargetMode="External"/><Relationship Id="rId448" Type="http://schemas.openxmlformats.org/officeDocument/2006/relationships/hyperlink" Target="https://community.likeminds.community/debattlers" TargetMode="External"/><Relationship Id="rId447" Type="http://schemas.openxmlformats.org/officeDocument/2006/relationships/hyperlink" Target="https://community.likeminds.community/debattlers" TargetMode="External"/><Relationship Id="rId446" Type="http://schemas.openxmlformats.org/officeDocument/2006/relationships/hyperlink" Target="https://community.likeminds.community/debattlers" TargetMode="External"/><Relationship Id="rId445" Type="http://schemas.openxmlformats.org/officeDocument/2006/relationships/hyperlink" Target="https://hi.likeminds.community/debattlers" TargetMode="External"/><Relationship Id="rId449" Type="http://schemas.openxmlformats.org/officeDocument/2006/relationships/hyperlink" Target="https://hi.likeminds.community/debattlers" TargetMode="External"/><Relationship Id="rId1270" Type="http://schemas.openxmlformats.org/officeDocument/2006/relationships/hyperlink" Target="https://hi.likeminds.community/d/ishavasya-yoga-relaxation" TargetMode="External"/><Relationship Id="rId440" Type="http://schemas.openxmlformats.org/officeDocument/2006/relationships/hyperlink" Target="https://community.likeminds.community/debattlers" TargetMode="External"/><Relationship Id="rId1271" Type="http://schemas.openxmlformats.org/officeDocument/2006/relationships/hyperlink" Target="https://hi.likeminds.community/d/ishavasya-yoga-relaxation" TargetMode="External"/><Relationship Id="rId1272" Type="http://schemas.openxmlformats.org/officeDocument/2006/relationships/hyperlink" Target="https://hi.likeminds.community/d/ishavasya-yoga-relaxation" TargetMode="External"/><Relationship Id="rId1273" Type="http://schemas.openxmlformats.org/officeDocument/2006/relationships/hyperlink" Target="https://hi.likeminds.community/d/ishavasya-yoga-relaxation" TargetMode="External"/><Relationship Id="rId2120" Type="http://schemas.openxmlformats.org/officeDocument/2006/relationships/hyperlink" Target="https://hi.likeminds.community/python-geeks" TargetMode="External"/><Relationship Id="rId1274" Type="http://schemas.openxmlformats.org/officeDocument/2006/relationships/hyperlink" Target="https://hi.likeminds.community/d/ishavasya-yoga-relaxation" TargetMode="External"/><Relationship Id="rId2121" Type="http://schemas.openxmlformats.org/officeDocument/2006/relationships/hyperlink" Target="https://hi.likeminds.community/python-geeks" TargetMode="External"/><Relationship Id="rId444" Type="http://schemas.openxmlformats.org/officeDocument/2006/relationships/hyperlink" Target="https://hi.likeminds.community/debattlers" TargetMode="External"/><Relationship Id="rId1275" Type="http://schemas.openxmlformats.org/officeDocument/2006/relationships/hyperlink" Target="https://hi.likeminds.community/d/ishavasya-yoga-relaxation" TargetMode="External"/><Relationship Id="rId2122" Type="http://schemas.openxmlformats.org/officeDocument/2006/relationships/hyperlink" Target="https://hi.likeminds.community/python-geeks" TargetMode="External"/><Relationship Id="rId443" Type="http://schemas.openxmlformats.org/officeDocument/2006/relationships/hyperlink" Target="https://community.likeminds.community/debattlers" TargetMode="External"/><Relationship Id="rId1276" Type="http://schemas.openxmlformats.org/officeDocument/2006/relationships/hyperlink" Target="https://hi.likeminds.community/d/ishavasya-yoga-relaxation" TargetMode="External"/><Relationship Id="rId2123" Type="http://schemas.openxmlformats.org/officeDocument/2006/relationships/hyperlink" Target="https://hi.likeminds.community/python-geeks" TargetMode="External"/><Relationship Id="rId442" Type="http://schemas.openxmlformats.org/officeDocument/2006/relationships/hyperlink" Target="https://community.likeminds.community/debattlers" TargetMode="External"/><Relationship Id="rId1277" Type="http://schemas.openxmlformats.org/officeDocument/2006/relationships/hyperlink" Target="https://hi.likeminds.community/d/ishavasya-yoga-relaxation" TargetMode="External"/><Relationship Id="rId2124" Type="http://schemas.openxmlformats.org/officeDocument/2006/relationships/hyperlink" Target="https://hi.likeminds.community/python-geeks" TargetMode="External"/><Relationship Id="rId441" Type="http://schemas.openxmlformats.org/officeDocument/2006/relationships/hyperlink" Target="https://community.likeminds.community/debattlers" TargetMode="External"/><Relationship Id="rId1278" Type="http://schemas.openxmlformats.org/officeDocument/2006/relationships/hyperlink" Target="https://hi.likeminds.community/d/ishavasya-yoga-relaxation" TargetMode="External"/><Relationship Id="rId2125" Type="http://schemas.openxmlformats.org/officeDocument/2006/relationships/hyperlink" Target="https://hi.likeminds.community/python-geeks" TargetMode="External"/><Relationship Id="rId1268" Type="http://schemas.openxmlformats.org/officeDocument/2006/relationships/hyperlink" Target="https://hi.likeminds.community/d/ishavasya-yoga-relaxation" TargetMode="External"/><Relationship Id="rId2115" Type="http://schemas.openxmlformats.org/officeDocument/2006/relationships/hyperlink" Target="https://hi.likeminds.community/python-geeks" TargetMode="External"/><Relationship Id="rId2599" Type="http://schemas.openxmlformats.org/officeDocument/2006/relationships/hyperlink" Target="https://community.likeminds.community/well-being" TargetMode="External"/><Relationship Id="rId1269" Type="http://schemas.openxmlformats.org/officeDocument/2006/relationships/hyperlink" Target="https://hi.likeminds.community/d/ishavasya-yoga-relaxation" TargetMode="External"/><Relationship Id="rId2116" Type="http://schemas.openxmlformats.org/officeDocument/2006/relationships/hyperlink" Target="https://hi.likeminds.community/python-geeks" TargetMode="External"/><Relationship Id="rId2117" Type="http://schemas.openxmlformats.org/officeDocument/2006/relationships/hyperlink" Target="https://hi.likeminds.community/python-geeks" TargetMode="External"/><Relationship Id="rId2118" Type="http://schemas.openxmlformats.org/officeDocument/2006/relationships/hyperlink" Target="https://hi.likeminds.community/python-geeks" TargetMode="External"/><Relationship Id="rId2119" Type="http://schemas.openxmlformats.org/officeDocument/2006/relationships/hyperlink" Target="https://hi.likeminds.community/python-geeks" TargetMode="External"/><Relationship Id="rId437" Type="http://schemas.openxmlformats.org/officeDocument/2006/relationships/hyperlink" Target="https://community.likeminds.community/debattlers" TargetMode="External"/><Relationship Id="rId436" Type="http://schemas.openxmlformats.org/officeDocument/2006/relationships/hyperlink" Target="https://community.likeminds.community/debattlers" TargetMode="External"/><Relationship Id="rId435" Type="http://schemas.openxmlformats.org/officeDocument/2006/relationships/hyperlink" Target="https://community.likeminds.community/debattlers" TargetMode="External"/><Relationship Id="rId434" Type="http://schemas.openxmlformats.org/officeDocument/2006/relationships/hyperlink" Target="https://community.likeminds.community/debattlers" TargetMode="External"/><Relationship Id="rId439" Type="http://schemas.openxmlformats.org/officeDocument/2006/relationships/hyperlink" Target="https://community.likeminds.community/debattlers" TargetMode="External"/><Relationship Id="rId438" Type="http://schemas.openxmlformats.org/officeDocument/2006/relationships/hyperlink" Target="https://community.likeminds.community/debattlers" TargetMode="External"/><Relationship Id="rId2590" Type="http://schemas.openxmlformats.org/officeDocument/2006/relationships/hyperlink" Target="https://community.likeminds.community/well-being" TargetMode="External"/><Relationship Id="rId1260" Type="http://schemas.openxmlformats.org/officeDocument/2006/relationships/hyperlink" Target="https://hi.likeminds.community/d/ishavasya-yoga-relaxation" TargetMode="External"/><Relationship Id="rId2591" Type="http://schemas.openxmlformats.org/officeDocument/2006/relationships/hyperlink" Target="https://community.likeminds.community/well-being" TargetMode="External"/><Relationship Id="rId1261" Type="http://schemas.openxmlformats.org/officeDocument/2006/relationships/hyperlink" Target="https://hi.likeminds.community/d/ishavasya-yoga-relaxation" TargetMode="External"/><Relationship Id="rId2592" Type="http://schemas.openxmlformats.org/officeDocument/2006/relationships/hyperlink" Target="https://community.likeminds.community/well-being" TargetMode="External"/><Relationship Id="rId1262" Type="http://schemas.openxmlformats.org/officeDocument/2006/relationships/hyperlink" Target="https://hi.likeminds.community/d/ishavasya-yoga-relaxation" TargetMode="External"/><Relationship Id="rId2593" Type="http://schemas.openxmlformats.org/officeDocument/2006/relationships/hyperlink" Target="https://community.likeminds.community/well-being" TargetMode="External"/><Relationship Id="rId1263" Type="http://schemas.openxmlformats.org/officeDocument/2006/relationships/hyperlink" Target="https://hi.likeminds.community/d/ishavasya-yoga-relaxation" TargetMode="External"/><Relationship Id="rId2110" Type="http://schemas.openxmlformats.org/officeDocument/2006/relationships/hyperlink" Target="https://hi.likeminds.community/python-geeks" TargetMode="External"/><Relationship Id="rId2594" Type="http://schemas.openxmlformats.org/officeDocument/2006/relationships/hyperlink" Target="https://community.likeminds.community/well-being" TargetMode="External"/><Relationship Id="rId433" Type="http://schemas.openxmlformats.org/officeDocument/2006/relationships/hyperlink" Target="https://community.likeminds.community/debattlers" TargetMode="External"/><Relationship Id="rId1264" Type="http://schemas.openxmlformats.org/officeDocument/2006/relationships/hyperlink" Target="https://hi.likeminds.community/d/ishavasya-yoga-relaxation" TargetMode="External"/><Relationship Id="rId2111" Type="http://schemas.openxmlformats.org/officeDocument/2006/relationships/hyperlink" Target="https://hi.likeminds.community/python-geeks" TargetMode="External"/><Relationship Id="rId2595" Type="http://schemas.openxmlformats.org/officeDocument/2006/relationships/hyperlink" Target="https://community.likeminds.community/well-being" TargetMode="External"/><Relationship Id="rId432" Type="http://schemas.openxmlformats.org/officeDocument/2006/relationships/hyperlink" Target="https://community.likeminds.community/debattlers" TargetMode="External"/><Relationship Id="rId1265" Type="http://schemas.openxmlformats.org/officeDocument/2006/relationships/hyperlink" Target="https://hi.likeminds.community/d/ishavasya-yoga-relaxation" TargetMode="External"/><Relationship Id="rId2112" Type="http://schemas.openxmlformats.org/officeDocument/2006/relationships/hyperlink" Target="https://hi.likeminds.community/python-geeks" TargetMode="External"/><Relationship Id="rId2596" Type="http://schemas.openxmlformats.org/officeDocument/2006/relationships/hyperlink" Target="https://community.likeminds.community/well-being" TargetMode="External"/><Relationship Id="rId431" Type="http://schemas.openxmlformats.org/officeDocument/2006/relationships/hyperlink" Target="https://community.likeminds.community/debattlers" TargetMode="External"/><Relationship Id="rId1266" Type="http://schemas.openxmlformats.org/officeDocument/2006/relationships/hyperlink" Target="https://hi.likeminds.community/d/ishavasya-yoga-relaxation" TargetMode="External"/><Relationship Id="rId2113" Type="http://schemas.openxmlformats.org/officeDocument/2006/relationships/hyperlink" Target="https://hi.likeminds.community/python-geeks" TargetMode="External"/><Relationship Id="rId2597" Type="http://schemas.openxmlformats.org/officeDocument/2006/relationships/hyperlink" Target="https://community.likeminds.community/well-being" TargetMode="External"/><Relationship Id="rId430" Type="http://schemas.openxmlformats.org/officeDocument/2006/relationships/hyperlink" Target="https://community.likeminds.community/debattlers" TargetMode="External"/><Relationship Id="rId1267" Type="http://schemas.openxmlformats.org/officeDocument/2006/relationships/hyperlink" Target="https://hi.likeminds.community/d/ishavasya-yoga-relaxation" TargetMode="External"/><Relationship Id="rId2114" Type="http://schemas.openxmlformats.org/officeDocument/2006/relationships/hyperlink" Target="https://hi.likeminds.community/python-geeks" TargetMode="External"/><Relationship Id="rId2598" Type="http://schemas.openxmlformats.org/officeDocument/2006/relationships/hyperlink" Target="https://community.likeminds.community/well-be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ashboard.razorpay.com/app/payments/pay_H4mOdNKjh43lKh" TargetMode="External"/><Relationship Id="rId2" Type="http://schemas.openxmlformats.org/officeDocument/2006/relationships/hyperlink" Target="https://dashboard.razorpay.com/app/payments/pay_HNAwhZWxKxABKc" TargetMode="External"/><Relationship Id="rId3" Type="http://schemas.openxmlformats.org/officeDocument/2006/relationships/hyperlink" Target="https://dashboard.razorpay.com/app/payments/pay_HCx7lTk3u1Ihy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ayment.likeminds.community/?plan_id=dd789958-c14f-4ebe-a1f0-494aad4b3a8a" TargetMode="External"/><Relationship Id="rId2" Type="http://schemas.openxmlformats.org/officeDocument/2006/relationships/hyperlink" Target="https://payment.likeminds.community/?plan_id=1337645f-c4c9-4dca-9db7-a2c1b4cf5f4e" TargetMode="External"/><Relationship Id="rId3" Type="http://schemas.openxmlformats.org/officeDocument/2006/relationships/hyperlink" Target="https://payment.likeminds.community/?plan_id=6f54b328-65a4-4fc5-810f-0e2a95371f10" TargetMode="External"/><Relationship Id="rId4" Type="http://schemas.openxmlformats.org/officeDocument/2006/relationships/hyperlink" Target="https://payment.likeminds.community/?plan_id=f8ccf1cf-77a7-477a-a787-2cb1282fbd7a" TargetMode="External"/><Relationship Id="rId9" Type="http://schemas.openxmlformats.org/officeDocument/2006/relationships/hyperlink" Target="https://payment.likeminds.community/?plan_id=a59a3997-f17a-436a-bafc-88324f5b38a5" TargetMode="External"/><Relationship Id="rId5" Type="http://schemas.openxmlformats.org/officeDocument/2006/relationships/hyperlink" Target="https://payment.likeminds.community/?plan_id=1e2be6ce-ad95-4d70-b469-a21b978acdac" TargetMode="External"/><Relationship Id="rId6" Type="http://schemas.openxmlformats.org/officeDocument/2006/relationships/hyperlink" Target="https://payment.likeminds.community/?plan_id=7e56e299-521e-4f71-a294-786bd5290228" TargetMode="External"/><Relationship Id="rId7" Type="http://schemas.openxmlformats.org/officeDocument/2006/relationships/hyperlink" Target="https://payment.likeminds.community/?plan_id=ca4c54e2-9678-4f6f-b5b3-04dd8badb9b9" TargetMode="External"/><Relationship Id="rId8" Type="http://schemas.openxmlformats.org/officeDocument/2006/relationships/hyperlink" Target="https://payment.likeminds.community/?plan_id=d155a70b-73f3-4559-91ab-26e9773217d4" TargetMode="External"/><Relationship Id="rId40" Type="http://schemas.openxmlformats.org/officeDocument/2006/relationships/hyperlink" Target="https://payment.likeminds.community/?plan_id=cc5ed6d0-b07a-49a9-b8fc-fbaa36377b74" TargetMode="External"/><Relationship Id="rId42" Type="http://schemas.openxmlformats.org/officeDocument/2006/relationships/hyperlink" Target="https://payment.likeminds.community/?plan_id=81ce98be-032a-4c8c-9238-a7064b1da365" TargetMode="External"/><Relationship Id="rId41" Type="http://schemas.openxmlformats.org/officeDocument/2006/relationships/hyperlink" Target="https://payment.likeminds.community/?plan_id=74ffdabd-87bb-4a2e-98d0-9448126b118e" TargetMode="External"/><Relationship Id="rId44" Type="http://schemas.openxmlformats.org/officeDocument/2006/relationships/hyperlink" Target="https://payment.likeminds.community/?plan_id=95c4c1c7-a278-42aa-becf-a1e61af1b706" TargetMode="External"/><Relationship Id="rId43" Type="http://schemas.openxmlformats.org/officeDocument/2006/relationships/hyperlink" Target="https://payment.likeminds.community/?plan_id=df2c83ac-3b42-4c86-a40a-95f4c3be0057" TargetMode="External"/><Relationship Id="rId46" Type="http://schemas.openxmlformats.org/officeDocument/2006/relationships/hyperlink" Target="https://payment.likeminds.community/?plan_id=plan_H4kFDiOt0cSOzx" TargetMode="External"/><Relationship Id="rId45" Type="http://schemas.openxmlformats.org/officeDocument/2006/relationships/hyperlink" Target="https://payment.likeminds.community/?plan_id=plan_H4kFD7hUJbxGVf" TargetMode="External"/><Relationship Id="rId48" Type="http://schemas.openxmlformats.org/officeDocument/2006/relationships/hyperlink" Target="https://payment.likeminds.community/?plan_id=bef29130-b0bc-467e-91c1-2c676c36542f" TargetMode="External"/><Relationship Id="rId47" Type="http://schemas.openxmlformats.org/officeDocument/2006/relationships/hyperlink" Target="https://payment.likeminds.community/?plan_id=plan_H4kFEHd0BcvS8u" TargetMode="External"/><Relationship Id="rId49" Type="http://schemas.openxmlformats.org/officeDocument/2006/relationships/hyperlink" Target="https://payment.likeminds.community/?plan_id=87e12a47-a734-4193-85ec-ae447d80e747" TargetMode="External"/><Relationship Id="rId31" Type="http://schemas.openxmlformats.org/officeDocument/2006/relationships/hyperlink" Target="https://payment.likeminds.community/?plan_id=plan_H4kG5gyJECmoar" TargetMode="External"/><Relationship Id="rId30" Type="http://schemas.openxmlformats.org/officeDocument/2006/relationships/hyperlink" Target="https://payment.likeminds.community/?plan_id=plan_H4kFtBDqZ4QrE1" TargetMode="External"/><Relationship Id="rId33" Type="http://schemas.openxmlformats.org/officeDocument/2006/relationships/hyperlink" Target="https://payment.likeminds.community/?plan_id=plan_H4kG6o2hNcQXr4" TargetMode="External"/><Relationship Id="rId32" Type="http://schemas.openxmlformats.org/officeDocument/2006/relationships/hyperlink" Target="https://payment.likeminds.community/?plan_id=plan_H4kG6EwA9tIWbA" TargetMode="External"/><Relationship Id="rId35" Type="http://schemas.openxmlformats.org/officeDocument/2006/relationships/hyperlink" Target="https://payment.likeminds.community/?plan_id=plan_H4kFfBmw58h0Lq" TargetMode="External"/><Relationship Id="rId34" Type="http://schemas.openxmlformats.org/officeDocument/2006/relationships/hyperlink" Target="https://payment.likeminds.community/?plan_id=plan_H4kFef4uTMFGoa" TargetMode="External"/><Relationship Id="rId37" Type="http://schemas.openxmlformats.org/officeDocument/2006/relationships/hyperlink" Target="https://payment.likeminds.community/?plan_id=plan_H4kFYFK9sMZSEf" TargetMode="External"/><Relationship Id="rId36" Type="http://schemas.openxmlformats.org/officeDocument/2006/relationships/hyperlink" Target="https://payment.likeminds.community/?plan_id=plan_H4kFfj8zUAMFoM" TargetMode="External"/><Relationship Id="rId39" Type="http://schemas.openxmlformats.org/officeDocument/2006/relationships/hyperlink" Target="https://payment.likeminds.community/?plan_id=plan_H4kFZJ2YA8CXsy" TargetMode="External"/><Relationship Id="rId38" Type="http://schemas.openxmlformats.org/officeDocument/2006/relationships/hyperlink" Target="https://payment.likeminds.community/?plan_id=plan_H4kFYmYUEc2lfI" TargetMode="External"/><Relationship Id="rId20" Type="http://schemas.openxmlformats.org/officeDocument/2006/relationships/hyperlink" Target="https://payment.likeminds.community/?plan_id=ea2cbecf-aa39-4874-afd0-ae6f71a44d48" TargetMode="External"/><Relationship Id="rId22" Type="http://schemas.openxmlformats.org/officeDocument/2006/relationships/hyperlink" Target="https://payment.likeminds.community/?plan_id=fa00b372-ab58-4a8e-8710-09570a56d4bc" TargetMode="External"/><Relationship Id="rId21" Type="http://schemas.openxmlformats.org/officeDocument/2006/relationships/hyperlink" Target="https://payment.likeminds.community/?plan_id=16f0bf25-2a3b-4184-87e2-5ac336158205" TargetMode="External"/><Relationship Id="rId24" Type="http://schemas.openxmlformats.org/officeDocument/2006/relationships/hyperlink" Target="https://payment.likeminds.community/?plan_id=plan_H4kFEmPHWRFw7t" TargetMode="External"/><Relationship Id="rId23" Type="http://schemas.openxmlformats.org/officeDocument/2006/relationships/hyperlink" Target="https://payment.likeminds.community/?plan_id=048cd888-bedb-4b7a-823b-4f261becb56b" TargetMode="External"/><Relationship Id="rId26" Type="http://schemas.openxmlformats.org/officeDocument/2006/relationships/hyperlink" Target="https://payment.likeminds.community/?plan_id=plan_H4kFFqkoIkGxaX" TargetMode="External"/><Relationship Id="rId25" Type="http://schemas.openxmlformats.org/officeDocument/2006/relationships/hyperlink" Target="https://payment.likeminds.community/?plan_id=plan_H4kFFITH5oEJsa" TargetMode="External"/><Relationship Id="rId28" Type="http://schemas.openxmlformats.org/officeDocument/2006/relationships/hyperlink" Target="https://payment.likeminds.community/?plan_id=d60ac2b2-db16-47a9-a616-e786202a9a01" TargetMode="External"/><Relationship Id="rId27" Type="http://schemas.openxmlformats.org/officeDocument/2006/relationships/hyperlink" Target="https://payment.likeminds.community/?plan_id=74c6c102-cc19-4754-b536-ae6ef88a8031" TargetMode="External"/><Relationship Id="rId29" Type="http://schemas.openxmlformats.org/officeDocument/2006/relationships/hyperlink" Target="https://payment.likeminds.community/?plan_id=7af1d6fa-b4b6-4fb3-adb4-3ad1861186c2" TargetMode="External"/><Relationship Id="rId11" Type="http://schemas.openxmlformats.org/officeDocument/2006/relationships/hyperlink" Target="https://payment.likeminds.community/?plan_id=e453e70d-e5d8-4dd0-ae1f-8672a8c76f38" TargetMode="External"/><Relationship Id="rId10" Type="http://schemas.openxmlformats.org/officeDocument/2006/relationships/hyperlink" Target="https://payment.likeminds.community/?plan_id=6ec264d4-e126-4a14-b22b-3ccdba7b2266" TargetMode="External"/><Relationship Id="rId13" Type="http://schemas.openxmlformats.org/officeDocument/2006/relationships/hyperlink" Target="https://payment.likeminds.community/?plan_id=6d024dc5-5310-4be8-b8ca-6d08c8ed5622" TargetMode="External"/><Relationship Id="rId12" Type="http://schemas.openxmlformats.org/officeDocument/2006/relationships/hyperlink" Target="https://payment.likeminds.community/?plan_id=efc6e8e1-7642-446f-aee4-5da809d71fe3" TargetMode="External"/><Relationship Id="rId15" Type="http://schemas.openxmlformats.org/officeDocument/2006/relationships/hyperlink" Target="https://payment.likeminds.community/?plan_id=b7793a80-5b2b-4324-b607-15cd6f22f060" TargetMode="External"/><Relationship Id="rId14" Type="http://schemas.openxmlformats.org/officeDocument/2006/relationships/hyperlink" Target="https://payment.likeminds.community/?plan_id=a52fc0b5-b112-4eb3-95a6-44c1e3926997" TargetMode="External"/><Relationship Id="rId17" Type="http://schemas.openxmlformats.org/officeDocument/2006/relationships/hyperlink" Target="https://payment.likeminds.community/?plan_id=3e824f43-ff71-4d36-b65d-0864cbb69e70" TargetMode="External"/><Relationship Id="rId16" Type="http://schemas.openxmlformats.org/officeDocument/2006/relationships/hyperlink" Target="https://payment.likeminds.community/?plan_id=a87a94ac-6b7c-4b7e-85f3-7f0ef22f3eda" TargetMode="External"/><Relationship Id="rId19" Type="http://schemas.openxmlformats.org/officeDocument/2006/relationships/hyperlink" Target="https://payment.likeminds.community/?plan_id=ddcb2153-3011-425d-b6f7-5536fb015100" TargetMode="External"/><Relationship Id="rId18" Type="http://schemas.openxmlformats.org/officeDocument/2006/relationships/hyperlink" Target="https://payment.likeminds.community/?plan_id=d5aa1d0f-7502-4ad3-bf9e-e38164cbb052" TargetMode="External"/><Relationship Id="rId62" Type="http://schemas.openxmlformats.org/officeDocument/2006/relationships/drawing" Target="../drawings/drawing6.xml"/><Relationship Id="rId61" Type="http://schemas.openxmlformats.org/officeDocument/2006/relationships/hyperlink" Target="https://payment.likeminds.community/?plan_id=plan_H4kFPtqEDc5Cxg" TargetMode="External"/><Relationship Id="rId60" Type="http://schemas.openxmlformats.org/officeDocument/2006/relationships/hyperlink" Target="https://payment.likeminds.community/?plan_id=b33360f2-cec6-427a-8f26-91a79b2ecb90" TargetMode="External"/><Relationship Id="rId51" Type="http://schemas.openxmlformats.org/officeDocument/2006/relationships/hyperlink" Target="https://payment.likeminds.community/?plan_id=877954a5-b44b-4f9a-8337-29760b467573" TargetMode="External"/><Relationship Id="rId50" Type="http://schemas.openxmlformats.org/officeDocument/2006/relationships/hyperlink" Target="https://payment.likeminds.community/?plan_id=eff2a223-e45f-44bc-bc90-570b8d3abbd9" TargetMode="External"/><Relationship Id="rId53" Type="http://schemas.openxmlformats.org/officeDocument/2006/relationships/hyperlink" Target="https://payment.likeminds.community/?plan_id=003111c6-2771-4c5f-987d-84a3072c7d3e" TargetMode="External"/><Relationship Id="rId52" Type="http://schemas.openxmlformats.org/officeDocument/2006/relationships/hyperlink" Target="https://payment.likeminds.community/?plan_id=5ef4afd4-5eb5-42cc-8c1c-d9ed7907d11c" TargetMode="External"/><Relationship Id="rId55" Type="http://schemas.openxmlformats.org/officeDocument/2006/relationships/hyperlink" Target="https://payment.likeminds.community/?plan_id=4479f19c-5f8b-4232-8597-ab572c963d8b" TargetMode="External"/><Relationship Id="rId54" Type="http://schemas.openxmlformats.org/officeDocument/2006/relationships/hyperlink" Target="https://payment.likeminds.community/?plan_id=40c57f55-5bc8-4916-b022-f579135bcf02" TargetMode="External"/><Relationship Id="rId57" Type="http://schemas.openxmlformats.org/officeDocument/2006/relationships/hyperlink" Target="https://payment.likeminds.community/?plan_id=f4a31747-f080-4e54-9a1a-485b47713465" TargetMode="External"/><Relationship Id="rId56" Type="http://schemas.openxmlformats.org/officeDocument/2006/relationships/hyperlink" Target="https://payment.likeminds.community/?plan_id=41f0b0d0-5573-4fa6-909a-7e6afad9a12a" TargetMode="External"/><Relationship Id="rId59" Type="http://schemas.openxmlformats.org/officeDocument/2006/relationships/hyperlink" Target="https://payment.likeminds.community/?plan_id=f68eabb2-3799-4748-b0bc-a1a2381ca015" TargetMode="External"/><Relationship Id="rId58" Type="http://schemas.openxmlformats.org/officeDocument/2006/relationships/hyperlink" Target="https://payment.likeminds.community/?plan_id=099e065c-f2cf-46f4-808a-30d7f271f71d" TargetMode="External"/></Relationships>
</file>

<file path=xl/worksheets/_rels/sheet7.xml.rels><?xml version="1.0" encoding="UTF-8" standalone="yes"?><Relationships xmlns="http://schemas.openxmlformats.org/package/2006/relationships"><Relationship Id="rId392" Type="http://schemas.openxmlformats.org/officeDocument/2006/relationships/hyperlink" Target="https://collabmates.app.link/DtdqZKT8zdb" TargetMode="External"/><Relationship Id="rId391" Type="http://schemas.openxmlformats.org/officeDocument/2006/relationships/hyperlink" Target="https://collabmates.app.link/DtdqZKT8zdb" TargetMode="External"/><Relationship Id="rId390" Type="http://schemas.openxmlformats.org/officeDocument/2006/relationships/hyperlink" Target="https://collabmates.app.link/DtdqZKT8zdb" TargetMode="External"/><Relationship Id="rId1" Type="http://schemas.openxmlformats.org/officeDocument/2006/relationships/hyperlink" Target="https://collabmates.app.link/lZckKutq1eb" TargetMode="External"/><Relationship Id="rId2" Type="http://schemas.openxmlformats.org/officeDocument/2006/relationships/hyperlink" Target="https://collabmates.app.link/lZckKutq1eb" TargetMode="External"/><Relationship Id="rId3" Type="http://schemas.openxmlformats.org/officeDocument/2006/relationships/hyperlink" Target="https://collabmates.app.link/lZckKutq1eb" TargetMode="External"/><Relationship Id="rId4" Type="http://schemas.openxmlformats.org/officeDocument/2006/relationships/hyperlink" Target="https://collabmates.app.link/BGqiW9Sutfb" TargetMode="External"/><Relationship Id="rId9" Type="http://schemas.openxmlformats.org/officeDocument/2006/relationships/hyperlink" Target="https://collabmates.app.link/80b8gHUFrfb" TargetMode="External"/><Relationship Id="rId385" Type="http://schemas.openxmlformats.org/officeDocument/2006/relationships/hyperlink" Target="https://collabmates.app.link/2fCsrPZcqfb" TargetMode="External"/><Relationship Id="rId384" Type="http://schemas.openxmlformats.org/officeDocument/2006/relationships/hyperlink" Target="https://collabmates.app.link/R16bnXyQqgb" TargetMode="External"/><Relationship Id="rId383" Type="http://schemas.openxmlformats.org/officeDocument/2006/relationships/hyperlink" Target="https://collabmates.app.link/R16bnXyQqgb" TargetMode="External"/><Relationship Id="rId382" Type="http://schemas.openxmlformats.org/officeDocument/2006/relationships/hyperlink" Target="https://collabmates.app.link/R16bnXyQqgb" TargetMode="External"/><Relationship Id="rId5" Type="http://schemas.openxmlformats.org/officeDocument/2006/relationships/hyperlink" Target="https://collabmates.app.link/ygyUWrhYcfb" TargetMode="External"/><Relationship Id="rId389" Type="http://schemas.openxmlformats.org/officeDocument/2006/relationships/hyperlink" Target="https://collabmates.app.link/hz8R2Dg0Mfb" TargetMode="External"/><Relationship Id="rId6" Type="http://schemas.openxmlformats.org/officeDocument/2006/relationships/hyperlink" Target="https://collabmates.app.link/ygyUWrhYcfb" TargetMode="External"/><Relationship Id="rId388" Type="http://schemas.openxmlformats.org/officeDocument/2006/relationships/hyperlink" Target="https://collabmates.app.link/hz8R2Dg0Mfb" TargetMode="External"/><Relationship Id="rId7" Type="http://schemas.openxmlformats.org/officeDocument/2006/relationships/hyperlink" Target="https://collabmates.app.link/ygyUWrhYcfb" TargetMode="External"/><Relationship Id="rId387" Type="http://schemas.openxmlformats.org/officeDocument/2006/relationships/hyperlink" Target="https://collabmates.app.link/hz8R2Dg0Mfb" TargetMode="External"/><Relationship Id="rId8" Type="http://schemas.openxmlformats.org/officeDocument/2006/relationships/hyperlink" Target="https://collabmates.app.link/80b8gHUFrfb" TargetMode="External"/><Relationship Id="rId386" Type="http://schemas.openxmlformats.org/officeDocument/2006/relationships/hyperlink" Target="https://collabmates.app.link/2fCsrPZcqfb" TargetMode="External"/><Relationship Id="rId381" Type="http://schemas.openxmlformats.org/officeDocument/2006/relationships/hyperlink" Target="https://collabmates.app.link/UfHNaLLwigb" TargetMode="External"/><Relationship Id="rId380" Type="http://schemas.openxmlformats.org/officeDocument/2006/relationships/hyperlink" Target="https://collabmates.app.link/UfHNaLLwigb" TargetMode="External"/><Relationship Id="rId379" Type="http://schemas.openxmlformats.org/officeDocument/2006/relationships/hyperlink" Target="https://collabmates.app.link/XOvsgcU7ngb" TargetMode="External"/><Relationship Id="rId374" Type="http://schemas.openxmlformats.org/officeDocument/2006/relationships/hyperlink" Target="https://collabmates.app.link/buoZRzqwkgb" TargetMode="External"/><Relationship Id="rId373" Type="http://schemas.openxmlformats.org/officeDocument/2006/relationships/hyperlink" Target="https://collabmates.app.link/En9NFZXWLfb" TargetMode="External"/><Relationship Id="rId372" Type="http://schemas.openxmlformats.org/officeDocument/2006/relationships/hyperlink" Target="https://collabmates.app.link/En9NFZXWLfb" TargetMode="External"/><Relationship Id="rId371" Type="http://schemas.openxmlformats.org/officeDocument/2006/relationships/hyperlink" Target="https://collabmates.app.link/En9NFZXWLfb" TargetMode="External"/><Relationship Id="rId378" Type="http://schemas.openxmlformats.org/officeDocument/2006/relationships/hyperlink" Target="https://collabmates.app.link/XOvsgcU7ngb" TargetMode="External"/><Relationship Id="rId377" Type="http://schemas.openxmlformats.org/officeDocument/2006/relationships/hyperlink" Target="https://collabmates.app.link/XOvsgcU7ngb" TargetMode="External"/><Relationship Id="rId376" Type="http://schemas.openxmlformats.org/officeDocument/2006/relationships/hyperlink" Target="https://collabmates.app.link/buoZRzqwkgb" TargetMode="External"/><Relationship Id="rId375" Type="http://schemas.openxmlformats.org/officeDocument/2006/relationships/hyperlink" Target="https://collabmates.app.link/buoZRzqwkgb" TargetMode="External"/><Relationship Id="rId396" Type="http://schemas.openxmlformats.org/officeDocument/2006/relationships/hyperlink" Target="https://collabmates.app.link/QInMxkmBBfb" TargetMode="External"/><Relationship Id="rId395" Type="http://schemas.openxmlformats.org/officeDocument/2006/relationships/hyperlink" Target="https://collabmates.app.link/3OJf0Hmvtfb" TargetMode="External"/><Relationship Id="rId394" Type="http://schemas.openxmlformats.org/officeDocument/2006/relationships/hyperlink" Target="https://collabmates.app.link/3OJf0Hmvtfb" TargetMode="External"/><Relationship Id="rId393" Type="http://schemas.openxmlformats.org/officeDocument/2006/relationships/hyperlink" Target="https://collabmates.app.link/3OJf0Hmvtfb" TargetMode="External"/><Relationship Id="rId399" Type="http://schemas.openxmlformats.org/officeDocument/2006/relationships/hyperlink" Target="https://collabmates.app.link/xYeUu9qXvgb" TargetMode="External"/><Relationship Id="rId398" Type="http://schemas.openxmlformats.org/officeDocument/2006/relationships/hyperlink" Target="https://collabmates.app.link/xYeUu9qXvgb" TargetMode="External"/><Relationship Id="rId397" Type="http://schemas.openxmlformats.org/officeDocument/2006/relationships/hyperlink" Target="https://collabmates.app.link/QInMxkmBBfb" TargetMode="External"/><Relationship Id="rId40" Type="http://schemas.openxmlformats.org/officeDocument/2006/relationships/hyperlink" Target="https://collabmates.app.link/3OJf0Hmvtfb" TargetMode="External"/><Relationship Id="rId42" Type="http://schemas.openxmlformats.org/officeDocument/2006/relationships/hyperlink" Target="https://collabmates.app.link/3OJf0Hmvtfb" TargetMode="External"/><Relationship Id="rId41" Type="http://schemas.openxmlformats.org/officeDocument/2006/relationships/hyperlink" Target="https://collabmates.app.link/3OJf0Hmvtfb" TargetMode="External"/><Relationship Id="rId44" Type="http://schemas.openxmlformats.org/officeDocument/2006/relationships/hyperlink" Target="https://collabmates.app.link/D4jFzabg1eb" TargetMode="External"/><Relationship Id="rId43" Type="http://schemas.openxmlformats.org/officeDocument/2006/relationships/hyperlink" Target="https://collabmates.app.link/D4jFzabg1eb" TargetMode="External"/><Relationship Id="rId46" Type="http://schemas.openxmlformats.org/officeDocument/2006/relationships/hyperlink" Target="https://collabmates.app.link/fTEMej02cfb" TargetMode="External"/><Relationship Id="rId45" Type="http://schemas.openxmlformats.org/officeDocument/2006/relationships/hyperlink" Target="https://collabmates.app.link/D4jFzabg1eb" TargetMode="External"/><Relationship Id="rId48" Type="http://schemas.openxmlformats.org/officeDocument/2006/relationships/hyperlink" Target="https://collabmates.app.link/fTEMej02cfb" TargetMode="External"/><Relationship Id="rId47" Type="http://schemas.openxmlformats.org/officeDocument/2006/relationships/hyperlink" Target="https://collabmates.app.link/fTEMej02cfb" TargetMode="External"/><Relationship Id="rId49" Type="http://schemas.openxmlformats.org/officeDocument/2006/relationships/hyperlink" Target="https://collabmates.app.link/y8hf5EsUrfb" TargetMode="External"/><Relationship Id="rId31" Type="http://schemas.openxmlformats.org/officeDocument/2006/relationships/hyperlink" Target="https://collabmates.app.link/PIxujBQHBfb" TargetMode="External"/><Relationship Id="rId30" Type="http://schemas.openxmlformats.org/officeDocument/2006/relationships/hyperlink" Target="https://collabmates.app.link/PIxujBQHBfb" TargetMode="External"/><Relationship Id="rId33" Type="http://schemas.openxmlformats.org/officeDocument/2006/relationships/hyperlink" Target="https://collabmates.app.link/CQWPrfIGBfb" TargetMode="External"/><Relationship Id="rId32" Type="http://schemas.openxmlformats.org/officeDocument/2006/relationships/hyperlink" Target="https://collabmates.app.link/PIxujBQHBfb" TargetMode="External"/><Relationship Id="rId35" Type="http://schemas.openxmlformats.org/officeDocument/2006/relationships/hyperlink" Target="https://collabmates.app.link/4BvMRjJ3ufb" TargetMode="External"/><Relationship Id="rId34" Type="http://schemas.openxmlformats.org/officeDocument/2006/relationships/hyperlink" Target="https://collabmates.app.link/4BvMRjJ3ufb" TargetMode="External"/><Relationship Id="rId37" Type="http://schemas.openxmlformats.org/officeDocument/2006/relationships/hyperlink" Target="https://collabmates.app.link/WyfONHDVrfb" TargetMode="External"/><Relationship Id="rId36" Type="http://schemas.openxmlformats.org/officeDocument/2006/relationships/hyperlink" Target="https://collabmates.app.link/4BvMRjJ3ufb" TargetMode="External"/><Relationship Id="rId39" Type="http://schemas.openxmlformats.org/officeDocument/2006/relationships/hyperlink" Target="https://collabmates.app.link/WyfONHDVrfb" TargetMode="External"/><Relationship Id="rId38" Type="http://schemas.openxmlformats.org/officeDocument/2006/relationships/hyperlink" Target="https://collabmates.app.link/WyfONHDVrfb" TargetMode="External"/><Relationship Id="rId20" Type="http://schemas.openxmlformats.org/officeDocument/2006/relationships/hyperlink" Target="https://collabmates.app.link/anvnfUMkDdb" TargetMode="External"/><Relationship Id="rId22" Type="http://schemas.openxmlformats.org/officeDocument/2006/relationships/hyperlink" Target="https://collabmates.app.link/anvnfUMkDdb" TargetMode="External"/><Relationship Id="rId21" Type="http://schemas.openxmlformats.org/officeDocument/2006/relationships/hyperlink" Target="https://collabmates.app.link/anvnfUMkDdb" TargetMode="External"/><Relationship Id="rId24" Type="http://schemas.openxmlformats.org/officeDocument/2006/relationships/hyperlink" Target="https://collabmates.app.link/iQX5LdW92eb" TargetMode="External"/><Relationship Id="rId23" Type="http://schemas.openxmlformats.org/officeDocument/2006/relationships/hyperlink" Target="https://collabmates.app.link/iQX5LdW92eb" TargetMode="External"/><Relationship Id="rId26" Type="http://schemas.openxmlformats.org/officeDocument/2006/relationships/hyperlink" Target="https://collabmates.app.link/DtdqZKT8zdb" TargetMode="External"/><Relationship Id="rId25" Type="http://schemas.openxmlformats.org/officeDocument/2006/relationships/hyperlink" Target="https://collabmates.app.link/iQX5LdW92eb" TargetMode="External"/><Relationship Id="rId28" Type="http://schemas.openxmlformats.org/officeDocument/2006/relationships/hyperlink" Target="https://collabmates.app.link/DtdqZKT8zdb" TargetMode="External"/><Relationship Id="rId27" Type="http://schemas.openxmlformats.org/officeDocument/2006/relationships/hyperlink" Target="https://collabmates.app.link/DtdqZKT8zdb" TargetMode="External"/><Relationship Id="rId29" Type="http://schemas.openxmlformats.org/officeDocument/2006/relationships/hyperlink" Target="https://collabmates.app.link/EtRxIZyyBfb" TargetMode="External"/><Relationship Id="rId11" Type="http://schemas.openxmlformats.org/officeDocument/2006/relationships/hyperlink" Target="https://collabmates.app.link/cJQVhWAscfb" TargetMode="External"/><Relationship Id="rId10" Type="http://schemas.openxmlformats.org/officeDocument/2006/relationships/hyperlink" Target="https://collabmates.app.link/80b8gHUFrfb" TargetMode="External"/><Relationship Id="rId13" Type="http://schemas.openxmlformats.org/officeDocument/2006/relationships/hyperlink" Target="https://collabmates.app.link/cJQVhWAscfb" TargetMode="External"/><Relationship Id="rId12" Type="http://schemas.openxmlformats.org/officeDocument/2006/relationships/hyperlink" Target="https://collabmates.app.link/cJQVhWAscfb" TargetMode="External"/><Relationship Id="rId15" Type="http://schemas.openxmlformats.org/officeDocument/2006/relationships/hyperlink" Target="https://collabmates.app.link/E7JH1MZjZeb" TargetMode="External"/><Relationship Id="rId14" Type="http://schemas.openxmlformats.org/officeDocument/2006/relationships/hyperlink" Target="https://collabmates.app.link/E7JH1MZjZeb" TargetMode="External"/><Relationship Id="rId17" Type="http://schemas.openxmlformats.org/officeDocument/2006/relationships/hyperlink" Target="https://collabmates.app.link/FvmmGRuGBfb" TargetMode="External"/><Relationship Id="rId16" Type="http://schemas.openxmlformats.org/officeDocument/2006/relationships/hyperlink" Target="https://collabmates.app.link/E7JH1MZjZeb" TargetMode="External"/><Relationship Id="rId19" Type="http://schemas.openxmlformats.org/officeDocument/2006/relationships/hyperlink" Target="https://collabmates.app.link/FvmmGRuGBfb" TargetMode="External"/><Relationship Id="rId18" Type="http://schemas.openxmlformats.org/officeDocument/2006/relationships/hyperlink" Target="https://collabmates.app.link/FvmmGRuGBfb" TargetMode="External"/><Relationship Id="rId84" Type="http://schemas.openxmlformats.org/officeDocument/2006/relationships/hyperlink" Target="https://collabmates.app.link/l2zb1aMLyfb" TargetMode="External"/><Relationship Id="rId83" Type="http://schemas.openxmlformats.org/officeDocument/2006/relationships/hyperlink" Target="https://collabmates.app.link/K8Ej3Hb6Gfb" TargetMode="External"/><Relationship Id="rId86" Type="http://schemas.openxmlformats.org/officeDocument/2006/relationships/hyperlink" Target="https://collabmates.app.link/l2zb1aMLyfb" TargetMode="External"/><Relationship Id="rId85" Type="http://schemas.openxmlformats.org/officeDocument/2006/relationships/hyperlink" Target="https://collabmates.app.link/l2zb1aMLyfb" TargetMode="External"/><Relationship Id="rId88" Type="http://schemas.openxmlformats.org/officeDocument/2006/relationships/hyperlink" Target="https://collabmates.app.link/dT8lr3yWwfb" TargetMode="External"/><Relationship Id="rId87" Type="http://schemas.openxmlformats.org/officeDocument/2006/relationships/hyperlink" Target="https://collabmates.app.link/dT8lr3yWwfb" TargetMode="External"/><Relationship Id="rId89" Type="http://schemas.openxmlformats.org/officeDocument/2006/relationships/hyperlink" Target="https://collabmates.app.link/dT8lr3yWwfb" TargetMode="External"/><Relationship Id="rId80" Type="http://schemas.openxmlformats.org/officeDocument/2006/relationships/hyperlink" Target="https://collabmates.app.link/K8Ej3Hb6Gfb" TargetMode="External"/><Relationship Id="rId82" Type="http://schemas.openxmlformats.org/officeDocument/2006/relationships/hyperlink" Target="https://collabmates.app.link/K8Ej3Hb6Gfb" TargetMode="External"/><Relationship Id="rId81" Type="http://schemas.openxmlformats.org/officeDocument/2006/relationships/hyperlink" Target="https://collabmates.app.link/K8Ej3Hb6Gfb" TargetMode="External"/><Relationship Id="rId73" Type="http://schemas.openxmlformats.org/officeDocument/2006/relationships/hyperlink" Target="https://collabmates.app.link/hz8R2Dg0Mfb" TargetMode="External"/><Relationship Id="rId72" Type="http://schemas.openxmlformats.org/officeDocument/2006/relationships/hyperlink" Target="https://collabmates.app.link/hz8R2Dg0Mfb" TargetMode="External"/><Relationship Id="rId75" Type="http://schemas.openxmlformats.org/officeDocument/2006/relationships/hyperlink" Target="https://collabmates.app.link/b01MShR0Mfb" TargetMode="External"/><Relationship Id="rId74" Type="http://schemas.openxmlformats.org/officeDocument/2006/relationships/hyperlink" Target="https://collabmates.app.link/b01MShR0Mfb" TargetMode="External"/><Relationship Id="rId77" Type="http://schemas.openxmlformats.org/officeDocument/2006/relationships/hyperlink" Target="https://collabmates.app.link/88pzdrQArfb" TargetMode="External"/><Relationship Id="rId76" Type="http://schemas.openxmlformats.org/officeDocument/2006/relationships/hyperlink" Target="https://collabmates.app.link/b01MShR0Mfb" TargetMode="External"/><Relationship Id="rId79" Type="http://schemas.openxmlformats.org/officeDocument/2006/relationships/hyperlink" Target="https://collabmates.app.link/88pzdrQArfb" TargetMode="External"/><Relationship Id="rId78" Type="http://schemas.openxmlformats.org/officeDocument/2006/relationships/hyperlink" Target="https://collabmates.app.link/88pzdrQArfb" TargetMode="External"/><Relationship Id="rId71" Type="http://schemas.openxmlformats.org/officeDocument/2006/relationships/hyperlink" Target="https://collabmates.app.link/hz8R2Dg0Mfb" TargetMode="External"/><Relationship Id="rId70" Type="http://schemas.openxmlformats.org/officeDocument/2006/relationships/hyperlink" Target="https://collabmates.app.link/5UKM4ETuZeb" TargetMode="External"/><Relationship Id="rId62" Type="http://schemas.openxmlformats.org/officeDocument/2006/relationships/hyperlink" Target="https://collabmates.app.link/GrWXgQgbtfb" TargetMode="External"/><Relationship Id="rId61" Type="http://schemas.openxmlformats.org/officeDocument/2006/relationships/hyperlink" Target="https://collabmates.app.link/GrWXgQgbtfb" TargetMode="External"/><Relationship Id="rId64" Type="http://schemas.openxmlformats.org/officeDocument/2006/relationships/hyperlink" Target="https://collabmates.app.link/HgGq1ya3rfb" TargetMode="External"/><Relationship Id="rId63" Type="http://schemas.openxmlformats.org/officeDocument/2006/relationships/hyperlink" Target="https://collabmates.app.link/GrWXgQgbtfb" TargetMode="External"/><Relationship Id="rId66" Type="http://schemas.openxmlformats.org/officeDocument/2006/relationships/hyperlink" Target="https://collabmates.app.link/HgGq1ya3rfb" TargetMode="External"/><Relationship Id="rId65" Type="http://schemas.openxmlformats.org/officeDocument/2006/relationships/hyperlink" Target="https://collabmates.app.link/HgGq1ya3rfb" TargetMode="External"/><Relationship Id="rId68" Type="http://schemas.openxmlformats.org/officeDocument/2006/relationships/hyperlink" Target="https://collabmates.app.link/3HDZi3KHwfb" TargetMode="External"/><Relationship Id="rId67" Type="http://schemas.openxmlformats.org/officeDocument/2006/relationships/hyperlink" Target="https://collabmates.app.link/3HDZi3KHwfb" TargetMode="External"/><Relationship Id="rId60" Type="http://schemas.openxmlformats.org/officeDocument/2006/relationships/hyperlink" Target="https://collabmates.app.link/cX54McDPCdb" TargetMode="External"/><Relationship Id="rId69" Type="http://schemas.openxmlformats.org/officeDocument/2006/relationships/hyperlink" Target="https://collabmates.app.link/3HDZi3KHwfb" TargetMode="External"/><Relationship Id="rId51" Type="http://schemas.openxmlformats.org/officeDocument/2006/relationships/hyperlink" Target="https://collabmates.app.link/y8hf5EsUrfb" TargetMode="External"/><Relationship Id="rId50" Type="http://schemas.openxmlformats.org/officeDocument/2006/relationships/hyperlink" Target="https://collabmates.app.link/y8hf5EsUrfb" TargetMode="External"/><Relationship Id="rId53" Type="http://schemas.openxmlformats.org/officeDocument/2006/relationships/hyperlink" Target="https://collabmates.app.link/76jr1wHPCdb" TargetMode="External"/><Relationship Id="rId52" Type="http://schemas.openxmlformats.org/officeDocument/2006/relationships/hyperlink" Target="https://collabmates.app.link/76jr1wHPCdb" TargetMode="External"/><Relationship Id="rId55" Type="http://schemas.openxmlformats.org/officeDocument/2006/relationships/hyperlink" Target="https://collabmates.app.link/rQBYpXx42eb" TargetMode="External"/><Relationship Id="rId54" Type="http://schemas.openxmlformats.org/officeDocument/2006/relationships/hyperlink" Target="https://collabmates.app.link/76jr1wHPCdb" TargetMode="External"/><Relationship Id="rId57" Type="http://schemas.openxmlformats.org/officeDocument/2006/relationships/hyperlink" Target="https://collabmates.app.link/rQBYpXx42eb" TargetMode="External"/><Relationship Id="rId56" Type="http://schemas.openxmlformats.org/officeDocument/2006/relationships/hyperlink" Target="https://collabmates.app.link/rQBYpXx42eb" TargetMode="External"/><Relationship Id="rId59" Type="http://schemas.openxmlformats.org/officeDocument/2006/relationships/hyperlink" Target="https://collabmates.app.link/cX54McDPCdb" TargetMode="External"/><Relationship Id="rId58" Type="http://schemas.openxmlformats.org/officeDocument/2006/relationships/hyperlink" Target="https://collabmates.app.link/cX54McDPCdb" TargetMode="External"/><Relationship Id="rId349" Type="http://schemas.openxmlformats.org/officeDocument/2006/relationships/hyperlink" Target="https://collabmates.app.link/sJmlNV3qwfb" TargetMode="External"/><Relationship Id="rId348" Type="http://schemas.openxmlformats.org/officeDocument/2006/relationships/hyperlink" Target="https://collabmates.app.link/sJmlNV3qwfb" TargetMode="External"/><Relationship Id="rId347" Type="http://schemas.openxmlformats.org/officeDocument/2006/relationships/hyperlink" Target="https://collabmates.app.link/sJmlNV3qwfb" TargetMode="External"/><Relationship Id="rId346" Type="http://schemas.openxmlformats.org/officeDocument/2006/relationships/hyperlink" Target="https://collabmates.app.link/NjVr7ximtfb" TargetMode="External"/><Relationship Id="rId341" Type="http://schemas.openxmlformats.org/officeDocument/2006/relationships/hyperlink" Target="https://collabmates.app.link/FfDdFrOZYfb" TargetMode="External"/><Relationship Id="rId340" Type="http://schemas.openxmlformats.org/officeDocument/2006/relationships/hyperlink" Target="https://collabmates.app.link/FfDdFrOZYfb" TargetMode="External"/><Relationship Id="rId345" Type="http://schemas.openxmlformats.org/officeDocument/2006/relationships/hyperlink" Target="https://collabmates.app.link/NjVr7ximtfb" TargetMode="External"/><Relationship Id="rId344" Type="http://schemas.openxmlformats.org/officeDocument/2006/relationships/hyperlink" Target="https://collabmates.app.link/NjVr7ximtfb" TargetMode="External"/><Relationship Id="rId343" Type="http://schemas.openxmlformats.org/officeDocument/2006/relationships/hyperlink" Target="https://collabmates.app.link/sJmlNV3qwfb" TargetMode="External"/><Relationship Id="rId342" Type="http://schemas.openxmlformats.org/officeDocument/2006/relationships/hyperlink" Target="https://collabmates.app.link/G1zY7Jg4pfb" TargetMode="External"/><Relationship Id="rId338" Type="http://schemas.openxmlformats.org/officeDocument/2006/relationships/hyperlink" Target="https://collabmates.app.link/FfDdFrOZYfb" TargetMode="External"/><Relationship Id="rId337" Type="http://schemas.openxmlformats.org/officeDocument/2006/relationships/hyperlink" Target="https://collabmates.app.link/G1zY7Jg4pfb" TargetMode="External"/><Relationship Id="rId336" Type="http://schemas.openxmlformats.org/officeDocument/2006/relationships/hyperlink" Target="https://collabmates.app.link/sJmlNV3qwfb" TargetMode="External"/><Relationship Id="rId335" Type="http://schemas.openxmlformats.org/officeDocument/2006/relationships/hyperlink" Target="https://collabmates.app.link/sJmlNV3qwfb" TargetMode="External"/><Relationship Id="rId339" Type="http://schemas.openxmlformats.org/officeDocument/2006/relationships/hyperlink" Target="https://collabmates.app.link/FfDdFrOZYfb" TargetMode="External"/><Relationship Id="rId330" Type="http://schemas.openxmlformats.org/officeDocument/2006/relationships/hyperlink" Target="https://collabmates.app.link/RGLVpmJEDfb" TargetMode="External"/><Relationship Id="rId334" Type="http://schemas.openxmlformats.org/officeDocument/2006/relationships/hyperlink" Target="https://collabmates.app.link/sJmlNV3qwfb" TargetMode="External"/><Relationship Id="rId333" Type="http://schemas.openxmlformats.org/officeDocument/2006/relationships/hyperlink" Target="https://collabmates.app.link/OCzAelSWigb" TargetMode="External"/><Relationship Id="rId332" Type="http://schemas.openxmlformats.org/officeDocument/2006/relationships/hyperlink" Target="https://collabmates.app.link/OCzAelSWigb" TargetMode="External"/><Relationship Id="rId331" Type="http://schemas.openxmlformats.org/officeDocument/2006/relationships/hyperlink" Target="https://collabmates.app.link/OCzAelSWigb" TargetMode="External"/><Relationship Id="rId370" Type="http://schemas.openxmlformats.org/officeDocument/2006/relationships/hyperlink" Target="https://collabmates.app.link/iQX5LdW92eb" TargetMode="External"/><Relationship Id="rId369" Type="http://schemas.openxmlformats.org/officeDocument/2006/relationships/hyperlink" Target="https://collabmates.app.link/iQX5LdW92eb" TargetMode="External"/><Relationship Id="rId368" Type="http://schemas.openxmlformats.org/officeDocument/2006/relationships/hyperlink" Target="https://collabmates.app.link/iQX5LdW92eb" TargetMode="External"/><Relationship Id="rId363" Type="http://schemas.openxmlformats.org/officeDocument/2006/relationships/hyperlink" Target="https://likeminds.community/community/49822" TargetMode="External"/><Relationship Id="rId362" Type="http://schemas.openxmlformats.org/officeDocument/2006/relationships/hyperlink" Target="https://likeminds.community/community/49822" TargetMode="External"/><Relationship Id="rId361" Type="http://schemas.openxmlformats.org/officeDocument/2006/relationships/hyperlink" Target="https://likeminds.community/community/49822" TargetMode="External"/><Relationship Id="rId360" Type="http://schemas.openxmlformats.org/officeDocument/2006/relationships/hyperlink" Target="https://collabmates.app.link/iQX5LdW92eb" TargetMode="External"/><Relationship Id="rId367" Type="http://schemas.openxmlformats.org/officeDocument/2006/relationships/hyperlink" Target="https://collabmates.app.link/iQX5LdW92eb" TargetMode="External"/><Relationship Id="rId366" Type="http://schemas.openxmlformats.org/officeDocument/2006/relationships/hyperlink" Target="https://collabmates.app.link/cX54McDPCdb" TargetMode="External"/><Relationship Id="rId365" Type="http://schemas.openxmlformats.org/officeDocument/2006/relationships/hyperlink" Target="https://collabmates.app.link/cX54McDPCdb" TargetMode="External"/><Relationship Id="rId364" Type="http://schemas.openxmlformats.org/officeDocument/2006/relationships/hyperlink" Target="https://collabmates.app.link/cX54McDPCdb" TargetMode="External"/><Relationship Id="rId95" Type="http://schemas.openxmlformats.org/officeDocument/2006/relationships/hyperlink" Target="https://collabmates.app.link/CIE5u7rjqfb" TargetMode="External"/><Relationship Id="rId94" Type="http://schemas.openxmlformats.org/officeDocument/2006/relationships/hyperlink" Target="https://collabmates.app.link/CIE5u7rjqfb" TargetMode="External"/><Relationship Id="rId97" Type="http://schemas.openxmlformats.org/officeDocument/2006/relationships/hyperlink" Target="https://collabmates.app.link/ljzPaBAswfb" TargetMode="External"/><Relationship Id="rId96" Type="http://schemas.openxmlformats.org/officeDocument/2006/relationships/hyperlink" Target="https://collabmates.app.link/ljzPaBAswfb" TargetMode="External"/><Relationship Id="rId99" Type="http://schemas.openxmlformats.org/officeDocument/2006/relationships/hyperlink" Target="https://collabmates.app.link/oBXSfMB7Kdb" TargetMode="External"/><Relationship Id="rId98" Type="http://schemas.openxmlformats.org/officeDocument/2006/relationships/hyperlink" Target="https://collabmates.app.link/ljzPaBAswfb" TargetMode="External"/><Relationship Id="rId91" Type="http://schemas.openxmlformats.org/officeDocument/2006/relationships/hyperlink" Target="https://collabmates.app.link/RHMp6nAEwfb" TargetMode="External"/><Relationship Id="rId90" Type="http://schemas.openxmlformats.org/officeDocument/2006/relationships/hyperlink" Target="https://collabmates.app.link/RHMp6nAEwfb" TargetMode="External"/><Relationship Id="rId93" Type="http://schemas.openxmlformats.org/officeDocument/2006/relationships/hyperlink" Target="https://collabmates.app.link/CIE5u7rjqfb" TargetMode="External"/><Relationship Id="rId92" Type="http://schemas.openxmlformats.org/officeDocument/2006/relationships/hyperlink" Target="https://collabmates.app.link/RHMp6nAEwfb" TargetMode="External"/><Relationship Id="rId359" Type="http://schemas.openxmlformats.org/officeDocument/2006/relationships/hyperlink" Target="https://collabmates.app.link/xVdAzlA6tfb" TargetMode="External"/><Relationship Id="rId358" Type="http://schemas.openxmlformats.org/officeDocument/2006/relationships/hyperlink" Target="https://collabmates.app.link/xVdAzlA6tfb" TargetMode="External"/><Relationship Id="rId357" Type="http://schemas.openxmlformats.org/officeDocument/2006/relationships/hyperlink" Target="https://collabmates.app.link/xVdAzlA6tfb" TargetMode="External"/><Relationship Id="rId352" Type="http://schemas.openxmlformats.org/officeDocument/2006/relationships/hyperlink" Target="https://collabmates.app.link/lZckKutq1eb" TargetMode="External"/><Relationship Id="rId351" Type="http://schemas.openxmlformats.org/officeDocument/2006/relationships/hyperlink" Target="https://collabmates.app.link/lZckKutq1eb" TargetMode="External"/><Relationship Id="rId350" Type="http://schemas.openxmlformats.org/officeDocument/2006/relationships/hyperlink" Target="https://collabmates.app.link/sJmlNV3qwfb" TargetMode="External"/><Relationship Id="rId356" Type="http://schemas.openxmlformats.org/officeDocument/2006/relationships/hyperlink" Target="https://collabmates.app.link/iQX5LdW92eb" TargetMode="External"/><Relationship Id="rId355" Type="http://schemas.openxmlformats.org/officeDocument/2006/relationships/hyperlink" Target="https://collabmates.app.link/iQX5LdW92eb" TargetMode="External"/><Relationship Id="rId354" Type="http://schemas.openxmlformats.org/officeDocument/2006/relationships/hyperlink" Target="https://collabmates.app.link/iQX5LdW92eb" TargetMode="External"/><Relationship Id="rId353" Type="http://schemas.openxmlformats.org/officeDocument/2006/relationships/hyperlink" Target="https://collabmates.app.link/lZckKutq1eb" TargetMode="External"/><Relationship Id="rId305" Type="http://schemas.openxmlformats.org/officeDocument/2006/relationships/hyperlink" Target="https://collabmates.app.link/AoNUQQLa6fb" TargetMode="External"/><Relationship Id="rId304" Type="http://schemas.openxmlformats.org/officeDocument/2006/relationships/hyperlink" Target="https://collabmates.app.link/AoNUQQLa6fb" TargetMode="External"/><Relationship Id="rId303" Type="http://schemas.openxmlformats.org/officeDocument/2006/relationships/hyperlink" Target="https://collabmates.app.link/eo9NNO9p7fb" TargetMode="External"/><Relationship Id="rId302" Type="http://schemas.openxmlformats.org/officeDocument/2006/relationships/hyperlink" Target="https://collabmates.app.link/eo9NNO9p7fb" TargetMode="External"/><Relationship Id="rId309" Type="http://schemas.openxmlformats.org/officeDocument/2006/relationships/hyperlink" Target="https://collabmates.app.link/xVdAzlA6tfb" TargetMode="External"/><Relationship Id="rId308" Type="http://schemas.openxmlformats.org/officeDocument/2006/relationships/hyperlink" Target="https://collabmates.app.link/xVdAzlA6tfb" TargetMode="External"/><Relationship Id="rId307" Type="http://schemas.openxmlformats.org/officeDocument/2006/relationships/hyperlink" Target="https://collabmates.app.link/xVdAzlA6tfb" TargetMode="External"/><Relationship Id="rId306" Type="http://schemas.openxmlformats.org/officeDocument/2006/relationships/hyperlink" Target="https://collabmates.app.link/AoNUQQLa6fb" TargetMode="External"/><Relationship Id="rId301" Type="http://schemas.openxmlformats.org/officeDocument/2006/relationships/hyperlink" Target="https://collabmates.app.link/eo9NNO9p7fb" TargetMode="External"/><Relationship Id="rId300" Type="http://schemas.openxmlformats.org/officeDocument/2006/relationships/hyperlink" Target="https://collabmates.app.link/eo9NNO9p7fb" TargetMode="External"/><Relationship Id="rId327" Type="http://schemas.openxmlformats.org/officeDocument/2006/relationships/hyperlink" Target="https://collabmates.app.link/urFJhwEXigb" TargetMode="External"/><Relationship Id="rId326" Type="http://schemas.openxmlformats.org/officeDocument/2006/relationships/hyperlink" Target="https://collabmates.app.link/urFJhwEXigb" TargetMode="External"/><Relationship Id="rId325" Type="http://schemas.openxmlformats.org/officeDocument/2006/relationships/hyperlink" Target="https://collabmates.app.link/xVdAzlA6tfb" TargetMode="External"/><Relationship Id="rId324" Type="http://schemas.openxmlformats.org/officeDocument/2006/relationships/hyperlink" Target="https://collabmates.app.link/xVdAzlA6tfb" TargetMode="External"/><Relationship Id="rId329" Type="http://schemas.openxmlformats.org/officeDocument/2006/relationships/hyperlink" Target="https://collabmates.app.link/RGLVpmJEDfb" TargetMode="External"/><Relationship Id="rId328" Type="http://schemas.openxmlformats.org/officeDocument/2006/relationships/hyperlink" Target="https://collabmates.app.link/urFJhwEXigb" TargetMode="External"/><Relationship Id="rId323" Type="http://schemas.openxmlformats.org/officeDocument/2006/relationships/hyperlink" Target="https://collabmates.app.link/xVdAzlA6tfb" TargetMode="External"/><Relationship Id="rId322" Type="http://schemas.openxmlformats.org/officeDocument/2006/relationships/hyperlink" Target="https://collabmates.app.link/4Jcu4gOaDfb" TargetMode="External"/><Relationship Id="rId321" Type="http://schemas.openxmlformats.org/officeDocument/2006/relationships/hyperlink" Target="https://collabmates.app.link/4Jcu4gOaDfb" TargetMode="External"/><Relationship Id="rId320" Type="http://schemas.openxmlformats.org/officeDocument/2006/relationships/hyperlink" Target="https://collabmates.app.link/4Jcu4gOaDfb" TargetMode="External"/><Relationship Id="rId316" Type="http://schemas.openxmlformats.org/officeDocument/2006/relationships/hyperlink" Target="https://collabmates.app.link/VhMgNOZk2fb" TargetMode="External"/><Relationship Id="rId315" Type="http://schemas.openxmlformats.org/officeDocument/2006/relationships/hyperlink" Target="https://collabmates.app.link/VhMgNOZk2fb" TargetMode="External"/><Relationship Id="rId314" Type="http://schemas.openxmlformats.org/officeDocument/2006/relationships/hyperlink" Target="https://collabmates.app.link/VhMgNOZk2fb" TargetMode="External"/><Relationship Id="rId313" Type="http://schemas.openxmlformats.org/officeDocument/2006/relationships/hyperlink" Target="https://collabmates.app.link/k5te2PpS5fb" TargetMode="External"/><Relationship Id="rId319" Type="http://schemas.openxmlformats.org/officeDocument/2006/relationships/hyperlink" Target="https://collabmates.app.link/VhMgNOZk2fb" TargetMode="External"/><Relationship Id="rId318" Type="http://schemas.openxmlformats.org/officeDocument/2006/relationships/hyperlink" Target="https://collabmates.app.link/VhMgNOZk2fb" TargetMode="External"/><Relationship Id="rId317" Type="http://schemas.openxmlformats.org/officeDocument/2006/relationships/hyperlink" Target="https://collabmates.app.link/VhMgNOZk2fb" TargetMode="External"/><Relationship Id="rId312" Type="http://schemas.openxmlformats.org/officeDocument/2006/relationships/hyperlink" Target="https://collabmates.app.link/k5te2PpS5fb" TargetMode="External"/><Relationship Id="rId311" Type="http://schemas.openxmlformats.org/officeDocument/2006/relationships/hyperlink" Target="https://collabmates.app.link/k5te2PpS5fb" TargetMode="External"/><Relationship Id="rId310" Type="http://schemas.openxmlformats.org/officeDocument/2006/relationships/hyperlink" Target="https://collabmates.app.link/xVdAzlA6tfb" TargetMode="External"/><Relationship Id="rId297" Type="http://schemas.openxmlformats.org/officeDocument/2006/relationships/hyperlink" Target="https://collabmates.app.link/xNDtkgoKagb" TargetMode="External"/><Relationship Id="rId296" Type="http://schemas.openxmlformats.org/officeDocument/2006/relationships/hyperlink" Target="https://collabmates.app.link/xNDtkgoKagb" TargetMode="External"/><Relationship Id="rId295" Type="http://schemas.openxmlformats.org/officeDocument/2006/relationships/hyperlink" Target="https://collabmates.app.link/xNDtkgoKagb" TargetMode="External"/><Relationship Id="rId294" Type="http://schemas.openxmlformats.org/officeDocument/2006/relationships/hyperlink" Target="https://collabmates.app.link/xNDtkgoKagb" TargetMode="External"/><Relationship Id="rId299" Type="http://schemas.openxmlformats.org/officeDocument/2006/relationships/hyperlink" Target="https://collabmates.app.link/xNDtkgoKagb" TargetMode="External"/><Relationship Id="rId298" Type="http://schemas.openxmlformats.org/officeDocument/2006/relationships/hyperlink" Target="https://collabmates.app.link/xNDtkgoKagb" TargetMode="External"/><Relationship Id="rId271" Type="http://schemas.openxmlformats.org/officeDocument/2006/relationships/hyperlink" Target="https://collabmates.app.link/cX54McDPCdb" TargetMode="External"/><Relationship Id="rId270" Type="http://schemas.openxmlformats.org/officeDocument/2006/relationships/hyperlink" Target="https://collabmates.app.link/cX54McDPCdb" TargetMode="External"/><Relationship Id="rId269" Type="http://schemas.openxmlformats.org/officeDocument/2006/relationships/hyperlink" Target="https://collabmates.app.link/NjVr7ximtfb" TargetMode="External"/><Relationship Id="rId264" Type="http://schemas.openxmlformats.org/officeDocument/2006/relationships/hyperlink" Target="https://collabmates.app.link/anvnfUMkDdb" TargetMode="External"/><Relationship Id="rId263" Type="http://schemas.openxmlformats.org/officeDocument/2006/relationships/hyperlink" Target="https://collabmates.app.link/NjVr7ximtfb" TargetMode="External"/><Relationship Id="rId262" Type="http://schemas.openxmlformats.org/officeDocument/2006/relationships/hyperlink" Target="https://collabmates.app.link/NjVr7ximtfb" TargetMode="External"/><Relationship Id="rId261" Type="http://schemas.openxmlformats.org/officeDocument/2006/relationships/hyperlink" Target="https://collabmates.app.link/NjVr7ximtfb" TargetMode="External"/><Relationship Id="rId268" Type="http://schemas.openxmlformats.org/officeDocument/2006/relationships/hyperlink" Target="https://collabmates.app.link/NjVr7ximtfb" TargetMode="External"/><Relationship Id="rId267" Type="http://schemas.openxmlformats.org/officeDocument/2006/relationships/hyperlink" Target="https://collabmates.app.link/NjVr7ximtfb" TargetMode="External"/><Relationship Id="rId266" Type="http://schemas.openxmlformats.org/officeDocument/2006/relationships/hyperlink" Target="https://collabmates.app.link/anvnfUMkDdb" TargetMode="External"/><Relationship Id="rId265" Type="http://schemas.openxmlformats.org/officeDocument/2006/relationships/hyperlink" Target="https://collabmates.app.link/anvnfUMkDdb" TargetMode="External"/><Relationship Id="rId260" Type="http://schemas.openxmlformats.org/officeDocument/2006/relationships/hyperlink" Target="https://collabmates.app.link/NjVr7ximtfb" TargetMode="External"/><Relationship Id="rId259" Type="http://schemas.openxmlformats.org/officeDocument/2006/relationships/hyperlink" Target="https://collabmates.app.link/oBXSfMB7Kdb" TargetMode="External"/><Relationship Id="rId258" Type="http://schemas.openxmlformats.org/officeDocument/2006/relationships/hyperlink" Target="https://collabmates.app.link/oBXSfMB7Kdb" TargetMode="External"/><Relationship Id="rId253" Type="http://schemas.openxmlformats.org/officeDocument/2006/relationships/hyperlink" Target="https://collabmates.app.link/ljzPaBAswfb" TargetMode="External"/><Relationship Id="rId252" Type="http://schemas.openxmlformats.org/officeDocument/2006/relationships/hyperlink" Target="https://collabmates.app.link/ljzPaBAswfb" TargetMode="External"/><Relationship Id="rId251" Type="http://schemas.openxmlformats.org/officeDocument/2006/relationships/hyperlink" Target="https://collabmates.app.link/ljzPaBAswfb" TargetMode="External"/><Relationship Id="rId250" Type="http://schemas.openxmlformats.org/officeDocument/2006/relationships/hyperlink" Target="https://collabmates.app.link/ljzPaBAswfb" TargetMode="External"/><Relationship Id="rId257" Type="http://schemas.openxmlformats.org/officeDocument/2006/relationships/hyperlink" Target="https://collabmates.app.link/sJmlNV3qwfb" TargetMode="External"/><Relationship Id="rId256" Type="http://schemas.openxmlformats.org/officeDocument/2006/relationships/hyperlink" Target="https://collabmates.app.link/sJmlNV3qwfb" TargetMode="External"/><Relationship Id="rId255" Type="http://schemas.openxmlformats.org/officeDocument/2006/relationships/hyperlink" Target="https://collabmates.app.link/sJmlNV3qwfb" TargetMode="External"/><Relationship Id="rId254" Type="http://schemas.openxmlformats.org/officeDocument/2006/relationships/hyperlink" Target="https://collabmates.app.link/ljzPaBAswfb" TargetMode="External"/><Relationship Id="rId293" Type="http://schemas.openxmlformats.org/officeDocument/2006/relationships/hyperlink" Target="https://collabmates.app.link/eo9NNO9p7fb" TargetMode="External"/><Relationship Id="rId292" Type="http://schemas.openxmlformats.org/officeDocument/2006/relationships/hyperlink" Target="https://collabmates.app.link/eo9NNO9p7fb" TargetMode="External"/><Relationship Id="rId291" Type="http://schemas.openxmlformats.org/officeDocument/2006/relationships/hyperlink" Target="https://collabmates.app.link/vGNZEVXj2fb" TargetMode="External"/><Relationship Id="rId290" Type="http://schemas.openxmlformats.org/officeDocument/2006/relationships/hyperlink" Target="https://collabmates.app.link/vGNZEVXj2fb" TargetMode="External"/><Relationship Id="rId286" Type="http://schemas.openxmlformats.org/officeDocument/2006/relationships/hyperlink" Target="https://collabmates.app.link/OZmahDSOagb" TargetMode="External"/><Relationship Id="rId285" Type="http://schemas.openxmlformats.org/officeDocument/2006/relationships/hyperlink" Target="https://collabmates.app.link/NjVr7ximtfb" TargetMode="External"/><Relationship Id="rId284" Type="http://schemas.openxmlformats.org/officeDocument/2006/relationships/hyperlink" Target="https://collabmates.app.link/NjVr7ximtfb" TargetMode="External"/><Relationship Id="rId283" Type="http://schemas.openxmlformats.org/officeDocument/2006/relationships/hyperlink" Target="https://collabmates.app.link/NjVr7ximtfb" TargetMode="External"/><Relationship Id="rId289" Type="http://schemas.openxmlformats.org/officeDocument/2006/relationships/hyperlink" Target="https://www.google.com" TargetMode="External"/><Relationship Id="rId288" Type="http://schemas.openxmlformats.org/officeDocument/2006/relationships/hyperlink" Target="https://collabmates.app.link/OZmahDSOagb" TargetMode="External"/><Relationship Id="rId287" Type="http://schemas.openxmlformats.org/officeDocument/2006/relationships/hyperlink" Target="https://collabmates.app.link/OZmahDSOagb" TargetMode="External"/><Relationship Id="rId282" Type="http://schemas.openxmlformats.org/officeDocument/2006/relationships/hyperlink" Target="https://collabmates.app.link/NjVr7ximtfb" TargetMode="External"/><Relationship Id="rId281" Type="http://schemas.openxmlformats.org/officeDocument/2006/relationships/hyperlink" Target="https://collabmates.app.link/76jr1wHPCdb" TargetMode="External"/><Relationship Id="rId280" Type="http://schemas.openxmlformats.org/officeDocument/2006/relationships/hyperlink" Target="https://collabmates.app.link/76jr1wHPCdb" TargetMode="External"/><Relationship Id="rId275" Type="http://schemas.openxmlformats.org/officeDocument/2006/relationships/hyperlink" Target="https://collabmates.app.link/xNDtkgoKagb" TargetMode="External"/><Relationship Id="rId274" Type="http://schemas.openxmlformats.org/officeDocument/2006/relationships/hyperlink" Target="https://collabmates.app.link/xNDtkgoKagb" TargetMode="External"/><Relationship Id="rId273" Type="http://schemas.openxmlformats.org/officeDocument/2006/relationships/hyperlink" Target="https://collabmates.app.link/xNDtkgoKagb" TargetMode="External"/><Relationship Id="rId272" Type="http://schemas.openxmlformats.org/officeDocument/2006/relationships/hyperlink" Target="https://collabmates.app.link/cX54McDPCdb" TargetMode="External"/><Relationship Id="rId279" Type="http://schemas.openxmlformats.org/officeDocument/2006/relationships/hyperlink" Target="https://collabmates.app.link/76jr1wHPCdb" TargetMode="External"/><Relationship Id="rId278" Type="http://schemas.openxmlformats.org/officeDocument/2006/relationships/hyperlink" Target="https://collabmates.app.link/fNldmZQVbgb" TargetMode="External"/><Relationship Id="rId277" Type="http://schemas.openxmlformats.org/officeDocument/2006/relationships/hyperlink" Target="https://collabmates.app.link/fNldmZQVbgb" TargetMode="External"/><Relationship Id="rId276" Type="http://schemas.openxmlformats.org/officeDocument/2006/relationships/hyperlink" Target="https://collabmates.app.link/xNDtkgoKagb" TargetMode="External"/><Relationship Id="rId612" Type="http://schemas.openxmlformats.org/officeDocument/2006/relationships/drawing" Target="../drawings/drawing7.xml"/><Relationship Id="rId611" Type="http://schemas.openxmlformats.org/officeDocument/2006/relationships/hyperlink" Target="https://collabmates.app.link/l2zb1aMLyfb" TargetMode="External"/><Relationship Id="rId610" Type="http://schemas.openxmlformats.org/officeDocument/2006/relationships/hyperlink" Target="https://collabmates.app.link/l2zb1aMLyfb" TargetMode="External"/><Relationship Id="rId609" Type="http://schemas.openxmlformats.org/officeDocument/2006/relationships/hyperlink" Target="https://collabmates.app.link/l2zb1aMLyfb" TargetMode="External"/><Relationship Id="rId608" Type="http://schemas.openxmlformats.org/officeDocument/2006/relationships/hyperlink" Target="https://collabmates.app.link/gj6NKnXNCgb" TargetMode="External"/><Relationship Id="rId607" Type="http://schemas.openxmlformats.org/officeDocument/2006/relationships/hyperlink" Target="https://collabmates.app.link/BIvhg5teygb" TargetMode="External"/><Relationship Id="rId602" Type="http://schemas.openxmlformats.org/officeDocument/2006/relationships/hyperlink" Target="https://collabmates.app.link/80b8gHUFrfb" TargetMode="External"/><Relationship Id="rId601" Type="http://schemas.openxmlformats.org/officeDocument/2006/relationships/hyperlink" Target="https://collabmates.app.link/uX8Wi4YgVgb" TargetMode="External"/><Relationship Id="rId600" Type="http://schemas.openxmlformats.org/officeDocument/2006/relationships/hyperlink" Target="https://collabmates.app.link/76jr1wHPCdb" TargetMode="External"/><Relationship Id="rId606" Type="http://schemas.openxmlformats.org/officeDocument/2006/relationships/hyperlink" Target="https://collabmates.app.link/BIvhg5teygb" TargetMode="External"/><Relationship Id="rId605" Type="http://schemas.openxmlformats.org/officeDocument/2006/relationships/hyperlink" Target="https://collabmates.app.link/BIvhg5teygb" TargetMode="External"/><Relationship Id="rId604" Type="http://schemas.openxmlformats.org/officeDocument/2006/relationships/hyperlink" Target="https://collabmates.app.link/80b8gHUFrfb" TargetMode="External"/><Relationship Id="rId603" Type="http://schemas.openxmlformats.org/officeDocument/2006/relationships/hyperlink" Target="https://collabmates.app.link/80b8gHUFrfb" TargetMode="External"/><Relationship Id="rId228" Type="http://schemas.openxmlformats.org/officeDocument/2006/relationships/hyperlink" Target="https://collabmates.app.link/anvnfUMkDdb" TargetMode="External"/><Relationship Id="rId227" Type="http://schemas.openxmlformats.org/officeDocument/2006/relationships/hyperlink" Target="https://collabmates.app.link/anvnfUMkDdb" TargetMode="External"/><Relationship Id="rId226" Type="http://schemas.openxmlformats.org/officeDocument/2006/relationships/hyperlink" Target="https://collabmates.app.link/anvnfUMkDdb" TargetMode="External"/><Relationship Id="rId225" Type="http://schemas.openxmlformats.org/officeDocument/2006/relationships/hyperlink" Target="https://collabmates.app.link/anvnfUMkDdb" TargetMode="External"/><Relationship Id="rId229" Type="http://schemas.openxmlformats.org/officeDocument/2006/relationships/hyperlink" Target="https://collabmates.app.link/anvnfUMkDdb" TargetMode="External"/><Relationship Id="rId220" Type="http://schemas.openxmlformats.org/officeDocument/2006/relationships/hyperlink" Target="https://collabmates.app.link/b01MShR0Mfb" TargetMode="External"/><Relationship Id="rId224" Type="http://schemas.openxmlformats.org/officeDocument/2006/relationships/hyperlink" Target="https://collabmates.app.link/4Jcu4gOaDfb" TargetMode="External"/><Relationship Id="rId223" Type="http://schemas.openxmlformats.org/officeDocument/2006/relationships/hyperlink" Target="https://collabmates.app.link/4Jcu4gOaDfb" TargetMode="External"/><Relationship Id="rId222" Type="http://schemas.openxmlformats.org/officeDocument/2006/relationships/hyperlink" Target="https://collabmates.app.link/UGZc8ubhFfb" TargetMode="External"/><Relationship Id="rId221" Type="http://schemas.openxmlformats.org/officeDocument/2006/relationships/hyperlink" Target="https://collabmates.app.link/UGZc8ubhFfb" TargetMode="External"/><Relationship Id="rId217" Type="http://schemas.openxmlformats.org/officeDocument/2006/relationships/hyperlink" Target="https://collabmates.app.link/b01MShR0Mfb" TargetMode="External"/><Relationship Id="rId216" Type="http://schemas.openxmlformats.org/officeDocument/2006/relationships/hyperlink" Target="https://collabmates.app.link/cX54McDPCdb" TargetMode="External"/><Relationship Id="rId215" Type="http://schemas.openxmlformats.org/officeDocument/2006/relationships/hyperlink" Target="https://collabmates.app.link/cX54McDPCdb" TargetMode="External"/><Relationship Id="rId214" Type="http://schemas.openxmlformats.org/officeDocument/2006/relationships/hyperlink" Target="https://collabmates.app.link/sJmlNV3qwfb" TargetMode="External"/><Relationship Id="rId219" Type="http://schemas.openxmlformats.org/officeDocument/2006/relationships/hyperlink" Target="https://collabmates.app.link/b01MShR0Mfb" TargetMode="External"/><Relationship Id="rId218" Type="http://schemas.openxmlformats.org/officeDocument/2006/relationships/hyperlink" Target="https://collabmates.app.link/b01MShR0Mfb" TargetMode="External"/><Relationship Id="rId213" Type="http://schemas.openxmlformats.org/officeDocument/2006/relationships/hyperlink" Target="https://collabmates.app.link/sJmlNV3qwfb" TargetMode="External"/><Relationship Id="rId212" Type="http://schemas.openxmlformats.org/officeDocument/2006/relationships/hyperlink" Target="https://collabmates.app.link/0LL8sBlEQfb" TargetMode="External"/><Relationship Id="rId211" Type="http://schemas.openxmlformats.org/officeDocument/2006/relationships/hyperlink" Target="https://collabmates.app.link/0LL8sBlEQfb" TargetMode="External"/><Relationship Id="rId210" Type="http://schemas.openxmlformats.org/officeDocument/2006/relationships/hyperlink" Target="https://collabmates.app.link/0LL8sBlEQfb" TargetMode="External"/><Relationship Id="rId249" Type="http://schemas.openxmlformats.org/officeDocument/2006/relationships/hyperlink" Target="https://collabmates.app.link/Quo0YbXH0fb" TargetMode="External"/><Relationship Id="rId248" Type="http://schemas.openxmlformats.org/officeDocument/2006/relationships/hyperlink" Target="https://collabmates.app.link/Quo0YbXH0fb" TargetMode="External"/><Relationship Id="rId247" Type="http://schemas.openxmlformats.org/officeDocument/2006/relationships/hyperlink" Target="https://collabmates.app.link/Quo0YbXH0fb" TargetMode="External"/><Relationship Id="rId242" Type="http://schemas.openxmlformats.org/officeDocument/2006/relationships/hyperlink" Target="https://collabmates.app.link/FfDdFrOZYfb" TargetMode="External"/><Relationship Id="rId241" Type="http://schemas.openxmlformats.org/officeDocument/2006/relationships/hyperlink" Target="https://collabmates.app.link/FfDdFrOZYfb" TargetMode="External"/><Relationship Id="rId240" Type="http://schemas.openxmlformats.org/officeDocument/2006/relationships/hyperlink" Target="https://collabmates.app.link/NjVr7ximtfb" TargetMode="External"/><Relationship Id="rId246" Type="http://schemas.openxmlformats.org/officeDocument/2006/relationships/hyperlink" Target="https://collabmates.app.link/Quo0YbXH0fb" TargetMode="External"/><Relationship Id="rId245" Type="http://schemas.openxmlformats.org/officeDocument/2006/relationships/hyperlink" Target="https://collabmates.app.link/Quo0YbXH0fb" TargetMode="External"/><Relationship Id="rId244" Type="http://schemas.openxmlformats.org/officeDocument/2006/relationships/hyperlink" Target="https://collabmates.app.link/Quo0YbXH0fb" TargetMode="External"/><Relationship Id="rId243" Type="http://schemas.openxmlformats.org/officeDocument/2006/relationships/hyperlink" Target="https://collabmates.app.link/FfDdFrOZYfb" TargetMode="External"/><Relationship Id="rId239" Type="http://schemas.openxmlformats.org/officeDocument/2006/relationships/hyperlink" Target="https://collabmates.app.link/NjVr7ximtfb" TargetMode="External"/><Relationship Id="rId238" Type="http://schemas.openxmlformats.org/officeDocument/2006/relationships/hyperlink" Target="https://collabmates.app.link/NjVr7ximtfb" TargetMode="External"/><Relationship Id="rId237" Type="http://schemas.openxmlformats.org/officeDocument/2006/relationships/hyperlink" Target="https://collabmates.app.link/BqSsvBkoqfb" TargetMode="External"/><Relationship Id="rId236" Type="http://schemas.openxmlformats.org/officeDocument/2006/relationships/hyperlink" Target="https://collabmates.app.link/BqSsvBkoqfb" TargetMode="External"/><Relationship Id="rId231" Type="http://schemas.openxmlformats.org/officeDocument/2006/relationships/hyperlink" Target="https://collabmates.app.link/En9NFZXWLfb" TargetMode="External"/><Relationship Id="rId230" Type="http://schemas.openxmlformats.org/officeDocument/2006/relationships/hyperlink" Target="https://collabmates.app.link/anvnfUMkDdb" TargetMode="External"/><Relationship Id="rId235" Type="http://schemas.openxmlformats.org/officeDocument/2006/relationships/hyperlink" Target="https://collabmates.app.link/BqSsvBkoqfb" TargetMode="External"/><Relationship Id="rId234" Type="http://schemas.openxmlformats.org/officeDocument/2006/relationships/hyperlink" Target="https://collabmates.app.link/xlT4gPjLYfb" TargetMode="External"/><Relationship Id="rId233" Type="http://schemas.openxmlformats.org/officeDocument/2006/relationships/hyperlink" Target="https://collabmates.app.link/xlT4gPjLYfb" TargetMode="External"/><Relationship Id="rId232" Type="http://schemas.openxmlformats.org/officeDocument/2006/relationships/hyperlink" Target="https://collabmates.app.link/xlT4gPjLYfb" TargetMode="External"/><Relationship Id="rId206" Type="http://schemas.openxmlformats.org/officeDocument/2006/relationships/hyperlink" Target="https://collabmates.app.link/iQX5LdW92eb" TargetMode="External"/><Relationship Id="rId205" Type="http://schemas.openxmlformats.org/officeDocument/2006/relationships/hyperlink" Target="https://collabmates.app.link/G1zY7Jg4pfb" TargetMode="External"/><Relationship Id="rId204" Type="http://schemas.openxmlformats.org/officeDocument/2006/relationships/hyperlink" Target="https://collabmates.app.link/G1zY7Jg4pfb" TargetMode="External"/><Relationship Id="rId203" Type="http://schemas.openxmlformats.org/officeDocument/2006/relationships/hyperlink" Target="https://collabmates.app.link/G1zY7Jg4pfb" TargetMode="External"/><Relationship Id="rId209" Type="http://schemas.openxmlformats.org/officeDocument/2006/relationships/hyperlink" Target="https://collabmates.app.link/sJmlNV3qwfb" TargetMode="External"/><Relationship Id="rId208" Type="http://schemas.openxmlformats.org/officeDocument/2006/relationships/hyperlink" Target="https://collabmates.app.link/sJmlNV3qwfb" TargetMode="External"/><Relationship Id="rId207" Type="http://schemas.openxmlformats.org/officeDocument/2006/relationships/hyperlink" Target="https://collabmates.app.link/iQX5LdW92eb" TargetMode="External"/><Relationship Id="rId202" Type="http://schemas.openxmlformats.org/officeDocument/2006/relationships/hyperlink" Target="https://collabmates.app.link/lZckKutq1eb" TargetMode="External"/><Relationship Id="rId201" Type="http://schemas.openxmlformats.org/officeDocument/2006/relationships/hyperlink" Target="https://collabmates.app.link/lZckKutq1eb" TargetMode="External"/><Relationship Id="rId200" Type="http://schemas.openxmlformats.org/officeDocument/2006/relationships/hyperlink" Target="https://collabmates.app.link/2HaZwUxvIfb" TargetMode="External"/><Relationship Id="rId190" Type="http://schemas.openxmlformats.org/officeDocument/2006/relationships/hyperlink" Target="https://collabmates.app.link/2HaZwUxvIfb" TargetMode="External"/><Relationship Id="rId194" Type="http://schemas.openxmlformats.org/officeDocument/2006/relationships/hyperlink" Target="https://collabmates.app.link/Quo0YbXH0fb" TargetMode="External"/><Relationship Id="rId193" Type="http://schemas.openxmlformats.org/officeDocument/2006/relationships/hyperlink" Target="https://collabmates.app.link/Quo0YbXH0fb" TargetMode="External"/><Relationship Id="rId192" Type="http://schemas.openxmlformats.org/officeDocument/2006/relationships/hyperlink" Target="https://collabmates.app.link/Quo0YbXH0fb" TargetMode="External"/><Relationship Id="rId191" Type="http://schemas.openxmlformats.org/officeDocument/2006/relationships/hyperlink" Target="https://collabmates.app.link/2HaZwUxvIfb" TargetMode="External"/><Relationship Id="rId187" Type="http://schemas.openxmlformats.org/officeDocument/2006/relationships/hyperlink" Target="https://collabmates.app.link/xlT4gPjLYfb" TargetMode="External"/><Relationship Id="rId186" Type="http://schemas.openxmlformats.org/officeDocument/2006/relationships/hyperlink" Target="https://collabmates.app.link/xlT4gPjLYfb" TargetMode="External"/><Relationship Id="rId185" Type="http://schemas.openxmlformats.org/officeDocument/2006/relationships/hyperlink" Target="https://collabmates.app.link/xlT4gPjLYfb" TargetMode="External"/><Relationship Id="rId184" Type="http://schemas.openxmlformats.org/officeDocument/2006/relationships/hyperlink" Target="https://collabmates.app.link/UGZc8ubhFfb" TargetMode="External"/><Relationship Id="rId189" Type="http://schemas.openxmlformats.org/officeDocument/2006/relationships/hyperlink" Target="https://collabmates.app.link/2HaZwUxvIfb" TargetMode="External"/><Relationship Id="rId188" Type="http://schemas.openxmlformats.org/officeDocument/2006/relationships/hyperlink" Target="https://collabmates.app.link/xlT4gPjLYfb" TargetMode="External"/><Relationship Id="rId183" Type="http://schemas.openxmlformats.org/officeDocument/2006/relationships/hyperlink" Target="https://collabmates.app.link/UGZc8ubhFfb" TargetMode="External"/><Relationship Id="rId182" Type="http://schemas.openxmlformats.org/officeDocument/2006/relationships/hyperlink" Target="https://collabmates.app.link/UGZc8ubhFfb" TargetMode="External"/><Relationship Id="rId181" Type="http://schemas.openxmlformats.org/officeDocument/2006/relationships/hyperlink" Target="https://collabmates.app.link?FfDdFrOZYfb" TargetMode="External"/><Relationship Id="rId180" Type="http://schemas.openxmlformats.org/officeDocument/2006/relationships/hyperlink" Target="https://collabmates.app.link?FfDdFrOZYfb" TargetMode="External"/><Relationship Id="rId176" Type="http://schemas.openxmlformats.org/officeDocument/2006/relationships/hyperlink" Target="https://collabmates.app.link/RGLVpmJEDfb" TargetMode="External"/><Relationship Id="rId175" Type="http://schemas.openxmlformats.org/officeDocument/2006/relationships/hyperlink" Target="https://collabmates.app.link/RGLVpmJEDfb" TargetMode="External"/><Relationship Id="rId174" Type="http://schemas.openxmlformats.org/officeDocument/2006/relationships/hyperlink" Target="https://collabmates.app.link/RGLVpmJEDfb" TargetMode="External"/><Relationship Id="rId173" Type="http://schemas.openxmlformats.org/officeDocument/2006/relationships/hyperlink" Target="https://collabmates.app.link/w2Vy00tDSfb" TargetMode="External"/><Relationship Id="rId179" Type="http://schemas.openxmlformats.org/officeDocument/2006/relationships/hyperlink" Target="https://collabmates.app.link?FfDdFrOZYfb" TargetMode="External"/><Relationship Id="rId178" Type="http://schemas.openxmlformats.org/officeDocument/2006/relationships/hyperlink" Target="https://collabmates.app.link?FfDdFrOZYfb" TargetMode="External"/><Relationship Id="rId177" Type="http://schemas.openxmlformats.org/officeDocument/2006/relationships/hyperlink" Target="https://collabmates.app.link?FfDdFrOZYfb" TargetMode="External"/><Relationship Id="rId198" Type="http://schemas.openxmlformats.org/officeDocument/2006/relationships/hyperlink" Target="https://collabmates.link" TargetMode="External"/><Relationship Id="rId197" Type="http://schemas.openxmlformats.org/officeDocument/2006/relationships/hyperlink" Target="https://collabmates.link" TargetMode="External"/><Relationship Id="rId196" Type="http://schemas.openxmlformats.org/officeDocument/2006/relationships/hyperlink" Target="https://collabmates.app.link/VhMgNOZk2fb" TargetMode="External"/><Relationship Id="rId195" Type="http://schemas.openxmlformats.org/officeDocument/2006/relationships/hyperlink" Target="https://collabmates.app.link/VhMgNOZk2fb" TargetMode="External"/><Relationship Id="rId199" Type="http://schemas.openxmlformats.org/officeDocument/2006/relationships/hyperlink" Target="https://collabmates.app.link/2HaZwUxvIfb" TargetMode="External"/><Relationship Id="rId150" Type="http://schemas.openxmlformats.org/officeDocument/2006/relationships/hyperlink" Target="https://collabmates.app.link/BqSsvBkoqfb" TargetMode="External"/><Relationship Id="rId149" Type="http://schemas.openxmlformats.org/officeDocument/2006/relationships/hyperlink" Target="https://collabmates.app.link/BqSsvBkoqfb" TargetMode="External"/><Relationship Id="rId148" Type="http://schemas.openxmlformats.org/officeDocument/2006/relationships/hyperlink" Target="https://collabmates.app.link/NdQ1JA3rGfb" TargetMode="External"/><Relationship Id="rId143" Type="http://schemas.openxmlformats.org/officeDocument/2006/relationships/hyperlink" Target="https://collabmates.app.link/BqSsvBkoqfb" TargetMode="External"/><Relationship Id="rId142" Type="http://schemas.openxmlformats.org/officeDocument/2006/relationships/hyperlink" Target="https://collabmates.app.link/uYiAsVm2pfb" TargetMode="External"/><Relationship Id="rId141" Type="http://schemas.openxmlformats.org/officeDocument/2006/relationships/hyperlink" Target="https://collabmates.app.link/uYiAsVm2pfb" TargetMode="External"/><Relationship Id="rId140" Type="http://schemas.openxmlformats.org/officeDocument/2006/relationships/hyperlink" Target="https://collabmates.app.link/uYiAsVm2pfb" TargetMode="External"/><Relationship Id="rId147" Type="http://schemas.openxmlformats.org/officeDocument/2006/relationships/hyperlink" Target="https://collabmates.app.link/NdQ1JA3rGfb" TargetMode="External"/><Relationship Id="rId146" Type="http://schemas.openxmlformats.org/officeDocument/2006/relationships/hyperlink" Target="https://collabmates.app.link/NdQ1JA3rGfb" TargetMode="External"/><Relationship Id="rId145" Type="http://schemas.openxmlformats.org/officeDocument/2006/relationships/hyperlink" Target="https://collabmates.app.link/BqSsvBkoqfb" TargetMode="External"/><Relationship Id="rId144" Type="http://schemas.openxmlformats.org/officeDocument/2006/relationships/hyperlink" Target="https://collabmates.app.link/BqSsvBkoqfb" TargetMode="External"/><Relationship Id="rId139" Type="http://schemas.openxmlformats.org/officeDocument/2006/relationships/hyperlink" Target="https://collabmates.app.link/4Jcu4gOaDfb" TargetMode="External"/><Relationship Id="rId138" Type="http://schemas.openxmlformats.org/officeDocument/2006/relationships/hyperlink" Target="https://collabmates.app.link/4Jcu4gOaDfb" TargetMode="External"/><Relationship Id="rId137" Type="http://schemas.openxmlformats.org/officeDocument/2006/relationships/hyperlink" Target="https://collabmates.app.link/4Jcu4gOaDfb" TargetMode="External"/><Relationship Id="rId132" Type="http://schemas.openxmlformats.org/officeDocument/2006/relationships/hyperlink" Target="https://collabmates.app.link/YXeBv4e32eb" TargetMode="External"/><Relationship Id="rId131" Type="http://schemas.openxmlformats.org/officeDocument/2006/relationships/hyperlink" Target="https://collabmates.app.link/YXeBv4e32eb" TargetMode="External"/><Relationship Id="rId130" Type="http://schemas.openxmlformats.org/officeDocument/2006/relationships/hyperlink" Target="https://collabmates.app.link/YXeBv4e32eb" TargetMode="External"/><Relationship Id="rId136" Type="http://schemas.openxmlformats.org/officeDocument/2006/relationships/hyperlink" Target="https://collabmates.app.link/w11KF7T0Kdb" TargetMode="External"/><Relationship Id="rId135" Type="http://schemas.openxmlformats.org/officeDocument/2006/relationships/hyperlink" Target="https://collabmates.app.link/2fCsrPZcqfb" TargetMode="External"/><Relationship Id="rId134" Type="http://schemas.openxmlformats.org/officeDocument/2006/relationships/hyperlink" Target="https://collabmates.app.link/2fCsrPZcqfb" TargetMode="External"/><Relationship Id="rId133" Type="http://schemas.openxmlformats.org/officeDocument/2006/relationships/hyperlink" Target="https://collabmates.app.link/2fCsrPZcqfb" TargetMode="External"/><Relationship Id="rId172" Type="http://schemas.openxmlformats.org/officeDocument/2006/relationships/hyperlink" Target="https://collabmates.app.link/w2Vy00tDSfb" TargetMode="External"/><Relationship Id="rId171" Type="http://schemas.openxmlformats.org/officeDocument/2006/relationships/hyperlink" Target="https://collabmates.app.link/w2Vy00tDSfb" TargetMode="External"/><Relationship Id="rId170" Type="http://schemas.openxmlformats.org/officeDocument/2006/relationships/hyperlink" Target="https://collabmates.app.link/w2Vy00tDSfb" TargetMode="External"/><Relationship Id="rId165" Type="http://schemas.openxmlformats.org/officeDocument/2006/relationships/hyperlink" Target="https://collabmates.app.link/b01MShR0Mfb" TargetMode="External"/><Relationship Id="rId164" Type="http://schemas.openxmlformats.org/officeDocument/2006/relationships/hyperlink" Target="https://collabmates.app.link/b01MShR0Mfb" TargetMode="External"/><Relationship Id="rId163" Type="http://schemas.openxmlformats.org/officeDocument/2006/relationships/hyperlink" Target="https://collabmates.app.link/b01MShR0Mfb" TargetMode="External"/><Relationship Id="rId162" Type="http://schemas.openxmlformats.org/officeDocument/2006/relationships/hyperlink" Target="https://collabmates.app.link/3HDZi3KHwfb" TargetMode="External"/><Relationship Id="rId169" Type="http://schemas.openxmlformats.org/officeDocument/2006/relationships/hyperlink" Target="https://collabmates.app.link/w2Vy00tDSfb" TargetMode="External"/><Relationship Id="rId168" Type="http://schemas.openxmlformats.org/officeDocument/2006/relationships/hyperlink" Target="https://collabmates.app.link/w2Vy00tDSfb" TargetMode="External"/><Relationship Id="rId167" Type="http://schemas.openxmlformats.org/officeDocument/2006/relationships/hyperlink" Target="https://collabmates.app.link/w2Vy00tDSfb" TargetMode="External"/><Relationship Id="rId166" Type="http://schemas.openxmlformats.org/officeDocument/2006/relationships/hyperlink" Target="https://collabmates.app.link/b01MShR0Mfb" TargetMode="External"/><Relationship Id="rId161" Type="http://schemas.openxmlformats.org/officeDocument/2006/relationships/hyperlink" Target="https://collabmates.app.link/3HDZi3KHwfb" TargetMode="External"/><Relationship Id="rId160" Type="http://schemas.openxmlformats.org/officeDocument/2006/relationships/hyperlink" Target="https://collabmates.app.link/NdQ1JA3rGfb" TargetMode="External"/><Relationship Id="rId159" Type="http://schemas.openxmlformats.org/officeDocument/2006/relationships/hyperlink" Target="https://collabmates.app.link/4Jcu4gOaDfb" TargetMode="External"/><Relationship Id="rId154" Type="http://schemas.openxmlformats.org/officeDocument/2006/relationships/hyperlink" Target="https://collabmates.app.link/TMFRX0dswfb" TargetMode="External"/><Relationship Id="rId153" Type="http://schemas.openxmlformats.org/officeDocument/2006/relationships/hyperlink" Target="https://collabmates.app.link/TMFRX0dswfb" TargetMode="External"/><Relationship Id="rId152" Type="http://schemas.openxmlformats.org/officeDocument/2006/relationships/hyperlink" Target="https://www.google.com" TargetMode="External"/><Relationship Id="rId151" Type="http://schemas.openxmlformats.org/officeDocument/2006/relationships/hyperlink" Target="https://collabmates.app.link/BqSsvBkoqfb" TargetMode="External"/><Relationship Id="rId158" Type="http://schemas.openxmlformats.org/officeDocument/2006/relationships/hyperlink" Target="https://collabmates.app.link/4Jcu4gOaDfb" TargetMode="External"/><Relationship Id="rId157" Type="http://schemas.openxmlformats.org/officeDocument/2006/relationships/hyperlink" Target="https://collabmates.app.link/4Jcu4gOaDfb" TargetMode="External"/><Relationship Id="rId156" Type="http://schemas.openxmlformats.org/officeDocument/2006/relationships/hyperlink" Target="https://collabmates.app.link/TMFRX0dswfb" TargetMode="External"/><Relationship Id="rId155" Type="http://schemas.openxmlformats.org/officeDocument/2006/relationships/hyperlink" Target="https://collabmates.app.link/TMFRX0dswfb" TargetMode="External"/><Relationship Id="rId509" Type="http://schemas.openxmlformats.org/officeDocument/2006/relationships/hyperlink" Target="https://collabmates.app.link/EnOFlKNuTgb" TargetMode="External"/><Relationship Id="rId508" Type="http://schemas.openxmlformats.org/officeDocument/2006/relationships/hyperlink" Target="https://collabmates.app.link/6kd9IqNbjgb" TargetMode="External"/><Relationship Id="rId503" Type="http://schemas.openxmlformats.org/officeDocument/2006/relationships/hyperlink" Target="https://collabmates.app.link/2olEaZUQTgb" TargetMode="External"/><Relationship Id="rId502" Type="http://schemas.openxmlformats.org/officeDocument/2006/relationships/hyperlink" Target="https://collabmates.app.link/R16bnXyQqgb" TargetMode="External"/><Relationship Id="rId501" Type="http://schemas.openxmlformats.org/officeDocument/2006/relationships/hyperlink" Target="https://collabmates.app.link/R16bnXyQqgb" TargetMode="External"/><Relationship Id="rId500" Type="http://schemas.openxmlformats.org/officeDocument/2006/relationships/hyperlink" Target="https://collabmates.app.link/R16bnXyQqgb" TargetMode="External"/><Relationship Id="rId507" Type="http://schemas.openxmlformats.org/officeDocument/2006/relationships/hyperlink" Target="https://collabmates.app.link/6kd9IqNbjgb" TargetMode="External"/><Relationship Id="rId506" Type="http://schemas.openxmlformats.org/officeDocument/2006/relationships/hyperlink" Target="https://collabmates.app.link/6kd9IqNbjgb" TargetMode="External"/><Relationship Id="rId505" Type="http://schemas.openxmlformats.org/officeDocument/2006/relationships/hyperlink" Target="https://collabmates.app.link/2olEaZUQTgb" TargetMode="External"/><Relationship Id="rId504" Type="http://schemas.openxmlformats.org/officeDocument/2006/relationships/hyperlink" Target="https://collabmates.app.link/2olEaZUQTgb" TargetMode="External"/><Relationship Id="rId525" Type="http://schemas.openxmlformats.org/officeDocument/2006/relationships/hyperlink" Target="https://collabmates.app.link/UfHNaLLwigb" TargetMode="External"/><Relationship Id="rId524" Type="http://schemas.openxmlformats.org/officeDocument/2006/relationships/hyperlink" Target="https://collabmates.app.link/NjVr7ximtfb" TargetMode="External"/><Relationship Id="rId523" Type="http://schemas.openxmlformats.org/officeDocument/2006/relationships/hyperlink" Target="https://collabmates.app.link/NjVr7ximtfb" TargetMode="External"/><Relationship Id="rId522" Type="http://schemas.openxmlformats.org/officeDocument/2006/relationships/hyperlink" Target="https://collabmates.app.link/NjVr7ximtfb" TargetMode="External"/><Relationship Id="rId529" Type="http://schemas.openxmlformats.org/officeDocument/2006/relationships/hyperlink" Target="https://collabmates.app.link/DHNCeoyvOgb" TargetMode="External"/><Relationship Id="rId528" Type="http://schemas.openxmlformats.org/officeDocument/2006/relationships/hyperlink" Target="https://collabmates.app.link/DHNCeoyvOgb" TargetMode="External"/><Relationship Id="rId527" Type="http://schemas.openxmlformats.org/officeDocument/2006/relationships/hyperlink" Target="https://collabmates.app.link/DHNCeoyvOgb" TargetMode="External"/><Relationship Id="rId526" Type="http://schemas.openxmlformats.org/officeDocument/2006/relationships/hyperlink" Target="https://collabmates.app.link/DHNCeoyvOgb" TargetMode="External"/><Relationship Id="rId521" Type="http://schemas.openxmlformats.org/officeDocument/2006/relationships/hyperlink" Target="https://collabmates.app.link/bv5Fs1xdLgb" TargetMode="External"/><Relationship Id="rId520" Type="http://schemas.openxmlformats.org/officeDocument/2006/relationships/hyperlink" Target="https://collabmates.app.link/uX8Wi4YgVgb" TargetMode="External"/><Relationship Id="rId519" Type="http://schemas.openxmlformats.org/officeDocument/2006/relationships/hyperlink" Target="https://collabmates.app.link/bv5Fs1xdLgb" TargetMode="External"/><Relationship Id="rId514" Type="http://schemas.openxmlformats.org/officeDocument/2006/relationships/hyperlink" Target="https://collabmates.app.link/xlT4gPjLYfb" TargetMode="External"/><Relationship Id="rId513" Type="http://schemas.openxmlformats.org/officeDocument/2006/relationships/hyperlink" Target="https://collabmates.app.link/xlT4gPjLYfb" TargetMode="External"/><Relationship Id="rId512" Type="http://schemas.openxmlformats.org/officeDocument/2006/relationships/hyperlink" Target="https://collabmates.app.link/EnOFlKNuTgb" TargetMode="External"/><Relationship Id="rId511" Type="http://schemas.openxmlformats.org/officeDocument/2006/relationships/hyperlink" Target="https://collabmates.app.link/EnOFlKNuTgb" TargetMode="External"/><Relationship Id="rId518" Type="http://schemas.openxmlformats.org/officeDocument/2006/relationships/hyperlink" Target="https://collabmates.app.link/uX8Wi4YgVgb" TargetMode="External"/><Relationship Id="rId517" Type="http://schemas.openxmlformats.org/officeDocument/2006/relationships/hyperlink" Target="https://collabmates.app.link/uX8Wi4YgVgb" TargetMode="External"/><Relationship Id="rId516" Type="http://schemas.openxmlformats.org/officeDocument/2006/relationships/hyperlink" Target="https://collabmates.app.link/xlT4gPjLYfb" TargetMode="External"/><Relationship Id="rId515" Type="http://schemas.openxmlformats.org/officeDocument/2006/relationships/hyperlink" Target="https://collabmates.app.link/xlT4gPjLYfb" TargetMode="External"/><Relationship Id="rId510" Type="http://schemas.openxmlformats.org/officeDocument/2006/relationships/hyperlink" Target="https://collabmates.app.link/EnOFlKNuTgb" TargetMode="External"/><Relationship Id="rId590" Type="http://schemas.openxmlformats.org/officeDocument/2006/relationships/hyperlink" Target="https://collabmates.app.link/LpphzCuREgb" TargetMode="External"/><Relationship Id="rId107" Type="http://schemas.openxmlformats.org/officeDocument/2006/relationships/hyperlink" Target="https://collabmates.app.link/tWUl14potfb" TargetMode="External"/><Relationship Id="rId106" Type="http://schemas.openxmlformats.org/officeDocument/2006/relationships/hyperlink" Target="https://collabmates.app.link/tWUl14potfb" TargetMode="External"/><Relationship Id="rId105" Type="http://schemas.openxmlformats.org/officeDocument/2006/relationships/hyperlink" Target="https://collabmates.app.link/bmN9uDfn4eb" TargetMode="External"/><Relationship Id="rId589" Type="http://schemas.openxmlformats.org/officeDocument/2006/relationships/hyperlink" Target="https://collabmates.app.link/LpphzCuREgb" TargetMode="External"/><Relationship Id="rId104" Type="http://schemas.openxmlformats.org/officeDocument/2006/relationships/hyperlink" Target="https://collabmates.app.link/bmN9uDfn4eb" TargetMode="External"/><Relationship Id="rId588" Type="http://schemas.openxmlformats.org/officeDocument/2006/relationships/hyperlink" Target="https://collabmates.app.link/urFJhwEXigb" TargetMode="External"/><Relationship Id="rId109" Type="http://schemas.openxmlformats.org/officeDocument/2006/relationships/hyperlink" Target="https://collabmates.app.link/sJmlNV3qwfb" TargetMode="External"/><Relationship Id="rId108" Type="http://schemas.openxmlformats.org/officeDocument/2006/relationships/hyperlink" Target="https://collabmates.app.link/tWUl14potfb" TargetMode="External"/><Relationship Id="rId583" Type="http://schemas.openxmlformats.org/officeDocument/2006/relationships/hyperlink" Target="https://collabmates.app.link/LpphzCuREgb" TargetMode="External"/><Relationship Id="rId582" Type="http://schemas.openxmlformats.org/officeDocument/2006/relationships/hyperlink" Target="https://collabmates.app.link/DgLj9XJXfgb" TargetMode="External"/><Relationship Id="rId581" Type="http://schemas.openxmlformats.org/officeDocument/2006/relationships/hyperlink" Target="https://collabmates.app.link/DgLj9XJXfgb" TargetMode="External"/><Relationship Id="rId580" Type="http://schemas.openxmlformats.org/officeDocument/2006/relationships/hyperlink" Target="https://collabmates.app.link/DgLj9XJXfgb" TargetMode="External"/><Relationship Id="rId103" Type="http://schemas.openxmlformats.org/officeDocument/2006/relationships/hyperlink" Target="https://collabmates.app.link/bmN9uDfn4eb" TargetMode="External"/><Relationship Id="rId587" Type="http://schemas.openxmlformats.org/officeDocument/2006/relationships/hyperlink" Target="https://collabmates.app.link/LpphzCuREgb" TargetMode="External"/><Relationship Id="rId102" Type="http://schemas.openxmlformats.org/officeDocument/2006/relationships/hyperlink" Target="https://collabmates.app.link/QInMxkmBBfb" TargetMode="External"/><Relationship Id="rId586" Type="http://schemas.openxmlformats.org/officeDocument/2006/relationships/hyperlink" Target="https://collabmates.app.link/urFJhwEXigb" TargetMode="External"/><Relationship Id="rId101" Type="http://schemas.openxmlformats.org/officeDocument/2006/relationships/hyperlink" Target="https://collabmates.app.link/QInMxkmBBfb" TargetMode="External"/><Relationship Id="rId585" Type="http://schemas.openxmlformats.org/officeDocument/2006/relationships/hyperlink" Target="https://collabmates.app.link/LpphzCuREgb" TargetMode="External"/><Relationship Id="rId100" Type="http://schemas.openxmlformats.org/officeDocument/2006/relationships/hyperlink" Target="https://collabmates.app.link/oBXSfMB7Kdb" TargetMode="External"/><Relationship Id="rId584" Type="http://schemas.openxmlformats.org/officeDocument/2006/relationships/hyperlink" Target="https://collabmates.app.link/urFJhwEXigb" TargetMode="External"/><Relationship Id="rId579" Type="http://schemas.openxmlformats.org/officeDocument/2006/relationships/hyperlink" Target="https://collabmates.app.link/DgLj9XJXfgb" TargetMode="External"/><Relationship Id="rId578" Type="http://schemas.openxmlformats.org/officeDocument/2006/relationships/hyperlink" Target="https://collabmates.app.link/DgLj9XJXfgb" TargetMode="External"/><Relationship Id="rId577" Type="http://schemas.openxmlformats.org/officeDocument/2006/relationships/hyperlink" Target="https://collabmates.app.link/DgLj9XJXfgb" TargetMode="External"/><Relationship Id="rId572" Type="http://schemas.openxmlformats.org/officeDocument/2006/relationships/hyperlink" Target="https://collabmates.app.link/2fCsrPZcqfb" TargetMode="External"/><Relationship Id="rId571" Type="http://schemas.openxmlformats.org/officeDocument/2006/relationships/hyperlink" Target="https://collabmates.app.link/WSga9p45Igb" TargetMode="External"/><Relationship Id="rId570" Type="http://schemas.openxmlformats.org/officeDocument/2006/relationships/hyperlink" Target="https://collabmates.app.link/WSga9p45Igb" TargetMode="External"/><Relationship Id="rId576" Type="http://schemas.openxmlformats.org/officeDocument/2006/relationships/hyperlink" Target="https://collabmates.app.link/DgLj9XJXfgb" TargetMode="External"/><Relationship Id="rId575" Type="http://schemas.openxmlformats.org/officeDocument/2006/relationships/hyperlink" Target="https://collabmates.app.link/DgLj9XJXfgb" TargetMode="External"/><Relationship Id="rId574" Type="http://schemas.openxmlformats.org/officeDocument/2006/relationships/hyperlink" Target="https://collabmates.app.link/DgLj9XJXfgb" TargetMode="External"/><Relationship Id="rId573" Type="http://schemas.openxmlformats.org/officeDocument/2006/relationships/hyperlink" Target="https://collabmates.app.link/2fCsrPZcqfb" TargetMode="External"/><Relationship Id="rId129" Type="http://schemas.openxmlformats.org/officeDocument/2006/relationships/hyperlink" Target="https://collabmates.app.link/Ka5FfQKnXeb" TargetMode="External"/><Relationship Id="rId128" Type="http://schemas.openxmlformats.org/officeDocument/2006/relationships/hyperlink" Target="https://collabmates.app.link/Ka5FfQKnXeb" TargetMode="External"/><Relationship Id="rId127" Type="http://schemas.openxmlformats.org/officeDocument/2006/relationships/hyperlink" Target="https://collabmates.app.link/Ka5FfQKnXeb" TargetMode="External"/><Relationship Id="rId126" Type="http://schemas.openxmlformats.org/officeDocument/2006/relationships/hyperlink" Target="https://collabmates.app.link/nWSyfwom3eb" TargetMode="External"/><Relationship Id="rId121" Type="http://schemas.openxmlformats.org/officeDocument/2006/relationships/hyperlink" Target="https://collabmates.app.link/keS4JiRvwfb" TargetMode="External"/><Relationship Id="rId120" Type="http://schemas.openxmlformats.org/officeDocument/2006/relationships/hyperlink" Target="https://collabmates.app.link/hOFB1R2Ypfb" TargetMode="External"/><Relationship Id="rId125" Type="http://schemas.openxmlformats.org/officeDocument/2006/relationships/hyperlink" Target="https://collabmates.app.link/nWSyfwom3eb" TargetMode="External"/><Relationship Id="rId124" Type="http://schemas.openxmlformats.org/officeDocument/2006/relationships/hyperlink" Target="https://collabmates.app.link/nWSyfwom3eb" TargetMode="External"/><Relationship Id="rId123" Type="http://schemas.openxmlformats.org/officeDocument/2006/relationships/hyperlink" Target="https://collabmates.app.link/keS4JiRvwfb" TargetMode="External"/><Relationship Id="rId122" Type="http://schemas.openxmlformats.org/officeDocument/2006/relationships/hyperlink" Target="https://collabmates.app.link/keS4JiRvwfb" TargetMode="External"/><Relationship Id="rId118" Type="http://schemas.openxmlformats.org/officeDocument/2006/relationships/hyperlink" Target="https://collabmates.app.link/hOFB1R2Ypfb" TargetMode="External"/><Relationship Id="rId117" Type="http://schemas.openxmlformats.org/officeDocument/2006/relationships/hyperlink" Target="https://collabmates.app.link/G1zY7Jg4pfb" TargetMode="External"/><Relationship Id="rId116" Type="http://schemas.openxmlformats.org/officeDocument/2006/relationships/hyperlink" Target="https://collabmates.app.link/G1zY7Jg4pfb" TargetMode="External"/><Relationship Id="rId115" Type="http://schemas.openxmlformats.org/officeDocument/2006/relationships/hyperlink" Target="https://collabmates.app.link/G1zY7Jg4pfb" TargetMode="External"/><Relationship Id="rId599" Type="http://schemas.openxmlformats.org/officeDocument/2006/relationships/hyperlink" Target="https://collabmates.app.link/DHNCeoyvOgb" TargetMode="External"/><Relationship Id="rId119" Type="http://schemas.openxmlformats.org/officeDocument/2006/relationships/hyperlink" Target="https://collabmates.app.link/hOFB1R2Ypfb" TargetMode="External"/><Relationship Id="rId110" Type="http://schemas.openxmlformats.org/officeDocument/2006/relationships/hyperlink" Target="https://collabmates.app.link/sJmlNV3qwfb" TargetMode="External"/><Relationship Id="rId594" Type="http://schemas.openxmlformats.org/officeDocument/2006/relationships/hyperlink" Target="https://collabmates.app.link/2HaZwUxvIfb" TargetMode="External"/><Relationship Id="rId593" Type="http://schemas.openxmlformats.org/officeDocument/2006/relationships/hyperlink" Target="https://collabmates.app.link/2HaZwUxvIfb" TargetMode="External"/><Relationship Id="rId592" Type="http://schemas.openxmlformats.org/officeDocument/2006/relationships/hyperlink" Target="https://collabmates.app.link/2HaZwUxvIfb" TargetMode="External"/><Relationship Id="rId591" Type="http://schemas.openxmlformats.org/officeDocument/2006/relationships/hyperlink" Target="https://collabmates.app.link/LpphzCuREgb" TargetMode="External"/><Relationship Id="rId114" Type="http://schemas.openxmlformats.org/officeDocument/2006/relationships/hyperlink" Target="https://collabmates.app.link/xVdAzlA6tfb" TargetMode="External"/><Relationship Id="rId598" Type="http://schemas.openxmlformats.org/officeDocument/2006/relationships/hyperlink" Target="https://collabmates.app.link/DHNCeoyvOgb" TargetMode="External"/><Relationship Id="rId113" Type="http://schemas.openxmlformats.org/officeDocument/2006/relationships/hyperlink" Target="https://collabmates.app.link/xVdAzlA6tfb" TargetMode="External"/><Relationship Id="rId597" Type="http://schemas.openxmlformats.org/officeDocument/2006/relationships/hyperlink" Target="https://collabmates.app.link/DHNCeoyvOgb" TargetMode="External"/><Relationship Id="rId112" Type="http://schemas.openxmlformats.org/officeDocument/2006/relationships/hyperlink" Target="https://collabmates.app.link/xVdAzlA6tfb" TargetMode="External"/><Relationship Id="rId596" Type="http://schemas.openxmlformats.org/officeDocument/2006/relationships/hyperlink" Target="https://collabmates.app.link/DHNCeoyvOgb" TargetMode="External"/><Relationship Id="rId111" Type="http://schemas.openxmlformats.org/officeDocument/2006/relationships/hyperlink" Target="https://collabmates.app.link/sJmlNV3qwfb" TargetMode="External"/><Relationship Id="rId595" Type="http://schemas.openxmlformats.org/officeDocument/2006/relationships/hyperlink" Target="https://collabmates.app.link/2HaZwUxvIfb" TargetMode="External"/><Relationship Id="rId547" Type="http://schemas.openxmlformats.org/officeDocument/2006/relationships/hyperlink" Target="https://collabmates.app.link/XOvsgcU7ngb" TargetMode="External"/><Relationship Id="rId546" Type="http://schemas.openxmlformats.org/officeDocument/2006/relationships/hyperlink" Target="https://collabmates.app.link/XOvsgcU7ngb" TargetMode="External"/><Relationship Id="rId545" Type="http://schemas.openxmlformats.org/officeDocument/2006/relationships/hyperlink" Target="https://collabmates.app.link/XOvsgcU7ngb" TargetMode="External"/><Relationship Id="rId544" Type="http://schemas.openxmlformats.org/officeDocument/2006/relationships/hyperlink" Target="https://collabmates.app.link/k5te2PpS5fb" TargetMode="External"/><Relationship Id="rId549" Type="http://schemas.openxmlformats.org/officeDocument/2006/relationships/hyperlink" Target="https://collabmates.app.link/ilKmiQ1MMgb" TargetMode="External"/><Relationship Id="rId548" Type="http://schemas.openxmlformats.org/officeDocument/2006/relationships/hyperlink" Target="https://collabmates.app.link/ilKmiQ1MMgb" TargetMode="External"/><Relationship Id="rId543" Type="http://schemas.openxmlformats.org/officeDocument/2006/relationships/hyperlink" Target="https://collabmates.app.link/k5te2PpS5fb" TargetMode="External"/><Relationship Id="rId542" Type="http://schemas.openxmlformats.org/officeDocument/2006/relationships/hyperlink" Target="https://collabmates.app.link/k5te2PpS5fb" TargetMode="External"/><Relationship Id="rId541" Type="http://schemas.openxmlformats.org/officeDocument/2006/relationships/hyperlink" Target="https://collabmates.app.link/k5te2PpS5fb" TargetMode="External"/><Relationship Id="rId540" Type="http://schemas.openxmlformats.org/officeDocument/2006/relationships/hyperlink" Target="https://collabmates.app.link/2olEaZUQTgb" TargetMode="External"/><Relationship Id="rId536" Type="http://schemas.openxmlformats.org/officeDocument/2006/relationships/hyperlink" Target="https://collabmates.app.link/7yXPzhkRMgb" TargetMode="External"/><Relationship Id="rId535" Type="http://schemas.openxmlformats.org/officeDocument/2006/relationships/hyperlink" Target="https://collabmates.app.link/buoZRzqwkgb" TargetMode="External"/><Relationship Id="rId534" Type="http://schemas.openxmlformats.org/officeDocument/2006/relationships/hyperlink" Target="https://collabmates.app.link/buoZRzqwkgb" TargetMode="External"/><Relationship Id="rId533" Type="http://schemas.openxmlformats.org/officeDocument/2006/relationships/hyperlink" Target="https://collabmates.app.link/buoZRzqwkgb" TargetMode="External"/><Relationship Id="rId539" Type="http://schemas.openxmlformats.org/officeDocument/2006/relationships/hyperlink" Target="https://collabmates.app.link/2olEaZUQTgb" TargetMode="External"/><Relationship Id="rId538" Type="http://schemas.openxmlformats.org/officeDocument/2006/relationships/hyperlink" Target="https://collabmates.app.link/7yXPzhkRMgb" TargetMode="External"/><Relationship Id="rId537" Type="http://schemas.openxmlformats.org/officeDocument/2006/relationships/hyperlink" Target="https://collabmates.app.link/7yXPzhkRMgb" TargetMode="External"/><Relationship Id="rId532" Type="http://schemas.openxmlformats.org/officeDocument/2006/relationships/hyperlink" Target="https://collabmates.app.link/LEkRtg5IYgb" TargetMode="External"/><Relationship Id="rId531" Type="http://schemas.openxmlformats.org/officeDocument/2006/relationships/hyperlink" Target="https://collabmates.app.link/LEkRtg5IYgb" TargetMode="External"/><Relationship Id="rId530" Type="http://schemas.openxmlformats.org/officeDocument/2006/relationships/hyperlink" Target="https://collabmates.app.link/LEkRtg5IYgb" TargetMode="External"/><Relationship Id="rId569" Type="http://schemas.openxmlformats.org/officeDocument/2006/relationships/hyperlink" Target="https://collabmates.app.link/WSga9p45Igb" TargetMode="External"/><Relationship Id="rId568" Type="http://schemas.openxmlformats.org/officeDocument/2006/relationships/hyperlink" Target="https://collabmates.app.link/WSga9p45Igb" TargetMode="External"/><Relationship Id="rId567" Type="http://schemas.openxmlformats.org/officeDocument/2006/relationships/hyperlink" Target="https://collabmates.app.link/k5te2PpS5fb" TargetMode="External"/><Relationship Id="rId566" Type="http://schemas.openxmlformats.org/officeDocument/2006/relationships/hyperlink" Target="https://collabmates.app.link/k5te2PpS5fb" TargetMode="External"/><Relationship Id="rId561" Type="http://schemas.openxmlformats.org/officeDocument/2006/relationships/hyperlink" Target="https://collabmates.app.link/4Jcu4gOaDfb" TargetMode="External"/><Relationship Id="rId560" Type="http://schemas.openxmlformats.org/officeDocument/2006/relationships/hyperlink" Target="https://collabmates.app.link/4Jcu4gOaDfb" TargetMode="External"/><Relationship Id="rId565" Type="http://schemas.openxmlformats.org/officeDocument/2006/relationships/hyperlink" Target="https://collabmates.app.link/k5te2PpS5fb" TargetMode="External"/><Relationship Id="rId564" Type="http://schemas.openxmlformats.org/officeDocument/2006/relationships/hyperlink" Target="https://collabmates.app.link/EnOFlKNuTgb" TargetMode="External"/><Relationship Id="rId563" Type="http://schemas.openxmlformats.org/officeDocument/2006/relationships/hyperlink" Target="https://collabmates.app.link/EnOFlKNuTgb" TargetMode="External"/><Relationship Id="rId562" Type="http://schemas.openxmlformats.org/officeDocument/2006/relationships/hyperlink" Target="https://collabmates.app.link/EnOFlKNuTgb" TargetMode="External"/><Relationship Id="rId558" Type="http://schemas.openxmlformats.org/officeDocument/2006/relationships/hyperlink" Target="https://collabmates.app.link/gj6NKnXNCgb" TargetMode="External"/><Relationship Id="rId557" Type="http://schemas.openxmlformats.org/officeDocument/2006/relationships/hyperlink" Target="https://collabmates.app.link/gj6NKnXNCgb" TargetMode="External"/><Relationship Id="rId556" Type="http://schemas.openxmlformats.org/officeDocument/2006/relationships/hyperlink" Target="https://collabmates.app.link/gj6NKnXNCgb" TargetMode="External"/><Relationship Id="rId555" Type="http://schemas.openxmlformats.org/officeDocument/2006/relationships/hyperlink" Target="https://collabmates.app.link/gj6NKnXNCgb" TargetMode="External"/><Relationship Id="rId559" Type="http://schemas.openxmlformats.org/officeDocument/2006/relationships/hyperlink" Target="https://collabmates.app.link/4Jcu4gOaDfb" TargetMode="External"/><Relationship Id="rId550" Type="http://schemas.openxmlformats.org/officeDocument/2006/relationships/hyperlink" Target="https://collabmates.app.link/ilKmiQ1MMgb" TargetMode="External"/><Relationship Id="rId554" Type="http://schemas.openxmlformats.org/officeDocument/2006/relationships/hyperlink" Target="https://collabmates.app.link/gj6NKnXNCgb" TargetMode="External"/><Relationship Id="rId553" Type="http://schemas.openxmlformats.org/officeDocument/2006/relationships/hyperlink" Target="https://collabmates.app.link/gj6NKnXNCgb" TargetMode="External"/><Relationship Id="rId552" Type="http://schemas.openxmlformats.org/officeDocument/2006/relationships/hyperlink" Target="https://collabmates.app.link/gj6NKnXNCgb" TargetMode="External"/><Relationship Id="rId551" Type="http://schemas.openxmlformats.org/officeDocument/2006/relationships/hyperlink" Target="https://collabmates.app.link/ilKmiQ1MMgb" TargetMode="External"/><Relationship Id="rId495" Type="http://schemas.openxmlformats.org/officeDocument/2006/relationships/hyperlink" Target="https://collabmates.app.link/yIzu2pP5Igb" TargetMode="External"/><Relationship Id="rId494" Type="http://schemas.openxmlformats.org/officeDocument/2006/relationships/hyperlink" Target="https://collabmates.app.link/yIzu2pP5Igb" TargetMode="External"/><Relationship Id="rId493" Type="http://schemas.openxmlformats.org/officeDocument/2006/relationships/hyperlink" Target="https://collabmates.app.link/HKSFsQFqpgb" TargetMode="External"/><Relationship Id="rId492" Type="http://schemas.openxmlformats.org/officeDocument/2006/relationships/hyperlink" Target="https://collabmates.app.link/HKSFsQFqpgb" TargetMode="External"/><Relationship Id="rId499" Type="http://schemas.openxmlformats.org/officeDocument/2006/relationships/hyperlink" Target="https://collabmates.app.link/ZmUtB6FdLgb" TargetMode="External"/><Relationship Id="rId498" Type="http://schemas.openxmlformats.org/officeDocument/2006/relationships/hyperlink" Target="https://collabmates.app.link/ZmUtB6FdLgb" TargetMode="External"/><Relationship Id="rId497" Type="http://schemas.openxmlformats.org/officeDocument/2006/relationships/hyperlink" Target="https://collabmates.app.link/ZmUtB6FdLgb" TargetMode="External"/><Relationship Id="rId496" Type="http://schemas.openxmlformats.org/officeDocument/2006/relationships/hyperlink" Target="https://collabmates.app.link/yIzu2pP5Igb" TargetMode="External"/><Relationship Id="rId409" Type="http://schemas.openxmlformats.org/officeDocument/2006/relationships/hyperlink" Target="https://collabmates.app.link/FdDCsC8mwgb" TargetMode="External"/><Relationship Id="rId404" Type="http://schemas.openxmlformats.org/officeDocument/2006/relationships/hyperlink" Target="https://collabmates.app.link/k5te2PpS5fb" TargetMode="External"/><Relationship Id="rId403" Type="http://schemas.openxmlformats.org/officeDocument/2006/relationships/hyperlink" Target="https://collabmates.app.link/k5te2PpS5fb" TargetMode="External"/><Relationship Id="rId402" Type="http://schemas.openxmlformats.org/officeDocument/2006/relationships/hyperlink" Target="https://collabmates.app.link/k5te2PpS5fb" TargetMode="External"/><Relationship Id="rId401" Type="http://schemas.openxmlformats.org/officeDocument/2006/relationships/hyperlink" Target="https://collabmates.app.link/k5te2PpS5fb" TargetMode="External"/><Relationship Id="rId408" Type="http://schemas.openxmlformats.org/officeDocument/2006/relationships/hyperlink" Target="https://collabmates.app.link/FdDCsC8mwgb" TargetMode="External"/><Relationship Id="rId407" Type="http://schemas.openxmlformats.org/officeDocument/2006/relationships/hyperlink" Target="https://collabmates.app.link/FdDCsC8mwgb" TargetMode="External"/><Relationship Id="rId406" Type="http://schemas.openxmlformats.org/officeDocument/2006/relationships/hyperlink" Target="https://collabmates.app.link/pukCSO7Zegb" TargetMode="External"/><Relationship Id="rId405" Type="http://schemas.openxmlformats.org/officeDocument/2006/relationships/hyperlink" Target="https://collabmates.app.link/pukCSO7Zegb" TargetMode="External"/><Relationship Id="rId400" Type="http://schemas.openxmlformats.org/officeDocument/2006/relationships/hyperlink" Target="https://collabmates.app.link/xYeUu9qXvgb" TargetMode="External"/><Relationship Id="rId469" Type="http://schemas.openxmlformats.org/officeDocument/2006/relationships/hyperlink" Target="https://collabmates.app.link/urFJhwEXigb" TargetMode="External"/><Relationship Id="rId468" Type="http://schemas.openxmlformats.org/officeDocument/2006/relationships/hyperlink" Target="https://collabmates.app.link/urFJhwEXigb" TargetMode="External"/><Relationship Id="rId467" Type="http://schemas.openxmlformats.org/officeDocument/2006/relationships/hyperlink" Target="https://collabmates.app.link/urFJhwEXigb" TargetMode="External"/><Relationship Id="rId462" Type="http://schemas.openxmlformats.org/officeDocument/2006/relationships/hyperlink" Target="https://collabmates.app.link/QEiNWGGpHgb" TargetMode="External"/><Relationship Id="rId461" Type="http://schemas.openxmlformats.org/officeDocument/2006/relationships/hyperlink" Target="https://collabmates.app.link/QEiNWGGpHgb" TargetMode="External"/><Relationship Id="rId460" Type="http://schemas.openxmlformats.org/officeDocument/2006/relationships/hyperlink" Target="https://collabmates.app.link/QEiNWGGpHgb" TargetMode="External"/><Relationship Id="rId466" Type="http://schemas.openxmlformats.org/officeDocument/2006/relationships/hyperlink" Target="http://google.com" TargetMode="External"/><Relationship Id="rId465" Type="http://schemas.openxmlformats.org/officeDocument/2006/relationships/hyperlink" Target="https://collabmates.app.link/HgGq1ya3rfb" TargetMode="External"/><Relationship Id="rId464" Type="http://schemas.openxmlformats.org/officeDocument/2006/relationships/hyperlink" Target="https://collabmates.app.link/HgGq1ya3rfb" TargetMode="External"/><Relationship Id="rId463" Type="http://schemas.openxmlformats.org/officeDocument/2006/relationships/hyperlink" Target="https://collabmates.app.link/HgGq1ya3rfb" TargetMode="External"/><Relationship Id="rId459" Type="http://schemas.openxmlformats.org/officeDocument/2006/relationships/hyperlink" Target="https://collabmates.app.link/RDuEyFgXHgb" TargetMode="External"/><Relationship Id="rId458" Type="http://schemas.openxmlformats.org/officeDocument/2006/relationships/hyperlink" Target="https://collabmates.app.link/RDuEyFgXHgb" TargetMode="External"/><Relationship Id="rId457" Type="http://schemas.openxmlformats.org/officeDocument/2006/relationships/hyperlink" Target="https://collabmates.app.link/RDuEyFgXHgb" TargetMode="External"/><Relationship Id="rId456" Type="http://schemas.openxmlformats.org/officeDocument/2006/relationships/hyperlink" Target="https://collabmates.app.link/qdVFBRENkgb" TargetMode="External"/><Relationship Id="rId451" Type="http://schemas.openxmlformats.org/officeDocument/2006/relationships/hyperlink" Target="https://collabmates.app.link/DTf7mofrrgb" TargetMode="External"/><Relationship Id="rId450" Type="http://schemas.openxmlformats.org/officeDocument/2006/relationships/hyperlink" Target="https://collabmates.app.link/DTf7mofrrgb" TargetMode="External"/><Relationship Id="rId455" Type="http://schemas.openxmlformats.org/officeDocument/2006/relationships/hyperlink" Target="https://collabmates.app.link/qdVFBRENkgb" TargetMode="External"/><Relationship Id="rId454" Type="http://schemas.openxmlformats.org/officeDocument/2006/relationships/hyperlink" Target="https://collabmates.app.link/qdVFBRENkgb" TargetMode="External"/><Relationship Id="rId453" Type="http://schemas.openxmlformats.org/officeDocument/2006/relationships/hyperlink" Target="https://collabmates.app.link/DTf7mofrrgb" TargetMode="External"/><Relationship Id="rId452" Type="http://schemas.openxmlformats.org/officeDocument/2006/relationships/hyperlink" Target="https://collabmates.app.link/DTf7mofrrgb" TargetMode="External"/><Relationship Id="rId491" Type="http://schemas.openxmlformats.org/officeDocument/2006/relationships/hyperlink" Target="https://collabmates.app.link/HKSFsQFqpgb" TargetMode="External"/><Relationship Id="rId490" Type="http://schemas.openxmlformats.org/officeDocument/2006/relationships/hyperlink" Target="https://collabmates.app.link/HKSFsQFqpgb" TargetMode="External"/><Relationship Id="rId489" Type="http://schemas.openxmlformats.org/officeDocument/2006/relationships/hyperlink" Target="https://collabmates.app.link/HKSFsQFqpgb" TargetMode="External"/><Relationship Id="rId484" Type="http://schemas.openxmlformats.org/officeDocument/2006/relationships/hyperlink" Target="https://collabmates.app.link/3HDZi3KHwfb" TargetMode="External"/><Relationship Id="rId483" Type="http://schemas.openxmlformats.org/officeDocument/2006/relationships/hyperlink" Target="https://collabmates.app.link/3HDZi3KHwfb" TargetMode="External"/><Relationship Id="rId482" Type="http://schemas.openxmlformats.org/officeDocument/2006/relationships/hyperlink" Target="https://collabmates.app.link/bH0JqVDYHgb" TargetMode="External"/><Relationship Id="rId481" Type="http://schemas.openxmlformats.org/officeDocument/2006/relationships/hyperlink" Target="https://collabmates.app.link/bH0JqVDYHgb" TargetMode="External"/><Relationship Id="rId488" Type="http://schemas.openxmlformats.org/officeDocument/2006/relationships/hyperlink" Target="https://collabmates.app.link/HKSFsQFqpgb" TargetMode="External"/><Relationship Id="rId487" Type="http://schemas.openxmlformats.org/officeDocument/2006/relationships/hyperlink" Target="https://collabmates.app.link/WSga9p45Igb" TargetMode="External"/><Relationship Id="rId486" Type="http://schemas.openxmlformats.org/officeDocument/2006/relationships/hyperlink" Target="https://collabmates.app.link/WSga9p45Igb" TargetMode="External"/><Relationship Id="rId485" Type="http://schemas.openxmlformats.org/officeDocument/2006/relationships/hyperlink" Target="https://collabmates.app.link/WSga9p45Igb" TargetMode="External"/><Relationship Id="rId480" Type="http://schemas.openxmlformats.org/officeDocument/2006/relationships/hyperlink" Target="https://collabmates.app.link/bH0JqVDYHgb" TargetMode="External"/><Relationship Id="rId479" Type="http://schemas.openxmlformats.org/officeDocument/2006/relationships/hyperlink" Target="https://collabmates.app.link/TyACFPPuEgb" TargetMode="External"/><Relationship Id="rId478" Type="http://schemas.openxmlformats.org/officeDocument/2006/relationships/hyperlink" Target="https://collabmates.app.link/TyACFPPuEgb" TargetMode="External"/><Relationship Id="rId473" Type="http://schemas.openxmlformats.org/officeDocument/2006/relationships/hyperlink" Target="https://collabmates.app.link/LpphzCuREgb" TargetMode="External"/><Relationship Id="rId472" Type="http://schemas.openxmlformats.org/officeDocument/2006/relationships/hyperlink" Target="https://collabmates.app.link/LpphzCuREgb" TargetMode="External"/><Relationship Id="rId471" Type="http://schemas.openxmlformats.org/officeDocument/2006/relationships/hyperlink" Target="https://collabmates.app.link/LpphzCuREgb" TargetMode="External"/><Relationship Id="rId470" Type="http://schemas.openxmlformats.org/officeDocument/2006/relationships/hyperlink" Target="https://collabmates.app.link/urFJhwEXigb" TargetMode="External"/><Relationship Id="rId477" Type="http://schemas.openxmlformats.org/officeDocument/2006/relationships/hyperlink" Target="https://collabmates.app.link/TyACFPPuEgb" TargetMode="External"/><Relationship Id="rId476" Type="http://schemas.openxmlformats.org/officeDocument/2006/relationships/hyperlink" Target="https://collabmates.app.link/LpphzCuREgb" TargetMode="External"/><Relationship Id="rId475" Type="http://schemas.openxmlformats.org/officeDocument/2006/relationships/hyperlink" Target="https://collabmates.app.link/LpphzCuREgb" TargetMode="External"/><Relationship Id="rId474" Type="http://schemas.openxmlformats.org/officeDocument/2006/relationships/hyperlink" Target="https://collabmates.app.link/LpphzCuREgb" TargetMode="External"/><Relationship Id="rId426" Type="http://schemas.openxmlformats.org/officeDocument/2006/relationships/hyperlink" Target="https://collabmates.app.link/gj6NKnXNCgb" TargetMode="External"/><Relationship Id="rId425" Type="http://schemas.openxmlformats.org/officeDocument/2006/relationships/hyperlink" Target="https://collabmates.app.link/cX54McDPCdb" TargetMode="External"/><Relationship Id="rId424" Type="http://schemas.openxmlformats.org/officeDocument/2006/relationships/hyperlink" Target="https://collabmates.app.link/cX54McDPCdb" TargetMode="External"/><Relationship Id="rId423" Type="http://schemas.openxmlformats.org/officeDocument/2006/relationships/hyperlink" Target="https://collabmates.app.link/cX54McDPCdb" TargetMode="External"/><Relationship Id="rId429" Type="http://schemas.openxmlformats.org/officeDocument/2006/relationships/hyperlink" Target="https://collabmates.app.link/b01MShR0Mfb" TargetMode="External"/><Relationship Id="rId428" Type="http://schemas.openxmlformats.org/officeDocument/2006/relationships/hyperlink" Target="https://collabmates.app.link/gj6NKnXNCgb" TargetMode="External"/><Relationship Id="rId427" Type="http://schemas.openxmlformats.org/officeDocument/2006/relationships/hyperlink" Target="https://collabmates.app.link/gj6NKnXNCgb" TargetMode="External"/><Relationship Id="rId422" Type="http://schemas.openxmlformats.org/officeDocument/2006/relationships/hyperlink" Target="https://collabmates.app.link/gj6NKnXNCgb" TargetMode="External"/><Relationship Id="rId421" Type="http://schemas.openxmlformats.org/officeDocument/2006/relationships/hyperlink" Target="https://collabmates.app.link/gj6NKnXNCgb" TargetMode="External"/><Relationship Id="rId420" Type="http://schemas.openxmlformats.org/officeDocument/2006/relationships/hyperlink" Target="https://collabmates.app.link/gj6NKnXNCgb" TargetMode="External"/><Relationship Id="rId415" Type="http://schemas.openxmlformats.org/officeDocument/2006/relationships/hyperlink" Target="https://collabmates.app.link/BIvhg5teygb" TargetMode="External"/><Relationship Id="rId414" Type="http://schemas.openxmlformats.org/officeDocument/2006/relationships/hyperlink" Target="https://collabmates.app.link/BIvhg5teygb" TargetMode="External"/><Relationship Id="rId413" Type="http://schemas.openxmlformats.org/officeDocument/2006/relationships/hyperlink" Target="https://collabmates.app.link/BIvhg5teygb" TargetMode="External"/><Relationship Id="rId412" Type="http://schemas.openxmlformats.org/officeDocument/2006/relationships/hyperlink" Target="https://collabmates.app.link/pukCSO7Zegb" TargetMode="External"/><Relationship Id="rId419" Type="http://schemas.openxmlformats.org/officeDocument/2006/relationships/hyperlink" Target="https://collabmates.app.link/3OJf0Hmvtfb" TargetMode="External"/><Relationship Id="rId418" Type="http://schemas.openxmlformats.org/officeDocument/2006/relationships/hyperlink" Target="https://collabmates.app.link/3OJf0Hmvtfb" TargetMode="External"/><Relationship Id="rId417" Type="http://schemas.openxmlformats.org/officeDocument/2006/relationships/hyperlink" Target="https://collabmates.app.link/3OJf0Hmvtfb" TargetMode="External"/><Relationship Id="rId416" Type="http://schemas.openxmlformats.org/officeDocument/2006/relationships/hyperlink" Target="https://collabmates.app.link/BIvhg5teygb" TargetMode="External"/><Relationship Id="rId411" Type="http://schemas.openxmlformats.org/officeDocument/2006/relationships/hyperlink" Target="https://collabmates.app.link/pukCSO7Zegb" TargetMode="External"/><Relationship Id="rId410" Type="http://schemas.openxmlformats.org/officeDocument/2006/relationships/hyperlink" Target="https://collabmates.app.link/pukCSO7Zegb" TargetMode="External"/><Relationship Id="rId448" Type="http://schemas.openxmlformats.org/officeDocument/2006/relationships/hyperlink" Target="https://collabmates.app.link/BsOVJF3NHgb" TargetMode="External"/><Relationship Id="rId447" Type="http://schemas.openxmlformats.org/officeDocument/2006/relationships/hyperlink" Target="https://collabmates.app.link/BsOVJF3NHgb" TargetMode="External"/><Relationship Id="rId446" Type="http://schemas.openxmlformats.org/officeDocument/2006/relationships/hyperlink" Target="https://collabmates.app.link/BsOVJF3NHgb" TargetMode="External"/><Relationship Id="rId445" Type="http://schemas.openxmlformats.org/officeDocument/2006/relationships/hyperlink" Target="https://collabmates.app.link/BsOVJF3NHgb" TargetMode="External"/><Relationship Id="rId449" Type="http://schemas.openxmlformats.org/officeDocument/2006/relationships/hyperlink" Target="https://collabmates.app.link/DTf7mofrrgb" TargetMode="External"/><Relationship Id="rId440" Type="http://schemas.openxmlformats.org/officeDocument/2006/relationships/hyperlink" Target="https://collabmates.app.link/gj6NKnXNCgb" TargetMode="External"/><Relationship Id="rId444" Type="http://schemas.openxmlformats.org/officeDocument/2006/relationships/hyperlink" Target="https://collabmates.app.link/QEiNWGGpHgb" TargetMode="External"/><Relationship Id="rId443" Type="http://schemas.openxmlformats.org/officeDocument/2006/relationships/hyperlink" Target="https://collabmates.app.link/QEiNWGGpHgb" TargetMode="External"/><Relationship Id="rId442" Type="http://schemas.openxmlformats.org/officeDocument/2006/relationships/hyperlink" Target="https://collabmates.app.link/QEiNWGGpHgb" TargetMode="External"/><Relationship Id="rId441" Type="http://schemas.openxmlformats.org/officeDocument/2006/relationships/hyperlink" Target="https://collabmates.app.link/gj6NKnXNCgb" TargetMode="External"/><Relationship Id="rId437" Type="http://schemas.openxmlformats.org/officeDocument/2006/relationships/hyperlink" Target="https://collabmates.app.link/WyfONHDVrfb" TargetMode="External"/><Relationship Id="rId436" Type="http://schemas.openxmlformats.org/officeDocument/2006/relationships/hyperlink" Target="https://collabmates.app.link/WyfONHDVrfb" TargetMode="External"/><Relationship Id="rId435" Type="http://schemas.openxmlformats.org/officeDocument/2006/relationships/hyperlink" Target="https://collabmates.app.link/IK5wC4o8Dgb" TargetMode="External"/><Relationship Id="rId434" Type="http://schemas.openxmlformats.org/officeDocument/2006/relationships/hyperlink" Target="https://collabmates.app.link/IK5wC4o8Dgb" TargetMode="External"/><Relationship Id="rId439" Type="http://schemas.openxmlformats.org/officeDocument/2006/relationships/hyperlink" Target="https://collabmates.app.link/gj6NKnXNCgb" TargetMode="External"/><Relationship Id="rId438" Type="http://schemas.openxmlformats.org/officeDocument/2006/relationships/hyperlink" Target="https://collabmates.app.link/2HaZwUxvIfb" TargetMode="External"/><Relationship Id="rId433" Type="http://schemas.openxmlformats.org/officeDocument/2006/relationships/hyperlink" Target="https://collabmates.app.link/IK5wC4o8Dgb" TargetMode="External"/><Relationship Id="rId432" Type="http://schemas.openxmlformats.org/officeDocument/2006/relationships/hyperlink" Target="https://collabmates.app.link/b01MShR0Mfb" TargetMode="External"/><Relationship Id="rId431" Type="http://schemas.openxmlformats.org/officeDocument/2006/relationships/hyperlink" Target="https://collabmates.app.link/b01MShR0Mfb" TargetMode="External"/><Relationship Id="rId430" Type="http://schemas.openxmlformats.org/officeDocument/2006/relationships/hyperlink" Target="https://collabmates.app.link/b01MShR0Mfb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hi.likeminds.community/mom-shares-club" TargetMode="External"/><Relationship Id="rId2" Type="http://schemas.openxmlformats.org/officeDocument/2006/relationships/hyperlink" Target="https://hi.likeminds.community/han-hangul" TargetMode="External"/><Relationship Id="rId3" Type="http://schemas.openxmlformats.org/officeDocument/2006/relationships/hyperlink" Target="https://hi.likeminds.community/the-finstreet" TargetMode="External"/><Relationship Id="rId4" Type="http://schemas.openxmlformats.org/officeDocument/2006/relationships/hyperlink" Target="https://hi.likeminds.community/d/nature-enthusiasts-fareenavblogs" TargetMode="External"/><Relationship Id="rId9" Type="http://schemas.openxmlformats.org/officeDocument/2006/relationships/hyperlink" Target="https://hi.likeminds.community/d/thane-super-moms" TargetMode="External"/><Relationship Id="rId5" Type="http://schemas.openxmlformats.org/officeDocument/2006/relationships/hyperlink" Target="https://hi.likeminds.community/d/digital-writopreneurs-hub" TargetMode="External"/><Relationship Id="rId6" Type="http://schemas.openxmlformats.org/officeDocument/2006/relationships/hyperlink" Target="https://hi.likeminds.community/d/being-earthable" TargetMode="External"/><Relationship Id="rId7" Type="http://schemas.openxmlformats.org/officeDocument/2006/relationships/hyperlink" Target="https://community.likeminds.community/data-talk" TargetMode="External"/><Relationship Id="rId8" Type="http://schemas.openxmlformats.org/officeDocument/2006/relationships/hyperlink" Target="https://community.likeminds.community/startup-change-leaders" TargetMode="External"/><Relationship Id="rId40" Type="http://schemas.openxmlformats.org/officeDocument/2006/relationships/hyperlink" Target="https://hi.likeminds.community/write-your-wrong" TargetMode="External"/><Relationship Id="rId42" Type="http://schemas.openxmlformats.org/officeDocument/2006/relationships/hyperlink" Target="https://hi.likeminds.community/d/through-thick-and-thin" TargetMode="External"/><Relationship Id="rId41" Type="http://schemas.openxmlformats.org/officeDocument/2006/relationships/hyperlink" Target="https://hi.likeminds.community/d/lets-speak-english" TargetMode="External"/><Relationship Id="rId44" Type="http://schemas.openxmlformats.org/officeDocument/2006/relationships/hyperlink" Target="https://hi.likeminds.community/d/mentor-mate" TargetMode="External"/><Relationship Id="rId43" Type="http://schemas.openxmlformats.org/officeDocument/2006/relationships/hyperlink" Target="https://hi.likeminds.community/d/design-forward" TargetMode="External"/><Relationship Id="rId46" Type="http://schemas.openxmlformats.org/officeDocument/2006/relationships/hyperlink" Target="https://hi.likeminds.community/d/leena-listens" TargetMode="External"/><Relationship Id="rId45" Type="http://schemas.openxmlformats.org/officeDocument/2006/relationships/hyperlink" Target="https://hi.likeminds.community/d/heer-haria" TargetMode="External"/><Relationship Id="rId48" Type="http://schemas.openxmlformats.org/officeDocument/2006/relationships/hyperlink" Target="https://hi.likeminds.community/d/dr-azhar" TargetMode="External"/><Relationship Id="rId47" Type="http://schemas.openxmlformats.org/officeDocument/2006/relationships/hyperlink" Target="https://hi.likeminds.community/d/gapd" TargetMode="External"/><Relationship Id="rId49" Type="http://schemas.openxmlformats.org/officeDocument/2006/relationships/hyperlink" Target="https://hi.likeminds.community/d/shishu-aahaar" TargetMode="External"/><Relationship Id="rId31" Type="http://schemas.openxmlformats.org/officeDocument/2006/relationships/hyperlink" Target="https://hi.likeminds.community/d/yogawithratika" TargetMode="External"/><Relationship Id="rId30" Type="http://schemas.openxmlformats.org/officeDocument/2006/relationships/hyperlink" Target="https://hi.likeminds.community/d/bsb-life-academy" TargetMode="External"/><Relationship Id="rId33" Type="http://schemas.openxmlformats.org/officeDocument/2006/relationships/hyperlink" Target="https://hi.likeminds.community/pharmacology-insiders" TargetMode="External"/><Relationship Id="rId32" Type="http://schemas.openxmlformats.org/officeDocument/2006/relationships/hyperlink" Target="https://hi.likeminds.community/well-being" TargetMode="External"/><Relationship Id="rId35" Type="http://schemas.openxmlformats.org/officeDocument/2006/relationships/hyperlink" Target="https://hi.likeminds.community/d/graphology" TargetMode="External"/><Relationship Id="rId34" Type="http://schemas.openxmlformats.org/officeDocument/2006/relationships/hyperlink" Target="https://hi.likeminds.community/d/magical-parenting" TargetMode="External"/><Relationship Id="rId37" Type="http://schemas.openxmlformats.org/officeDocument/2006/relationships/hyperlink" Target="https://hi.likeminds.community/ladies-and-gentlemen" TargetMode="External"/><Relationship Id="rId36" Type="http://schemas.openxmlformats.org/officeDocument/2006/relationships/hyperlink" Target="https://hi.likeminds.community/d/the-alt-living" TargetMode="External"/><Relationship Id="rId39" Type="http://schemas.openxmlformats.org/officeDocument/2006/relationships/hyperlink" Target="https://hi.likeminds.community/d/the-fewh-tribe" TargetMode="External"/><Relationship Id="rId38" Type="http://schemas.openxmlformats.org/officeDocument/2006/relationships/hyperlink" Target="https://hi.likeminds.community/exa-python" TargetMode="External"/><Relationship Id="rId20" Type="http://schemas.openxmlformats.org/officeDocument/2006/relationships/hyperlink" Target="https://hi.likeminds.community/lazy-gamers" TargetMode="External"/><Relationship Id="rId22" Type="http://schemas.openxmlformats.org/officeDocument/2006/relationships/hyperlink" Target="https://hi.likeminds.community/d/happy-ashram" TargetMode="External"/><Relationship Id="rId21" Type="http://schemas.openxmlformats.org/officeDocument/2006/relationships/hyperlink" Target="https://community.likeminds.community/debattlers" TargetMode="External"/><Relationship Id="rId24" Type="http://schemas.openxmlformats.org/officeDocument/2006/relationships/hyperlink" Target="https://community.likeminds.community/yo-geek-the-modern-yogi" TargetMode="External"/><Relationship Id="rId23" Type="http://schemas.openxmlformats.org/officeDocument/2006/relationships/hyperlink" Target="https://community.likeminds.community/dme-deigning-made-easy" TargetMode="External"/><Relationship Id="rId26" Type="http://schemas.openxmlformats.org/officeDocument/2006/relationships/hyperlink" Target="https://community.likeminds.community/language-careers" TargetMode="External"/><Relationship Id="rId25" Type="http://schemas.openxmlformats.org/officeDocument/2006/relationships/hyperlink" Target="https://hi.likeminds.community/networking-business" TargetMode="External"/><Relationship Id="rId28" Type="http://schemas.openxmlformats.org/officeDocument/2006/relationships/hyperlink" Target="https://community.likeminds.community/the-smart-work-for-neet-ug" TargetMode="External"/><Relationship Id="rId27" Type="http://schemas.openxmlformats.org/officeDocument/2006/relationships/hyperlink" Target="https://community.likeminds.community/ahoj-lets-blog" TargetMode="External"/><Relationship Id="rId29" Type="http://schemas.openxmlformats.org/officeDocument/2006/relationships/hyperlink" Target="https://hi.likeminds.community/business-advisory" TargetMode="External"/><Relationship Id="rId11" Type="http://schemas.openxmlformats.org/officeDocument/2006/relationships/hyperlink" Target="https://hi.likeminds.community/d/she-splash" TargetMode="External"/><Relationship Id="rId10" Type="http://schemas.openxmlformats.org/officeDocument/2006/relationships/hyperlink" Target="https://hi.likeminds.community/d/powerpoint-pro" TargetMode="External"/><Relationship Id="rId13" Type="http://schemas.openxmlformats.org/officeDocument/2006/relationships/hyperlink" Target="https://hi.likeminds.community/d/the-man-makeover" TargetMode="External"/><Relationship Id="rId12" Type="http://schemas.openxmlformats.org/officeDocument/2006/relationships/hyperlink" Target="https://hi.likeminds.community/d/transformed-finance-professionals" TargetMode="External"/><Relationship Id="rId15" Type="http://schemas.openxmlformats.org/officeDocument/2006/relationships/hyperlink" Target="https://hi.likeminds.community/budding-teachers" TargetMode="External"/><Relationship Id="rId14" Type="http://schemas.openxmlformats.org/officeDocument/2006/relationships/hyperlink" Target="https://hi.likeminds.community/d/blogging-life" TargetMode="External"/><Relationship Id="rId17" Type="http://schemas.openxmlformats.org/officeDocument/2006/relationships/hyperlink" Target="https://hi.likeminds.community/d/heal-journey-to-happiness" TargetMode="External"/><Relationship Id="rId16" Type="http://schemas.openxmlformats.org/officeDocument/2006/relationships/hyperlink" Target="https://hi.likeminds.community/d/power-of-communications" TargetMode="External"/><Relationship Id="rId19" Type="http://schemas.openxmlformats.org/officeDocument/2006/relationships/hyperlink" Target="https://hi.likeminds.community/khushi-se-yoga" TargetMode="External"/><Relationship Id="rId18" Type="http://schemas.openxmlformats.org/officeDocument/2006/relationships/hyperlink" Target="https://hi.likeminds.community/d/bonjour-amis-french" TargetMode="External"/><Relationship Id="rId71" Type="http://schemas.openxmlformats.org/officeDocument/2006/relationships/drawing" Target="../drawings/drawing9.xml"/><Relationship Id="rId70" Type="http://schemas.openxmlformats.org/officeDocument/2006/relationships/hyperlink" Target="https://hi.likeminds.community/d/happy-living" TargetMode="External"/><Relationship Id="rId62" Type="http://schemas.openxmlformats.org/officeDocument/2006/relationships/hyperlink" Target="https://hi.likeminds.community/d/uva-fit" TargetMode="External"/><Relationship Id="rId61" Type="http://schemas.openxmlformats.org/officeDocument/2006/relationships/hyperlink" Target="https://hi.likeminds.community/d/ishavasya-yoga-relaxation" TargetMode="External"/><Relationship Id="rId64" Type="http://schemas.openxmlformats.org/officeDocument/2006/relationships/hyperlink" Target="https://hi.likeminds.community/d/skillyukt" TargetMode="External"/><Relationship Id="rId63" Type="http://schemas.openxmlformats.org/officeDocument/2006/relationships/hyperlink" Target="https://hi.likeminds.community/d/rapto-bhara-jeevan" TargetMode="External"/><Relationship Id="rId66" Type="http://schemas.openxmlformats.org/officeDocument/2006/relationships/hyperlink" Target="https://hi.likeminds.community/d/lz-esports" TargetMode="External"/><Relationship Id="rId65" Type="http://schemas.openxmlformats.org/officeDocument/2006/relationships/hyperlink" Target="https://hi.likeminds.community/d/pooja-misra" TargetMode="External"/><Relationship Id="rId68" Type="http://schemas.openxmlformats.org/officeDocument/2006/relationships/hyperlink" Target="https://hi.likeminds.community/d/finowiz" TargetMode="External"/><Relationship Id="rId67" Type="http://schemas.openxmlformats.org/officeDocument/2006/relationships/hyperlink" Target="https://hi.likeminds.community/d/spokken-2" TargetMode="External"/><Relationship Id="rId60" Type="http://schemas.openxmlformats.org/officeDocument/2006/relationships/hyperlink" Target="https://hi.likeminds.community/d/letslearntosocial-abfc" TargetMode="External"/><Relationship Id="rId69" Type="http://schemas.openxmlformats.org/officeDocument/2006/relationships/hyperlink" Target="https://hi.likeminds.community/d/energy-healing-by-dr-bharti-dua" TargetMode="External"/><Relationship Id="rId51" Type="http://schemas.openxmlformats.org/officeDocument/2006/relationships/hyperlink" Target="https://hi.likeminds.community/d/emptycup" TargetMode="External"/><Relationship Id="rId50" Type="http://schemas.openxmlformats.org/officeDocument/2006/relationships/hyperlink" Target="https://hi.likeminds.community/" TargetMode="External"/><Relationship Id="rId53" Type="http://schemas.openxmlformats.org/officeDocument/2006/relationships/hyperlink" Target="https://hi.likeminds.community/d/tathastu-guided-meditation-classes-and-ocunselling" TargetMode="External"/><Relationship Id="rId52" Type="http://schemas.openxmlformats.org/officeDocument/2006/relationships/hyperlink" Target="https://hi.likeminds.community/d/a-blue-lotus-life" TargetMode="External"/><Relationship Id="rId55" Type="http://schemas.openxmlformats.org/officeDocument/2006/relationships/hyperlink" Target="https://hi.likeminds.community/d/kash-studios" TargetMode="External"/><Relationship Id="rId54" Type="http://schemas.openxmlformats.org/officeDocument/2006/relationships/hyperlink" Target="https://hi.likeminds.community/d/life-long-learners" TargetMode="External"/><Relationship Id="rId57" Type="http://schemas.openxmlformats.org/officeDocument/2006/relationships/hyperlink" Target="https://hi.likeminds.community/d/confidence-boosting-club" TargetMode="External"/><Relationship Id="rId56" Type="http://schemas.openxmlformats.org/officeDocument/2006/relationships/hyperlink" Target="https://hi.likeminds.community/d/focus-inside" TargetMode="External"/><Relationship Id="rId59" Type="http://schemas.openxmlformats.org/officeDocument/2006/relationships/hyperlink" Target="https://hi.likeminds.community/d/linkedgrow" TargetMode="External"/><Relationship Id="rId58" Type="http://schemas.openxmlformats.org/officeDocument/2006/relationships/hyperlink" Target="https://hi.likeminds.community/d/yoga-by-amruta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://bit.ly/daily-skills-dm" TargetMode="External"/><Relationship Id="rId391" Type="http://schemas.openxmlformats.org/officeDocument/2006/relationships/hyperlink" Target="https://www.subscribepage.com/dsclub" TargetMode="External"/><Relationship Id="rId390" Type="http://schemas.openxmlformats.org/officeDocument/2006/relationships/hyperlink" Target="https://collabmates.app.link/gj6NKnXNCgb" TargetMode="External"/><Relationship Id="rId1" Type="http://schemas.openxmlformats.org/officeDocument/2006/relationships/hyperlink" Target="http://data.likeminds.community/public/dashboards/VZnvbjSh35W2zBpIAGm1AeVNWOVZ9Usi1VyRyPTn?org_slug=default" TargetMode="External"/><Relationship Id="rId2" Type="http://schemas.openxmlformats.org/officeDocument/2006/relationships/hyperlink" Target="https://collabmates.app.link/TyACFPPuEgb" TargetMode="External"/><Relationship Id="rId3" Type="http://schemas.openxmlformats.org/officeDocument/2006/relationships/hyperlink" Target="https://hi.likeminds.community/d/bakerpreneurship" TargetMode="External"/><Relationship Id="rId4" Type="http://schemas.openxmlformats.org/officeDocument/2006/relationships/hyperlink" Target="https://hi.likeminds.community/d/bakerpreneurship?r=1" TargetMode="External"/><Relationship Id="rId9" Type="http://schemas.openxmlformats.org/officeDocument/2006/relationships/hyperlink" Target="https://www.facebook.com/arpanprakshit" TargetMode="External"/><Relationship Id="rId385" Type="http://schemas.openxmlformats.org/officeDocument/2006/relationships/hyperlink" Target="https://collabmates.app.link/BIvhg5teygb" TargetMode="External"/><Relationship Id="rId384" Type="http://schemas.openxmlformats.org/officeDocument/2006/relationships/hyperlink" Target="http://data.likeminds.community/public/dashboards/3PtNkiYznEXUIUim5vCLBKlmCXywIxNccPIUkVny?org_slug=default" TargetMode="External"/><Relationship Id="rId383" Type="http://schemas.openxmlformats.org/officeDocument/2006/relationships/hyperlink" Target="http://bit.ly/leena-listens" TargetMode="External"/><Relationship Id="rId382" Type="http://schemas.openxmlformats.org/officeDocument/2006/relationships/hyperlink" Target="https://hi.likeminds.community/d/leena-listens?r=1" TargetMode="External"/><Relationship Id="rId5" Type="http://schemas.openxmlformats.org/officeDocument/2006/relationships/hyperlink" Target="https://www.facebook.com/dashofdelicious7/" TargetMode="External"/><Relationship Id="rId389" Type="http://schemas.openxmlformats.org/officeDocument/2006/relationships/hyperlink" Target="http://data.likeminds.community/public/dashboards/Y8hfmsHrPqGNawx0RmZvK9vKl7T14mD2k4JPbF7f?org_slug=default" TargetMode="External"/><Relationship Id="rId6" Type="http://schemas.openxmlformats.org/officeDocument/2006/relationships/hyperlink" Target="https://instagram.com/dash_of_delicious" TargetMode="External"/><Relationship Id="rId388" Type="http://schemas.openxmlformats.org/officeDocument/2006/relationships/hyperlink" Target="http://bit.ly/azhars-speaking-club" TargetMode="External"/><Relationship Id="rId7" Type="http://schemas.openxmlformats.org/officeDocument/2006/relationships/hyperlink" Target="http://data.likeminds.community/public/dashboards/TIr9CdwBeKQyBjtWsA5bsbFI5CjWONDdbtIpX1Jt?org_slug=default" TargetMode="External"/><Relationship Id="rId387" Type="http://schemas.openxmlformats.org/officeDocument/2006/relationships/hyperlink" Target="https://hi.likeminds.community/d/dr-azhar?r=1" TargetMode="External"/><Relationship Id="rId8" Type="http://schemas.openxmlformats.org/officeDocument/2006/relationships/hyperlink" Target="https://collabmates.app.link/8VtRMQS2Igb" TargetMode="External"/><Relationship Id="rId386" Type="http://schemas.openxmlformats.org/officeDocument/2006/relationships/hyperlink" Target="https://hi.likeminds.community/d/dr-azhar" TargetMode="External"/><Relationship Id="rId381" Type="http://schemas.openxmlformats.org/officeDocument/2006/relationships/hyperlink" Target="https://hi.likeminds.community/d/leena-listens" TargetMode="External"/><Relationship Id="rId380" Type="http://schemas.openxmlformats.org/officeDocument/2006/relationships/hyperlink" Target="https://collabmates.app.link/xYeUu9qXvgb" TargetMode="External"/><Relationship Id="rId379" Type="http://schemas.openxmlformats.org/officeDocument/2006/relationships/hyperlink" Target="http://data.likeminds.community/public/dashboards/61BTqwfo1ELSqcI5c2c0gIpEr63Ge1kKgQow0Rpv?org_slug=default" TargetMode="External"/><Relationship Id="rId374" Type="http://schemas.openxmlformats.org/officeDocument/2006/relationships/hyperlink" Target="http://data.likeminds.community/public/dashboards/s4ZPV578wMoYIxUGyOFfVk1uwywdBBoVXNhI8U9D?org_slug=default" TargetMode="External"/><Relationship Id="rId373" Type="http://schemas.openxmlformats.org/officeDocument/2006/relationships/hyperlink" Target="http://bit.ly/heer-haria" TargetMode="External"/><Relationship Id="rId372" Type="http://schemas.openxmlformats.org/officeDocument/2006/relationships/hyperlink" Target="https://hi.likeminds.community/d/heer-haria?r=1" TargetMode="External"/><Relationship Id="rId371" Type="http://schemas.openxmlformats.org/officeDocument/2006/relationships/hyperlink" Target="https://hi.likeminds.community/d/heer-haria" TargetMode="External"/><Relationship Id="rId378" Type="http://schemas.openxmlformats.org/officeDocument/2006/relationships/hyperlink" Target="http://bit.ly/gapd-community" TargetMode="External"/><Relationship Id="rId377" Type="http://schemas.openxmlformats.org/officeDocument/2006/relationships/hyperlink" Target="https://hi.likeminds.community/d/gapd?r=1" TargetMode="External"/><Relationship Id="rId376" Type="http://schemas.openxmlformats.org/officeDocument/2006/relationships/hyperlink" Target="https://hi.likeminds.community/d/gapd" TargetMode="External"/><Relationship Id="rId375" Type="http://schemas.openxmlformats.org/officeDocument/2006/relationships/hyperlink" Target="https://collabmates.app.link/FdDCsC8mwgb" TargetMode="External"/><Relationship Id="rId396" Type="http://schemas.openxmlformats.org/officeDocument/2006/relationships/hyperlink" Target="https://hi.likeminds.community/d/lz-esports?r=1" TargetMode="External"/><Relationship Id="rId395" Type="http://schemas.openxmlformats.org/officeDocument/2006/relationships/hyperlink" Target="https://hi.likeminds.community/d/lz-esports" TargetMode="External"/><Relationship Id="rId394" Type="http://schemas.openxmlformats.org/officeDocument/2006/relationships/hyperlink" Target="https://collabmates.app.link/uX8Wi4YgVgb" TargetMode="External"/><Relationship Id="rId393" Type="http://schemas.openxmlformats.org/officeDocument/2006/relationships/hyperlink" Target="http://data.likeminds.community/public/dashboards/65FI1vld12aAjR1NQjqH0EqpvJQFAGxfWqlcACJi?org_slug=default" TargetMode="External"/><Relationship Id="rId399" Type="http://schemas.openxmlformats.org/officeDocument/2006/relationships/hyperlink" Target="https://hi.likeminds.community/d/ccsb" TargetMode="External"/><Relationship Id="rId398" Type="http://schemas.openxmlformats.org/officeDocument/2006/relationships/hyperlink" Target="https://collabmates.app.link/6kd9IqNbjgb" TargetMode="External"/><Relationship Id="rId397" Type="http://schemas.openxmlformats.org/officeDocument/2006/relationships/hyperlink" Target="http://data.likeminds.community/public/dashboards/QRjCTp4P8UJAO8YYOVrtZH7vsqhdyYhoaOLaDhLu?org_slug=default" TargetMode="External"/><Relationship Id="rId40" Type="http://schemas.openxmlformats.org/officeDocument/2006/relationships/hyperlink" Target="http://data.likeminds.community/public/dashboards/m5qNYE3Swlz0wjp1DZnlUSllaNe1YkhyyCLUauuC?org_slug=default" TargetMode="External"/><Relationship Id="rId42" Type="http://schemas.openxmlformats.org/officeDocument/2006/relationships/hyperlink" Target="https://hi.likeminds.community/d/bonjour-amis-french" TargetMode="External"/><Relationship Id="rId41" Type="http://schemas.openxmlformats.org/officeDocument/2006/relationships/hyperlink" Target="https://collabmates.app.link/88pzdrQArfb" TargetMode="External"/><Relationship Id="rId44" Type="http://schemas.openxmlformats.org/officeDocument/2006/relationships/hyperlink" Target="https://m.facebook.com/Bonjour-amis-108679514151998/" TargetMode="External"/><Relationship Id="rId43" Type="http://schemas.openxmlformats.org/officeDocument/2006/relationships/hyperlink" Target="https://hi.likeminds.community/d/bonjour-amis-french?r=1" TargetMode="External"/><Relationship Id="rId46" Type="http://schemas.openxmlformats.org/officeDocument/2006/relationships/hyperlink" Target="https://collabmates.app.link/80b8gHUFrfb" TargetMode="External"/><Relationship Id="rId45" Type="http://schemas.openxmlformats.org/officeDocument/2006/relationships/hyperlink" Target="http://data.likeminds.community/public/dashboards/uh9WfC28R7Min4gG16prDger20ogRmpqb3kzhrBU?org_slug=default" TargetMode="External"/><Relationship Id="rId48" Type="http://schemas.openxmlformats.org/officeDocument/2006/relationships/hyperlink" Target="https://hi.likeminds.community/budding-teachers?r=1" TargetMode="External"/><Relationship Id="rId47" Type="http://schemas.openxmlformats.org/officeDocument/2006/relationships/hyperlink" Target="https://hi.likeminds.community/budding-teachers" TargetMode="External"/><Relationship Id="rId49" Type="http://schemas.openxmlformats.org/officeDocument/2006/relationships/hyperlink" Target="https://www.facebook.com/Budding-Teachers-102748891949310/?ref=page_internal" TargetMode="External"/><Relationship Id="rId31" Type="http://schemas.openxmlformats.org/officeDocument/2006/relationships/hyperlink" Target="http://data.likeminds.community/public/dashboards/SxSMakM92xN5bis2bA4kVeAUimRr9pg1NmkQWjco?org_slug=default" TargetMode="External"/><Relationship Id="rId30" Type="http://schemas.openxmlformats.org/officeDocument/2006/relationships/hyperlink" Target="https://m.facebook.com/Earthable/" TargetMode="External"/><Relationship Id="rId33" Type="http://schemas.openxmlformats.org/officeDocument/2006/relationships/hyperlink" Target="https://hi.likeminds.community/d/blogging-life" TargetMode="External"/><Relationship Id="rId32" Type="http://schemas.openxmlformats.org/officeDocument/2006/relationships/hyperlink" Target="https://collabmates.app.link/sJmlNV3qwfb" TargetMode="External"/><Relationship Id="rId35" Type="http://schemas.openxmlformats.org/officeDocument/2006/relationships/hyperlink" Target="https://m.facebook.com/Blogging-life-107581661482266/?ref=bookmarks" TargetMode="External"/><Relationship Id="rId34" Type="http://schemas.openxmlformats.org/officeDocument/2006/relationships/hyperlink" Target="https://hi.likeminds.community/d/blogging-life?r=1" TargetMode="External"/><Relationship Id="rId37" Type="http://schemas.openxmlformats.org/officeDocument/2006/relationships/hyperlink" Target="https://collabmates.app.link/ygyUWrhYcfb" TargetMode="External"/><Relationship Id="rId36" Type="http://schemas.openxmlformats.org/officeDocument/2006/relationships/hyperlink" Target="http://data.likeminds.community/public/dashboards/5U4bZa03717lwGHKEgsPHYqwiX5HLDO2JW6M3FDM?org_slug=default" TargetMode="External"/><Relationship Id="rId39" Type="http://schemas.openxmlformats.org/officeDocument/2006/relationships/hyperlink" Target="https://hi.likeminds.community/blooming-rush?r=1" TargetMode="External"/><Relationship Id="rId38" Type="http://schemas.openxmlformats.org/officeDocument/2006/relationships/hyperlink" Target="https://hi.likeminds.community/blooming-rush" TargetMode="External"/><Relationship Id="rId20" Type="http://schemas.openxmlformats.org/officeDocument/2006/relationships/hyperlink" Target="https://www.facebook.com/profile.php?id=1512765167" TargetMode="External"/><Relationship Id="rId22" Type="http://schemas.openxmlformats.org/officeDocument/2006/relationships/hyperlink" Target="http://data.likeminds.community/public/dashboards/4srQJ6FKMtqo3FtBvEwRO2nUOJCbzG1a020YL8q4?org_slug=default" TargetMode="External"/><Relationship Id="rId21" Type="http://schemas.openxmlformats.org/officeDocument/2006/relationships/hyperlink" Target="https://www.instagram.com/abluelotuslife/" TargetMode="External"/><Relationship Id="rId24" Type="http://schemas.openxmlformats.org/officeDocument/2006/relationships/hyperlink" Target="https://community.likeminds.community/ahoj-lets-blog" TargetMode="External"/><Relationship Id="rId23" Type="http://schemas.openxmlformats.org/officeDocument/2006/relationships/hyperlink" Target="https://collabmates.app.link/lZckKutq1eb" TargetMode="External"/><Relationship Id="rId26" Type="http://schemas.openxmlformats.org/officeDocument/2006/relationships/hyperlink" Target="http://data.likeminds.community/public/dashboards/WmCp4zwLzO6KXZiZm9IoAQdE0kzf1L8guYtrtHXh?org_slug=default" TargetMode="External"/><Relationship Id="rId25" Type="http://schemas.openxmlformats.org/officeDocument/2006/relationships/hyperlink" Target="https://community.likeminds.community/ahoj-lets-blog?r=1" TargetMode="External"/><Relationship Id="rId28" Type="http://schemas.openxmlformats.org/officeDocument/2006/relationships/hyperlink" Target="https://hi.likeminds.community/d/being-earthable" TargetMode="External"/><Relationship Id="rId27" Type="http://schemas.openxmlformats.org/officeDocument/2006/relationships/hyperlink" Target="https://collabmates.app.link/xlT4gPjLYfb" TargetMode="External"/><Relationship Id="rId29" Type="http://schemas.openxmlformats.org/officeDocument/2006/relationships/hyperlink" Target="https://hi.likeminds.community/d/being-earthable?r=1" TargetMode="External"/><Relationship Id="rId11" Type="http://schemas.openxmlformats.org/officeDocument/2006/relationships/hyperlink" Target="https://collabmates.app.link/LpphzCuREgb" TargetMode="External"/><Relationship Id="rId10" Type="http://schemas.openxmlformats.org/officeDocument/2006/relationships/hyperlink" Target="http://data.likeminds.community/public/dashboards/qRF73Xt9DZLnfwInvz9KshZAEbYQEj1fgvaUX4DC?org_slug=default" TargetMode="External"/><Relationship Id="rId13" Type="http://schemas.openxmlformats.org/officeDocument/2006/relationships/hyperlink" Target="https://hi.likeminds.community/d/emptycup?r=1" TargetMode="External"/><Relationship Id="rId12" Type="http://schemas.openxmlformats.org/officeDocument/2006/relationships/hyperlink" Target="https://hi.likeminds.community/d/emptycup" TargetMode="External"/><Relationship Id="rId15" Type="http://schemas.openxmlformats.org/officeDocument/2006/relationships/hyperlink" Target="https://www.instagram.com/empty_cup.91?r=nametag" TargetMode="External"/><Relationship Id="rId14" Type="http://schemas.openxmlformats.org/officeDocument/2006/relationships/hyperlink" Target="https://m.facebook.com/emptycup.91/" TargetMode="External"/><Relationship Id="rId17" Type="http://schemas.openxmlformats.org/officeDocument/2006/relationships/hyperlink" Target="https://collabmates.app.link/QEiNWGGpHgb" TargetMode="External"/><Relationship Id="rId16" Type="http://schemas.openxmlformats.org/officeDocument/2006/relationships/hyperlink" Target="http://data.likeminds.community/public/dashboards/pVNpQPqW2iA8Gkj57mK0yYEzPTrR9iXfTtYITw5L?org_slug=default" TargetMode="External"/><Relationship Id="rId19" Type="http://schemas.openxmlformats.org/officeDocument/2006/relationships/hyperlink" Target="https://hi.likeminds.community/d/a-blue-lotus-life?r=1" TargetMode="External"/><Relationship Id="rId18" Type="http://schemas.openxmlformats.org/officeDocument/2006/relationships/hyperlink" Target="https://hi.likeminds.community/d/a-blue-lotus-life" TargetMode="External"/><Relationship Id="rId84" Type="http://schemas.openxmlformats.org/officeDocument/2006/relationships/hyperlink" Target="https://www.facebook.com/groups/2882955885111652" TargetMode="External"/><Relationship Id="rId83" Type="http://schemas.openxmlformats.org/officeDocument/2006/relationships/hyperlink" Target="https://hi.likeminds.community/d/energy-healing-by-dr-bharti-dua?r=1" TargetMode="External"/><Relationship Id="rId86" Type="http://schemas.openxmlformats.org/officeDocument/2006/relationships/hyperlink" Target="http://data.likeminds.community/public/dashboards/dd8dkNPQLCT6qcmrqdTWWQD3WClLmo57Da1ya9N1?org_slug=default" TargetMode="External"/><Relationship Id="rId85" Type="http://schemas.openxmlformats.org/officeDocument/2006/relationships/hyperlink" Target="https://www.instagram.com/duabharti/" TargetMode="External"/><Relationship Id="rId88" Type="http://schemas.openxmlformats.org/officeDocument/2006/relationships/hyperlink" Target="https://hi.likeminds.community/d/the-fewh-tribe" TargetMode="External"/><Relationship Id="rId87" Type="http://schemas.openxmlformats.org/officeDocument/2006/relationships/hyperlink" Target="https://collabmates.app.link/urFJhwEXigb" TargetMode="External"/><Relationship Id="rId89" Type="http://schemas.openxmlformats.org/officeDocument/2006/relationships/hyperlink" Target="https://hi.likeminds.community/d/the-fewh-tribe?r=1" TargetMode="External"/><Relationship Id="rId80" Type="http://schemas.openxmlformats.org/officeDocument/2006/relationships/hyperlink" Target="http://data.likeminds.community/public/dashboards/Ayb6ydCfB62JDRfbyEtFXmhUXHrRJA8VXeqppRD9?org_slug=default" TargetMode="External"/><Relationship Id="rId82" Type="http://schemas.openxmlformats.org/officeDocument/2006/relationships/hyperlink" Target="https://hi.likeminds.community/d/energy-healing-by-dr-bharti-dua" TargetMode="External"/><Relationship Id="rId81" Type="http://schemas.openxmlformats.org/officeDocument/2006/relationships/hyperlink" Target="https://collabmates.app.link/qdVFBRENkgb" TargetMode="External"/><Relationship Id="rId73" Type="http://schemas.openxmlformats.org/officeDocument/2006/relationships/hyperlink" Target="https://community.likeminds.community/dme-deigning-made-easy" TargetMode="External"/><Relationship Id="rId72" Type="http://schemas.openxmlformats.org/officeDocument/2006/relationships/hyperlink" Target="https://collabmates.app.link/iQX5LdW92eb" TargetMode="External"/><Relationship Id="rId75" Type="http://schemas.openxmlformats.org/officeDocument/2006/relationships/hyperlink" Target="http://data.likeminds.community/public/dashboards/TznnuSp9teYIcZH2517sdvGBoZEOjoPinFKPKy4q?org_slug=default" TargetMode="External"/><Relationship Id="rId74" Type="http://schemas.openxmlformats.org/officeDocument/2006/relationships/hyperlink" Target="https://community.likeminds.community/dme-deigning-made-easy?r=1" TargetMode="External"/><Relationship Id="rId77" Type="http://schemas.openxmlformats.org/officeDocument/2006/relationships/hyperlink" Target="https://hi.likeminds.community/d/digital-writopreneurs-hub" TargetMode="External"/><Relationship Id="rId76" Type="http://schemas.openxmlformats.org/officeDocument/2006/relationships/hyperlink" Target="https://collabmates.app.link/xVdAzlA6tfb" TargetMode="External"/><Relationship Id="rId79" Type="http://schemas.openxmlformats.org/officeDocument/2006/relationships/hyperlink" Target="https://m.facebook.com/connectwithrajinder/?ref=watch_permalink" TargetMode="External"/><Relationship Id="rId78" Type="http://schemas.openxmlformats.org/officeDocument/2006/relationships/hyperlink" Target="https://hi.likeminds.community/d/digital-writopreneurs-hub?r=1" TargetMode="External"/><Relationship Id="rId71" Type="http://schemas.openxmlformats.org/officeDocument/2006/relationships/hyperlink" Target="http://data.likeminds.community/public/dashboards/WR2IRKoHyLyZeTq1cS2Jq7iirgFD54s75yaXu6kr?org_slug=default" TargetMode="External"/><Relationship Id="rId70" Type="http://schemas.openxmlformats.org/officeDocument/2006/relationships/hyperlink" Target="https://www.instagram.com/designforward.in/" TargetMode="External"/><Relationship Id="rId62" Type="http://schemas.openxmlformats.org/officeDocument/2006/relationships/hyperlink" Target="https://community.likeminds.community/debattlers?r=1" TargetMode="External"/><Relationship Id="rId61" Type="http://schemas.openxmlformats.org/officeDocument/2006/relationships/hyperlink" Target="https://community.likeminds.community/debattlers" TargetMode="External"/><Relationship Id="rId64" Type="http://schemas.openxmlformats.org/officeDocument/2006/relationships/hyperlink" Target="https://instagram.com/arrrrpita?utm_medium=copy_link" TargetMode="External"/><Relationship Id="rId63" Type="http://schemas.openxmlformats.org/officeDocument/2006/relationships/hyperlink" Target="https://www.facebook.com/arpita.deb.79274089" TargetMode="External"/><Relationship Id="rId66" Type="http://schemas.openxmlformats.org/officeDocument/2006/relationships/hyperlink" Target="https://collabmates.app.link/4Jcu4gOaDfb" TargetMode="External"/><Relationship Id="rId65" Type="http://schemas.openxmlformats.org/officeDocument/2006/relationships/hyperlink" Target="http://data.likeminds.community/public/dashboards/pYxHbFnG4HBlEnejkZqoIZgFQLFFT52pdVvAfOTW?org_slug=default" TargetMode="External"/><Relationship Id="rId68" Type="http://schemas.openxmlformats.org/officeDocument/2006/relationships/hyperlink" Target="https://hi.likeminds.community/d/design-forward?r=1" TargetMode="External"/><Relationship Id="rId67" Type="http://schemas.openxmlformats.org/officeDocument/2006/relationships/hyperlink" Target="https://hi.likeminds.community/d/design-forward" TargetMode="External"/><Relationship Id="rId60" Type="http://schemas.openxmlformats.org/officeDocument/2006/relationships/hyperlink" Target="https://collabmates.app.link/E7JH1MZjZeb" TargetMode="External"/><Relationship Id="rId69" Type="http://schemas.openxmlformats.org/officeDocument/2006/relationships/hyperlink" Target="https://www.google.com/url?q=https://www.facebook.com/designforwardcommunity&amp;sa=D&amp;source=hangouts&amp;ust=1622371406637000&amp;usg=AFQjCNGRZe0YCHqB-w5Ylu-ubk66KGbgjg" TargetMode="External"/><Relationship Id="rId51" Type="http://schemas.openxmlformats.org/officeDocument/2006/relationships/hyperlink" Target="https://collabmates.app.link/cJQVhWAscfb" TargetMode="External"/><Relationship Id="rId50" Type="http://schemas.openxmlformats.org/officeDocument/2006/relationships/hyperlink" Target="http://data.likeminds.community/public/dashboards/sSl52DQm5mO2Zw9vD0FZ3lo5UEaZfZIhnYg88t0W?org_slug=default" TargetMode="External"/><Relationship Id="rId53" Type="http://schemas.openxmlformats.org/officeDocument/2006/relationships/hyperlink" Target="https://hi.likeminds.community/business-advisory?r=1" TargetMode="External"/><Relationship Id="rId52" Type="http://schemas.openxmlformats.org/officeDocument/2006/relationships/hyperlink" Target="https://hi.likeminds.community/business-advisory" TargetMode="External"/><Relationship Id="rId55" Type="http://schemas.openxmlformats.org/officeDocument/2006/relationships/hyperlink" Target="https://collabmates.app.link/yIzu2pP5Igb" TargetMode="External"/><Relationship Id="rId54" Type="http://schemas.openxmlformats.org/officeDocument/2006/relationships/hyperlink" Target="http://data.likeminds.community/public/dashboards/BFqBei4zSRaU02HN2LLQkL8sbTF1AcW61vBEmwlw?org_slug=default" TargetMode="External"/><Relationship Id="rId57" Type="http://schemas.openxmlformats.org/officeDocument/2006/relationships/hyperlink" Target="https://hi.likeminds.community/d/confidence-boosting-club?r=1" TargetMode="External"/><Relationship Id="rId56" Type="http://schemas.openxmlformats.org/officeDocument/2006/relationships/hyperlink" Target="https://hi.likeminds.community/d/confidence-boosting-club" TargetMode="External"/><Relationship Id="rId59" Type="http://schemas.openxmlformats.org/officeDocument/2006/relationships/hyperlink" Target="http://data.likeminds.community/public/dashboards/37TVHbWinu7uaquF1J7kBZ0XY7ZgEQlOr8HGuLUk?org_slug=default" TargetMode="External"/><Relationship Id="rId58" Type="http://schemas.openxmlformats.org/officeDocument/2006/relationships/hyperlink" Target="https://www.facebook.com/CBC-CLUB-106034355031526/" TargetMode="External"/><Relationship Id="rId349" Type="http://schemas.openxmlformats.org/officeDocument/2006/relationships/hyperlink" Target="https://hi.likeminds.community/d/the-alt-living?r=1" TargetMode="External"/><Relationship Id="rId348" Type="http://schemas.openxmlformats.org/officeDocument/2006/relationships/hyperlink" Target="https://hi.likeminds.community/d/the-alt-living" TargetMode="External"/><Relationship Id="rId347" Type="http://schemas.openxmlformats.org/officeDocument/2006/relationships/hyperlink" Target="https://collabmates.app.link/OZmahDSOagb" TargetMode="External"/><Relationship Id="rId346" Type="http://schemas.openxmlformats.org/officeDocument/2006/relationships/hyperlink" Target="http://data.likeminds.community/public/dashboards/2s5r86E5sflSYnXlHKci410z6LMtUrPiOrpgcMuU?org_slug=default" TargetMode="External"/><Relationship Id="rId341" Type="http://schemas.openxmlformats.org/officeDocument/2006/relationships/hyperlink" Target="http://data.likeminds.community/public/dashboards/CjS3dDlOXaaFSUer4LKMUzBOp1EXuepJas929kgM?org_slug=default" TargetMode="External"/><Relationship Id="rId340" Type="http://schemas.openxmlformats.org/officeDocument/2006/relationships/hyperlink" Target="https://bit.ly/bsb-life-academy" TargetMode="External"/><Relationship Id="rId345" Type="http://schemas.openxmlformats.org/officeDocument/2006/relationships/hyperlink" Target="https://bit.ly/graphologyclub" TargetMode="External"/><Relationship Id="rId344" Type="http://schemas.openxmlformats.org/officeDocument/2006/relationships/hyperlink" Target="https://hi.likeminds.community/d/graphology?r=1" TargetMode="External"/><Relationship Id="rId343" Type="http://schemas.openxmlformats.org/officeDocument/2006/relationships/hyperlink" Target="https://hi.likeminds.community/d/graphology" TargetMode="External"/><Relationship Id="rId342" Type="http://schemas.openxmlformats.org/officeDocument/2006/relationships/hyperlink" Target="https://collabmates.app.link/xNDtkgoKagb" TargetMode="External"/><Relationship Id="rId338" Type="http://schemas.openxmlformats.org/officeDocument/2006/relationships/hyperlink" Target="https://hi.likeminds.community/d/bsb-life-academy" TargetMode="External"/><Relationship Id="rId337" Type="http://schemas.openxmlformats.org/officeDocument/2006/relationships/hyperlink" Target="https://collabmates.app.link/FfDdFrOZYfb" TargetMode="External"/><Relationship Id="rId336" Type="http://schemas.openxmlformats.org/officeDocument/2006/relationships/hyperlink" Target="http://data.likeminds.community/public/dashboards/7oZIZvb6fA7uXvFynmBbnGFMGf78DN9rHD6NEmN6?org_slug=default" TargetMode="External"/><Relationship Id="rId335" Type="http://schemas.openxmlformats.org/officeDocument/2006/relationships/hyperlink" Target="https://hi.likeminds.community/d/yogawithratika?r=1" TargetMode="External"/><Relationship Id="rId339" Type="http://schemas.openxmlformats.org/officeDocument/2006/relationships/hyperlink" Target="https://hi.likeminds.community/d/bsb-life-academy?r=1" TargetMode="External"/><Relationship Id="rId330" Type="http://schemas.openxmlformats.org/officeDocument/2006/relationships/hyperlink" Target="https://hi.likeminds.community/d/neetinfo" TargetMode="External"/><Relationship Id="rId334" Type="http://schemas.openxmlformats.org/officeDocument/2006/relationships/hyperlink" Target="https://hi.likeminds.community/d/yogawithratika" TargetMode="External"/><Relationship Id="rId333" Type="http://schemas.openxmlformats.org/officeDocument/2006/relationships/hyperlink" Target="https://collabmates.app.link/VhMgNOZk2fb" TargetMode="External"/><Relationship Id="rId332" Type="http://schemas.openxmlformats.org/officeDocument/2006/relationships/hyperlink" Target="http://data.likeminds.community/public/dashboards/SLqCtbf7IsDjtniEeADb5A6gBwKUGb20zxylp6Vf?org_slug=default" TargetMode="External"/><Relationship Id="rId331" Type="http://schemas.openxmlformats.org/officeDocument/2006/relationships/hyperlink" Target="https://hi.likeminds.community/d/neetinfo?r=1" TargetMode="External"/><Relationship Id="rId370" Type="http://schemas.openxmlformats.org/officeDocument/2006/relationships/hyperlink" Target="https://collabmates.app.link/R16bnXyQqgb" TargetMode="External"/><Relationship Id="rId369" Type="http://schemas.openxmlformats.org/officeDocument/2006/relationships/hyperlink" Target="http://data.likeminds.community/public/dashboards/3tlxqjh3az7E5KqgXER4NcnHU1377DGtrg2Kqnvi?org_slug=default" TargetMode="External"/><Relationship Id="rId368" Type="http://schemas.openxmlformats.org/officeDocument/2006/relationships/hyperlink" Target="https://hi.likeminds.community/d/bridl360-club?r=1" TargetMode="External"/><Relationship Id="rId363" Type="http://schemas.openxmlformats.org/officeDocument/2006/relationships/hyperlink" Target="https://hi.likeminds.community/d/iquecareerguide?r=1" TargetMode="External"/><Relationship Id="rId362" Type="http://schemas.openxmlformats.org/officeDocument/2006/relationships/hyperlink" Target="https://hi.likeminds.community/d/iquecareerguide" TargetMode="External"/><Relationship Id="rId361" Type="http://schemas.openxmlformats.org/officeDocument/2006/relationships/hyperlink" Target="https://collabmates.app.link/K8Ej3Hb6Gfb" TargetMode="External"/><Relationship Id="rId360" Type="http://schemas.openxmlformats.org/officeDocument/2006/relationships/hyperlink" Target="http://data.likeminds.community/public/dashboards/1olcBaLzVayNYidPtNz1HQ6VBeeQ3kLWf6w76eq3?org_slug=default" TargetMode="External"/><Relationship Id="rId367" Type="http://schemas.openxmlformats.org/officeDocument/2006/relationships/hyperlink" Target="https://hi.likeminds.community/d/bridl360-club" TargetMode="External"/><Relationship Id="rId366" Type="http://schemas.openxmlformats.org/officeDocument/2006/relationships/hyperlink" Target="https://collabmates.app.link/DTf7mofrrgb" TargetMode="External"/><Relationship Id="rId365" Type="http://schemas.openxmlformats.org/officeDocument/2006/relationships/hyperlink" Target="http://data.likeminds.community/public/dashboards/IO16glRyljTK4u4usTDZI0cl94EDQevNvpx2T42m?org_slug=default" TargetMode="External"/><Relationship Id="rId364" Type="http://schemas.openxmlformats.org/officeDocument/2006/relationships/hyperlink" Target="https://bit.ly/iquecareerguide" TargetMode="External"/><Relationship Id="rId95" Type="http://schemas.openxmlformats.org/officeDocument/2006/relationships/hyperlink" Target="http://data.likeminds.community/public/dashboards/cXE7w2T4drWaOnNXcerId2kIMrtLo2QrkfvcG4Hl?org_slug=default" TargetMode="External"/><Relationship Id="rId94" Type="http://schemas.openxmlformats.org/officeDocument/2006/relationships/hyperlink" Target="https://facebook.com/flavorsnfitness/" TargetMode="External"/><Relationship Id="rId97" Type="http://schemas.openxmlformats.org/officeDocument/2006/relationships/hyperlink" Target="https://hi.likeminds.community/d/focus-inside" TargetMode="External"/><Relationship Id="rId96" Type="http://schemas.openxmlformats.org/officeDocument/2006/relationships/hyperlink" Target="https://collabmates.app.link/WSga9p45Igb" TargetMode="External"/><Relationship Id="rId99" Type="http://schemas.openxmlformats.org/officeDocument/2006/relationships/hyperlink" Target="https://instagram.com/focus_inside_yoga?utm_medium=copy_link" TargetMode="External"/><Relationship Id="rId98" Type="http://schemas.openxmlformats.org/officeDocument/2006/relationships/hyperlink" Target="https://hi.likeminds.community/d/focus-inside?r=1" TargetMode="External"/><Relationship Id="rId91" Type="http://schemas.openxmlformats.org/officeDocument/2006/relationships/hyperlink" Target="https://collabmates.app.link/OCzAelSWigb" TargetMode="External"/><Relationship Id="rId90" Type="http://schemas.openxmlformats.org/officeDocument/2006/relationships/hyperlink" Target="http://data.likeminds.community/public/dashboards/i6KT7t2UupfzB9vAxaPLQb9k1o1hWCXPLquITqyr?org_slug=default" TargetMode="External"/><Relationship Id="rId93" Type="http://schemas.openxmlformats.org/officeDocument/2006/relationships/hyperlink" Target="https://hi.likeminds.community/d/flavors-n-fitness?r=1" TargetMode="External"/><Relationship Id="rId92" Type="http://schemas.openxmlformats.org/officeDocument/2006/relationships/hyperlink" Target="https://hi.likeminds.community/d/flavors-n-fitness" TargetMode="External"/><Relationship Id="rId359" Type="http://schemas.openxmlformats.org/officeDocument/2006/relationships/hyperlink" Target="https://hi.likeminds.community/d/vithika?r=1" TargetMode="External"/><Relationship Id="rId358" Type="http://schemas.openxmlformats.org/officeDocument/2006/relationships/hyperlink" Target="https://hi.likeminds.community/d/vithika" TargetMode="External"/><Relationship Id="rId357" Type="http://schemas.openxmlformats.org/officeDocument/2006/relationships/hyperlink" Target="https://collabmates.app.link/DgLj9XJXfgb" TargetMode="External"/><Relationship Id="rId352" Type="http://schemas.openxmlformats.org/officeDocument/2006/relationships/hyperlink" Target="https://collabmates.app.link/UfHNaLLwigb" TargetMode="External"/><Relationship Id="rId351" Type="http://schemas.openxmlformats.org/officeDocument/2006/relationships/hyperlink" Target="http://data.likeminds.community/public/dashboards/kqP7355C5JySX1sboTCpw6MmltWwapCKAUCTB4N9?org_slug=default" TargetMode="External"/><Relationship Id="rId350" Type="http://schemas.openxmlformats.org/officeDocument/2006/relationships/hyperlink" Target="http://bit.ly/the-alt-living" TargetMode="External"/><Relationship Id="rId356" Type="http://schemas.openxmlformats.org/officeDocument/2006/relationships/hyperlink" Target="http://data.likeminds.community/public/dashboards/Mo0T0dTqx5BHGnYI1WbngYRSFo68WPm46DX9Zd1Y?org_slug=default" TargetMode="External"/><Relationship Id="rId355" Type="http://schemas.openxmlformats.org/officeDocument/2006/relationships/hyperlink" Target="https://bit.ly/garv-malik" TargetMode="External"/><Relationship Id="rId354" Type="http://schemas.openxmlformats.org/officeDocument/2006/relationships/hyperlink" Target="https://hi.likeminds.community/d/garv-malik?r=1" TargetMode="External"/><Relationship Id="rId353" Type="http://schemas.openxmlformats.org/officeDocument/2006/relationships/hyperlink" Target="https://hi.likeminds.community/d/garv-malik" TargetMode="External"/><Relationship Id="rId305" Type="http://schemas.openxmlformats.org/officeDocument/2006/relationships/hyperlink" Target="https://community.likeminds.community/startup-change-leaders" TargetMode="External"/><Relationship Id="rId304" Type="http://schemas.openxmlformats.org/officeDocument/2006/relationships/hyperlink" Target="https://collabmates.app.link/TMFRX0dswfb" TargetMode="External"/><Relationship Id="rId303" Type="http://schemas.openxmlformats.org/officeDocument/2006/relationships/hyperlink" Target="http://data.likeminds.community/public/dashboards/iuFBokh14sSzuVV5TiwcmCcAPTh2aapaRZzC1Z3G?org_slug=default" TargetMode="External"/><Relationship Id="rId302" Type="http://schemas.openxmlformats.org/officeDocument/2006/relationships/hyperlink" Target="http://bit.ly/the-data-talk" TargetMode="External"/><Relationship Id="rId309" Type="http://schemas.openxmlformats.org/officeDocument/2006/relationships/hyperlink" Target="https://collabmates.app.link/ljzPaBAswfb" TargetMode="External"/><Relationship Id="rId308" Type="http://schemas.openxmlformats.org/officeDocument/2006/relationships/hyperlink" Target="http://data.likeminds.community/public/dashboards/RQtGRa43CssVUqetmMiYt7rVIHaZNspwZP5vPg0w?org_slug=default" TargetMode="External"/><Relationship Id="rId307" Type="http://schemas.openxmlformats.org/officeDocument/2006/relationships/hyperlink" Target="http://bit.ly/startup-change-leaders" TargetMode="External"/><Relationship Id="rId306" Type="http://schemas.openxmlformats.org/officeDocument/2006/relationships/hyperlink" Target="https://hi.likeminds.community/startup-change-leaders?r=1" TargetMode="External"/><Relationship Id="rId301" Type="http://schemas.openxmlformats.org/officeDocument/2006/relationships/hyperlink" Target="https://hi.likeminds.community/the-data-talk?r=1" TargetMode="External"/><Relationship Id="rId300" Type="http://schemas.openxmlformats.org/officeDocument/2006/relationships/hyperlink" Target="https://community.likeminds.community/data-talk" TargetMode="External"/><Relationship Id="rId327" Type="http://schemas.openxmlformats.org/officeDocument/2006/relationships/hyperlink" Target="https://collabmates.app.link/Quo0YbXH0fb" TargetMode="External"/><Relationship Id="rId326" Type="http://schemas.openxmlformats.org/officeDocument/2006/relationships/hyperlink" Target="http://data.likeminds.community/public/dashboards/Vm9zaCkhzpy9muPqcpvj1Da8gWb4cFxFYjMDTW0Y?org_slug=default" TargetMode="External"/><Relationship Id="rId325" Type="http://schemas.openxmlformats.org/officeDocument/2006/relationships/hyperlink" Target="https://www.instagram.com/mayamysticmeera/" TargetMode="External"/><Relationship Id="rId324" Type="http://schemas.openxmlformats.org/officeDocument/2006/relationships/hyperlink" Target="https://www.facebook.com/MayaMysticMeera/" TargetMode="External"/><Relationship Id="rId329" Type="http://schemas.openxmlformats.org/officeDocument/2006/relationships/hyperlink" Target="https://hi.likeminds.community/d/mads?r=1" TargetMode="External"/><Relationship Id="rId328" Type="http://schemas.openxmlformats.org/officeDocument/2006/relationships/hyperlink" Target="https://hi.likeminds.community/d/mads" TargetMode="External"/><Relationship Id="rId323" Type="http://schemas.openxmlformats.org/officeDocument/2006/relationships/hyperlink" Target="https://hi.likeminds.community/d/maya-mystic-meera-the-keltic-vedist?r=1" TargetMode="External"/><Relationship Id="rId322" Type="http://schemas.openxmlformats.org/officeDocument/2006/relationships/hyperlink" Target="https://hi.likeminds.community/d/maya-mystic-meera-the-keltic-vedist" TargetMode="External"/><Relationship Id="rId321" Type="http://schemas.openxmlformats.org/officeDocument/2006/relationships/hyperlink" Target="https://collabmates.app.link/f7sp0DiRMgb" TargetMode="External"/><Relationship Id="rId320" Type="http://schemas.openxmlformats.org/officeDocument/2006/relationships/hyperlink" Target="http://data.likeminds.community/public/dashboards/6kdYX11QxJUDGBf9v76T9ruVohwvwgca5st0OVVM?org_slug=default" TargetMode="External"/><Relationship Id="rId316" Type="http://schemas.openxmlformats.org/officeDocument/2006/relationships/hyperlink" Target="https://hi.likeminds.community/d/thane-super-moms?r=1" TargetMode="External"/><Relationship Id="rId315" Type="http://schemas.openxmlformats.org/officeDocument/2006/relationships/hyperlink" Target="https://hi.likeminds.community/d/thane-super-moms" TargetMode="External"/><Relationship Id="rId314" Type="http://schemas.openxmlformats.org/officeDocument/2006/relationships/hyperlink" Target="https://collabmates.app.link/b01MShR0Mfb" TargetMode="External"/><Relationship Id="rId313" Type="http://schemas.openxmlformats.org/officeDocument/2006/relationships/hyperlink" Target="http://data.likeminds.community/public/dashboards/7Bo0qYL0zpP7ZIXJWsqFUdkPzX1RaJLvQfQD0ldr?org_slug=default" TargetMode="External"/><Relationship Id="rId319" Type="http://schemas.openxmlformats.org/officeDocument/2006/relationships/hyperlink" Target="https://collabmates.app.link/w2Vy00tDSfb" TargetMode="External"/><Relationship Id="rId318" Type="http://schemas.openxmlformats.org/officeDocument/2006/relationships/hyperlink" Target="http://data.likeminds.community/public/dashboards/Kasfu56AVAfBGd1gM5whZzn5IJYMjEVsjrzjrUrC?org_slug=default" TargetMode="External"/><Relationship Id="rId317" Type="http://schemas.openxmlformats.org/officeDocument/2006/relationships/hyperlink" Target="http://bit.ly/thane-super-moms" TargetMode="External"/><Relationship Id="rId312" Type="http://schemas.openxmlformats.org/officeDocument/2006/relationships/hyperlink" Target="http://bit.ly/powerpoint-pro" TargetMode="External"/><Relationship Id="rId311" Type="http://schemas.openxmlformats.org/officeDocument/2006/relationships/hyperlink" Target="https://hi.likeminds.community/d/powerpoint-pro?r=1" TargetMode="External"/><Relationship Id="rId310" Type="http://schemas.openxmlformats.org/officeDocument/2006/relationships/hyperlink" Target="https://hi.likeminds.community/d/powerpoint-pro" TargetMode="External"/><Relationship Id="rId297" Type="http://schemas.openxmlformats.org/officeDocument/2006/relationships/hyperlink" Target="http://www.instagram.com/yogabyamruta" TargetMode="External"/><Relationship Id="rId296" Type="http://schemas.openxmlformats.org/officeDocument/2006/relationships/hyperlink" Target="http://www.facebook.com/YogabyAmruta" TargetMode="External"/><Relationship Id="rId295" Type="http://schemas.openxmlformats.org/officeDocument/2006/relationships/hyperlink" Target="https://hi.likeminds.community/d/yoga-by-amruta?r=1" TargetMode="External"/><Relationship Id="rId294" Type="http://schemas.openxmlformats.org/officeDocument/2006/relationships/hyperlink" Target="https://hi.likeminds.community/d/yoga-by-amruta" TargetMode="External"/><Relationship Id="rId299" Type="http://schemas.openxmlformats.org/officeDocument/2006/relationships/hyperlink" Target="https://collabmates.app.link/hz8R2Dg0Mfb" TargetMode="External"/><Relationship Id="rId298" Type="http://schemas.openxmlformats.org/officeDocument/2006/relationships/hyperlink" Target="http://data.likeminds.community/public/dashboards/J7zzY3u6ZYI0lzLFYz84KuduBPOtMH7xIP0wuHKb?org_slug=default" TargetMode="External"/><Relationship Id="rId271" Type="http://schemas.openxmlformats.org/officeDocument/2006/relationships/hyperlink" Target="https://www.facebook.com/Official.ttnt" TargetMode="External"/><Relationship Id="rId270" Type="http://schemas.openxmlformats.org/officeDocument/2006/relationships/hyperlink" Target="https://hi.likeminds.community/d/through-thick-and-thin?r=1" TargetMode="External"/><Relationship Id="rId269" Type="http://schemas.openxmlformats.org/officeDocument/2006/relationships/hyperlink" Target="https://hi.likeminds.community/d/through-thick-and-thin" TargetMode="External"/><Relationship Id="rId264" Type="http://schemas.openxmlformats.org/officeDocument/2006/relationships/hyperlink" Target="https://collabmates.app.link/YXeBv4e32eb" TargetMode="External"/><Relationship Id="rId263" Type="http://schemas.openxmlformats.org/officeDocument/2006/relationships/hyperlink" Target="http://data.likeminds.community/public/dashboards/pumYOK77cdcwD6fOkRUlOBKO2seQjXet0hoMdDga?org_slug=default" TargetMode="External"/><Relationship Id="rId262" Type="http://schemas.openxmlformats.org/officeDocument/2006/relationships/hyperlink" Target="https://www.instagram.com/the_man_makeover/" TargetMode="External"/><Relationship Id="rId261" Type="http://schemas.openxmlformats.org/officeDocument/2006/relationships/hyperlink" Target="https://hi.likeminds.community/d/the-man-makeover?r=1" TargetMode="External"/><Relationship Id="rId268" Type="http://schemas.openxmlformats.org/officeDocument/2006/relationships/hyperlink" Target="https://collabmates.app.link/RGLVpmJEDfb" TargetMode="External"/><Relationship Id="rId267" Type="http://schemas.openxmlformats.org/officeDocument/2006/relationships/hyperlink" Target="http://data.likeminds.community/public/dashboards/Su0LyN5DCJEklMjVNDCRGRAm6VGZ7rDUVf7sJ7B2?org_slug=default" TargetMode="External"/><Relationship Id="rId266" Type="http://schemas.openxmlformats.org/officeDocument/2006/relationships/hyperlink" Target="https://community.likeminds.community/the-smart-work-for-neet-ug?r=1" TargetMode="External"/><Relationship Id="rId265" Type="http://schemas.openxmlformats.org/officeDocument/2006/relationships/hyperlink" Target="https://community.likeminds.community/the-smart-work-for-neet-ug" TargetMode="External"/><Relationship Id="rId260" Type="http://schemas.openxmlformats.org/officeDocument/2006/relationships/hyperlink" Target="https://hi.likeminds.community/d/the-man-makeover" TargetMode="External"/><Relationship Id="rId259" Type="http://schemas.openxmlformats.org/officeDocument/2006/relationships/hyperlink" Target="https://collabmates.app.link/l2zb1aMLyfb" TargetMode="External"/><Relationship Id="rId258" Type="http://schemas.openxmlformats.org/officeDocument/2006/relationships/hyperlink" Target="http://data.likeminds.community/public/dashboards/PSl8nHT2IHXfQYxA3bYYoIRdSsthtfNLb32UhgWt?org_slug=default" TargetMode="External"/><Relationship Id="rId253" Type="http://schemas.openxmlformats.org/officeDocument/2006/relationships/hyperlink" Target="http://www.instagram.com/StepsTowardsCrafting" TargetMode="External"/><Relationship Id="rId252" Type="http://schemas.openxmlformats.org/officeDocument/2006/relationships/hyperlink" Target="https://www.facebook.com/StepsTowardsCraftingFanPage" TargetMode="External"/><Relationship Id="rId251" Type="http://schemas.openxmlformats.org/officeDocument/2006/relationships/hyperlink" Target="https://collabmates.app.link/SUQozSdRMgb" TargetMode="External"/><Relationship Id="rId250" Type="http://schemas.openxmlformats.org/officeDocument/2006/relationships/hyperlink" Target="http://data.likeminds.community/public/dashboards/wDJP28SazqenyNtb6Aj5MgzbjVOLbqqZlRxMjhuO?org_slug=default" TargetMode="External"/><Relationship Id="rId257" Type="http://schemas.openxmlformats.org/officeDocument/2006/relationships/hyperlink" Target="https://www.instagram.com/thetarotpreneur/" TargetMode="External"/><Relationship Id="rId256" Type="http://schemas.openxmlformats.org/officeDocument/2006/relationships/hyperlink" Target="https://www.facebook.com/thetarotpreneur" TargetMode="External"/><Relationship Id="rId255" Type="http://schemas.openxmlformats.org/officeDocument/2006/relationships/hyperlink" Target="https://collabmates.app.link/ps5XO46pEgb" TargetMode="External"/><Relationship Id="rId254" Type="http://schemas.openxmlformats.org/officeDocument/2006/relationships/hyperlink" Target="http://data.likeminds.community/public/dashboards/ijp1linhlZNDu3uVbAVrm9xVpTXauQAGIqcojPas?org_slug=default" TargetMode="External"/><Relationship Id="rId293" Type="http://schemas.openxmlformats.org/officeDocument/2006/relationships/hyperlink" Target="https://collabmates.app.link/ZmUtB6FdLgb" TargetMode="External"/><Relationship Id="rId292" Type="http://schemas.openxmlformats.org/officeDocument/2006/relationships/hyperlink" Target="http://data.likeminds.community/public/dashboards/g7FOMGOmoXLpKtNBCxSiHvy4NG4dfInG0jKEWS2T?org_slug=default" TargetMode="External"/><Relationship Id="rId291" Type="http://schemas.openxmlformats.org/officeDocument/2006/relationships/hyperlink" Target="https://hi.likeminds.community/d/parfaitimageconsulting?r=1" TargetMode="External"/><Relationship Id="rId290" Type="http://schemas.openxmlformats.org/officeDocument/2006/relationships/hyperlink" Target="https://hi.likeminds.community/d/parfaitimageconsulting" TargetMode="External"/><Relationship Id="rId286" Type="http://schemas.openxmlformats.org/officeDocument/2006/relationships/hyperlink" Target="https://community.likeminds.community/yo-geek-the-modern-yogi" TargetMode="External"/><Relationship Id="rId285" Type="http://schemas.openxmlformats.org/officeDocument/2006/relationships/hyperlink" Target="https://collabmates.app.link/bmN9uDfn4eb" TargetMode="External"/><Relationship Id="rId284" Type="http://schemas.openxmlformats.org/officeDocument/2006/relationships/hyperlink" Target="http://data.likeminds.community/public/dashboards/OBGgujDi7jAqBqHdl15VUGkWIPcxHyWtrZbGxGwC?org_slug=default" TargetMode="External"/><Relationship Id="rId283" Type="http://schemas.openxmlformats.org/officeDocument/2006/relationships/hyperlink" Target="https://www.instagram.com/invites/contact/?i=i8l02bx9cnv3&amp;utm_content=lyzs2zi" TargetMode="External"/><Relationship Id="rId289" Type="http://schemas.openxmlformats.org/officeDocument/2006/relationships/hyperlink" Target="https://collabmates.app.link/NUrK55OEWgb" TargetMode="External"/><Relationship Id="rId288" Type="http://schemas.openxmlformats.org/officeDocument/2006/relationships/hyperlink" Target="http://data.likeminds.community/public/dashboards/EyRALAaKBsVCOPu5wnEVGoqUOj3rC9hymm7HIRbL?org_slug=default" TargetMode="External"/><Relationship Id="rId287" Type="http://schemas.openxmlformats.org/officeDocument/2006/relationships/hyperlink" Target="https://community.likeminds.community/yo-geek-the-modern-yogi?r=1" TargetMode="External"/><Relationship Id="rId282" Type="http://schemas.openxmlformats.org/officeDocument/2006/relationships/hyperlink" Target="https://www.facebook.com/suman.gunners" TargetMode="External"/><Relationship Id="rId281" Type="http://schemas.openxmlformats.org/officeDocument/2006/relationships/hyperlink" Target="https://hi.likeminds.community/d/uva-fit?r=1" TargetMode="External"/><Relationship Id="rId280" Type="http://schemas.openxmlformats.org/officeDocument/2006/relationships/hyperlink" Target="https://hi.likeminds.community/d/uva-fit" TargetMode="External"/><Relationship Id="rId275" Type="http://schemas.openxmlformats.org/officeDocument/2006/relationships/hyperlink" Target="https://hi.likeminds.community/d/transformed-finance-professionals" TargetMode="External"/><Relationship Id="rId274" Type="http://schemas.openxmlformats.org/officeDocument/2006/relationships/hyperlink" Target="https://collabmates.app.link/dT8lr3yWwfb" TargetMode="External"/><Relationship Id="rId273" Type="http://schemas.openxmlformats.org/officeDocument/2006/relationships/hyperlink" Target="http://data.likeminds.community/public/dashboards/tgwNWLKcjhXpAXRAfWakHE0naMSEOsjmzcgt7d2o?org_slug=default" TargetMode="External"/><Relationship Id="rId272" Type="http://schemas.openxmlformats.org/officeDocument/2006/relationships/hyperlink" Target="https://www.instagram.com/ttnt.official/" TargetMode="External"/><Relationship Id="rId279" Type="http://schemas.openxmlformats.org/officeDocument/2006/relationships/hyperlink" Target="https://collabmates.app.link/7yXPzhkRMgb" TargetMode="External"/><Relationship Id="rId278" Type="http://schemas.openxmlformats.org/officeDocument/2006/relationships/hyperlink" Target="http://data.likeminds.community/public/dashboards/hl8LgxKS2glThiXysKCBuZPbqli9CwgQmssU9pTZ?org_slug=default" TargetMode="External"/><Relationship Id="rId277" Type="http://schemas.openxmlformats.org/officeDocument/2006/relationships/hyperlink" Target="https://www.facebook.com/TransformedFinanceProfessionals" TargetMode="External"/><Relationship Id="rId276" Type="http://schemas.openxmlformats.org/officeDocument/2006/relationships/hyperlink" Target="https://hi.likeminds.community/d/transformed-finance-professionals?r=1" TargetMode="External"/><Relationship Id="rId228" Type="http://schemas.openxmlformats.org/officeDocument/2006/relationships/hyperlink" Target="https://hi.likeminds.community/d/rapto-bhara-jeevan" TargetMode="External"/><Relationship Id="rId227" Type="http://schemas.openxmlformats.org/officeDocument/2006/relationships/hyperlink" Target="https://collabmates.app.link/2HaZwUxvIfb" TargetMode="External"/><Relationship Id="rId226" Type="http://schemas.openxmlformats.org/officeDocument/2006/relationships/hyperlink" Target="http://data.likeminds.community/public/dashboards/g6F5t0KSVvUqdYB1LCCxOnxJLKQOXoIRzdWOVgu2?org_slug=default" TargetMode="External"/><Relationship Id="rId225" Type="http://schemas.openxmlformats.org/officeDocument/2006/relationships/hyperlink" Target="https://www.instagram.com/python_geeks_techie/" TargetMode="External"/><Relationship Id="rId229" Type="http://schemas.openxmlformats.org/officeDocument/2006/relationships/hyperlink" Target="https://hi.likeminds.community/d/rapto-bhara-jeevan?r=1" TargetMode="External"/><Relationship Id="rId220" Type="http://schemas.openxmlformats.org/officeDocument/2006/relationships/hyperlink" Target="https://www.facebook.com/CommunicationsPower/" TargetMode="External"/><Relationship Id="rId224" Type="http://schemas.openxmlformats.org/officeDocument/2006/relationships/hyperlink" Target="https://hi.likeminds.community/python-geeks?r=1" TargetMode="External"/><Relationship Id="rId223" Type="http://schemas.openxmlformats.org/officeDocument/2006/relationships/hyperlink" Target="https://hi.likeminds.community/python-geeks" TargetMode="External"/><Relationship Id="rId222" Type="http://schemas.openxmlformats.org/officeDocument/2006/relationships/hyperlink" Target="https://collabmates.app.link/HgGq1ya3rfb" TargetMode="External"/><Relationship Id="rId221" Type="http://schemas.openxmlformats.org/officeDocument/2006/relationships/hyperlink" Target="http://data.likeminds.community/public/dashboards/Z1Y4UPhe03pVDfJ70EepbfOMft9s52mjgCg9lwNH?org_slug=default" TargetMode="External"/><Relationship Id="rId217" Type="http://schemas.openxmlformats.org/officeDocument/2006/relationships/hyperlink" Target="https://collabmates.app.link/CIE5u7rjqfb" TargetMode="External"/><Relationship Id="rId216" Type="http://schemas.openxmlformats.org/officeDocument/2006/relationships/hyperlink" Target="http://data.likeminds.community/public/dashboards/9Ok63AYqxRXZVzwCROnV4Q5kobJN8BLTc1DcFZDF?org_slug=default" TargetMode="External"/><Relationship Id="rId215" Type="http://schemas.openxmlformats.org/officeDocument/2006/relationships/hyperlink" Target="https://hi.likeminds.community/d/pet-parents-wellness?r=1" TargetMode="External"/><Relationship Id="rId214" Type="http://schemas.openxmlformats.org/officeDocument/2006/relationships/hyperlink" Target="https://hi.likeminds.community/d/pet-parents-wellness" TargetMode="External"/><Relationship Id="rId219" Type="http://schemas.openxmlformats.org/officeDocument/2006/relationships/hyperlink" Target="https://hi.likeminds.community/d/power-of-communications?r=1" TargetMode="External"/><Relationship Id="rId218" Type="http://schemas.openxmlformats.org/officeDocument/2006/relationships/hyperlink" Target="https://hi.likeminds.community/d/power-of-communications" TargetMode="External"/><Relationship Id="rId213" Type="http://schemas.openxmlformats.org/officeDocument/2006/relationships/hyperlink" Target="https://collabmates.app.link/RHMp6nAEwfb" TargetMode="External"/><Relationship Id="rId212" Type="http://schemas.openxmlformats.org/officeDocument/2006/relationships/hyperlink" Target="http://data.likeminds.community/public/dashboards/Oo1c4pN3oPR5q0qgDdGAkvUmDsE8in7o64EbVM6s?org_slug=default" TargetMode="External"/><Relationship Id="rId211" Type="http://schemas.openxmlformats.org/officeDocument/2006/relationships/hyperlink" Target="https://hi.likeminds.community/d/nistha-education?r=1" TargetMode="External"/><Relationship Id="rId210" Type="http://schemas.openxmlformats.org/officeDocument/2006/relationships/hyperlink" Target="https://hi.likeminds.community/d/nistha-education" TargetMode="External"/><Relationship Id="rId249" Type="http://schemas.openxmlformats.org/officeDocument/2006/relationships/hyperlink" Target="https://www.facebook.com/Spokken-102308275226390" TargetMode="External"/><Relationship Id="rId248" Type="http://schemas.openxmlformats.org/officeDocument/2006/relationships/hyperlink" Target="https://hi.likeminds.community/d/spokken-2?r=1" TargetMode="External"/><Relationship Id="rId247" Type="http://schemas.openxmlformats.org/officeDocument/2006/relationships/hyperlink" Target="https://hi.likeminds.community/d/spokken-2" TargetMode="External"/><Relationship Id="rId242" Type="http://schemas.openxmlformats.org/officeDocument/2006/relationships/hyperlink" Target="https://collabmates.app.link/5UKM4ETuZeb" TargetMode="External"/><Relationship Id="rId241" Type="http://schemas.openxmlformats.org/officeDocument/2006/relationships/hyperlink" Target="http://data.likeminds.community/public/dashboards/RR1pBXtFF7UWLznR8CoPXIOTkqStlXEvzg0x2waU?org_slug=default" TargetMode="External"/><Relationship Id="rId240" Type="http://schemas.openxmlformats.org/officeDocument/2006/relationships/hyperlink" Target="https://hi.likeminds.community/d/shishu-aahaar?r=1" TargetMode="External"/><Relationship Id="rId246" Type="http://schemas.openxmlformats.org/officeDocument/2006/relationships/hyperlink" Target="https://collabmates.app.link/k5te2PpS5fb" TargetMode="External"/><Relationship Id="rId245" Type="http://schemas.openxmlformats.org/officeDocument/2006/relationships/hyperlink" Target="http://data.likeminds.community/public/dashboards/Sm78axN9HZMyvfIw6rJpOg8ygWDrsV98TZSfpcIp?org_slug=default" TargetMode="External"/><Relationship Id="rId244" Type="http://schemas.openxmlformats.org/officeDocument/2006/relationships/hyperlink" Target="https://community.likeminds.community/sketch-hub?r=1" TargetMode="External"/><Relationship Id="rId243" Type="http://schemas.openxmlformats.org/officeDocument/2006/relationships/hyperlink" Target="https://community.likeminds.community/sketch-hub" TargetMode="External"/><Relationship Id="rId239" Type="http://schemas.openxmlformats.org/officeDocument/2006/relationships/hyperlink" Target="https://hi.likeminds.community/d/shishu-aahaar" TargetMode="External"/><Relationship Id="rId238" Type="http://schemas.openxmlformats.org/officeDocument/2006/relationships/hyperlink" Target="https://collabmates.app.link/IK5wC4o8Dgb" TargetMode="External"/><Relationship Id="rId237" Type="http://schemas.openxmlformats.org/officeDocument/2006/relationships/hyperlink" Target="http://data.likeminds.community/public/dashboards/VpQYdy70PdIrKgueb5gEGlZmbvSR4WigxocRHNX5?org_slug=default" TargetMode="External"/><Relationship Id="rId236" Type="http://schemas.openxmlformats.org/officeDocument/2006/relationships/hyperlink" Target="https://www.facebook.com/SheSplashOfficial" TargetMode="External"/><Relationship Id="rId231" Type="http://schemas.openxmlformats.org/officeDocument/2006/relationships/hyperlink" Target="https://www.instagram.com/rapto_bhara_jeevan/" TargetMode="External"/><Relationship Id="rId230" Type="http://schemas.openxmlformats.org/officeDocument/2006/relationships/hyperlink" Target="https://www.facebook.com/Online-Astrology-Vastu-Rapto-Bhara-Jeevan-1580579915581678/" TargetMode="External"/><Relationship Id="rId235" Type="http://schemas.openxmlformats.org/officeDocument/2006/relationships/hyperlink" Target="https://hi.likeminds.community/d/she-splash?r=1" TargetMode="External"/><Relationship Id="rId234" Type="http://schemas.openxmlformats.org/officeDocument/2006/relationships/hyperlink" Target="https://hi.likeminds.community/d/she-splash" TargetMode="External"/><Relationship Id="rId233" Type="http://schemas.openxmlformats.org/officeDocument/2006/relationships/hyperlink" Target="https://collabmates.app.link/3HDZi3KHwfb" TargetMode="External"/><Relationship Id="rId232" Type="http://schemas.openxmlformats.org/officeDocument/2006/relationships/hyperlink" Target="http://data.likeminds.community/public/dashboards/2E3454IpeKMbgkth2v8PLDnNHvLPBcp8l0NePkyI?org_slug=default" TargetMode="External"/><Relationship Id="rId206" Type="http://schemas.openxmlformats.org/officeDocument/2006/relationships/hyperlink" Target="https://www.facebook.com/Divapreneurs-Network-Queendom-103721088596109/" TargetMode="External"/><Relationship Id="rId205" Type="http://schemas.openxmlformats.org/officeDocument/2006/relationships/hyperlink" Target="https://hi.likeminds.community/networking-business?r=1" TargetMode="External"/><Relationship Id="rId204" Type="http://schemas.openxmlformats.org/officeDocument/2006/relationships/hyperlink" Target="https://hi.likeminds.community/networking-business" TargetMode="External"/><Relationship Id="rId203" Type="http://schemas.openxmlformats.org/officeDocument/2006/relationships/hyperlink" Target="https://collabmates.app.link/rQBYpXx42eb" TargetMode="External"/><Relationship Id="rId209" Type="http://schemas.openxmlformats.org/officeDocument/2006/relationships/hyperlink" Target="https://collabmates.app.link/0LL8sBlEQfb" TargetMode="External"/><Relationship Id="rId208" Type="http://schemas.openxmlformats.org/officeDocument/2006/relationships/hyperlink" Target="http://data.likeminds.community/public/dashboards/neDvE6zGIz4RO8KWJkQo0HXhoQ22aKAniSAiyO3W?org_slug=default" TargetMode="External"/><Relationship Id="rId207" Type="http://schemas.openxmlformats.org/officeDocument/2006/relationships/hyperlink" Target="https://instagram.com/divapreneursnetwork?utm_medium=copy_link" TargetMode="External"/><Relationship Id="rId202" Type="http://schemas.openxmlformats.org/officeDocument/2006/relationships/hyperlink" Target="http://data.likeminds.community/public/dashboards/zb3z3rWK0zoX7OByfULCWItqMe9ly2p6xG8WKoJx?org_slug=default" TargetMode="External"/><Relationship Id="rId201" Type="http://schemas.openxmlformats.org/officeDocument/2006/relationships/hyperlink" Target="https://m.facebook.com/Blogs-Fareena-106742351396967/?ref=page_internal&amp;mt_nav=0" TargetMode="External"/><Relationship Id="rId200" Type="http://schemas.openxmlformats.org/officeDocument/2006/relationships/hyperlink" Target="https://hi.likeminds.community/d/nature-enthusiasts-fareenavblogs?r=1" TargetMode="External"/><Relationship Id="rId190" Type="http://schemas.openxmlformats.org/officeDocument/2006/relationships/hyperlink" Target="https://hi.likeminds.community/d/tathastu-guided-meditation-classes-and-ocunselling?r=1" TargetMode="External"/><Relationship Id="rId194" Type="http://schemas.openxmlformats.org/officeDocument/2006/relationships/hyperlink" Target="https://hi.likeminds.community/d/mentor-mate" TargetMode="External"/><Relationship Id="rId193" Type="http://schemas.openxmlformats.org/officeDocument/2006/relationships/hyperlink" Target="https://collabmates.app.link/NdQ1JA3rGfb" TargetMode="External"/><Relationship Id="rId192" Type="http://schemas.openxmlformats.org/officeDocument/2006/relationships/hyperlink" Target="http://data.likeminds.community/public/dashboards/toRVauQwOLJgN6xcTLeMcYMH6jBqVS7S3aErlsEs?org_slug=default" TargetMode="External"/><Relationship Id="rId191" Type="http://schemas.openxmlformats.org/officeDocument/2006/relationships/hyperlink" Target="https://www.facebook.com/Meeting-with-Self-Tathastu-Guided-Meditation-Classes-108082228144987/" TargetMode="External"/><Relationship Id="rId187" Type="http://schemas.openxmlformats.org/officeDocument/2006/relationships/hyperlink" Target="http://data.likeminds.community/public/dashboards/iImKTeeqMpZ5zHY9QaeDHtJJkZNVKnXp1qh6PRnD?org_slug=default" TargetMode="External"/><Relationship Id="rId186" Type="http://schemas.openxmlformats.org/officeDocument/2006/relationships/hyperlink" Target="https://instagram.com/superlearnopia?utm_medium=copy_link" TargetMode="External"/><Relationship Id="rId185" Type="http://schemas.openxmlformats.org/officeDocument/2006/relationships/hyperlink" Target="https://hi.likeminds.community/d/life-long-learners?r=1" TargetMode="External"/><Relationship Id="rId184" Type="http://schemas.openxmlformats.org/officeDocument/2006/relationships/hyperlink" Target="https://hi.likeminds.community/d/life-long-learners" TargetMode="External"/><Relationship Id="rId189" Type="http://schemas.openxmlformats.org/officeDocument/2006/relationships/hyperlink" Target="https://hi.likeminds.community/d/tathastu-guided-meditation-classes-and-ocunselling" TargetMode="External"/><Relationship Id="rId188" Type="http://schemas.openxmlformats.org/officeDocument/2006/relationships/hyperlink" Target="https://collabmates.app.link/BsOVJF3NHgb" TargetMode="External"/><Relationship Id="rId183" Type="http://schemas.openxmlformats.org/officeDocument/2006/relationships/hyperlink" Target="https://collabmates.app.link/RDuEyFgXHgb" TargetMode="External"/><Relationship Id="rId182" Type="http://schemas.openxmlformats.org/officeDocument/2006/relationships/hyperlink" Target="http://data.likeminds.community/public/dashboards/DBzfBppo1OcJ9K3JSTzXs4SwTeL3NCrg2B5qIMZ7?org_slug=default" TargetMode="External"/><Relationship Id="rId181" Type="http://schemas.openxmlformats.org/officeDocument/2006/relationships/hyperlink" Target="https://www.facebook.com/Magicalparenting/" TargetMode="External"/><Relationship Id="rId180" Type="http://schemas.openxmlformats.org/officeDocument/2006/relationships/hyperlink" Target="https://hi.likeminds.community/d/magical-parenting?r=1" TargetMode="External"/><Relationship Id="rId176" Type="http://schemas.openxmlformats.org/officeDocument/2006/relationships/hyperlink" Target="https://www.facebook.com/magicmindhq" TargetMode="External"/><Relationship Id="rId175" Type="http://schemas.openxmlformats.org/officeDocument/2006/relationships/hyperlink" Target="https://hi.likeminds.community/magic-mind?r=1" TargetMode="External"/><Relationship Id="rId174" Type="http://schemas.openxmlformats.org/officeDocument/2006/relationships/hyperlink" Target="https://hi.likeminds.community/magic-mind" TargetMode="External"/><Relationship Id="rId173" Type="http://schemas.openxmlformats.org/officeDocument/2006/relationships/hyperlink" Target="https://collabmates.app.link/y8hf5EsUrfb" TargetMode="External"/><Relationship Id="rId179" Type="http://schemas.openxmlformats.org/officeDocument/2006/relationships/hyperlink" Target="https://hi.likeminds.community/d/magical-parenting" TargetMode="External"/><Relationship Id="rId178" Type="http://schemas.openxmlformats.org/officeDocument/2006/relationships/hyperlink" Target="https://collabmates.app.link/AoNUQQLa6fb" TargetMode="External"/><Relationship Id="rId177" Type="http://schemas.openxmlformats.org/officeDocument/2006/relationships/hyperlink" Target="http://data.likeminds.community/public/dashboards/Ac9669mEN55FumvF8nSAh28rC1uTYjUUux2pNvE6?org_slug=default" TargetMode="External"/><Relationship Id="rId198" Type="http://schemas.openxmlformats.org/officeDocument/2006/relationships/hyperlink" Target="https://collabmates.app.link/G1zY7Jg4pfb" TargetMode="External"/><Relationship Id="rId197" Type="http://schemas.openxmlformats.org/officeDocument/2006/relationships/hyperlink" Target="http://data.likeminds.community/public/dashboards/WTEBCXlOH701Nd08bDkAbHuulA9ScyPrwphd6xQv?org_slug=default" TargetMode="External"/><Relationship Id="rId196" Type="http://schemas.openxmlformats.org/officeDocument/2006/relationships/hyperlink" Target="https://www.facebook.com/mymentormate" TargetMode="External"/><Relationship Id="rId195" Type="http://schemas.openxmlformats.org/officeDocument/2006/relationships/hyperlink" Target="https://hi.likeminds.community/d/mentor-mate?r=1" TargetMode="External"/><Relationship Id="rId199" Type="http://schemas.openxmlformats.org/officeDocument/2006/relationships/hyperlink" Target="https://hi.likeminds.community/d/nature-enthusiasts-fareenavblogs" TargetMode="External"/><Relationship Id="rId150" Type="http://schemas.openxmlformats.org/officeDocument/2006/relationships/hyperlink" Target="https://hi.likeminds.community/lazy-gamers?r=1" TargetMode="External"/><Relationship Id="rId149" Type="http://schemas.openxmlformats.org/officeDocument/2006/relationships/hyperlink" Target="https://hi.likeminds.community/lazy-gamers" TargetMode="External"/><Relationship Id="rId148" Type="http://schemas.openxmlformats.org/officeDocument/2006/relationships/hyperlink" Target="https://collabmates.app.link/nWSyfwom3eb" TargetMode="External"/><Relationship Id="rId143" Type="http://schemas.openxmlformats.org/officeDocument/2006/relationships/hyperlink" Target="http://data.likeminds.community/public/dashboards/BqzU6ZJB3ecJbdzsHUvjG5uxJFQUR30XVTItgnET?org_slug=default" TargetMode="External"/><Relationship Id="rId142" Type="http://schemas.openxmlformats.org/officeDocument/2006/relationships/hyperlink" Target="https://www.facebook.com/KhushiSeYoga/" TargetMode="External"/><Relationship Id="rId141" Type="http://schemas.openxmlformats.org/officeDocument/2006/relationships/hyperlink" Target="https://hi.likeminds.community/khushi-se-yoga?r=1" TargetMode="External"/><Relationship Id="rId140" Type="http://schemas.openxmlformats.org/officeDocument/2006/relationships/hyperlink" Target="https://hi.likeminds.community/khushi-se-yoga" TargetMode="External"/><Relationship Id="rId147" Type="http://schemas.openxmlformats.org/officeDocument/2006/relationships/hyperlink" Target="http://data.likeminds.community/public/dashboards/MqVX8vuVs5iLkCAvDSbUZRVtiy7cPGrNwc3y8vAk?org_slug=default" TargetMode="External"/><Relationship Id="rId146" Type="http://schemas.openxmlformats.org/officeDocument/2006/relationships/hyperlink" Target="https://community.likeminds.community/language-careers?r=1" TargetMode="External"/><Relationship Id="rId145" Type="http://schemas.openxmlformats.org/officeDocument/2006/relationships/hyperlink" Target="https://community.likeminds.community/language-careers" TargetMode="External"/><Relationship Id="rId144" Type="http://schemas.openxmlformats.org/officeDocument/2006/relationships/hyperlink" Target="https://collabmates.app.link/D4jFzabg1eb" TargetMode="External"/><Relationship Id="rId139" Type="http://schemas.openxmlformats.org/officeDocument/2006/relationships/hyperlink" Target="https://collabmates.app.link/WyfONHDVrfb" TargetMode="External"/><Relationship Id="rId138" Type="http://schemas.openxmlformats.org/officeDocument/2006/relationships/hyperlink" Target="http://data.likeminds.community/public/dashboards/iGgnAeZbblMunRcUS3g7CNYJe8pv1ZSKwhJeGqiK?org_slug=default" TargetMode="External"/><Relationship Id="rId137" Type="http://schemas.openxmlformats.org/officeDocument/2006/relationships/hyperlink" Target="https://hi.likeminds.community/d/growing-buddies?r=1" TargetMode="External"/><Relationship Id="rId132" Type="http://schemas.openxmlformats.org/officeDocument/2006/relationships/hyperlink" Target="https://www.facebook.com/studioskash/" TargetMode="External"/><Relationship Id="rId131" Type="http://schemas.openxmlformats.org/officeDocument/2006/relationships/hyperlink" Target="https://hi.likeminds.community/d/kash-studios?r=1" TargetMode="External"/><Relationship Id="rId130" Type="http://schemas.openxmlformats.org/officeDocument/2006/relationships/hyperlink" Target="https://hi.likeminds.community/d/kash-studios" TargetMode="External"/><Relationship Id="rId136" Type="http://schemas.openxmlformats.org/officeDocument/2006/relationships/hyperlink" Target="https://hi.likeminds.community/d/growing-buddies" TargetMode="External"/><Relationship Id="rId135" Type="http://schemas.openxmlformats.org/officeDocument/2006/relationships/hyperlink" Target="https://collabmates.app.link/DHNCeoyvOgb" TargetMode="External"/><Relationship Id="rId134" Type="http://schemas.openxmlformats.org/officeDocument/2006/relationships/hyperlink" Target="http://data.likeminds.community/public/dashboards/Fo4IRBq2R8jOtghVKQoxzjPzPYjX7yJnxjoOdLwN?org_slug=default" TargetMode="External"/><Relationship Id="rId133" Type="http://schemas.openxmlformats.org/officeDocument/2006/relationships/hyperlink" Target="https://www.instagram.com/studioskash/" TargetMode="External"/><Relationship Id="rId172" Type="http://schemas.openxmlformats.org/officeDocument/2006/relationships/hyperlink" Target="http://data.likeminds.community/public/dashboards/41nyPf7zRuc3ULX7WTTtU1ragRIV2GjChWBLFlMU?org_slug=default" TargetMode="External"/><Relationship Id="rId171" Type="http://schemas.openxmlformats.org/officeDocument/2006/relationships/hyperlink" Target="https://www.instagram.com/linkedgrow/" TargetMode="External"/><Relationship Id="rId170" Type="http://schemas.openxmlformats.org/officeDocument/2006/relationships/hyperlink" Target="https://www.facebook.com/LinkedGrow-103594735280449/" TargetMode="External"/><Relationship Id="rId165" Type="http://schemas.openxmlformats.org/officeDocument/2006/relationships/hyperlink" Target="https://hi.likeminds.community/life-algorithms?r=1" TargetMode="External"/><Relationship Id="rId164" Type="http://schemas.openxmlformats.org/officeDocument/2006/relationships/hyperlink" Target="https://hi.likeminds.community/life-algorithms" TargetMode="External"/><Relationship Id="rId163" Type="http://schemas.openxmlformats.org/officeDocument/2006/relationships/hyperlink" Target="https://collabmates.app.link/fTEMej02cfb" TargetMode="External"/><Relationship Id="rId162" Type="http://schemas.openxmlformats.org/officeDocument/2006/relationships/hyperlink" Target="http://data.likeminds.community/public/dashboards/LhGOXAWm66sxxdrJ7z1f9S48vP8YrEUMINAPXKRz?org_slug=default" TargetMode="External"/><Relationship Id="rId169" Type="http://schemas.openxmlformats.org/officeDocument/2006/relationships/hyperlink" Target="https://hi.likeminds.community/d/linkedgrow?r=1" TargetMode="External"/><Relationship Id="rId168" Type="http://schemas.openxmlformats.org/officeDocument/2006/relationships/hyperlink" Target="https://hi.likeminds.community/d/linkedgrow" TargetMode="External"/><Relationship Id="rId167" Type="http://schemas.openxmlformats.org/officeDocument/2006/relationships/hyperlink" Target="https://collabmates.app.link/bv5Fs1xdLgb" TargetMode="External"/><Relationship Id="rId166" Type="http://schemas.openxmlformats.org/officeDocument/2006/relationships/hyperlink" Target="http://data.likeminds.community/public/dashboards/n2vPFXtSCAVF0cVz0x94jgRXbQiUXsF9zHV0gaFU?org_slug=default" TargetMode="External"/><Relationship Id="rId161" Type="http://schemas.openxmlformats.org/officeDocument/2006/relationships/hyperlink" Target="https://instagram.com/abottlefullofcandies/" TargetMode="External"/><Relationship Id="rId160" Type="http://schemas.openxmlformats.org/officeDocument/2006/relationships/hyperlink" Target="https://www.facebook.com/ABFCIndia/" TargetMode="External"/><Relationship Id="rId159" Type="http://schemas.openxmlformats.org/officeDocument/2006/relationships/hyperlink" Target="https://hi.likeminds.community/d/letslearntosocial-abfc?r=1" TargetMode="External"/><Relationship Id="rId154" Type="http://schemas.openxmlformats.org/officeDocument/2006/relationships/hyperlink" Target="https://hi.likeminds.community/d/lets-speak-english?r=1" TargetMode="External"/><Relationship Id="rId153" Type="http://schemas.openxmlformats.org/officeDocument/2006/relationships/hyperlink" Target="https://hi.likeminds.community/d/lets-speak-english" TargetMode="External"/><Relationship Id="rId152" Type="http://schemas.openxmlformats.org/officeDocument/2006/relationships/hyperlink" Target="https://collabmates.app.link/buoZRzqwkgb" TargetMode="External"/><Relationship Id="rId151" Type="http://schemas.openxmlformats.org/officeDocument/2006/relationships/hyperlink" Target="http://data.likeminds.community/public/dashboards/x6CjrUuk80Z0zK6waN3DXu63JeL9884vA5w1qz4F?org_slug=default" TargetMode="External"/><Relationship Id="rId158" Type="http://schemas.openxmlformats.org/officeDocument/2006/relationships/hyperlink" Target="https://hi.likeminds.community/d/letslearntosocial-abfc" TargetMode="External"/><Relationship Id="rId157" Type="http://schemas.openxmlformats.org/officeDocument/2006/relationships/hyperlink" Target="https://collabmates.app.link/ilKmiQ1MMgb" TargetMode="External"/><Relationship Id="rId156" Type="http://schemas.openxmlformats.org/officeDocument/2006/relationships/hyperlink" Target="http://data.likeminds.community/public/dashboards/gSuP6V7qYfVwlGxHOtexuFAJn7KEQMpyRYupnsqb?org_slug=default" TargetMode="External"/><Relationship Id="rId155" Type="http://schemas.openxmlformats.org/officeDocument/2006/relationships/hyperlink" Target="https://m.facebook.com/story.php?story_fbid=224622572756974&amp;id=105562877996278" TargetMode="External"/><Relationship Id="rId107" Type="http://schemas.openxmlformats.org/officeDocument/2006/relationships/hyperlink" Target="https://hi.likeminds.community/d/happy-ashram?r=1" TargetMode="External"/><Relationship Id="rId106" Type="http://schemas.openxmlformats.org/officeDocument/2006/relationships/hyperlink" Target="https://hi.likeminds.community/d/happy-ashram" TargetMode="External"/><Relationship Id="rId105" Type="http://schemas.openxmlformats.org/officeDocument/2006/relationships/hyperlink" Target="https://collabmates.app.link/keS4JiRvwfb" TargetMode="External"/><Relationship Id="rId104" Type="http://schemas.openxmlformats.org/officeDocument/2006/relationships/hyperlink" Target="http://data.likeminds.community/public/dashboards/Vt9e73j7HqwwErPpV5jlkNQOAbQzmAmi8SSlCujo?org_slug=default" TargetMode="External"/><Relationship Id="rId109" Type="http://schemas.openxmlformats.org/officeDocument/2006/relationships/hyperlink" Target="http://data.likeminds.community/public/dashboards/neugb1fUzH3C44pFgoQ4tLwpc0fk1zSJLlok1QEm?org_slug=default" TargetMode="External"/><Relationship Id="rId108" Type="http://schemas.openxmlformats.org/officeDocument/2006/relationships/hyperlink" Target="https://www.facebook.com/happyashram-103850391860753" TargetMode="External"/><Relationship Id="rId103" Type="http://schemas.openxmlformats.org/officeDocument/2006/relationships/hyperlink" Target="https://hi.likeminds.community/d/happiness-fountain?r=1" TargetMode="External"/><Relationship Id="rId102" Type="http://schemas.openxmlformats.org/officeDocument/2006/relationships/hyperlink" Target="https://hi.likeminds.community/d/happiness-fountain" TargetMode="External"/><Relationship Id="rId101" Type="http://schemas.openxmlformats.org/officeDocument/2006/relationships/hyperlink" Target="https://collabmates.app.link/eo9NNO9p7fb" TargetMode="External"/><Relationship Id="rId100" Type="http://schemas.openxmlformats.org/officeDocument/2006/relationships/hyperlink" Target="http://data.likeminds.community/public/dashboards/JS73cjgrXpmRcR8NhUMeLIYwZ7Vi6ODSLG5pELg8?org_slug=default" TargetMode="External"/><Relationship Id="rId129" Type="http://schemas.openxmlformats.org/officeDocument/2006/relationships/hyperlink" Target="https://collabmates.app.link/bH0JqVDYHgb" TargetMode="External"/><Relationship Id="rId128" Type="http://schemas.openxmlformats.org/officeDocument/2006/relationships/hyperlink" Target="http://data.likeminds.community/public/dashboards/VHQw0KtZbDtcrOH3CnKLj4Yir7bXNSa8cJurCMJd?org_slug=default" TargetMode="External"/><Relationship Id="rId127" Type="http://schemas.openxmlformats.org/officeDocument/2006/relationships/hyperlink" Target="https://www.facebook.com/Ishavasya-Yoga-Relaxation-395349417943049/" TargetMode="External"/><Relationship Id="rId126" Type="http://schemas.openxmlformats.org/officeDocument/2006/relationships/hyperlink" Target="https://hi.likeminds.community/d/ishavasya-yoga-relaxation?r=1" TargetMode="External"/><Relationship Id="rId121" Type="http://schemas.openxmlformats.org/officeDocument/2006/relationships/hyperlink" Target="https://hi.likeminds.community/icecream-nutrition?r=1" TargetMode="External"/><Relationship Id="rId120" Type="http://schemas.openxmlformats.org/officeDocument/2006/relationships/hyperlink" Target="https://hi.likeminds.community/icecream-nutrition" TargetMode="External"/><Relationship Id="rId125" Type="http://schemas.openxmlformats.org/officeDocument/2006/relationships/hyperlink" Target="https://hi.likeminds.community/d/ishavasya-yoga-relaxation" TargetMode="External"/><Relationship Id="rId124" Type="http://schemas.openxmlformats.org/officeDocument/2006/relationships/hyperlink" Target="https://collabmates.app.link/UGZc8ubhFfb" TargetMode="External"/><Relationship Id="rId123" Type="http://schemas.openxmlformats.org/officeDocument/2006/relationships/hyperlink" Target="http://data.likeminds.community/public/dashboards/grAfvf7AtnUabPt3xaUNg3Ovd0zPiwsP692FWt9x?org_slug=default" TargetMode="External"/><Relationship Id="rId122" Type="http://schemas.openxmlformats.org/officeDocument/2006/relationships/hyperlink" Target="https://www.facebook.com/icecreamnutritionstrength" TargetMode="External"/><Relationship Id="rId118" Type="http://schemas.openxmlformats.org/officeDocument/2006/relationships/hyperlink" Target="http://data.likeminds.community/public/dashboards/VVYM07bY2Qclh9a5oo3JpuzVFs3IqZjGQi5bwWbY?org_slug=default" TargetMode="External"/><Relationship Id="rId117" Type="http://schemas.openxmlformats.org/officeDocument/2006/relationships/hyperlink" Target="https://www.facebook.com/HEALWorldCommunity" TargetMode="External"/><Relationship Id="rId116" Type="http://schemas.openxmlformats.org/officeDocument/2006/relationships/hyperlink" Target="https://hi.likeminds.community/d/heal-journey-to-happiness?r=1" TargetMode="External"/><Relationship Id="rId115" Type="http://schemas.openxmlformats.org/officeDocument/2006/relationships/hyperlink" Target="https://hi.likeminds.community/d/heal-journey-to-happiness" TargetMode="External"/><Relationship Id="rId119" Type="http://schemas.openxmlformats.org/officeDocument/2006/relationships/hyperlink" Target="https://collabmates.app.link/4BvMRjJ3ufb" TargetMode="External"/><Relationship Id="rId110" Type="http://schemas.openxmlformats.org/officeDocument/2006/relationships/hyperlink" Target="https://collabmates.app.link/XOvsgcU7ngb" TargetMode="External"/><Relationship Id="rId114" Type="http://schemas.openxmlformats.org/officeDocument/2006/relationships/hyperlink" Target="https://collabmates.app.link/2fCsrPZcqfb" TargetMode="External"/><Relationship Id="rId113" Type="http://schemas.openxmlformats.org/officeDocument/2006/relationships/hyperlink" Target="http://data.likeminds.community/public/dashboards/skgkDZ3gyoO1dYIr8oCZ6CVQ0L96Bu2lHnCpDKKb?org_slug=default" TargetMode="External"/><Relationship Id="rId112" Type="http://schemas.openxmlformats.org/officeDocument/2006/relationships/hyperlink" Target="https://hi.likeminds.community/d/happy-living" TargetMode="External"/><Relationship Id="rId111" Type="http://schemas.openxmlformats.org/officeDocument/2006/relationships/hyperlink" Target="https://hi.likeminds.community/d/happy-living" TargetMode="External"/><Relationship Id="rId409" Type="http://schemas.openxmlformats.org/officeDocument/2006/relationships/hyperlink" Target="http://data.likeminds.community/public/dashboards/l0vCyIV3xnIKh5BHH22FtI89oGA5gVu3Owzo7Djk?org_slug=default" TargetMode="External"/><Relationship Id="rId404" Type="http://schemas.openxmlformats.org/officeDocument/2006/relationships/hyperlink" Target="https://hi.likeminds.community/d/balanse-with-shridhar-lifeschool?r=1" TargetMode="External"/><Relationship Id="rId403" Type="http://schemas.openxmlformats.org/officeDocument/2006/relationships/hyperlink" Target="https://hi.likeminds.community/d/balanse-with-shridhar-lifeschool" TargetMode="External"/><Relationship Id="rId402" Type="http://schemas.openxmlformats.org/officeDocument/2006/relationships/hyperlink" Target="https://hi.likeminds.community/d/win-career?r=1" TargetMode="External"/><Relationship Id="rId401" Type="http://schemas.openxmlformats.org/officeDocument/2006/relationships/hyperlink" Target="https://hi.likeminds.community/d/win-career" TargetMode="External"/><Relationship Id="rId408" Type="http://schemas.openxmlformats.org/officeDocument/2006/relationships/hyperlink" Target="https://hi.likeminds.community/d/finowiz?r=1" TargetMode="External"/><Relationship Id="rId407" Type="http://schemas.openxmlformats.org/officeDocument/2006/relationships/hyperlink" Target="https://hi.likeminds.community/d/finowiz" TargetMode="External"/><Relationship Id="rId406" Type="http://schemas.openxmlformats.org/officeDocument/2006/relationships/hyperlink" Target="https://collabmates.app.link/LEkRtg5IYgb" TargetMode="External"/><Relationship Id="rId405" Type="http://schemas.openxmlformats.org/officeDocument/2006/relationships/hyperlink" Target="http://data.likeminds.community/public/dashboards/ccY5L6OEVRgz8iUrwvD29pRsfkpT4LxPi8xjUgMz?org_slug=default" TargetMode="External"/><Relationship Id="rId400" Type="http://schemas.openxmlformats.org/officeDocument/2006/relationships/hyperlink" Target="https://hi.likeminds.community/d/ccsb?r=1" TargetMode="External"/><Relationship Id="rId469" Type="http://schemas.openxmlformats.org/officeDocument/2006/relationships/hyperlink" Target="https://hi.likeminds.community/d/english-speaking-and-grammar-group" TargetMode="External"/><Relationship Id="rId468" Type="http://schemas.openxmlformats.org/officeDocument/2006/relationships/hyperlink" Target="https://collabmates.app.link/zugJqVB2hhb" TargetMode="External"/><Relationship Id="rId467" Type="http://schemas.openxmlformats.org/officeDocument/2006/relationships/hyperlink" Target="http://data.likeminds.community/public/dashboards/pQA5oGJYTa53LorJlV2TCCf2HCz1tiSROXH3j1TJ?org_slug=default" TargetMode="External"/><Relationship Id="rId462" Type="http://schemas.openxmlformats.org/officeDocument/2006/relationships/hyperlink" Target="https://hi.likeminds.community/d/fight-diabetes-mellitus?r=1" TargetMode="External"/><Relationship Id="rId461" Type="http://schemas.openxmlformats.org/officeDocument/2006/relationships/hyperlink" Target="https://hi.likeminds.community/d/fight-diabetes-mellitus" TargetMode="External"/><Relationship Id="rId460" Type="http://schemas.openxmlformats.org/officeDocument/2006/relationships/hyperlink" Target="https://collabmates.app.link/2WFTiBjZhhb" TargetMode="External"/><Relationship Id="rId466" Type="http://schemas.openxmlformats.org/officeDocument/2006/relationships/hyperlink" Target="https://hi.likeminds.community/d/learn-french-easily?r=1" TargetMode="External"/><Relationship Id="rId465" Type="http://schemas.openxmlformats.org/officeDocument/2006/relationships/hyperlink" Target="https://hi.likeminds.community/d/learn-french-easily" TargetMode="External"/><Relationship Id="rId464" Type="http://schemas.openxmlformats.org/officeDocument/2006/relationships/hyperlink" Target="https://collabmates.app.link/WKpf21fZhhb" TargetMode="External"/><Relationship Id="rId463" Type="http://schemas.openxmlformats.org/officeDocument/2006/relationships/hyperlink" Target="http://data.likeminds.community/public/dashboards/UasF6HwG3t701UCSWJpT4zQ6yJNI7nmoMDOULrRC?org_slug=default" TargetMode="External"/><Relationship Id="rId459" Type="http://schemas.openxmlformats.org/officeDocument/2006/relationships/hyperlink" Target="http://data.likeminds.community/public/dashboards/bPn0RDf4rAGe6Huv6Et22WP1pPZMF1ayVcbp2gFg?org_slug=default" TargetMode="External"/><Relationship Id="rId458" Type="http://schemas.openxmlformats.org/officeDocument/2006/relationships/hyperlink" Target="https://collabmates.app.link/iILWr0HN8gb" TargetMode="External"/><Relationship Id="rId457" Type="http://schemas.openxmlformats.org/officeDocument/2006/relationships/hyperlink" Target="http://data.likeminds.community/public/dashboards/5k6pWgMDSC9rmmCKW3i8pSOVxTgIgBZcJLmeYvfI?org_slug=default" TargetMode="External"/><Relationship Id="rId456" Type="http://schemas.openxmlformats.org/officeDocument/2006/relationships/hyperlink" Target="https://collabmates.app.link/Md48mH4X1gb" TargetMode="External"/><Relationship Id="rId451" Type="http://schemas.openxmlformats.org/officeDocument/2006/relationships/hyperlink" Target="http://data.likeminds.community/public/dashboards/6LHy7RMlsKOLCB8FgqHucC9Z3zhfgAxJeSxv79DK?org_slug=default" TargetMode="External"/><Relationship Id="rId450" Type="http://schemas.openxmlformats.org/officeDocument/2006/relationships/hyperlink" Target="https://hi.likeminds.community/write-your-wrong?r=1" TargetMode="External"/><Relationship Id="rId455" Type="http://schemas.openxmlformats.org/officeDocument/2006/relationships/hyperlink" Target="http://data.likeminds.community/public/dashboards/rG59mV3gXSSgc26CZ0mvNRjUn0fRSvIf0IyzP32l?org_slug=default" TargetMode="External"/><Relationship Id="rId454" Type="http://schemas.openxmlformats.org/officeDocument/2006/relationships/hyperlink" Target="https://collabmates.app.link/fajaNTXs1gb" TargetMode="External"/><Relationship Id="rId453" Type="http://schemas.openxmlformats.org/officeDocument/2006/relationships/hyperlink" Target="http://data.likeminds.community/public/dashboards/XYesEpeLUXHGwbEiEFDSesJwEXHffE4tJpwR4SyE?org_slug=default" TargetMode="External"/><Relationship Id="rId452" Type="http://schemas.openxmlformats.org/officeDocument/2006/relationships/hyperlink" Target="https://collabmates.app.link/KQFdcqjiTgb" TargetMode="External"/><Relationship Id="rId491" Type="http://schemas.openxmlformats.org/officeDocument/2006/relationships/drawing" Target="../drawings/drawing11.xml"/><Relationship Id="rId490" Type="http://schemas.openxmlformats.org/officeDocument/2006/relationships/hyperlink" Target="https://hi.likeminds.community/d/smart-trading?r=1" TargetMode="External"/><Relationship Id="rId489" Type="http://schemas.openxmlformats.org/officeDocument/2006/relationships/hyperlink" Target="https://hi.likeminds.community/d/smart-trading" TargetMode="External"/><Relationship Id="rId484" Type="http://schemas.openxmlformats.org/officeDocument/2006/relationships/hyperlink" Target="https://hi.likeminds.community/d/fca?r=1" TargetMode="External"/><Relationship Id="rId483" Type="http://schemas.openxmlformats.org/officeDocument/2006/relationships/hyperlink" Target="https://hi.likeminds.community/d/fca" TargetMode="External"/><Relationship Id="rId482" Type="http://schemas.openxmlformats.org/officeDocument/2006/relationships/hyperlink" Target="https://hi.likeminds.community/d/stand-out-speak?r=1" TargetMode="External"/><Relationship Id="rId481" Type="http://schemas.openxmlformats.org/officeDocument/2006/relationships/hyperlink" Target="https://hi.likeminds.community/d/stand-out-speak" TargetMode="External"/><Relationship Id="rId488" Type="http://schemas.openxmlformats.org/officeDocument/2006/relationships/hyperlink" Target="https://hi.likeminds.community/d/study-tym?r=1" TargetMode="External"/><Relationship Id="rId487" Type="http://schemas.openxmlformats.org/officeDocument/2006/relationships/hyperlink" Target="https://hi.likeminds.community/d/study-tym" TargetMode="External"/><Relationship Id="rId486" Type="http://schemas.openxmlformats.org/officeDocument/2006/relationships/hyperlink" Target="https://hi.likeminds.community/d/magbizz?r=1" TargetMode="External"/><Relationship Id="rId485" Type="http://schemas.openxmlformats.org/officeDocument/2006/relationships/hyperlink" Target="https://hi.likeminds.community/d/magbizz" TargetMode="External"/><Relationship Id="rId480" Type="http://schemas.openxmlformats.org/officeDocument/2006/relationships/hyperlink" Target="https://hi.likeminds.community/d/soft-spark?r=1" TargetMode="External"/><Relationship Id="rId479" Type="http://schemas.openxmlformats.org/officeDocument/2006/relationships/hyperlink" Target="https://hi.likeminds.community/d/soft-spark" TargetMode="External"/><Relationship Id="rId478" Type="http://schemas.openxmlformats.org/officeDocument/2006/relationships/hyperlink" Target="https://hi.likeminds.community/d/mandala-hub?r=1" TargetMode="External"/><Relationship Id="rId473" Type="http://schemas.openxmlformats.org/officeDocument/2006/relationships/hyperlink" Target="https://hi.likeminds.community/d/create-new" TargetMode="External"/><Relationship Id="rId472" Type="http://schemas.openxmlformats.org/officeDocument/2006/relationships/hyperlink" Target="https://hi.likeminds.community/d/the-world-network?r=1" TargetMode="External"/><Relationship Id="rId471" Type="http://schemas.openxmlformats.org/officeDocument/2006/relationships/hyperlink" Target="https://hi.likeminds.community/d/the-world-network" TargetMode="External"/><Relationship Id="rId470" Type="http://schemas.openxmlformats.org/officeDocument/2006/relationships/hyperlink" Target="https://hi.likeminds.community/d/english-speaking-and-grammar-group?r=1" TargetMode="External"/><Relationship Id="rId477" Type="http://schemas.openxmlformats.org/officeDocument/2006/relationships/hyperlink" Target="https://hi.likeminds.community/d/mandala-hub" TargetMode="External"/><Relationship Id="rId476" Type="http://schemas.openxmlformats.org/officeDocument/2006/relationships/hyperlink" Target="https://hi.likeminds.community/d/artsy-mandala-trails?r=1" TargetMode="External"/><Relationship Id="rId475" Type="http://schemas.openxmlformats.org/officeDocument/2006/relationships/hyperlink" Target="https://hi.likeminds.community/d/artsy-mandala-trails" TargetMode="External"/><Relationship Id="rId474" Type="http://schemas.openxmlformats.org/officeDocument/2006/relationships/hyperlink" Target="https://hi.likeminds.community/d/create-new?r=1" TargetMode="External"/><Relationship Id="rId426" Type="http://schemas.openxmlformats.org/officeDocument/2006/relationships/hyperlink" Target="http://data.likeminds.community/public/dashboards/UJppAywhA2gFeR5UIiKCVkKJMzeJpimsHQtikK8j?org_slug=default" TargetMode="External"/><Relationship Id="rId425" Type="http://schemas.openxmlformats.org/officeDocument/2006/relationships/hyperlink" Target="https://hi.likeminds.community/exapython?r=1" TargetMode="External"/><Relationship Id="rId424" Type="http://schemas.openxmlformats.org/officeDocument/2006/relationships/hyperlink" Target="https://hi.likeminds.community/exa-python" TargetMode="External"/><Relationship Id="rId423" Type="http://schemas.openxmlformats.org/officeDocument/2006/relationships/hyperlink" Target="http://data.likeminds.community/public/dashboards/x5kUUQAcVHyck9ezPvQeXOSxzvu6qT3OOQ1YxhA8?org_slug=default" TargetMode="External"/><Relationship Id="rId429" Type="http://schemas.openxmlformats.org/officeDocument/2006/relationships/hyperlink" Target="http://data.likeminds.community/public/dashboards/9Bv8AKbIf3j6qBt7Xt452NB49H1A2ElfYvWeHdjA?org_slug=default" TargetMode="External"/><Relationship Id="rId428" Type="http://schemas.openxmlformats.org/officeDocument/2006/relationships/hyperlink" Target="https://hi.likeminds.community/well-being-renewal" TargetMode="External"/><Relationship Id="rId427" Type="http://schemas.openxmlformats.org/officeDocument/2006/relationships/hyperlink" Target="https://hi.likeminds.community/well-being" TargetMode="External"/><Relationship Id="rId422" Type="http://schemas.openxmlformats.org/officeDocument/2006/relationships/hyperlink" Target="https://hi.likeminds.community/pharmacology-insiders?r=1" TargetMode="External"/><Relationship Id="rId421" Type="http://schemas.openxmlformats.org/officeDocument/2006/relationships/hyperlink" Target="https://hi.likeminds.community/pharmacology-insiders" TargetMode="External"/><Relationship Id="rId420" Type="http://schemas.openxmlformats.org/officeDocument/2006/relationships/hyperlink" Target="http://data.likeminds.community/public/dashboards/ac3JaW0LZ3y0e9KbSZ2HAldFAix57Qwp2CdDg5F0?org_slug=default" TargetMode="External"/><Relationship Id="rId415" Type="http://schemas.openxmlformats.org/officeDocument/2006/relationships/hyperlink" Target="https://hi.likeminds.community/d/pooja-misra" TargetMode="External"/><Relationship Id="rId414" Type="http://schemas.openxmlformats.org/officeDocument/2006/relationships/hyperlink" Target="https://collabmates.app.link/2olEaZUQTgb" TargetMode="External"/><Relationship Id="rId413" Type="http://schemas.openxmlformats.org/officeDocument/2006/relationships/hyperlink" Target="http://data.likeminds.community/public/dashboards/1txHS87gwdvjb5EN0PE0iPkTq5OBxHgIWXmT3ZOL?org_slug=default" TargetMode="External"/><Relationship Id="rId412" Type="http://schemas.openxmlformats.org/officeDocument/2006/relationships/hyperlink" Target="https://hi.likeminds.community/d/skillyukt?r=1" TargetMode="External"/><Relationship Id="rId419" Type="http://schemas.openxmlformats.org/officeDocument/2006/relationships/hyperlink" Target="https://hi.likeminds.community/mom-shares-club?r=1" TargetMode="External"/><Relationship Id="rId418" Type="http://schemas.openxmlformats.org/officeDocument/2006/relationships/hyperlink" Target="https://hi.likeminds.community/mom-shares-club" TargetMode="External"/><Relationship Id="rId417" Type="http://schemas.openxmlformats.org/officeDocument/2006/relationships/hyperlink" Target="http://data.likeminds.community/public/dashboards/3ujkUU037ElYiYeAhNwlq3ebfvOshFKACYGHEIto?org_slug=default" TargetMode="External"/><Relationship Id="rId416" Type="http://schemas.openxmlformats.org/officeDocument/2006/relationships/hyperlink" Target="https://hi.likeminds.community/d/pooja-misra?r=1" TargetMode="External"/><Relationship Id="rId411" Type="http://schemas.openxmlformats.org/officeDocument/2006/relationships/hyperlink" Target="https://hi.likeminds.community/d/skillyukt" TargetMode="External"/><Relationship Id="rId410" Type="http://schemas.openxmlformats.org/officeDocument/2006/relationships/hyperlink" Target="https://collabmates.app.link/EnOFlKNuTgb" TargetMode="External"/><Relationship Id="rId448" Type="http://schemas.openxmlformats.org/officeDocument/2006/relationships/hyperlink" Target="mailto:dk24pk@gmail.com" TargetMode="External"/><Relationship Id="rId447" Type="http://schemas.openxmlformats.org/officeDocument/2006/relationships/hyperlink" Target="https://hi.likeminds.community/unchaai-register-for-plan?r=1" TargetMode="External"/><Relationship Id="rId446" Type="http://schemas.openxmlformats.org/officeDocument/2006/relationships/hyperlink" Target="https://hi.likeminds.community/unchaai-register-for-plan" TargetMode="External"/><Relationship Id="rId445" Type="http://schemas.openxmlformats.org/officeDocument/2006/relationships/hyperlink" Target="https://collabmates.app.link/HKSFsQFqpgb" TargetMode="External"/><Relationship Id="rId449" Type="http://schemas.openxmlformats.org/officeDocument/2006/relationships/hyperlink" Target="https://hi.likeminds.community/write-your-wrong" TargetMode="External"/><Relationship Id="rId440" Type="http://schemas.openxmlformats.org/officeDocument/2006/relationships/hyperlink" Target="https://hi.likeminds.community/hanhangul?r=1" TargetMode="External"/><Relationship Id="rId444" Type="http://schemas.openxmlformats.org/officeDocument/2006/relationships/hyperlink" Target="http://data.likeminds.community/public/dashboards/8sFKSGB94dOdfhtPFsgU4A44uyoCHclQzxkDUqGJ?org_slug=default" TargetMode="External"/><Relationship Id="rId443" Type="http://schemas.openxmlformats.org/officeDocument/2006/relationships/hyperlink" Target="http://data.likeminds.community/public/dashboards/ghZNot5iUYZBoMisleqCm74ig1DvFDI31AAKLDJu?org_slug=default" TargetMode="External"/><Relationship Id="rId442" Type="http://schemas.openxmlformats.org/officeDocument/2006/relationships/hyperlink" Target="https://hi.likeminds.community/fly-high-women?r=1" TargetMode="External"/><Relationship Id="rId441" Type="http://schemas.openxmlformats.org/officeDocument/2006/relationships/hyperlink" Target="https://hi.likeminds.community/fly-high-women" TargetMode="External"/><Relationship Id="rId437" Type="http://schemas.openxmlformats.org/officeDocument/2006/relationships/hyperlink" Target="https://hi.likeminds.community/ladies-and-gentlemen?r=1" TargetMode="External"/><Relationship Id="rId436" Type="http://schemas.openxmlformats.org/officeDocument/2006/relationships/hyperlink" Target="https://hi.likeminds.community/ladies-and-gentlemen" TargetMode="External"/><Relationship Id="rId435" Type="http://schemas.openxmlformats.org/officeDocument/2006/relationships/hyperlink" Target="http://data.likeminds.community/public/dashboards/a6Qtc4Zc1FWGvkaj7mxsiK3OPlNOd5ZJ29v7ilT8?org_slug=default" TargetMode="External"/><Relationship Id="rId434" Type="http://schemas.openxmlformats.org/officeDocument/2006/relationships/hyperlink" Target="https://hi.likeminds.community/hiraeth?r=1" TargetMode="External"/><Relationship Id="rId439" Type="http://schemas.openxmlformats.org/officeDocument/2006/relationships/hyperlink" Target="https://hi.likeminds.community/han-hangul" TargetMode="External"/><Relationship Id="rId438" Type="http://schemas.openxmlformats.org/officeDocument/2006/relationships/hyperlink" Target="http://data.likeminds.community/public/dashboards/1SdlRz1LDvLxb3w1xkDX0sdKlGcYAxD1eRwWPaUh?org_slug=default" TargetMode="External"/><Relationship Id="rId433" Type="http://schemas.openxmlformats.org/officeDocument/2006/relationships/hyperlink" Target="https://hi.likeminds.community/hiraeth" TargetMode="External"/><Relationship Id="rId432" Type="http://schemas.openxmlformats.org/officeDocument/2006/relationships/hyperlink" Target="http://data.likeminds.community/public/dashboards/EV4bQQ134AyWokL7qNasign3pGunotvKTKTk5xjl?org_slug=default" TargetMode="External"/><Relationship Id="rId431" Type="http://schemas.openxmlformats.org/officeDocument/2006/relationships/hyperlink" Target="https://hi.likeminds.community/finstreet?r=1" TargetMode="External"/><Relationship Id="rId430" Type="http://schemas.openxmlformats.org/officeDocument/2006/relationships/hyperlink" Target="https://hi.likeminds.community/the-finstreet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0"/>
    <col customWidth="1" min="2" max="2" width="5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 hidden="1">
      <c r="A3" s="1">
        <v>2.0</v>
      </c>
      <c r="B3" s="1" t="s">
        <v>9</v>
      </c>
      <c r="C3" s="1" t="s">
        <v>10</v>
      </c>
      <c r="D3" s="1" t="s">
        <v>7</v>
      </c>
      <c r="E3" s="1" t="s">
        <v>11</v>
      </c>
    </row>
    <row r="4" hidden="1">
      <c r="A4" s="1">
        <v>3.0</v>
      </c>
      <c r="B4" s="1" t="s">
        <v>12</v>
      </c>
      <c r="C4" s="1" t="s">
        <v>10</v>
      </c>
      <c r="D4" s="1" t="s">
        <v>7</v>
      </c>
      <c r="E4" s="1" t="s">
        <v>11</v>
      </c>
    </row>
    <row r="5" hidden="1">
      <c r="A5" s="1">
        <v>4.0</v>
      </c>
      <c r="B5" s="1" t="s">
        <v>13</v>
      </c>
      <c r="C5" s="1" t="s">
        <v>10</v>
      </c>
      <c r="D5" s="1" t="s">
        <v>7</v>
      </c>
      <c r="E5" s="1" t="s">
        <v>8</v>
      </c>
    </row>
    <row r="6" hidden="1">
      <c r="A6" s="1">
        <v>5.0</v>
      </c>
      <c r="B6" s="1" t="s">
        <v>14</v>
      </c>
      <c r="C6" s="1" t="s">
        <v>6</v>
      </c>
      <c r="D6" s="1" t="s">
        <v>7</v>
      </c>
      <c r="E6" s="1" t="s">
        <v>8</v>
      </c>
    </row>
    <row r="7" hidden="1">
      <c r="A7" s="1">
        <v>6.0</v>
      </c>
      <c r="B7" s="1" t="s">
        <v>15</v>
      </c>
      <c r="C7" s="1" t="s">
        <v>6</v>
      </c>
      <c r="D7" s="1" t="s">
        <v>7</v>
      </c>
      <c r="E7" s="1" t="s">
        <v>8</v>
      </c>
    </row>
    <row r="8" hidden="1">
      <c r="A8" s="1">
        <v>7.0</v>
      </c>
      <c r="B8" s="1" t="s">
        <v>16</v>
      </c>
      <c r="C8" s="1" t="s">
        <v>6</v>
      </c>
      <c r="D8" s="1" t="s">
        <v>7</v>
      </c>
      <c r="E8" s="1" t="s">
        <v>8</v>
      </c>
    </row>
    <row r="9" hidden="1">
      <c r="A9" s="1">
        <v>8.0</v>
      </c>
      <c r="B9" s="1" t="s">
        <v>17</v>
      </c>
      <c r="C9" s="1" t="s">
        <v>6</v>
      </c>
      <c r="D9" s="1" t="s">
        <v>7</v>
      </c>
      <c r="E9" s="1" t="s">
        <v>8</v>
      </c>
    </row>
    <row r="10" hidden="1">
      <c r="A10" s="1">
        <v>9.0</v>
      </c>
      <c r="B10" s="1" t="s">
        <v>18</v>
      </c>
      <c r="C10" s="1" t="s">
        <v>10</v>
      </c>
      <c r="D10" s="1" t="s">
        <v>7</v>
      </c>
      <c r="E10" s="1" t="s">
        <v>19</v>
      </c>
    </row>
    <row r="11" hidden="1">
      <c r="A11" s="1">
        <v>10.0</v>
      </c>
      <c r="B11" s="1" t="s">
        <v>20</v>
      </c>
      <c r="C11" s="1" t="s">
        <v>10</v>
      </c>
      <c r="D11" s="1" t="s">
        <v>21</v>
      </c>
      <c r="E11" s="1" t="s">
        <v>19</v>
      </c>
    </row>
    <row r="12" hidden="1">
      <c r="A12" s="1">
        <v>11.0</v>
      </c>
      <c r="B12" s="1" t="s">
        <v>22</v>
      </c>
      <c r="C12" s="1" t="s">
        <v>6</v>
      </c>
      <c r="D12" s="1" t="s">
        <v>7</v>
      </c>
      <c r="E12" s="1" t="s">
        <v>11</v>
      </c>
    </row>
    <row r="13" hidden="1">
      <c r="A13" s="1">
        <v>12.0</v>
      </c>
      <c r="B13" s="1" t="s">
        <v>23</v>
      </c>
      <c r="C13" s="1" t="s">
        <v>6</v>
      </c>
      <c r="D13" s="1" t="s">
        <v>7</v>
      </c>
      <c r="E13" s="1" t="s">
        <v>8</v>
      </c>
    </row>
    <row r="14" hidden="1">
      <c r="A14" s="1">
        <v>13.0</v>
      </c>
      <c r="B14" s="1" t="s">
        <v>24</v>
      </c>
      <c r="C14" s="1" t="s">
        <v>6</v>
      </c>
      <c r="D14" s="1" t="s">
        <v>7</v>
      </c>
      <c r="E14" s="1" t="s">
        <v>8</v>
      </c>
    </row>
    <row r="15" hidden="1">
      <c r="A15" s="1">
        <v>14.0</v>
      </c>
      <c r="B15" s="1" t="s">
        <v>25</v>
      </c>
      <c r="C15" s="1" t="s">
        <v>10</v>
      </c>
      <c r="D15" s="1" t="s">
        <v>7</v>
      </c>
      <c r="E15" s="1" t="s">
        <v>19</v>
      </c>
    </row>
    <row r="16" hidden="1">
      <c r="A16" s="1">
        <v>15.0</v>
      </c>
      <c r="B16" s="1" t="s">
        <v>26</v>
      </c>
      <c r="C16" s="1" t="s">
        <v>6</v>
      </c>
      <c r="D16" s="1" t="s">
        <v>7</v>
      </c>
      <c r="E16" s="1" t="s">
        <v>19</v>
      </c>
    </row>
    <row r="17" hidden="1">
      <c r="A17" s="1">
        <v>16.0</v>
      </c>
      <c r="B17" s="1" t="s">
        <v>27</v>
      </c>
      <c r="C17" s="1" t="s">
        <v>10</v>
      </c>
      <c r="D17" s="1" t="s">
        <v>21</v>
      </c>
      <c r="E17" s="1" t="s">
        <v>19</v>
      </c>
    </row>
    <row r="18" hidden="1">
      <c r="A18" s="1">
        <v>17.0</v>
      </c>
      <c r="B18" s="1" t="s">
        <v>28</v>
      </c>
      <c r="C18" s="1" t="s">
        <v>29</v>
      </c>
      <c r="D18" s="1" t="s">
        <v>21</v>
      </c>
      <c r="E18" s="1" t="s">
        <v>19</v>
      </c>
    </row>
    <row r="19" hidden="1">
      <c r="A19" s="1">
        <v>18.0</v>
      </c>
      <c r="B19" s="1" t="s">
        <v>30</v>
      </c>
      <c r="C19" s="1" t="s">
        <v>6</v>
      </c>
      <c r="D19" s="1" t="s">
        <v>21</v>
      </c>
      <c r="E19" s="1" t="s">
        <v>19</v>
      </c>
    </row>
    <row r="20" hidden="1">
      <c r="A20" s="1">
        <v>19.0</v>
      </c>
      <c r="B20" s="1" t="s">
        <v>31</v>
      </c>
      <c r="C20" s="1" t="s">
        <v>10</v>
      </c>
      <c r="D20" s="1" t="s">
        <v>7</v>
      </c>
      <c r="E20" s="1" t="s">
        <v>19</v>
      </c>
    </row>
    <row r="21" hidden="1">
      <c r="A21" s="1">
        <v>20.0</v>
      </c>
      <c r="B21" s="1" t="s">
        <v>32</v>
      </c>
      <c r="C21" s="1" t="s">
        <v>6</v>
      </c>
      <c r="D21" s="1" t="s">
        <v>7</v>
      </c>
      <c r="E21" s="1" t="s">
        <v>8</v>
      </c>
    </row>
    <row r="22">
      <c r="A22" s="1">
        <v>21.0</v>
      </c>
      <c r="B22" s="2" t="s">
        <v>33</v>
      </c>
      <c r="C22" s="1" t="s">
        <v>6</v>
      </c>
      <c r="D22" s="1" t="s">
        <v>34</v>
      </c>
      <c r="E22" s="1" t="s">
        <v>19</v>
      </c>
    </row>
    <row r="23" hidden="1">
      <c r="A23" s="3">
        <v>22.0</v>
      </c>
      <c r="B23" s="3" t="s">
        <v>35</v>
      </c>
      <c r="C23" s="3" t="s">
        <v>6</v>
      </c>
      <c r="D23" s="3" t="s">
        <v>7</v>
      </c>
      <c r="E23" s="3" t="s">
        <v>19</v>
      </c>
    </row>
    <row r="24">
      <c r="A24" s="1">
        <v>23.0</v>
      </c>
      <c r="B24" s="1" t="s">
        <v>36</v>
      </c>
      <c r="C24" s="1" t="s">
        <v>10</v>
      </c>
      <c r="D24" s="1" t="s">
        <v>34</v>
      </c>
      <c r="E24" s="1" t="s">
        <v>19</v>
      </c>
    </row>
    <row r="25">
      <c r="A25" s="1">
        <v>24.0</v>
      </c>
      <c r="B25" s="1" t="s">
        <v>37</v>
      </c>
      <c r="C25" s="1" t="s">
        <v>6</v>
      </c>
      <c r="E25" s="1" t="s">
        <v>19</v>
      </c>
    </row>
    <row r="26">
      <c r="A26" s="1">
        <v>25.0</v>
      </c>
      <c r="B26" s="1" t="s">
        <v>38</v>
      </c>
      <c r="C26" s="1" t="s">
        <v>6</v>
      </c>
      <c r="D26" s="1" t="s">
        <v>34</v>
      </c>
      <c r="E26" s="1" t="s">
        <v>19</v>
      </c>
    </row>
    <row r="27" hidden="1">
      <c r="A27" s="1">
        <v>26.0</v>
      </c>
      <c r="B27" s="1" t="s">
        <v>39</v>
      </c>
      <c r="C27" s="1" t="s">
        <v>6</v>
      </c>
      <c r="D27" s="1" t="s">
        <v>7</v>
      </c>
      <c r="E27" s="1" t="s">
        <v>19</v>
      </c>
    </row>
    <row r="28" hidden="1">
      <c r="A28" s="1">
        <v>27.0</v>
      </c>
      <c r="B28" s="1" t="s">
        <v>40</v>
      </c>
      <c r="C28" s="1" t="s">
        <v>6</v>
      </c>
      <c r="D28" s="1" t="s">
        <v>7</v>
      </c>
      <c r="E28" s="1" t="s">
        <v>19</v>
      </c>
    </row>
    <row r="29" hidden="1">
      <c r="A29" s="1">
        <v>28.0</v>
      </c>
      <c r="B29" s="1" t="s">
        <v>41</v>
      </c>
      <c r="C29" s="1" t="s">
        <v>6</v>
      </c>
      <c r="D29" s="1" t="s">
        <v>7</v>
      </c>
      <c r="E29" s="1" t="s">
        <v>8</v>
      </c>
    </row>
    <row r="30">
      <c r="A30" s="1">
        <v>29.0</v>
      </c>
      <c r="B30" s="1" t="s">
        <v>42</v>
      </c>
      <c r="C30" s="1" t="s">
        <v>6</v>
      </c>
      <c r="D30" s="1" t="s">
        <v>34</v>
      </c>
      <c r="E30" s="1" t="s">
        <v>19</v>
      </c>
    </row>
    <row r="31">
      <c r="A31" s="1">
        <v>30.0</v>
      </c>
      <c r="B31" s="1" t="s">
        <v>43</v>
      </c>
      <c r="C31" s="1" t="s">
        <v>10</v>
      </c>
      <c r="E31" s="1" t="s">
        <v>19</v>
      </c>
    </row>
    <row r="32" hidden="1">
      <c r="A32" s="1">
        <v>31.0</v>
      </c>
      <c r="B32" s="1" t="s">
        <v>44</v>
      </c>
      <c r="C32" s="1" t="s">
        <v>6</v>
      </c>
      <c r="D32" s="1" t="s">
        <v>7</v>
      </c>
      <c r="E32" s="1" t="s">
        <v>8</v>
      </c>
    </row>
  </sheetData>
  <autoFilter ref="$A$1:$E$32">
    <filterColumn colId="3">
      <filters blank="1">
        <filter val="Post Launch"/>
      </filters>
    </filterColumn>
    <sortState ref="A1:E32">
      <sortCondition ref="A1:A32"/>
      <sortCondition ref="C1:C32"/>
    </sortState>
  </autoFilter>
  <conditionalFormatting sqref="A14:A25">
    <cfRule type="expression" dxfId="0" priority="1">
      <formula>$E15="WIP"</formula>
    </cfRule>
  </conditionalFormatting>
  <conditionalFormatting sqref="A14:A25">
    <cfRule type="expression" dxfId="1" priority="2">
      <formula>$E15="Completed"</formula>
    </cfRule>
  </conditionalFormatting>
  <conditionalFormatting sqref="A1:A13 B1:C101 E1:E101 A27:A101">
    <cfRule type="expression" dxfId="0" priority="3">
      <formula>$E1="WIP"</formula>
    </cfRule>
  </conditionalFormatting>
  <conditionalFormatting sqref="A1:A13 B1:C191 E1:E191 A27:A191">
    <cfRule type="expression" dxfId="1" priority="4">
      <formula>$E1="Completed"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</row>
    <row r="2">
      <c r="A2" s="4" t="s">
        <v>63</v>
      </c>
      <c r="B2" s="4"/>
      <c r="C2" s="4" t="s">
        <v>64</v>
      </c>
      <c r="D2" s="4">
        <v>49831.0</v>
      </c>
      <c r="E2" s="4"/>
      <c r="F2" s="4" t="s">
        <v>65</v>
      </c>
      <c r="G2" s="4">
        <v>299.0</v>
      </c>
      <c r="H2" s="4"/>
      <c r="I2" s="4">
        <v>299.0</v>
      </c>
      <c r="J2" s="4" t="s">
        <v>66</v>
      </c>
      <c r="K2" s="4">
        <v>9.17270913144E11</v>
      </c>
      <c r="L2" s="4" t="s">
        <v>67</v>
      </c>
      <c r="M2" s="4" t="b">
        <v>0</v>
      </c>
      <c r="N2" s="4" t="s">
        <v>68</v>
      </c>
      <c r="O2" s="4" t="s">
        <v>69</v>
      </c>
      <c r="P2" s="6">
        <v>44203.60659722222</v>
      </c>
      <c r="Q2" s="4">
        <v>3372.0</v>
      </c>
      <c r="R2" s="4"/>
      <c r="S2" s="4"/>
      <c r="T2" s="4"/>
      <c r="U2" s="7"/>
      <c r="V2" s="4"/>
      <c r="W2" s="4"/>
      <c r="X2" s="4"/>
      <c r="Y2" s="4"/>
      <c r="Z2" s="4"/>
      <c r="AA2" s="5"/>
      <c r="AB2" s="5"/>
      <c r="AC2" s="5"/>
      <c r="AD2" s="5"/>
      <c r="AE2" s="5"/>
    </row>
    <row r="3">
      <c r="A3" s="4" t="s">
        <v>70</v>
      </c>
      <c r="B3" s="4"/>
      <c r="C3" s="4" t="s">
        <v>64</v>
      </c>
      <c r="D3" s="4">
        <v>49831.0</v>
      </c>
      <c r="E3" s="4"/>
      <c r="F3" s="4" t="s">
        <v>65</v>
      </c>
      <c r="G3" s="4">
        <v>299.0</v>
      </c>
      <c r="H3" s="4"/>
      <c r="I3" s="4">
        <v>299.0</v>
      </c>
      <c r="J3" s="4" t="s">
        <v>71</v>
      </c>
      <c r="K3" s="4">
        <v>9.19717802505E11</v>
      </c>
      <c r="L3" s="4" t="s">
        <v>67</v>
      </c>
      <c r="M3" s="4" t="b">
        <v>0</v>
      </c>
      <c r="N3" s="4" t="s">
        <v>68</v>
      </c>
      <c r="O3" s="4" t="s">
        <v>69</v>
      </c>
      <c r="P3" s="6">
        <v>44203.61376157407</v>
      </c>
      <c r="Q3" s="4">
        <v>2827.0</v>
      </c>
      <c r="R3" s="4"/>
      <c r="S3" s="4"/>
      <c r="T3" s="4"/>
      <c r="U3" s="7"/>
      <c r="V3" s="4"/>
      <c r="W3" s="4"/>
      <c r="X3" s="4"/>
      <c r="Y3" s="4"/>
      <c r="Z3" s="4"/>
      <c r="AA3" s="5"/>
      <c r="AB3" s="5"/>
      <c r="AC3" s="5"/>
      <c r="AD3" s="5"/>
      <c r="AE3" s="5"/>
    </row>
    <row r="4">
      <c r="A4" s="4" t="s">
        <v>72</v>
      </c>
      <c r="B4" s="4"/>
      <c r="C4" s="4" t="s">
        <v>64</v>
      </c>
      <c r="D4" s="4">
        <v>49831.0</v>
      </c>
      <c r="E4" s="4"/>
      <c r="F4" s="4" t="s">
        <v>65</v>
      </c>
      <c r="G4" s="4">
        <v>299.0</v>
      </c>
      <c r="H4" s="4"/>
      <c r="I4" s="4">
        <v>299.0</v>
      </c>
      <c r="J4" s="4" t="s">
        <v>73</v>
      </c>
      <c r="K4" s="4">
        <v>9.18168803701E11</v>
      </c>
      <c r="L4" s="4" t="s">
        <v>67</v>
      </c>
      <c r="M4" s="4" t="b">
        <v>0</v>
      </c>
      <c r="N4" s="4" t="s">
        <v>74</v>
      </c>
      <c r="O4" s="4" t="s">
        <v>69</v>
      </c>
      <c r="P4" s="6">
        <v>44203.8302662037</v>
      </c>
      <c r="Q4" s="4">
        <v>3186.0</v>
      </c>
      <c r="R4" s="4"/>
      <c r="S4" s="4"/>
      <c r="T4" s="4"/>
      <c r="U4" s="7"/>
      <c r="V4" s="4"/>
      <c r="W4" s="4"/>
      <c r="X4" s="4"/>
      <c r="Y4" s="4"/>
      <c r="Z4" s="4"/>
      <c r="AA4" s="5"/>
      <c r="AB4" s="5"/>
      <c r="AC4" s="5"/>
      <c r="AD4" s="5"/>
      <c r="AE4" s="5"/>
    </row>
    <row r="5">
      <c r="A5" s="4" t="s">
        <v>75</v>
      </c>
      <c r="B5" s="4"/>
      <c r="C5" s="4" t="s">
        <v>76</v>
      </c>
      <c r="D5" s="4">
        <v>49834.0</v>
      </c>
      <c r="E5" s="4"/>
      <c r="F5" s="4" t="s">
        <v>77</v>
      </c>
      <c r="G5" s="4">
        <v>499.0</v>
      </c>
      <c r="H5" s="4"/>
      <c r="I5" s="4">
        <v>499.0</v>
      </c>
      <c r="J5" s="4" t="s">
        <v>78</v>
      </c>
      <c r="K5" s="4">
        <v>9.1880071802E11</v>
      </c>
      <c r="L5" s="4" t="s">
        <v>67</v>
      </c>
      <c r="M5" s="4" t="b">
        <v>0</v>
      </c>
      <c r="N5" s="4" t="s">
        <v>68</v>
      </c>
      <c r="O5" s="4" t="s">
        <v>69</v>
      </c>
      <c r="P5" s="6">
        <v>44205.72087962963</v>
      </c>
      <c r="Q5" s="4">
        <v>3250.0</v>
      </c>
      <c r="R5" s="4"/>
      <c r="S5" s="4"/>
      <c r="T5" s="4"/>
      <c r="U5" s="7"/>
      <c r="V5" s="4"/>
      <c r="W5" s="4"/>
      <c r="X5" s="4"/>
      <c r="Y5" s="4"/>
      <c r="Z5" s="4"/>
      <c r="AA5" s="5"/>
      <c r="AB5" s="5"/>
      <c r="AC5" s="5"/>
      <c r="AD5" s="5"/>
      <c r="AE5" s="5"/>
    </row>
    <row r="6">
      <c r="A6" s="4" t="s">
        <v>79</v>
      </c>
      <c r="B6" s="4"/>
      <c r="C6" s="4" t="s">
        <v>64</v>
      </c>
      <c r="D6" s="4">
        <v>49831.0</v>
      </c>
      <c r="E6" s="4"/>
      <c r="F6" s="4" t="s">
        <v>65</v>
      </c>
      <c r="G6" s="4">
        <v>299.0</v>
      </c>
      <c r="H6" s="4"/>
      <c r="I6" s="4">
        <v>299.0</v>
      </c>
      <c r="J6" s="4" t="s">
        <v>80</v>
      </c>
      <c r="K6" s="4">
        <v>9.16005739437E11</v>
      </c>
      <c r="L6" s="4" t="s">
        <v>67</v>
      </c>
      <c r="M6" s="4" t="b">
        <v>0</v>
      </c>
      <c r="N6" s="4" t="s">
        <v>74</v>
      </c>
      <c r="O6" s="4" t="s">
        <v>69</v>
      </c>
      <c r="P6" s="6">
        <v>44206.81398148148</v>
      </c>
      <c r="Q6" s="4">
        <v>1966.0</v>
      </c>
      <c r="R6" s="4"/>
      <c r="S6" s="4"/>
      <c r="T6" s="4"/>
      <c r="U6" s="7"/>
      <c r="V6" s="4"/>
      <c r="W6" s="4"/>
      <c r="X6" s="4"/>
      <c r="Y6" s="4"/>
      <c r="Z6" s="4"/>
      <c r="AA6" s="5"/>
      <c r="AB6" s="5"/>
      <c r="AC6" s="5"/>
      <c r="AD6" s="5"/>
      <c r="AE6" s="5"/>
    </row>
    <row r="7">
      <c r="A7" s="4" t="s">
        <v>81</v>
      </c>
      <c r="B7" s="4"/>
      <c r="C7" s="4" t="s">
        <v>64</v>
      </c>
      <c r="D7" s="4">
        <v>49831.0</v>
      </c>
      <c r="E7" s="4"/>
      <c r="F7" s="4" t="s">
        <v>65</v>
      </c>
      <c r="G7" s="4">
        <v>299.0</v>
      </c>
      <c r="H7" s="4"/>
      <c r="I7" s="4">
        <v>299.0</v>
      </c>
      <c r="J7" s="4" t="s">
        <v>82</v>
      </c>
      <c r="K7" s="4">
        <v>9.18427297182E11</v>
      </c>
      <c r="L7" s="4" t="s">
        <v>67</v>
      </c>
      <c r="M7" s="4" t="b">
        <v>0</v>
      </c>
      <c r="N7" s="4" t="s">
        <v>74</v>
      </c>
      <c r="O7" s="4" t="s">
        <v>69</v>
      </c>
      <c r="P7" s="6">
        <v>44208.81657407407</v>
      </c>
      <c r="Q7" s="4" t="s">
        <v>83</v>
      </c>
      <c r="R7" s="4"/>
      <c r="S7" s="4"/>
      <c r="T7" s="4"/>
      <c r="U7" s="7"/>
      <c r="V7" s="4"/>
      <c r="W7" s="4"/>
      <c r="X7" s="4"/>
      <c r="Y7" s="4"/>
      <c r="Z7" s="4"/>
      <c r="AA7" s="5"/>
      <c r="AB7" s="5"/>
      <c r="AC7" s="5"/>
      <c r="AD7" s="5"/>
      <c r="AE7" s="5"/>
    </row>
    <row r="8">
      <c r="A8" s="4" t="s">
        <v>84</v>
      </c>
      <c r="B8" s="4"/>
      <c r="C8" s="4" t="s">
        <v>76</v>
      </c>
      <c r="D8" s="4">
        <v>49834.0</v>
      </c>
      <c r="E8" s="4"/>
      <c r="F8" s="4" t="s">
        <v>85</v>
      </c>
      <c r="G8" s="4">
        <v>299.0</v>
      </c>
      <c r="H8" s="4"/>
      <c r="I8" s="4">
        <v>299.0</v>
      </c>
      <c r="J8" s="4" t="s">
        <v>86</v>
      </c>
      <c r="K8" s="4">
        <v>9.16263018296E11</v>
      </c>
      <c r="L8" s="4" t="s">
        <v>67</v>
      </c>
      <c r="M8" s="4" t="b">
        <v>0</v>
      </c>
      <c r="N8" s="4" t="s">
        <v>68</v>
      </c>
      <c r="O8" s="4" t="s">
        <v>69</v>
      </c>
      <c r="P8" s="6">
        <v>44211.47846064815</v>
      </c>
      <c r="Q8" s="4">
        <v>3762.0</v>
      </c>
      <c r="R8" s="4"/>
      <c r="S8" s="4"/>
      <c r="T8" s="4"/>
      <c r="U8" s="7"/>
      <c r="V8" s="4"/>
      <c r="W8" s="4"/>
      <c r="X8" s="4"/>
      <c r="Y8" s="4"/>
      <c r="Z8" s="4"/>
      <c r="AA8" s="5"/>
      <c r="AB8" s="5"/>
      <c r="AC8" s="5"/>
      <c r="AD8" s="5"/>
      <c r="AE8" s="5"/>
    </row>
    <row r="9">
      <c r="A9" s="4" t="s">
        <v>87</v>
      </c>
      <c r="B9" s="4"/>
      <c r="C9" s="4" t="s">
        <v>64</v>
      </c>
      <c r="D9" s="4">
        <v>49831.0</v>
      </c>
      <c r="E9" s="4"/>
      <c r="F9" s="4" t="s">
        <v>65</v>
      </c>
      <c r="G9" s="4">
        <v>299.0</v>
      </c>
      <c r="H9" s="4"/>
      <c r="I9" s="4">
        <v>299.0</v>
      </c>
      <c r="J9" s="4" t="s">
        <v>88</v>
      </c>
      <c r="K9" s="4">
        <v>9.1721804094E11</v>
      </c>
      <c r="L9" s="4" t="s">
        <v>67</v>
      </c>
      <c r="M9" s="4" t="b">
        <v>0</v>
      </c>
      <c r="N9" s="4" t="s">
        <v>68</v>
      </c>
      <c r="O9" s="4" t="s">
        <v>69</v>
      </c>
      <c r="P9" s="6">
        <v>44212.719976851855</v>
      </c>
      <c r="Q9" s="4">
        <v>3781.0</v>
      </c>
      <c r="R9" s="4"/>
      <c r="S9" s="4"/>
      <c r="T9" s="4"/>
      <c r="U9" s="7"/>
      <c r="V9" s="4"/>
      <c r="W9" s="4"/>
      <c r="X9" s="4"/>
      <c r="Y9" s="4"/>
      <c r="Z9" s="4"/>
      <c r="AA9" s="5"/>
      <c r="AB9" s="5"/>
      <c r="AC9" s="5"/>
      <c r="AD9" s="5"/>
      <c r="AE9" s="5"/>
    </row>
    <row r="10">
      <c r="A10" s="4" t="s">
        <v>89</v>
      </c>
      <c r="B10" s="4"/>
      <c r="C10" s="4" t="s">
        <v>64</v>
      </c>
      <c r="D10" s="4">
        <v>49831.0</v>
      </c>
      <c r="E10" s="4"/>
      <c r="F10" s="4" t="s">
        <v>65</v>
      </c>
      <c r="G10" s="4">
        <v>299.0</v>
      </c>
      <c r="H10" s="4"/>
      <c r="I10" s="4">
        <v>299.0</v>
      </c>
      <c r="J10" s="4" t="s">
        <v>90</v>
      </c>
      <c r="K10" s="4">
        <v>9.1900999272E11</v>
      </c>
      <c r="L10" s="4" t="s">
        <v>67</v>
      </c>
      <c r="M10" s="4" t="b">
        <v>0</v>
      </c>
      <c r="N10" s="4" t="s">
        <v>68</v>
      </c>
      <c r="O10" s="4" t="s">
        <v>69</v>
      </c>
      <c r="P10" s="6">
        <v>44215.52313657408</v>
      </c>
      <c r="Q10" s="4">
        <v>4197.0</v>
      </c>
      <c r="R10" s="4"/>
      <c r="S10" s="4"/>
      <c r="T10" s="4"/>
      <c r="U10" s="7"/>
      <c r="V10" s="4"/>
      <c r="W10" s="4"/>
      <c r="X10" s="4"/>
      <c r="Y10" s="4"/>
      <c r="Z10" s="4"/>
      <c r="AA10" s="5"/>
      <c r="AB10" s="5"/>
      <c r="AC10" s="5"/>
      <c r="AD10" s="5"/>
      <c r="AE10" s="5"/>
    </row>
    <row r="11">
      <c r="A11" s="4" t="s">
        <v>91</v>
      </c>
      <c r="B11" s="4"/>
      <c r="C11" s="4" t="s">
        <v>64</v>
      </c>
      <c r="D11" s="4">
        <v>49831.0</v>
      </c>
      <c r="E11" s="4"/>
      <c r="F11" s="4" t="s">
        <v>65</v>
      </c>
      <c r="G11" s="4">
        <v>299.0</v>
      </c>
      <c r="H11" s="4"/>
      <c r="I11" s="4">
        <v>299.0</v>
      </c>
      <c r="J11" s="4" t="s">
        <v>92</v>
      </c>
      <c r="K11" s="4">
        <v>9.1817170558E11</v>
      </c>
      <c r="L11" s="4" t="s">
        <v>67</v>
      </c>
      <c r="M11" s="4" t="b">
        <v>0</v>
      </c>
      <c r="N11" s="4" t="s">
        <v>68</v>
      </c>
      <c r="O11" s="4" t="s">
        <v>69</v>
      </c>
      <c r="P11" s="6">
        <v>44217.48792824074</v>
      </c>
      <c r="Q11" s="4">
        <v>4697.0</v>
      </c>
      <c r="R11" s="4"/>
      <c r="S11" s="4"/>
      <c r="T11" s="4"/>
      <c r="U11" s="7"/>
      <c r="V11" s="4"/>
      <c r="W11" s="4"/>
      <c r="X11" s="4"/>
      <c r="Y11" s="4"/>
      <c r="Z11" s="4"/>
      <c r="AA11" s="5"/>
      <c r="AB11" s="5"/>
      <c r="AC11" s="5"/>
      <c r="AD11" s="5"/>
      <c r="AE11" s="5"/>
    </row>
    <row r="12">
      <c r="A12" s="4" t="s">
        <v>93</v>
      </c>
      <c r="B12" s="4"/>
      <c r="C12" s="4" t="s">
        <v>64</v>
      </c>
      <c r="D12" s="4">
        <v>49831.0</v>
      </c>
      <c r="E12" s="4"/>
      <c r="F12" s="4" t="s">
        <v>65</v>
      </c>
      <c r="G12" s="4">
        <v>299.0</v>
      </c>
      <c r="H12" s="4"/>
      <c r="I12" s="4">
        <v>299.0</v>
      </c>
      <c r="J12" s="4" t="s">
        <v>94</v>
      </c>
      <c r="K12" s="4">
        <v>9.1726808563E11</v>
      </c>
      <c r="L12" s="4" t="s">
        <v>67</v>
      </c>
      <c r="M12" s="4" t="b">
        <v>0</v>
      </c>
      <c r="N12" s="4" t="s">
        <v>68</v>
      </c>
      <c r="O12" s="4" t="s">
        <v>69</v>
      </c>
      <c r="P12" s="6">
        <v>44217.6590625</v>
      </c>
      <c r="Q12" s="4">
        <v>4786.0</v>
      </c>
      <c r="R12" s="4"/>
      <c r="S12" s="4"/>
      <c r="T12" s="4"/>
      <c r="U12" s="7"/>
      <c r="V12" s="4"/>
      <c r="W12" s="4"/>
      <c r="X12" s="4"/>
      <c r="Y12" s="4"/>
      <c r="Z12" s="4"/>
      <c r="AA12" s="5"/>
      <c r="AB12" s="5"/>
      <c r="AC12" s="5"/>
      <c r="AD12" s="5"/>
      <c r="AE12" s="5"/>
    </row>
    <row r="13">
      <c r="A13" s="4" t="s">
        <v>95</v>
      </c>
      <c r="B13" s="4"/>
      <c r="C13" s="4" t="s">
        <v>64</v>
      </c>
      <c r="D13" s="4">
        <v>49831.0</v>
      </c>
      <c r="E13" s="4"/>
      <c r="F13" s="4" t="s">
        <v>65</v>
      </c>
      <c r="G13" s="4">
        <v>299.0</v>
      </c>
      <c r="H13" s="4"/>
      <c r="I13" s="4">
        <v>299.0</v>
      </c>
      <c r="J13" s="4" t="s">
        <v>96</v>
      </c>
      <c r="K13" s="4">
        <v>9.173830861E11</v>
      </c>
      <c r="L13" s="4" t="s">
        <v>67</v>
      </c>
      <c r="M13" s="4" t="b">
        <v>0</v>
      </c>
      <c r="N13" s="4" t="s">
        <v>97</v>
      </c>
      <c r="O13" s="4" t="s">
        <v>69</v>
      </c>
      <c r="P13" s="6">
        <v>44218.89418981481</v>
      </c>
      <c r="Q13" s="4">
        <v>5187.0</v>
      </c>
      <c r="R13" s="4"/>
      <c r="S13" s="4"/>
      <c r="T13" s="4"/>
      <c r="U13" s="7"/>
      <c r="V13" s="4"/>
      <c r="W13" s="4"/>
      <c r="X13" s="4"/>
      <c r="Y13" s="4"/>
      <c r="Z13" s="4"/>
      <c r="AA13" s="5"/>
      <c r="AB13" s="5"/>
      <c r="AC13" s="5"/>
      <c r="AD13" s="5"/>
      <c r="AE13" s="5"/>
    </row>
    <row r="14">
      <c r="A14" s="4" t="s">
        <v>98</v>
      </c>
      <c r="B14" s="4"/>
      <c r="C14" s="4" t="s">
        <v>64</v>
      </c>
      <c r="D14" s="4">
        <v>49831.0</v>
      </c>
      <c r="E14" s="4"/>
      <c r="F14" s="4" t="s">
        <v>65</v>
      </c>
      <c r="G14" s="4">
        <v>299.0</v>
      </c>
      <c r="H14" s="4"/>
      <c r="I14" s="4">
        <v>299.0</v>
      </c>
      <c r="J14" s="4" t="s">
        <v>99</v>
      </c>
      <c r="K14" s="4">
        <v>9.18668235424E11</v>
      </c>
      <c r="L14" s="4" t="s">
        <v>67</v>
      </c>
      <c r="M14" s="4" t="b">
        <v>0</v>
      </c>
      <c r="N14" s="4" t="s">
        <v>68</v>
      </c>
      <c r="O14" s="4" t="s">
        <v>69</v>
      </c>
      <c r="P14" s="6">
        <v>44220.80243055556</v>
      </c>
      <c r="Q14" s="4">
        <v>5857.0</v>
      </c>
      <c r="R14" s="4"/>
      <c r="S14" s="4"/>
      <c r="T14" s="4"/>
      <c r="U14" s="7"/>
      <c r="V14" s="4"/>
      <c r="W14" s="4"/>
      <c r="X14" s="4"/>
      <c r="Y14" s="4"/>
      <c r="Z14" s="4"/>
      <c r="AA14" s="5"/>
      <c r="AB14" s="5"/>
      <c r="AC14" s="5"/>
      <c r="AD14" s="5"/>
      <c r="AE14" s="5"/>
    </row>
    <row r="15">
      <c r="A15" s="4" t="s">
        <v>100</v>
      </c>
      <c r="B15" s="4"/>
      <c r="C15" s="4" t="s">
        <v>76</v>
      </c>
      <c r="D15" s="4">
        <v>49834.0</v>
      </c>
      <c r="E15" s="4"/>
      <c r="F15" s="4" t="s">
        <v>85</v>
      </c>
      <c r="G15" s="4">
        <v>299.0</v>
      </c>
      <c r="H15" s="4"/>
      <c r="I15" s="4">
        <v>299.0</v>
      </c>
      <c r="J15" s="4" t="s">
        <v>101</v>
      </c>
      <c r="K15" s="4">
        <v>9.18468909258E11</v>
      </c>
      <c r="L15" s="4" t="s">
        <v>67</v>
      </c>
      <c r="M15" s="4" t="b">
        <v>0</v>
      </c>
      <c r="N15" s="4" t="s">
        <v>68</v>
      </c>
      <c r="O15" s="4" t="s">
        <v>69</v>
      </c>
      <c r="P15" s="6">
        <v>44223.88650462963</v>
      </c>
      <c r="Q15" s="4">
        <v>1954.0</v>
      </c>
      <c r="R15" s="4"/>
      <c r="S15" s="4"/>
      <c r="T15" s="4"/>
      <c r="U15" s="7"/>
      <c r="V15" s="4"/>
      <c r="W15" s="4"/>
      <c r="X15" s="4"/>
      <c r="Y15" s="4"/>
      <c r="Z15" s="4"/>
      <c r="AA15" s="5"/>
      <c r="AB15" s="5"/>
      <c r="AC15" s="5"/>
      <c r="AD15" s="5"/>
      <c r="AE15" s="5"/>
    </row>
    <row r="16">
      <c r="A16" s="4" t="s">
        <v>102</v>
      </c>
      <c r="B16" s="4"/>
      <c r="C16" s="4" t="s">
        <v>64</v>
      </c>
      <c r="D16" s="4">
        <v>49831.0</v>
      </c>
      <c r="E16" s="4"/>
      <c r="F16" s="4" t="s">
        <v>65</v>
      </c>
      <c r="G16" s="4">
        <v>299.0</v>
      </c>
      <c r="H16" s="4"/>
      <c r="I16" s="4">
        <v>299.0</v>
      </c>
      <c r="J16" s="4" t="s">
        <v>103</v>
      </c>
      <c r="K16" s="4">
        <v>9.19370569303E11</v>
      </c>
      <c r="L16" s="4" t="s">
        <v>67</v>
      </c>
      <c r="M16" s="4" t="b">
        <v>0</v>
      </c>
      <c r="N16" s="4" t="s">
        <v>74</v>
      </c>
      <c r="O16" s="4" t="s">
        <v>69</v>
      </c>
      <c r="P16" s="6">
        <v>44224.360972222225</v>
      </c>
      <c r="Q16" s="4">
        <v>6724.0</v>
      </c>
      <c r="R16" s="4"/>
      <c r="S16" s="4"/>
      <c r="T16" s="4"/>
      <c r="U16" s="7"/>
      <c r="V16" s="4"/>
      <c r="W16" s="4"/>
      <c r="X16" s="4"/>
      <c r="Y16" s="4"/>
      <c r="Z16" s="4"/>
      <c r="AA16" s="5"/>
      <c r="AB16" s="5"/>
      <c r="AC16" s="5"/>
      <c r="AD16" s="5"/>
      <c r="AE16" s="5"/>
    </row>
    <row r="17">
      <c r="A17" s="4" t="s">
        <v>104</v>
      </c>
      <c r="B17" s="4"/>
      <c r="C17" s="4" t="s">
        <v>64</v>
      </c>
      <c r="D17" s="4">
        <v>49831.0</v>
      </c>
      <c r="E17" s="4"/>
      <c r="F17" s="4" t="s">
        <v>65</v>
      </c>
      <c r="G17" s="4">
        <v>299.0</v>
      </c>
      <c r="H17" s="4"/>
      <c r="I17" s="4">
        <v>299.0</v>
      </c>
      <c r="J17" s="4" t="s">
        <v>105</v>
      </c>
      <c r="K17" s="4">
        <v>9.1639684691E11</v>
      </c>
      <c r="L17" s="4" t="s">
        <v>67</v>
      </c>
      <c r="M17" s="4" t="b">
        <v>0</v>
      </c>
      <c r="N17" s="4" t="s">
        <v>97</v>
      </c>
      <c r="O17" s="4" t="s">
        <v>69</v>
      </c>
      <c r="P17" s="6">
        <v>44225.62994212963</v>
      </c>
      <c r="Q17" s="4">
        <v>7923.0</v>
      </c>
      <c r="R17" s="4"/>
      <c r="S17" s="4"/>
      <c r="T17" s="4"/>
      <c r="U17" s="7"/>
      <c r="V17" s="4"/>
      <c r="W17" s="4"/>
      <c r="X17" s="4"/>
      <c r="Y17" s="4"/>
      <c r="Z17" s="4"/>
      <c r="AA17" s="5"/>
      <c r="AB17" s="5"/>
      <c r="AC17" s="5"/>
      <c r="AD17" s="5"/>
      <c r="AE17" s="5"/>
    </row>
    <row r="18">
      <c r="A18" s="4" t="s">
        <v>106</v>
      </c>
      <c r="B18" s="4"/>
      <c r="C18" s="4" t="s">
        <v>76</v>
      </c>
      <c r="D18" s="4">
        <v>49834.0</v>
      </c>
      <c r="E18" s="4"/>
      <c r="F18" s="4" t="s">
        <v>85</v>
      </c>
      <c r="G18" s="4">
        <v>299.0</v>
      </c>
      <c r="H18" s="4"/>
      <c r="I18" s="4">
        <v>299.0</v>
      </c>
      <c r="J18" s="4" t="s">
        <v>107</v>
      </c>
      <c r="K18" s="4">
        <v>9.19959986457E11</v>
      </c>
      <c r="L18" s="4" t="s">
        <v>67</v>
      </c>
      <c r="M18" s="4" t="b">
        <v>0</v>
      </c>
      <c r="N18" s="4" t="s">
        <v>68</v>
      </c>
      <c r="O18" s="4" t="s">
        <v>69</v>
      </c>
      <c r="P18" s="6">
        <v>44226.42375</v>
      </c>
      <c r="Q18" s="4">
        <v>6280.0</v>
      </c>
      <c r="R18" s="4"/>
      <c r="S18" s="4"/>
      <c r="T18" s="4"/>
      <c r="U18" s="7"/>
      <c r="V18" s="4"/>
      <c r="W18" s="4"/>
      <c r="X18" s="4"/>
      <c r="Y18" s="4"/>
      <c r="Z18" s="4"/>
      <c r="AA18" s="5"/>
      <c r="AB18" s="5"/>
      <c r="AC18" s="5"/>
      <c r="AD18" s="5"/>
      <c r="AE18" s="5"/>
    </row>
    <row r="19">
      <c r="A19" s="4" t="s">
        <v>108</v>
      </c>
      <c r="B19" s="4"/>
      <c r="C19" s="4" t="s">
        <v>76</v>
      </c>
      <c r="D19" s="4">
        <v>49834.0</v>
      </c>
      <c r="E19" s="4"/>
      <c r="F19" s="4" t="s">
        <v>85</v>
      </c>
      <c r="G19" s="4">
        <v>299.0</v>
      </c>
      <c r="H19" s="4"/>
      <c r="I19" s="4">
        <v>299.0</v>
      </c>
      <c r="J19" s="4" t="s">
        <v>109</v>
      </c>
      <c r="K19" s="4">
        <v>9.19074974588E11</v>
      </c>
      <c r="L19" s="4" t="s">
        <v>67</v>
      </c>
      <c r="M19" s="4" t="b">
        <v>0</v>
      </c>
      <c r="N19" s="4" t="s">
        <v>68</v>
      </c>
      <c r="O19" s="4" t="s">
        <v>69</v>
      </c>
      <c r="P19" s="6">
        <v>44226.545335648145</v>
      </c>
      <c r="Q19" s="4" t="s">
        <v>83</v>
      </c>
      <c r="R19" s="4"/>
      <c r="S19" s="4"/>
      <c r="T19" s="4"/>
      <c r="U19" s="7"/>
      <c r="V19" s="4"/>
      <c r="W19" s="4"/>
      <c r="X19" s="4"/>
      <c r="Y19" s="4"/>
      <c r="Z19" s="4"/>
      <c r="AA19" s="5"/>
      <c r="AB19" s="5"/>
      <c r="AC19" s="5"/>
      <c r="AD19" s="5"/>
      <c r="AE19" s="5"/>
    </row>
    <row r="20">
      <c r="A20" s="4" t="s">
        <v>110</v>
      </c>
      <c r="B20" s="4"/>
      <c r="C20" s="4" t="s">
        <v>76</v>
      </c>
      <c r="D20" s="4">
        <v>49834.0</v>
      </c>
      <c r="E20" s="4"/>
      <c r="F20" s="4" t="s">
        <v>85</v>
      </c>
      <c r="G20" s="4">
        <v>299.0</v>
      </c>
      <c r="H20" s="4"/>
      <c r="I20" s="4">
        <v>299.0</v>
      </c>
      <c r="J20" s="4" t="s">
        <v>111</v>
      </c>
      <c r="K20" s="4">
        <v>9.17070989596E11</v>
      </c>
      <c r="L20" s="4" t="s">
        <v>67</v>
      </c>
      <c r="M20" s="4" t="b">
        <v>0</v>
      </c>
      <c r="N20" s="4" t="s">
        <v>74</v>
      </c>
      <c r="O20" s="4" t="s">
        <v>69</v>
      </c>
      <c r="P20" s="6">
        <v>44226.710439814815</v>
      </c>
      <c r="Q20" s="4">
        <v>9318.0</v>
      </c>
      <c r="R20" s="4"/>
      <c r="S20" s="4"/>
      <c r="T20" s="4"/>
      <c r="U20" s="7"/>
      <c r="V20" s="4"/>
      <c r="W20" s="4"/>
      <c r="X20" s="4"/>
      <c r="Y20" s="4"/>
      <c r="Z20" s="4"/>
      <c r="AA20" s="5"/>
      <c r="AB20" s="5"/>
      <c r="AC20" s="5"/>
      <c r="AD20" s="5"/>
      <c r="AE20" s="5"/>
    </row>
    <row r="21">
      <c r="A21" s="4" t="s">
        <v>112</v>
      </c>
      <c r="B21" s="4"/>
      <c r="C21" s="4" t="s">
        <v>64</v>
      </c>
      <c r="D21" s="4">
        <v>49831.0</v>
      </c>
      <c r="E21" s="4"/>
      <c r="F21" s="4" t="s">
        <v>65</v>
      </c>
      <c r="G21" s="4">
        <v>299.0</v>
      </c>
      <c r="H21" s="4"/>
      <c r="I21" s="4">
        <v>299.0</v>
      </c>
      <c r="J21" s="4" t="s">
        <v>113</v>
      </c>
      <c r="K21" s="4">
        <v>9.18619552616E11</v>
      </c>
      <c r="L21" s="4" t="s">
        <v>67</v>
      </c>
      <c r="M21" s="4" t="b">
        <v>0</v>
      </c>
      <c r="N21" s="4" t="s">
        <v>68</v>
      </c>
      <c r="O21" s="4" t="s">
        <v>69</v>
      </c>
      <c r="P21" s="6">
        <v>44227.877337962964</v>
      </c>
      <c r="Q21" s="4">
        <v>9249.0</v>
      </c>
      <c r="R21" s="4"/>
      <c r="S21" s="4"/>
      <c r="T21" s="4"/>
      <c r="U21" s="7"/>
      <c r="V21" s="4"/>
      <c r="W21" s="4"/>
      <c r="X21" s="4"/>
      <c r="Y21" s="4"/>
      <c r="Z21" s="4"/>
      <c r="AA21" s="5"/>
      <c r="AB21" s="5"/>
      <c r="AC21" s="5"/>
      <c r="AD21" s="5"/>
      <c r="AE21" s="5"/>
    </row>
    <row r="22">
      <c r="A22" s="4" t="s">
        <v>114</v>
      </c>
      <c r="B22" s="4"/>
      <c r="C22" s="4" t="s">
        <v>76</v>
      </c>
      <c r="D22" s="4">
        <v>49834.0</v>
      </c>
      <c r="E22" s="4"/>
      <c r="F22" s="4" t="s">
        <v>77</v>
      </c>
      <c r="G22" s="4">
        <v>499.0</v>
      </c>
      <c r="H22" s="4"/>
      <c r="I22" s="4">
        <v>499.0</v>
      </c>
      <c r="J22" s="4" t="s">
        <v>115</v>
      </c>
      <c r="K22" s="4">
        <v>9.18801416002E11</v>
      </c>
      <c r="L22" s="4" t="s">
        <v>67</v>
      </c>
      <c r="M22" s="4" t="b">
        <v>0</v>
      </c>
      <c r="N22" s="4" t="s">
        <v>68</v>
      </c>
      <c r="O22" s="4" t="s">
        <v>69</v>
      </c>
      <c r="P22" s="6">
        <v>44228.24755787037</v>
      </c>
      <c r="Q22" s="4">
        <v>2204.0</v>
      </c>
      <c r="R22" s="4"/>
      <c r="S22" s="4"/>
      <c r="T22" s="4"/>
      <c r="U22" s="7"/>
      <c r="V22" s="4"/>
      <c r="W22" s="4"/>
      <c r="X22" s="4"/>
      <c r="Y22" s="4"/>
      <c r="Z22" s="4"/>
      <c r="AA22" s="5"/>
      <c r="AB22" s="5"/>
      <c r="AC22" s="5"/>
      <c r="AD22" s="5"/>
      <c r="AE22" s="5"/>
    </row>
    <row r="23">
      <c r="A23" s="4" t="s">
        <v>116</v>
      </c>
      <c r="B23" s="4"/>
      <c r="C23" s="4" t="s">
        <v>76</v>
      </c>
      <c r="D23" s="4">
        <v>49834.0</v>
      </c>
      <c r="E23" s="4"/>
      <c r="F23" s="4" t="s">
        <v>77</v>
      </c>
      <c r="G23" s="4">
        <v>499.0</v>
      </c>
      <c r="H23" s="4"/>
      <c r="I23" s="4">
        <v>499.0</v>
      </c>
      <c r="J23" s="4" t="s">
        <v>117</v>
      </c>
      <c r="K23" s="4">
        <v>9.17592993781E11</v>
      </c>
      <c r="L23" s="4" t="s">
        <v>67</v>
      </c>
      <c r="M23" s="4" t="b">
        <v>0</v>
      </c>
      <c r="N23" s="4" t="s">
        <v>68</v>
      </c>
      <c r="O23" s="4" t="s">
        <v>69</v>
      </c>
      <c r="P23" s="6">
        <v>44235.880590277775</v>
      </c>
      <c r="Q23" s="4">
        <v>11776.0</v>
      </c>
      <c r="R23" s="4"/>
      <c r="S23" s="4"/>
      <c r="T23" s="4"/>
      <c r="U23" s="7"/>
      <c r="V23" s="4"/>
      <c r="W23" s="4"/>
      <c r="X23" s="4"/>
      <c r="Y23" s="4"/>
      <c r="Z23" s="4"/>
      <c r="AA23" s="5"/>
      <c r="AB23" s="5"/>
      <c r="AC23" s="5"/>
      <c r="AD23" s="5"/>
      <c r="AE23" s="5"/>
    </row>
    <row r="24">
      <c r="A24" s="4" t="s">
        <v>118</v>
      </c>
      <c r="B24" s="4"/>
      <c r="C24" s="4" t="s">
        <v>64</v>
      </c>
      <c r="D24" s="4">
        <v>49831.0</v>
      </c>
      <c r="E24" s="4"/>
      <c r="F24" s="4" t="s">
        <v>65</v>
      </c>
      <c r="G24" s="4">
        <v>299.0</v>
      </c>
      <c r="H24" s="4"/>
      <c r="I24" s="4">
        <v>299.0</v>
      </c>
      <c r="J24" s="4" t="s">
        <v>119</v>
      </c>
      <c r="K24" s="4">
        <v>9.19140600963E11</v>
      </c>
      <c r="L24" s="4" t="s">
        <v>67</v>
      </c>
      <c r="M24" s="4" t="b">
        <v>0</v>
      </c>
      <c r="N24" s="4" t="s">
        <v>68</v>
      </c>
      <c r="O24" s="4" t="s">
        <v>69</v>
      </c>
      <c r="P24" s="6">
        <v>44236.50329861111</v>
      </c>
      <c r="Q24" s="4">
        <v>11830.0</v>
      </c>
      <c r="R24" s="4"/>
      <c r="S24" s="4"/>
      <c r="T24" s="4"/>
      <c r="U24" s="7"/>
      <c r="V24" s="4"/>
      <c r="W24" s="4"/>
      <c r="X24" s="4"/>
      <c r="Y24" s="4"/>
      <c r="Z24" s="4"/>
      <c r="AA24" s="5"/>
      <c r="AB24" s="5"/>
      <c r="AC24" s="5"/>
      <c r="AD24" s="5"/>
      <c r="AE24" s="5"/>
    </row>
    <row r="25">
      <c r="A25" s="4" t="s">
        <v>120</v>
      </c>
      <c r="B25" s="4"/>
      <c r="C25" s="4" t="s">
        <v>64</v>
      </c>
      <c r="D25" s="4">
        <v>49831.0</v>
      </c>
      <c r="E25" s="4"/>
      <c r="F25" s="4" t="s">
        <v>65</v>
      </c>
      <c r="G25" s="4">
        <v>299.0</v>
      </c>
      <c r="H25" s="4"/>
      <c r="I25" s="4">
        <v>299.0</v>
      </c>
      <c r="J25" s="4" t="s">
        <v>121</v>
      </c>
      <c r="K25" s="4">
        <v>9.17879337462E11</v>
      </c>
      <c r="L25" s="4" t="s">
        <v>67</v>
      </c>
      <c r="M25" s="4" t="b">
        <v>0</v>
      </c>
      <c r="N25" s="4" t="s">
        <v>68</v>
      </c>
      <c r="O25" s="4" t="s">
        <v>69</v>
      </c>
      <c r="P25" s="6">
        <v>44238.73546296296</v>
      </c>
      <c r="Q25" s="4">
        <v>12725.0</v>
      </c>
      <c r="R25" s="4"/>
      <c r="S25" s="4"/>
      <c r="T25" s="4"/>
      <c r="U25" s="7"/>
      <c r="V25" s="4"/>
      <c r="W25" s="4"/>
      <c r="X25" s="4"/>
      <c r="Y25" s="4"/>
      <c r="Z25" s="4"/>
      <c r="AA25" s="5"/>
      <c r="AB25" s="5"/>
      <c r="AC25" s="5"/>
      <c r="AD25" s="5"/>
      <c r="AE25" s="5"/>
    </row>
    <row r="26">
      <c r="A26" s="4" t="s">
        <v>122</v>
      </c>
      <c r="B26" s="4"/>
      <c r="C26" s="4" t="s">
        <v>64</v>
      </c>
      <c r="D26" s="4">
        <v>49831.0</v>
      </c>
      <c r="E26" s="4"/>
      <c r="F26" s="4" t="s">
        <v>65</v>
      </c>
      <c r="G26" s="4">
        <v>299.0</v>
      </c>
      <c r="H26" s="4"/>
      <c r="I26" s="4">
        <v>299.0</v>
      </c>
      <c r="J26" s="4" t="s">
        <v>123</v>
      </c>
      <c r="K26" s="4">
        <v>9.1830320507E11</v>
      </c>
      <c r="L26" s="4" t="s">
        <v>67</v>
      </c>
      <c r="M26" s="4" t="b">
        <v>0</v>
      </c>
      <c r="N26" s="4" t="s">
        <v>68</v>
      </c>
      <c r="O26" s="4" t="s">
        <v>69</v>
      </c>
      <c r="P26" s="6">
        <v>44238.73811342593</v>
      </c>
      <c r="Q26" s="4">
        <v>12741.0</v>
      </c>
      <c r="R26" s="4"/>
      <c r="S26" s="4"/>
      <c r="T26" s="4"/>
      <c r="U26" s="7"/>
      <c r="V26" s="4"/>
      <c r="W26" s="4"/>
      <c r="X26" s="4"/>
      <c r="Y26" s="4"/>
      <c r="Z26" s="4"/>
      <c r="AA26" s="5"/>
      <c r="AB26" s="5"/>
      <c r="AC26" s="5"/>
      <c r="AD26" s="5"/>
      <c r="AE26" s="5"/>
    </row>
    <row r="27">
      <c r="A27" s="4" t="s">
        <v>124</v>
      </c>
      <c r="B27" s="4"/>
      <c r="C27" s="4" t="s">
        <v>76</v>
      </c>
      <c r="D27" s="4">
        <v>49834.0</v>
      </c>
      <c r="E27" s="4"/>
      <c r="F27" s="4" t="s">
        <v>85</v>
      </c>
      <c r="G27" s="4">
        <v>299.0</v>
      </c>
      <c r="H27" s="4"/>
      <c r="I27" s="4">
        <v>299.0</v>
      </c>
      <c r="J27" s="4" t="s">
        <v>125</v>
      </c>
      <c r="K27" s="4">
        <v>9.17990724041E11</v>
      </c>
      <c r="L27" s="4" t="s">
        <v>67</v>
      </c>
      <c r="M27" s="4" t="b">
        <v>0</v>
      </c>
      <c r="N27" s="4" t="s">
        <v>68</v>
      </c>
      <c r="O27" s="4" t="s">
        <v>69</v>
      </c>
      <c r="P27" s="6">
        <v>44238.872511574074</v>
      </c>
      <c r="Q27" s="4">
        <v>4827.0</v>
      </c>
      <c r="R27" s="4"/>
      <c r="S27" s="4"/>
      <c r="T27" s="4"/>
      <c r="U27" s="7"/>
      <c r="V27" s="4"/>
      <c r="W27" s="4"/>
      <c r="X27" s="4"/>
      <c r="Y27" s="4"/>
      <c r="Z27" s="4"/>
      <c r="AA27" s="5"/>
      <c r="AB27" s="5"/>
      <c r="AC27" s="5"/>
      <c r="AD27" s="5"/>
      <c r="AE27" s="5"/>
    </row>
    <row r="28">
      <c r="A28" s="4" t="s">
        <v>126</v>
      </c>
      <c r="B28" s="4"/>
      <c r="C28" s="4" t="s">
        <v>64</v>
      </c>
      <c r="D28" s="4">
        <v>49831.0</v>
      </c>
      <c r="E28" s="4"/>
      <c r="F28" s="4" t="s">
        <v>65</v>
      </c>
      <c r="G28" s="4">
        <v>299.0</v>
      </c>
      <c r="H28" s="4"/>
      <c r="I28" s="4">
        <v>299.0</v>
      </c>
      <c r="J28" s="4" t="s">
        <v>127</v>
      </c>
      <c r="K28" s="4">
        <v>9.18273506739E11</v>
      </c>
      <c r="L28" s="4" t="s">
        <v>67</v>
      </c>
      <c r="M28" s="4" t="b">
        <v>0</v>
      </c>
      <c r="N28" s="4" t="s">
        <v>68</v>
      </c>
      <c r="O28" s="4" t="s">
        <v>69</v>
      </c>
      <c r="P28" s="6">
        <v>44239.51304398148</v>
      </c>
      <c r="Q28" s="4">
        <v>12920.0</v>
      </c>
      <c r="R28" s="4"/>
      <c r="S28" s="4"/>
      <c r="T28" s="4"/>
      <c r="U28" s="7"/>
      <c r="V28" s="4"/>
      <c r="W28" s="4"/>
      <c r="X28" s="4"/>
      <c r="Y28" s="4"/>
      <c r="Z28" s="4"/>
      <c r="AA28" s="5"/>
      <c r="AB28" s="5"/>
      <c r="AC28" s="5"/>
      <c r="AD28" s="5"/>
      <c r="AE28" s="5"/>
    </row>
    <row r="29">
      <c r="A29" s="4" t="s">
        <v>128</v>
      </c>
      <c r="B29" s="4"/>
      <c r="C29" s="4" t="s">
        <v>76</v>
      </c>
      <c r="D29" s="4">
        <v>49834.0</v>
      </c>
      <c r="E29" s="4"/>
      <c r="F29" s="4" t="s">
        <v>77</v>
      </c>
      <c r="G29" s="4">
        <v>499.0</v>
      </c>
      <c r="H29" s="4"/>
      <c r="I29" s="4">
        <v>499.0</v>
      </c>
      <c r="J29" s="4" t="s">
        <v>129</v>
      </c>
      <c r="K29" s="4">
        <v>9.71505493883E11</v>
      </c>
      <c r="L29" s="4" t="s">
        <v>67</v>
      </c>
      <c r="M29" s="4" t="b">
        <v>0</v>
      </c>
      <c r="N29" s="4" t="s">
        <v>74</v>
      </c>
      <c r="O29" s="4" t="s">
        <v>69</v>
      </c>
      <c r="P29" s="6">
        <v>44239.55228009259</v>
      </c>
      <c r="Q29" s="4">
        <v>2133.0</v>
      </c>
      <c r="R29" s="4"/>
      <c r="S29" s="4"/>
      <c r="T29" s="4"/>
      <c r="U29" s="7"/>
      <c r="V29" s="4"/>
      <c r="W29" s="4"/>
      <c r="X29" s="4"/>
      <c r="Y29" s="4"/>
      <c r="Z29" s="4"/>
      <c r="AA29" s="5"/>
      <c r="AB29" s="5"/>
      <c r="AC29" s="5"/>
      <c r="AD29" s="5"/>
      <c r="AE29" s="5"/>
    </row>
    <row r="30">
      <c r="A30" s="4" t="s">
        <v>130</v>
      </c>
      <c r="B30" s="4"/>
      <c r="C30" s="4" t="s">
        <v>64</v>
      </c>
      <c r="D30" s="4">
        <v>49831.0</v>
      </c>
      <c r="E30" s="4"/>
      <c r="F30" s="4" t="s">
        <v>65</v>
      </c>
      <c r="G30" s="4">
        <v>299.0</v>
      </c>
      <c r="H30" s="4"/>
      <c r="I30" s="4">
        <v>299.0</v>
      </c>
      <c r="J30" s="4" t="s">
        <v>131</v>
      </c>
      <c r="K30" s="4">
        <v>9.19354096048E11</v>
      </c>
      <c r="L30" s="4" t="s">
        <v>67</v>
      </c>
      <c r="M30" s="4" t="b">
        <v>0</v>
      </c>
      <c r="N30" s="4" t="s">
        <v>68</v>
      </c>
      <c r="O30" s="4" t="s">
        <v>69</v>
      </c>
      <c r="P30" s="6">
        <v>44242.90726851852</v>
      </c>
      <c r="Q30" s="4">
        <v>14022.0</v>
      </c>
      <c r="R30" s="4"/>
      <c r="S30" s="4"/>
      <c r="T30" s="4"/>
      <c r="U30" s="7"/>
      <c r="V30" s="4"/>
      <c r="W30" s="4"/>
      <c r="X30" s="4"/>
      <c r="Y30" s="4"/>
      <c r="Z30" s="4"/>
      <c r="AA30" s="5"/>
      <c r="AB30" s="5"/>
      <c r="AC30" s="5"/>
      <c r="AD30" s="5"/>
      <c r="AE30" s="5"/>
    </row>
    <row r="31">
      <c r="A31" s="4" t="s">
        <v>132</v>
      </c>
      <c r="B31" s="4"/>
      <c r="C31" s="4" t="s">
        <v>64</v>
      </c>
      <c r="D31" s="4">
        <v>49831.0</v>
      </c>
      <c r="E31" s="4"/>
      <c r="F31" s="4" t="s">
        <v>65</v>
      </c>
      <c r="G31" s="4">
        <v>299.0</v>
      </c>
      <c r="H31" s="4"/>
      <c r="I31" s="4">
        <v>299.0</v>
      </c>
      <c r="J31" s="4" t="s">
        <v>133</v>
      </c>
      <c r="K31" s="4">
        <v>9.18868001977E11</v>
      </c>
      <c r="L31" s="4" t="s">
        <v>67</v>
      </c>
      <c r="M31" s="4" t="b">
        <v>0</v>
      </c>
      <c r="N31" s="4" t="s">
        <v>68</v>
      </c>
      <c r="O31" s="4" t="s">
        <v>69</v>
      </c>
      <c r="P31" s="6">
        <v>44243.47126157407</v>
      </c>
      <c r="Q31" s="4">
        <v>14012.0</v>
      </c>
      <c r="R31" s="4"/>
      <c r="S31" s="4"/>
      <c r="T31" s="4"/>
      <c r="U31" s="7"/>
      <c r="V31" s="4"/>
      <c r="W31" s="4"/>
      <c r="X31" s="4"/>
      <c r="Y31" s="4"/>
      <c r="Z31" s="4"/>
      <c r="AA31" s="5"/>
      <c r="AB31" s="5"/>
      <c r="AC31" s="5"/>
      <c r="AD31" s="5"/>
      <c r="AE31" s="5"/>
    </row>
    <row r="32">
      <c r="A32" s="4" t="s">
        <v>134</v>
      </c>
      <c r="B32" s="4"/>
      <c r="C32" s="4" t="s">
        <v>64</v>
      </c>
      <c r="D32" s="4">
        <v>49831.0</v>
      </c>
      <c r="E32" s="4"/>
      <c r="F32" s="4" t="s">
        <v>65</v>
      </c>
      <c r="G32" s="4">
        <v>299.0</v>
      </c>
      <c r="H32" s="4"/>
      <c r="I32" s="4">
        <v>299.0</v>
      </c>
      <c r="J32" s="4" t="s">
        <v>135</v>
      </c>
      <c r="K32" s="4">
        <v>9.18580434919E11</v>
      </c>
      <c r="L32" s="4" t="s">
        <v>67</v>
      </c>
      <c r="M32" s="4" t="b">
        <v>0</v>
      </c>
      <c r="N32" s="4" t="s">
        <v>68</v>
      </c>
      <c r="O32" s="4" t="s">
        <v>69</v>
      </c>
      <c r="P32" s="6">
        <v>44244.42799768518</v>
      </c>
      <c r="Q32" s="4">
        <v>15214.0</v>
      </c>
      <c r="R32" s="4"/>
      <c r="S32" s="4"/>
      <c r="T32" s="4"/>
      <c r="U32" s="7"/>
      <c r="V32" s="4"/>
      <c r="W32" s="4"/>
      <c r="X32" s="4"/>
      <c r="Y32" s="4"/>
      <c r="Z32" s="4"/>
      <c r="AA32" s="5"/>
      <c r="AB32" s="5"/>
      <c r="AC32" s="5"/>
      <c r="AD32" s="5"/>
      <c r="AE32" s="5"/>
    </row>
    <row r="33">
      <c r="A33" s="4" t="s">
        <v>136</v>
      </c>
      <c r="B33" s="4"/>
      <c r="C33" s="4" t="s">
        <v>137</v>
      </c>
      <c r="D33" s="4">
        <v>49831.0</v>
      </c>
      <c r="E33" s="4"/>
      <c r="F33" s="4" t="s">
        <v>77</v>
      </c>
      <c r="G33" s="4">
        <v>499.0</v>
      </c>
      <c r="H33" s="4"/>
      <c r="I33" s="4">
        <v>499.0</v>
      </c>
      <c r="J33" s="4" t="s">
        <v>138</v>
      </c>
      <c r="K33" s="4">
        <v>9.16390327674E11</v>
      </c>
      <c r="L33" s="4" t="s">
        <v>67</v>
      </c>
      <c r="M33" s="4" t="b">
        <v>0</v>
      </c>
      <c r="N33" s="4" t="s">
        <v>68</v>
      </c>
      <c r="O33" s="4" t="s">
        <v>69</v>
      </c>
      <c r="P33" s="6">
        <v>44244.88947916667</v>
      </c>
      <c r="Q33" s="4">
        <v>14209.0</v>
      </c>
      <c r="R33" s="4"/>
      <c r="S33" s="4"/>
      <c r="T33" s="4"/>
      <c r="U33" s="7"/>
      <c r="V33" s="4"/>
      <c r="W33" s="4"/>
      <c r="X33" s="4"/>
      <c r="Y33" s="4"/>
      <c r="Z33" s="4"/>
      <c r="AA33" s="5"/>
      <c r="AB33" s="5"/>
      <c r="AC33" s="5"/>
      <c r="AD33" s="5"/>
      <c r="AE33" s="5"/>
    </row>
    <row r="34">
      <c r="A34" s="4" t="s">
        <v>139</v>
      </c>
      <c r="B34" s="4"/>
      <c r="C34" s="4" t="s">
        <v>64</v>
      </c>
      <c r="D34" s="4">
        <v>49831.0</v>
      </c>
      <c r="E34" s="4"/>
      <c r="F34" s="4" t="s">
        <v>65</v>
      </c>
      <c r="G34" s="4">
        <v>299.0</v>
      </c>
      <c r="H34" s="4"/>
      <c r="I34" s="4">
        <v>299.0</v>
      </c>
      <c r="J34" s="4" t="s">
        <v>140</v>
      </c>
      <c r="K34" s="4">
        <v>9.19673465779E11</v>
      </c>
      <c r="L34" s="4" t="s">
        <v>67</v>
      </c>
      <c r="M34" s="4" t="b">
        <v>0</v>
      </c>
      <c r="N34" s="4" t="s">
        <v>68</v>
      </c>
      <c r="O34" s="4" t="s">
        <v>69</v>
      </c>
      <c r="P34" s="6">
        <v>44245.72225694444</v>
      </c>
      <c r="Q34" s="4">
        <v>14290.0</v>
      </c>
      <c r="R34" s="4"/>
      <c r="S34" s="4"/>
      <c r="T34" s="4"/>
      <c r="U34" s="7"/>
      <c r="V34" s="4"/>
      <c r="W34" s="4"/>
      <c r="X34" s="4"/>
      <c r="Y34" s="4"/>
      <c r="Z34" s="4"/>
      <c r="AA34" s="5"/>
      <c r="AB34" s="5"/>
      <c r="AC34" s="5"/>
      <c r="AD34" s="5"/>
      <c r="AE34" s="5"/>
    </row>
    <row r="35">
      <c r="A35" s="4" t="s">
        <v>141</v>
      </c>
      <c r="B35" s="4"/>
      <c r="C35" s="4" t="s">
        <v>137</v>
      </c>
      <c r="D35" s="4">
        <v>49831.0</v>
      </c>
      <c r="E35" s="4"/>
      <c r="F35" s="4" t="s">
        <v>77</v>
      </c>
      <c r="G35" s="4">
        <v>799.0</v>
      </c>
      <c r="H35" s="4"/>
      <c r="I35" s="4">
        <v>799.0</v>
      </c>
      <c r="J35" s="4" t="s">
        <v>142</v>
      </c>
      <c r="K35" s="4">
        <v>9.19316585465E11</v>
      </c>
      <c r="L35" s="4" t="s">
        <v>67</v>
      </c>
      <c r="M35" s="4" t="b">
        <v>0</v>
      </c>
      <c r="N35" s="4" t="s">
        <v>68</v>
      </c>
      <c r="O35" s="4" t="s">
        <v>69</v>
      </c>
      <c r="P35" s="6">
        <v>44249.847662037035</v>
      </c>
      <c r="Q35" s="4">
        <v>14835.0</v>
      </c>
      <c r="R35" s="4"/>
      <c r="S35" s="4"/>
      <c r="T35" s="4"/>
      <c r="U35" s="7"/>
      <c r="V35" s="4"/>
      <c r="W35" s="4"/>
      <c r="X35" s="4"/>
      <c r="Y35" s="4"/>
      <c r="Z35" s="4"/>
      <c r="AA35" s="5"/>
      <c r="AB35" s="5"/>
      <c r="AC35" s="5"/>
      <c r="AD35" s="5"/>
      <c r="AE35" s="5"/>
    </row>
    <row r="36">
      <c r="A36" s="4" t="s">
        <v>143</v>
      </c>
      <c r="B36" s="4"/>
      <c r="C36" s="4" t="s">
        <v>64</v>
      </c>
      <c r="D36" s="4">
        <v>49831.0</v>
      </c>
      <c r="E36" s="4"/>
      <c r="F36" s="4" t="s">
        <v>85</v>
      </c>
      <c r="G36" s="4">
        <v>499.0</v>
      </c>
      <c r="H36" s="4"/>
      <c r="I36" s="4">
        <v>499.0</v>
      </c>
      <c r="J36" s="4" t="s">
        <v>144</v>
      </c>
      <c r="K36" s="4">
        <v>9.18433120759E11</v>
      </c>
      <c r="L36" s="4" t="s">
        <v>67</v>
      </c>
      <c r="M36" s="4" t="b">
        <v>0</v>
      </c>
      <c r="N36" s="4" t="s">
        <v>68</v>
      </c>
      <c r="O36" s="4" t="s">
        <v>69</v>
      </c>
      <c r="P36" s="6">
        <v>44250.54157407407</v>
      </c>
      <c r="Q36" s="4">
        <v>14884.0</v>
      </c>
      <c r="R36" s="4"/>
      <c r="S36" s="4"/>
      <c r="T36" s="4"/>
      <c r="U36" s="7"/>
      <c r="V36" s="4"/>
      <c r="W36" s="4"/>
      <c r="X36" s="4"/>
      <c r="Y36" s="4"/>
      <c r="Z36" s="4"/>
      <c r="AA36" s="5"/>
      <c r="AB36" s="5"/>
      <c r="AC36" s="5"/>
      <c r="AD36" s="5"/>
      <c r="AE36" s="5"/>
    </row>
    <row r="37">
      <c r="A37" s="4" t="s">
        <v>145</v>
      </c>
      <c r="B37" s="4"/>
      <c r="C37" s="4" t="s">
        <v>64</v>
      </c>
      <c r="D37" s="4">
        <v>49831.0</v>
      </c>
      <c r="E37" s="4"/>
      <c r="F37" s="4" t="s">
        <v>85</v>
      </c>
      <c r="G37" s="4">
        <v>499.0</v>
      </c>
      <c r="H37" s="4"/>
      <c r="I37" s="4">
        <v>499.0</v>
      </c>
      <c r="J37" s="4" t="s">
        <v>146</v>
      </c>
      <c r="K37" s="4">
        <v>9.18278498095E11</v>
      </c>
      <c r="L37" s="4" t="s">
        <v>67</v>
      </c>
      <c r="M37" s="4" t="b">
        <v>0</v>
      </c>
      <c r="N37" s="4" t="s">
        <v>68</v>
      </c>
      <c r="O37" s="4" t="s">
        <v>69</v>
      </c>
      <c r="P37" s="6">
        <v>44251.4890625</v>
      </c>
      <c r="Q37" s="4">
        <v>15782.0</v>
      </c>
      <c r="R37" s="4"/>
      <c r="S37" s="4"/>
      <c r="T37" s="4"/>
      <c r="U37" s="7"/>
      <c r="V37" s="4"/>
      <c r="W37" s="4"/>
      <c r="X37" s="4"/>
      <c r="Y37" s="4"/>
      <c r="Z37" s="4"/>
      <c r="AA37" s="5"/>
      <c r="AB37" s="5"/>
      <c r="AC37" s="5"/>
      <c r="AD37" s="5"/>
      <c r="AE37" s="5"/>
    </row>
    <row r="38">
      <c r="A38" s="4" t="s">
        <v>147</v>
      </c>
      <c r="B38" s="4"/>
      <c r="C38" s="4" t="s">
        <v>148</v>
      </c>
      <c r="D38" s="4">
        <v>49991.0</v>
      </c>
      <c r="E38" s="4"/>
      <c r="F38" s="4" t="s">
        <v>149</v>
      </c>
      <c r="G38" s="4">
        <v>99.0</v>
      </c>
      <c r="H38" s="4"/>
      <c r="I38" s="4">
        <v>99.0</v>
      </c>
      <c r="J38" s="4" t="s">
        <v>150</v>
      </c>
      <c r="K38" s="4">
        <v>9.197360124E11</v>
      </c>
      <c r="L38" s="4" t="s">
        <v>67</v>
      </c>
      <c r="M38" s="4" t="b">
        <v>0</v>
      </c>
      <c r="N38" s="4" t="s">
        <v>151</v>
      </c>
      <c r="O38" s="4" t="s">
        <v>69</v>
      </c>
      <c r="P38" s="6">
        <v>44299.29246527778</v>
      </c>
      <c r="Q38" s="4">
        <v>16847.0</v>
      </c>
      <c r="R38" s="4"/>
      <c r="S38" s="4"/>
      <c r="T38" s="4"/>
      <c r="U38" s="7"/>
      <c r="V38" s="4"/>
      <c r="W38" s="4"/>
      <c r="X38" s="4"/>
      <c r="Y38" s="4"/>
      <c r="Z38" s="4"/>
      <c r="AA38" s="5"/>
      <c r="AB38" s="5"/>
      <c r="AC38" s="5"/>
      <c r="AD38" s="5"/>
      <c r="AE38" s="5"/>
    </row>
    <row r="39">
      <c r="A39" s="4" t="s">
        <v>152</v>
      </c>
      <c r="B39" s="4"/>
      <c r="C39" s="4" t="s">
        <v>76</v>
      </c>
      <c r="D39" s="4">
        <v>49834.0</v>
      </c>
      <c r="E39" s="4"/>
      <c r="F39" s="4" t="s">
        <v>77</v>
      </c>
      <c r="G39" s="4">
        <v>499.0</v>
      </c>
      <c r="H39" s="4"/>
      <c r="I39" s="4">
        <v>499.0</v>
      </c>
      <c r="J39" s="4" t="s">
        <v>153</v>
      </c>
      <c r="K39" s="4">
        <v>9.19910766244E11</v>
      </c>
      <c r="L39" s="4" t="s">
        <v>67</v>
      </c>
      <c r="M39" s="4" t="b">
        <v>0</v>
      </c>
      <c r="N39" s="4" t="s">
        <v>97</v>
      </c>
      <c r="O39" s="4" t="s">
        <v>69</v>
      </c>
      <c r="P39" s="6">
        <v>44252.765081018515</v>
      </c>
      <c r="Q39" s="4">
        <v>10837.0</v>
      </c>
      <c r="R39" s="4"/>
      <c r="S39" s="4"/>
      <c r="T39" s="4"/>
      <c r="U39" s="7"/>
      <c r="V39" s="4"/>
      <c r="W39" s="4"/>
      <c r="X39" s="4"/>
      <c r="Y39" s="4"/>
      <c r="Z39" s="4"/>
      <c r="AA39" s="5"/>
      <c r="AB39" s="5"/>
      <c r="AC39" s="5"/>
      <c r="AD39" s="5"/>
      <c r="AE39" s="5"/>
    </row>
    <row r="40">
      <c r="A40" s="4" t="s">
        <v>154</v>
      </c>
      <c r="B40" s="4"/>
      <c r="C40" s="4" t="s">
        <v>64</v>
      </c>
      <c r="D40" s="4">
        <v>49831.0</v>
      </c>
      <c r="E40" s="4"/>
      <c r="F40" s="4" t="s">
        <v>85</v>
      </c>
      <c r="G40" s="4">
        <v>499.0</v>
      </c>
      <c r="H40" s="4"/>
      <c r="I40" s="4">
        <v>499.0</v>
      </c>
      <c r="J40" s="4" t="s">
        <v>155</v>
      </c>
      <c r="K40" s="4">
        <v>9.18975594479E11</v>
      </c>
      <c r="L40" s="4" t="s">
        <v>67</v>
      </c>
      <c r="M40" s="4" t="b">
        <v>0</v>
      </c>
      <c r="N40" s="4" t="s">
        <v>68</v>
      </c>
      <c r="O40" s="4" t="s">
        <v>69</v>
      </c>
      <c r="P40" s="6">
        <v>44252.904178240744</v>
      </c>
      <c r="Q40" s="4">
        <v>15127.0</v>
      </c>
      <c r="R40" s="4"/>
      <c r="S40" s="4"/>
      <c r="T40" s="4"/>
      <c r="U40" s="7"/>
      <c r="V40" s="4"/>
      <c r="W40" s="4"/>
      <c r="X40" s="4"/>
      <c r="Y40" s="4"/>
      <c r="Z40" s="4"/>
      <c r="AA40" s="5"/>
      <c r="AB40" s="5"/>
      <c r="AC40" s="5"/>
      <c r="AD40" s="5"/>
      <c r="AE40" s="5"/>
    </row>
    <row r="41">
      <c r="A41" s="4" t="s">
        <v>156</v>
      </c>
      <c r="B41" s="4"/>
      <c r="C41" s="4" t="s">
        <v>64</v>
      </c>
      <c r="D41" s="4">
        <v>49831.0</v>
      </c>
      <c r="E41" s="4"/>
      <c r="F41" s="4" t="s">
        <v>85</v>
      </c>
      <c r="G41" s="4">
        <v>499.0</v>
      </c>
      <c r="H41" s="4"/>
      <c r="I41" s="4">
        <v>499.0</v>
      </c>
      <c r="J41" s="4" t="s">
        <v>157</v>
      </c>
      <c r="K41" s="4">
        <v>9.1870899305E11</v>
      </c>
      <c r="L41" s="4" t="s">
        <v>67</v>
      </c>
      <c r="M41" s="4" t="b">
        <v>0</v>
      </c>
      <c r="N41" s="4" t="s">
        <v>68</v>
      </c>
      <c r="O41" s="4" t="s">
        <v>69</v>
      </c>
      <c r="P41" s="6">
        <v>44253.691412037035</v>
      </c>
      <c r="Q41" s="4">
        <v>15219.0</v>
      </c>
      <c r="R41" s="4"/>
      <c r="S41" s="4"/>
      <c r="T41" s="4"/>
      <c r="U41" s="7"/>
      <c r="V41" s="4"/>
      <c r="W41" s="4"/>
      <c r="X41" s="4"/>
      <c r="Y41" s="4"/>
      <c r="Z41" s="4"/>
      <c r="AA41" s="5"/>
      <c r="AB41" s="5"/>
      <c r="AC41" s="5"/>
      <c r="AD41" s="5"/>
      <c r="AE41" s="5"/>
    </row>
    <row r="42">
      <c r="A42" s="4" t="s">
        <v>158</v>
      </c>
      <c r="B42" s="4"/>
      <c r="C42" s="4" t="s">
        <v>148</v>
      </c>
      <c r="D42" s="4">
        <v>49991.0</v>
      </c>
      <c r="E42" s="4"/>
      <c r="F42" s="4" t="s">
        <v>85</v>
      </c>
      <c r="G42" s="4">
        <v>199.0</v>
      </c>
      <c r="H42" s="4"/>
      <c r="I42" s="4">
        <v>199.0</v>
      </c>
      <c r="J42" s="4" t="s">
        <v>159</v>
      </c>
      <c r="K42" s="4">
        <v>9.19511729052E11</v>
      </c>
      <c r="L42" s="4" t="s">
        <v>67</v>
      </c>
      <c r="M42" s="4" t="b">
        <v>0</v>
      </c>
      <c r="N42" s="4" t="s">
        <v>74</v>
      </c>
      <c r="O42" s="4" t="s">
        <v>69</v>
      </c>
      <c r="P42" s="6">
        <v>44300.60493055556</v>
      </c>
      <c r="Q42" s="4">
        <v>16894.0</v>
      </c>
      <c r="R42" s="4"/>
      <c r="S42" s="4"/>
      <c r="T42" s="4"/>
      <c r="U42" s="7"/>
      <c r="V42" s="4"/>
      <c r="W42" s="4"/>
      <c r="X42" s="4"/>
      <c r="Y42" s="4"/>
      <c r="Z42" s="4"/>
      <c r="AA42" s="5"/>
      <c r="AB42" s="5"/>
      <c r="AC42" s="5"/>
      <c r="AD42" s="5"/>
      <c r="AE42" s="5"/>
    </row>
    <row r="43">
      <c r="A43" s="4" t="s">
        <v>160</v>
      </c>
      <c r="B43" s="4"/>
      <c r="C43" s="4" t="s">
        <v>137</v>
      </c>
      <c r="D43" s="4">
        <v>49831.0</v>
      </c>
      <c r="E43" s="4"/>
      <c r="F43" s="4" t="s">
        <v>77</v>
      </c>
      <c r="G43" s="4">
        <v>799.0</v>
      </c>
      <c r="H43" s="4"/>
      <c r="I43" s="4">
        <v>799.0</v>
      </c>
      <c r="J43" s="4" t="s">
        <v>161</v>
      </c>
      <c r="K43" s="4">
        <v>9.19658922585E11</v>
      </c>
      <c r="L43" s="4" t="s">
        <v>67</v>
      </c>
      <c r="M43" s="4" t="b">
        <v>0</v>
      </c>
      <c r="N43" s="4" t="s">
        <v>74</v>
      </c>
      <c r="O43" s="4" t="s">
        <v>69</v>
      </c>
      <c r="P43" s="6">
        <v>44257.636469907404</v>
      </c>
      <c r="Q43" s="4">
        <v>15577.0</v>
      </c>
      <c r="R43" s="4"/>
      <c r="S43" s="4"/>
      <c r="T43" s="4"/>
      <c r="U43" s="7"/>
      <c r="V43" s="4"/>
      <c r="W43" s="4"/>
      <c r="X43" s="4"/>
      <c r="Y43" s="4"/>
      <c r="Z43" s="4"/>
      <c r="AA43" s="5"/>
      <c r="AB43" s="5"/>
      <c r="AC43" s="5"/>
      <c r="AD43" s="5"/>
      <c r="AE43" s="5"/>
    </row>
    <row r="44">
      <c r="A44" s="4" t="s">
        <v>162</v>
      </c>
      <c r="B44" s="4"/>
      <c r="C44" s="4" t="s">
        <v>64</v>
      </c>
      <c r="D44" s="4">
        <v>49831.0</v>
      </c>
      <c r="E44" s="4"/>
      <c r="F44" s="4" t="s">
        <v>85</v>
      </c>
      <c r="G44" s="4">
        <v>499.0</v>
      </c>
      <c r="H44" s="4"/>
      <c r="I44" s="4">
        <v>499.0</v>
      </c>
      <c r="J44" s="4" t="s">
        <v>163</v>
      </c>
      <c r="K44" s="4">
        <v>9.19310446765E11</v>
      </c>
      <c r="L44" s="4" t="s">
        <v>67</v>
      </c>
      <c r="M44" s="4" t="b">
        <v>0</v>
      </c>
      <c r="N44" s="4" t="s">
        <v>68</v>
      </c>
      <c r="O44" s="4" t="s">
        <v>69</v>
      </c>
      <c r="P44" s="6">
        <v>44257.80390046296</v>
      </c>
      <c r="Q44" s="4">
        <v>15580.0</v>
      </c>
      <c r="R44" s="4"/>
      <c r="S44" s="4"/>
      <c r="T44" s="4"/>
      <c r="U44" s="7"/>
      <c r="V44" s="4"/>
      <c r="W44" s="4"/>
      <c r="X44" s="4"/>
      <c r="Y44" s="4"/>
      <c r="Z44" s="4"/>
      <c r="AA44" s="5"/>
      <c r="AB44" s="5"/>
      <c r="AC44" s="5"/>
      <c r="AD44" s="5"/>
      <c r="AE44" s="5"/>
    </row>
    <row r="45">
      <c r="A45" s="4" t="s">
        <v>164</v>
      </c>
      <c r="B45" s="4"/>
      <c r="C45" s="4" t="s">
        <v>64</v>
      </c>
      <c r="D45" s="4">
        <v>49831.0</v>
      </c>
      <c r="E45" s="4"/>
      <c r="F45" s="4" t="s">
        <v>85</v>
      </c>
      <c r="G45" s="4">
        <v>499.0</v>
      </c>
      <c r="H45" s="4"/>
      <c r="I45" s="4">
        <v>499.0</v>
      </c>
      <c r="J45" s="4" t="s">
        <v>165</v>
      </c>
      <c r="K45" s="4">
        <v>9.19322695468E11</v>
      </c>
      <c r="L45" s="4" t="s">
        <v>67</v>
      </c>
      <c r="M45" s="4" t="b">
        <v>0</v>
      </c>
      <c r="N45" s="4" t="s">
        <v>74</v>
      </c>
      <c r="O45" s="4" t="s">
        <v>69</v>
      </c>
      <c r="P45" s="6">
        <v>44258.89090277778</v>
      </c>
      <c r="Q45" s="4" t="s">
        <v>83</v>
      </c>
      <c r="R45" s="4"/>
      <c r="S45" s="4"/>
      <c r="T45" s="4"/>
      <c r="U45" s="7"/>
      <c r="V45" s="4"/>
      <c r="W45" s="4"/>
      <c r="X45" s="4"/>
      <c r="Y45" s="4"/>
      <c r="Z45" s="4"/>
      <c r="AA45" s="5"/>
      <c r="AB45" s="5"/>
      <c r="AC45" s="5"/>
      <c r="AD45" s="5"/>
      <c r="AE45" s="5"/>
    </row>
    <row r="46">
      <c r="A46" s="4" t="s">
        <v>166</v>
      </c>
      <c r="B46" s="4"/>
      <c r="C46" s="4" t="s">
        <v>76</v>
      </c>
      <c r="D46" s="4">
        <v>49834.0</v>
      </c>
      <c r="E46" s="4"/>
      <c r="F46" s="4" t="s">
        <v>85</v>
      </c>
      <c r="G46" s="4">
        <v>299.0</v>
      </c>
      <c r="H46" s="4"/>
      <c r="I46" s="4">
        <v>299.0</v>
      </c>
      <c r="J46" s="4" t="s">
        <v>167</v>
      </c>
      <c r="K46" s="4">
        <v>9.17903350694E11</v>
      </c>
      <c r="L46" s="4" t="s">
        <v>67</v>
      </c>
      <c r="M46" s="4" t="b">
        <v>0</v>
      </c>
      <c r="N46" s="4" t="s">
        <v>68</v>
      </c>
      <c r="O46" s="4" t="s">
        <v>69</v>
      </c>
      <c r="P46" s="6">
        <v>44259.114756944444</v>
      </c>
      <c r="Q46" s="4">
        <v>11297.0</v>
      </c>
      <c r="R46" s="4"/>
      <c r="S46" s="4"/>
      <c r="T46" s="4"/>
      <c r="U46" s="7"/>
      <c r="V46" s="4"/>
      <c r="W46" s="4"/>
      <c r="X46" s="4"/>
      <c r="Y46" s="4"/>
      <c r="Z46" s="4"/>
      <c r="AA46" s="5"/>
      <c r="AB46" s="5"/>
      <c r="AC46" s="5"/>
      <c r="AD46" s="5"/>
      <c r="AE46" s="5"/>
    </row>
    <row r="47">
      <c r="A47" s="4" t="s">
        <v>168</v>
      </c>
      <c r="B47" s="4"/>
      <c r="C47" s="4" t="s">
        <v>76</v>
      </c>
      <c r="D47" s="4">
        <v>49834.0</v>
      </c>
      <c r="E47" s="4"/>
      <c r="F47" s="4" t="s">
        <v>85</v>
      </c>
      <c r="G47" s="4">
        <v>299.0</v>
      </c>
      <c r="H47" s="4"/>
      <c r="I47" s="4">
        <v>299.0</v>
      </c>
      <c r="J47" s="4" t="s">
        <v>169</v>
      </c>
      <c r="K47" s="4">
        <v>9.17226918962E11</v>
      </c>
      <c r="L47" s="4" t="s">
        <v>67</v>
      </c>
      <c r="M47" s="4" t="b">
        <v>0</v>
      </c>
      <c r="N47" s="4" t="s">
        <v>74</v>
      </c>
      <c r="O47" s="4" t="s">
        <v>69</v>
      </c>
      <c r="P47" s="6">
        <v>44259.72486111111</v>
      </c>
      <c r="Q47" s="4">
        <v>16068.0</v>
      </c>
      <c r="R47" s="4"/>
      <c r="S47" s="4"/>
      <c r="T47" s="4"/>
      <c r="U47" s="7"/>
      <c r="V47" s="4"/>
      <c r="W47" s="4"/>
      <c r="X47" s="4"/>
      <c r="Y47" s="4"/>
      <c r="Z47" s="4"/>
      <c r="AA47" s="5"/>
      <c r="AB47" s="5"/>
      <c r="AC47" s="5"/>
      <c r="AD47" s="5"/>
      <c r="AE47" s="5"/>
    </row>
    <row r="48">
      <c r="A48" s="4" t="s">
        <v>170</v>
      </c>
      <c r="B48" s="4"/>
      <c r="C48" s="4" t="s">
        <v>137</v>
      </c>
      <c r="D48" s="4">
        <v>49831.0</v>
      </c>
      <c r="E48" s="4"/>
      <c r="F48" s="4" t="s">
        <v>77</v>
      </c>
      <c r="G48" s="4">
        <v>799.0</v>
      </c>
      <c r="H48" s="4"/>
      <c r="I48" s="4">
        <v>799.0</v>
      </c>
      <c r="J48" s="4" t="s">
        <v>171</v>
      </c>
      <c r="K48" s="4">
        <v>9.18318980567E11</v>
      </c>
      <c r="L48" s="4" t="s">
        <v>67</v>
      </c>
      <c r="M48" s="4" t="b">
        <v>0</v>
      </c>
      <c r="N48" s="4" t="s">
        <v>68</v>
      </c>
      <c r="O48" s="4" t="s">
        <v>69</v>
      </c>
      <c r="P48" s="6">
        <v>44259.73310185185</v>
      </c>
      <c r="Q48" s="4">
        <v>16807.0</v>
      </c>
      <c r="R48" s="4"/>
      <c r="S48" s="4"/>
      <c r="T48" s="4"/>
      <c r="U48" s="7"/>
      <c r="V48" s="4"/>
      <c r="W48" s="4"/>
      <c r="X48" s="4"/>
      <c r="Y48" s="4"/>
      <c r="Z48" s="4"/>
      <c r="AA48" s="5"/>
      <c r="AB48" s="5"/>
      <c r="AC48" s="5"/>
      <c r="AD48" s="5"/>
      <c r="AE48" s="5"/>
    </row>
    <row r="49">
      <c r="A49" s="4" t="s">
        <v>172</v>
      </c>
      <c r="B49" s="4"/>
      <c r="C49" s="4" t="s">
        <v>76</v>
      </c>
      <c r="D49" s="4">
        <v>49834.0</v>
      </c>
      <c r="E49" s="4"/>
      <c r="F49" s="4" t="s">
        <v>85</v>
      </c>
      <c r="G49" s="4">
        <v>299.0</v>
      </c>
      <c r="H49" s="4"/>
      <c r="I49" s="4">
        <v>299.0</v>
      </c>
      <c r="J49" s="4" t="s">
        <v>173</v>
      </c>
      <c r="K49" s="4">
        <v>9.19900049665E11</v>
      </c>
      <c r="L49" s="4" t="s">
        <v>67</v>
      </c>
      <c r="M49" s="4" t="b">
        <v>0</v>
      </c>
      <c r="N49" s="4" t="s">
        <v>68</v>
      </c>
      <c r="O49" s="4" t="s">
        <v>69</v>
      </c>
      <c r="P49" s="6">
        <v>44260.977488425924</v>
      </c>
      <c r="Q49" s="4">
        <v>15838.0</v>
      </c>
      <c r="R49" s="4"/>
      <c r="S49" s="4"/>
      <c r="T49" s="4"/>
      <c r="U49" s="7"/>
      <c r="V49" s="4"/>
      <c r="W49" s="4"/>
      <c r="X49" s="4"/>
      <c r="Y49" s="4"/>
      <c r="Z49" s="4"/>
      <c r="AA49" s="5"/>
      <c r="AB49" s="5"/>
      <c r="AC49" s="5"/>
      <c r="AD49" s="5"/>
      <c r="AE49" s="5"/>
    </row>
    <row r="50">
      <c r="A50" s="4" t="s">
        <v>174</v>
      </c>
      <c r="B50" s="4"/>
      <c r="C50" s="4" t="s">
        <v>137</v>
      </c>
      <c r="D50" s="4">
        <v>49831.0</v>
      </c>
      <c r="E50" s="4"/>
      <c r="F50" s="4" t="s">
        <v>77</v>
      </c>
      <c r="G50" s="4">
        <v>799.0</v>
      </c>
      <c r="H50" s="4"/>
      <c r="I50" s="4">
        <v>799.0</v>
      </c>
      <c r="J50" s="4" t="s">
        <v>175</v>
      </c>
      <c r="K50" s="4">
        <v>9.18766847954E11</v>
      </c>
      <c r="L50" s="4" t="s">
        <v>67</v>
      </c>
      <c r="M50" s="4" t="b">
        <v>0</v>
      </c>
      <c r="N50" s="4" t="s">
        <v>68</v>
      </c>
      <c r="O50" s="4" t="s">
        <v>69</v>
      </c>
      <c r="P50" s="6">
        <v>44263.615381944444</v>
      </c>
      <c r="Q50" s="4">
        <v>15945.0</v>
      </c>
      <c r="R50" s="4"/>
      <c r="S50" s="4"/>
      <c r="T50" s="4"/>
      <c r="U50" s="7"/>
      <c r="V50" s="4"/>
      <c r="W50" s="4"/>
      <c r="X50" s="4"/>
      <c r="Y50" s="4"/>
      <c r="Z50" s="4"/>
      <c r="AA50" s="5"/>
      <c r="AB50" s="5"/>
      <c r="AC50" s="5"/>
      <c r="AD50" s="5"/>
      <c r="AE50" s="5"/>
    </row>
    <row r="51">
      <c r="A51" s="4" t="s">
        <v>176</v>
      </c>
      <c r="B51" s="4"/>
      <c r="C51" s="4" t="s">
        <v>148</v>
      </c>
      <c r="D51" s="4">
        <v>49991.0</v>
      </c>
      <c r="E51" s="4"/>
      <c r="F51" s="4" t="s">
        <v>149</v>
      </c>
      <c r="G51" s="4">
        <v>99.0</v>
      </c>
      <c r="H51" s="4"/>
      <c r="I51" s="4">
        <v>99.0</v>
      </c>
      <c r="J51" s="4" t="s">
        <v>177</v>
      </c>
      <c r="K51" s="4">
        <v>9.19426320716E11</v>
      </c>
      <c r="L51" s="4" t="s">
        <v>67</v>
      </c>
      <c r="M51" s="4" t="b">
        <v>0</v>
      </c>
      <c r="N51" s="4" t="s">
        <v>74</v>
      </c>
      <c r="O51" s="4" t="s">
        <v>69</v>
      </c>
      <c r="P51" s="6">
        <v>44300.46527777778</v>
      </c>
      <c r="Q51" s="4">
        <v>16851.0</v>
      </c>
      <c r="R51" s="4"/>
      <c r="S51" s="4"/>
      <c r="T51" s="4"/>
      <c r="U51" s="7"/>
      <c r="V51" s="4"/>
      <c r="W51" s="4"/>
      <c r="X51" s="4"/>
      <c r="Y51" s="4"/>
      <c r="Z51" s="4"/>
      <c r="AA51" s="5"/>
      <c r="AB51" s="5"/>
      <c r="AC51" s="5"/>
      <c r="AD51" s="5"/>
      <c r="AE51" s="5"/>
    </row>
    <row r="52">
      <c r="A52" s="4" t="s">
        <v>178</v>
      </c>
      <c r="B52" s="4"/>
      <c r="C52" s="4" t="s">
        <v>148</v>
      </c>
      <c r="D52" s="4">
        <v>49991.0</v>
      </c>
      <c r="E52" s="4"/>
      <c r="F52" s="4" t="s">
        <v>149</v>
      </c>
      <c r="G52" s="4">
        <v>99.0</v>
      </c>
      <c r="H52" s="4"/>
      <c r="I52" s="4">
        <v>99.0</v>
      </c>
      <c r="J52" s="4" t="s">
        <v>179</v>
      </c>
      <c r="K52" s="4">
        <v>9.19710303309E11</v>
      </c>
      <c r="L52" s="4" t="s">
        <v>67</v>
      </c>
      <c r="M52" s="4" t="b">
        <v>0</v>
      </c>
      <c r="N52" s="4" t="s">
        <v>68</v>
      </c>
      <c r="O52" s="4" t="s">
        <v>69</v>
      </c>
      <c r="P52" s="6">
        <v>44301.59310185185</v>
      </c>
      <c r="Q52" s="4">
        <v>16881.0</v>
      </c>
      <c r="R52" s="4"/>
      <c r="S52" s="4"/>
      <c r="T52" s="4"/>
      <c r="U52" s="7"/>
      <c r="V52" s="4"/>
      <c r="W52" s="4"/>
      <c r="X52" s="4"/>
      <c r="Y52" s="4"/>
      <c r="Z52" s="4"/>
      <c r="AA52" s="5"/>
      <c r="AB52" s="5"/>
      <c r="AC52" s="5"/>
      <c r="AD52" s="5"/>
      <c r="AE52" s="5"/>
    </row>
    <row r="53">
      <c r="A53" s="4" t="s">
        <v>180</v>
      </c>
      <c r="B53" s="4"/>
      <c r="C53" s="4" t="s">
        <v>181</v>
      </c>
      <c r="D53" s="4">
        <v>49864.0</v>
      </c>
      <c r="E53" s="4"/>
      <c r="F53" s="4" t="s">
        <v>149</v>
      </c>
      <c r="G53" s="4">
        <v>99.0</v>
      </c>
      <c r="H53" s="4"/>
      <c r="I53" s="4">
        <v>99.0</v>
      </c>
      <c r="J53" s="4" t="s">
        <v>182</v>
      </c>
      <c r="K53" s="4">
        <v>9.19640252443E11</v>
      </c>
      <c r="L53" s="4" t="s">
        <v>67</v>
      </c>
      <c r="M53" s="4" t="b">
        <v>0</v>
      </c>
      <c r="N53" s="4" t="s">
        <v>68</v>
      </c>
      <c r="O53" s="4" t="s">
        <v>69</v>
      </c>
      <c r="P53" s="6">
        <v>44276.46244212963</v>
      </c>
      <c r="Q53" s="4">
        <v>16389.0</v>
      </c>
      <c r="R53" s="4"/>
      <c r="S53" s="4"/>
      <c r="T53" s="4"/>
      <c r="U53" s="7"/>
      <c r="V53" s="4"/>
      <c r="W53" s="4"/>
      <c r="X53" s="4"/>
      <c r="Y53" s="4"/>
      <c r="Z53" s="4"/>
      <c r="AA53" s="5"/>
      <c r="AB53" s="5"/>
      <c r="AC53" s="5"/>
      <c r="AD53" s="5"/>
      <c r="AE53" s="5"/>
    </row>
    <row r="54">
      <c r="A54" s="4" t="s">
        <v>183</v>
      </c>
      <c r="B54" s="4"/>
      <c r="C54" s="4" t="s">
        <v>184</v>
      </c>
      <c r="D54" s="4">
        <v>49833.0</v>
      </c>
      <c r="E54" s="4"/>
      <c r="F54" s="4" t="s">
        <v>85</v>
      </c>
      <c r="G54" s="4">
        <v>99.0</v>
      </c>
      <c r="H54" s="4"/>
      <c r="I54" s="4">
        <v>99.0</v>
      </c>
      <c r="J54" s="4" t="s">
        <v>185</v>
      </c>
      <c r="K54" s="4">
        <v>9.19611611019E11</v>
      </c>
      <c r="L54" s="4" t="s">
        <v>67</v>
      </c>
      <c r="M54" s="4" t="b">
        <v>0</v>
      </c>
      <c r="N54" s="4" t="s">
        <v>68</v>
      </c>
      <c r="O54" s="4" t="s">
        <v>69</v>
      </c>
      <c r="P54" s="6">
        <v>44271.59989583334</v>
      </c>
      <c r="Q54" s="4">
        <v>16307.0</v>
      </c>
      <c r="R54" s="4"/>
      <c r="S54" s="4"/>
      <c r="T54" s="4"/>
      <c r="U54" s="7"/>
      <c r="V54" s="4"/>
      <c r="W54" s="4"/>
      <c r="X54" s="4"/>
      <c r="Y54" s="4"/>
      <c r="Z54" s="4"/>
      <c r="AA54" s="5"/>
      <c r="AB54" s="5"/>
      <c r="AC54" s="5"/>
      <c r="AD54" s="5"/>
      <c r="AE54" s="5"/>
    </row>
    <row r="55">
      <c r="A55" s="4" t="s">
        <v>186</v>
      </c>
      <c r="B55" s="4"/>
      <c r="C55" s="4" t="s">
        <v>181</v>
      </c>
      <c r="D55" s="4">
        <v>49864.0</v>
      </c>
      <c r="E55" s="4"/>
      <c r="F55" s="4" t="s">
        <v>149</v>
      </c>
      <c r="G55" s="4">
        <v>99.0</v>
      </c>
      <c r="H55" s="4"/>
      <c r="I55" s="4">
        <v>99.0</v>
      </c>
      <c r="J55" s="4" t="s">
        <v>187</v>
      </c>
      <c r="K55" s="4">
        <v>9.1950170031E11</v>
      </c>
      <c r="L55" s="4" t="s">
        <v>67</v>
      </c>
      <c r="M55" s="4" t="b">
        <v>0</v>
      </c>
      <c r="N55" s="4" t="s">
        <v>74</v>
      </c>
      <c r="O55" s="4" t="s">
        <v>69</v>
      </c>
      <c r="P55" s="6">
        <v>44276.671122685184</v>
      </c>
      <c r="Q55" s="4">
        <v>16473.0</v>
      </c>
      <c r="R55" s="4"/>
      <c r="S55" s="4"/>
      <c r="T55" s="4"/>
      <c r="U55" s="7"/>
      <c r="V55" s="4"/>
      <c r="W55" s="4"/>
      <c r="X55" s="4"/>
      <c r="Y55" s="4"/>
      <c r="Z55" s="4"/>
      <c r="AA55" s="5"/>
      <c r="AB55" s="5"/>
      <c r="AC55" s="5"/>
      <c r="AD55" s="5"/>
      <c r="AE55" s="5"/>
    </row>
    <row r="56">
      <c r="A56" s="4" t="s">
        <v>188</v>
      </c>
      <c r="B56" s="4"/>
      <c r="C56" s="4" t="s">
        <v>184</v>
      </c>
      <c r="D56" s="4">
        <v>49833.0</v>
      </c>
      <c r="E56" s="4"/>
      <c r="F56" s="4" t="s">
        <v>85</v>
      </c>
      <c r="G56" s="4">
        <v>99.0</v>
      </c>
      <c r="H56" s="4"/>
      <c r="I56" s="4">
        <v>99.0</v>
      </c>
      <c r="J56" s="4" t="s">
        <v>189</v>
      </c>
      <c r="K56" s="4">
        <v>9.1910822943E11</v>
      </c>
      <c r="L56" s="4" t="s">
        <v>67</v>
      </c>
      <c r="M56" s="4" t="b">
        <v>0</v>
      </c>
      <c r="N56" s="4" t="s">
        <v>68</v>
      </c>
      <c r="O56" s="4" t="s">
        <v>69</v>
      </c>
      <c r="P56" s="6">
        <v>44271.70594907407</v>
      </c>
      <c r="Q56" s="4">
        <v>16263.0</v>
      </c>
      <c r="R56" s="4"/>
      <c r="S56" s="4"/>
      <c r="T56" s="4"/>
      <c r="U56" s="7"/>
      <c r="V56" s="4"/>
      <c r="W56" s="4"/>
      <c r="X56" s="4"/>
      <c r="Y56" s="4"/>
      <c r="Z56" s="4"/>
      <c r="AA56" s="5"/>
      <c r="AB56" s="5"/>
      <c r="AC56" s="5"/>
      <c r="AD56" s="5"/>
      <c r="AE56" s="5"/>
    </row>
    <row r="57">
      <c r="A57" s="4" t="s">
        <v>190</v>
      </c>
      <c r="B57" s="4"/>
      <c r="C57" s="4" t="s">
        <v>181</v>
      </c>
      <c r="D57" s="4">
        <v>49864.0</v>
      </c>
      <c r="E57" s="4"/>
      <c r="F57" s="4" t="s">
        <v>149</v>
      </c>
      <c r="G57" s="4">
        <v>99.0</v>
      </c>
      <c r="H57" s="4"/>
      <c r="I57" s="4">
        <v>99.0</v>
      </c>
      <c r="J57" s="4" t="s">
        <v>191</v>
      </c>
      <c r="K57" s="4">
        <v>9.19975696909E11</v>
      </c>
      <c r="L57" s="4" t="s">
        <v>67</v>
      </c>
      <c r="M57" s="4" t="b">
        <v>0</v>
      </c>
      <c r="N57" s="4" t="s">
        <v>74</v>
      </c>
      <c r="O57" s="4" t="s">
        <v>69</v>
      </c>
      <c r="P57" s="6">
        <v>44276.92732638889</v>
      </c>
      <c r="Q57" s="4" t="s">
        <v>83</v>
      </c>
      <c r="R57" s="4"/>
      <c r="S57" s="4"/>
      <c r="T57" s="4"/>
      <c r="U57" s="7"/>
      <c r="V57" s="4"/>
      <c r="W57" s="4"/>
      <c r="X57" s="4"/>
      <c r="Y57" s="4"/>
      <c r="Z57" s="4"/>
      <c r="AA57" s="5"/>
      <c r="AB57" s="5"/>
      <c r="AC57" s="5"/>
      <c r="AD57" s="5"/>
      <c r="AE57" s="5"/>
    </row>
    <row r="58">
      <c r="A58" s="4" t="s">
        <v>192</v>
      </c>
      <c r="B58" s="4"/>
      <c r="C58" s="4" t="s">
        <v>184</v>
      </c>
      <c r="D58" s="4">
        <v>49833.0</v>
      </c>
      <c r="E58" s="4"/>
      <c r="F58" s="4" t="s">
        <v>85</v>
      </c>
      <c r="G58" s="4">
        <v>99.0</v>
      </c>
      <c r="H58" s="4"/>
      <c r="I58" s="4">
        <v>99.0</v>
      </c>
      <c r="J58" s="4" t="s">
        <v>193</v>
      </c>
      <c r="K58" s="4">
        <v>9.19900800662E11</v>
      </c>
      <c r="L58" s="4" t="s">
        <v>67</v>
      </c>
      <c r="M58" s="4" t="b">
        <v>0</v>
      </c>
      <c r="N58" s="4" t="s">
        <v>74</v>
      </c>
      <c r="O58" s="4" t="s">
        <v>69</v>
      </c>
      <c r="P58" s="6">
        <v>44271.746099537035</v>
      </c>
      <c r="Q58" s="4">
        <v>16246.0</v>
      </c>
      <c r="R58" s="4"/>
      <c r="S58" s="4"/>
      <c r="T58" s="4"/>
      <c r="U58" s="7"/>
      <c r="V58" s="4"/>
      <c r="W58" s="4"/>
      <c r="X58" s="4"/>
      <c r="Y58" s="4"/>
      <c r="Z58" s="4"/>
      <c r="AA58" s="5"/>
      <c r="AB58" s="5"/>
      <c r="AC58" s="5"/>
      <c r="AD58" s="5"/>
      <c r="AE58" s="5"/>
    </row>
    <row r="59">
      <c r="A59" s="4" t="s">
        <v>194</v>
      </c>
      <c r="B59" s="4"/>
      <c r="C59" s="4" t="s">
        <v>184</v>
      </c>
      <c r="D59" s="4">
        <v>49833.0</v>
      </c>
      <c r="E59" s="4"/>
      <c r="F59" s="4" t="s">
        <v>85</v>
      </c>
      <c r="G59" s="4">
        <v>99.0</v>
      </c>
      <c r="H59" s="4"/>
      <c r="I59" s="4">
        <v>99.0</v>
      </c>
      <c r="J59" s="4" t="s">
        <v>195</v>
      </c>
      <c r="K59" s="4">
        <v>9.19734664931E11</v>
      </c>
      <c r="L59" s="4" t="s">
        <v>67</v>
      </c>
      <c r="M59" s="4" t="b">
        <v>0</v>
      </c>
      <c r="N59" s="4" t="s">
        <v>74</v>
      </c>
      <c r="O59" s="4" t="s">
        <v>69</v>
      </c>
      <c r="P59" s="6">
        <v>44271.748935185184</v>
      </c>
      <c r="Q59" s="4">
        <v>8312.0</v>
      </c>
      <c r="R59" s="4"/>
      <c r="S59" s="4"/>
      <c r="T59" s="4"/>
      <c r="U59" s="7"/>
      <c r="V59" s="4"/>
      <c r="W59" s="4"/>
      <c r="X59" s="4"/>
      <c r="Y59" s="4"/>
      <c r="Z59" s="4"/>
      <c r="AA59" s="5"/>
      <c r="AB59" s="5"/>
      <c r="AC59" s="5"/>
      <c r="AD59" s="5"/>
      <c r="AE59" s="5"/>
    </row>
    <row r="60">
      <c r="A60" s="4" t="s">
        <v>196</v>
      </c>
      <c r="B60" s="4"/>
      <c r="C60" s="4" t="s">
        <v>64</v>
      </c>
      <c r="D60" s="4">
        <v>49831.0</v>
      </c>
      <c r="E60" s="4"/>
      <c r="F60" s="4" t="s">
        <v>85</v>
      </c>
      <c r="G60" s="4">
        <v>599.0</v>
      </c>
      <c r="H60" s="4"/>
      <c r="I60" s="4">
        <v>599.0</v>
      </c>
      <c r="J60" s="4" t="s">
        <v>197</v>
      </c>
      <c r="K60" s="4">
        <v>9.19348206965E11</v>
      </c>
      <c r="L60" s="4" t="s">
        <v>67</v>
      </c>
      <c r="M60" s="4" t="b">
        <v>0</v>
      </c>
      <c r="N60" s="4" t="s">
        <v>97</v>
      </c>
      <c r="O60" s="4" t="s">
        <v>69</v>
      </c>
      <c r="P60" s="6">
        <v>44271.75457175926</v>
      </c>
      <c r="Q60" s="4">
        <v>16235.0</v>
      </c>
      <c r="R60" s="4"/>
      <c r="S60" s="4"/>
      <c r="T60" s="4"/>
      <c r="U60" s="7"/>
      <c r="V60" s="4"/>
      <c r="W60" s="4"/>
      <c r="X60" s="4"/>
      <c r="Y60" s="4"/>
      <c r="Z60" s="4"/>
      <c r="AA60" s="5"/>
      <c r="AB60" s="5"/>
      <c r="AC60" s="5"/>
      <c r="AD60" s="5"/>
      <c r="AE60" s="5"/>
    </row>
    <row r="61">
      <c r="A61" s="4" t="s">
        <v>198</v>
      </c>
      <c r="B61" s="4"/>
      <c r="C61" s="4" t="s">
        <v>181</v>
      </c>
      <c r="D61" s="4">
        <v>49864.0</v>
      </c>
      <c r="E61" s="4"/>
      <c r="F61" s="4" t="s">
        <v>149</v>
      </c>
      <c r="G61" s="4">
        <v>99.0</v>
      </c>
      <c r="H61" s="4"/>
      <c r="I61" s="4">
        <v>99.0</v>
      </c>
      <c r="J61" s="4" t="s">
        <v>199</v>
      </c>
      <c r="K61" s="4">
        <v>9.17829902114E11</v>
      </c>
      <c r="L61" s="4" t="s">
        <v>67</v>
      </c>
      <c r="M61" s="4" t="b">
        <v>0</v>
      </c>
      <c r="N61" s="4" t="s">
        <v>97</v>
      </c>
      <c r="O61" s="4" t="s">
        <v>69</v>
      </c>
      <c r="P61" s="6">
        <v>44278.34811342593</v>
      </c>
      <c r="Q61" s="4" t="s">
        <v>83</v>
      </c>
      <c r="R61" s="4"/>
      <c r="S61" s="4"/>
      <c r="T61" s="4"/>
      <c r="U61" s="7"/>
      <c r="V61" s="4"/>
      <c r="W61" s="4"/>
      <c r="X61" s="4"/>
      <c r="Y61" s="4"/>
      <c r="Z61" s="4"/>
      <c r="AA61" s="5"/>
      <c r="AB61" s="5"/>
      <c r="AC61" s="5"/>
      <c r="AD61" s="5"/>
      <c r="AE61" s="5"/>
    </row>
    <row r="62">
      <c r="A62" s="4" t="s">
        <v>200</v>
      </c>
      <c r="B62" s="4"/>
      <c r="C62" s="4" t="s">
        <v>184</v>
      </c>
      <c r="D62" s="4">
        <v>49833.0</v>
      </c>
      <c r="E62" s="4"/>
      <c r="F62" s="4" t="s">
        <v>85</v>
      </c>
      <c r="G62" s="4">
        <v>99.0</v>
      </c>
      <c r="H62" s="4"/>
      <c r="I62" s="4">
        <v>99.0</v>
      </c>
      <c r="J62" s="4" t="s">
        <v>201</v>
      </c>
      <c r="K62" s="4">
        <v>9.19591825002E11</v>
      </c>
      <c r="L62" s="4" t="s">
        <v>67</v>
      </c>
      <c r="M62" s="4" t="b">
        <v>0</v>
      </c>
      <c r="N62" s="4" t="s">
        <v>68</v>
      </c>
      <c r="O62" s="4" t="s">
        <v>69</v>
      </c>
      <c r="P62" s="6">
        <v>44271.90490740741</v>
      </c>
      <c r="Q62" s="4">
        <v>16265.0</v>
      </c>
      <c r="R62" s="4"/>
      <c r="S62" s="4"/>
      <c r="T62" s="4"/>
      <c r="U62" s="7"/>
      <c r="V62" s="4"/>
      <c r="W62" s="4"/>
      <c r="X62" s="4"/>
      <c r="Y62" s="4"/>
      <c r="Z62" s="4"/>
      <c r="AA62" s="5"/>
      <c r="AB62" s="5"/>
      <c r="AC62" s="5"/>
      <c r="AD62" s="5"/>
      <c r="AE62" s="5"/>
    </row>
    <row r="63">
      <c r="A63" s="4" t="s">
        <v>202</v>
      </c>
      <c r="B63" s="4"/>
      <c r="C63" s="4" t="s">
        <v>184</v>
      </c>
      <c r="D63" s="4">
        <v>49833.0</v>
      </c>
      <c r="E63" s="4"/>
      <c r="F63" s="4" t="s">
        <v>85</v>
      </c>
      <c r="G63" s="4">
        <v>99.0</v>
      </c>
      <c r="H63" s="4"/>
      <c r="I63" s="4">
        <v>99.0</v>
      </c>
      <c r="J63" s="4" t="s">
        <v>203</v>
      </c>
      <c r="K63" s="4">
        <v>9.19558836301E11</v>
      </c>
      <c r="L63" s="4" t="s">
        <v>67</v>
      </c>
      <c r="M63" s="4" t="b">
        <v>0</v>
      </c>
      <c r="N63" s="4" t="s">
        <v>68</v>
      </c>
      <c r="O63" s="4" t="s">
        <v>69</v>
      </c>
      <c r="P63" s="6">
        <v>44271.91244212963</v>
      </c>
      <c r="Q63" s="4">
        <v>16248.0</v>
      </c>
      <c r="R63" s="4"/>
      <c r="S63" s="4"/>
      <c r="T63" s="4"/>
      <c r="U63" s="7"/>
      <c r="V63" s="4"/>
      <c r="W63" s="4"/>
      <c r="X63" s="4"/>
      <c r="Y63" s="4"/>
      <c r="Z63" s="4"/>
      <c r="AA63" s="5"/>
      <c r="AB63" s="5"/>
      <c r="AC63" s="5"/>
      <c r="AD63" s="5"/>
      <c r="AE63" s="5"/>
    </row>
    <row r="64">
      <c r="A64" s="4" t="s">
        <v>204</v>
      </c>
      <c r="B64" s="4"/>
      <c r="C64" s="4" t="s">
        <v>184</v>
      </c>
      <c r="D64" s="4">
        <v>49833.0</v>
      </c>
      <c r="E64" s="4"/>
      <c r="F64" s="4" t="s">
        <v>85</v>
      </c>
      <c r="G64" s="4">
        <v>99.0</v>
      </c>
      <c r="H64" s="4"/>
      <c r="I64" s="4">
        <v>99.0</v>
      </c>
      <c r="J64" s="4" t="s">
        <v>205</v>
      </c>
      <c r="K64" s="4">
        <v>9.19148287261E11</v>
      </c>
      <c r="L64" s="4" t="s">
        <v>67</v>
      </c>
      <c r="M64" s="4" t="b">
        <v>0</v>
      </c>
      <c r="N64" s="4" t="s">
        <v>68</v>
      </c>
      <c r="O64" s="4" t="s">
        <v>69</v>
      </c>
      <c r="P64" s="6">
        <v>44271.91869212963</v>
      </c>
      <c r="Q64" s="4">
        <v>16249.0</v>
      </c>
      <c r="R64" s="4"/>
      <c r="S64" s="4"/>
      <c r="T64" s="4"/>
      <c r="U64" s="7"/>
      <c r="V64" s="4"/>
      <c r="W64" s="4"/>
      <c r="X64" s="4"/>
      <c r="Y64" s="4"/>
      <c r="Z64" s="4"/>
      <c r="AA64" s="5"/>
      <c r="AB64" s="5"/>
      <c r="AC64" s="5"/>
      <c r="AD64" s="5"/>
      <c r="AE64" s="5"/>
    </row>
    <row r="65">
      <c r="A65" s="4" t="s">
        <v>206</v>
      </c>
      <c r="B65" s="4"/>
      <c r="C65" s="4" t="s">
        <v>184</v>
      </c>
      <c r="D65" s="4">
        <v>49833.0</v>
      </c>
      <c r="E65" s="4"/>
      <c r="F65" s="4" t="s">
        <v>85</v>
      </c>
      <c r="G65" s="4">
        <v>99.0</v>
      </c>
      <c r="H65" s="4"/>
      <c r="I65" s="4">
        <v>99.0</v>
      </c>
      <c r="J65" s="4" t="s">
        <v>207</v>
      </c>
      <c r="K65" s="4">
        <v>9.18152013967E11</v>
      </c>
      <c r="L65" s="4" t="s">
        <v>67</v>
      </c>
      <c r="M65" s="4" t="b">
        <v>0</v>
      </c>
      <c r="N65" s="4" t="s">
        <v>68</v>
      </c>
      <c r="O65" s="4" t="s">
        <v>69</v>
      </c>
      <c r="P65" s="6">
        <v>44271.953935185185</v>
      </c>
      <c r="Q65" s="4">
        <v>16266.0</v>
      </c>
      <c r="R65" s="4"/>
      <c r="S65" s="4"/>
      <c r="T65" s="4"/>
      <c r="U65" s="7"/>
      <c r="V65" s="4"/>
      <c r="W65" s="4"/>
      <c r="X65" s="4"/>
      <c r="Y65" s="4"/>
      <c r="Z65" s="4"/>
      <c r="AA65" s="5"/>
      <c r="AB65" s="5"/>
      <c r="AC65" s="5"/>
      <c r="AD65" s="5"/>
      <c r="AE65" s="5"/>
    </row>
    <row r="66">
      <c r="A66" s="4" t="s">
        <v>208</v>
      </c>
      <c r="B66" s="4"/>
      <c r="C66" s="4" t="s">
        <v>181</v>
      </c>
      <c r="D66" s="4">
        <v>49864.0</v>
      </c>
      <c r="E66" s="4"/>
      <c r="F66" s="4" t="s">
        <v>149</v>
      </c>
      <c r="G66" s="4">
        <v>99.0</v>
      </c>
      <c r="H66" s="4"/>
      <c r="I66" s="4">
        <v>99.0</v>
      </c>
      <c r="J66" s="4" t="s">
        <v>209</v>
      </c>
      <c r="K66" s="4">
        <v>9.19550621321E11</v>
      </c>
      <c r="L66" s="4" t="s">
        <v>67</v>
      </c>
      <c r="M66" s="4" t="b">
        <v>0</v>
      </c>
      <c r="N66" s="4" t="s">
        <v>68</v>
      </c>
      <c r="O66" s="4" t="s">
        <v>69</v>
      </c>
      <c r="P66" s="6">
        <v>44278.405069444445</v>
      </c>
      <c r="Q66" s="4" t="s">
        <v>83</v>
      </c>
      <c r="R66" s="4"/>
      <c r="S66" s="4"/>
      <c r="T66" s="4"/>
      <c r="U66" s="7"/>
      <c r="V66" s="4"/>
      <c r="W66" s="4"/>
      <c r="X66" s="4"/>
      <c r="Y66" s="4"/>
      <c r="Z66" s="4"/>
      <c r="AA66" s="5"/>
      <c r="AB66" s="5"/>
      <c r="AC66" s="5"/>
      <c r="AD66" s="5"/>
      <c r="AE66" s="5"/>
    </row>
    <row r="67">
      <c r="A67" s="4" t="s">
        <v>210</v>
      </c>
      <c r="B67" s="4"/>
      <c r="C67" s="4" t="s">
        <v>184</v>
      </c>
      <c r="D67" s="4">
        <v>49833.0</v>
      </c>
      <c r="E67" s="4"/>
      <c r="F67" s="4" t="s">
        <v>85</v>
      </c>
      <c r="G67" s="4">
        <v>99.0</v>
      </c>
      <c r="H67" s="4"/>
      <c r="I67" s="4">
        <v>99.0</v>
      </c>
      <c r="J67" s="4" t="s">
        <v>211</v>
      </c>
      <c r="K67" s="4">
        <v>9.17034476756E11</v>
      </c>
      <c r="L67" s="4" t="s">
        <v>67</v>
      </c>
      <c r="M67" s="4" t="b">
        <v>0</v>
      </c>
      <c r="N67" s="4" t="s">
        <v>68</v>
      </c>
      <c r="O67" s="4" t="s">
        <v>69</v>
      </c>
      <c r="P67" s="6">
        <v>44271.97876157407</v>
      </c>
      <c r="Q67" s="4">
        <v>4363.0</v>
      </c>
      <c r="R67" s="4"/>
      <c r="S67" s="4"/>
      <c r="T67" s="4"/>
      <c r="U67" s="7"/>
      <c r="V67" s="4"/>
      <c r="W67" s="4"/>
      <c r="X67" s="4"/>
      <c r="Y67" s="4"/>
      <c r="Z67" s="4"/>
      <c r="AA67" s="5"/>
      <c r="AB67" s="5"/>
      <c r="AC67" s="5"/>
      <c r="AD67" s="5"/>
      <c r="AE67" s="5"/>
    </row>
    <row r="68">
      <c r="A68" s="4" t="s">
        <v>212</v>
      </c>
      <c r="B68" s="4"/>
      <c r="C68" s="4" t="s">
        <v>148</v>
      </c>
      <c r="D68" s="4">
        <v>49991.0</v>
      </c>
      <c r="E68" s="4"/>
      <c r="F68" s="4" t="s">
        <v>85</v>
      </c>
      <c r="G68" s="4">
        <v>199.0</v>
      </c>
      <c r="H68" s="4"/>
      <c r="I68" s="4">
        <v>199.0</v>
      </c>
      <c r="J68" s="4" t="s">
        <v>213</v>
      </c>
      <c r="K68" s="4">
        <v>9.17276016442E11</v>
      </c>
      <c r="L68" s="4" t="s">
        <v>67</v>
      </c>
      <c r="M68" s="4" t="b">
        <v>0</v>
      </c>
      <c r="N68" s="4" t="s">
        <v>97</v>
      </c>
      <c r="O68" s="4" t="s">
        <v>69</v>
      </c>
      <c r="P68" s="6">
        <v>44302.467824074076</v>
      </c>
      <c r="Q68" s="4">
        <v>16929.0</v>
      </c>
      <c r="R68" s="4"/>
      <c r="S68" s="4"/>
      <c r="T68" s="4"/>
      <c r="U68" s="7"/>
      <c r="V68" s="4"/>
      <c r="W68" s="4"/>
      <c r="X68" s="4"/>
      <c r="Y68" s="4"/>
      <c r="Z68" s="4"/>
      <c r="AA68" s="5"/>
      <c r="AB68" s="5"/>
      <c r="AC68" s="5"/>
      <c r="AD68" s="5"/>
      <c r="AE68" s="5"/>
    </row>
    <row r="69">
      <c r="A69" s="4" t="s">
        <v>214</v>
      </c>
      <c r="B69" s="4"/>
      <c r="C69" s="4" t="s">
        <v>184</v>
      </c>
      <c r="D69" s="4">
        <v>49833.0</v>
      </c>
      <c r="E69" s="4"/>
      <c r="F69" s="4" t="s">
        <v>85</v>
      </c>
      <c r="G69" s="4">
        <v>99.0</v>
      </c>
      <c r="H69" s="4"/>
      <c r="I69" s="4">
        <v>99.0</v>
      </c>
      <c r="J69" s="4" t="s">
        <v>215</v>
      </c>
      <c r="K69" s="4">
        <v>9.71588137128E11</v>
      </c>
      <c r="L69" s="4" t="s">
        <v>67</v>
      </c>
      <c r="M69" s="4" t="b">
        <v>0</v>
      </c>
      <c r="N69" s="4" t="s">
        <v>68</v>
      </c>
      <c r="O69" s="4" t="s">
        <v>69</v>
      </c>
      <c r="P69" s="6">
        <v>44272.51902777778</v>
      </c>
      <c r="Q69" s="4">
        <v>16275.0</v>
      </c>
      <c r="R69" s="4"/>
      <c r="S69" s="4"/>
      <c r="T69" s="4"/>
      <c r="U69" s="7"/>
      <c r="V69" s="4"/>
      <c r="W69" s="4"/>
      <c r="X69" s="4"/>
      <c r="Y69" s="4"/>
      <c r="Z69" s="4"/>
      <c r="AA69" s="5"/>
      <c r="AB69" s="5"/>
      <c r="AC69" s="5"/>
      <c r="AD69" s="5"/>
      <c r="AE69" s="5"/>
    </row>
    <row r="70">
      <c r="A70" s="4" t="s">
        <v>216</v>
      </c>
      <c r="B70" s="4"/>
      <c r="C70" s="4" t="s">
        <v>184</v>
      </c>
      <c r="D70" s="4">
        <v>49833.0</v>
      </c>
      <c r="E70" s="4"/>
      <c r="F70" s="4" t="s">
        <v>85</v>
      </c>
      <c r="G70" s="4">
        <v>99.0</v>
      </c>
      <c r="H70" s="4"/>
      <c r="I70" s="4">
        <v>99.0</v>
      </c>
      <c r="J70" s="4" t="s">
        <v>217</v>
      </c>
      <c r="K70" s="4">
        <v>9.19686818319E11</v>
      </c>
      <c r="L70" s="4" t="s">
        <v>67</v>
      </c>
      <c r="M70" s="4" t="b">
        <v>0</v>
      </c>
      <c r="N70" s="4" t="s">
        <v>97</v>
      </c>
      <c r="O70" s="4" t="s">
        <v>69</v>
      </c>
      <c r="P70" s="6">
        <v>44272.606412037036</v>
      </c>
      <c r="Q70" s="4">
        <v>13724.0</v>
      </c>
      <c r="R70" s="4"/>
      <c r="S70" s="4"/>
      <c r="T70" s="4"/>
      <c r="U70" s="7"/>
      <c r="V70" s="4"/>
      <c r="W70" s="4"/>
      <c r="X70" s="4"/>
      <c r="Y70" s="4"/>
      <c r="Z70" s="4"/>
      <c r="AA70" s="5"/>
      <c r="AB70" s="5"/>
      <c r="AC70" s="5"/>
      <c r="AD70" s="5"/>
      <c r="AE70" s="5"/>
    </row>
    <row r="71">
      <c r="A71" s="4" t="s">
        <v>218</v>
      </c>
      <c r="B71" s="4"/>
      <c r="C71" s="4" t="s">
        <v>181</v>
      </c>
      <c r="D71" s="4">
        <v>49864.0</v>
      </c>
      <c r="E71" s="4"/>
      <c r="F71" s="4" t="s">
        <v>149</v>
      </c>
      <c r="G71" s="4">
        <v>99.0</v>
      </c>
      <c r="H71" s="4"/>
      <c r="I71" s="4">
        <v>99.0</v>
      </c>
      <c r="J71" s="4" t="s">
        <v>219</v>
      </c>
      <c r="K71" s="4">
        <v>9.17985805437E11</v>
      </c>
      <c r="L71" s="4" t="s">
        <v>67</v>
      </c>
      <c r="M71" s="4" t="b">
        <v>0</v>
      </c>
      <c r="N71" s="4" t="s">
        <v>68</v>
      </c>
      <c r="O71" s="4" t="s">
        <v>69</v>
      </c>
      <c r="P71" s="6">
        <v>44278.469988425924</v>
      </c>
      <c r="Q71" s="4">
        <v>16789.0</v>
      </c>
      <c r="R71" s="4"/>
      <c r="S71" s="4"/>
      <c r="T71" s="4"/>
      <c r="U71" s="7"/>
      <c r="V71" s="4"/>
      <c r="W71" s="4"/>
      <c r="X71" s="4"/>
      <c r="Y71" s="4"/>
      <c r="Z71" s="4"/>
      <c r="AA71" s="5"/>
      <c r="AB71" s="5"/>
      <c r="AC71" s="5"/>
      <c r="AD71" s="5"/>
      <c r="AE71" s="5"/>
    </row>
    <row r="72">
      <c r="A72" s="4" t="s">
        <v>220</v>
      </c>
      <c r="B72" s="4"/>
      <c r="C72" s="4" t="s">
        <v>184</v>
      </c>
      <c r="D72" s="4">
        <v>49833.0</v>
      </c>
      <c r="E72" s="4"/>
      <c r="F72" s="4" t="s">
        <v>85</v>
      </c>
      <c r="G72" s="4">
        <v>99.0</v>
      </c>
      <c r="H72" s="4"/>
      <c r="I72" s="4">
        <v>99.0</v>
      </c>
      <c r="J72" s="4" t="s">
        <v>221</v>
      </c>
      <c r="K72" s="4">
        <v>9.17510953072E11</v>
      </c>
      <c r="L72" s="4" t="s">
        <v>67</v>
      </c>
      <c r="M72" s="4" t="b">
        <v>0</v>
      </c>
      <c r="N72" s="4" t="s">
        <v>68</v>
      </c>
      <c r="O72" s="4" t="s">
        <v>69</v>
      </c>
      <c r="P72" s="6">
        <v>44272.620162037034</v>
      </c>
      <c r="Q72" s="4">
        <v>16268.0</v>
      </c>
      <c r="R72" s="4"/>
      <c r="S72" s="4"/>
      <c r="T72" s="4"/>
      <c r="U72" s="7"/>
      <c r="V72" s="4"/>
      <c r="W72" s="4"/>
      <c r="X72" s="4"/>
      <c r="Y72" s="4"/>
      <c r="Z72" s="4"/>
      <c r="AA72" s="5"/>
      <c r="AB72" s="5"/>
      <c r="AC72" s="5"/>
      <c r="AD72" s="5"/>
      <c r="AE72" s="5"/>
    </row>
    <row r="73">
      <c r="A73" s="4" t="s">
        <v>222</v>
      </c>
      <c r="B73" s="4"/>
      <c r="C73" s="4" t="s">
        <v>184</v>
      </c>
      <c r="D73" s="4">
        <v>49833.0</v>
      </c>
      <c r="E73" s="4"/>
      <c r="F73" s="4" t="s">
        <v>85</v>
      </c>
      <c r="G73" s="4">
        <v>99.0</v>
      </c>
      <c r="H73" s="4"/>
      <c r="I73" s="4">
        <v>99.0</v>
      </c>
      <c r="J73" s="4" t="s">
        <v>223</v>
      </c>
      <c r="K73" s="4">
        <v>9.18605603525E11</v>
      </c>
      <c r="L73" s="4" t="s">
        <v>67</v>
      </c>
      <c r="M73" s="4" t="b">
        <v>0</v>
      </c>
      <c r="N73" s="4" t="s">
        <v>68</v>
      </c>
      <c r="O73" s="4" t="s">
        <v>69</v>
      </c>
      <c r="P73" s="6">
        <v>44272.64696759259</v>
      </c>
      <c r="Q73" s="4">
        <v>16272.0</v>
      </c>
      <c r="R73" s="4"/>
      <c r="S73" s="4"/>
      <c r="T73" s="4"/>
      <c r="U73" s="7"/>
      <c r="V73" s="4"/>
      <c r="W73" s="4"/>
      <c r="X73" s="4"/>
      <c r="Y73" s="4"/>
      <c r="Z73" s="4"/>
      <c r="AA73" s="5"/>
      <c r="AB73" s="5"/>
      <c r="AC73" s="5"/>
      <c r="AD73" s="5"/>
      <c r="AE73" s="5"/>
    </row>
    <row r="74">
      <c r="A74" s="4" t="s">
        <v>224</v>
      </c>
      <c r="B74" s="4"/>
      <c r="C74" s="4" t="s">
        <v>184</v>
      </c>
      <c r="D74" s="4">
        <v>49833.0</v>
      </c>
      <c r="E74" s="4"/>
      <c r="F74" s="4" t="s">
        <v>85</v>
      </c>
      <c r="G74" s="4">
        <v>99.0</v>
      </c>
      <c r="H74" s="4"/>
      <c r="I74" s="4">
        <v>99.0</v>
      </c>
      <c r="J74" s="4" t="s">
        <v>225</v>
      </c>
      <c r="K74" s="4">
        <v>9.19884884951E11</v>
      </c>
      <c r="L74" s="4" t="s">
        <v>67</v>
      </c>
      <c r="M74" s="4" t="b">
        <v>0</v>
      </c>
      <c r="N74" s="4" t="s">
        <v>68</v>
      </c>
      <c r="O74" s="4" t="s">
        <v>69</v>
      </c>
      <c r="P74" s="6">
        <v>44272.70688657407</v>
      </c>
      <c r="Q74" s="4" t="s">
        <v>83</v>
      </c>
      <c r="R74" s="4"/>
      <c r="S74" s="4"/>
      <c r="T74" s="4"/>
      <c r="U74" s="7"/>
      <c r="V74" s="4"/>
      <c r="W74" s="4"/>
      <c r="X74" s="4"/>
      <c r="Y74" s="4"/>
      <c r="Z74" s="4"/>
      <c r="AA74" s="5"/>
      <c r="AB74" s="5"/>
      <c r="AC74" s="5"/>
      <c r="AD74" s="5"/>
      <c r="AE74" s="5"/>
    </row>
    <row r="75">
      <c r="A75" s="4" t="s">
        <v>226</v>
      </c>
      <c r="B75" s="4"/>
      <c r="C75" s="4" t="s">
        <v>184</v>
      </c>
      <c r="D75" s="4">
        <v>49833.0</v>
      </c>
      <c r="E75" s="4"/>
      <c r="F75" s="4" t="s">
        <v>85</v>
      </c>
      <c r="G75" s="4">
        <v>99.0</v>
      </c>
      <c r="H75" s="4"/>
      <c r="I75" s="4">
        <v>99.0</v>
      </c>
      <c r="J75" s="4" t="s">
        <v>227</v>
      </c>
      <c r="K75" s="4">
        <v>9.18920043318E11</v>
      </c>
      <c r="L75" s="4" t="s">
        <v>67</v>
      </c>
      <c r="M75" s="4" t="b">
        <v>0</v>
      </c>
      <c r="N75" s="4" t="s">
        <v>68</v>
      </c>
      <c r="O75" s="4" t="s">
        <v>69</v>
      </c>
      <c r="P75" s="6">
        <v>44272.74466435185</v>
      </c>
      <c r="Q75" s="4">
        <v>16271.0</v>
      </c>
      <c r="R75" s="4"/>
      <c r="S75" s="4"/>
      <c r="T75" s="4"/>
      <c r="U75" s="7"/>
      <c r="V75" s="4"/>
      <c r="W75" s="4"/>
      <c r="X75" s="4"/>
      <c r="Y75" s="4"/>
      <c r="Z75" s="4"/>
      <c r="AA75" s="5"/>
      <c r="AB75" s="5"/>
      <c r="AC75" s="5"/>
      <c r="AD75" s="5"/>
      <c r="AE75" s="5"/>
    </row>
    <row r="76">
      <c r="A76" s="4" t="s">
        <v>228</v>
      </c>
      <c r="B76" s="4"/>
      <c r="C76" s="4" t="s">
        <v>181</v>
      </c>
      <c r="D76" s="4">
        <v>49864.0</v>
      </c>
      <c r="E76" s="4"/>
      <c r="F76" s="4" t="s">
        <v>149</v>
      </c>
      <c r="G76" s="4">
        <v>99.0</v>
      </c>
      <c r="H76" s="4"/>
      <c r="I76" s="4">
        <v>99.0</v>
      </c>
      <c r="J76" s="4" t="s">
        <v>229</v>
      </c>
      <c r="K76" s="4">
        <v>9.19881434502E11</v>
      </c>
      <c r="L76" s="4" t="s">
        <v>67</v>
      </c>
      <c r="M76" s="4" t="b">
        <v>0</v>
      </c>
      <c r="N76" s="4" t="s">
        <v>74</v>
      </c>
      <c r="O76" s="4" t="s">
        <v>69</v>
      </c>
      <c r="P76" s="6">
        <v>44279.07063657408</v>
      </c>
      <c r="Q76" s="4" t="s">
        <v>83</v>
      </c>
      <c r="R76" s="4"/>
      <c r="S76" s="4"/>
      <c r="T76" s="4"/>
      <c r="U76" s="7"/>
      <c r="V76" s="4"/>
      <c r="W76" s="4"/>
      <c r="X76" s="4"/>
      <c r="Y76" s="4"/>
      <c r="Z76" s="4"/>
      <c r="AA76" s="5"/>
      <c r="AB76" s="5"/>
      <c r="AC76" s="5"/>
      <c r="AD76" s="5"/>
      <c r="AE76" s="5"/>
    </row>
    <row r="77">
      <c r="A77" s="4" t="s">
        <v>230</v>
      </c>
      <c r="B77" s="4"/>
      <c r="C77" s="4" t="s">
        <v>184</v>
      </c>
      <c r="D77" s="4">
        <v>49833.0</v>
      </c>
      <c r="E77" s="4"/>
      <c r="F77" s="4" t="s">
        <v>85</v>
      </c>
      <c r="G77" s="4">
        <v>99.0</v>
      </c>
      <c r="H77" s="4"/>
      <c r="I77" s="4">
        <v>99.0</v>
      </c>
      <c r="J77" s="4" t="s">
        <v>231</v>
      </c>
      <c r="K77" s="4">
        <v>9.18638182668E11</v>
      </c>
      <c r="L77" s="4" t="s">
        <v>67</v>
      </c>
      <c r="M77" s="4" t="b">
        <v>0</v>
      </c>
      <c r="N77" s="4" t="s">
        <v>68</v>
      </c>
      <c r="O77" s="4" t="s">
        <v>69</v>
      </c>
      <c r="P77" s="6">
        <v>44273.46429398148</v>
      </c>
      <c r="Q77" s="4">
        <v>16285.0</v>
      </c>
      <c r="R77" s="4"/>
      <c r="S77" s="4"/>
      <c r="T77" s="4"/>
      <c r="U77" s="7"/>
      <c r="V77" s="4"/>
      <c r="W77" s="4"/>
      <c r="X77" s="4"/>
      <c r="Y77" s="4"/>
      <c r="Z77" s="4"/>
      <c r="AA77" s="5"/>
      <c r="AB77" s="5"/>
      <c r="AC77" s="5"/>
      <c r="AD77" s="5"/>
      <c r="AE77" s="5"/>
    </row>
    <row r="78">
      <c r="A78" s="4" t="s">
        <v>232</v>
      </c>
      <c r="B78" s="4"/>
      <c r="C78" s="4" t="s">
        <v>184</v>
      </c>
      <c r="D78" s="4">
        <v>49833.0</v>
      </c>
      <c r="E78" s="4"/>
      <c r="F78" s="4" t="s">
        <v>85</v>
      </c>
      <c r="G78" s="4">
        <v>99.0</v>
      </c>
      <c r="H78" s="4"/>
      <c r="I78" s="4">
        <v>99.0</v>
      </c>
      <c r="J78" s="4" t="s">
        <v>233</v>
      </c>
      <c r="K78" s="4">
        <v>9.17026475982E11</v>
      </c>
      <c r="L78" s="4" t="s">
        <v>67</v>
      </c>
      <c r="M78" s="4" t="b">
        <v>0</v>
      </c>
      <c r="N78" s="4" t="s">
        <v>68</v>
      </c>
      <c r="O78" s="4" t="s">
        <v>69</v>
      </c>
      <c r="P78" s="6">
        <v>44273.506631944445</v>
      </c>
      <c r="Q78" s="4">
        <v>16288.0</v>
      </c>
      <c r="R78" s="4"/>
      <c r="S78" s="4"/>
      <c r="T78" s="4"/>
      <c r="U78" s="7"/>
      <c r="V78" s="4"/>
      <c r="W78" s="4"/>
      <c r="X78" s="4"/>
      <c r="Y78" s="4"/>
      <c r="Z78" s="4"/>
      <c r="AA78" s="5"/>
      <c r="AB78" s="5"/>
      <c r="AC78" s="5"/>
      <c r="AD78" s="5"/>
      <c r="AE78" s="5"/>
    </row>
    <row r="79">
      <c r="A79" s="4" t="s">
        <v>234</v>
      </c>
      <c r="B79" s="4"/>
      <c r="C79" s="4" t="s">
        <v>184</v>
      </c>
      <c r="D79" s="4">
        <v>49833.0</v>
      </c>
      <c r="E79" s="4"/>
      <c r="F79" s="4" t="s">
        <v>85</v>
      </c>
      <c r="G79" s="4">
        <v>99.0</v>
      </c>
      <c r="H79" s="4"/>
      <c r="I79" s="4">
        <v>99.0</v>
      </c>
      <c r="J79" s="4" t="s">
        <v>235</v>
      </c>
      <c r="K79" s="4">
        <v>9.19051973402E11</v>
      </c>
      <c r="L79" s="4" t="s">
        <v>67</v>
      </c>
      <c r="M79" s="4" t="b">
        <v>0</v>
      </c>
      <c r="N79" s="4" t="s">
        <v>68</v>
      </c>
      <c r="O79" s="4" t="s">
        <v>69</v>
      </c>
      <c r="P79" s="6">
        <v>44273.52258101852</v>
      </c>
      <c r="Q79" s="4">
        <v>16298.0</v>
      </c>
      <c r="R79" s="4"/>
      <c r="S79" s="4"/>
      <c r="T79" s="4"/>
      <c r="U79" s="7"/>
      <c r="V79" s="4"/>
      <c r="W79" s="4"/>
      <c r="X79" s="4"/>
      <c r="Y79" s="4"/>
      <c r="Z79" s="4"/>
      <c r="AA79" s="5"/>
      <c r="AB79" s="5"/>
      <c r="AC79" s="5"/>
      <c r="AD79" s="5"/>
      <c r="AE79" s="5"/>
    </row>
    <row r="80">
      <c r="A80" s="4" t="s">
        <v>236</v>
      </c>
      <c r="B80" s="4"/>
      <c r="C80" s="4" t="s">
        <v>181</v>
      </c>
      <c r="D80" s="4">
        <v>49864.0</v>
      </c>
      <c r="E80" s="4"/>
      <c r="F80" s="4" t="s">
        <v>149</v>
      </c>
      <c r="G80" s="4">
        <v>99.0</v>
      </c>
      <c r="H80" s="4"/>
      <c r="I80" s="4">
        <v>99.0</v>
      </c>
      <c r="J80" s="4" t="s">
        <v>237</v>
      </c>
      <c r="K80" s="4">
        <v>9.18454884214E11</v>
      </c>
      <c r="L80" s="4" t="s">
        <v>67</v>
      </c>
      <c r="M80" s="4" t="b">
        <v>0</v>
      </c>
      <c r="N80" s="4" t="s">
        <v>97</v>
      </c>
      <c r="O80" s="4" t="s">
        <v>69</v>
      </c>
      <c r="P80" s="6">
        <v>44280.410266203704</v>
      </c>
      <c r="Q80" s="4" t="s">
        <v>83</v>
      </c>
      <c r="R80" s="4"/>
      <c r="S80" s="4"/>
      <c r="T80" s="4"/>
      <c r="U80" s="7"/>
      <c r="V80" s="4"/>
      <c r="W80" s="4"/>
      <c r="X80" s="4"/>
      <c r="Y80" s="4"/>
      <c r="Z80" s="4"/>
      <c r="AA80" s="5"/>
      <c r="AB80" s="5"/>
      <c r="AC80" s="5"/>
      <c r="AD80" s="5"/>
      <c r="AE80" s="5"/>
    </row>
    <row r="81">
      <c r="A81" s="4" t="s">
        <v>238</v>
      </c>
      <c r="B81" s="4"/>
      <c r="C81" s="4" t="s">
        <v>184</v>
      </c>
      <c r="D81" s="4">
        <v>49833.0</v>
      </c>
      <c r="E81" s="4"/>
      <c r="F81" s="4" t="s">
        <v>85</v>
      </c>
      <c r="G81" s="4">
        <v>99.0</v>
      </c>
      <c r="H81" s="4"/>
      <c r="I81" s="4">
        <v>99.0</v>
      </c>
      <c r="J81" s="4" t="s">
        <v>239</v>
      </c>
      <c r="K81" s="4">
        <v>9.19324470993E11</v>
      </c>
      <c r="L81" s="4" t="s">
        <v>67</v>
      </c>
      <c r="M81" s="4" t="b">
        <v>0</v>
      </c>
      <c r="N81" s="4" t="s">
        <v>68</v>
      </c>
      <c r="O81" s="4" t="s">
        <v>69</v>
      </c>
      <c r="P81" s="6">
        <v>44273.74377314815</v>
      </c>
      <c r="Q81" s="4">
        <v>6427.0</v>
      </c>
      <c r="R81" s="4"/>
      <c r="S81" s="4"/>
      <c r="T81" s="4"/>
      <c r="U81" s="7"/>
      <c r="V81" s="4"/>
      <c r="W81" s="4"/>
      <c r="X81" s="4"/>
      <c r="Y81" s="4"/>
      <c r="Z81" s="4"/>
      <c r="AA81" s="5"/>
      <c r="AB81" s="5"/>
      <c r="AC81" s="5"/>
      <c r="AD81" s="5"/>
      <c r="AE81" s="5"/>
    </row>
    <row r="82">
      <c r="A82" s="4" t="s">
        <v>240</v>
      </c>
      <c r="B82" s="4"/>
      <c r="C82" s="4" t="s">
        <v>181</v>
      </c>
      <c r="D82" s="4">
        <v>49864.0</v>
      </c>
      <c r="E82" s="4"/>
      <c r="F82" s="4" t="s">
        <v>149</v>
      </c>
      <c r="G82" s="4">
        <v>99.0</v>
      </c>
      <c r="H82" s="4"/>
      <c r="I82" s="4">
        <v>99.0</v>
      </c>
      <c r="J82" s="4" t="s">
        <v>241</v>
      </c>
      <c r="K82" s="4">
        <v>9.19819558656E11</v>
      </c>
      <c r="L82" s="4" t="s">
        <v>67</v>
      </c>
      <c r="M82" s="4" t="b">
        <v>0</v>
      </c>
      <c r="N82" s="4" t="s">
        <v>68</v>
      </c>
      <c r="O82" s="4" t="s">
        <v>69</v>
      </c>
      <c r="P82" s="6">
        <v>44280.51422453704</v>
      </c>
      <c r="Q82" s="4">
        <v>16482.0</v>
      </c>
      <c r="R82" s="4"/>
      <c r="S82" s="4"/>
      <c r="T82" s="4"/>
      <c r="U82" s="7"/>
      <c r="V82" s="4"/>
      <c r="W82" s="4"/>
      <c r="X82" s="4"/>
      <c r="Y82" s="4"/>
      <c r="Z82" s="4"/>
      <c r="AA82" s="5"/>
      <c r="AB82" s="5"/>
      <c r="AC82" s="5"/>
      <c r="AD82" s="5"/>
      <c r="AE82" s="5"/>
    </row>
    <row r="83">
      <c r="A83" s="4" t="s">
        <v>242</v>
      </c>
      <c r="B83" s="4"/>
      <c r="C83" s="4" t="s">
        <v>148</v>
      </c>
      <c r="D83" s="4">
        <v>49991.0</v>
      </c>
      <c r="E83" s="4"/>
      <c r="F83" s="4" t="s">
        <v>149</v>
      </c>
      <c r="G83" s="4">
        <v>99.0</v>
      </c>
      <c r="H83" s="4"/>
      <c r="I83" s="4">
        <v>99.0</v>
      </c>
      <c r="J83" s="4" t="s">
        <v>243</v>
      </c>
      <c r="K83" s="4">
        <v>9.19890168744E11</v>
      </c>
      <c r="L83" s="4" t="s">
        <v>67</v>
      </c>
      <c r="M83" s="4" t="b">
        <v>0</v>
      </c>
      <c r="N83" s="4" t="s">
        <v>68</v>
      </c>
      <c r="O83" s="4" t="s">
        <v>69</v>
      </c>
      <c r="P83" s="6">
        <v>44302.53265046296</v>
      </c>
      <c r="Q83" s="4" t="s">
        <v>83</v>
      </c>
      <c r="R83" s="4"/>
      <c r="S83" s="4"/>
      <c r="T83" s="4"/>
      <c r="U83" s="7"/>
      <c r="V83" s="4"/>
      <c r="W83" s="4"/>
      <c r="X83" s="4"/>
      <c r="Y83" s="4"/>
      <c r="Z83" s="4"/>
      <c r="AA83" s="5"/>
      <c r="AB83" s="5"/>
      <c r="AC83" s="5"/>
      <c r="AD83" s="5"/>
      <c r="AE83" s="5"/>
    </row>
    <row r="84">
      <c r="A84" s="4" t="s">
        <v>244</v>
      </c>
      <c r="B84" s="4"/>
      <c r="C84" s="4" t="s">
        <v>245</v>
      </c>
      <c r="D84" s="4">
        <v>49962.0</v>
      </c>
      <c r="E84" s="4"/>
      <c r="F84" s="4" t="s">
        <v>85</v>
      </c>
      <c r="G84" s="4">
        <v>99.0</v>
      </c>
      <c r="H84" s="4"/>
      <c r="I84" s="4">
        <v>99.0</v>
      </c>
      <c r="J84" s="4" t="s">
        <v>246</v>
      </c>
      <c r="K84" s="4">
        <v>9.19936058885E11</v>
      </c>
      <c r="L84" s="4" t="s">
        <v>67</v>
      </c>
      <c r="M84" s="4" t="b">
        <v>0</v>
      </c>
      <c r="N84" s="4" t="s">
        <v>68</v>
      </c>
      <c r="O84" s="4" t="s">
        <v>69</v>
      </c>
      <c r="P84" s="6">
        <v>44273.95128472222</v>
      </c>
      <c r="Q84" s="4">
        <v>16303.0</v>
      </c>
      <c r="R84" s="4"/>
      <c r="S84" s="4"/>
      <c r="T84" s="4"/>
      <c r="U84" s="7"/>
      <c r="V84" s="4"/>
      <c r="W84" s="4"/>
      <c r="X84" s="4"/>
      <c r="Y84" s="4"/>
      <c r="Z84" s="4"/>
      <c r="AA84" s="5"/>
      <c r="AB84" s="5"/>
      <c r="AC84" s="5"/>
      <c r="AD84" s="5"/>
      <c r="AE84" s="5"/>
    </row>
    <row r="85">
      <c r="A85" s="4" t="s">
        <v>247</v>
      </c>
      <c r="B85" s="4"/>
      <c r="C85" s="4" t="s">
        <v>184</v>
      </c>
      <c r="D85" s="4">
        <v>49833.0</v>
      </c>
      <c r="E85" s="4"/>
      <c r="F85" s="4" t="s">
        <v>85</v>
      </c>
      <c r="G85" s="4">
        <v>99.0</v>
      </c>
      <c r="H85" s="4"/>
      <c r="I85" s="4">
        <v>99.0</v>
      </c>
      <c r="J85" s="4" t="s">
        <v>248</v>
      </c>
      <c r="K85" s="4">
        <v>9.19100149855E11</v>
      </c>
      <c r="L85" s="4" t="s">
        <v>67</v>
      </c>
      <c r="M85" s="4" t="b">
        <v>0</v>
      </c>
      <c r="N85" s="4" t="s">
        <v>68</v>
      </c>
      <c r="O85" s="4" t="s">
        <v>69</v>
      </c>
      <c r="P85" s="6">
        <v>44273.954189814816</v>
      </c>
      <c r="Q85" s="4" t="s">
        <v>83</v>
      </c>
      <c r="R85" s="4"/>
      <c r="S85" s="4"/>
      <c r="T85" s="4"/>
      <c r="U85" s="7"/>
      <c r="V85" s="4"/>
      <c r="W85" s="4"/>
      <c r="X85" s="4"/>
      <c r="Y85" s="4"/>
      <c r="Z85" s="4"/>
      <c r="AA85" s="5"/>
      <c r="AB85" s="5"/>
      <c r="AC85" s="5"/>
      <c r="AD85" s="5"/>
      <c r="AE85" s="5"/>
    </row>
    <row r="86">
      <c r="A86" s="4" t="s">
        <v>249</v>
      </c>
      <c r="B86" s="4"/>
      <c r="C86" s="4" t="s">
        <v>181</v>
      </c>
      <c r="D86" s="4">
        <v>49864.0</v>
      </c>
      <c r="E86" s="4"/>
      <c r="F86" s="4" t="s">
        <v>149</v>
      </c>
      <c r="G86" s="4">
        <v>99.0</v>
      </c>
      <c r="H86" s="4"/>
      <c r="I86" s="4">
        <v>99.0</v>
      </c>
      <c r="J86" s="4" t="s">
        <v>250</v>
      </c>
      <c r="K86" s="4">
        <v>9.19819825204E11</v>
      </c>
      <c r="L86" s="4" t="s">
        <v>67</v>
      </c>
      <c r="M86" s="4" t="b">
        <v>0</v>
      </c>
      <c r="N86" s="4" t="s">
        <v>68</v>
      </c>
      <c r="O86" s="4" t="s">
        <v>69</v>
      </c>
      <c r="P86" s="6">
        <v>44280.76225694444</v>
      </c>
      <c r="Q86" s="4" t="s">
        <v>83</v>
      </c>
      <c r="R86" s="4"/>
      <c r="S86" s="4"/>
      <c r="T86" s="4"/>
      <c r="U86" s="7"/>
      <c r="V86" s="4"/>
      <c r="W86" s="4"/>
      <c r="X86" s="4"/>
      <c r="Y86" s="4"/>
      <c r="Z86" s="4"/>
      <c r="AA86" s="5"/>
      <c r="AB86" s="5"/>
      <c r="AC86" s="5"/>
      <c r="AD86" s="5"/>
      <c r="AE86" s="5"/>
    </row>
    <row r="87">
      <c r="A87" s="4" t="s">
        <v>251</v>
      </c>
      <c r="B87" s="4"/>
      <c r="C87" s="4" t="s">
        <v>184</v>
      </c>
      <c r="D87" s="4">
        <v>49833.0</v>
      </c>
      <c r="E87" s="4"/>
      <c r="F87" s="4" t="s">
        <v>85</v>
      </c>
      <c r="G87" s="4">
        <v>99.0</v>
      </c>
      <c r="H87" s="4"/>
      <c r="I87" s="4">
        <v>99.0</v>
      </c>
      <c r="J87" s="4" t="s">
        <v>252</v>
      </c>
      <c r="K87" s="4">
        <v>9.18113908682E11</v>
      </c>
      <c r="L87" s="4" t="s">
        <v>67</v>
      </c>
      <c r="M87" s="4" t="b">
        <v>0</v>
      </c>
      <c r="N87" s="4" t="s">
        <v>68</v>
      </c>
      <c r="O87" s="4" t="s">
        <v>69</v>
      </c>
      <c r="P87" s="6">
        <v>44274.42099537037</v>
      </c>
      <c r="Q87" s="4" t="s">
        <v>83</v>
      </c>
      <c r="R87" s="4"/>
      <c r="S87" s="4"/>
      <c r="T87" s="4"/>
      <c r="U87" s="7"/>
      <c r="V87" s="4"/>
      <c r="W87" s="4"/>
      <c r="X87" s="4"/>
      <c r="Y87" s="4"/>
      <c r="Z87" s="4"/>
      <c r="AA87" s="5"/>
      <c r="AB87" s="5"/>
      <c r="AC87" s="5"/>
      <c r="AD87" s="5"/>
      <c r="AE87" s="5"/>
    </row>
    <row r="88">
      <c r="A88" s="4" t="s">
        <v>253</v>
      </c>
      <c r="B88" s="4"/>
      <c r="C88" s="4" t="s">
        <v>184</v>
      </c>
      <c r="D88" s="4">
        <v>49833.0</v>
      </c>
      <c r="E88" s="4"/>
      <c r="F88" s="4" t="s">
        <v>85</v>
      </c>
      <c r="G88" s="4">
        <v>99.0</v>
      </c>
      <c r="H88" s="4"/>
      <c r="I88" s="4">
        <v>99.0</v>
      </c>
      <c r="J88" s="4" t="s">
        <v>254</v>
      </c>
      <c r="K88" s="4">
        <v>9.18637578701E11</v>
      </c>
      <c r="L88" s="4" t="s">
        <v>67</v>
      </c>
      <c r="M88" s="4" t="b">
        <v>0</v>
      </c>
      <c r="N88" s="4" t="s">
        <v>68</v>
      </c>
      <c r="O88" s="4" t="s">
        <v>69</v>
      </c>
      <c r="P88" s="6">
        <v>44274.42219907408</v>
      </c>
      <c r="Q88" s="4">
        <v>16316.0</v>
      </c>
      <c r="R88" s="4"/>
      <c r="S88" s="4"/>
      <c r="T88" s="4"/>
      <c r="U88" s="7"/>
      <c r="V88" s="4"/>
      <c r="W88" s="4"/>
      <c r="X88" s="4"/>
      <c r="Y88" s="4"/>
      <c r="Z88" s="4"/>
      <c r="AA88" s="5"/>
      <c r="AB88" s="5"/>
      <c r="AC88" s="5"/>
      <c r="AD88" s="5"/>
      <c r="AE88" s="5"/>
    </row>
    <row r="89">
      <c r="A89" s="4" t="s">
        <v>255</v>
      </c>
      <c r="B89" s="4"/>
      <c r="C89" s="4" t="s">
        <v>181</v>
      </c>
      <c r="D89" s="4">
        <v>49864.0</v>
      </c>
      <c r="E89" s="4"/>
      <c r="F89" s="4" t="s">
        <v>149</v>
      </c>
      <c r="G89" s="4">
        <v>99.0</v>
      </c>
      <c r="H89" s="4"/>
      <c r="I89" s="4">
        <v>99.0</v>
      </c>
      <c r="J89" s="4" t="s">
        <v>256</v>
      </c>
      <c r="K89" s="4">
        <v>9.19268000639E11</v>
      </c>
      <c r="L89" s="4" t="s">
        <v>67</v>
      </c>
      <c r="M89" s="4" t="b">
        <v>0</v>
      </c>
      <c r="N89" s="4" t="s">
        <v>74</v>
      </c>
      <c r="O89" s="4" t="s">
        <v>69</v>
      </c>
      <c r="P89" s="6">
        <v>44281.32378472222</v>
      </c>
      <c r="Q89" s="4">
        <v>16484.0</v>
      </c>
      <c r="R89" s="4"/>
      <c r="S89" s="4"/>
      <c r="T89" s="4"/>
      <c r="U89" s="7"/>
      <c r="V89" s="4"/>
      <c r="W89" s="4"/>
      <c r="X89" s="4"/>
      <c r="Y89" s="4"/>
      <c r="Z89" s="4"/>
      <c r="AA89" s="5"/>
      <c r="AB89" s="5"/>
      <c r="AC89" s="5"/>
      <c r="AD89" s="5"/>
      <c r="AE89" s="5"/>
    </row>
    <row r="90">
      <c r="A90" s="4" t="s">
        <v>257</v>
      </c>
      <c r="B90" s="4"/>
      <c r="C90" s="4" t="s">
        <v>181</v>
      </c>
      <c r="D90" s="4">
        <v>49864.0</v>
      </c>
      <c r="E90" s="4"/>
      <c r="F90" s="4" t="s">
        <v>149</v>
      </c>
      <c r="G90" s="4">
        <v>99.0</v>
      </c>
      <c r="H90" s="4"/>
      <c r="I90" s="4">
        <v>99.0</v>
      </c>
      <c r="J90" s="4" t="s">
        <v>258</v>
      </c>
      <c r="K90" s="4">
        <v>9.18419802594E11</v>
      </c>
      <c r="L90" s="4" t="s">
        <v>67</v>
      </c>
      <c r="M90" s="4" t="b">
        <v>0</v>
      </c>
      <c r="N90" s="4" t="s">
        <v>68</v>
      </c>
      <c r="O90" s="4" t="s">
        <v>69</v>
      </c>
      <c r="P90" s="6">
        <v>44281.34552083333</v>
      </c>
      <c r="Q90" s="4" t="s">
        <v>83</v>
      </c>
      <c r="R90" s="4"/>
      <c r="S90" s="4"/>
      <c r="T90" s="4"/>
      <c r="U90" s="7"/>
      <c r="V90" s="4"/>
      <c r="W90" s="4"/>
      <c r="X90" s="4"/>
      <c r="Y90" s="4"/>
      <c r="Z90" s="4"/>
      <c r="AA90" s="5"/>
      <c r="AB90" s="5"/>
      <c r="AC90" s="5"/>
      <c r="AD90" s="5"/>
      <c r="AE90" s="5"/>
    </row>
    <row r="91">
      <c r="A91" s="4" t="s">
        <v>259</v>
      </c>
      <c r="B91" s="4"/>
      <c r="C91" s="4" t="s">
        <v>181</v>
      </c>
      <c r="D91" s="4">
        <v>49864.0</v>
      </c>
      <c r="E91" s="4"/>
      <c r="F91" s="4" t="s">
        <v>149</v>
      </c>
      <c r="G91" s="4">
        <v>99.0</v>
      </c>
      <c r="H91" s="4"/>
      <c r="I91" s="4">
        <v>99.0</v>
      </c>
      <c r="J91" s="4" t="s">
        <v>260</v>
      </c>
      <c r="K91" s="4">
        <v>9.18505879696E11</v>
      </c>
      <c r="L91" s="4" t="s">
        <v>67</v>
      </c>
      <c r="M91" s="4" t="b">
        <v>0</v>
      </c>
      <c r="N91" s="4" t="s">
        <v>261</v>
      </c>
      <c r="O91" s="4" t="s">
        <v>69</v>
      </c>
      <c r="P91" s="6">
        <v>44281.72576388889</v>
      </c>
      <c r="Q91" s="4" t="s">
        <v>83</v>
      </c>
      <c r="R91" s="4"/>
      <c r="S91" s="4"/>
      <c r="T91" s="4"/>
      <c r="U91" s="7"/>
      <c r="V91" s="4"/>
      <c r="W91" s="4"/>
      <c r="X91" s="4"/>
      <c r="Y91" s="4"/>
      <c r="Z91" s="4"/>
      <c r="AA91" s="5"/>
      <c r="AB91" s="5"/>
      <c r="AC91" s="5"/>
      <c r="AD91" s="5"/>
      <c r="AE91" s="5"/>
    </row>
    <row r="92">
      <c r="A92" s="4" t="s">
        <v>262</v>
      </c>
      <c r="B92" s="4"/>
      <c r="C92" s="4" t="s">
        <v>184</v>
      </c>
      <c r="D92" s="4">
        <v>49833.0</v>
      </c>
      <c r="E92" s="4"/>
      <c r="F92" s="4" t="s">
        <v>85</v>
      </c>
      <c r="G92" s="4">
        <v>99.0</v>
      </c>
      <c r="H92" s="4"/>
      <c r="I92" s="4">
        <v>99.0</v>
      </c>
      <c r="J92" s="4" t="s">
        <v>263</v>
      </c>
      <c r="K92" s="4">
        <v>9.1938055977E11</v>
      </c>
      <c r="L92" s="4" t="s">
        <v>67</v>
      </c>
      <c r="M92" s="4" t="b">
        <v>0</v>
      </c>
      <c r="N92" s="4" t="s">
        <v>68</v>
      </c>
      <c r="O92" s="4" t="s">
        <v>69</v>
      </c>
      <c r="P92" s="6">
        <v>44274.44924768519</v>
      </c>
      <c r="Q92" s="4">
        <v>16311.0</v>
      </c>
      <c r="R92" s="4"/>
      <c r="S92" s="4"/>
      <c r="T92" s="4"/>
      <c r="U92" s="7"/>
      <c r="V92" s="4"/>
      <c r="W92" s="4"/>
      <c r="X92" s="4"/>
      <c r="Y92" s="4"/>
      <c r="Z92" s="4"/>
      <c r="AA92" s="5"/>
      <c r="AB92" s="5"/>
      <c r="AC92" s="5"/>
      <c r="AD92" s="5"/>
      <c r="AE92" s="5"/>
    </row>
    <row r="93">
      <c r="A93" s="4" t="s">
        <v>264</v>
      </c>
      <c r="B93" s="4"/>
      <c r="C93" s="4" t="s">
        <v>184</v>
      </c>
      <c r="D93" s="4">
        <v>49833.0</v>
      </c>
      <c r="E93" s="4"/>
      <c r="F93" s="4" t="s">
        <v>85</v>
      </c>
      <c r="G93" s="4">
        <v>99.0</v>
      </c>
      <c r="H93" s="4"/>
      <c r="I93" s="4">
        <v>99.0</v>
      </c>
      <c r="J93" s="4" t="s">
        <v>265</v>
      </c>
      <c r="K93" s="4">
        <v>9.18855857448E11</v>
      </c>
      <c r="L93" s="4" t="s">
        <v>67</v>
      </c>
      <c r="M93" s="4" t="b">
        <v>0</v>
      </c>
      <c r="N93" s="4" t="s">
        <v>68</v>
      </c>
      <c r="O93" s="4" t="s">
        <v>69</v>
      </c>
      <c r="P93" s="6">
        <v>44274.48869212963</v>
      </c>
      <c r="Q93" s="4">
        <v>16351.0</v>
      </c>
      <c r="R93" s="4"/>
      <c r="S93" s="4"/>
      <c r="T93" s="4"/>
      <c r="U93" s="7"/>
      <c r="V93" s="4"/>
      <c r="W93" s="4"/>
      <c r="X93" s="4"/>
      <c r="Y93" s="4"/>
      <c r="Z93" s="4"/>
      <c r="AA93" s="5"/>
      <c r="AB93" s="5"/>
      <c r="AC93" s="5"/>
      <c r="AD93" s="5"/>
      <c r="AE93" s="5"/>
    </row>
    <row r="94">
      <c r="A94" s="4" t="s">
        <v>266</v>
      </c>
      <c r="B94" s="4"/>
      <c r="C94" s="4" t="s">
        <v>184</v>
      </c>
      <c r="D94" s="4">
        <v>49833.0</v>
      </c>
      <c r="E94" s="4"/>
      <c r="F94" s="4" t="s">
        <v>85</v>
      </c>
      <c r="G94" s="4">
        <v>99.0</v>
      </c>
      <c r="H94" s="4"/>
      <c r="I94" s="4">
        <v>99.0</v>
      </c>
      <c r="J94" s="4" t="s">
        <v>267</v>
      </c>
      <c r="K94" s="4">
        <v>9.17088956095E11</v>
      </c>
      <c r="L94" s="4" t="s">
        <v>67</v>
      </c>
      <c r="M94" s="4" t="b">
        <v>0</v>
      </c>
      <c r="N94" s="4" t="s">
        <v>68</v>
      </c>
      <c r="O94" s="4" t="s">
        <v>69</v>
      </c>
      <c r="P94" s="6">
        <v>44274.495474537034</v>
      </c>
      <c r="Q94" s="4">
        <v>16378.0</v>
      </c>
      <c r="R94" s="4"/>
      <c r="S94" s="4"/>
      <c r="T94" s="4"/>
      <c r="U94" s="7"/>
      <c r="V94" s="4"/>
      <c r="W94" s="4"/>
      <c r="X94" s="4"/>
      <c r="Y94" s="4"/>
      <c r="Z94" s="4"/>
      <c r="AA94" s="5"/>
      <c r="AB94" s="5"/>
      <c r="AC94" s="5"/>
      <c r="AD94" s="5"/>
      <c r="AE94" s="5"/>
    </row>
    <row r="95">
      <c r="A95" s="4" t="s">
        <v>268</v>
      </c>
      <c r="B95" s="4"/>
      <c r="C95" s="4" t="s">
        <v>184</v>
      </c>
      <c r="D95" s="4">
        <v>49833.0</v>
      </c>
      <c r="E95" s="4"/>
      <c r="F95" s="4" t="s">
        <v>85</v>
      </c>
      <c r="G95" s="4">
        <v>99.0</v>
      </c>
      <c r="H95" s="4"/>
      <c r="I95" s="4">
        <v>99.0</v>
      </c>
      <c r="J95" s="4" t="s">
        <v>269</v>
      </c>
      <c r="K95" s="4">
        <v>9.18281831033E11</v>
      </c>
      <c r="L95" s="4" t="s">
        <v>67</v>
      </c>
      <c r="M95" s="4" t="b">
        <v>0</v>
      </c>
      <c r="N95" s="4" t="s">
        <v>68</v>
      </c>
      <c r="O95" s="4" t="s">
        <v>69</v>
      </c>
      <c r="P95" s="6">
        <v>44274.50369212963</v>
      </c>
      <c r="Q95" s="4" t="s">
        <v>270</v>
      </c>
      <c r="R95" s="4"/>
      <c r="S95" s="4"/>
      <c r="T95" s="4"/>
      <c r="U95" s="7"/>
      <c r="V95" s="4"/>
      <c r="W95" s="4"/>
      <c r="X95" s="4"/>
      <c r="Y95" s="4"/>
      <c r="Z95" s="4"/>
      <c r="AA95" s="5"/>
      <c r="AB95" s="5"/>
      <c r="AC95" s="5"/>
      <c r="AD95" s="5"/>
      <c r="AE95" s="5"/>
    </row>
    <row r="96">
      <c r="A96" s="4" t="s">
        <v>271</v>
      </c>
      <c r="B96" s="4"/>
      <c r="C96" s="4" t="s">
        <v>181</v>
      </c>
      <c r="D96" s="4">
        <v>49864.0</v>
      </c>
      <c r="E96" s="4"/>
      <c r="F96" s="4" t="s">
        <v>149</v>
      </c>
      <c r="G96" s="4">
        <v>99.0</v>
      </c>
      <c r="H96" s="4"/>
      <c r="I96" s="4">
        <v>99.0</v>
      </c>
      <c r="J96" s="4" t="s">
        <v>272</v>
      </c>
      <c r="K96" s="4">
        <v>9.19619651802E11</v>
      </c>
      <c r="L96" s="4" t="s">
        <v>67</v>
      </c>
      <c r="M96" s="4" t="b">
        <v>0</v>
      </c>
      <c r="N96" s="4" t="s">
        <v>68</v>
      </c>
      <c r="O96" s="4" t="s">
        <v>69</v>
      </c>
      <c r="P96" s="6">
        <v>44282.899675925924</v>
      </c>
      <c r="Q96" s="4">
        <v>16791.0</v>
      </c>
      <c r="R96" s="4"/>
      <c r="S96" s="4"/>
      <c r="T96" s="4"/>
      <c r="U96" s="7"/>
      <c r="V96" s="4"/>
      <c r="W96" s="4"/>
      <c r="X96" s="4"/>
      <c r="Y96" s="4"/>
      <c r="Z96" s="4"/>
      <c r="AA96" s="5"/>
      <c r="AB96" s="5"/>
      <c r="AC96" s="5"/>
      <c r="AD96" s="5"/>
      <c r="AE96" s="5"/>
    </row>
    <row r="97">
      <c r="A97" s="4" t="s">
        <v>273</v>
      </c>
      <c r="B97" s="4"/>
      <c r="C97" s="4" t="s">
        <v>181</v>
      </c>
      <c r="D97" s="4">
        <v>49864.0</v>
      </c>
      <c r="E97" s="4"/>
      <c r="F97" s="4" t="s">
        <v>149</v>
      </c>
      <c r="G97" s="4">
        <v>99.0</v>
      </c>
      <c r="H97" s="4"/>
      <c r="I97" s="4">
        <v>99.0</v>
      </c>
      <c r="J97" s="4" t="s">
        <v>274</v>
      </c>
      <c r="K97" s="4">
        <v>9.19480750504E11</v>
      </c>
      <c r="L97" s="4" t="s">
        <v>67</v>
      </c>
      <c r="M97" s="4" t="b">
        <v>0</v>
      </c>
      <c r="N97" s="4" t="s">
        <v>74</v>
      </c>
      <c r="O97" s="4" t="s">
        <v>69</v>
      </c>
      <c r="P97" s="6">
        <v>44283.52311342592</v>
      </c>
      <c r="Q97" s="4" t="s">
        <v>83</v>
      </c>
      <c r="R97" s="4"/>
      <c r="S97" s="4"/>
      <c r="T97" s="4"/>
      <c r="U97" s="7"/>
      <c r="V97" s="4"/>
      <c r="W97" s="4"/>
      <c r="X97" s="4"/>
      <c r="Y97" s="4"/>
      <c r="Z97" s="4"/>
      <c r="AA97" s="5"/>
      <c r="AB97" s="5"/>
      <c r="AC97" s="5"/>
      <c r="AD97" s="5"/>
      <c r="AE97" s="5"/>
    </row>
    <row r="98">
      <c r="A98" s="4" t="s">
        <v>275</v>
      </c>
      <c r="B98" s="4"/>
      <c r="C98" s="4" t="s">
        <v>181</v>
      </c>
      <c r="D98" s="4">
        <v>49864.0</v>
      </c>
      <c r="E98" s="4"/>
      <c r="F98" s="4" t="s">
        <v>149</v>
      </c>
      <c r="G98" s="4">
        <v>99.0</v>
      </c>
      <c r="H98" s="4"/>
      <c r="I98" s="4">
        <v>99.0</v>
      </c>
      <c r="J98" s="4" t="s">
        <v>276</v>
      </c>
      <c r="K98" s="4">
        <v>9.19422560164E11</v>
      </c>
      <c r="L98" s="4" t="s">
        <v>67</v>
      </c>
      <c r="M98" s="4" t="b">
        <v>0</v>
      </c>
      <c r="N98" s="4" t="s">
        <v>74</v>
      </c>
      <c r="O98" s="4" t="s">
        <v>69</v>
      </c>
      <c r="P98" s="6">
        <v>44283.619988425926</v>
      </c>
      <c r="Q98" s="4" t="s">
        <v>83</v>
      </c>
      <c r="R98" s="4"/>
      <c r="S98" s="4"/>
      <c r="T98" s="4"/>
      <c r="U98" s="7"/>
      <c r="V98" s="4"/>
      <c r="W98" s="4"/>
      <c r="X98" s="4"/>
      <c r="Y98" s="4"/>
      <c r="Z98" s="4"/>
      <c r="AA98" s="5"/>
      <c r="AB98" s="5"/>
      <c r="AC98" s="5"/>
      <c r="AD98" s="5"/>
      <c r="AE98" s="5"/>
    </row>
    <row r="99">
      <c r="A99" s="4" t="s">
        <v>277</v>
      </c>
      <c r="B99" s="4"/>
      <c r="C99" s="4" t="s">
        <v>245</v>
      </c>
      <c r="D99" s="4">
        <v>49962.0</v>
      </c>
      <c r="E99" s="4"/>
      <c r="F99" s="4" t="s">
        <v>85</v>
      </c>
      <c r="G99" s="4">
        <v>99.0</v>
      </c>
      <c r="H99" s="4"/>
      <c r="I99" s="4">
        <v>99.0</v>
      </c>
      <c r="J99" s="4" t="s">
        <v>278</v>
      </c>
      <c r="K99" s="4">
        <v>9.19741982632E11</v>
      </c>
      <c r="L99" s="4" t="s">
        <v>67</v>
      </c>
      <c r="M99" s="4" t="b">
        <v>0</v>
      </c>
      <c r="N99" s="4" t="s">
        <v>74</v>
      </c>
      <c r="O99" s="4" t="s">
        <v>69</v>
      </c>
      <c r="P99" s="6">
        <v>44274.622511574074</v>
      </c>
      <c r="Q99" s="4">
        <v>12906.0</v>
      </c>
      <c r="R99" s="4"/>
      <c r="S99" s="4"/>
      <c r="T99" s="4"/>
      <c r="U99" s="7"/>
      <c r="V99" s="4"/>
      <c r="W99" s="4"/>
      <c r="X99" s="4"/>
      <c r="Y99" s="4"/>
      <c r="Z99" s="4"/>
      <c r="AA99" s="5"/>
      <c r="AB99" s="5"/>
      <c r="AC99" s="5"/>
      <c r="AD99" s="5"/>
      <c r="AE99" s="5"/>
    </row>
    <row r="100">
      <c r="A100" s="4" t="s">
        <v>279</v>
      </c>
      <c r="B100" s="4"/>
      <c r="C100" s="4" t="s">
        <v>280</v>
      </c>
      <c r="D100" s="4">
        <v>49877.0</v>
      </c>
      <c r="E100" s="4"/>
      <c r="F100" s="4" t="s">
        <v>85</v>
      </c>
      <c r="G100" s="4">
        <v>99.0</v>
      </c>
      <c r="H100" s="4"/>
      <c r="I100" s="4">
        <v>99.0</v>
      </c>
      <c r="J100" s="4" t="s">
        <v>281</v>
      </c>
      <c r="K100" s="4">
        <v>9.17720002421E11</v>
      </c>
      <c r="L100" s="4" t="s">
        <v>67</v>
      </c>
      <c r="M100" s="4" t="b">
        <v>0</v>
      </c>
      <c r="N100" s="4" t="s">
        <v>68</v>
      </c>
      <c r="O100" s="4" t="s">
        <v>69</v>
      </c>
      <c r="P100" s="6">
        <v>44274.70793981481</v>
      </c>
      <c r="Q100" s="4">
        <v>16319.0</v>
      </c>
      <c r="R100" s="4"/>
      <c r="S100" s="4"/>
      <c r="T100" s="4"/>
      <c r="U100" s="7"/>
      <c r="V100" s="4"/>
      <c r="W100" s="4"/>
      <c r="X100" s="4"/>
      <c r="Y100" s="4"/>
      <c r="Z100" s="4"/>
      <c r="AA100" s="5"/>
      <c r="AB100" s="5"/>
      <c r="AC100" s="5"/>
      <c r="AD100" s="5"/>
      <c r="AE100" s="5"/>
    </row>
    <row r="101">
      <c r="A101" s="4" t="s">
        <v>282</v>
      </c>
      <c r="B101" s="4"/>
      <c r="C101" s="4" t="s">
        <v>184</v>
      </c>
      <c r="D101" s="4">
        <v>49833.0</v>
      </c>
      <c r="E101" s="4"/>
      <c r="F101" s="4" t="s">
        <v>85</v>
      </c>
      <c r="G101" s="4">
        <v>99.0</v>
      </c>
      <c r="H101" s="4"/>
      <c r="I101" s="4">
        <v>99.0</v>
      </c>
      <c r="J101" s="4" t="s">
        <v>283</v>
      </c>
      <c r="K101" s="4">
        <v>9.19795401525E11</v>
      </c>
      <c r="L101" s="4" t="s">
        <v>67</v>
      </c>
      <c r="M101" s="4" t="b">
        <v>0</v>
      </c>
      <c r="N101" s="4" t="s">
        <v>68</v>
      </c>
      <c r="O101" s="4" t="s">
        <v>69</v>
      </c>
      <c r="P101" s="6">
        <v>44274.76862268519</v>
      </c>
      <c r="Q101" s="4" t="s">
        <v>83</v>
      </c>
      <c r="R101" s="4"/>
      <c r="S101" s="4"/>
      <c r="T101" s="4"/>
      <c r="U101" s="7"/>
      <c r="V101" s="4"/>
      <c r="W101" s="4"/>
      <c r="X101" s="4"/>
      <c r="Y101" s="4"/>
      <c r="Z101" s="4"/>
      <c r="AA101" s="5"/>
      <c r="AB101" s="5"/>
      <c r="AC101" s="5"/>
      <c r="AD101" s="5"/>
      <c r="AE101" s="5"/>
    </row>
    <row r="102">
      <c r="A102" s="4" t="s">
        <v>284</v>
      </c>
      <c r="B102" s="4"/>
      <c r="C102" s="4" t="s">
        <v>184</v>
      </c>
      <c r="D102" s="4">
        <v>49833.0</v>
      </c>
      <c r="E102" s="4"/>
      <c r="F102" s="4" t="s">
        <v>85</v>
      </c>
      <c r="G102" s="4">
        <v>99.0</v>
      </c>
      <c r="H102" s="4"/>
      <c r="I102" s="4">
        <v>99.0</v>
      </c>
      <c r="J102" s="4" t="s">
        <v>285</v>
      </c>
      <c r="K102" s="4">
        <v>9.18979531948E11</v>
      </c>
      <c r="L102" s="4" t="s">
        <v>67</v>
      </c>
      <c r="M102" s="4" t="b">
        <v>0</v>
      </c>
      <c r="N102" s="4" t="s">
        <v>74</v>
      </c>
      <c r="O102" s="4" t="s">
        <v>69</v>
      </c>
      <c r="P102" s="6">
        <v>44274.81586805556</v>
      </c>
      <c r="Q102" s="4">
        <v>6585.0</v>
      </c>
      <c r="R102" s="4"/>
      <c r="S102" s="4"/>
      <c r="T102" s="4"/>
      <c r="U102" s="7"/>
      <c r="V102" s="4"/>
      <c r="W102" s="4"/>
      <c r="X102" s="4"/>
      <c r="Y102" s="4"/>
      <c r="Z102" s="4"/>
      <c r="AA102" s="5"/>
      <c r="AB102" s="5"/>
      <c r="AC102" s="5"/>
      <c r="AD102" s="5"/>
      <c r="AE102" s="5"/>
    </row>
    <row r="103">
      <c r="A103" s="4" t="s">
        <v>286</v>
      </c>
      <c r="B103" s="4"/>
      <c r="C103" s="4" t="s">
        <v>280</v>
      </c>
      <c r="D103" s="4">
        <v>49877.0</v>
      </c>
      <c r="E103" s="4"/>
      <c r="F103" s="4" t="s">
        <v>85</v>
      </c>
      <c r="G103" s="4">
        <v>99.0</v>
      </c>
      <c r="H103" s="4"/>
      <c r="I103" s="4">
        <v>99.0</v>
      </c>
      <c r="J103" s="4" t="s">
        <v>287</v>
      </c>
      <c r="K103" s="4">
        <v>9.19752391479E11</v>
      </c>
      <c r="L103" s="4" t="s">
        <v>67</v>
      </c>
      <c r="M103" s="4" t="b">
        <v>0</v>
      </c>
      <c r="N103" s="4" t="s">
        <v>74</v>
      </c>
      <c r="O103" s="4" t="s">
        <v>69</v>
      </c>
      <c r="P103" s="6">
        <v>44274.86446759259</v>
      </c>
      <c r="Q103" s="4">
        <v>16472.0</v>
      </c>
      <c r="R103" s="4"/>
      <c r="S103" s="4"/>
      <c r="T103" s="4"/>
      <c r="U103" s="7"/>
      <c r="V103" s="4"/>
      <c r="W103" s="4"/>
      <c r="X103" s="4"/>
      <c r="Y103" s="4"/>
      <c r="Z103" s="4"/>
      <c r="AA103" s="5"/>
      <c r="AB103" s="5"/>
      <c r="AC103" s="5"/>
      <c r="AD103" s="5"/>
      <c r="AE103" s="5"/>
    </row>
    <row r="104">
      <c r="A104" s="4" t="s">
        <v>288</v>
      </c>
      <c r="B104" s="4"/>
      <c r="C104" s="4" t="s">
        <v>280</v>
      </c>
      <c r="D104" s="4">
        <v>49877.0</v>
      </c>
      <c r="E104" s="4"/>
      <c r="F104" s="4" t="s">
        <v>85</v>
      </c>
      <c r="G104" s="4">
        <v>99.0</v>
      </c>
      <c r="H104" s="4"/>
      <c r="I104" s="4">
        <v>99.0</v>
      </c>
      <c r="J104" s="4" t="s">
        <v>289</v>
      </c>
      <c r="K104" s="4">
        <v>9.18777845335E11</v>
      </c>
      <c r="L104" s="4" t="s">
        <v>67</v>
      </c>
      <c r="M104" s="4" t="b">
        <v>0</v>
      </c>
      <c r="N104" s="4" t="s">
        <v>74</v>
      </c>
      <c r="O104" s="4" t="s">
        <v>69</v>
      </c>
      <c r="P104" s="6">
        <v>44274.93577546296</v>
      </c>
      <c r="Q104" s="4" t="s">
        <v>83</v>
      </c>
      <c r="R104" s="4"/>
      <c r="S104" s="4"/>
      <c r="T104" s="4"/>
      <c r="U104" s="7"/>
      <c r="V104" s="4"/>
      <c r="W104" s="4"/>
      <c r="X104" s="4"/>
      <c r="Y104" s="4"/>
      <c r="Z104" s="4"/>
      <c r="AA104" s="5"/>
      <c r="AB104" s="5"/>
      <c r="AC104" s="5"/>
      <c r="AD104" s="5"/>
      <c r="AE104" s="5"/>
    </row>
    <row r="105">
      <c r="A105" s="4" t="s">
        <v>290</v>
      </c>
      <c r="B105" s="4"/>
      <c r="C105" s="4" t="s">
        <v>184</v>
      </c>
      <c r="D105" s="4">
        <v>49833.0</v>
      </c>
      <c r="E105" s="4"/>
      <c r="F105" s="4" t="s">
        <v>85</v>
      </c>
      <c r="G105" s="4">
        <v>99.0</v>
      </c>
      <c r="H105" s="4"/>
      <c r="I105" s="4">
        <v>99.0</v>
      </c>
      <c r="J105" s="4" t="s">
        <v>291</v>
      </c>
      <c r="K105" s="4">
        <v>9.19552788069E11</v>
      </c>
      <c r="L105" s="4" t="s">
        <v>67</v>
      </c>
      <c r="M105" s="4" t="b">
        <v>0</v>
      </c>
      <c r="N105" s="4" t="s">
        <v>68</v>
      </c>
      <c r="O105" s="4" t="s">
        <v>69</v>
      </c>
      <c r="P105" s="6">
        <v>44274.96462962963</v>
      </c>
      <c r="Q105" s="4">
        <v>16314.0</v>
      </c>
      <c r="R105" s="4"/>
      <c r="S105" s="4"/>
      <c r="T105" s="4"/>
      <c r="U105" s="7"/>
      <c r="V105" s="4"/>
      <c r="W105" s="4"/>
      <c r="X105" s="4"/>
      <c r="Y105" s="4"/>
      <c r="Z105" s="4"/>
      <c r="AA105" s="5"/>
      <c r="AB105" s="5"/>
      <c r="AC105" s="5"/>
      <c r="AD105" s="5"/>
      <c r="AE105" s="5"/>
    </row>
    <row r="106">
      <c r="A106" s="4" t="s">
        <v>292</v>
      </c>
      <c r="B106" s="4"/>
      <c r="C106" s="4" t="s">
        <v>245</v>
      </c>
      <c r="D106" s="4">
        <v>49962.0</v>
      </c>
      <c r="E106" s="4"/>
      <c r="F106" s="4" t="s">
        <v>85</v>
      </c>
      <c r="G106" s="4">
        <v>99.0</v>
      </c>
      <c r="H106" s="4"/>
      <c r="I106" s="4">
        <v>99.0</v>
      </c>
      <c r="J106" s="4" t="s">
        <v>293</v>
      </c>
      <c r="K106" s="4">
        <v>9.18697175323E11</v>
      </c>
      <c r="L106" s="4" t="s">
        <v>67</v>
      </c>
      <c r="M106" s="4" t="b">
        <v>0</v>
      </c>
      <c r="N106" s="4" t="s">
        <v>68</v>
      </c>
      <c r="O106" s="4" t="s">
        <v>69</v>
      </c>
      <c r="P106" s="6">
        <v>44275.04939814815</v>
      </c>
      <c r="Q106" s="4">
        <v>16334.0</v>
      </c>
      <c r="R106" s="4"/>
      <c r="S106" s="4"/>
      <c r="T106" s="4"/>
      <c r="U106" s="7"/>
      <c r="V106" s="4"/>
      <c r="W106" s="4"/>
      <c r="X106" s="4"/>
      <c r="Y106" s="4"/>
      <c r="Z106" s="4"/>
      <c r="AA106" s="5"/>
      <c r="AB106" s="5"/>
      <c r="AC106" s="5"/>
      <c r="AD106" s="5"/>
      <c r="AE106" s="5"/>
    </row>
    <row r="107">
      <c r="A107" s="4" t="s">
        <v>294</v>
      </c>
      <c r="B107" s="4"/>
      <c r="C107" s="4" t="s">
        <v>280</v>
      </c>
      <c r="D107" s="4">
        <v>49877.0</v>
      </c>
      <c r="E107" s="4"/>
      <c r="F107" s="4" t="s">
        <v>85</v>
      </c>
      <c r="G107" s="4">
        <v>99.0</v>
      </c>
      <c r="H107" s="4"/>
      <c r="I107" s="4">
        <v>99.0</v>
      </c>
      <c r="J107" s="4" t="s">
        <v>295</v>
      </c>
      <c r="K107" s="4">
        <v>9.19902701162E11</v>
      </c>
      <c r="L107" s="4" t="s">
        <v>67</v>
      </c>
      <c r="M107" s="4" t="b">
        <v>0</v>
      </c>
      <c r="N107" s="4" t="s">
        <v>68</v>
      </c>
      <c r="O107" s="4" t="s">
        <v>69</v>
      </c>
      <c r="P107" s="6">
        <v>44275.18326388889</v>
      </c>
      <c r="Q107" s="4">
        <v>16462.0</v>
      </c>
      <c r="R107" s="4"/>
      <c r="S107" s="4"/>
      <c r="T107" s="4"/>
      <c r="U107" s="7"/>
      <c r="V107" s="4"/>
      <c r="W107" s="4"/>
      <c r="X107" s="4"/>
      <c r="Y107" s="4"/>
      <c r="Z107" s="4"/>
      <c r="AA107" s="5"/>
      <c r="AB107" s="5"/>
      <c r="AC107" s="5"/>
      <c r="AD107" s="5"/>
      <c r="AE107" s="5"/>
    </row>
    <row r="108">
      <c r="A108" s="4" t="s">
        <v>296</v>
      </c>
      <c r="B108" s="4"/>
      <c r="C108" s="4" t="s">
        <v>148</v>
      </c>
      <c r="D108" s="4">
        <v>49991.0</v>
      </c>
      <c r="E108" s="4"/>
      <c r="F108" s="4" t="s">
        <v>149</v>
      </c>
      <c r="G108" s="4">
        <v>99.0</v>
      </c>
      <c r="H108" s="4"/>
      <c r="I108" s="4">
        <v>99.0</v>
      </c>
      <c r="J108" s="4" t="s">
        <v>297</v>
      </c>
      <c r="K108" s="4">
        <v>9.19866723714E11</v>
      </c>
      <c r="L108" s="4" t="s">
        <v>67</v>
      </c>
      <c r="M108" s="4" t="b">
        <v>0</v>
      </c>
      <c r="N108" s="4" t="s">
        <v>68</v>
      </c>
      <c r="O108" s="4" t="s">
        <v>69</v>
      </c>
      <c r="P108" s="6">
        <v>44302.631516203706</v>
      </c>
      <c r="Q108" s="4">
        <v>17028.0</v>
      </c>
      <c r="R108" s="4"/>
      <c r="S108" s="4"/>
      <c r="T108" s="4"/>
      <c r="U108" s="7"/>
      <c r="V108" s="4"/>
      <c r="W108" s="4"/>
      <c r="X108" s="4"/>
      <c r="Y108" s="4"/>
      <c r="Z108" s="4"/>
      <c r="AA108" s="5"/>
      <c r="AB108" s="5"/>
      <c r="AC108" s="5"/>
      <c r="AD108" s="5"/>
      <c r="AE108" s="5"/>
    </row>
    <row r="109">
      <c r="A109" s="4" t="s">
        <v>298</v>
      </c>
      <c r="B109" s="4"/>
      <c r="C109" s="4" t="s">
        <v>148</v>
      </c>
      <c r="D109" s="4">
        <v>49991.0</v>
      </c>
      <c r="E109" s="4"/>
      <c r="F109" s="4" t="s">
        <v>77</v>
      </c>
      <c r="G109" s="4">
        <v>349.0</v>
      </c>
      <c r="H109" s="4"/>
      <c r="I109" s="4">
        <v>349.0</v>
      </c>
      <c r="J109" s="4" t="s">
        <v>299</v>
      </c>
      <c r="K109" s="4">
        <v>9.19118031434E11</v>
      </c>
      <c r="L109" s="4" t="s">
        <v>67</v>
      </c>
      <c r="M109" s="4" t="b">
        <v>0</v>
      </c>
      <c r="N109" s="4" t="s">
        <v>68</v>
      </c>
      <c r="O109" s="4" t="s">
        <v>69</v>
      </c>
      <c r="P109" s="6">
        <v>44304.97100694444</v>
      </c>
      <c r="Q109" s="4">
        <v>16958.0</v>
      </c>
      <c r="R109" s="4"/>
      <c r="S109" s="4"/>
      <c r="T109" s="4"/>
      <c r="U109" s="8"/>
      <c r="V109" s="4"/>
      <c r="W109" s="4"/>
      <c r="X109" s="4"/>
      <c r="Y109" s="4"/>
      <c r="Z109" s="4"/>
      <c r="AA109" s="5"/>
      <c r="AB109" s="5"/>
      <c r="AC109" s="5"/>
      <c r="AD109" s="5"/>
      <c r="AE109" s="5"/>
    </row>
    <row r="110">
      <c r="A110" s="4" t="s">
        <v>300</v>
      </c>
      <c r="B110" s="4"/>
      <c r="C110" s="4" t="s">
        <v>184</v>
      </c>
      <c r="D110" s="4">
        <v>49833.0</v>
      </c>
      <c r="E110" s="4"/>
      <c r="F110" s="4" t="s">
        <v>85</v>
      </c>
      <c r="G110" s="4">
        <v>99.0</v>
      </c>
      <c r="H110" s="4"/>
      <c r="I110" s="4">
        <v>99.0</v>
      </c>
      <c r="J110" s="4" t="s">
        <v>301</v>
      </c>
      <c r="K110" s="4">
        <v>9.16006067114E11</v>
      </c>
      <c r="L110" s="4" t="s">
        <v>67</v>
      </c>
      <c r="M110" s="4" t="b">
        <v>0</v>
      </c>
      <c r="N110" s="4" t="s">
        <v>74</v>
      </c>
      <c r="O110" s="4" t="s">
        <v>69</v>
      </c>
      <c r="P110" s="6">
        <v>44275.583287037036</v>
      </c>
      <c r="Q110" s="4">
        <v>16322.0</v>
      </c>
      <c r="R110" s="4"/>
      <c r="S110" s="4"/>
      <c r="T110" s="4"/>
      <c r="U110" s="7"/>
      <c r="V110" s="4"/>
      <c r="W110" s="4"/>
      <c r="X110" s="4"/>
      <c r="Y110" s="4"/>
      <c r="Z110" s="4"/>
      <c r="AA110" s="5"/>
      <c r="AB110" s="5"/>
      <c r="AC110" s="5"/>
      <c r="AD110" s="5"/>
      <c r="AE110" s="5"/>
    </row>
    <row r="111">
      <c r="A111" s="4" t="s">
        <v>302</v>
      </c>
      <c r="B111" s="4"/>
      <c r="C111" s="4" t="s">
        <v>184</v>
      </c>
      <c r="D111" s="4">
        <v>49833.0</v>
      </c>
      <c r="E111" s="4"/>
      <c r="F111" s="4" t="s">
        <v>85</v>
      </c>
      <c r="G111" s="4">
        <v>99.0</v>
      </c>
      <c r="H111" s="4"/>
      <c r="I111" s="4">
        <v>99.0</v>
      </c>
      <c r="J111" s="4" t="s">
        <v>303</v>
      </c>
      <c r="K111" s="4">
        <v>9.19630053022E11</v>
      </c>
      <c r="L111" s="4" t="s">
        <v>67</v>
      </c>
      <c r="M111" s="4" t="b">
        <v>0</v>
      </c>
      <c r="N111" s="4" t="s">
        <v>68</v>
      </c>
      <c r="O111" s="4" t="s">
        <v>69</v>
      </c>
      <c r="P111" s="6">
        <v>44275.588055555556</v>
      </c>
      <c r="Q111" s="4">
        <v>16383.0</v>
      </c>
      <c r="R111" s="4"/>
      <c r="S111" s="4"/>
      <c r="T111" s="4"/>
      <c r="U111" s="7"/>
      <c r="V111" s="4"/>
      <c r="W111" s="4"/>
      <c r="X111" s="4"/>
      <c r="Y111" s="4"/>
      <c r="Z111" s="4"/>
      <c r="AA111" s="5"/>
      <c r="AB111" s="5"/>
      <c r="AC111" s="5"/>
      <c r="AD111" s="5"/>
      <c r="AE111" s="5"/>
    </row>
    <row r="112">
      <c r="A112" s="4" t="s">
        <v>304</v>
      </c>
      <c r="B112" s="4"/>
      <c r="C112" s="4" t="s">
        <v>148</v>
      </c>
      <c r="D112" s="4">
        <v>49991.0</v>
      </c>
      <c r="E112" s="4"/>
      <c r="F112" s="4" t="s">
        <v>149</v>
      </c>
      <c r="G112" s="4">
        <v>99.0</v>
      </c>
      <c r="H112" s="4"/>
      <c r="I112" s="4">
        <v>99.0</v>
      </c>
      <c r="J112" s="4" t="s">
        <v>305</v>
      </c>
      <c r="K112" s="4">
        <v>9.18825193669E11</v>
      </c>
      <c r="L112" s="4" t="s">
        <v>67</v>
      </c>
      <c r="M112" s="4" t="b">
        <v>0</v>
      </c>
      <c r="N112" s="4" t="s">
        <v>68</v>
      </c>
      <c r="O112" s="4" t="s">
        <v>69</v>
      </c>
      <c r="P112" s="6">
        <v>44305.820706018516</v>
      </c>
      <c r="Q112" s="4">
        <v>17027.0</v>
      </c>
      <c r="R112" s="4"/>
      <c r="S112" s="4"/>
      <c r="T112" s="4"/>
      <c r="U112" s="7"/>
      <c r="V112" s="4"/>
      <c r="W112" s="4"/>
      <c r="X112" s="4"/>
      <c r="Y112" s="4"/>
      <c r="Z112" s="4"/>
      <c r="AA112" s="5"/>
      <c r="AB112" s="5"/>
      <c r="AC112" s="5"/>
      <c r="AD112" s="5"/>
      <c r="AE112" s="5"/>
    </row>
    <row r="113">
      <c r="A113" s="4" t="s">
        <v>306</v>
      </c>
      <c r="B113" s="4"/>
      <c r="C113" s="4" t="s">
        <v>184</v>
      </c>
      <c r="D113" s="4">
        <v>49833.0</v>
      </c>
      <c r="E113" s="4"/>
      <c r="F113" s="4" t="s">
        <v>85</v>
      </c>
      <c r="G113" s="4">
        <v>99.0</v>
      </c>
      <c r="H113" s="4"/>
      <c r="I113" s="4">
        <v>99.0</v>
      </c>
      <c r="J113" s="4" t="s">
        <v>307</v>
      </c>
      <c r="K113" s="4">
        <v>9.17307018187E11</v>
      </c>
      <c r="L113" s="4" t="s">
        <v>67</v>
      </c>
      <c r="M113" s="4" t="b">
        <v>0</v>
      </c>
      <c r="N113" s="4" t="s">
        <v>68</v>
      </c>
      <c r="O113" s="4" t="s">
        <v>69</v>
      </c>
      <c r="P113" s="6">
        <v>44275.659791666665</v>
      </c>
      <c r="Q113" s="4">
        <v>16465.0</v>
      </c>
      <c r="R113" s="4"/>
      <c r="S113" s="4"/>
      <c r="T113" s="4"/>
      <c r="U113" s="7"/>
      <c r="V113" s="4"/>
      <c r="W113" s="4"/>
      <c r="X113" s="4"/>
      <c r="Y113" s="4"/>
      <c r="Z113" s="4"/>
      <c r="AA113" s="5"/>
      <c r="AB113" s="5"/>
      <c r="AC113" s="5"/>
      <c r="AD113" s="5"/>
      <c r="AE113" s="5"/>
    </row>
    <row r="114">
      <c r="A114" s="4" t="s">
        <v>308</v>
      </c>
      <c r="B114" s="4"/>
      <c r="C114" s="4" t="s">
        <v>245</v>
      </c>
      <c r="D114" s="4">
        <v>49962.0</v>
      </c>
      <c r="E114" s="4"/>
      <c r="F114" s="4" t="s">
        <v>85</v>
      </c>
      <c r="G114" s="4">
        <v>99.0</v>
      </c>
      <c r="H114" s="4"/>
      <c r="I114" s="4">
        <v>99.0</v>
      </c>
      <c r="J114" s="4" t="s">
        <v>309</v>
      </c>
      <c r="K114" s="4">
        <v>9.19992123678E11</v>
      </c>
      <c r="L114" s="4" t="s">
        <v>67</v>
      </c>
      <c r="M114" s="4" t="b">
        <v>0</v>
      </c>
      <c r="N114" s="4" t="s">
        <v>68</v>
      </c>
      <c r="O114" s="4" t="s">
        <v>69</v>
      </c>
      <c r="P114" s="6">
        <v>44275.66578703704</v>
      </c>
      <c r="Q114" s="4">
        <v>16333.0</v>
      </c>
      <c r="R114" s="4"/>
      <c r="S114" s="4"/>
      <c r="T114" s="4"/>
      <c r="U114" s="7"/>
      <c r="V114" s="4"/>
      <c r="W114" s="4"/>
      <c r="X114" s="4"/>
      <c r="Y114" s="4"/>
      <c r="Z114" s="4"/>
      <c r="AA114" s="5"/>
      <c r="AB114" s="5"/>
      <c r="AC114" s="5"/>
      <c r="AD114" s="5"/>
      <c r="AE114" s="5"/>
    </row>
    <row r="115">
      <c r="A115" s="4" t="s">
        <v>310</v>
      </c>
      <c r="B115" s="4"/>
      <c r="C115" s="4" t="s">
        <v>245</v>
      </c>
      <c r="D115" s="4">
        <v>49962.0</v>
      </c>
      <c r="E115" s="4"/>
      <c r="F115" s="4" t="s">
        <v>85</v>
      </c>
      <c r="G115" s="4">
        <v>99.0</v>
      </c>
      <c r="H115" s="4"/>
      <c r="I115" s="4">
        <v>99.0</v>
      </c>
      <c r="J115" s="4" t="s">
        <v>311</v>
      </c>
      <c r="K115" s="4">
        <v>9.18884862861E11</v>
      </c>
      <c r="L115" s="4" t="s">
        <v>67</v>
      </c>
      <c r="M115" s="4" t="b">
        <v>0</v>
      </c>
      <c r="N115" s="4" t="s">
        <v>68</v>
      </c>
      <c r="O115" s="4" t="s">
        <v>69</v>
      </c>
      <c r="P115" s="6">
        <v>44275.67049768518</v>
      </c>
      <c r="Q115" s="4">
        <v>16335.0</v>
      </c>
      <c r="R115" s="4"/>
      <c r="S115" s="4"/>
      <c r="T115" s="4"/>
      <c r="U115" s="7"/>
      <c r="V115" s="4"/>
      <c r="W115" s="4"/>
      <c r="X115" s="4"/>
      <c r="Y115" s="4"/>
      <c r="Z115" s="4"/>
      <c r="AA115" s="5"/>
      <c r="AB115" s="5"/>
      <c r="AC115" s="5"/>
      <c r="AD115" s="5"/>
      <c r="AE115" s="5"/>
    </row>
    <row r="116">
      <c r="A116" s="4" t="s">
        <v>312</v>
      </c>
      <c r="B116" s="4"/>
      <c r="C116" s="4" t="s">
        <v>184</v>
      </c>
      <c r="D116" s="4">
        <v>49833.0</v>
      </c>
      <c r="E116" s="4"/>
      <c r="F116" s="4" t="s">
        <v>85</v>
      </c>
      <c r="G116" s="4">
        <v>99.0</v>
      </c>
      <c r="H116" s="4"/>
      <c r="I116" s="4">
        <v>99.0</v>
      </c>
      <c r="J116" s="4" t="s">
        <v>313</v>
      </c>
      <c r="K116" s="4">
        <v>9.18826310671E11</v>
      </c>
      <c r="L116" s="4" t="s">
        <v>67</v>
      </c>
      <c r="M116" s="4" t="b">
        <v>0</v>
      </c>
      <c r="N116" s="4" t="s">
        <v>68</v>
      </c>
      <c r="O116" s="4" t="s">
        <v>69</v>
      </c>
      <c r="P116" s="6">
        <v>44275.72587962963</v>
      </c>
      <c r="Q116" s="4">
        <v>16410.0</v>
      </c>
      <c r="R116" s="4"/>
      <c r="S116" s="4"/>
      <c r="T116" s="4"/>
      <c r="U116" s="7"/>
      <c r="V116" s="4"/>
      <c r="W116" s="4"/>
      <c r="X116" s="4"/>
      <c r="Y116" s="4"/>
      <c r="Z116" s="4"/>
      <c r="AA116" s="5"/>
      <c r="AB116" s="5"/>
      <c r="AC116" s="5"/>
      <c r="AD116" s="5"/>
      <c r="AE116" s="5"/>
    </row>
    <row r="117">
      <c r="A117" s="4" t="s">
        <v>314</v>
      </c>
      <c r="B117" s="4"/>
      <c r="C117" s="4" t="s">
        <v>184</v>
      </c>
      <c r="D117" s="4">
        <v>49833.0</v>
      </c>
      <c r="E117" s="4"/>
      <c r="F117" s="4" t="s">
        <v>85</v>
      </c>
      <c r="G117" s="4">
        <v>99.0</v>
      </c>
      <c r="H117" s="4"/>
      <c r="I117" s="4">
        <v>99.0</v>
      </c>
      <c r="J117" s="4" t="s">
        <v>315</v>
      </c>
      <c r="K117" s="4">
        <v>9.17013228922E11</v>
      </c>
      <c r="L117" s="4" t="s">
        <v>67</v>
      </c>
      <c r="M117" s="4" t="b">
        <v>0</v>
      </c>
      <c r="N117" s="4" t="s">
        <v>68</v>
      </c>
      <c r="O117" s="4" t="s">
        <v>69</v>
      </c>
      <c r="P117" s="6">
        <v>44275.73112268518</v>
      </c>
      <c r="Q117" s="4">
        <v>16437.0</v>
      </c>
      <c r="R117" s="4"/>
      <c r="S117" s="4"/>
      <c r="T117" s="4"/>
      <c r="U117" s="7"/>
      <c r="V117" s="4"/>
      <c r="W117" s="4"/>
      <c r="X117" s="4"/>
      <c r="Y117" s="4"/>
      <c r="Z117" s="4"/>
      <c r="AA117" s="5"/>
      <c r="AB117" s="5"/>
      <c r="AC117" s="5"/>
      <c r="AD117" s="5"/>
      <c r="AE117" s="5"/>
    </row>
    <row r="118">
      <c r="A118" s="4" t="s">
        <v>316</v>
      </c>
      <c r="B118" s="4"/>
      <c r="C118" s="4" t="s">
        <v>148</v>
      </c>
      <c r="D118" s="4">
        <v>49991.0</v>
      </c>
      <c r="E118" s="4"/>
      <c r="F118" s="4" t="s">
        <v>77</v>
      </c>
      <c r="G118" s="4">
        <v>349.0</v>
      </c>
      <c r="H118" s="4"/>
      <c r="I118" s="4">
        <v>349.0</v>
      </c>
      <c r="J118" s="4" t="s">
        <v>317</v>
      </c>
      <c r="K118" s="4">
        <v>9.19439290785E11</v>
      </c>
      <c r="L118" s="4" t="s">
        <v>67</v>
      </c>
      <c r="M118" s="4" t="b">
        <v>0</v>
      </c>
      <c r="N118" s="4" t="s">
        <v>97</v>
      </c>
      <c r="O118" s="4" t="s">
        <v>69</v>
      </c>
      <c r="P118" s="6">
        <v>44307.874085648145</v>
      </c>
      <c r="Q118" s="4">
        <v>17093.0</v>
      </c>
      <c r="R118" s="4"/>
      <c r="S118" s="4"/>
      <c r="T118" s="4"/>
      <c r="U118" s="8"/>
      <c r="V118" s="4"/>
      <c r="W118" s="4"/>
      <c r="X118" s="4"/>
      <c r="Y118" s="4"/>
      <c r="Z118" s="4"/>
      <c r="AA118" s="5"/>
      <c r="AB118" s="5"/>
      <c r="AC118" s="5"/>
      <c r="AD118" s="5"/>
      <c r="AE118" s="5"/>
    </row>
    <row r="119">
      <c r="A119" s="4" t="s">
        <v>318</v>
      </c>
      <c r="B119" s="4"/>
      <c r="C119" s="4" t="s">
        <v>184</v>
      </c>
      <c r="D119" s="4">
        <v>49833.0</v>
      </c>
      <c r="E119" s="4"/>
      <c r="F119" s="4" t="s">
        <v>85</v>
      </c>
      <c r="G119" s="4">
        <v>99.0</v>
      </c>
      <c r="H119" s="4"/>
      <c r="I119" s="4">
        <v>99.0</v>
      </c>
      <c r="J119" s="4" t="s">
        <v>319</v>
      </c>
      <c r="K119" s="4">
        <v>9.17003901955E11</v>
      </c>
      <c r="L119" s="4" t="s">
        <v>67</v>
      </c>
      <c r="M119" s="4" t="b">
        <v>0</v>
      </c>
      <c r="N119" s="4" t="s">
        <v>68</v>
      </c>
      <c r="O119" s="4" t="s">
        <v>69</v>
      </c>
      <c r="P119" s="6">
        <v>44275.76634259259</v>
      </c>
      <c r="Q119" s="4">
        <v>16384.0</v>
      </c>
      <c r="R119" s="4"/>
      <c r="S119" s="4"/>
      <c r="T119" s="4"/>
      <c r="U119" s="7"/>
      <c r="V119" s="4"/>
      <c r="W119" s="4"/>
      <c r="X119" s="4"/>
      <c r="Y119" s="4"/>
      <c r="Z119" s="4"/>
      <c r="AA119" s="5"/>
      <c r="AB119" s="5"/>
      <c r="AC119" s="5"/>
      <c r="AD119" s="5"/>
      <c r="AE119" s="5"/>
    </row>
    <row r="120">
      <c r="A120" s="4" t="s">
        <v>320</v>
      </c>
      <c r="B120" s="4"/>
      <c r="C120" s="4" t="s">
        <v>184</v>
      </c>
      <c r="D120" s="4">
        <v>49833.0</v>
      </c>
      <c r="E120" s="4"/>
      <c r="F120" s="4" t="s">
        <v>85</v>
      </c>
      <c r="G120" s="4">
        <v>99.0</v>
      </c>
      <c r="H120" s="4"/>
      <c r="I120" s="4">
        <v>99.0</v>
      </c>
      <c r="J120" s="4" t="s">
        <v>321</v>
      </c>
      <c r="K120" s="4">
        <v>9.19406558662E11</v>
      </c>
      <c r="L120" s="4" t="s">
        <v>67</v>
      </c>
      <c r="M120" s="4" t="b">
        <v>0</v>
      </c>
      <c r="N120" s="4" t="s">
        <v>68</v>
      </c>
      <c r="O120" s="4" t="s">
        <v>69</v>
      </c>
      <c r="P120" s="6">
        <v>44275.768113425926</v>
      </c>
      <c r="Q120" s="4">
        <v>16381.0</v>
      </c>
      <c r="R120" s="4"/>
      <c r="S120" s="4"/>
      <c r="T120" s="4"/>
      <c r="U120" s="7"/>
      <c r="V120" s="4"/>
      <c r="W120" s="4"/>
      <c r="X120" s="4"/>
      <c r="Y120" s="4"/>
      <c r="Z120" s="4"/>
      <c r="AA120" s="5"/>
      <c r="AB120" s="5"/>
      <c r="AC120" s="5"/>
      <c r="AD120" s="5"/>
      <c r="AE120" s="5"/>
    </row>
    <row r="121">
      <c r="A121" s="4" t="s">
        <v>322</v>
      </c>
      <c r="B121" s="4"/>
      <c r="C121" s="4" t="s">
        <v>245</v>
      </c>
      <c r="D121" s="4">
        <v>49962.0</v>
      </c>
      <c r="E121" s="4"/>
      <c r="F121" s="4" t="s">
        <v>85</v>
      </c>
      <c r="G121" s="4">
        <v>99.0</v>
      </c>
      <c r="H121" s="4"/>
      <c r="I121" s="4">
        <v>99.0</v>
      </c>
      <c r="J121" s="4" t="s">
        <v>323</v>
      </c>
      <c r="K121" s="4">
        <v>9.19679515163E11</v>
      </c>
      <c r="L121" s="4" t="s">
        <v>67</v>
      </c>
      <c r="M121" s="4" t="b">
        <v>0</v>
      </c>
      <c r="N121" s="4" t="s">
        <v>68</v>
      </c>
      <c r="O121" s="4" t="s">
        <v>69</v>
      </c>
      <c r="P121" s="6">
        <v>44275.78077546296</v>
      </c>
      <c r="Q121" s="4">
        <v>16348.0</v>
      </c>
      <c r="R121" s="4"/>
      <c r="S121" s="4"/>
      <c r="T121" s="4"/>
      <c r="U121" s="7"/>
      <c r="V121" s="4"/>
      <c r="W121" s="4"/>
      <c r="X121" s="4"/>
      <c r="Y121" s="4"/>
      <c r="Z121" s="4"/>
      <c r="AA121" s="5"/>
      <c r="AB121" s="5"/>
      <c r="AC121" s="5"/>
      <c r="AD121" s="5"/>
      <c r="AE121" s="5"/>
    </row>
    <row r="122">
      <c r="A122" s="4" t="s">
        <v>324</v>
      </c>
      <c r="B122" s="4"/>
      <c r="C122" s="4" t="s">
        <v>181</v>
      </c>
      <c r="D122" s="4">
        <v>49864.0</v>
      </c>
      <c r="E122" s="4"/>
      <c r="F122" s="4" t="s">
        <v>149</v>
      </c>
      <c r="G122" s="4">
        <v>99.0</v>
      </c>
      <c r="H122" s="4"/>
      <c r="I122" s="4">
        <v>99.0</v>
      </c>
      <c r="J122" s="4" t="s">
        <v>325</v>
      </c>
      <c r="K122" s="4">
        <v>9.17995182223E11</v>
      </c>
      <c r="L122" s="4" t="s">
        <v>67</v>
      </c>
      <c r="M122" s="4" t="b">
        <v>0</v>
      </c>
      <c r="N122" s="4" t="s">
        <v>68</v>
      </c>
      <c r="O122" s="4" t="s">
        <v>69</v>
      </c>
      <c r="P122" s="6">
        <v>44284.45232638889</v>
      </c>
      <c r="Q122" s="4" t="s">
        <v>83</v>
      </c>
      <c r="R122" s="4"/>
      <c r="S122" s="4"/>
      <c r="T122" s="4"/>
      <c r="U122" s="7"/>
      <c r="V122" s="4"/>
      <c r="W122" s="4"/>
      <c r="X122" s="4"/>
      <c r="Y122" s="4"/>
      <c r="Z122" s="4"/>
      <c r="AA122" s="5"/>
      <c r="AB122" s="5"/>
      <c r="AC122" s="5"/>
      <c r="AD122" s="5"/>
      <c r="AE122" s="5"/>
    </row>
    <row r="123">
      <c r="A123" s="4" t="s">
        <v>326</v>
      </c>
      <c r="B123" s="4"/>
      <c r="C123" s="4" t="s">
        <v>181</v>
      </c>
      <c r="D123" s="4">
        <v>49864.0</v>
      </c>
      <c r="E123" s="4"/>
      <c r="F123" s="4" t="s">
        <v>149</v>
      </c>
      <c r="G123" s="4">
        <v>99.0</v>
      </c>
      <c r="H123" s="4"/>
      <c r="I123" s="4">
        <v>99.0</v>
      </c>
      <c r="J123" s="4" t="s">
        <v>327</v>
      </c>
      <c r="K123" s="4">
        <v>9.19619041069E11</v>
      </c>
      <c r="L123" s="4" t="s">
        <v>67</v>
      </c>
      <c r="M123" s="4" t="b">
        <v>0</v>
      </c>
      <c r="N123" s="4" t="s">
        <v>68</v>
      </c>
      <c r="O123" s="4" t="s">
        <v>69</v>
      </c>
      <c r="P123" s="6">
        <v>44284.67418981482</v>
      </c>
      <c r="Q123" s="4">
        <v>16830.0</v>
      </c>
      <c r="R123" s="4"/>
      <c r="S123" s="4"/>
      <c r="T123" s="4"/>
      <c r="U123" s="7"/>
      <c r="V123" s="4"/>
      <c r="W123" s="4"/>
      <c r="X123" s="4"/>
      <c r="Y123" s="4"/>
      <c r="Z123" s="4"/>
      <c r="AA123" s="5"/>
      <c r="AB123" s="5"/>
      <c r="AC123" s="5"/>
      <c r="AD123" s="5"/>
      <c r="AE123" s="5"/>
    </row>
    <row r="124">
      <c r="A124" s="4" t="s">
        <v>328</v>
      </c>
      <c r="B124" s="4"/>
      <c r="C124" s="4" t="s">
        <v>148</v>
      </c>
      <c r="D124" s="4">
        <v>49991.0</v>
      </c>
      <c r="E124" s="4"/>
      <c r="F124" s="4" t="s">
        <v>149</v>
      </c>
      <c r="G124" s="4">
        <v>99.0</v>
      </c>
      <c r="H124" s="4"/>
      <c r="I124" s="4">
        <v>99.0</v>
      </c>
      <c r="J124" s="4" t="s">
        <v>329</v>
      </c>
      <c r="K124" s="4">
        <v>9.18492928227E11</v>
      </c>
      <c r="L124" s="4" t="s">
        <v>67</v>
      </c>
      <c r="M124" s="4" t="b">
        <v>0</v>
      </c>
      <c r="N124" s="4" t="s">
        <v>151</v>
      </c>
      <c r="O124" s="4" t="s">
        <v>69</v>
      </c>
      <c r="P124" s="6">
        <v>44307.97005787037</v>
      </c>
      <c r="Q124" s="4">
        <v>17103.0</v>
      </c>
      <c r="R124" s="4"/>
      <c r="S124" s="4"/>
      <c r="T124" s="4"/>
      <c r="U124" s="7"/>
      <c r="V124" s="4"/>
      <c r="W124" s="4"/>
      <c r="X124" s="4"/>
      <c r="Y124" s="4"/>
      <c r="Z124" s="4"/>
      <c r="AA124" s="5"/>
      <c r="AB124" s="5"/>
      <c r="AC124" s="5"/>
      <c r="AD124" s="5"/>
      <c r="AE124" s="5"/>
    </row>
    <row r="125">
      <c r="A125" s="4" t="s">
        <v>330</v>
      </c>
      <c r="B125" s="4"/>
      <c r="C125" s="4" t="s">
        <v>184</v>
      </c>
      <c r="D125" s="4">
        <v>49833.0</v>
      </c>
      <c r="E125" s="4"/>
      <c r="F125" s="4" t="s">
        <v>85</v>
      </c>
      <c r="G125" s="4">
        <v>99.0</v>
      </c>
      <c r="H125" s="4"/>
      <c r="I125" s="4">
        <v>99.0</v>
      </c>
      <c r="J125" s="4" t="s">
        <v>331</v>
      </c>
      <c r="K125" s="4">
        <v>9.17795410454E11</v>
      </c>
      <c r="L125" s="4" t="s">
        <v>67</v>
      </c>
      <c r="M125" s="4" t="b">
        <v>0</v>
      </c>
      <c r="N125" s="4" t="s">
        <v>74</v>
      </c>
      <c r="O125" s="4" t="s">
        <v>69</v>
      </c>
      <c r="P125" s="6">
        <v>44275.91166666667</v>
      </c>
      <c r="Q125" s="4">
        <v>16403.0</v>
      </c>
      <c r="R125" s="4"/>
      <c r="S125" s="4"/>
      <c r="T125" s="4"/>
      <c r="U125" s="7"/>
      <c r="V125" s="4"/>
      <c r="W125" s="4"/>
      <c r="X125" s="4"/>
      <c r="Y125" s="4"/>
      <c r="Z125" s="4"/>
      <c r="AA125" s="5"/>
      <c r="AB125" s="5"/>
      <c r="AC125" s="5"/>
      <c r="AD125" s="5"/>
      <c r="AE125" s="5"/>
    </row>
    <row r="126">
      <c r="A126" s="4" t="s">
        <v>332</v>
      </c>
      <c r="B126" s="4"/>
      <c r="C126" s="4" t="s">
        <v>280</v>
      </c>
      <c r="D126" s="4">
        <v>49877.0</v>
      </c>
      <c r="E126" s="4"/>
      <c r="F126" s="4" t="s">
        <v>85</v>
      </c>
      <c r="G126" s="4">
        <v>99.0</v>
      </c>
      <c r="H126" s="4"/>
      <c r="I126" s="4">
        <v>99.0</v>
      </c>
      <c r="J126" s="4" t="s">
        <v>333</v>
      </c>
      <c r="K126" s="4">
        <v>9.16009313775E11</v>
      </c>
      <c r="L126" s="4" t="s">
        <v>67</v>
      </c>
      <c r="M126" s="4" t="b">
        <v>0</v>
      </c>
      <c r="N126" s="4" t="s">
        <v>68</v>
      </c>
      <c r="O126" s="4" t="s">
        <v>69</v>
      </c>
      <c r="P126" s="6">
        <v>44275.966770833336</v>
      </c>
      <c r="Q126" s="4" t="s">
        <v>83</v>
      </c>
      <c r="R126" s="4"/>
      <c r="S126" s="4"/>
      <c r="T126" s="4"/>
      <c r="U126" s="7"/>
      <c r="V126" s="4"/>
      <c r="W126" s="4"/>
      <c r="X126" s="4"/>
      <c r="Y126" s="4"/>
      <c r="Z126" s="4"/>
      <c r="AA126" s="5"/>
      <c r="AB126" s="5"/>
      <c r="AC126" s="5"/>
      <c r="AD126" s="5"/>
      <c r="AE126" s="5"/>
    </row>
    <row r="127">
      <c r="A127" s="4" t="s">
        <v>334</v>
      </c>
      <c r="B127" s="4"/>
      <c r="C127" s="4" t="s">
        <v>148</v>
      </c>
      <c r="D127" s="4">
        <v>49991.0</v>
      </c>
      <c r="E127" s="4"/>
      <c r="F127" s="4" t="s">
        <v>77</v>
      </c>
      <c r="G127" s="4">
        <v>349.0</v>
      </c>
      <c r="H127" s="4"/>
      <c r="I127" s="4">
        <v>349.0</v>
      </c>
      <c r="J127" s="4" t="s">
        <v>335</v>
      </c>
      <c r="K127" s="4">
        <v>9.19945082581E11</v>
      </c>
      <c r="L127" s="4" t="s">
        <v>67</v>
      </c>
      <c r="M127" s="4" t="b">
        <v>0</v>
      </c>
      <c r="N127" s="4" t="s">
        <v>74</v>
      </c>
      <c r="O127" s="4" t="s">
        <v>69</v>
      </c>
      <c r="P127" s="6">
        <v>44309.45039351852</v>
      </c>
      <c r="Q127" s="4" t="s">
        <v>83</v>
      </c>
      <c r="R127" s="4"/>
      <c r="S127" s="4"/>
      <c r="T127" s="4"/>
      <c r="U127" s="8"/>
      <c r="V127" s="4"/>
      <c r="W127" s="4"/>
      <c r="X127" s="4"/>
      <c r="Y127" s="4"/>
      <c r="Z127" s="4"/>
      <c r="AA127" s="5"/>
      <c r="AB127" s="5"/>
      <c r="AC127" s="5"/>
      <c r="AD127" s="5"/>
      <c r="AE127" s="5"/>
    </row>
    <row r="128">
      <c r="A128" s="4" t="s">
        <v>336</v>
      </c>
      <c r="B128" s="4"/>
      <c r="C128" s="4" t="s">
        <v>148</v>
      </c>
      <c r="D128" s="4">
        <v>49991.0</v>
      </c>
      <c r="E128" s="4"/>
      <c r="F128" s="4" t="s">
        <v>149</v>
      </c>
      <c r="G128" s="4">
        <v>99.0</v>
      </c>
      <c r="H128" s="4"/>
      <c r="I128" s="4">
        <v>99.0</v>
      </c>
      <c r="J128" s="4" t="s">
        <v>337</v>
      </c>
      <c r="K128" s="4">
        <v>9.19723456245E11</v>
      </c>
      <c r="L128" s="4" t="s">
        <v>67</v>
      </c>
      <c r="M128" s="4" t="b">
        <v>0</v>
      </c>
      <c r="N128" s="4" t="s">
        <v>68</v>
      </c>
      <c r="O128" s="4" t="s">
        <v>69</v>
      </c>
      <c r="P128" s="6">
        <v>44309.717835648145</v>
      </c>
      <c r="Q128" s="4">
        <v>17190.0</v>
      </c>
      <c r="R128" s="4"/>
      <c r="S128" s="4"/>
      <c r="T128" s="4"/>
      <c r="U128" s="7"/>
      <c r="V128" s="4"/>
      <c r="W128" s="4"/>
      <c r="X128" s="4"/>
      <c r="Y128" s="4"/>
      <c r="Z128" s="4"/>
      <c r="AA128" s="5"/>
      <c r="AB128" s="5"/>
      <c r="AC128" s="5"/>
      <c r="AD128" s="5"/>
      <c r="AE128" s="5"/>
    </row>
    <row r="129">
      <c r="A129" s="4" t="s">
        <v>338</v>
      </c>
      <c r="B129" s="4"/>
      <c r="C129" s="4" t="s">
        <v>245</v>
      </c>
      <c r="D129" s="4">
        <v>49962.0</v>
      </c>
      <c r="E129" s="4"/>
      <c r="F129" s="4" t="s">
        <v>85</v>
      </c>
      <c r="G129" s="4">
        <v>99.0</v>
      </c>
      <c r="H129" s="4"/>
      <c r="I129" s="4">
        <v>99.0</v>
      </c>
      <c r="J129" s="4" t="s">
        <v>339</v>
      </c>
      <c r="K129" s="4">
        <v>9.19780281577E11</v>
      </c>
      <c r="L129" s="4" t="s">
        <v>67</v>
      </c>
      <c r="M129" s="4" t="b">
        <v>0</v>
      </c>
      <c r="N129" s="4" t="s">
        <v>74</v>
      </c>
      <c r="O129" s="4" t="s">
        <v>69</v>
      </c>
      <c r="P129" s="6">
        <v>44276.41055555556</v>
      </c>
      <c r="Q129" s="4">
        <v>16337.0</v>
      </c>
      <c r="R129" s="4"/>
      <c r="S129" s="4"/>
      <c r="T129" s="4"/>
      <c r="U129" s="7"/>
      <c r="V129" s="4"/>
      <c r="W129" s="4"/>
      <c r="X129" s="4"/>
      <c r="Y129" s="4"/>
      <c r="Z129" s="4"/>
      <c r="AA129" s="5"/>
      <c r="AB129" s="5"/>
      <c r="AC129" s="5"/>
      <c r="AD129" s="5"/>
      <c r="AE129" s="5"/>
    </row>
    <row r="130">
      <c r="A130" s="4" t="s">
        <v>340</v>
      </c>
      <c r="B130" s="4"/>
      <c r="C130" s="4" t="s">
        <v>181</v>
      </c>
      <c r="D130" s="4">
        <v>49864.0</v>
      </c>
      <c r="E130" s="4"/>
      <c r="F130" s="4" t="s">
        <v>149</v>
      </c>
      <c r="G130" s="4">
        <v>99.0</v>
      </c>
      <c r="H130" s="4"/>
      <c r="I130" s="4">
        <v>99.0</v>
      </c>
      <c r="J130" s="4" t="s">
        <v>341</v>
      </c>
      <c r="K130" s="4">
        <v>9.17041414749E11</v>
      </c>
      <c r="L130" s="4" t="s">
        <v>67</v>
      </c>
      <c r="M130" s="4" t="b">
        <v>0</v>
      </c>
      <c r="N130" s="4" t="s">
        <v>74</v>
      </c>
      <c r="O130" s="4" t="s">
        <v>69</v>
      </c>
      <c r="P130" s="6">
        <v>44284.735972222225</v>
      </c>
      <c r="Q130" s="4">
        <v>16671.0</v>
      </c>
      <c r="R130" s="4"/>
      <c r="S130" s="4"/>
      <c r="T130" s="4"/>
      <c r="U130" s="7"/>
      <c r="V130" s="4"/>
      <c r="W130" s="4"/>
      <c r="X130" s="4"/>
      <c r="Y130" s="4"/>
      <c r="Z130" s="4"/>
      <c r="AA130" s="5"/>
      <c r="AB130" s="5"/>
      <c r="AC130" s="5"/>
      <c r="AD130" s="5"/>
      <c r="AE130" s="5"/>
    </row>
    <row r="131">
      <c r="A131" s="4" t="s">
        <v>342</v>
      </c>
      <c r="B131" s="4"/>
      <c r="C131" s="4" t="s">
        <v>181</v>
      </c>
      <c r="D131" s="4">
        <v>49864.0</v>
      </c>
      <c r="E131" s="4"/>
      <c r="F131" s="4" t="s">
        <v>149</v>
      </c>
      <c r="G131" s="4">
        <v>99.0</v>
      </c>
      <c r="H131" s="4"/>
      <c r="I131" s="4">
        <v>99.0</v>
      </c>
      <c r="J131" s="4" t="s">
        <v>343</v>
      </c>
      <c r="K131" s="4">
        <v>9.17728037177E11</v>
      </c>
      <c r="L131" s="4" t="s">
        <v>67</v>
      </c>
      <c r="M131" s="4" t="b">
        <v>0</v>
      </c>
      <c r="N131" s="4" t="s">
        <v>68</v>
      </c>
      <c r="O131" s="4" t="s">
        <v>69</v>
      </c>
      <c r="P131" s="6">
        <v>44284.86729166667</v>
      </c>
      <c r="Q131" s="4">
        <v>16679.0</v>
      </c>
      <c r="R131" s="4"/>
      <c r="S131" s="4"/>
      <c r="T131" s="4"/>
      <c r="U131" s="7"/>
      <c r="V131" s="4"/>
      <c r="W131" s="4"/>
      <c r="X131" s="4"/>
      <c r="Y131" s="4"/>
      <c r="Z131" s="4"/>
      <c r="AA131" s="5"/>
      <c r="AB131" s="5"/>
      <c r="AC131" s="5"/>
      <c r="AD131" s="5"/>
      <c r="AE131" s="5"/>
    </row>
    <row r="132">
      <c r="A132" s="4" t="s">
        <v>344</v>
      </c>
      <c r="B132" s="4"/>
      <c r="C132" s="4" t="s">
        <v>148</v>
      </c>
      <c r="D132" s="4">
        <v>49991.0</v>
      </c>
      <c r="E132" s="4"/>
      <c r="F132" s="4" t="s">
        <v>149</v>
      </c>
      <c r="G132" s="4">
        <v>99.0</v>
      </c>
      <c r="H132" s="4"/>
      <c r="I132" s="4">
        <v>99.0</v>
      </c>
      <c r="J132" s="4" t="s">
        <v>345</v>
      </c>
      <c r="K132" s="4">
        <v>9.18823090634E11</v>
      </c>
      <c r="L132" s="4" t="s">
        <v>67</v>
      </c>
      <c r="M132" s="4" t="b">
        <v>0</v>
      </c>
      <c r="N132" s="4" t="s">
        <v>68</v>
      </c>
      <c r="O132" s="4" t="s">
        <v>69</v>
      </c>
      <c r="P132" s="6">
        <v>44309.85689814815</v>
      </c>
      <c r="Q132" s="4">
        <v>17202.0</v>
      </c>
      <c r="R132" s="4"/>
      <c r="S132" s="4"/>
      <c r="T132" s="4"/>
      <c r="U132" s="7"/>
      <c r="V132" s="4"/>
      <c r="W132" s="4"/>
      <c r="X132" s="4"/>
      <c r="Y132" s="4"/>
      <c r="Z132" s="4"/>
      <c r="AA132" s="5"/>
      <c r="AB132" s="5"/>
      <c r="AC132" s="5"/>
      <c r="AD132" s="5"/>
      <c r="AE132" s="5"/>
    </row>
    <row r="133">
      <c r="A133" s="4" t="s">
        <v>346</v>
      </c>
      <c r="B133" s="4"/>
      <c r="C133" s="4" t="s">
        <v>181</v>
      </c>
      <c r="D133" s="4">
        <v>49864.0</v>
      </c>
      <c r="E133" s="4"/>
      <c r="F133" s="4" t="s">
        <v>149</v>
      </c>
      <c r="G133" s="4">
        <v>99.0</v>
      </c>
      <c r="H133" s="4"/>
      <c r="I133" s="4">
        <v>99.0</v>
      </c>
      <c r="J133" s="4" t="s">
        <v>347</v>
      </c>
      <c r="K133" s="4">
        <v>9.19017651251E11</v>
      </c>
      <c r="L133" s="4" t="s">
        <v>67</v>
      </c>
      <c r="M133" s="4" t="b">
        <v>0</v>
      </c>
      <c r="N133" s="4" t="s">
        <v>68</v>
      </c>
      <c r="O133" s="4" t="s">
        <v>69</v>
      </c>
      <c r="P133" s="6">
        <v>44284.94253472222</v>
      </c>
      <c r="Q133" s="4" t="s">
        <v>83</v>
      </c>
      <c r="R133" s="4"/>
      <c r="S133" s="4"/>
      <c r="T133" s="4"/>
      <c r="U133" s="7"/>
      <c r="V133" s="4"/>
      <c r="W133" s="4"/>
      <c r="X133" s="4"/>
      <c r="Y133" s="4"/>
      <c r="Z133" s="4"/>
      <c r="AA133" s="5"/>
      <c r="AB133" s="5"/>
      <c r="AC133" s="5"/>
      <c r="AD133" s="5"/>
      <c r="AE133" s="5"/>
    </row>
    <row r="134">
      <c r="A134" s="4" t="s">
        <v>348</v>
      </c>
      <c r="B134" s="4"/>
      <c r="C134" s="4" t="s">
        <v>181</v>
      </c>
      <c r="D134" s="4">
        <v>49864.0</v>
      </c>
      <c r="E134" s="4"/>
      <c r="F134" s="4" t="s">
        <v>149</v>
      </c>
      <c r="G134" s="4">
        <v>99.0</v>
      </c>
      <c r="H134" s="4"/>
      <c r="I134" s="4">
        <v>99.0</v>
      </c>
      <c r="J134" s="4" t="s">
        <v>349</v>
      </c>
      <c r="K134" s="4">
        <v>9.19871399495E11</v>
      </c>
      <c r="L134" s="4" t="s">
        <v>67</v>
      </c>
      <c r="M134" s="4" t="b">
        <v>0</v>
      </c>
      <c r="N134" s="4" t="s">
        <v>74</v>
      </c>
      <c r="O134" s="4" t="s">
        <v>69</v>
      </c>
      <c r="P134" s="6">
        <v>44285.582037037035</v>
      </c>
      <c r="Q134" s="4" t="s">
        <v>83</v>
      </c>
      <c r="R134" s="4"/>
      <c r="S134" s="4"/>
      <c r="T134" s="4"/>
      <c r="U134" s="7"/>
      <c r="V134" s="4"/>
      <c r="W134" s="4"/>
      <c r="X134" s="4"/>
      <c r="Y134" s="4"/>
      <c r="Z134" s="4"/>
      <c r="AA134" s="5"/>
      <c r="AB134" s="5"/>
      <c r="AC134" s="5"/>
      <c r="AD134" s="5"/>
      <c r="AE134" s="5"/>
    </row>
    <row r="135">
      <c r="A135" s="4" t="s">
        <v>350</v>
      </c>
      <c r="B135" s="4"/>
      <c r="C135" s="4" t="s">
        <v>148</v>
      </c>
      <c r="D135" s="4">
        <v>49991.0</v>
      </c>
      <c r="E135" s="4"/>
      <c r="F135" s="4" t="s">
        <v>77</v>
      </c>
      <c r="G135" s="4">
        <v>349.0</v>
      </c>
      <c r="H135" s="4"/>
      <c r="I135" s="4">
        <v>349.0</v>
      </c>
      <c r="J135" s="4" t="s">
        <v>351</v>
      </c>
      <c r="K135" s="4">
        <v>9.19086362091E11</v>
      </c>
      <c r="L135" s="4" t="s">
        <v>67</v>
      </c>
      <c r="M135" s="4" t="b">
        <v>0</v>
      </c>
      <c r="N135" s="4" t="s">
        <v>74</v>
      </c>
      <c r="O135" s="4" t="s">
        <v>69</v>
      </c>
      <c r="P135" s="6">
        <v>44310.901400462964</v>
      </c>
      <c r="Q135" s="4">
        <v>17254.0</v>
      </c>
      <c r="R135" s="4"/>
      <c r="S135" s="4"/>
      <c r="T135" s="4"/>
      <c r="U135" s="8"/>
      <c r="V135" s="4"/>
      <c r="W135" s="4"/>
      <c r="X135" s="4"/>
      <c r="Y135" s="4"/>
      <c r="Z135" s="4"/>
      <c r="AA135" s="5"/>
      <c r="AB135" s="5"/>
      <c r="AC135" s="5"/>
      <c r="AD135" s="5"/>
      <c r="AE135" s="5"/>
    </row>
    <row r="136">
      <c r="A136" s="4" t="s">
        <v>352</v>
      </c>
      <c r="B136" s="4"/>
      <c r="C136" s="4" t="s">
        <v>148</v>
      </c>
      <c r="D136" s="4">
        <v>49991.0</v>
      </c>
      <c r="E136" s="4"/>
      <c r="F136" s="4" t="s">
        <v>85</v>
      </c>
      <c r="G136" s="4">
        <v>199.0</v>
      </c>
      <c r="H136" s="4"/>
      <c r="I136" s="4">
        <v>199.0</v>
      </c>
      <c r="J136" s="4" t="s">
        <v>351</v>
      </c>
      <c r="K136" s="4">
        <v>9.19086362091E11</v>
      </c>
      <c r="L136" s="4" t="s">
        <v>67</v>
      </c>
      <c r="M136" s="4" t="b">
        <v>0</v>
      </c>
      <c r="N136" s="4" t="s">
        <v>74</v>
      </c>
      <c r="O136" s="4" t="s">
        <v>69</v>
      </c>
      <c r="P136" s="6">
        <v>44310.90712962963</v>
      </c>
      <c r="Q136" s="4">
        <v>17254.0</v>
      </c>
      <c r="R136" s="4"/>
      <c r="S136" s="4"/>
      <c r="T136" s="4"/>
      <c r="U136" s="7"/>
      <c r="V136" s="4"/>
      <c r="W136" s="4"/>
      <c r="X136" s="4"/>
      <c r="Y136" s="4"/>
      <c r="Z136" s="4"/>
      <c r="AA136" s="5"/>
      <c r="AB136" s="5"/>
      <c r="AC136" s="5"/>
      <c r="AD136" s="5"/>
      <c r="AE136" s="5"/>
    </row>
    <row r="137">
      <c r="A137" s="4" t="s">
        <v>353</v>
      </c>
      <c r="B137" s="4"/>
      <c r="C137" s="4" t="s">
        <v>184</v>
      </c>
      <c r="D137" s="4">
        <v>49833.0</v>
      </c>
      <c r="E137" s="4"/>
      <c r="F137" s="4" t="s">
        <v>85</v>
      </c>
      <c r="G137" s="4">
        <v>99.0</v>
      </c>
      <c r="H137" s="4"/>
      <c r="I137" s="4">
        <v>99.0</v>
      </c>
      <c r="J137" s="4" t="s">
        <v>354</v>
      </c>
      <c r="K137" s="4">
        <v>9.17006622862E11</v>
      </c>
      <c r="L137" s="4" t="s">
        <v>67</v>
      </c>
      <c r="M137" s="4" t="b">
        <v>0</v>
      </c>
      <c r="N137" s="4" t="s">
        <v>97</v>
      </c>
      <c r="O137" s="4" t="s">
        <v>69</v>
      </c>
      <c r="P137" s="6">
        <v>44276.78306712963</v>
      </c>
      <c r="Q137" s="4">
        <v>16392.0</v>
      </c>
      <c r="R137" s="4"/>
      <c r="S137" s="4"/>
      <c r="T137" s="4"/>
      <c r="U137" s="7"/>
      <c r="V137" s="4"/>
      <c r="W137" s="4"/>
      <c r="X137" s="4"/>
      <c r="Y137" s="4"/>
      <c r="Z137" s="4"/>
      <c r="AA137" s="5"/>
      <c r="AB137" s="5"/>
      <c r="AC137" s="5"/>
      <c r="AD137" s="5"/>
      <c r="AE137" s="5"/>
    </row>
    <row r="138">
      <c r="A138" s="4" t="s">
        <v>355</v>
      </c>
      <c r="B138" s="4"/>
      <c r="C138" s="4" t="s">
        <v>184</v>
      </c>
      <c r="D138" s="4">
        <v>49833.0</v>
      </c>
      <c r="E138" s="4"/>
      <c r="F138" s="4" t="s">
        <v>85</v>
      </c>
      <c r="G138" s="4">
        <v>99.0</v>
      </c>
      <c r="H138" s="4"/>
      <c r="I138" s="4">
        <v>99.0</v>
      </c>
      <c r="J138" s="4" t="s">
        <v>356</v>
      </c>
      <c r="K138" s="4">
        <v>9.19035361304E11</v>
      </c>
      <c r="L138" s="4" t="s">
        <v>67</v>
      </c>
      <c r="M138" s="4" t="b">
        <v>0</v>
      </c>
      <c r="N138" s="4" t="s">
        <v>68</v>
      </c>
      <c r="O138" s="4" t="s">
        <v>69</v>
      </c>
      <c r="P138" s="6">
        <v>44276.800671296296</v>
      </c>
      <c r="Q138" s="4">
        <v>16379.0</v>
      </c>
      <c r="R138" s="4"/>
      <c r="S138" s="4"/>
      <c r="T138" s="4"/>
      <c r="U138" s="7"/>
      <c r="V138" s="4"/>
      <c r="W138" s="4"/>
      <c r="X138" s="4"/>
      <c r="Y138" s="4"/>
      <c r="Z138" s="4"/>
      <c r="AA138" s="5"/>
      <c r="AB138" s="5"/>
      <c r="AC138" s="5"/>
      <c r="AD138" s="5"/>
      <c r="AE138" s="5"/>
    </row>
    <row r="139">
      <c r="A139" s="4" t="s">
        <v>357</v>
      </c>
      <c r="B139" s="4"/>
      <c r="C139" s="4" t="s">
        <v>280</v>
      </c>
      <c r="D139" s="4">
        <v>49877.0</v>
      </c>
      <c r="E139" s="4"/>
      <c r="F139" s="4" t="s">
        <v>85</v>
      </c>
      <c r="G139" s="4">
        <v>99.0</v>
      </c>
      <c r="H139" s="4"/>
      <c r="I139" s="4">
        <v>99.0</v>
      </c>
      <c r="J139" s="4" t="s">
        <v>358</v>
      </c>
      <c r="K139" s="4">
        <v>9.19773175388E11</v>
      </c>
      <c r="L139" s="4" t="s">
        <v>67</v>
      </c>
      <c r="M139" s="4" t="b">
        <v>0</v>
      </c>
      <c r="N139" s="4" t="s">
        <v>97</v>
      </c>
      <c r="O139" s="4" t="s">
        <v>69</v>
      </c>
      <c r="P139" s="6">
        <v>44276.80504629629</v>
      </c>
      <c r="Q139" s="4" t="s">
        <v>83</v>
      </c>
      <c r="R139" s="4"/>
      <c r="S139" s="4"/>
      <c r="T139" s="4"/>
      <c r="U139" s="7"/>
      <c r="V139" s="4"/>
      <c r="W139" s="4"/>
      <c r="X139" s="4"/>
      <c r="Y139" s="4"/>
      <c r="Z139" s="4"/>
      <c r="AA139" s="5"/>
      <c r="AB139" s="5"/>
      <c r="AC139" s="5"/>
      <c r="AD139" s="5"/>
      <c r="AE139" s="5"/>
    </row>
    <row r="140">
      <c r="A140" s="4" t="s">
        <v>359</v>
      </c>
      <c r="B140" s="4"/>
      <c r="C140" s="4" t="s">
        <v>148</v>
      </c>
      <c r="D140" s="4">
        <v>49991.0</v>
      </c>
      <c r="E140" s="4"/>
      <c r="F140" s="4" t="s">
        <v>149</v>
      </c>
      <c r="G140" s="4">
        <v>99.0</v>
      </c>
      <c r="H140" s="4"/>
      <c r="I140" s="4">
        <v>99.0</v>
      </c>
      <c r="J140" s="4" t="s">
        <v>360</v>
      </c>
      <c r="K140" s="4">
        <v>9.18383989475E11</v>
      </c>
      <c r="L140" s="4" t="s">
        <v>67</v>
      </c>
      <c r="M140" s="4" t="b">
        <v>0</v>
      </c>
      <c r="N140" s="4" t="s">
        <v>68</v>
      </c>
      <c r="O140" s="4" t="s">
        <v>69</v>
      </c>
      <c r="P140" s="6">
        <v>44311.1075462963</v>
      </c>
      <c r="Q140" s="4">
        <v>17258.0</v>
      </c>
      <c r="R140" s="4"/>
      <c r="S140" s="4"/>
      <c r="T140" s="4"/>
      <c r="U140" s="7"/>
      <c r="V140" s="4"/>
      <c r="W140" s="4"/>
      <c r="X140" s="4"/>
      <c r="Y140" s="4"/>
      <c r="Z140" s="4"/>
      <c r="AA140" s="5"/>
      <c r="AB140" s="5"/>
      <c r="AC140" s="5"/>
      <c r="AD140" s="5"/>
      <c r="AE140" s="5"/>
    </row>
    <row r="141">
      <c r="A141" s="4" t="s">
        <v>361</v>
      </c>
      <c r="B141" s="4"/>
      <c r="C141" s="4" t="s">
        <v>245</v>
      </c>
      <c r="D141" s="4">
        <v>49962.0</v>
      </c>
      <c r="E141" s="4"/>
      <c r="F141" s="4" t="s">
        <v>85</v>
      </c>
      <c r="G141" s="4">
        <v>99.0</v>
      </c>
      <c r="H141" s="4"/>
      <c r="I141" s="4">
        <v>99.0</v>
      </c>
      <c r="J141" s="4" t="s">
        <v>362</v>
      </c>
      <c r="K141" s="4">
        <v>9.19176667958E11</v>
      </c>
      <c r="L141" s="4" t="s">
        <v>67</v>
      </c>
      <c r="M141" s="4" t="b">
        <v>0</v>
      </c>
      <c r="N141" s="4" t="s">
        <v>68</v>
      </c>
      <c r="O141" s="4" t="s">
        <v>69</v>
      </c>
      <c r="P141" s="6">
        <v>44276.81275462963</v>
      </c>
      <c r="Q141" s="4">
        <v>16372.0</v>
      </c>
      <c r="R141" s="4"/>
      <c r="S141" s="4"/>
      <c r="T141" s="4"/>
      <c r="U141" s="7"/>
      <c r="V141" s="4"/>
      <c r="W141" s="4"/>
      <c r="X141" s="4"/>
      <c r="Y141" s="4"/>
      <c r="Z141" s="4"/>
      <c r="AA141" s="5"/>
      <c r="AB141" s="5"/>
      <c r="AC141" s="5"/>
      <c r="AD141" s="5"/>
      <c r="AE141" s="5"/>
    </row>
    <row r="142">
      <c r="A142" s="4" t="s">
        <v>363</v>
      </c>
      <c r="B142" s="4"/>
      <c r="C142" s="4" t="s">
        <v>181</v>
      </c>
      <c r="D142" s="4">
        <v>49864.0</v>
      </c>
      <c r="E142" s="4"/>
      <c r="F142" s="4" t="s">
        <v>149</v>
      </c>
      <c r="G142" s="4">
        <v>99.0</v>
      </c>
      <c r="H142" s="4"/>
      <c r="I142" s="4">
        <v>99.0</v>
      </c>
      <c r="J142" s="4" t="s">
        <v>364</v>
      </c>
      <c r="K142" s="4">
        <v>9.19947325873E11</v>
      </c>
      <c r="L142" s="4" t="s">
        <v>67</v>
      </c>
      <c r="M142" s="4" t="b">
        <v>0</v>
      </c>
      <c r="N142" s="4" t="s">
        <v>97</v>
      </c>
      <c r="O142" s="4" t="s">
        <v>69</v>
      </c>
      <c r="P142" s="6">
        <v>44286.65306712963</v>
      </c>
      <c r="Q142" s="4">
        <v>16973.0</v>
      </c>
      <c r="R142" s="4"/>
      <c r="S142" s="4"/>
      <c r="T142" s="4"/>
      <c r="U142" s="7"/>
      <c r="V142" s="4"/>
      <c r="W142" s="4"/>
      <c r="X142" s="4"/>
      <c r="Y142" s="4"/>
      <c r="Z142" s="4"/>
      <c r="AA142" s="5"/>
      <c r="AB142" s="5"/>
      <c r="AC142" s="5"/>
      <c r="AD142" s="5"/>
      <c r="AE142" s="5"/>
    </row>
    <row r="143">
      <c r="A143" s="4" t="s">
        <v>365</v>
      </c>
      <c r="B143" s="4"/>
      <c r="C143" s="4" t="s">
        <v>148</v>
      </c>
      <c r="D143" s="4">
        <v>49991.0</v>
      </c>
      <c r="E143" s="4"/>
      <c r="F143" s="4" t="s">
        <v>149</v>
      </c>
      <c r="G143" s="4">
        <v>99.0</v>
      </c>
      <c r="H143" s="4"/>
      <c r="I143" s="4">
        <v>99.0</v>
      </c>
      <c r="J143" s="4" t="s">
        <v>366</v>
      </c>
      <c r="K143" s="4">
        <v>9.19711071436E11</v>
      </c>
      <c r="L143" s="4" t="s">
        <v>67</v>
      </c>
      <c r="M143" s="4" t="b">
        <v>0</v>
      </c>
      <c r="N143" s="4" t="s">
        <v>68</v>
      </c>
      <c r="O143" s="4" t="s">
        <v>69</v>
      </c>
      <c r="P143" s="6">
        <v>44312.441712962966</v>
      </c>
      <c r="Q143" s="4">
        <v>17300.0</v>
      </c>
      <c r="R143" s="4"/>
      <c r="S143" s="4"/>
      <c r="T143" s="4"/>
      <c r="U143" s="7"/>
      <c r="V143" s="4"/>
      <c r="W143" s="4"/>
      <c r="X143" s="4"/>
      <c r="Y143" s="4"/>
      <c r="Z143" s="4"/>
      <c r="AA143" s="5"/>
      <c r="AB143" s="5"/>
      <c r="AC143" s="5"/>
      <c r="AD143" s="5"/>
      <c r="AE143" s="5"/>
    </row>
    <row r="144">
      <c r="A144" s="4" t="s">
        <v>367</v>
      </c>
      <c r="B144" s="4"/>
      <c r="C144" s="4" t="s">
        <v>181</v>
      </c>
      <c r="D144" s="4">
        <v>49864.0</v>
      </c>
      <c r="E144" s="4"/>
      <c r="F144" s="4" t="s">
        <v>149</v>
      </c>
      <c r="G144" s="4">
        <v>99.0</v>
      </c>
      <c r="H144" s="4"/>
      <c r="I144" s="4">
        <v>99.0</v>
      </c>
      <c r="J144" s="4" t="s">
        <v>368</v>
      </c>
      <c r="K144" s="4">
        <v>9.19860358931E11</v>
      </c>
      <c r="L144" s="4" t="s">
        <v>67</v>
      </c>
      <c r="M144" s="4" t="b">
        <v>0</v>
      </c>
      <c r="N144" s="4" t="s">
        <v>74</v>
      </c>
      <c r="O144" s="4" t="s">
        <v>69</v>
      </c>
      <c r="P144" s="6">
        <v>44286.730104166665</v>
      </c>
      <c r="Q144" s="4">
        <v>16686.0</v>
      </c>
      <c r="R144" s="4"/>
      <c r="S144" s="4"/>
      <c r="T144" s="4"/>
      <c r="U144" s="7"/>
      <c r="V144" s="4"/>
      <c r="W144" s="4"/>
      <c r="X144" s="4"/>
      <c r="Y144" s="4"/>
      <c r="Z144" s="4"/>
      <c r="AA144" s="5"/>
      <c r="AB144" s="5"/>
      <c r="AC144" s="5"/>
      <c r="AD144" s="5"/>
      <c r="AE144" s="5"/>
    </row>
    <row r="145">
      <c r="A145" s="4" t="s">
        <v>369</v>
      </c>
      <c r="B145" s="4"/>
      <c r="C145" s="4" t="s">
        <v>148</v>
      </c>
      <c r="D145" s="4">
        <v>49991.0</v>
      </c>
      <c r="E145" s="4"/>
      <c r="F145" s="4" t="s">
        <v>149</v>
      </c>
      <c r="G145" s="4">
        <v>99.0</v>
      </c>
      <c r="H145" s="4"/>
      <c r="I145" s="4">
        <v>99.0</v>
      </c>
      <c r="J145" s="4" t="s">
        <v>370</v>
      </c>
      <c r="K145" s="4">
        <v>9.18320313654E11</v>
      </c>
      <c r="L145" s="4" t="s">
        <v>67</v>
      </c>
      <c r="M145" s="4" t="b">
        <v>0</v>
      </c>
      <c r="N145" s="4" t="s">
        <v>74</v>
      </c>
      <c r="O145" s="4" t="s">
        <v>69</v>
      </c>
      <c r="P145" s="6">
        <v>44312.57710648148</v>
      </c>
      <c r="Q145" s="4">
        <v>17306.0</v>
      </c>
      <c r="R145" s="4"/>
      <c r="S145" s="4"/>
      <c r="T145" s="4"/>
      <c r="U145" s="7"/>
      <c r="V145" s="4"/>
      <c r="W145" s="4"/>
      <c r="X145" s="4"/>
      <c r="Y145" s="4"/>
      <c r="Z145" s="4"/>
      <c r="AA145" s="5"/>
      <c r="AB145" s="5"/>
      <c r="AC145" s="5"/>
      <c r="AD145" s="5"/>
      <c r="AE145" s="5"/>
    </row>
    <row r="146">
      <c r="A146" s="4" t="s">
        <v>371</v>
      </c>
      <c r="B146" s="4"/>
      <c r="C146" s="4" t="s">
        <v>148</v>
      </c>
      <c r="D146" s="4">
        <v>49991.0</v>
      </c>
      <c r="E146" s="4"/>
      <c r="F146" s="4" t="s">
        <v>77</v>
      </c>
      <c r="G146" s="4">
        <v>349.0</v>
      </c>
      <c r="H146" s="4"/>
      <c r="I146" s="4">
        <v>349.0</v>
      </c>
      <c r="J146" s="4" t="s">
        <v>372</v>
      </c>
      <c r="K146" s="4">
        <v>9.19810602654E11</v>
      </c>
      <c r="L146" s="4" t="s">
        <v>67</v>
      </c>
      <c r="M146" s="4" t="b">
        <v>0</v>
      </c>
      <c r="N146" s="4" t="s">
        <v>97</v>
      </c>
      <c r="O146" s="4" t="s">
        <v>69</v>
      </c>
      <c r="P146" s="6">
        <v>44313.42270833333</v>
      </c>
      <c r="Q146" s="4">
        <v>17342.0</v>
      </c>
      <c r="R146" s="4"/>
      <c r="S146" s="4"/>
      <c r="T146" s="4"/>
      <c r="U146" s="8"/>
      <c r="V146" s="4"/>
      <c r="W146" s="4"/>
      <c r="X146" s="4"/>
      <c r="Y146" s="4"/>
      <c r="Z146" s="4"/>
      <c r="AA146" s="5"/>
      <c r="AB146" s="5"/>
      <c r="AC146" s="5"/>
      <c r="AD146" s="5"/>
      <c r="AE146" s="5"/>
    </row>
    <row r="147">
      <c r="A147" s="4" t="s">
        <v>373</v>
      </c>
      <c r="B147" s="4"/>
      <c r="C147" s="4" t="s">
        <v>148</v>
      </c>
      <c r="D147" s="4">
        <v>49991.0</v>
      </c>
      <c r="E147" s="4"/>
      <c r="F147" s="4" t="s">
        <v>77</v>
      </c>
      <c r="G147" s="4">
        <v>349.0</v>
      </c>
      <c r="H147" s="4"/>
      <c r="I147" s="4">
        <v>349.0</v>
      </c>
      <c r="J147" s="4" t="s">
        <v>374</v>
      </c>
      <c r="K147" s="4">
        <v>9.18454085091E11</v>
      </c>
      <c r="L147" s="4" t="s">
        <v>67</v>
      </c>
      <c r="M147" s="4" t="b">
        <v>0</v>
      </c>
      <c r="N147" s="4" t="s">
        <v>151</v>
      </c>
      <c r="O147" s="4" t="s">
        <v>69</v>
      </c>
      <c r="P147" s="6">
        <v>44314.3328125</v>
      </c>
      <c r="Q147" s="4">
        <v>17406.0</v>
      </c>
      <c r="R147" s="4"/>
      <c r="S147" s="4"/>
      <c r="T147" s="4"/>
      <c r="U147" s="8"/>
      <c r="V147" s="4"/>
      <c r="W147" s="4"/>
      <c r="X147" s="4"/>
      <c r="Y147" s="4"/>
      <c r="Z147" s="4"/>
      <c r="AA147" s="5"/>
      <c r="AB147" s="5"/>
      <c r="AC147" s="5"/>
      <c r="AD147" s="5"/>
      <c r="AE147" s="5"/>
    </row>
    <row r="148">
      <c r="A148" s="4" t="s">
        <v>375</v>
      </c>
      <c r="B148" s="4"/>
      <c r="C148" s="4" t="s">
        <v>376</v>
      </c>
      <c r="D148" s="4">
        <v>49963.0</v>
      </c>
      <c r="E148" s="4"/>
      <c r="F148" s="4" t="s">
        <v>85</v>
      </c>
      <c r="G148" s="4">
        <v>99.0</v>
      </c>
      <c r="H148" s="4"/>
      <c r="I148" s="4">
        <v>99.0</v>
      </c>
      <c r="J148" s="4" t="s">
        <v>377</v>
      </c>
      <c r="K148" s="4">
        <v>9.19110199106E11</v>
      </c>
      <c r="L148" s="4" t="s">
        <v>67</v>
      </c>
      <c r="M148" s="4" t="b">
        <v>0</v>
      </c>
      <c r="N148" s="4" t="s">
        <v>68</v>
      </c>
      <c r="O148" s="4" t="s">
        <v>69</v>
      </c>
      <c r="P148" s="6">
        <v>44276.91997685185</v>
      </c>
      <c r="Q148" s="4">
        <v>16407.0</v>
      </c>
      <c r="R148" s="4"/>
      <c r="S148" s="4"/>
      <c r="T148" s="4"/>
      <c r="U148" s="7"/>
      <c r="V148" s="4"/>
      <c r="W148" s="4"/>
      <c r="X148" s="4"/>
      <c r="Y148" s="4"/>
      <c r="Z148" s="4"/>
      <c r="AA148" s="5"/>
      <c r="AB148" s="5"/>
      <c r="AC148" s="5"/>
      <c r="AD148" s="5"/>
      <c r="AE148" s="5"/>
    </row>
    <row r="149">
      <c r="A149" s="4" t="s">
        <v>378</v>
      </c>
      <c r="B149" s="4"/>
      <c r="C149" s="4" t="s">
        <v>181</v>
      </c>
      <c r="D149" s="4">
        <v>49864.0</v>
      </c>
      <c r="E149" s="4"/>
      <c r="F149" s="4" t="s">
        <v>149</v>
      </c>
      <c r="G149" s="4">
        <v>99.0</v>
      </c>
      <c r="H149" s="4"/>
      <c r="I149" s="4">
        <v>99.0</v>
      </c>
      <c r="J149" s="4" t="s">
        <v>379</v>
      </c>
      <c r="K149" s="4">
        <v>9.19860308557E11</v>
      </c>
      <c r="L149" s="4" t="s">
        <v>67</v>
      </c>
      <c r="M149" s="4" t="b">
        <v>0</v>
      </c>
      <c r="N149" s="4" t="s">
        <v>97</v>
      </c>
      <c r="O149" s="4" t="s">
        <v>69</v>
      </c>
      <c r="P149" s="6">
        <v>44287.63422453704</v>
      </c>
      <c r="Q149" s="4">
        <v>16683.0</v>
      </c>
      <c r="R149" s="4"/>
      <c r="S149" s="4"/>
      <c r="T149" s="4"/>
      <c r="U149" s="7"/>
      <c r="V149" s="4"/>
      <c r="W149" s="4"/>
      <c r="X149" s="4"/>
      <c r="Y149" s="4"/>
      <c r="Z149" s="4"/>
      <c r="AA149" s="5"/>
      <c r="AB149" s="5"/>
      <c r="AC149" s="5"/>
      <c r="AD149" s="5"/>
      <c r="AE149" s="5"/>
    </row>
    <row r="150">
      <c r="A150" s="4" t="s">
        <v>380</v>
      </c>
      <c r="B150" s="4"/>
      <c r="C150" s="4" t="s">
        <v>376</v>
      </c>
      <c r="D150" s="4">
        <v>49963.0</v>
      </c>
      <c r="E150" s="4"/>
      <c r="F150" s="4" t="s">
        <v>85</v>
      </c>
      <c r="G150" s="4">
        <v>99.0</v>
      </c>
      <c r="H150" s="4"/>
      <c r="I150" s="4">
        <v>99.0</v>
      </c>
      <c r="J150" s="4" t="s">
        <v>381</v>
      </c>
      <c r="K150" s="4">
        <v>9.17987319411E11</v>
      </c>
      <c r="L150" s="4" t="s">
        <v>67</v>
      </c>
      <c r="M150" s="4" t="b">
        <v>0</v>
      </c>
      <c r="N150" s="4" t="s">
        <v>68</v>
      </c>
      <c r="O150" s="4" t="s">
        <v>69</v>
      </c>
      <c r="P150" s="6">
        <v>44277.03083333333</v>
      </c>
      <c r="Q150" s="4">
        <v>13691.0</v>
      </c>
      <c r="R150" s="4"/>
      <c r="S150" s="4"/>
      <c r="T150" s="4"/>
      <c r="U150" s="7"/>
      <c r="V150" s="4"/>
      <c r="W150" s="4"/>
      <c r="X150" s="4"/>
      <c r="Y150" s="4"/>
      <c r="Z150" s="4"/>
      <c r="AA150" s="5"/>
      <c r="AB150" s="5"/>
      <c r="AC150" s="5"/>
      <c r="AD150" s="5"/>
      <c r="AE150" s="5"/>
    </row>
    <row r="151">
      <c r="A151" s="4" t="s">
        <v>382</v>
      </c>
      <c r="B151" s="4"/>
      <c r="C151" s="4" t="s">
        <v>184</v>
      </c>
      <c r="D151" s="4">
        <v>49833.0</v>
      </c>
      <c r="E151" s="4"/>
      <c r="F151" s="4" t="s">
        <v>85</v>
      </c>
      <c r="G151" s="4">
        <v>99.0</v>
      </c>
      <c r="H151" s="4"/>
      <c r="I151" s="4">
        <v>99.0</v>
      </c>
      <c r="J151" s="4" t="s">
        <v>383</v>
      </c>
      <c r="K151" s="4">
        <v>9.16364952225E11</v>
      </c>
      <c r="L151" s="4" t="s">
        <v>67</v>
      </c>
      <c r="M151" s="4" t="b">
        <v>0</v>
      </c>
      <c r="N151" s="4" t="s">
        <v>68</v>
      </c>
      <c r="O151" s="4" t="s">
        <v>69</v>
      </c>
      <c r="P151" s="6">
        <v>44277.376180555555</v>
      </c>
      <c r="Q151" s="4">
        <v>16380.0</v>
      </c>
      <c r="R151" s="4"/>
      <c r="S151" s="4"/>
      <c r="T151" s="4"/>
      <c r="U151" s="7"/>
      <c r="V151" s="4"/>
      <c r="W151" s="4"/>
      <c r="X151" s="4"/>
      <c r="Y151" s="4"/>
      <c r="Z151" s="4"/>
      <c r="AA151" s="5"/>
      <c r="AB151" s="5"/>
      <c r="AC151" s="5"/>
      <c r="AD151" s="5"/>
      <c r="AE151" s="5"/>
    </row>
    <row r="152">
      <c r="A152" s="4" t="s">
        <v>384</v>
      </c>
      <c r="B152" s="4"/>
      <c r="C152" s="4" t="s">
        <v>184</v>
      </c>
      <c r="D152" s="4">
        <v>49833.0</v>
      </c>
      <c r="E152" s="4"/>
      <c r="F152" s="4" t="s">
        <v>85</v>
      </c>
      <c r="G152" s="4">
        <v>99.0</v>
      </c>
      <c r="H152" s="4"/>
      <c r="I152" s="4">
        <v>99.0</v>
      </c>
      <c r="J152" s="4" t="s">
        <v>385</v>
      </c>
      <c r="K152" s="4">
        <v>9.17838701357E11</v>
      </c>
      <c r="L152" s="4" t="s">
        <v>67</v>
      </c>
      <c r="M152" s="4" t="b">
        <v>0</v>
      </c>
      <c r="N152" s="4" t="s">
        <v>68</v>
      </c>
      <c r="O152" s="4" t="s">
        <v>69</v>
      </c>
      <c r="P152" s="6">
        <v>44277.381261574075</v>
      </c>
      <c r="Q152" s="4">
        <v>16382.0</v>
      </c>
      <c r="R152" s="4"/>
      <c r="S152" s="4"/>
      <c r="T152" s="4"/>
      <c r="U152" s="7"/>
      <c r="V152" s="4"/>
      <c r="W152" s="4"/>
      <c r="X152" s="4"/>
      <c r="Y152" s="4"/>
      <c r="Z152" s="4"/>
      <c r="AA152" s="5"/>
      <c r="AB152" s="5"/>
      <c r="AC152" s="5"/>
      <c r="AD152" s="5"/>
      <c r="AE152" s="5"/>
    </row>
    <row r="153">
      <c r="A153" s="4" t="s">
        <v>386</v>
      </c>
      <c r="B153" s="4"/>
      <c r="C153" s="4" t="s">
        <v>184</v>
      </c>
      <c r="D153" s="4">
        <v>49833.0</v>
      </c>
      <c r="E153" s="4"/>
      <c r="F153" s="4" t="s">
        <v>85</v>
      </c>
      <c r="G153" s="4">
        <v>99.0</v>
      </c>
      <c r="H153" s="4"/>
      <c r="I153" s="4">
        <v>99.0</v>
      </c>
      <c r="J153" s="4" t="s">
        <v>387</v>
      </c>
      <c r="K153" s="4">
        <v>9.17504295029E11</v>
      </c>
      <c r="L153" s="4" t="s">
        <v>67</v>
      </c>
      <c r="M153" s="4" t="b">
        <v>0</v>
      </c>
      <c r="N153" s="4" t="s">
        <v>68</v>
      </c>
      <c r="O153" s="4" t="s">
        <v>69</v>
      </c>
      <c r="P153" s="6">
        <v>44277.393171296295</v>
      </c>
      <c r="Q153" s="4">
        <v>16388.0</v>
      </c>
      <c r="R153" s="4"/>
      <c r="S153" s="4"/>
      <c r="T153" s="4"/>
      <c r="U153" s="7"/>
      <c r="V153" s="4"/>
      <c r="W153" s="4"/>
      <c r="X153" s="4"/>
      <c r="Y153" s="4"/>
      <c r="Z153" s="4"/>
      <c r="AA153" s="5"/>
      <c r="AB153" s="5"/>
      <c r="AC153" s="5"/>
      <c r="AD153" s="5"/>
      <c r="AE153" s="5"/>
    </row>
    <row r="154">
      <c r="A154" s="4" t="s">
        <v>388</v>
      </c>
      <c r="B154" s="4"/>
      <c r="C154" s="4" t="s">
        <v>245</v>
      </c>
      <c r="D154" s="4">
        <v>49962.0</v>
      </c>
      <c r="E154" s="4"/>
      <c r="F154" s="4" t="s">
        <v>85</v>
      </c>
      <c r="G154" s="4">
        <v>99.0</v>
      </c>
      <c r="H154" s="4"/>
      <c r="I154" s="4">
        <v>99.0</v>
      </c>
      <c r="J154" s="4" t="s">
        <v>389</v>
      </c>
      <c r="K154" s="4">
        <v>9.18788238506E11</v>
      </c>
      <c r="L154" s="4" t="s">
        <v>67</v>
      </c>
      <c r="M154" s="4" t="b">
        <v>0</v>
      </c>
      <c r="N154" s="4" t="s">
        <v>68</v>
      </c>
      <c r="O154" s="4" t="s">
        <v>69</v>
      </c>
      <c r="P154" s="6">
        <v>44277.475266203706</v>
      </c>
      <c r="Q154" s="4">
        <v>16371.0</v>
      </c>
      <c r="R154" s="4"/>
      <c r="S154" s="4"/>
      <c r="T154" s="4"/>
      <c r="U154" s="7"/>
      <c r="V154" s="4"/>
      <c r="W154" s="4"/>
      <c r="X154" s="4"/>
      <c r="Y154" s="4"/>
      <c r="Z154" s="4"/>
      <c r="AA154" s="5"/>
      <c r="AB154" s="5"/>
      <c r="AC154" s="5"/>
      <c r="AD154" s="5"/>
      <c r="AE154" s="5"/>
    </row>
    <row r="155">
      <c r="A155" s="4" t="s">
        <v>390</v>
      </c>
      <c r="B155" s="4"/>
      <c r="C155" s="4" t="s">
        <v>184</v>
      </c>
      <c r="D155" s="4">
        <v>49833.0</v>
      </c>
      <c r="E155" s="4"/>
      <c r="F155" s="4" t="s">
        <v>85</v>
      </c>
      <c r="G155" s="4">
        <v>99.0</v>
      </c>
      <c r="H155" s="4"/>
      <c r="I155" s="4">
        <v>99.0</v>
      </c>
      <c r="J155" s="4" t="s">
        <v>391</v>
      </c>
      <c r="K155" s="4">
        <v>9.18975679276E11</v>
      </c>
      <c r="L155" s="4" t="s">
        <v>67</v>
      </c>
      <c r="M155" s="4" t="b">
        <v>0</v>
      </c>
      <c r="N155" s="4" t="s">
        <v>68</v>
      </c>
      <c r="O155" s="4" t="s">
        <v>69</v>
      </c>
      <c r="P155" s="6">
        <v>44277.50292824074</v>
      </c>
      <c r="Q155" s="4" t="s">
        <v>83</v>
      </c>
      <c r="R155" s="4"/>
      <c r="S155" s="4"/>
      <c r="T155" s="4"/>
      <c r="U155" s="7"/>
      <c r="V155" s="4"/>
      <c r="W155" s="4"/>
      <c r="X155" s="4"/>
      <c r="Y155" s="4"/>
      <c r="Z155" s="4"/>
      <c r="AA155" s="5"/>
      <c r="AB155" s="5"/>
      <c r="AC155" s="5"/>
      <c r="AD155" s="5"/>
      <c r="AE155" s="5"/>
    </row>
    <row r="156">
      <c r="A156" s="4" t="s">
        <v>392</v>
      </c>
      <c r="B156" s="4"/>
      <c r="C156" s="4" t="s">
        <v>376</v>
      </c>
      <c r="D156" s="4">
        <v>49963.0</v>
      </c>
      <c r="E156" s="4"/>
      <c r="F156" s="4" t="s">
        <v>85</v>
      </c>
      <c r="G156" s="4">
        <v>99.0</v>
      </c>
      <c r="H156" s="4"/>
      <c r="I156" s="4">
        <v>99.0</v>
      </c>
      <c r="J156" s="4" t="s">
        <v>393</v>
      </c>
      <c r="K156" s="4">
        <v>9.18431463712E11</v>
      </c>
      <c r="L156" s="4" t="s">
        <v>67</v>
      </c>
      <c r="M156" s="4" t="b">
        <v>0</v>
      </c>
      <c r="N156" s="4" t="s">
        <v>68</v>
      </c>
      <c r="O156" s="4" t="s">
        <v>69</v>
      </c>
      <c r="P156" s="6">
        <v>44277.50711805555</v>
      </c>
      <c r="Q156" s="4">
        <v>16404.0</v>
      </c>
      <c r="R156" s="4"/>
      <c r="S156" s="4"/>
      <c r="T156" s="4"/>
      <c r="U156" s="7"/>
      <c r="V156" s="4"/>
      <c r="W156" s="4"/>
      <c r="X156" s="4"/>
      <c r="Y156" s="4"/>
      <c r="Z156" s="4"/>
      <c r="AA156" s="5"/>
      <c r="AB156" s="5"/>
      <c r="AC156" s="5"/>
      <c r="AD156" s="5"/>
      <c r="AE156" s="5"/>
    </row>
    <row r="157">
      <c r="A157" s="4" t="s">
        <v>394</v>
      </c>
      <c r="B157" s="4"/>
      <c r="C157" s="4" t="s">
        <v>148</v>
      </c>
      <c r="D157" s="4">
        <v>49991.0</v>
      </c>
      <c r="E157" s="4"/>
      <c r="F157" s="4" t="s">
        <v>149</v>
      </c>
      <c r="G157" s="4">
        <v>99.0</v>
      </c>
      <c r="H157" s="4"/>
      <c r="I157" s="4">
        <v>99.0</v>
      </c>
      <c r="J157" s="4" t="s">
        <v>395</v>
      </c>
      <c r="K157" s="4">
        <v>9.19004035367E11</v>
      </c>
      <c r="L157" s="4" t="s">
        <v>67</v>
      </c>
      <c r="M157" s="4" t="b">
        <v>0</v>
      </c>
      <c r="N157" s="4" t="s">
        <v>97</v>
      </c>
      <c r="O157" s="4" t="s">
        <v>69</v>
      </c>
      <c r="P157" s="6">
        <v>44314.38949074074</v>
      </c>
      <c r="Q157" s="4">
        <v>17392.0</v>
      </c>
      <c r="R157" s="4"/>
      <c r="S157" s="4"/>
      <c r="T157" s="4"/>
      <c r="U157" s="7"/>
      <c r="V157" s="4"/>
      <c r="W157" s="4"/>
      <c r="X157" s="4"/>
      <c r="Y157" s="4"/>
      <c r="Z157" s="4"/>
      <c r="AA157" s="5"/>
      <c r="AB157" s="5"/>
      <c r="AC157" s="5"/>
      <c r="AD157" s="5"/>
      <c r="AE157" s="5"/>
    </row>
    <row r="158">
      <c r="A158" s="4" t="s">
        <v>396</v>
      </c>
      <c r="B158" s="4"/>
      <c r="C158" s="4" t="s">
        <v>280</v>
      </c>
      <c r="D158" s="4">
        <v>49877.0</v>
      </c>
      <c r="E158" s="4"/>
      <c r="F158" s="4" t="s">
        <v>85</v>
      </c>
      <c r="G158" s="4">
        <v>99.0</v>
      </c>
      <c r="H158" s="4"/>
      <c r="I158" s="4">
        <v>99.0</v>
      </c>
      <c r="J158" s="4" t="s">
        <v>397</v>
      </c>
      <c r="K158" s="4">
        <v>9.17838869204E11</v>
      </c>
      <c r="L158" s="4" t="s">
        <v>67</v>
      </c>
      <c r="M158" s="4" t="b">
        <v>0</v>
      </c>
      <c r="N158" s="4" t="s">
        <v>68</v>
      </c>
      <c r="O158" s="4" t="s">
        <v>69</v>
      </c>
      <c r="P158" s="6">
        <v>44277.54386574074</v>
      </c>
      <c r="Q158" s="4">
        <v>16373.0</v>
      </c>
      <c r="R158" s="4"/>
      <c r="S158" s="4"/>
      <c r="T158" s="4"/>
      <c r="U158" s="7"/>
      <c r="V158" s="4"/>
      <c r="W158" s="4"/>
      <c r="X158" s="4"/>
      <c r="Y158" s="4"/>
      <c r="Z158" s="4"/>
      <c r="AA158" s="5"/>
      <c r="AB158" s="5"/>
      <c r="AC158" s="5"/>
      <c r="AD158" s="5"/>
      <c r="AE158" s="5"/>
    </row>
    <row r="159">
      <c r="A159" s="4" t="s">
        <v>398</v>
      </c>
      <c r="B159" s="4"/>
      <c r="C159" s="4" t="s">
        <v>181</v>
      </c>
      <c r="D159" s="4">
        <v>49864.0</v>
      </c>
      <c r="E159" s="4"/>
      <c r="F159" s="4" t="s">
        <v>149</v>
      </c>
      <c r="G159" s="4">
        <v>99.0</v>
      </c>
      <c r="H159" s="4"/>
      <c r="I159" s="4">
        <v>99.0</v>
      </c>
      <c r="J159" s="4" t="s">
        <v>399</v>
      </c>
      <c r="K159" s="4">
        <v>9.19886416061E11</v>
      </c>
      <c r="L159" s="4" t="s">
        <v>67</v>
      </c>
      <c r="M159" s="4" t="b">
        <v>0</v>
      </c>
      <c r="N159" s="4" t="s">
        <v>68</v>
      </c>
      <c r="O159" s="4" t="s">
        <v>69</v>
      </c>
      <c r="P159" s="6">
        <v>44287.702581018515</v>
      </c>
      <c r="Q159" s="4">
        <v>16664.0</v>
      </c>
      <c r="R159" s="4"/>
      <c r="S159" s="4"/>
      <c r="T159" s="4"/>
      <c r="U159" s="7"/>
      <c r="V159" s="4"/>
      <c r="W159" s="4"/>
      <c r="X159" s="4"/>
      <c r="Y159" s="4"/>
      <c r="Z159" s="4"/>
      <c r="AA159" s="5"/>
      <c r="AB159" s="5"/>
      <c r="AC159" s="5"/>
      <c r="AD159" s="5"/>
      <c r="AE159" s="5"/>
    </row>
    <row r="160">
      <c r="A160" s="4" t="s">
        <v>400</v>
      </c>
      <c r="B160" s="4"/>
      <c r="C160" s="4" t="s">
        <v>280</v>
      </c>
      <c r="D160" s="4">
        <v>49877.0</v>
      </c>
      <c r="E160" s="4"/>
      <c r="F160" s="4" t="s">
        <v>85</v>
      </c>
      <c r="G160" s="4">
        <v>99.0</v>
      </c>
      <c r="H160" s="4"/>
      <c r="I160" s="4">
        <v>99.0</v>
      </c>
      <c r="J160" s="4" t="s">
        <v>401</v>
      </c>
      <c r="K160" s="4">
        <v>9.18016328779E11</v>
      </c>
      <c r="L160" s="4" t="s">
        <v>67</v>
      </c>
      <c r="M160" s="4" t="b">
        <v>0</v>
      </c>
      <c r="N160" s="4" t="s">
        <v>97</v>
      </c>
      <c r="O160" s="4" t="s">
        <v>69</v>
      </c>
      <c r="P160" s="6">
        <v>44277.556539351855</v>
      </c>
      <c r="Q160" s="4">
        <v>16376.0</v>
      </c>
      <c r="R160" s="4"/>
      <c r="S160" s="4"/>
      <c r="T160" s="4"/>
      <c r="U160" s="7"/>
      <c r="V160" s="4"/>
      <c r="W160" s="4"/>
      <c r="X160" s="4"/>
      <c r="Y160" s="4"/>
      <c r="Z160" s="4"/>
      <c r="AA160" s="5"/>
      <c r="AB160" s="5"/>
      <c r="AC160" s="5"/>
      <c r="AD160" s="5"/>
      <c r="AE160" s="5"/>
    </row>
    <row r="161">
      <c r="A161" s="4" t="s">
        <v>402</v>
      </c>
      <c r="B161" s="4"/>
      <c r="C161" s="4" t="s">
        <v>184</v>
      </c>
      <c r="D161" s="4">
        <v>49833.0</v>
      </c>
      <c r="E161" s="4"/>
      <c r="F161" s="4" t="s">
        <v>85</v>
      </c>
      <c r="G161" s="4">
        <v>99.0</v>
      </c>
      <c r="H161" s="4"/>
      <c r="I161" s="4">
        <v>99.0</v>
      </c>
      <c r="J161" s="4" t="s">
        <v>403</v>
      </c>
      <c r="K161" s="4">
        <v>9.19824533538E11</v>
      </c>
      <c r="L161" s="4" t="s">
        <v>67</v>
      </c>
      <c r="M161" s="4" t="b">
        <v>0</v>
      </c>
      <c r="N161" s="4" t="s">
        <v>68</v>
      </c>
      <c r="O161" s="4" t="s">
        <v>69</v>
      </c>
      <c r="P161" s="6">
        <v>44277.55907407407</v>
      </c>
      <c r="Q161" s="4">
        <v>16390.0</v>
      </c>
      <c r="R161" s="4"/>
      <c r="S161" s="4"/>
      <c r="T161" s="4"/>
      <c r="U161" s="7"/>
      <c r="V161" s="4"/>
      <c r="W161" s="4"/>
      <c r="X161" s="4"/>
      <c r="Y161" s="4"/>
      <c r="Z161" s="4"/>
      <c r="AA161" s="5"/>
      <c r="AB161" s="5"/>
      <c r="AC161" s="5"/>
      <c r="AD161" s="5"/>
      <c r="AE161" s="5"/>
    </row>
    <row r="162">
      <c r="A162" s="4" t="s">
        <v>404</v>
      </c>
      <c r="B162" s="4"/>
      <c r="C162" s="4" t="s">
        <v>184</v>
      </c>
      <c r="D162" s="4">
        <v>49833.0</v>
      </c>
      <c r="E162" s="4"/>
      <c r="F162" s="4" t="s">
        <v>85</v>
      </c>
      <c r="G162" s="4">
        <v>99.0</v>
      </c>
      <c r="H162" s="4"/>
      <c r="I162" s="4">
        <v>99.0</v>
      </c>
      <c r="J162" s="4" t="s">
        <v>405</v>
      </c>
      <c r="K162" s="4">
        <v>9.19066280426E11</v>
      </c>
      <c r="L162" s="4" t="s">
        <v>67</v>
      </c>
      <c r="M162" s="4" t="b">
        <v>0</v>
      </c>
      <c r="N162" s="4" t="s">
        <v>68</v>
      </c>
      <c r="O162" s="4" t="s">
        <v>69</v>
      </c>
      <c r="P162" s="6">
        <v>44277.61541666667</v>
      </c>
      <c r="Q162" s="4">
        <v>16449.0</v>
      </c>
      <c r="R162" s="4"/>
      <c r="S162" s="4"/>
      <c r="T162" s="4"/>
      <c r="U162" s="7"/>
      <c r="V162" s="4"/>
      <c r="W162" s="4"/>
      <c r="X162" s="4"/>
      <c r="Y162" s="4"/>
      <c r="Z162" s="4"/>
      <c r="AA162" s="5"/>
      <c r="AB162" s="5"/>
      <c r="AC162" s="5"/>
      <c r="AD162" s="5"/>
      <c r="AE162" s="5"/>
    </row>
    <row r="163">
      <c r="A163" s="4" t="s">
        <v>406</v>
      </c>
      <c r="B163" s="4"/>
      <c r="C163" s="4" t="s">
        <v>184</v>
      </c>
      <c r="D163" s="4">
        <v>49833.0</v>
      </c>
      <c r="E163" s="4"/>
      <c r="F163" s="4" t="s">
        <v>85</v>
      </c>
      <c r="G163" s="4">
        <v>99.0</v>
      </c>
      <c r="H163" s="4"/>
      <c r="I163" s="4">
        <v>99.0</v>
      </c>
      <c r="J163" s="4" t="s">
        <v>407</v>
      </c>
      <c r="K163" s="4">
        <v>9.19600882195E11</v>
      </c>
      <c r="L163" s="4" t="s">
        <v>67</v>
      </c>
      <c r="M163" s="4" t="b">
        <v>0</v>
      </c>
      <c r="N163" s="4" t="s">
        <v>68</v>
      </c>
      <c r="O163" s="4" t="s">
        <v>69</v>
      </c>
      <c r="P163" s="6">
        <v>44277.64412037037</v>
      </c>
      <c r="Q163" s="4">
        <v>16447.0</v>
      </c>
      <c r="R163" s="4"/>
      <c r="S163" s="4"/>
      <c r="T163" s="4"/>
      <c r="U163" s="7"/>
      <c r="V163" s="4"/>
      <c r="W163" s="4"/>
      <c r="X163" s="4"/>
      <c r="Y163" s="4"/>
      <c r="Z163" s="4"/>
      <c r="AA163" s="5"/>
      <c r="AB163" s="5"/>
      <c r="AC163" s="5"/>
      <c r="AD163" s="5"/>
      <c r="AE163" s="5"/>
    </row>
    <row r="164">
      <c r="A164" s="4" t="s">
        <v>408</v>
      </c>
      <c r="B164" s="4"/>
      <c r="C164" s="4" t="s">
        <v>181</v>
      </c>
      <c r="D164" s="4">
        <v>49864.0</v>
      </c>
      <c r="E164" s="4"/>
      <c r="F164" s="4" t="s">
        <v>149</v>
      </c>
      <c r="G164" s="4">
        <v>99.0</v>
      </c>
      <c r="H164" s="4"/>
      <c r="I164" s="4">
        <v>99.0</v>
      </c>
      <c r="J164" s="4" t="s">
        <v>409</v>
      </c>
      <c r="K164" s="4">
        <v>9.19895893015E11</v>
      </c>
      <c r="L164" s="4" t="s">
        <v>67</v>
      </c>
      <c r="M164" s="4" t="b">
        <v>0</v>
      </c>
      <c r="N164" s="4" t="s">
        <v>97</v>
      </c>
      <c r="O164" s="4" t="s">
        <v>69</v>
      </c>
      <c r="P164" s="6">
        <v>44288.60563657407</v>
      </c>
      <c r="Q164" s="4">
        <v>16986.0</v>
      </c>
      <c r="R164" s="4"/>
      <c r="S164" s="4"/>
      <c r="T164" s="4"/>
      <c r="U164" s="7"/>
      <c r="V164" s="4"/>
      <c r="W164" s="4"/>
      <c r="X164" s="4"/>
      <c r="Y164" s="4"/>
      <c r="Z164" s="4"/>
      <c r="AA164" s="5"/>
      <c r="AB164" s="5"/>
      <c r="AC164" s="5"/>
      <c r="AD164" s="5"/>
      <c r="AE164" s="5"/>
    </row>
    <row r="165">
      <c r="A165" s="4" t="s">
        <v>410</v>
      </c>
      <c r="B165" s="4"/>
      <c r="C165" s="4" t="s">
        <v>376</v>
      </c>
      <c r="D165" s="4">
        <v>49963.0</v>
      </c>
      <c r="E165" s="4"/>
      <c r="F165" s="4" t="s">
        <v>85</v>
      </c>
      <c r="G165" s="4">
        <v>99.0</v>
      </c>
      <c r="H165" s="4"/>
      <c r="I165" s="4">
        <v>99.0</v>
      </c>
      <c r="J165" s="4" t="s">
        <v>411</v>
      </c>
      <c r="K165" s="4">
        <v>9.1994146614E11</v>
      </c>
      <c r="L165" s="4" t="s">
        <v>67</v>
      </c>
      <c r="M165" s="4" t="b">
        <v>0</v>
      </c>
      <c r="N165" s="4" t="s">
        <v>74</v>
      </c>
      <c r="O165" s="4" t="s">
        <v>69</v>
      </c>
      <c r="P165" s="6">
        <v>44277.704375</v>
      </c>
      <c r="Q165" s="4">
        <v>12283.0</v>
      </c>
      <c r="R165" s="4"/>
      <c r="S165" s="4"/>
      <c r="T165" s="4"/>
      <c r="U165" s="7"/>
      <c r="V165" s="4"/>
      <c r="W165" s="4"/>
      <c r="X165" s="4"/>
      <c r="Y165" s="4"/>
      <c r="Z165" s="4"/>
      <c r="AA165" s="5"/>
      <c r="AB165" s="5"/>
      <c r="AC165" s="5"/>
      <c r="AD165" s="5"/>
      <c r="AE165" s="5"/>
    </row>
    <row r="166">
      <c r="A166" s="4" t="s">
        <v>412</v>
      </c>
      <c r="B166" s="4"/>
      <c r="C166" s="4" t="s">
        <v>76</v>
      </c>
      <c r="D166" s="4">
        <v>49834.0</v>
      </c>
      <c r="E166" s="4"/>
      <c r="F166" s="4" t="s">
        <v>85</v>
      </c>
      <c r="G166" s="4">
        <v>299.0</v>
      </c>
      <c r="H166" s="4"/>
      <c r="I166" s="4">
        <v>299.0</v>
      </c>
      <c r="J166" s="4" t="s">
        <v>413</v>
      </c>
      <c r="K166" s="4">
        <v>9.19848565545E11</v>
      </c>
      <c r="L166" s="4" t="s">
        <v>67</v>
      </c>
      <c r="M166" s="4" t="b">
        <v>0</v>
      </c>
      <c r="N166" s="4" t="s">
        <v>97</v>
      </c>
      <c r="O166" s="4" t="s">
        <v>69</v>
      </c>
      <c r="P166" s="6">
        <v>44277.7162962963</v>
      </c>
      <c r="Q166" s="4">
        <v>7256.0</v>
      </c>
      <c r="R166" s="4"/>
      <c r="S166" s="4"/>
      <c r="T166" s="4"/>
      <c r="U166" s="7"/>
      <c r="V166" s="4"/>
      <c r="W166" s="4"/>
      <c r="X166" s="4"/>
      <c r="Y166" s="4"/>
      <c r="Z166" s="4"/>
      <c r="AA166" s="5"/>
      <c r="AB166" s="5"/>
      <c r="AC166" s="5"/>
      <c r="AD166" s="5"/>
      <c r="AE166" s="5"/>
    </row>
    <row r="167">
      <c r="A167" s="4" t="s">
        <v>414</v>
      </c>
      <c r="B167" s="4"/>
      <c r="C167" s="4" t="s">
        <v>376</v>
      </c>
      <c r="D167" s="4">
        <v>49963.0</v>
      </c>
      <c r="E167" s="4"/>
      <c r="F167" s="4" t="s">
        <v>85</v>
      </c>
      <c r="G167" s="4">
        <v>99.0</v>
      </c>
      <c r="H167" s="4"/>
      <c r="I167" s="4">
        <v>99.0</v>
      </c>
      <c r="J167" s="4" t="s">
        <v>415</v>
      </c>
      <c r="K167" s="4">
        <v>9.18847234372E11</v>
      </c>
      <c r="L167" s="4" t="s">
        <v>67</v>
      </c>
      <c r="M167" s="4" t="b">
        <v>0</v>
      </c>
      <c r="N167" s="4" t="s">
        <v>68</v>
      </c>
      <c r="O167" s="4" t="s">
        <v>69</v>
      </c>
      <c r="P167" s="6">
        <v>44277.77180555555</v>
      </c>
      <c r="Q167" s="4" t="s">
        <v>83</v>
      </c>
      <c r="R167" s="4"/>
      <c r="S167" s="4"/>
      <c r="T167" s="4"/>
      <c r="U167" s="7"/>
      <c r="V167" s="4"/>
      <c r="W167" s="4"/>
      <c r="X167" s="4"/>
      <c r="Y167" s="4"/>
      <c r="Z167" s="4"/>
      <c r="AA167" s="5"/>
      <c r="AB167" s="5"/>
      <c r="AC167" s="5"/>
      <c r="AD167" s="5"/>
      <c r="AE167" s="5"/>
    </row>
    <row r="168">
      <c r="A168" s="4" t="s">
        <v>416</v>
      </c>
      <c r="B168" s="4"/>
      <c r="C168" s="4" t="s">
        <v>376</v>
      </c>
      <c r="D168" s="4">
        <v>49963.0</v>
      </c>
      <c r="E168" s="4"/>
      <c r="F168" s="4" t="s">
        <v>85</v>
      </c>
      <c r="G168" s="4">
        <v>99.0</v>
      </c>
      <c r="H168" s="4"/>
      <c r="I168" s="4">
        <v>99.0</v>
      </c>
      <c r="J168" s="4" t="s">
        <v>417</v>
      </c>
      <c r="K168" s="4">
        <v>9.18699563317E11</v>
      </c>
      <c r="L168" s="4" t="s">
        <v>67</v>
      </c>
      <c r="M168" s="4" t="b">
        <v>0</v>
      </c>
      <c r="N168" s="4" t="s">
        <v>68</v>
      </c>
      <c r="O168" s="4" t="s">
        <v>69</v>
      </c>
      <c r="P168" s="6">
        <v>44277.90130787037</v>
      </c>
      <c r="Q168" s="4" t="s">
        <v>83</v>
      </c>
      <c r="R168" s="4"/>
      <c r="S168" s="4"/>
      <c r="T168" s="4"/>
      <c r="U168" s="7"/>
      <c r="V168" s="4"/>
      <c r="W168" s="4"/>
      <c r="X168" s="4"/>
      <c r="Y168" s="4"/>
      <c r="Z168" s="4"/>
      <c r="AA168" s="5"/>
      <c r="AB168" s="5"/>
      <c r="AC168" s="5"/>
      <c r="AD168" s="5"/>
      <c r="AE168" s="5"/>
    </row>
    <row r="169">
      <c r="A169" s="4" t="s">
        <v>418</v>
      </c>
      <c r="B169" s="4"/>
      <c r="C169" s="4" t="s">
        <v>148</v>
      </c>
      <c r="D169" s="4">
        <v>49991.0</v>
      </c>
      <c r="E169" s="4"/>
      <c r="F169" s="4" t="s">
        <v>77</v>
      </c>
      <c r="G169" s="4">
        <v>349.0</v>
      </c>
      <c r="H169" s="4"/>
      <c r="I169" s="4">
        <v>349.0</v>
      </c>
      <c r="J169" s="4" t="s">
        <v>419</v>
      </c>
      <c r="K169" s="4">
        <v>9.19494156323E11</v>
      </c>
      <c r="L169" s="4" t="s">
        <v>67</v>
      </c>
      <c r="M169" s="4" t="b">
        <v>0</v>
      </c>
      <c r="N169" s="4" t="s">
        <v>97</v>
      </c>
      <c r="O169" s="4" t="s">
        <v>69</v>
      </c>
      <c r="P169" s="6">
        <v>44314.428981481484</v>
      </c>
      <c r="Q169" s="4">
        <v>17396.0</v>
      </c>
      <c r="R169" s="4"/>
      <c r="S169" s="4"/>
      <c r="T169" s="4"/>
      <c r="U169" s="8"/>
      <c r="V169" s="4"/>
      <c r="W169" s="4"/>
      <c r="X169" s="4"/>
      <c r="Y169" s="4"/>
      <c r="Z169" s="4"/>
      <c r="AA169" s="5"/>
      <c r="AB169" s="5"/>
      <c r="AC169" s="5"/>
      <c r="AD169" s="5"/>
      <c r="AE169" s="5"/>
    </row>
    <row r="170">
      <c r="A170" s="4" t="s">
        <v>420</v>
      </c>
      <c r="B170" s="4"/>
      <c r="C170" s="4" t="s">
        <v>148</v>
      </c>
      <c r="D170" s="4">
        <v>49991.0</v>
      </c>
      <c r="E170" s="4"/>
      <c r="F170" s="4" t="s">
        <v>149</v>
      </c>
      <c r="G170" s="4">
        <v>99.0</v>
      </c>
      <c r="H170" s="4"/>
      <c r="I170" s="4">
        <v>99.0</v>
      </c>
      <c r="J170" s="4" t="s">
        <v>421</v>
      </c>
      <c r="K170" s="4">
        <v>9.19780097524E11</v>
      </c>
      <c r="L170" s="4" t="s">
        <v>67</v>
      </c>
      <c r="M170" s="4" t="b">
        <v>0</v>
      </c>
      <c r="N170" s="4" t="s">
        <v>68</v>
      </c>
      <c r="O170" s="4" t="s">
        <v>69</v>
      </c>
      <c r="P170" s="6">
        <v>44314.5875</v>
      </c>
      <c r="Q170" s="4">
        <v>17403.0</v>
      </c>
      <c r="R170" s="4"/>
      <c r="S170" s="4"/>
      <c r="T170" s="4"/>
      <c r="U170" s="7"/>
      <c r="V170" s="4"/>
      <c r="W170" s="4"/>
      <c r="X170" s="4"/>
      <c r="Y170" s="4"/>
      <c r="Z170" s="4"/>
      <c r="AA170" s="5"/>
      <c r="AB170" s="5"/>
      <c r="AC170" s="5"/>
      <c r="AD170" s="5"/>
      <c r="AE170" s="5"/>
    </row>
    <row r="171">
      <c r="A171" s="4" t="s">
        <v>422</v>
      </c>
      <c r="B171" s="4"/>
      <c r="C171" s="4" t="s">
        <v>76</v>
      </c>
      <c r="D171" s="4">
        <v>49834.0</v>
      </c>
      <c r="E171" s="4"/>
      <c r="F171" s="4" t="s">
        <v>85</v>
      </c>
      <c r="G171" s="4">
        <v>299.0</v>
      </c>
      <c r="H171" s="4"/>
      <c r="I171" s="4">
        <v>299.0</v>
      </c>
      <c r="J171" s="4" t="s">
        <v>423</v>
      </c>
      <c r="K171" s="4">
        <v>9.19591922887E11</v>
      </c>
      <c r="L171" s="4" t="s">
        <v>67</v>
      </c>
      <c r="M171" s="4" t="b">
        <v>0</v>
      </c>
      <c r="N171" s="4" t="s">
        <v>97</v>
      </c>
      <c r="O171" s="4" t="s">
        <v>69</v>
      </c>
      <c r="P171" s="6">
        <v>44278.140856481485</v>
      </c>
      <c r="Q171" s="4">
        <v>16849.0</v>
      </c>
      <c r="R171" s="4"/>
      <c r="S171" s="4"/>
      <c r="T171" s="4"/>
      <c r="U171" s="7"/>
      <c r="V171" s="4"/>
      <c r="W171" s="4"/>
      <c r="X171" s="4"/>
      <c r="Y171" s="4"/>
      <c r="Z171" s="4"/>
      <c r="AA171" s="5"/>
      <c r="AB171" s="5"/>
      <c r="AC171" s="5"/>
      <c r="AD171" s="5"/>
      <c r="AE171" s="5"/>
    </row>
    <row r="172">
      <c r="A172" s="4" t="s">
        <v>424</v>
      </c>
      <c r="B172" s="4"/>
      <c r="C172" s="4" t="s">
        <v>76</v>
      </c>
      <c r="D172" s="4">
        <v>49834.0</v>
      </c>
      <c r="E172" s="4"/>
      <c r="F172" s="4" t="s">
        <v>85</v>
      </c>
      <c r="G172" s="4">
        <v>299.0</v>
      </c>
      <c r="H172" s="4"/>
      <c r="I172" s="4">
        <v>299.0</v>
      </c>
      <c r="J172" s="4" t="s">
        <v>425</v>
      </c>
      <c r="K172" s="4">
        <v>9.19446908282E11</v>
      </c>
      <c r="L172" s="4" t="s">
        <v>67</v>
      </c>
      <c r="M172" s="4" t="b">
        <v>0</v>
      </c>
      <c r="N172" s="4" t="s">
        <v>68</v>
      </c>
      <c r="O172" s="4" t="s">
        <v>69</v>
      </c>
      <c r="P172" s="6">
        <v>44278.32305555556</v>
      </c>
      <c r="Q172" s="4">
        <v>16393.0</v>
      </c>
      <c r="R172" s="4"/>
      <c r="S172" s="4"/>
      <c r="T172" s="4"/>
      <c r="U172" s="7"/>
      <c r="V172" s="4"/>
      <c r="W172" s="4"/>
      <c r="X172" s="4"/>
      <c r="Y172" s="4"/>
      <c r="Z172" s="4"/>
      <c r="AA172" s="5"/>
      <c r="AB172" s="5"/>
      <c r="AC172" s="5"/>
      <c r="AD172" s="5"/>
      <c r="AE172" s="5"/>
    </row>
    <row r="173">
      <c r="A173" s="4" t="s">
        <v>426</v>
      </c>
      <c r="B173" s="4"/>
      <c r="C173" s="4" t="s">
        <v>148</v>
      </c>
      <c r="D173" s="4">
        <v>49991.0</v>
      </c>
      <c r="E173" s="4"/>
      <c r="F173" s="4" t="s">
        <v>149</v>
      </c>
      <c r="G173" s="4">
        <v>99.0</v>
      </c>
      <c r="H173" s="4"/>
      <c r="I173" s="4">
        <v>99.0</v>
      </c>
      <c r="J173" s="4" t="s">
        <v>427</v>
      </c>
      <c r="K173" s="4">
        <v>9.19566790302E11</v>
      </c>
      <c r="L173" s="4" t="s">
        <v>67</v>
      </c>
      <c r="M173" s="4" t="b">
        <v>0</v>
      </c>
      <c r="N173" s="4" t="s">
        <v>151</v>
      </c>
      <c r="O173" s="4" t="s">
        <v>69</v>
      </c>
      <c r="P173" s="6">
        <v>44314.62461805555</v>
      </c>
      <c r="Q173" s="4" t="s">
        <v>83</v>
      </c>
      <c r="R173" s="4"/>
      <c r="S173" s="4"/>
      <c r="T173" s="4"/>
      <c r="U173" s="7"/>
      <c r="V173" s="4"/>
      <c r="W173" s="4"/>
      <c r="X173" s="4"/>
      <c r="Y173" s="4"/>
      <c r="Z173" s="4"/>
      <c r="AA173" s="5"/>
      <c r="AB173" s="5"/>
      <c r="AC173" s="5"/>
      <c r="AD173" s="5"/>
      <c r="AE173" s="5"/>
    </row>
    <row r="174">
      <c r="A174" s="4" t="s">
        <v>428</v>
      </c>
      <c r="B174" s="4"/>
      <c r="C174" s="4" t="s">
        <v>181</v>
      </c>
      <c r="D174" s="4">
        <v>49864.0</v>
      </c>
      <c r="E174" s="4"/>
      <c r="F174" s="4" t="s">
        <v>149</v>
      </c>
      <c r="G174" s="4">
        <v>99.0</v>
      </c>
      <c r="H174" s="4"/>
      <c r="I174" s="4">
        <v>99.0</v>
      </c>
      <c r="J174" s="4" t="s">
        <v>429</v>
      </c>
      <c r="K174" s="4">
        <v>9.19844994069E11</v>
      </c>
      <c r="L174" s="4" t="s">
        <v>67</v>
      </c>
      <c r="M174" s="4" t="b">
        <v>0</v>
      </c>
      <c r="N174" s="4" t="s">
        <v>68</v>
      </c>
      <c r="O174" s="4" t="s">
        <v>69</v>
      </c>
      <c r="P174" s="6">
        <v>44289.38649305556</v>
      </c>
      <c r="Q174" s="4">
        <v>16680.0</v>
      </c>
      <c r="R174" s="4"/>
      <c r="S174" s="4"/>
      <c r="T174" s="4"/>
      <c r="U174" s="7"/>
      <c r="V174" s="4"/>
      <c r="W174" s="4"/>
      <c r="X174" s="4"/>
      <c r="Y174" s="4"/>
      <c r="Z174" s="4"/>
      <c r="AA174" s="5"/>
      <c r="AB174" s="5"/>
      <c r="AC174" s="5"/>
      <c r="AD174" s="5"/>
      <c r="AE174" s="5"/>
    </row>
    <row r="175">
      <c r="A175" s="4" t="s">
        <v>430</v>
      </c>
      <c r="B175" s="4"/>
      <c r="C175" s="4" t="s">
        <v>148</v>
      </c>
      <c r="D175" s="4">
        <v>49991.0</v>
      </c>
      <c r="E175" s="4"/>
      <c r="F175" s="4" t="s">
        <v>149</v>
      </c>
      <c r="G175" s="4">
        <v>99.0</v>
      </c>
      <c r="H175" s="4"/>
      <c r="I175" s="4">
        <v>99.0</v>
      </c>
      <c r="J175" s="4" t="s">
        <v>431</v>
      </c>
      <c r="K175" s="4">
        <v>9.19912636113E11</v>
      </c>
      <c r="L175" s="4" t="s">
        <v>67</v>
      </c>
      <c r="M175" s="4" t="b">
        <v>0</v>
      </c>
      <c r="N175" s="4" t="s">
        <v>68</v>
      </c>
      <c r="O175" s="4" t="s">
        <v>69</v>
      </c>
      <c r="P175" s="6">
        <v>44315.241631944446</v>
      </c>
      <c r="Q175" s="4">
        <v>17838.0</v>
      </c>
      <c r="R175" s="4"/>
      <c r="S175" s="4"/>
      <c r="T175" s="4"/>
      <c r="U175" s="7"/>
      <c r="V175" s="4"/>
      <c r="W175" s="4"/>
      <c r="X175" s="4"/>
      <c r="Y175" s="4"/>
      <c r="Z175" s="4"/>
      <c r="AA175" s="5"/>
      <c r="AB175" s="5"/>
      <c r="AC175" s="5"/>
      <c r="AD175" s="5"/>
      <c r="AE175" s="5"/>
    </row>
    <row r="176">
      <c r="A176" s="4" t="s">
        <v>432</v>
      </c>
      <c r="B176" s="4"/>
      <c r="C176" s="4" t="s">
        <v>148</v>
      </c>
      <c r="D176" s="4">
        <v>49991.0</v>
      </c>
      <c r="E176" s="4"/>
      <c r="F176" s="4" t="s">
        <v>77</v>
      </c>
      <c r="G176" s="4">
        <v>349.0</v>
      </c>
      <c r="H176" s="4"/>
      <c r="I176" s="4">
        <v>349.0</v>
      </c>
      <c r="J176" s="4" t="s">
        <v>433</v>
      </c>
      <c r="K176" s="4">
        <v>9.19619774317E11</v>
      </c>
      <c r="L176" s="4" t="s">
        <v>67</v>
      </c>
      <c r="M176" s="4" t="b">
        <v>0</v>
      </c>
      <c r="N176" s="4" t="s">
        <v>97</v>
      </c>
      <c r="O176" s="4" t="s">
        <v>69</v>
      </c>
      <c r="P176" s="6">
        <v>44315.480775462966</v>
      </c>
      <c r="Q176" s="4">
        <v>17487.0</v>
      </c>
      <c r="R176" s="4"/>
      <c r="S176" s="4"/>
      <c r="T176" s="4"/>
      <c r="U176" s="8"/>
      <c r="V176" s="4"/>
      <c r="W176" s="4"/>
      <c r="X176" s="4"/>
      <c r="Y176" s="4"/>
      <c r="Z176" s="4"/>
      <c r="AA176" s="5"/>
      <c r="AB176" s="5"/>
      <c r="AC176" s="5"/>
      <c r="AD176" s="5"/>
      <c r="AE176" s="5"/>
    </row>
    <row r="177">
      <c r="A177" s="4" t="s">
        <v>434</v>
      </c>
      <c r="B177" s="4"/>
      <c r="C177" s="4" t="s">
        <v>435</v>
      </c>
      <c r="D177" s="4">
        <v>49992.0</v>
      </c>
      <c r="E177" s="4"/>
      <c r="F177" s="4" t="s">
        <v>149</v>
      </c>
      <c r="G177" s="4">
        <v>99.0</v>
      </c>
      <c r="H177" s="4"/>
      <c r="I177" s="4">
        <v>99.0</v>
      </c>
      <c r="J177" s="4" t="s">
        <v>436</v>
      </c>
      <c r="K177" s="4">
        <v>9.17401781784E11</v>
      </c>
      <c r="L177" s="4" t="s">
        <v>67</v>
      </c>
      <c r="M177" s="4" t="b">
        <v>0</v>
      </c>
      <c r="N177" s="4" t="s">
        <v>68</v>
      </c>
      <c r="O177" s="4" t="s">
        <v>69</v>
      </c>
      <c r="P177" s="6">
        <v>44302.816608796296</v>
      </c>
      <c r="Q177" s="4">
        <v>2977.0</v>
      </c>
      <c r="R177" s="4"/>
      <c r="S177" s="4"/>
      <c r="T177" s="4"/>
      <c r="U177" s="7"/>
      <c r="V177" s="4"/>
      <c r="W177" s="4"/>
      <c r="X177" s="4"/>
      <c r="Y177" s="4"/>
      <c r="Z177" s="4"/>
      <c r="AA177" s="5"/>
      <c r="AB177" s="5"/>
      <c r="AC177" s="5"/>
      <c r="AD177" s="5"/>
      <c r="AE177" s="5"/>
    </row>
    <row r="178">
      <c r="A178" s="4" t="s">
        <v>437</v>
      </c>
      <c r="B178" s="4"/>
      <c r="C178" s="4" t="s">
        <v>181</v>
      </c>
      <c r="D178" s="4">
        <v>49864.0</v>
      </c>
      <c r="E178" s="4"/>
      <c r="F178" s="4" t="s">
        <v>149</v>
      </c>
      <c r="G178" s="4">
        <v>99.0</v>
      </c>
      <c r="H178" s="4"/>
      <c r="I178" s="4">
        <v>99.0</v>
      </c>
      <c r="J178" s="4" t="s">
        <v>438</v>
      </c>
      <c r="K178" s="4">
        <v>9.17044967575E11</v>
      </c>
      <c r="L178" s="4" t="s">
        <v>67</v>
      </c>
      <c r="M178" s="4" t="b">
        <v>0</v>
      </c>
      <c r="N178" s="4" t="s">
        <v>97</v>
      </c>
      <c r="O178" s="4" t="s">
        <v>69</v>
      </c>
      <c r="P178" s="6">
        <v>44289.72895833333</v>
      </c>
      <c r="Q178" s="4" t="s">
        <v>83</v>
      </c>
      <c r="R178" s="4"/>
      <c r="S178" s="4"/>
      <c r="T178" s="4"/>
      <c r="U178" s="7"/>
      <c r="V178" s="4"/>
      <c r="W178" s="4"/>
      <c r="X178" s="4"/>
      <c r="Y178" s="4"/>
      <c r="Z178" s="4"/>
      <c r="AA178" s="5"/>
      <c r="AB178" s="5"/>
      <c r="AC178" s="5"/>
      <c r="AD178" s="5"/>
      <c r="AE178" s="5"/>
    </row>
    <row r="179">
      <c r="A179" s="4" t="s">
        <v>439</v>
      </c>
      <c r="B179" s="4"/>
      <c r="C179" s="4" t="s">
        <v>245</v>
      </c>
      <c r="D179" s="4">
        <v>49962.0</v>
      </c>
      <c r="E179" s="4"/>
      <c r="F179" s="4" t="s">
        <v>85</v>
      </c>
      <c r="G179" s="4">
        <v>99.0</v>
      </c>
      <c r="H179" s="4"/>
      <c r="I179" s="4">
        <v>99.0</v>
      </c>
      <c r="J179" s="4" t="s">
        <v>440</v>
      </c>
      <c r="K179" s="4">
        <v>9.18860250737E11</v>
      </c>
      <c r="L179" s="4" t="s">
        <v>67</v>
      </c>
      <c r="M179" s="4" t="b">
        <v>0</v>
      </c>
      <c r="N179" s="4" t="s">
        <v>68</v>
      </c>
      <c r="O179" s="4" t="s">
        <v>69</v>
      </c>
      <c r="P179" s="6">
        <v>44278.42738425926</v>
      </c>
      <c r="Q179" s="4">
        <v>16434.0</v>
      </c>
      <c r="R179" s="4"/>
      <c r="S179" s="4"/>
      <c r="T179" s="4"/>
      <c r="U179" s="7"/>
      <c r="V179" s="4"/>
      <c r="W179" s="4"/>
      <c r="X179" s="4"/>
      <c r="Y179" s="4"/>
      <c r="Z179" s="4"/>
      <c r="AA179" s="5"/>
      <c r="AB179" s="5"/>
      <c r="AC179" s="5"/>
      <c r="AD179" s="5"/>
      <c r="AE179" s="5"/>
    </row>
    <row r="180">
      <c r="A180" s="4" t="s">
        <v>441</v>
      </c>
      <c r="B180" s="4"/>
      <c r="C180" s="4" t="s">
        <v>376</v>
      </c>
      <c r="D180" s="4">
        <v>49963.0</v>
      </c>
      <c r="E180" s="4"/>
      <c r="F180" s="4" t="s">
        <v>85</v>
      </c>
      <c r="G180" s="4">
        <v>99.0</v>
      </c>
      <c r="H180" s="4"/>
      <c r="I180" s="4">
        <v>99.0</v>
      </c>
      <c r="J180" s="4" t="s">
        <v>442</v>
      </c>
      <c r="K180" s="4">
        <v>9.18886398699E11</v>
      </c>
      <c r="L180" s="4" t="s">
        <v>67</v>
      </c>
      <c r="M180" s="4" t="b">
        <v>0</v>
      </c>
      <c r="N180" s="4" t="s">
        <v>68</v>
      </c>
      <c r="O180" s="4" t="s">
        <v>69</v>
      </c>
      <c r="P180" s="6">
        <v>44278.45872685185</v>
      </c>
      <c r="Q180" s="4">
        <v>16401.0</v>
      </c>
      <c r="R180" s="4"/>
      <c r="S180" s="4"/>
      <c r="T180" s="4"/>
      <c r="U180" s="7"/>
      <c r="V180" s="4"/>
      <c r="W180" s="4"/>
      <c r="X180" s="4"/>
      <c r="Y180" s="4"/>
      <c r="Z180" s="4"/>
      <c r="AA180" s="5"/>
      <c r="AB180" s="5"/>
      <c r="AC180" s="5"/>
      <c r="AD180" s="5"/>
      <c r="AE180" s="5"/>
    </row>
    <row r="181">
      <c r="A181" s="4" t="s">
        <v>443</v>
      </c>
      <c r="B181" s="4"/>
      <c r="C181" s="4" t="s">
        <v>376</v>
      </c>
      <c r="D181" s="4">
        <v>49963.0</v>
      </c>
      <c r="E181" s="4"/>
      <c r="F181" s="4" t="s">
        <v>85</v>
      </c>
      <c r="G181" s="4">
        <v>99.0</v>
      </c>
      <c r="H181" s="4"/>
      <c r="I181" s="4">
        <v>99.0</v>
      </c>
      <c r="J181" s="4" t="s">
        <v>444</v>
      </c>
      <c r="K181" s="4">
        <v>9.18248295566E11</v>
      </c>
      <c r="L181" s="4" t="s">
        <v>67</v>
      </c>
      <c r="M181" s="4" t="b">
        <v>0</v>
      </c>
      <c r="N181" s="4" t="s">
        <v>68</v>
      </c>
      <c r="O181" s="4" t="s">
        <v>69</v>
      </c>
      <c r="P181" s="6">
        <v>44278.46542824074</v>
      </c>
      <c r="Q181" s="4">
        <v>16402.0</v>
      </c>
      <c r="R181" s="4"/>
      <c r="S181" s="4"/>
      <c r="T181" s="4"/>
      <c r="U181" s="7"/>
      <c r="V181" s="4"/>
      <c r="W181" s="4"/>
      <c r="X181" s="4"/>
      <c r="Y181" s="4"/>
      <c r="Z181" s="4"/>
      <c r="AA181" s="5"/>
      <c r="AB181" s="5"/>
      <c r="AC181" s="5"/>
      <c r="AD181" s="5"/>
      <c r="AE181" s="5"/>
    </row>
    <row r="182">
      <c r="A182" s="4" t="s">
        <v>445</v>
      </c>
      <c r="B182" s="4"/>
      <c r="C182" s="4" t="s">
        <v>181</v>
      </c>
      <c r="D182" s="4">
        <v>49864.0</v>
      </c>
      <c r="E182" s="4"/>
      <c r="F182" s="4" t="s">
        <v>149</v>
      </c>
      <c r="G182" s="4">
        <v>99.0</v>
      </c>
      <c r="H182" s="4"/>
      <c r="I182" s="4">
        <v>99.0</v>
      </c>
      <c r="J182" s="4" t="s">
        <v>446</v>
      </c>
      <c r="K182" s="4">
        <v>9.19008532327E11</v>
      </c>
      <c r="L182" s="4" t="s">
        <v>67</v>
      </c>
      <c r="M182" s="4" t="b">
        <v>0</v>
      </c>
      <c r="N182" s="4" t="s">
        <v>68</v>
      </c>
      <c r="O182" s="4" t="s">
        <v>69</v>
      </c>
      <c r="P182" s="6">
        <v>44290.39297453704</v>
      </c>
      <c r="Q182" s="4">
        <v>16672.0</v>
      </c>
      <c r="R182" s="4"/>
      <c r="S182" s="4"/>
      <c r="T182" s="4"/>
      <c r="U182" s="7"/>
      <c r="V182" s="4"/>
      <c r="W182" s="4"/>
      <c r="X182" s="4"/>
      <c r="Y182" s="4"/>
      <c r="Z182" s="4"/>
      <c r="AA182" s="5"/>
      <c r="AB182" s="5"/>
      <c r="AC182" s="5"/>
      <c r="AD182" s="5"/>
      <c r="AE182" s="5"/>
    </row>
    <row r="183">
      <c r="A183" s="4" t="s">
        <v>447</v>
      </c>
      <c r="B183" s="4"/>
      <c r="C183" s="4" t="s">
        <v>181</v>
      </c>
      <c r="D183" s="4">
        <v>49864.0</v>
      </c>
      <c r="E183" s="4"/>
      <c r="F183" s="4" t="s">
        <v>149</v>
      </c>
      <c r="G183" s="4">
        <v>99.0</v>
      </c>
      <c r="H183" s="4"/>
      <c r="I183" s="4">
        <v>99.0</v>
      </c>
      <c r="J183" s="4" t="s">
        <v>448</v>
      </c>
      <c r="K183" s="4">
        <v>9.17989517887E11</v>
      </c>
      <c r="L183" s="4" t="s">
        <v>67</v>
      </c>
      <c r="M183" s="4" t="b">
        <v>0</v>
      </c>
      <c r="N183" s="4" t="s">
        <v>68</v>
      </c>
      <c r="O183" s="4" t="s">
        <v>69</v>
      </c>
      <c r="P183" s="6">
        <v>44290.50591435185</v>
      </c>
      <c r="Q183" s="4">
        <v>16692.0</v>
      </c>
      <c r="R183" s="4"/>
      <c r="S183" s="4"/>
      <c r="T183" s="4"/>
      <c r="U183" s="7"/>
      <c r="V183" s="4"/>
      <c r="W183" s="4"/>
      <c r="X183" s="4"/>
      <c r="Y183" s="4"/>
      <c r="Z183" s="4"/>
      <c r="AA183" s="5"/>
      <c r="AB183" s="5"/>
      <c r="AC183" s="5"/>
      <c r="AD183" s="5"/>
      <c r="AE183" s="5"/>
    </row>
    <row r="184">
      <c r="A184" s="4" t="s">
        <v>449</v>
      </c>
      <c r="B184" s="4"/>
      <c r="C184" s="4" t="s">
        <v>376</v>
      </c>
      <c r="D184" s="4">
        <v>49963.0</v>
      </c>
      <c r="E184" s="4"/>
      <c r="F184" s="4" t="s">
        <v>85</v>
      </c>
      <c r="G184" s="4">
        <v>99.0</v>
      </c>
      <c r="H184" s="4"/>
      <c r="I184" s="4">
        <v>99.0</v>
      </c>
      <c r="J184" s="4" t="s">
        <v>450</v>
      </c>
      <c r="K184" s="4">
        <v>9.1942047123E11</v>
      </c>
      <c r="L184" s="4" t="s">
        <v>67</v>
      </c>
      <c r="M184" s="4" t="b">
        <v>0</v>
      </c>
      <c r="N184" s="4" t="s">
        <v>68</v>
      </c>
      <c r="O184" s="4" t="s">
        <v>69</v>
      </c>
      <c r="P184" s="6">
        <v>44278.56380787037</v>
      </c>
      <c r="Q184" s="4">
        <v>16406.0</v>
      </c>
      <c r="R184" s="4"/>
      <c r="S184" s="4"/>
      <c r="T184" s="4"/>
      <c r="U184" s="7"/>
      <c r="V184" s="4"/>
      <c r="W184" s="4"/>
      <c r="X184" s="4"/>
      <c r="Y184" s="4"/>
      <c r="Z184" s="4"/>
      <c r="AA184" s="5"/>
      <c r="AB184" s="5"/>
      <c r="AC184" s="5"/>
      <c r="AD184" s="5"/>
      <c r="AE184" s="5"/>
    </row>
    <row r="185">
      <c r="A185" s="4" t="s">
        <v>451</v>
      </c>
      <c r="B185" s="4"/>
      <c r="C185" s="4" t="s">
        <v>184</v>
      </c>
      <c r="D185" s="4">
        <v>49833.0</v>
      </c>
      <c r="E185" s="4"/>
      <c r="F185" s="4" t="s">
        <v>85</v>
      </c>
      <c r="G185" s="4">
        <v>99.0</v>
      </c>
      <c r="H185" s="4"/>
      <c r="I185" s="4">
        <v>99.0</v>
      </c>
      <c r="J185" s="4" t="s">
        <v>452</v>
      </c>
      <c r="K185" s="4">
        <v>9.18974180067E11</v>
      </c>
      <c r="L185" s="4" t="s">
        <v>67</v>
      </c>
      <c r="M185" s="4" t="b">
        <v>0</v>
      </c>
      <c r="N185" s="4" t="s">
        <v>68</v>
      </c>
      <c r="O185" s="4" t="s">
        <v>69</v>
      </c>
      <c r="P185" s="6">
        <v>44278.575532407405</v>
      </c>
      <c r="Q185" s="4">
        <v>16436.0</v>
      </c>
      <c r="R185" s="4"/>
      <c r="S185" s="4"/>
      <c r="T185" s="4"/>
      <c r="U185" s="7"/>
      <c r="V185" s="4"/>
      <c r="W185" s="4"/>
      <c r="X185" s="4"/>
      <c r="Y185" s="4"/>
      <c r="Z185" s="4"/>
      <c r="AA185" s="5"/>
      <c r="AB185" s="5"/>
      <c r="AC185" s="5"/>
      <c r="AD185" s="5"/>
      <c r="AE185" s="5"/>
    </row>
    <row r="186">
      <c r="A186" s="4" t="s">
        <v>453</v>
      </c>
      <c r="B186" s="4"/>
      <c r="C186" s="4" t="s">
        <v>184</v>
      </c>
      <c r="D186" s="4">
        <v>49833.0</v>
      </c>
      <c r="E186" s="4"/>
      <c r="F186" s="4" t="s">
        <v>85</v>
      </c>
      <c r="G186" s="4">
        <v>99.0</v>
      </c>
      <c r="H186" s="4"/>
      <c r="I186" s="4">
        <v>99.0</v>
      </c>
      <c r="J186" s="4" t="s">
        <v>454</v>
      </c>
      <c r="K186" s="4">
        <v>9.19874876667E11</v>
      </c>
      <c r="L186" s="4" t="s">
        <v>67</v>
      </c>
      <c r="M186" s="4" t="b">
        <v>0</v>
      </c>
      <c r="N186" s="4" t="s">
        <v>68</v>
      </c>
      <c r="O186" s="4" t="s">
        <v>69</v>
      </c>
      <c r="P186" s="6">
        <v>44278.57802083333</v>
      </c>
      <c r="Q186" s="4">
        <v>16444.0</v>
      </c>
      <c r="R186" s="4"/>
      <c r="S186" s="4"/>
      <c r="T186" s="4"/>
      <c r="U186" s="7"/>
      <c r="V186" s="4"/>
      <c r="W186" s="4"/>
      <c r="X186" s="4"/>
      <c r="Y186" s="4"/>
      <c r="Z186" s="4"/>
      <c r="AA186" s="5"/>
      <c r="AB186" s="5"/>
      <c r="AC186" s="5"/>
      <c r="AD186" s="5"/>
      <c r="AE186" s="5"/>
    </row>
    <row r="187">
      <c r="A187" s="4" t="s">
        <v>455</v>
      </c>
      <c r="B187" s="4"/>
      <c r="C187" s="4" t="s">
        <v>184</v>
      </c>
      <c r="D187" s="4">
        <v>49833.0</v>
      </c>
      <c r="E187" s="4"/>
      <c r="F187" s="4" t="s">
        <v>85</v>
      </c>
      <c r="G187" s="4">
        <v>99.0</v>
      </c>
      <c r="H187" s="4"/>
      <c r="I187" s="4">
        <v>99.0</v>
      </c>
      <c r="J187" s="4" t="s">
        <v>456</v>
      </c>
      <c r="K187" s="4">
        <v>9.18335991621E11</v>
      </c>
      <c r="L187" s="4" t="s">
        <v>67</v>
      </c>
      <c r="M187" s="4" t="b">
        <v>0</v>
      </c>
      <c r="N187" s="4" t="s">
        <v>68</v>
      </c>
      <c r="O187" s="4" t="s">
        <v>69</v>
      </c>
      <c r="P187" s="6">
        <v>44278.603900462964</v>
      </c>
      <c r="Q187" s="4">
        <v>16440.0</v>
      </c>
      <c r="R187" s="4"/>
      <c r="S187" s="4"/>
      <c r="T187" s="4"/>
      <c r="U187" s="7"/>
      <c r="V187" s="4"/>
      <c r="W187" s="4"/>
      <c r="X187" s="4"/>
      <c r="Y187" s="4"/>
      <c r="Z187" s="4"/>
      <c r="AA187" s="5"/>
      <c r="AB187" s="5"/>
      <c r="AC187" s="5"/>
      <c r="AD187" s="5"/>
      <c r="AE187" s="5"/>
    </row>
    <row r="188">
      <c r="A188" s="4" t="s">
        <v>457</v>
      </c>
      <c r="B188" s="4"/>
      <c r="C188" s="4" t="s">
        <v>280</v>
      </c>
      <c r="D188" s="4">
        <v>49877.0</v>
      </c>
      <c r="E188" s="4"/>
      <c r="F188" s="4" t="s">
        <v>85</v>
      </c>
      <c r="G188" s="4">
        <v>99.0</v>
      </c>
      <c r="H188" s="4"/>
      <c r="I188" s="4">
        <v>99.0</v>
      </c>
      <c r="J188" s="4" t="s">
        <v>458</v>
      </c>
      <c r="K188" s="4">
        <v>9.17829140274E11</v>
      </c>
      <c r="L188" s="4" t="s">
        <v>67</v>
      </c>
      <c r="M188" s="4" t="b">
        <v>0</v>
      </c>
      <c r="N188" s="4" t="s">
        <v>74</v>
      </c>
      <c r="O188" s="4" t="s">
        <v>69</v>
      </c>
      <c r="P188" s="6">
        <v>44278.60791666667</v>
      </c>
      <c r="Q188" s="4">
        <v>14777.0</v>
      </c>
      <c r="R188" s="4"/>
      <c r="S188" s="4"/>
      <c r="T188" s="4"/>
      <c r="U188" s="7"/>
      <c r="V188" s="4"/>
      <c r="W188" s="4"/>
      <c r="X188" s="4"/>
      <c r="Y188" s="4"/>
      <c r="Z188" s="4"/>
      <c r="AA188" s="5"/>
      <c r="AB188" s="5"/>
      <c r="AC188" s="5"/>
      <c r="AD188" s="5"/>
      <c r="AE188" s="5"/>
    </row>
    <row r="189">
      <c r="A189" s="4" t="s">
        <v>459</v>
      </c>
      <c r="B189" s="4"/>
      <c r="C189" s="4" t="s">
        <v>376</v>
      </c>
      <c r="D189" s="4">
        <v>49963.0</v>
      </c>
      <c r="E189" s="4"/>
      <c r="F189" s="4" t="s">
        <v>85</v>
      </c>
      <c r="G189" s="4">
        <v>99.0</v>
      </c>
      <c r="H189" s="4"/>
      <c r="I189" s="4">
        <v>99.0</v>
      </c>
      <c r="J189" s="4" t="s">
        <v>460</v>
      </c>
      <c r="K189" s="4">
        <v>9.19803019148E11</v>
      </c>
      <c r="L189" s="4" t="s">
        <v>67</v>
      </c>
      <c r="M189" s="4" t="b">
        <v>0</v>
      </c>
      <c r="N189" s="4" t="s">
        <v>68</v>
      </c>
      <c r="O189" s="4" t="s">
        <v>69</v>
      </c>
      <c r="P189" s="6">
        <v>44278.607939814814</v>
      </c>
      <c r="Q189" s="4">
        <v>16409.0</v>
      </c>
      <c r="R189" s="4"/>
      <c r="S189" s="4"/>
      <c r="T189" s="4"/>
      <c r="U189" s="7"/>
      <c r="V189" s="4"/>
      <c r="W189" s="4"/>
      <c r="X189" s="4"/>
      <c r="Y189" s="4"/>
      <c r="Z189" s="4"/>
      <c r="AA189" s="5"/>
      <c r="AB189" s="5"/>
      <c r="AC189" s="5"/>
      <c r="AD189" s="5"/>
      <c r="AE189" s="5"/>
    </row>
    <row r="190">
      <c r="A190" s="4" t="s">
        <v>461</v>
      </c>
      <c r="B190" s="4"/>
      <c r="C190" s="4" t="s">
        <v>184</v>
      </c>
      <c r="D190" s="4">
        <v>49833.0</v>
      </c>
      <c r="E190" s="4"/>
      <c r="F190" s="4" t="s">
        <v>85</v>
      </c>
      <c r="G190" s="4">
        <v>99.0</v>
      </c>
      <c r="H190" s="4"/>
      <c r="I190" s="4">
        <v>99.0</v>
      </c>
      <c r="J190" s="4" t="s">
        <v>462</v>
      </c>
      <c r="K190" s="4">
        <v>9.1700837173E11</v>
      </c>
      <c r="L190" s="4" t="s">
        <v>67</v>
      </c>
      <c r="M190" s="4" t="b">
        <v>0</v>
      </c>
      <c r="N190" s="4" t="s">
        <v>68</v>
      </c>
      <c r="O190" s="4" t="s">
        <v>69</v>
      </c>
      <c r="P190" s="6">
        <v>44278.611597222225</v>
      </c>
      <c r="Q190" s="4">
        <v>16711.0</v>
      </c>
      <c r="R190" s="4"/>
      <c r="S190" s="4"/>
      <c r="T190" s="4"/>
      <c r="U190" s="7"/>
      <c r="V190" s="4"/>
      <c r="W190" s="4"/>
      <c r="X190" s="4"/>
      <c r="Y190" s="4"/>
      <c r="Z190" s="4"/>
      <c r="AA190" s="5"/>
      <c r="AB190" s="5"/>
      <c r="AC190" s="5"/>
      <c r="AD190" s="5"/>
      <c r="AE190" s="5"/>
    </row>
    <row r="191">
      <c r="A191" s="4" t="s">
        <v>463</v>
      </c>
      <c r="B191" s="4"/>
      <c r="C191" s="4" t="s">
        <v>435</v>
      </c>
      <c r="D191" s="4">
        <v>49992.0</v>
      </c>
      <c r="E191" s="4"/>
      <c r="F191" s="4" t="s">
        <v>149</v>
      </c>
      <c r="G191" s="4">
        <v>99.0</v>
      </c>
      <c r="H191" s="4"/>
      <c r="I191" s="4">
        <v>99.0</v>
      </c>
      <c r="J191" s="4" t="s">
        <v>464</v>
      </c>
      <c r="K191" s="4">
        <v>9.19888898656E11</v>
      </c>
      <c r="L191" s="4" t="s">
        <v>67</v>
      </c>
      <c r="M191" s="4" t="b">
        <v>0</v>
      </c>
      <c r="N191" s="4" t="s">
        <v>68</v>
      </c>
      <c r="O191" s="4" t="s">
        <v>69</v>
      </c>
      <c r="P191" s="6">
        <v>44303.310162037036</v>
      </c>
      <c r="Q191" s="4">
        <v>17442.0</v>
      </c>
      <c r="R191" s="4"/>
      <c r="S191" s="4"/>
      <c r="T191" s="4"/>
      <c r="U191" s="7"/>
      <c r="V191" s="4"/>
      <c r="W191" s="4"/>
      <c r="X191" s="4"/>
      <c r="Y191" s="4"/>
      <c r="Z191" s="4"/>
      <c r="AA191" s="5"/>
      <c r="AB191" s="5"/>
      <c r="AC191" s="5"/>
      <c r="AD191" s="5"/>
      <c r="AE191" s="5"/>
    </row>
    <row r="192">
      <c r="A192" s="4" t="s">
        <v>465</v>
      </c>
      <c r="B192" s="4"/>
      <c r="C192" s="4" t="s">
        <v>184</v>
      </c>
      <c r="D192" s="4">
        <v>49833.0</v>
      </c>
      <c r="E192" s="4"/>
      <c r="F192" s="4" t="s">
        <v>85</v>
      </c>
      <c r="G192" s="4">
        <v>99.0</v>
      </c>
      <c r="H192" s="4"/>
      <c r="I192" s="4">
        <v>99.0</v>
      </c>
      <c r="J192" s="4" t="s">
        <v>466</v>
      </c>
      <c r="K192" s="4">
        <v>9.19207466087E11</v>
      </c>
      <c r="L192" s="4" t="s">
        <v>67</v>
      </c>
      <c r="M192" s="4" t="b">
        <v>0</v>
      </c>
      <c r="N192" s="4" t="s">
        <v>68</v>
      </c>
      <c r="O192" s="4" t="s">
        <v>69</v>
      </c>
      <c r="P192" s="6">
        <v>44278.61923611111</v>
      </c>
      <c r="Q192" s="4">
        <v>16421.0</v>
      </c>
      <c r="R192" s="4"/>
      <c r="S192" s="4"/>
      <c r="T192" s="4"/>
      <c r="U192" s="7"/>
      <c r="V192" s="4"/>
      <c r="W192" s="4"/>
      <c r="X192" s="4"/>
      <c r="Y192" s="4"/>
      <c r="Z192" s="4"/>
      <c r="AA192" s="5"/>
      <c r="AB192" s="5"/>
      <c r="AC192" s="5"/>
      <c r="AD192" s="5"/>
      <c r="AE192" s="5"/>
    </row>
    <row r="193">
      <c r="A193" s="4" t="s">
        <v>467</v>
      </c>
      <c r="B193" s="4"/>
      <c r="C193" s="4" t="s">
        <v>184</v>
      </c>
      <c r="D193" s="4">
        <v>49833.0</v>
      </c>
      <c r="E193" s="4"/>
      <c r="F193" s="4" t="s">
        <v>85</v>
      </c>
      <c r="G193" s="4">
        <v>99.0</v>
      </c>
      <c r="H193" s="4"/>
      <c r="I193" s="4">
        <v>99.0</v>
      </c>
      <c r="J193" s="4" t="s">
        <v>468</v>
      </c>
      <c r="K193" s="4">
        <v>9.18369390991E11</v>
      </c>
      <c r="L193" s="4" t="s">
        <v>67</v>
      </c>
      <c r="M193" s="4" t="b">
        <v>0</v>
      </c>
      <c r="N193" s="4" t="s">
        <v>68</v>
      </c>
      <c r="O193" s="4" t="s">
        <v>69</v>
      </c>
      <c r="P193" s="6">
        <v>44278.62670138889</v>
      </c>
      <c r="Q193" s="4" t="s">
        <v>83</v>
      </c>
      <c r="R193" s="4"/>
      <c r="S193" s="4"/>
      <c r="T193" s="4"/>
      <c r="U193" s="7"/>
      <c r="V193" s="4"/>
      <c r="W193" s="4"/>
      <c r="X193" s="4"/>
      <c r="Y193" s="4"/>
      <c r="Z193" s="4"/>
      <c r="AA193" s="5"/>
      <c r="AB193" s="5"/>
      <c r="AC193" s="5"/>
      <c r="AD193" s="5"/>
      <c r="AE193" s="5"/>
    </row>
    <row r="194">
      <c r="A194" s="4" t="s">
        <v>469</v>
      </c>
      <c r="B194" s="4"/>
      <c r="C194" s="4" t="s">
        <v>184</v>
      </c>
      <c r="D194" s="4">
        <v>49833.0</v>
      </c>
      <c r="E194" s="4"/>
      <c r="F194" s="4" t="s">
        <v>85</v>
      </c>
      <c r="G194" s="4">
        <v>99.0</v>
      </c>
      <c r="H194" s="4"/>
      <c r="I194" s="4">
        <v>99.0</v>
      </c>
      <c r="J194" s="4" t="s">
        <v>470</v>
      </c>
      <c r="K194" s="4">
        <v>9.18411041185E11</v>
      </c>
      <c r="L194" s="4" t="s">
        <v>67</v>
      </c>
      <c r="M194" s="4" t="b">
        <v>0</v>
      </c>
      <c r="N194" s="4" t="s">
        <v>74</v>
      </c>
      <c r="O194" s="4" t="s">
        <v>69</v>
      </c>
      <c r="P194" s="6">
        <v>44278.648831018516</v>
      </c>
      <c r="Q194" s="4">
        <v>16439.0</v>
      </c>
      <c r="R194" s="4"/>
      <c r="S194" s="4"/>
      <c r="T194" s="4"/>
      <c r="U194" s="7"/>
      <c r="V194" s="4"/>
      <c r="W194" s="4"/>
      <c r="X194" s="4"/>
      <c r="Y194" s="4"/>
      <c r="Z194" s="4"/>
      <c r="AA194" s="5"/>
      <c r="AB194" s="5"/>
      <c r="AC194" s="5"/>
      <c r="AD194" s="5"/>
      <c r="AE194" s="5"/>
    </row>
    <row r="195">
      <c r="A195" s="4" t="s">
        <v>471</v>
      </c>
      <c r="B195" s="4"/>
      <c r="C195" s="4" t="s">
        <v>181</v>
      </c>
      <c r="D195" s="4">
        <v>49864.0</v>
      </c>
      <c r="E195" s="4"/>
      <c r="F195" s="4" t="s">
        <v>149</v>
      </c>
      <c r="G195" s="4">
        <v>99.0</v>
      </c>
      <c r="H195" s="4"/>
      <c r="I195" s="4">
        <v>99.0</v>
      </c>
      <c r="J195" s="4" t="s">
        <v>472</v>
      </c>
      <c r="K195" s="4">
        <v>9.19860553717E11</v>
      </c>
      <c r="L195" s="4" t="s">
        <v>67</v>
      </c>
      <c r="M195" s="4" t="b">
        <v>0</v>
      </c>
      <c r="N195" s="4" t="s">
        <v>74</v>
      </c>
      <c r="O195" s="4" t="s">
        <v>69</v>
      </c>
      <c r="P195" s="6">
        <v>44290.76519675926</v>
      </c>
      <c r="Q195" s="4">
        <v>16670.0</v>
      </c>
      <c r="R195" s="4"/>
      <c r="S195" s="4"/>
      <c r="T195" s="4"/>
      <c r="U195" s="7"/>
      <c r="V195" s="4"/>
      <c r="W195" s="4"/>
      <c r="X195" s="4"/>
      <c r="Y195" s="4"/>
      <c r="Z195" s="4"/>
      <c r="AA195" s="5"/>
      <c r="AB195" s="5"/>
      <c r="AC195" s="5"/>
      <c r="AD195" s="5"/>
      <c r="AE195" s="5"/>
    </row>
    <row r="196">
      <c r="A196" s="4" t="s">
        <v>473</v>
      </c>
      <c r="B196" s="4"/>
      <c r="C196" s="4" t="s">
        <v>64</v>
      </c>
      <c r="D196" s="4">
        <v>49831.0</v>
      </c>
      <c r="E196" s="4"/>
      <c r="F196" s="4" t="s">
        <v>85</v>
      </c>
      <c r="G196" s="4">
        <v>499.0</v>
      </c>
      <c r="H196" s="4"/>
      <c r="I196" s="4">
        <v>499.0</v>
      </c>
      <c r="J196" s="4" t="s">
        <v>474</v>
      </c>
      <c r="K196" s="4">
        <v>9.18670804205E11</v>
      </c>
      <c r="L196" s="4" t="s">
        <v>67</v>
      </c>
      <c r="M196" s="4" t="b">
        <v>0</v>
      </c>
      <c r="N196" s="4" t="s">
        <v>68</v>
      </c>
      <c r="O196" s="4" t="s">
        <v>69</v>
      </c>
      <c r="P196" s="6">
        <v>44278.755208333336</v>
      </c>
      <c r="Q196" s="4">
        <v>16566.0</v>
      </c>
      <c r="R196" s="4"/>
      <c r="S196" s="4"/>
      <c r="T196" s="4"/>
      <c r="U196" s="7"/>
      <c r="V196" s="4"/>
      <c r="W196" s="4"/>
      <c r="X196" s="4"/>
      <c r="Y196" s="4"/>
      <c r="Z196" s="4"/>
      <c r="AA196" s="5"/>
      <c r="AB196" s="5"/>
      <c r="AC196" s="5"/>
      <c r="AD196" s="5"/>
      <c r="AE196" s="5"/>
    </row>
    <row r="197">
      <c r="A197" s="4" t="s">
        <v>475</v>
      </c>
      <c r="B197" s="4"/>
      <c r="C197" s="4" t="s">
        <v>435</v>
      </c>
      <c r="D197" s="4">
        <v>49992.0</v>
      </c>
      <c r="E197" s="4"/>
      <c r="F197" s="4" t="s">
        <v>149</v>
      </c>
      <c r="G197" s="4">
        <v>99.0</v>
      </c>
      <c r="H197" s="4"/>
      <c r="I197" s="4">
        <v>99.0</v>
      </c>
      <c r="J197" s="4" t="s">
        <v>476</v>
      </c>
      <c r="K197" s="4">
        <v>9.18770799352E11</v>
      </c>
      <c r="L197" s="4" t="s">
        <v>67</v>
      </c>
      <c r="M197" s="4" t="b">
        <v>0</v>
      </c>
      <c r="N197" s="4" t="s">
        <v>68</v>
      </c>
      <c r="O197" s="4" t="s">
        <v>69</v>
      </c>
      <c r="P197" s="6">
        <v>44304.56542824074</v>
      </c>
      <c r="Q197" s="4">
        <v>16989.0</v>
      </c>
      <c r="R197" s="4"/>
      <c r="S197" s="4"/>
      <c r="T197" s="4"/>
      <c r="U197" s="7"/>
      <c r="V197" s="4"/>
      <c r="W197" s="4"/>
      <c r="X197" s="4"/>
      <c r="Y197" s="4"/>
      <c r="Z197" s="4"/>
      <c r="AA197" s="5"/>
      <c r="AB197" s="5"/>
      <c r="AC197" s="5"/>
      <c r="AD197" s="5"/>
      <c r="AE197" s="5"/>
    </row>
    <row r="198">
      <c r="A198" s="4" t="s">
        <v>477</v>
      </c>
      <c r="B198" s="4"/>
      <c r="C198" s="4" t="s">
        <v>435</v>
      </c>
      <c r="D198" s="4">
        <v>49992.0</v>
      </c>
      <c r="E198" s="4"/>
      <c r="F198" s="4" t="s">
        <v>149</v>
      </c>
      <c r="G198" s="4">
        <v>99.0</v>
      </c>
      <c r="H198" s="4"/>
      <c r="I198" s="4">
        <v>99.0</v>
      </c>
      <c r="J198" s="4" t="s">
        <v>478</v>
      </c>
      <c r="K198" s="4">
        <v>9.18848496869E11</v>
      </c>
      <c r="L198" s="4" t="s">
        <v>67</v>
      </c>
      <c r="M198" s="4" t="b">
        <v>0</v>
      </c>
      <c r="N198" s="4" t="s">
        <v>68</v>
      </c>
      <c r="O198" s="4" t="s">
        <v>69</v>
      </c>
      <c r="P198" s="6">
        <v>44304.83982638889</v>
      </c>
      <c r="Q198" s="4">
        <v>16982.0</v>
      </c>
      <c r="R198" s="4"/>
      <c r="S198" s="4"/>
      <c r="T198" s="4"/>
      <c r="U198" s="7"/>
      <c r="V198" s="4"/>
      <c r="W198" s="4"/>
      <c r="X198" s="4"/>
      <c r="Y198" s="4"/>
      <c r="Z198" s="4"/>
      <c r="AA198" s="5"/>
      <c r="AB198" s="5"/>
      <c r="AC198" s="5"/>
      <c r="AD198" s="5"/>
      <c r="AE198" s="5"/>
    </row>
    <row r="199">
      <c r="A199" s="4" t="s">
        <v>479</v>
      </c>
      <c r="B199" s="4"/>
      <c r="C199" s="4" t="s">
        <v>435</v>
      </c>
      <c r="D199" s="4">
        <v>49992.0</v>
      </c>
      <c r="E199" s="4"/>
      <c r="F199" s="4" t="s">
        <v>149</v>
      </c>
      <c r="G199" s="4">
        <v>99.0</v>
      </c>
      <c r="H199" s="4"/>
      <c r="I199" s="4">
        <v>99.0</v>
      </c>
      <c r="J199" s="4" t="s">
        <v>480</v>
      </c>
      <c r="K199" s="4">
        <v>9.19898067985E11</v>
      </c>
      <c r="L199" s="4" t="s">
        <v>67</v>
      </c>
      <c r="M199" s="4" t="b">
        <v>0</v>
      </c>
      <c r="N199" s="4" t="s">
        <v>74</v>
      </c>
      <c r="O199" s="4" t="s">
        <v>69</v>
      </c>
      <c r="P199" s="6">
        <v>44304.90611111111</v>
      </c>
      <c r="Q199" s="4">
        <v>16998.0</v>
      </c>
      <c r="R199" s="4"/>
      <c r="S199" s="4"/>
      <c r="T199" s="4"/>
      <c r="U199" s="7"/>
      <c r="V199" s="4"/>
      <c r="W199" s="4"/>
      <c r="X199" s="4"/>
      <c r="Y199" s="4"/>
      <c r="Z199" s="4"/>
      <c r="AA199" s="5"/>
      <c r="AB199" s="5"/>
      <c r="AC199" s="5"/>
      <c r="AD199" s="5"/>
      <c r="AE199" s="5"/>
    </row>
    <row r="200">
      <c r="A200" s="4" t="s">
        <v>481</v>
      </c>
      <c r="B200" s="4"/>
      <c r="C200" s="4" t="s">
        <v>435</v>
      </c>
      <c r="D200" s="4">
        <v>49992.0</v>
      </c>
      <c r="E200" s="4"/>
      <c r="F200" s="4" t="s">
        <v>149</v>
      </c>
      <c r="G200" s="4">
        <v>99.0</v>
      </c>
      <c r="H200" s="4"/>
      <c r="I200" s="4">
        <v>99.0</v>
      </c>
      <c r="J200" s="4" t="s">
        <v>482</v>
      </c>
      <c r="K200" s="4">
        <v>9.19833685223E11</v>
      </c>
      <c r="L200" s="4" t="s">
        <v>67</v>
      </c>
      <c r="M200" s="4" t="b">
        <v>0</v>
      </c>
      <c r="N200" s="4" t="s">
        <v>68</v>
      </c>
      <c r="O200" s="4" t="s">
        <v>69</v>
      </c>
      <c r="P200" s="6">
        <v>44305.827048611114</v>
      </c>
      <c r="Q200" s="4">
        <v>17005.0</v>
      </c>
      <c r="R200" s="4"/>
      <c r="S200" s="4"/>
      <c r="T200" s="4"/>
      <c r="U200" s="7"/>
      <c r="V200" s="4"/>
      <c r="W200" s="4"/>
      <c r="X200" s="4"/>
      <c r="Y200" s="4"/>
      <c r="Z200" s="4"/>
      <c r="AA200" s="5"/>
      <c r="AB200" s="5"/>
      <c r="AC200" s="5"/>
      <c r="AD200" s="5"/>
      <c r="AE200" s="5"/>
    </row>
    <row r="201">
      <c r="A201" s="4" t="s">
        <v>483</v>
      </c>
      <c r="B201" s="4"/>
      <c r="C201" s="4" t="s">
        <v>376</v>
      </c>
      <c r="D201" s="4">
        <v>49963.0</v>
      </c>
      <c r="E201" s="4"/>
      <c r="F201" s="4" t="s">
        <v>85</v>
      </c>
      <c r="G201" s="4">
        <v>99.0</v>
      </c>
      <c r="H201" s="4"/>
      <c r="I201" s="4">
        <v>99.0</v>
      </c>
      <c r="J201" s="4" t="s">
        <v>484</v>
      </c>
      <c r="K201" s="4">
        <v>9.19560697672E11</v>
      </c>
      <c r="L201" s="4" t="s">
        <v>67</v>
      </c>
      <c r="M201" s="4" t="b">
        <v>0</v>
      </c>
      <c r="N201" s="4" t="s">
        <v>68</v>
      </c>
      <c r="O201" s="4" t="s">
        <v>69</v>
      </c>
      <c r="P201" s="6">
        <v>44278.999074074076</v>
      </c>
      <c r="Q201" s="4" t="s">
        <v>83</v>
      </c>
      <c r="R201" s="4"/>
      <c r="S201" s="4"/>
      <c r="T201" s="4"/>
      <c r="U201" s="7"/>
      <c r="V201" s="4"/>
      <c r="W201" s="4"/>
      <c r="X201" s="4"/>
      <c r="Y201" s="4"/>
      <c r="Z201" s="4"/>
      <c r="AA201" s="5"/>
      <c r="AB201" s="5"/>
      <c r="AC201" s="5"/>
      <c r="AD201" s="5"/>
      <c r="AE201" s="5"/>
    </row>
    <row r="202">
      <c r="A202" s="4" t="s">
        <v>485</v>
      </c>
      <c r="B202" s="4"/>
      <c r="C202" s="4" t="s">
        <v>181</v>
      </c>
      <c r="D202" s="4">
        <v>49864.0</v>
      </c>
      <c r="E202" s="4"/>
      <c r="F202" s="4" t="s">
        <v>149</v>
      </c>
      <c r="G202" s="4">
        <v>99.0</v>
      </c>
      <c r="H202" s="4"/>
      <c r="I202" s="4">
        <v>99.0</v>
      </c>
      <c r="J202" s="4" t="s">
        <v>486</v>
      </c>
      <c r="K202" s="4">
        <v>9.19049130882E11</v>
      </c>
      <c r="L202" s="4" t="s">
        <v>67</v>
      </c>
      <c r="M202" s="4" t="b">
        <v>0</v>
      </c>
      <c r="N202" s="4" t="s">
        <v>68</v>
      </c>
      <c r="O202" s="4" t="s">
        <v>69</v>
      </c>
      <c r="P202" s="6">
        <v>44290.90225694444</v>
      </c>
      <c r="Q202" s="4">
        <v>16665.0</v>
      </c>
      <c r="R202" s="4"/>
      <c r="S202" s="4"/>
      <c r="T202" s="4"/>
      <c r="U202" s="7"/>
      <c r="V202" s="4"/>
      <c r="W202" s="4"/>
      <c r="X202" s="4"/>
      <c r="Y202" s="4"/>
      <c r="Z202" s="4"/>
      <c r="AA202" s="5"/>
      <c r="AB202" s="5"/>
      <c r="AC202" s="5"/>
      <c r="AD202" s="5"/>
      <c r="AE202" s="5"/>
    </row>
    <row r="203">
      <c r="A203" s="4" t="s">
        <v>487</v>
      </c>
      <c r="B203" s="4"/>
      <c r="C203" s="4" t="s">
        <v>435</v>
      </c>
      <c r="D203" s="4">
        <v>49992.0</v>
      </c>
      <c r="E203" s="4"/>
      <c r="F203" s="4" t="s">
        <v>149</v>
      </c>
      <c r="G203" s="4">
        <v>99.0</v>
      </c>
      <c r="H203" s="4"/>
      <c r="I203" s="4">
        <v>99.0</v>
      </c>
      <c r="J203" s="4" t="s">
        <v>488</v>
      </c>
      <c r="K203" s="4">
        <v>9.19819519293E11</v>
      </c>
      <c r="L203" s="4" t="s">
        <v>67</v>
      </c>
      <c r="M203" s="4" t="b">
        <v>0</v>
      </c>
      <c r="N203" s="4" t="s">
        <v>68</v>
      </c>
      <c r="O203" s="4" t="s">
        <v>69</v>
      </c>
      <c r="P203" s="6">
        <v>44305.94001157407</v>
      </c>
      <c r="Q203" s="4">
        <v>17035.0</v>
      </c>
      <c r="R203" s="4"/>
      <c r="S203" s="4"/>
      <c r="T203" s="4"/>
      <c r="U203" s="7"/>
      <c r="V203" s="4"/>
      <c r="W203" s="4"/>
      <c r="X203" s="4"/>
      <c r="Y203" s="4"/>
      <c r="Z203" s="4"/>
      <c r="AA203" s="5"/>
      <c r="AB203" s="5"/>
      <c r="AC203" s="5"/>
      <c r="AD203" s="5"/>
      <c r="AE203" s="5"/>
    </row>
    <row r="204">
      <c r="A204" s="4" t="s">
        <v>489</v>
      </c>
      <c r="B204" s="4"/>
      <c r="C204" s="4" t="s">
        <v>435</v>
      </c>
      <c r="D204" s="4">
        <v>49992.0</v>
      </c>
      <c r="E204" s="4"/>
      <c r="F204" s="4" t="s">
        <v>149</v>
      </c>
      <c r="G204" s="4">
        <v>99.0</v>
      </c>
      <c r="H204" s="4"/>
      <c r="I204" s="4">
        <v>99.0</v>
      </c>
      <c r="J204" s="4" t="s">
        <v>490</v>
      </c>
      <c r="K204" s="4">
        <v>9.1983908066E11</v>
      </c>
      <c r="L204" s="4" t="s">
        <v>67</v>
      </c>
      <c r="M204" s="4" t="b">
        <v>0</v>
      </c>
      <c r="N204" s="4" t="s">
        <v>68</v>
      </c>
      <c r="O204" s="4" t="s">
        <v>69</v>
      </c>
      <c r="P204" s="6">
        <v>44306.274513888886</v>
      </c>
      <c r="Q204" s="4">
        <v>17055.0</v>
      </c>
      <c r="R204" s="4"/>
      <c r="S204" s="4"/>
      <c r="T204" s="4"/>
      <c r="U204" s="7"/>
      <c r="V204" s="4"/>
      <c r="W204" s="4"/>
      <c r="X204" s="4"/>
      <c r="Y204" s="4"/>
      <c r="Z204" s="4"/>
      <c r="AA204" s="5"/>
      <c r="AB204" s="5"/>
      <c r="AC204" s="5"/>
      <c r="AD204" s="5"/>
      <c r="AE204" s="5"/>
    </row>
    <row r="205">
      <c r="A205" s="4" t="s">
        <v>491</v>
      </c>
      <c r="B205" s="4"/>
      <c r="C205" s="4" t="s">
        <v>435</v>
      </c>
      <c r="D205" s="4">
        <v>49992.0</v>
      </c>
      <c r="E205" s="4"/>
      <c r="F205" s="4" t="s">
        <v>149</v>
      </c>
      <c r="G205" s="4">
        <v>99.0</v>
      </c>
      <c r="H205" s="4"/>
      <c r="I205" s="4">
        <v>99.0</v>
      </c>
      <c r="J205" s="4" t="s">
        <v>492</v>
      </c>
      <c r="K205" s="4">
        <v>9.18848253731E11</v>
      </c>
      <c r="L205" s="4" t="s">
        <v>67</v>
      </c>
      <c r="M205" s="4" t="b">
        <v>0</v>
      </c>
      <c r="N205" s="4" t="s">
        <v>68</v>
      </c>
      <c r="O205" s="4" t="s">
        <v>69</v>
      </c>
      <c r="P205" s="6">
        <v>44306.998136574075</v>
      </c>
      <c r="Q205" s="4">
        <v>17052.0</v>
      </c>
      <c r="R205" s="4"/>
      <c r="S205" s="4"/>
      <c r="T205" s="4"/>
      <c r="U205" s="7"/>
      <c r="V205" s="4"/>
      <c r="W205" s="4"/>
      <c r="X205" s="4"/>
      <c r="Y205" s="4"/>
      <c r="Z205" s="4"/>
      <c r="AA205" s="5"/>
      <c r="AB205" s="5"/>
      <c r="AC205" s="5"/>
      <c r="AD205" s="5"/>
      <c r="AE205" s="5"/>
    </row>
    <row r="206">
      <c r="A206" s="4" t="s">
        <v>493</v>
      </c>
      <c r="B206" s="4"/>
      <c r="C206" s="4" t="s">
        <v>181</v>
      </c>
      <c r="D206" s="4">
        <v>49864.0</v>
      </c>
      <c r="E206" s="4"/>
      <c r="F206" s="4" t="s">
        <v>149</v>
      </c>
      <c r="G206" s="4">
        <v>99.0</v>
      </c>
      <c r="H206" s="4"/>
      <c r="I206" s="4">
        <v>99.0</v>
      </c>
      <c r="J206" s="4" t="s">
        <v>494</v>
      </c>
      <c r="K206" s="4">
        <v>9.19880351574E11</v>
      </c>
      <c r="L206" s="4" t="s">
        <v>67</v>
      </c>
      <c r="M206" s="4" t="b">
        <v>0</v>
      </c>
      <c r="N206" s="4" t="s">
        <v>68</v>
      </c>
      <c r="O206" s="4" t="s">
        <v>69</v>
      </c>
      <c r="P206" s="6">
        <v>44290.91354166667</v>
      </c>
      <c r="Q206" s="4">
        <v>16983.0</v>
      </c>
      <c r="R206" s="4"/>
      <c r="S206" s="4"/>
      <c r="T206" s="4"/>
      <c r="U206" s="7"/>
      <c r="V206" s="4"/>
      <c r="W206" s="4"/>
      <c r="X206" s="4"/>
      <c r="Y206" s="4"/>
      <c r="Z206" s="4"/>
      <c r="AA206" s="5"/>
      <c r="AB206" s="5"/>
      <c r="AC206" s="5"/>
      <c r="AD206" s="5"/>
      <c r="AE206" s="5"/>
    </row>
    <row r="207">
      <c r="A207" s="4" t="s">
        <v>495</v>
      </c>
      <c r="B207" s="4"/>
      <c r="C207" s="4" t="s">
        <v>280</v>
      </c>
      <c r="D207" s="4">
        <v>49877.0</v>
      </c>
      <c r="E207" s="4"/>
      <c r="F207" s="4" t="s">
        <v>85</v>
      </c>
      <c r="G207" s="4">
        <v>99.0</v>
      </c>
      <c r="H207" s="4"/>
      <c r="I207" s="4">
        <v>99.0</v>
      </c>
      <c r="J207" s="4" t="s">
        <v>496</v>
      </c>
      <c r="K207" s="4">
        <v>9.18305555835E11</v>
      </c>
      <c r="L207" s="4" t="s">
        <v>67</v>
      </c>
      <c r="M207" s="4" t="b">
        <v>0</v>
      </c>
      <c r="N207" s="4" t="s">
        <v>68</v>
      </c>
      <c r="O207" s="4" t="s">
        <v>69</v>
      </c>
      <c r="P207" s="6">
        <v>44279.47592592592</v>
      </c>
      <c r="Q207" s="4">
        <v>16461.0</v>
      </c>
      <c r="R207" s="4"/>
      <c r="S207" s="4"/>
      <c r="T207" s="4"/>
      <c r="U207" s="7"/>
      <c r="V207" s="4"/>
      <c r="W207" s="4"/>
      <c r="X207" s="4"/>
      <c r="Y207" s="4"/>
      <c r="Z207" s="4"/>
      <c r="AA207" s="5"/>
      <c r="AB207" s="5"/>
      <c r="AC207" s="5"/>
      <c r="AD207" s="5"/>
      <c r="AE207" s="5"/>
    </row>
    <row r="208">
      <c r="A208" s="4" t="s">
        <v>497</v>
      </c>
      <c r="B208" s="4"/>
      <c r="C208" s="4" t="s">
        <v>76</v>
      </c>
      <c r="D208" s="4">
        <v>49834.0</v>
      </c>
      <c r="E208" s="4"/>
      <c r="F208" s="4" t="s">
        <v>85</v>
      </c>
      <c r="G208" s="4">
        <v>299.0</v>
      </c>
      <c r="H208" s="4"/>
      <c r="I208" s="4">
        <v>299.0</v>
      </c>
      <c r="J208" s="4" t="s">
        <v>498</v>
      </c>
      <c r="K208" s="4">
        <v>9.19619908277E11</v>
      </c>
      <c r="L208" s="4" t="s">
        <v>67</v>
      </c>
      <c r="M208" s="4" t="b">
        <v>0</v>
      </c>
      <c r="N208" s="4" t="s">
        <v>68</v>
      </c>
      <c r="O208" s="4" t="s">
        <v>69</v>
      </c>
      <c r="P208" s="6">
        <v>44279.47902777778</v>
      </c>
      <c r="Q208" s="4">
        <v>16456.0</v>
      </c>
      <c r="R208" s="4"/>
      <c r="S208" s="4"/>
      <c r="T208" s="4"/>
      <c r="U208" s="7"/>
      <c r="V208" s="4"/>
      <c r="W208" s="4"/>
      <c r="X208" s="4"/>
      <c r="Y208" s="4"/>
      <c r="Z208" s="4"/>
      <c r="AA208" s="5"/>
      <c r="AB208" s="5"/>
      <c r="AC208" s="5"/>
      <c r="AD208" s="5"/>
      <c r="AE208" s="5"/>
    </row>
    <row r="209">
      <c r="A209" s="4" t="s">
        <v>499</v>
      </c>
      <c r="B209" s="4"/>
      <c r="C209" s="4" t="s">
        <v>245</v>
      </c>
      <c r="D209" s="4">
        <v>49962.0</v>
      </c>
      <c r="E209" s="4"/>
      <c r="F209" s="4" t="s">
        <v>85</v>
      </c>
      <c r="G209" s="4">
        <v>99.0</v>
      </c>
      <c r="H209" s="4"/>
      <c r="I209" s="4">
        <v>99.0</v>
      </c>
      <c r="J209" s="4" t="s">
        <v>500</v>
      </c>
      <c r="K209" s="4">
        <v>9.19092994666E11</v>
      </c>
      <c r="L209" s="4" t="s">
        <v>67</v>
      </c>
      <c r="M209" s="4" t="b">
        <v>0</v>
      </c>
      <c r="N209" s="4" t="s">
        <v>97</v>
      </c>
      <c r="O209" s="4" t="s">
        <v>69</v>
      </c>
      <c r="P209" s="6">
        <v>44279.4841087963</v>
      </c>
      <c r="Q209" s="4" t="s">
        <v>83</v>
      </c>
      <c r="R209" s="4"/>
      <c r="S209" s="4"/>
      <c r="T209" s="4"/>
      <c r="U209" s="7"/>
      <c r="V209" s="4"/>
      <c r="W209" s="4"/>
      <c r="X209" s="4"/>
      <c r="Y209" s="4"/>
      <c r="Z209" s="4"/>
      <c r="AA209" s="5"/>
      <c r="AB209" s="5"/>
      <c r="AC209" s="5"/>
      <c r="AD209" s="5"/>
      <c r="AE209" s="5"/>
    </row>
    <row r="210">
      <c r="A210" s="4" t="s">
        <v>501</v>
      </c>
      <c r="B210" s="4"/>
      <c r="C210" s="4" t="s">
        <v>184</v>
      </c>
      <c r="D210" s="4">
        <v>49833.0</v>
      </c>
      <c r="E210" s="4"/>
      <c r="F210" s="4" t="s">
        <v>85</v>
      </c>
      <c r="G210" s="4">
        <v>99.0</v>
      </c>
      <c r="H210" s="4"/>
      <c r="I210" s="4">
        <v>99.0</v>
      </c>
      <c r="J210" s="4" t="s">
        <v>502</v>
      </c>
      <c r="K210" s="4">
        <v>9.16282875819E11</v>
      </c>
      <c r="L210" s="4" t="s">
        <v>67</v>
      </c>
      <c r="M210" s="4" t="b">
        <v>0</v>
      </c>
      <c r="N210" s="4" t="s">
        <v>68</v>
      </c>
      <c r="O210" s="4" t="s">
        <v>69</v>
      </c>
      <c r="P210" s="6">
        <v>44279.55262731481</v>
      </c>
      <c r="Q210" s="4" t="s">
        <v>83</v>
      </c>
      <c r="R210" s="4"/>
      <c r="S210" s="4"/>
      <c r="T210" s="4"/>
      <c r="U210" s="7"/>
      <c r="V210" s="4"/>
      <c r="W210" s="4"/>
      <c r="X210" s="4"/>
      <c r="Y210" s="4"/>
      <c r="Z210" s="4"/>
      <c r="AA210" s="5"/>
      <c r="AB210" s="5"/>
      <c r="AC210" s="5"/>
      <c r="AD210" s="5"/>
      <c r="AE210" s="5"/>
    </row>
    <row r="211">
      <c r="A211" s="4" t="s">
        <v>503</v>
      </c>
      <c r="B211" s="4"/>
      <c r="C211" s="4" t="s">
        <v>245</v>
      </c>
      <c r="D211" s="4">
        <v>49962.0</v>
      </c>
      <c r="E211" s="4"/>
      <c r="F211" s="4" t="s">
        <v>85</v>
      </c>
      <c r="G211" s="4">
        <v>99.0</v>
      </c>
      <c r="H211" s="4"/>
      <c r="I211" s="4">
        <v>99.0</v>
      </c>
      <c r="J211" s="4" t="s">
        <v>504</v>
      </c>
      <c r="K211" s="4">
        <v>9.19892454854E11</v>
      </c>
      <c r="L211" s="4" t="s">
        <v>67</v>
      </c>
      <c r="M211" s="4" t="b">
        <v>0</v>
      </c>
      <c r="N211" s="4" t="s">
        <v>68</v>
      </c>
      <c r="O211" s="4" t="s">
        <v>69</v>
      </c>
      <c r="P211" s="6">
        <v>44279.56251157408</v>
      </c>
      <c r="Q211" s="4" t="s">
        <v>83</v>
      </c>
      <c r="R211" s="4"/>
      <c r="S211" s="4"/>
      <c r="T211" s="4"/>
      <c r="U211" s="7"/>
      <c r="V211" s="4"/>
      <c r="W211" s="4"/>
      <c r="X211" s="4"/>
      <c r="Y211" s="4"/>
      <c r="Z211" s="4"/>
      <c r="AA211" s="5"/>
      <c r="AB211" s="5"/>
      <c r="AC211" s="5"/>
      <c r="AD211" s="5"/>
      <c r="AE211" s="5"/>
    </row>
    <row r="212">
      <c r="A212" s="4" t="s">
        <v>505</v>
      </c>
      <c r="B212" s="4"/>
      <c r="C212" s="4" t="s">
        <v>184</v>
      </c>
      <c r="D212" s="4">
        <v>49833.0</v>
      </c>
      <c r="E212" s="4"/>
      <c r="F212" s="4" t="s">
        <v>85</v>
      </c>
      <c r="G212" s="4">
        <v>99.0</v>
      </c>
      <c r="H212" s="4"/>
      <c r="I212" s="4">
        <v>99.0</v>
      </c>
      <c r="J212" s="4" t="s">
        <v>506</v>
      </c>
      <c r="K212" s="4">
        <v>9.19110350256E11</v>
      </c>
      <c r="L212" s="4" t="s">
        <v>67</v>
      </c>
      <c r="M212" s="4" t="b">
        <v>0</v>
      </c>
      <c r="N212" s="4" t="s">
        <v>68</v>
      </c>
      <c r="O212" s="4" t="s">
        <v>69</v>
      </c>
      <c r="P212" s="6">
        <v>44279.56387731482</v>
      </c>
      <c r="Q212" s="4">
        <v>16502.0</v>
      </c>
      <c r="R212" s="4"/>
      <c r="S212" s="4"/>
      <c r="T212" s="4"/>
      <c r="U212" s="7"/>
      <c r="V212" s="4"/>
      <c r="W212" s="4"/>
      <c r="X212" s="4"/>
      <c r="Y212" s="4"/>
      <c r="Z212" s="4"/>
      <c r="AA212" s="5"/>
      <c r="AB212" s="5"/>
      <c r="AC212" s="5"/>
      <c r="AD212" s="5"/>
      <c r="AE212" s="5"/>
    </row>
    <row r="213">
      <c r="A213" s="4" t="s">
        <v>507</v>
      </c>
      <c r="B213" s="4"/>
      <c r="C213" s="4" t="s">
        <v>181</v>
      </c>
      <c r="D213" s="4">
        <v>49864.0</v>
      </c>
      <c r="E213" s="4"/>
      <c r="F213" s="4" t="s">
        <v>149</v>
      </c>
      <c r="G213" s="4">
        <v>99.0</v>
      </c>
      <c r="H213" s="4"/>
      <c r="I213" s="4">
        <v>99.0</v>
      </c>
      <c r="J213" s="4" t="s">
        <v>508</v>
      </c>
      <c r="K213" s="4">
        <v>9.1707582584E11</v>
      </c>
      <c r="L213" s="4" t="s">
        <v>67</v>
      </c>
      <c r="M213" s="4" t="b">
        <v>0</v>
      </c>
      <c r="N213" s="4" t="s">
        <v>74</v>
      </c>
      <c r="O213" s="4" t="s">
        <v>69</v>
      </c>
      <c r="P213" s="6">
        <v>44291.05100694444</v>
      </c>
      <c r="Q213" s="4">
        <v>16666.0</v>
      </c>
      <c r="R213" s="4"/>
      <c r="S213" s="4"/>
      <c r="T213" s="4"/>
      <c r="U213" s="7"/>
      <c r="V213" s="4"/>
      <c r="W213" s="4"/>
      <c r="X213" s="4"/>
      <c r="Y213" s="4"/>
      <c r="Z213" s="4"/>
      <c r="AA213" s="5"/>
      <c r="AB213" s="5"/>
      <c r="AC213" s="5"/>
      <c r="AD213" s="5"/>
      <c r="AE213" s="5"/>
    </row>
    <row r="214">
      <c r="A214" s="4" t="s">
        <v>509</v>
      </c>
      <c r="B214" s="4"/>
      <c r="C214" s="4" t="s">
        <v>435</v>
      </c>
      <c r="D214" s="4">
        <v>49992.0</v>
      </c>
      <c r="E214" s="4"/>
      <c r="F214" s="4" t="s">
        <v>149</v>
      </c>
      <c r="G214" s="4">
        <v>99.0</v>
      </c>
      <c r="H214" s="4"/>
      <c r="I214" s="4">
        <v>99.0</v>
      </c>
      <c r="J214" s="4" t="s">
        <v>510</v>
      </c>
      <c r="K214" s="4">
        <v>9.19501244707E11</v>
      </c>
      <c r="L214" s="4" t="s">
        <v>67</v>
      </c>
      <c r="M214" s="4" t="b">
        <v>0</v>
      </c>
      <c r="N214" s="4" t="s">
        <v>68</v>
      </c>
      <c r="O214" s="4" t="s">
        <v>69</v>
      </c>
      <c r="P214" s="6">
        <v>44307.016377314816</v>
      </c>
      <c r="Q214" s="4">
        <v>17053.0</v>
      </c>
      <c r="R214" s="4"/>
      <c r="S214" s="4"/>
      <c r="T214" s="4"/>
      <c r="U214" s="7"/>
      <c r="V214" s="4"/>
      <c r="W214" s="4"/>
      <c r="X214" s="4"/>
      <c r="Y214" s="4"/>
      <c r="Z214" s="4"/>
      <c r="AA214" s="5"/>
      <c r="AB214" s="5"/>
      <c r="AC214" s="5"/>
      <c r="AD214" s="5"/>
      <c r="AE214" s="5"/>
    </row>
    <row r="215">
      <c r="A215" s="4" t="s">
        <v>511</v>
      </c>
      <c r="B215" s="4"/>
      <c r="C215" s="4" t="s">
        <v>435</v>
      </c>
      <c r="D215" s="4">
        <v>49992.0</v>
      </c>
      <c r="E215" s="4"/>
      <c r="F215" s="4" t="s">
        <v>149</v>
      </c>
      <c r="G215" s="4">
        <v>99.0</v>
      </c>
      <c r="H215" s="4"/>
      <c r="I215" s="4">
        <v>99.0</v>
      </c>
      <c r="J215" s="4" t="s">
        <v>512</v>
      </c>
      <c r="K215" s="4">
        <v>9.18296330673E11</v>
      </c>
      <c r="L215" s="4" t="s">
        <v>67</v>
      </c>
      <c r="M215" s="4" t="b">
        <v>0</v>
      </c>
      <c r="N215" s="4" t="s">
        <v>68</v>
      </c>
      <c r="O215" s="4" t="s">
        <v>69</v>
      </c>
      <c r="P215" s="6">
        <v>44307.37982638889</v>
      </c>
      <c r="Q215" s="4">
        <v>17057.0</v>
      </c>
      <c r="R215" s="4"/>
      <c r="S215" s="4"/>
      <c r="T215" s="4"/>
      <c r="U215" s="7"/>
      <c r="V215" s="4"/>
      <c r="W215" s="4"/>
      <c r="X215" s="4"/>
      <c r="Y215" s="4"/>
      <c r="Z215" s="4"/>
      <c r="AA215" s="5"/>
      <c r="AB215" s="5"/>
      <c r="AC215" s="5"/>
      <c r="AD215" s="5"/>
      <c r="AE215" s="5"/>
    </row>
    <row r="216">
      <c r="A216" s="4" t="s">
        <v>513</v>
      </c>
      <c r="B216" s="4"/>
      <c r="C216" s="4" t="s">
        <v>76</v>
      </c>
      <c r="D216" s="4">
        <v>49834.0</v>
      </c>
      <c r="E216" s="4"/>
      <c r="F216" s="4" t="s">
        <v>77</v>
      </c>
      <c r="G216" s="4">
        <v>499.0</v>
      </c>
      <c r="H216" s="4"/>
      <c r="I216" s="4">
        <v>499.0</v>
      </c>
      <c r="J216" s="4" t="s">
        <v>514</v>
      </c>
      <c r="K216" s="4">
        <v>9.18240981705E11</v>
      </c>
      <c r="L216" s="4" t="s">
        <v>67</v>
      </c>
      <c r="M216" s="4" t="b">
        <v>0</v>
      </c>
      <c r="N216" s="4" t="s">
        <v>68</v>
      </c>
      <c r="O216" s="4" t="s">
        <v>69</v>
      </c>
      <c r="P216" s="6">
        <v>44279.86329861111</v>
      </c>
      <c r="Q216" s="4">
        <v>16489.0</v>
      </c>
      <c r="R216" s="4"/>
      <c r="S216" s="4"/>
      <c r="T216" s="4"/>
      <c r="U216" s="7"/>
      <c r="V216" s="4"/>
      <c r="W216" s="4"/>
      <c r="X216" s="4"/>
      <c r="Y216" s="4"/>
      <c r="Z216" s="4"/>
      <c r="AA216" s="5"/>
      <c r="AB216" s="5"/>
      <c r="AC216" s="5"/>
      <c r="AD216" s="5"/>
      <c r="AE216" s="5"/>
    </row>
    <row r="217">
      <c r="A217" s="4" t="s">
        <v>515</v>
      </c>
      <c r="B217" s="4"/>
      <c r="C217" s="4" t="s">
        <v>435</v>
      </c>
      <c r="D217" s="4">
        <v>49992.0</v>
      </c>
      <c r="E217" s="4"/>
      <c r="F217" s="4" t="s">
        <v>85</v>
      </c>
      <c r="G217" s="4">
        <v>199.0</v>
      </c>
      <c r="H217" s="4"/>
      <c r="I217" s="4">
        <v>199.0</v>
      </c>
      <c r="J217" s="4" t="s">
        <v>516</v>
      </c>
      <c r="K217" s="4">
        <v>9.19910618845E11</v>
      </c>
      <c r="L217" s="4" t="s">
        <v>67</v>
      </c>
      <c r="M217" s="4" t="b">
        <v>0</v>
      </c>
      <c r="N217" s="4" t="s">
        <v>68</v>
      </c>
      <c r="O217" s="4" t="s">
        <v>69</v>
      </c>
      <c r="P217" s="6">
        <v>44307.61188657407</v>
      </c>
      <c r="Q217" s="4">
        <v>17074.0</v>
      </c>
      <c r="R217" s="4"/>
      <c r="S217" s="4"/>
      <c r="T217" s="4"/>
      <c r="U217" s="7"/>
      <c r="V217" s="4"/>
      <c r="W217" s="4"/>
      <c r="X217" s="4"/>
      <c r="Y217" s="4"/>
      <c r="Z217" s="4"/>
      <c r="AA217" s="5"/>
      <c r="AB217" s="5"/>
      <c r="AC217" s="5"/>
      <c r="AD217" s="5"/>
      <c r="AE217" s="5"/>
    </row>
    <row r="218">
      <c r="A218" s="4" t="s">
        <v>517</v>
      </c>
      <c r="B218" s="4"/>
      <c r="C218" s="4" t="s">
        <v>184</v>
      </c>
      <c r="D218" s="4">
        <v>49833.0</v>
      </c>
      <c r="E218" s="4"/>
      <c r="F218" s="4" t="s">
        <v>85</v>
      </c>
      <c r="G218" s="4">
        <v>99.0</v>
      </c>
      <c r="H218" s="4"/>
      <c r="I218" s="4">
        <v>99.0</v>
      </c>
      <c r="J218" s="4" t="s">
        <v>518</v>
      </c>
      <c r="K218" s="4">
        <v>9.18946071126E11</v>
      </c>
      <c r="L218" s="4" t="s">
        <v>67</v>
      </c>
      <c r="M218" s="4" t="b">
        <v>0</v>
      </c>
      <c r="N218" s="4" t="s">
        <v>68</v>
      </c>
      <c r="O218" s="4" t="s">
        <v>69</v>
      </c>
      <c r="P218" s="6">
        <v>44279.87384259259</v>
      </c>
      <c r="Q218" s="4">
        <v>16481.0</v>
      </c>
      <c r="R218" s="4"/>
      <c r="S218" s="4"/>
      <c r="T218" s="4"/>
      <c r="U218" s="7"/>
      <c r="V218" s="4"/>
      <c r="W218" s="4"/>
      <c r="X218" s="4"/>
      <c r="Y218" s="4"/>
      <c r="Z218" s="4"/>
      <c r="AA218" s="5"/>
      <c r="AB218" s="5"/>
      <c r="AC218" s="5"/>
      <c r="AD218" s="5"/>
      <c r="AE218" s="5"/>
    </row>
    <row r="219">
      <c r="A219" s="4" t="s">
        <v>519</v>
      </c>
      <c r="B219" s="4"/>
      <c r="C219" s="4" t="s">
        <v>181</v>
      </c>
      <c r="D219" s="4">
        <v>49864.0</v>
      </c>
      <c r="E219" s="4"/>
      <c r="F219" s="4" t="s">
        <v>149</v>
      </c>
      <c r="G219" s="4">
        <v>99.0</v>
      </c>
      <c r="H219" s="4"/>
      <c r="I219" s="4">
        <v>99.0</v>
      </c>
      <c r="J219" s="4" t="s">
        <v>520</v>
      </c>
      <c r="K219" s="4">
        <v>9.1987155357E11</v>
      </c>
      <c r="L219" s="4" t="s">
        <v>67</v>
      </c>
      <c r="M219" s="4" t="b">
        <v>0</v>
      </c>
      <c r="N219" s="4" t="s">
        <v>97</v>
      </c>
      <c r="O219" s="4" t="s">
        <v>69</v>
      </c>
      <c r="P219" s="6">
        <v>44291.94940972222</v>
      </c>
      <c r="Q219" s="4" t="s">
        <v>83</v>
      </c>
      <c r="R219" s="4"/>
      <c r="S219" s="4"/>
      <c r="T219" s="4"/>
      <c r="U219" s="7"/>
      <c r="V219" s="4"/>
      <c r="W219" s="4"/>
      <c r="X219" s="4"/>
      <c r="Y219" s="4"/>
      <c r="Z219" s="4"/>
      <c r="AA219" s="5"/>
      <c r="AB219" s="5"/>
      <c r="AC219" s="5"/>
      <c r="AD219" s="5"/>
      <c r="AE219" s="5"/>
    </row>
    <row r="220">
      <c r="A220" s="4" t="s">
        <v>521</v>
      </c>
      <c r="B220" s="4"/>
      <c r="C220" s="4" t="s">
        <v>435</v>
      </c>
      <c r="D220" s="4">
        <v>49992.0</v>
      </c>
      <c r="E220" s="4"/>
      <c r="F220" s="4" t="s">
        <v>149</v>
      </c>
      <c r="G220" s="4">
        <v>99.0</v>
      </c>
      <c r="H220" s="4"/>
      <c r="I220" s="4">
        <v>99.0</v>
      </c>
      <c r="J220" s="4" t="s">
        <v>522</v>
      </c>
      <c r="K220" s="4">
        <v>9.17992428426E11</v>
      </c>
      <c r="L220" s="4" t="s">
        <v>67</v>
      </c>
      <c r="M220" s="4" t="b">
        <v>0</v>
      </c>
      <c r="N220" s="4" t="s">
        <v>151</v>
      </c>
      <c r="O220" s="4" t="s">
        <v>69</v>
      </c>
      <c r="P220" s="6">
        <v>44308.555497685185</v>
      </c>
      <c r="Q220" s="4" t="s">
        <v>83</v>
      </c>
      <c r="R220" s="4"/>
      <c r="S220" s="4"/>
      <c r="T220" s="4"/>
      <c r="U220" s="7"/>
      <c r="V220" s="4"/>
      <c r="W220" s="4"/>
      <c r="X220" s="4"/>
      <c r="Y220" s="4"/>
      <c r="Z220" s="4"/>
      <c r="AA220" s="5"/>
      <c r="AB220" s="5"/>
      <c r="AC220" s="5"/>
      <c r="AD220" s="5"/>
      <c r="AE220" s="5"/>
    </row>
    <row r="221">
      <c r="A221" s="4" t="s">
        <v>523</v>
      </c>
      <c r="B221" s="4"/>
      <c r="C221" s="4" t="s">
        <v>184</v>
      </c>
      <c r="D221" s="4">
        <v>49833.0</v>
      </c>
      <c r="E221" s="4"/>
      <c r="F221" s="4" t="s">
        <v>85</v>
      </c>
      <c r="G221" s="4">
        <v>99.0</v>
      </c>
      <c r="H221" s="4"/>
      <c r="I221" s="4">
        <v>99.0</v>
      </c>
      <c r="J221" s="4" t="s">
        <v>524</v>
      </c>
      <c r="K221" s="4">
        <v>9.19927578255E11</v>
      </c>
      <c r="L221" s="4" t="s">
        <v>67</v>
      </c>
      <c r="M221" s="4" t="b">
        <v>0</v>
      </c>
      <c r="N221" s="4" t="s">
        <v>74</v>
      </c>
      <c r="O221" s="4" t="s">
        <v>69</v>
      </c>
      <c r="P221" s="6">
        <v>44279.946863425925</v>
      </c>
      <c r="Q221" s="4">
        <v>16719.0</v>
      </c>
      <c r="R221" s="4"/>
      <c r="S221" s="4"/>
      <c r="T221" s="4"/>
      <c r="U221" s="7"/>
      <c r="V221" s="4"/>
      <c r="W221" s="4"/>
      <c r="X221" s="4"/>
      <c r="Y221" s="4"/>
      <c r="Z221" s="4"/>
      <c r="AA221" s="5"/>
      <c r="AB221" s="5"/>
      <c r="AC221" s="5"/>
      <c r="AD221" s="5"/>
      <c r="AE221" s="5"/>
    </row>
    <row r="222">
      <c r="A222" s="4" t="s">
        <v>525</v>
      </c>
      <c r="B222" s="4"/>
      <c r="C222" s="4" t="s">
        <v>181</v>
      </c>
      <c r="D222" s="4">
        <v>49864.0</v>
      </c>
      <c r="E222" s="4"/>
      <c r="F222" s="4" t="s">
        <v>149</v>
      </c>
      <c r="G222" s="4">
        <v>99.0</v>
      </c>
      <c r="H222" s="4"/>
      <c r="I222" s="4">
        <v>99.0</v>
      </c>
      <c r="J222" s="4" t="s">
        <v>526</v>
      </c>
      <c r="K222" s="4">
        <v>9.17406266555E11</v>
      </c>
      <c r="L222" s="4" t="s">
        <v>67</v>
      </c>
      <c r="M222" s="4" t="b">
        <v>0</v>
      </c>
      <c r="N222" s="4" t="s">
        <v>68</v>
      </c>
      <c r="O222" s="4" t="s">
        <v>69</v>
      </c>
      <c r="P222" s="6">
        <v>44292.57518518518</v>
      </c>
      <c r="Q222" s="4">
        <v>17024.0</v>
      </c>
      <c r="R222" s="4"/>
      <c r="S222" s="4"/>
      <c r="T222" s="4"/>
      <c r="U222" s="7"/>
      <c r="V222" s="4"/>
      <c r="W222" s="4"/>
      <c r="X222" s="4"/>
      <c r="Y222" s="4"/>
      <c r="Z222" s="4"/>
      <c r="AA222" s="5"/>
      <c r="AB222" s="5"/>
      <c r="AC222" s="5"/>
      <c r="AD222" s="5"/>
      <c r="AE222" s="5"/>
    </row>
    <row r="223">
      <c r="A223" s="4" t="s">
        <v>527</v>
      </c>
      <c r="B223" s="4"/>
      <c r="C223" s="4" t="s">
        <v>181</v>
      </c>
      <c r="D223" s="4">
        <v>49864.0</v>
      </c>
      <c r="E223" s="4"/>
      <c r="F223" s="4" t="s">
        <v>149</v>
      </c>
      <c r="G223" s="4">
        <v>99.0</v>
      </c>
      <c r="H223" s="4"/>
      <c r="I223" s="4">
        <v>99.0</v>
      </c>
      <c r="J223" s="4" t="s">
        <v>528</v>
      </c>
      <c r="K223" s="4">
        <v>9.18766313736E11</v>
      </c>
      <c r="L223" s="4" t="s">
        <v>67</v>
      </c>
      <c r="M223" s="4" t="b">
        <v>0</v>
      </c>
      <c r="N223" s="4" t="s">
        <v>97</v>
      </c>
      <c r="O223" s="4" t="s">
        <v>69</v>
      </c>
      <c r="P223" s="6">
        <v>44292.711122685185</v>
      </c>
      <c r="Q223" s="4">
        <v>16832.0</v>
      </c>
      <c r="R223" s="4"/>
      <c r="S223" s="4"/>
      <c r="T223" s="4"/>
      <c r="U223" s="7"/>
      <c r="V223" s="4"/>
      <c r="W223" s="4"/>
      <c r="X223" s="4"/>
      <c r="Y223" s="4"/>
      <c r="Z223" s="4"/>
      <c r="AA223" s="5"/>
      <c r="AB223" s="5"/>
      <c r="AC223" s="5"/>
      <c r="AD223" s="5"/>
      <c r="AE223" s="5"/>
    </row>
    <row r="224">
      <c r="A224" s="4" t="s">
        <v>529</v>
      </c>
      <c r="B224" s="4"/>
      <c r="C224" s="4" t="s">
        <v>245</v>
      </c>
      <c r="D224" s="4">
        <v>49962.0</v>
      </c>
      <c r="E224" s="4"/>
      <c r="F224" s="4" t="s">
        <v>85</v>
      </c>
      <c r="G224" s="4">
        <v>99.0</v>
      </c>
      <c r="H224" s="4"/>
      <c r="I224" s="4">
        <v>99.0</v>
      </c>
      <c r="J224" s="4" t="s">
        <v>530</v>
      </c>
      <c r="K224" s="4">
        <v>9.19828882444E11</v>
      </c>
      <c r="L224" s="4" t="s">
        <v>67</v>
      </c>
      <c r="M224" s="4" t="b">
        <v>0</v>
      </c>
      <c r="N224" s="4" t="s">
        <v>68</v>
      </c>
      <c r="O224" s="4" t="s">
        <v>69</v>
      </c>
      <c r="P224" s="6">
        <v>44280.478414351855</v>
      </c>
      <c r="Q224" s="4" t="s">
        <v>83</v>
      </c>
      <c r="R224" s="4"/>
      <c r="S224" s="4"/>
      <c r="T224" s="4"/>
      <c r="U224" s="7"/>
      <c r="V224" s="4"/>
      <c r="W224" s="4"/>
      <c r="X224" s="4"/>
      <c r="Y224" s="4"/>
      <c r="Z224" s="4"/>
      <c r="AA224" s="5"/>
      <c r="AB224" s="5"/>
      <c r="AC224" s="5"/>
      <c r="AD224" s="5"/>
      <c r="AE224" s="5"/>
    </row>
    <row r="225">
      <c r="A225" s="4" t="s">
        <v>531</v>
      </c>
      <c r="B225" s="4"/>
      <c r="C225" s="4" t="s">
        <v>181</v>
      </c>
      <c r="D225" s="4">
        <v>49864.0</v>
      </c>
      <c r="E225" s="4"/>
      <c r="F225" s="4" t="s">
        <v>149</v>
      </c>
      <c r="G225" s="4">
        <v>99.0</v>
      </c>
      <c r="H225" s="4"/>
      <c r="I225" s="4">
        <v>99.0</v>
      </c>
      <c r="J225" s="4" t="s">
        <v>532</v>
      </c>
      <c r="K225" s="4">
        <v>9.19928066659E11</v>
      </c>
      <c r="L225" s="4" t="s">
        <v>67</v>
      </c>
      <c r="M225" s="4" t="b">
        <v>0</v>
      </c>
      <c r="N225" s="4" t="s">
        <v>68</v>
      </c>
      <c r="O225" s="4" t="s">
        <v>69</v>
      </c>
      <c r="P225" s="6">
        <v>44292.857777777775</v>
      </c>
      <c r="Q225" s="4">
        <v>16985.0</v>
      </c>
      <c r="R225" s="4"/>
      <c r="S225" s="4"/>
      <c r="T225" s="4"/>
      <c r="U225" s="7"/>
      <c r="V225" s="4"/>
      <c r="W225" s="4"/>
      <c r="X225" s="4"/>
      <c r="Y225" s="4"/>
      <c r="Z225" s="4"/>
      <c r="AA225" s="5"/>
      <c r="AB225" s="5"/>
      <c r="AC225" s="5"/>
      <c r="AD225" s="5"/>
      <c r="AE225" s="5"/>
    </row>
    <row r="226">
      <c r="A226" s="4" t="s">
        <v>533</v>
      </c>
      <c r="B226" s="4"/>
      <c r="C226" s="4" t="s">
        <v>181</v>
      </c>
      <c r="D226" s="4">
        <v>49864.0</v>
      </c>
      <c r="E226" s="4"/>
      <c r="F226" s="4" t="s">
        <v>149</v>
      </c>
      <c r="G226" s="4">
        <v>99.0</v>
      </c>
      <c r="H226" s="4"/>
      <c r="I226" s="4">
        <v>99.0</v>
      </c>
      <c r="J226" s="4" t="s">
        <v>534</v>
      </c>
      <c r="K226" s="4">
        <v>9.1996158784E11</v>
      </c>
      <c r="L226" s="4" t="s">
        <v>67</v>
      </c>
      <c r="M226" s="4" t="b">
        <v>0</v>
      </c>
      <c r="N226" s="4" t="s">
        <v>74</v>
      </c>
      <c r="O226" s="4" t="s">
        <v>69</v>
      </c>
      <c r="P226" s="6">
        <v>44293.62349537037</v>
      </c>
      <c r="Q226" s="4" t="s">
        <v>83</v>
      </c>
      <c r="R226" s="4"/>
      <c r="S226" s="4"/>
      <c r="T226" s="4"/>
      <c r="U226" s="7"/>
      <c r="V226" s="4"/>
      <c r="W226" s="4"/>
      <c r="X226" s="4"/>
      <c r="Y226" s="4"/>
      <c r="Z226" s="4"/>
      <c r="AA226" s="5"/>
      <c r="AB226" s="5"/>
      <c r="AC226" s="5"/>
      <c r="AD226" s="5"/>
      <c r="AE226" s="5"/>
    </row>
    <row r="227">
      <c r="A227" s="4" t="s">
        <v>535</v>
      </c>
      <c r="B227" s="4"/>
      <c r="C227" s="4" t="s">
        <v>435</v>
      </c>
      <c r="D227" s="4">
        <v>49992.0</v>
      </c>
      <c r="E227" s="4"/>
      <c r="F227" s="4" t="s">
        <v>85</v>
      </c>
      <c r="G227" s="4">
        <v>199.0</v>
      </c>
      <c r="H227" s="4"/>
      <c r="I227" s="4">
        <v>199.0</v>
      </c>
      <c r="J227" s="4" t="s">
        <v>536</v>
      </c>
      <c r="K227" s="4">
        <v>9.19284953713E11</v>
      </c>
      <c r="L227" s="4" t="s">
        <v>67</v>
      </c>
      <c r="M227" s="4" t="b">
        <v>0</v>
      </c>
      <c r="N227" s="4" t="s">
        <v>74</v>
      </c>
      <c r="O227" s="4" t="s">
        <v>69</v>
      </c>
      <c r="P227" s="6">
        <v>44312.58162037037</v>
      </c>
      <c r="Q227" s="4">
        <v>17310.0</v>
      </c>
      <c r="R227" s="4"/>
      <c r="S227" s="4"/>
      <c r="T227" s="4"/>
      <c r="U227" s="7"/>
      <c r="V227" s="4"/>
      <c r="W227" s="4"/>
      <c r="X227" s="4"/>
      <c r="Y227" s="4"/>
      <c r="Z227" s="4"/>
      <c r="AA227" s="5"/>
      <c r="AB227" s="5"/>
      <c r="AC227" s="5"/>
      <c r="AD227" s="5"/>
      <c r="AE227" s="5"/>
    </row>
    <row r="228">
      <c r="A228" s="4" t="s">
        <v>537</v>
      </c>
      <c r="B228" s="4"/>
      <c r="C228" s="4" t="s">
        <v>184</v>
      </c>
      <c r="D228" s="4">
        <v>49833.0</v>
      </c>
      <c r="E228" s="4"/>
      <c r="F228" s="4" t="s">
        <v>85</v>
      </c>
      <c r="G228" s="4">
        <v>99.0</v>
      </c>
      <c r="H228" s="4"/>
      <c r="I228" s="4">
        <v>99.0</v>
      </c>
      <c r="J228" s="4" t="s">
        <v>538</v>
      </c>
      <c r="K228" s="4">
        <v>9.18871978138E11</v>
      </c>
      <c r="L228" s="4" t="s">
        <v>67</v>
      </c>
      <c r="M228" s="4" t="b">
        <v>0</v>
      </c>
      <c r="N228" s="4" t="s">
        <v>68</v>
      </c>
      <c r="O228" s="4" t="s">
        <v>69</v>
      </c>
      <c r="P228" s="6">
        <v>44280.61856481482</v>
      </c>
      <c r="Q228" s="4">
        <v>16522.0</v>
      </c>
      <c r="R228" s="4"/>
      <c r="S228" s="4"/>
      <c r="T228" s="4"/>
      <c r="U228" s="7"/>
      <c r="V228" s="4"/>
      <c r="W228" s="4"/>
      <c r="X228" s="4"/>
      <c r="Y228" s="4"/>
      <c r="Z228" s="4"/>
      <c r="AA228" s="5"/>
      <c r="AB228" s="5"/>
      <c r="AC228" s="5"/>
      <c r="AD228" s="5"/>
      <c r="AE228" s="5"/>
    </row>
    <row r="229">
      <c r="A229" s="4" t="s">
        <v>539</v>
      </c>
      <c r="B229" s="4"/>
      <c r="C229" s="4" t="s">
        <v>184</v>
      </c>
      <c r="D229" s="4">
        <v>49833.0</v>
      </c>
      <c r="E229" s="4"/>
      <c r="F229" s="4" t="s">
        <v>85</v>
      </c>
      <c r="G229" s="4">
        <v>99.0</v>
      </c>
      <c r="H229" s="4"/>
      <c r="I229" s="4">
        <v>99.0</v>
      </c>
      <c r="J229" s="4" t="s">
        <v>540</v>
      </c>
      <c r="K229" s="4">
        <v>9.19790898016E11</v>
      </c>
      <c r="L229" s="4" t="s">
        <v>67</v>
      </c>
      <c r="M229" s="4" t="b">
        <v>0</v>
      </c>
      <c r="N229" s="4" t="s">
        <v>68</v>
      </c>
      <c r="O229" s="4" t="s">
        <v>69</v>
      </c>
      <c r="P229" s="6">
        <v>44280.623148148145</v>
      </c>
      <c r="Q229" s="4">
        <v>16555.0</v>
      </c>
      <c r="R229" s="4"/>
      <c r="S229" s="4"/>
      <c r="T229" s="4"/>
      <c r="U229" s="7"/>
      <c r="V229" s="4"/>
      <c r="W229" s="4"/>
      <c r="X229" s="4"/>
      <c r="Y229" s="4"/>
      <c r="Z229" s="4"/>
      <c r="AA229" s="5"/>
      <c r="AB229" s="5"/>
      <c r="AC229" s="5"/>
      <c r="AD229" s="5"/>
      <c r="AE229" s="5"/>
    </row>
    <row r="230">
      <c r="A230" s="4" t="s">
        <v>541</v>
      </c>
      <c r="B230" s="4"/>
      <c r="C230" s="4" t="s">
        <v>184</v>
      </c>
      <c r="D230" s="4">
        <v>49833.0</v>
      </c>
      <c r="E230" s="4"/>
      <c r="F230" s="4" t="s">
        <v>85</v>
      </c>
      <c r="G230" s="4">
        <v>99.0</v>
      </c>
      <c r="H230" s="4"/>
      <c r="I230" s="4">
        <v>99.0</v>
      </c>
      <c r="J230" s="4" t="s">
        <v>542</v>
      </c>
      <c r="K230" s="4">
        <v>9.19160244412E11</v>
      </c>
      <c r="L230" s="4" t="s">
        <v>67</v>
      </c>
      <c r="M230" s="4" t="b">
        <v>0</v>
      </c>
      <c r="N230" s="4" t="s">
        <v>68</v>
      </c>
      <c r="O230" s="4" t="s">
        <v>69</v>
      </c>
      <c r="P230" s="6">
        <v>44280.62994212963</v>
      </c>
      <c r="Q230" s="4">
        <v>16491.0</v>
      </c>
      <c r="R230" s="4"/>
      <c r="S230" s="4"/>
      <c r="T230" s="4"/>
      <c r="U230" s="7"/>
      <c r="V230" s="4"/>
      <c r="W230" s="4"/>
      <c r="X230" s="4"/>
      <c r="Y230" s="4"/>
      <c r="Z230" s="4"/>
      <c r="AA230" s="5"/>
      <c r="AB230" s="5"/>
      <c r="AC230" s="5"/>
      <c r="AD230" s="5"/>
      <c r="AE230" s="5"/>
    </row>
    <row r="231">
      <c r="A231" s="4" t="s">
        <v>543</v>
      </c>
      <c r="B231" s="4"/>
      <c r="C231" s="4" t="s">
        <v>184</v>
      </c>
      <c r="D231" s="4">
        <v>49833.0</v>
      </c>
      <c r="E231" s="4"/>
      <c r="F231" s="4" t="s">
        <v>85</v>
      </c>
      <c r="G231" s="4">
        <v>99.0</v>
      </c>
      <c r="H231" s="4"/>
      <c r="I231" s="4">
        <v>99.0</v>
      </c>
      <c r="J231" s="4" t="s">
        <v>544</v>
      </c>
      <c r="K231" s="4">
        <v>9.19731960363E11</v>
      </c>
      <c r="L231" s="4" t="s">
        <v>67</v>
      </c>
      <c r="M231" s="4" t="b">
        <v>0</v>
      </c>
      <c r="N231" s="4" t="s">
        <v>68</v>
      </c>
      <c r="O231" s="4" t="s">
        <v>69</v>
      </c>
      <c r="P231" s="6">
        <v>44280.70685185185</v>
      </c>
      <c r="Q231" s="4">
        <v>16479.0</v>
      </c>
      <c r="R231" s="4"/>
      <c r="S231" s="4"/>
      <c r="T231" s="4"/>
      <c r="U231" s="7"/>
      <c r="V231" s="4"/>
      <c r="W231" s="4"/>
      <c r="X231" s="4"/>
      <c r="Y231" s="4"/>
      <c r="Z231" s="4"/>
      <c r="AA231" s="5"/>
      <c r="AB231" s="5"/>
      <c r="AC231" s="5"/>
      <c r="AD231" s="5"/>
      <c r="AE231" s="5"/>
    </row>
    <row r="232">
      <c r="A232" s="4" t="s">
        <v>545</v>
      </c>
      <c r="B232" s="4"/>
      <c r="C232" s="4" t="s">
        <v>184</v>
      </c>
      <c r="D232" s="4">
        <v>49833.0</v>
      </c>
      <c r="E232" s="4"/>
      <c r="F232" s="4" t="s">
        <v>85</v>
      </c>
      <c r="G232" s="4">
        <v>99.0</v>
      </c>
      <c r="H232" s="4"/>
      <c r="I232" s="4">
        <v>99.0</v>
      </c>
      <c r="J232" s="4" t="s">
        <v>546</v>
      </c>
      <c r="K232" s="4">
        <v>9.18126621906E11</v>
      </c>
      <c r="L232" s="4" t="s">
        <v>67</v>
      </c>
      <c r="M232" s="4" t="b">
        <v>0</v>
      </c>
      <c r="N232" s="4" t="s">
        <v>68</v>
      </c>
      <c r="O232" s="4" t="s">
        <v>69</v>
      </c>
      <c r="P232" s="6">
        <v>44280.74267361111</v>
      </c>
      <c r="Q232" s="4">
        <v>16478.0</v>
      </c>
      <c r="R232" s="4"/>
      <c r="S232" s="4"/>
      <c r="T232" s="4"/>
      <c r="U232" s="7"/>
      <c r="V232" s="4"/>
      <c r="W232" s="4"/>
      <c r="X232" s="4"/>
      <c r="Y232" s="4"/>
      <c r="Z232" s="4"/>
      <c r="AA232" s="5"/>
      <c r="AB232" s="5"/>
      <c r="AC232" s="5"/>
      <c r="AD232" s="5"/>
      <c r="AE232" s="5"/>
    </row>
    <row r="233">
      <c r="A233" s="4" t="s">
        <v>547</v>
      </c>
      <c r="B233" s="4"/>
      <c r="C233" s="4" t="s">
        <v>245</v>
      </c>
      <c r="D233" s="4">
        <v>49962.0</v>
      </c>
      <c r="E233" s="4"/>
      <c r="F233" s="4" t="s">
        <v>85</v>
      </c>
      <c r="G233" s="4">
        <v>99.0</v>
      </c>
      <c r="H233" s="4"/>
      <c r="I233" s="4">
        <v>99.0</v>
      </c>
      <c r="J233" s="4" t="s">
        <v>548</v>
      </c>
      <c r="K233" s="4">
        <v>9.17827234407E11</v>
      </c>
      <c r="L233" s="4" t="s">
        <v>67</v>
      </c>
      <c r="M233" s="4" t="b">
        <v>0</v>
      </c>
      <c r="N233" s="4" t="s">
        <v>68</v>
      </c>
      <c r="O233" s="4" t="s">
        <v>69</v>
      </c>
      <c r="P233" s="6">
        <v>44280.74699074074</v>
      </c>
      <c r="Q233" s="4">
        <v>16578.0</v>
      </c>
      <c r="R233" s="4"/>
      <c r="S233" s="4"/>
      <c r="T233" s="4"/>
      <c r="U233" s="7"/>
      <c r="V233" s="4"/>
      <c r="W233" s="4"/>
      <c r="X233" s="4"/>
      <c r="Y233" s="4"/>
      <c r="Z233" s="4"/>
      <c r="AA233" s="5"/>
      <c r="AB233" s="5"/>
      <c r="AC233" s="5"/>
      <c r="AD233" s="5"/>
      <c r="AE233" s="5"/>
    </row>
    <row r="234">
      <c r="A234" s="4" t="s">
        <v>549</v>
      </c>
      <c r="B234" s="4"/>
      <c r="C234" s="4" t="s">
        <v>184</v>
      </c>
      <c r="D234" s="4">
        <v>49833.0</v>
      </c>
      <c r="E234" s="4"/>
      <c r="F234" s="4" t="s">
        <v>85</v>
      </c>
      <c r="G234" s="4">
        <v>99.0</v>
      </c>
      <c r="H234" s="4"/>
      <c r="I234" s="4">
        <v>99.0</v>
      </c>
      <c r="J234" s="4" t="s">
        <v>550</v>
      </c>
      <c r="K234" s="4">
        <v>9.18073017499E11</v>
      </c>
      <c r="L234" s="4" t="s">
        <v>67</v>
      </c>
      <c r="M234" s="4" t="b">
        <v>0</v>
      </c>
      <c r="N234" s="4" t="s">
        <v>68</v>
      </c>
      <c r="O234" s="4" t="s">
        <v>69</v>
      </c>
      <c r="P234" s="6">
        <v>44280.74869212963</v>
      </c>
      <c r="Q234" s="4">
        <v>16486.0</v>
      </c>
      <c r="R234" s="4"/>
      <c r="S234" s="4"/>
      <c r="T234" s="4"/>
      <c r="U234" s="7"/>
      <c r="V234" s="4"/>
      <c r="W234" s="4"/>
      <c r="X234" s="4"/>
      <c r="Y234" s="4"/>
      <c r="Z234" s="4"/>
      <c r="AA234" s="5"/>
      <c r="AB234" s="5"/>
      <c r="AC234" s="5"/>
      <c r="AD234" s="5"/>
      <c r="AE234" s="5"/>
    </row>
    <row r="235">
      <c r="A235" s="4" t="s">
        <v>551</v>
      </c>
      <c r="B235" s="4"/>
      <c r="C235" s="4" t="s">
        <v>181</v>
      </c>
      <c r="D235" s="4">
        <v>49864.0</v>
      </c>
      <c r="E235" s="4"/>
      <c r="F235" s="4" t="s">
        <v>149</v>
      </c>
      <c r="G235" s="4">
        <v>99.0</v>
      </c>
      <c r="H235" s="4"/>
      <c r="I235" s="4">
        <v>99.0</v>
      </c>
      <c r="J235" s="4" t="s">
        <v>552</v>
      </c>
      <c r="K235" s="4">
        <v>9.19340708669E11</v>
      </c>
      <c r="L235" s="4" t="s">
        <v>67</v>
      </c>
      <c r="M235" s="4" t="b">
        <v>0</v>
      </c>
      <c r="N235" s="4" t="s">
        <v>68</v>
      </c>
      <c r="O235" s="4" t="s">
        <v>69</v>
      </c>
      <c r="P235" s="6">
        <v>44293.6459375</v>
      </c>
      <c r="Q235" s="4">
        <v>16970.0</v>
      </c>
      <c r="R235" s="4"/>
      <c r="S235" s="4"/>
      <c r="T235" s="4"/>
      <c r="U235" s="7"/>
      <c r="V235" s="4"/>
      <c r="W235" s="4"/>
      <c r="X235" s="4"/>
      <c r="Y235" s="4"/>
      <c r="Z235" s="4"/>
      <c r="AA235" s="5"/>
      <c r="AB235" s="5"/>
      <c r="AC235" s="5"/>
      <c r="AD235" s="5"/>
      <c r="AE235" s="5"/>
    </row>
    <row r="236">
      <c r="A236" s="4" t="s">
        <v>553</v>
      </c>
      <c r="B236" s="4"/>
      <c r="C236" s="4" t="s">
        <v>435</v>
      </c>
      <c r="D236" s="4">
        <v>49992.0</v>
      </c>
      <c r="E236" s="4"/>
      <c r="F236" s="4" t="s">
        <v>149</v>
      </c>
      <c r="G236" s="4">
        <v>99.0</v>
      </c>
      <c r="H236" s="4"/>
      <c r="I236" s="4">
        <v>99.0</v>
      </c>
      <c r="J236" s="4" t="s">
        <v>554</v>
      </c>
      <c r="K236" s="4">
        <v>9.1789352126E11</v>
      </c>
      <c r="L236" s="4" t="s">
        <v>67</v>
      </c>
      <c r="M236" s="4" t="b">
        <v>0</v>
      </c>
      <c r="N236" s="4" t="s">
        <v>151</v>
      </c>
      <c r="O236" s="4" t="s">
        <v>69</v>
      </c>
      <c r="P236" s="6">
        <v>44312.781909722224</v>
      </c>
      <c r="Q236" s="4" t="s">
        <v>83</v>
      </c>
      <c r="R236" s="4"/>
      <c r="S236" s="4"/>
      <c r="T236" s="4"/>
      <c r="U236" s="7"/>
      <c r="V236" s="4"/>
      <c r="W236" s="4"/>
      <c r="X236" s="4"/>
      <c r="Y236" s="4"/>
      <c r="Z236" s="4"/>
      <c r="AA236" s="5"/>
      <c r="AB236" s="5"/>
      <c r="AC236" s="5"/>
      <c r="AD236" s="5"/>
      <c r="AE236" s="5"/>
    </row>
    <row r="237">
      <c r="A237" s="4" t="s">
        <v>555</v>
      </c>
      <c r="B237" s="4"/>
      <c r="C237" s="4" t="s">
        <v>181</v>
      </c>
      <c r="D237" s="4">
        <v>49864.0</v>
      </c>
      <c r="E237" s="4"/>
      <c r="F237" s="4" t="s">
        <v>149</v>
      </c>
      <c r="G237" s="4">
        <v>99.0</v>
      </c>
      <c r="H237" s="4"/>
      <c r="I237" s="4">
        <v>99.0</v>
      </c>
      <c r="J237" s="4" t="s">
        <v>556</v>
      </c>
      <c r="K237" s="4">
        <v>9.17798005325E11</v>
      </c>
      <c r="L237" s="4" t="s">
        <v>67</v>
      </c>
      <c r="M237" s="4" t="b">
        <v>0</v>
      </c>
      <c r="N237" s="4" t="s">
        <v>68</v>
      </c>
      <c r="O237" s="4" t="s">
        <v>69</v>
      </c>
      <c r="P237" s="6">
        <v>44293.72667824074</v>
      </c>
      <c r="Q237" s="4" t="s">
        <v>83</v>
      </c>
      <c r="R237" s="4"/>
      <c r="S237" s="4"/>
      <c r="T237" s="4"/>
      <c r="U237" s="7"/>
      <c r="V237" s="4"/>
      <c r="W237" s="4"/>
      <c r="X237" s="4"/>
      <c r="Y237" s="4"/>
      <c r="Z237" s="4"/>
      <c r="AA237" s="5"/>
      <c r="AB237" s="5"/>
      <c r="AC237" s="5"/>
      <c r="AD237" s="5"/>
      <c r="AE237" s="5"/>
    </row>
    <row r="238">
      <c r="A238" s="4" t="s">
        <v>557</v>
      </c>
      <c r="B238" s="4"/>
      <c r="C238" s="4" t="s">
        <v>184</v>
      </c>
      <c r="D238" s="4">
        <v>49833.0</v>
      </c>
      <c r="E238" s="4"/>
      <c r="F238" s="4" t="s">
        <v>85</v>
      </c>
      <c r="G238" s="4">
        <v>99.0</v>
      </c>
      <c r="H238" s="4"/>
      <c r="I238" s="4">
        <v>99.0</v>
      </c>
      <c r="J238" s="4" t="s">
        <v>558</v>
      </c>
      <c r="K238" s="4">
        <v>9.17709077352E11</v>
      </c>
      <c r="L238" s="4" t="s">
        <v>67</v>
      </c>
      <c r="M238" s="4" t="b">
        <v>0</v>
      </c>
      <c r="N238" s="4" t="s">
        <v>68</v>
      </c>
      <c r="O238" s="4" t="s">
        <v>69</v>
      </c>
      <c r="P238" s="6">
        <v>44280.778391203705</v>
      </c>
      <c r="Q238" s="4">
        <v>16497.0</v>
      </c>
      <c r="R238" s="4"/>
      <c r="S238" s="4"/>
      <c r="T238" s="4"/>
      <c r="U238" s="7"/>
      <c r="V238" s="4"/>
      <c r="W238" s="4"/>
      <c r="X238" s="4"/>
      <c r="Y238" s="4"/>
      <c r="Z238" s="4"/>
      <c r="AA238" s="5"/>
      <c r="AB238" s="5"/>
      <c r="AC238" s="5"/>
      <c r="AD238" s="5"/>
      <c r="AE238" s="5"/>
    </row>
    <row r="239">
      <c r="A239" s="4" t="s">
        <v>559</v>
      </c>
      <c r="B239" s="4"/>
      <c r="C239" s="4" t="s">
        <v>184</v>
      </c>
      <c r="D239" s="4">
        <v>49833.0</v>
      </c>
      <c r="E239" s="4"/>
      <c r="F239" s="4" t="s">
        <v>85</v>
      </c>
      <c r="G239" s="4">
        <v>99.0</v>
      </c>
      <c r="H239" s="4"/>
      <c r="I239" s="4">
        <v>99.0</v>
      </c>
      <c r="J239" s="4" t="s">
        <v>560</v>
      </c>
      <c r="K239" s="4">
        <v>9.19819469277E11</v>
      </c>
      <c r="L239" s="4" t="s">
        <v>67</v>
      </c>
      <c r="M239" s="4" t="b">
        <v>0</v>
      </c>
      <c r="N239" s="4" t="s">
        <v>68</v>
      </c>
      <c r="O239" s="4" t="s">
        <v>69</v>
      </c>
      <c r="P239" s="6">
        <v>44280.806608796294</v>
      </c>
      <c r="Q239" s="4">
        <v>16477.0</v>
      </c>
      <c r="R239" s="4"/>
      <c r="S239" s="4"/>
      <c r="T239" s="4"/>
      <c r="U239" s="7"/>
      <c r="V239" s="4"/>
      <c r="W239" s="4"/>
      <c r="X239" s="4"/>
      <c r="Y239" s="4"/>
      <c r="Z239" s="4"/>
      <c r="AA239" s="5"/>
      <c r="AB239" s="5"/>
      <c r="AC239" s="5"/>
      <c r="AD239" s="5"/>
      <c r="AE239" s="5"/>
    </row>
    <row r="240">
      <c r="A240" s="4" t="s">
        <v>561</v>
      </c>
      <c r="B240" s="4"/>
      <c r="C240" s="4" t="s">
        <v>435</v>
      </c>
      <c r="D240" s="4">
        <v>49992.0</v>
      </c>
      <c r="E240" s="4"/>
      <c r="F240" s="4" t="s">
        <v>77</v>
      </c>
      <c r="G240" s="4">
        <v>349.0</v>
      </c>
      <c r="H240" s="4"/>
      <c r="I240" s="4">
        <v>349.0</v>
      </c>
      <c r="J240" s="4" t="s">
        <v>562</v>
      </c>
      <c r="K240" s="4">
        <v>9.17757036009E11</v>
      </c>
      <c r="L240" s="4" t="s">
        <v>67</v>
      </c>
      <c r="M240" s="4" t="b">
        <v>0</v>
      </c>
      <c r="N240" s="4" t="s">
        <v>97</v>
      </c>
      <c r="O240" s="4" t="s">
        <v>69</v>
      </c>
      <c r="P240" s="6">
        <v>44313.41962962963</v>
      </c>
      <c r="Q240" s="4">
        <v>17341.0</v>
      </c>
      <c r="R240" s="4"/>
      <c r="S240" s="4"/>
      <c r="T240" s="4"/>
      <c r="U240" s="8"/>
      <c r="V240" s="4"/>
      <c r="W240" s="4"/>
      <c r="X240" s="4"/>
      <c r="Y240" s="4"/>
      <c r="Z240" s="4"/>
      <c r="AA240" s="5"/>
      <c r="AB240" s="5"/>
      <c r="AC240" s="5"/>
      <c r="AD240" s="5"/>
      <c r="AE240" s="5"/>
    </row>
    <row r="241">
      <c r="A241" s="4" t="s">
        <v>563</v>
      </c>
      <c r="B241" s="4"/>
      <c r="C241" s="4" t="s">
        <v>435</v>
      </c>
      <c r="D241" s="4">
        <v>49992.0</v>
      </c>
      <c r="E241" s="4"/>
      <c r="F241" s="4" t="s">
        <v>149</v>
      </c>
      <c r="G241" s="4">
        <v>99.0</v>
      </c>
      <c r="H241" s="4"/>
      <c r="I241" s="4">
        <v>99.0</v>
      </c>
      <c r="J241" s="4" t="s">
        <v>564</v>
      </c>
      <c r="K241" s="4">
        <v>9.19022076763E11</v>
      </c>
      <c r="L241" s="4" t="s">
        <v>67</v>
      </c>
      <c r="M241" s="4" t="b">
        <v>0</v>
      </c>
      <c r="N241" s="4" t="s">
        <v>68</v>
      </c>
      <c r="O241" s="4" t="s">
        <v>69</v>
      </c>
      <c r="P241" s="6">
        <v>44313.54298611111</v>
      </c>
      <c r="Q241" s="4">
        <v>17350.0</v>
      </c>
      <c r="R241" s="4"/>
      <c r="S241" s="4"/>
      <c r="T241" s="4"/>
      <c r="U241" s="7"/>
      <c r="V241" s="4"/>
      <c r="W241" s="4"/>
      <c r="X241" s="4"/>
      <c r="Y241" s="4"/>
      <c r="Z241" s="4"/>
      <c r="AA241" s="5"/>
      <c r="AB241" s="5"/>
      <c r="AC241" s="5"/>
      <c r="AD241" s="5"/>
      <c r="AE241" s="5"/>
    </row>
    <row r="242">
      <c r="A242" s="4" t="s">
        <v>565</v>
      </c>
      <c r="B242" s="4"/>
      <c r="C242" s="4" t="s">
        <v>435</v>
      </c>
      <c r="D242" s="4">
        <v>49992.0</v>
      </c>
      <c r="E242" s="4"/>
      <c r="F242" s="4" t="s">
        <v>149</v>
      </c>
      <c r="G242" s="4">
        <v>99.0</v>
      </c>
      <c r="H242" s="4"/>
      <c r="I242" s="4">
        <v>99.0</v>
      </c>
      <c r="J242" s="4" t="s">
        <v>566</v>
      </c>
      <c r="K242" s="4">
        <v>9.19052245228E11</v>
      </c>
      <c r="L242" s="4" t="s">
        <v>67</v>
      </c>
      <c r="M242" s="4" t="b">
        <v>0</v>
      </c>
      <c r="N242" s="4" t="s">
        <v>74</v>
      </c>
      <c r="O242" s="4" t="s">
        <v>69</v>
      </c>
      <c r="P242" s="6">
        <v>44313.92054398148</v>
      </c>
      <c r="Q242" s="4">
        <v>17401.0</v>
      </c>
      <c r="R242" s="4"/>
      <c r="S242" s="4"/>
      <c r="T242" s="4"/>
      <c r="U242" s="7"/>
      <c r="V242" s="4"/>
      <c r="W242" s="4"/>
      <c r="X242" s="4"/>
      <c r="Y242" s="4"/>
      <c r="Z242" s="4"/>
      <c r="AA242" s="5"/>
      <c r="AB242" s="5"/>
      <c r="AC242" s="5"/>
      <c r="AD242" s="5"/>
      <c r="AE242" s="5"/>
    </row>
    <row r="243">
      <c r="A243" s="4" t="s">
        <v>567</v>
      </c>
      <c r="B243" s="4"/>
      <c r="C243" s="4" t="s">
        <v>184</v>
      </c>
      <c r="D243" s="4">
        <v>49833.0</v>
      </c>
      <c r="E243" s="4"/>
      <c r="F243" s="4" t="s">
        <v>85</v>
      </c>
      <c r="G243" s="4">
        <v>99.0</v>
      </c>
      <c r="H243" s="4"/>
      <c r="I243" s="4">
        <v>99.0</v>
      </c>
      <c r="J243" s="4" t="s">
        <v>568</v>
      </c>
      <c r="K243" s="4">
        <v>9.18332003912E11</v>
      </c>
      <c r="L243" s="4" t="s">
        <v>67</v>
      </c>
      <c r="M243" s="4" t="b">
        <v>0</v>
      </c>
      <c r="N243" s="4" t="s">
        <v>68</v>
      </c>
      <c r="O243" s="4" t="s">
        <v>69</v>
      </c>
      <c r="P243" s="6">
        <v>44280.912777777776</v>
      </c>
      <c r="Q243" s="4">
        <v>7029.0</v>
      </c>
      <c r="R243" s="4"/>
      <c r="S243" s="4"/>
      <c r="T243" s="4"/>
      <c r="U243" s="7"/>
      <c r="V243" s="4"/>
      <c r="W243" s="4"/>
      <c r="X243" s="4"/>
      <c r="Y243" s="4"/>
      <c r="Z243" s="4"/>
      <c r="AA243" s="5"/>
      <c r="AB243" s="5"/>
      <c r="AC243" s="5"/>
      <c r="AD243" s="5"/>
      <c r="AE243" s="5"/>
    </row>
    <row r="244">
      <c r="A244" s="4" t="s">
        <v>569</v>
      </c>
      <c r="B244" s="4"/>
      <c r="C244" s="4" t="s">
        <v>181</v>
      </c>
      <c r="D244" s="4">
        <v>49864.0</v>
      </c>
      <c r="E244" s="4"/>
      <c r="F244" s="4" t="s">
        <v>149</v>
      </c>
      <c r="G244" s="4">
        <v>99.0</v>
      </c>
      <c r="H244" s="4"/>
      <c r="I244" s="4">
        <v>99.0</v>
      </c>
      <c r="J244" s="4" t="s">
        <v>570</v>
      </c>
      <c r="K244" s="4">
        <v>9.18770373009E11</v>
      </c>
      <c r="L244" s="4" t="s">
        <v>67</v>
      </c>
      <c r="M244" s="4" t="b">
        <v>0</v>
      </c>
      <c r="N244" s="4" t="s">
        <v>68</v>
      </c>
      <c r="O244" s="4" t="s">
        <v>69</v>
      </c>
      <c r="P244" s="6">
        <v>44294.48535879629</v>
      </c>
      <c r="Q244" s="4">
        <v>16975.0</v>
      </c>
      <c r="R244" s="4"/>
      <c r="S244" s="4"/>
      <c r="T244" s="4"/>
      <c r="U244" s="7"/>
      <c r="V244" s="4"/>
      <c r="W244" s="4"/>
      <c r="X244" s="4"/>
      <c r="Y244" s="4"/>
      <c r="Z244" s="4"/>
      <c r="AA244" s="5"/>
      <c r="AB244" s="5"/>
      <c r="AC244" s="5"/>
      <c r="AD244" s="5"/>
      <c r="AE244" s="5"/>
    </row>
    <row r="245">
      <c r="A245" s="4" t="s">
        <v>571</v>
      </c>
      <c r="B245" s="4"/>
      <c r="C245" s="4" t="s">
        <v>181</v>
      </c>
      <c r="D245" s="4">
        <v>49864.0</v>
      </c>
      <c r="E245" s="4"/>
      <c r="F245" s="4" t="s">
        <v>149</v>
      </c>
      <c r="G245" s="4">
        <v>99.0</v>
      </c>
      <c r="H245" s="4"/>
      <c r="I245" s="4">
        <v>99.0</v>
      </c>
      <c r="J245" s="4" t="s">
        <v>572</v>
      </c>
      <c r="K245" s="4">
        <v>9.19597773717E11</v>
      </c>
      <c r="L245" s="4" t="s">
        <v>67</v>
      </c>
      <c r="M245" s="4" t="b">
        <v>0</v>
      </c>
      <c r="N245" s="4" t="s">
        <v>68</v>
      </c>
      <c r="O245" s="4" t="s">
        <v>69</v>
      </c>
      <c r="P245" s="6">
        <v>44294.61107638889</v>
      </c>
      <c r="Q245" s="4">
        <v>16977.0</v>
      </c>
      <c r="R245" s="4"/>
      <c r="S245" s="4"/>
      <c r="T245" s="4"/>
      <c r="U245" s="7"/>
      <c r="V245" s="4"/>
      <c r="W245" s="4"/>
      <c r="X245" s="4"/>
      <c r="Y245" s="4"/>
      <c r="Z245" s="4"/>
      <c r="AA245" s="5"/>
      <c r="AB245" s="5"/>
      <c r="AC245" s="5"/>
      <c r="AD245" s="5"/>
      <c r="AE245" s="5"/>
    </row>
    <row r="246">
      <c r="A246" s="4" t="s">
        <v>573</v>
      </c>
      <c r="B246" s="4"/>
      <c r="C246" s="4" t="s">
        <v>435</v>
      </c>
      <c r="D246" s="4">
        <v>49992.0</v>
      </c>
      <c r="E246" s="4"/>
      <c r="F246" s="4" t="s">
        <v>149</v>
      </c>
      <c r="G246" s="4">
        <v>99.0</v>
      </c>
      <c r="H246" s="4"/>
      <c r="I246" s="4">
        <v>99.0</v>
      </c>
      <c r="J246" s="4" t="s">
        <v>574</v>
      </c>
      <c r="K246" s="4">
        <v>9.18983778833E11</v>
      </c>
      <c r="L246" s="4" t="s">
        <v>67</v>
      </c>
      <c r="M246" s="4" t="b">
        <v>0</v>
      </c>
      <c r="N246" s="4" t="s">
        <v>151</v>
      </c>
      <c r="O246" s="4" t="s">
        <v>69</v>
      </c>
      <c r="P246" s="6">
        <v>44314.39320601852</v>
      </c>
      <c r="Q246" s="4">
        <v>17394.0</v>
      </c>
      <c r="R246" s="4"/>
      <c r="S246" s="4"/>
      <c r="T246" s="4"/>
      <c r="U246" s="7"/>
      <c r="V246" s="4"/>
      <c r="W246" s="4"/>
      <c r="X246" s="4"/>
      <c r="Y246" s="4"/>
      <c r="Z246" s="4"/>
      <c r="AA246" s="5"/>
      <c r="AB246" s="5"/>
      <c r="AC246" s="5"/>
      <c r="AD246" s="5"/>
      <c r="AE246" s="5"/>
    </row>
    <row r="247">
      <c r="A247" s="4" t="s">
        <v>575</v>
      </c>
      <c r="B247" s="4"/>
      <c r="C247" s="4" t="s">
        <v>184</v>
      </c>
      <c r="D247" s="4">
        <v>49833.0</v>
      </c>
      <c r="E247" s="4"/>
      <c r="F247" s="4" t="s">
        <v>85</v>
      </c>
      <c r="G247" s="4">
        <v>99.0</v>
      </c>
      <c r="H247" s="4"/>
      <c r="I247" s="4">
        <v>99.0</v>
      </c>
      <c r="J247" s="4" t="s">
        <v>576</v>
      </c>
      <c r="K247" s="4">
        <v>9.19607111053E11</v>
      </c>
      <c r="L247" s="4" t="s">
        <v>67</v>
      </c>
      <c r="M247" s="4" t="b">
        <v>0</v>
      </c>
      <c r="N247" s="4" t="s">
        <v>68</v>
      </c>
      <c r="O247" s="4" t="s">
        <v>69</v>
      </c>
      <c r="P247" s="6">
        <v>44281.433657407404</v>
      </c>
      <c r="Q247" s="4">
        <v>16503.0</v>
      </c>
      <c r="R247" s="4"/>
      <c r="S247" s="4"/>
      <c r="T247" s="4"/>
      <c r="U247" s="7"/>
      <c r="V247" s="4"/>
      <c r="W247" s="4"/>
      <c r="X247" s="4"/>
      <c r="Y247" s="4"/>
      <c r="Z247" s="4"/>
      <c r="AA247" s="5"/>
      <c r="AB247" s="5"/>
      <c r="AC247" s="5"/>
      <c r="AD247" s="5"/>
      <c r="AE247" s="5"/>
    </row>
    <row r="248">
      <c r="A248" s="4" t="s">
        <v>577</v>
      </c>
      <c r="B248" s="4"/>
      <c r="C248" s="4" t="s">
        <v>578</v>
      </c>
      <c r="D248" s="4">
        <v>49891.0</v>
      </c>
      <c r="E248" s="4"/>
      <c r="F248" s="4" t="s">
        <v>85</v>
      </c>
      <c r="G248" s="4">
        <v>99.0</v>
      </c>
      <c r="H248" s="4"/>
      <c r="I248" s="4">
        <v>99.0</v>
      </c>
      <c r="J248" s="4" t="s">
        <v>579</v>
      </c>
      <c r="K248" s="4">
        <v>9.178936505E11</v>
      </c>
      <c r="L248" s="4" t="s">
        <v>67</v>
      </c>
      <c r="M248" s="4" t="b">
        <v>0</v>
      </c>
      <c r="N248" s="4" t="s">
        <v>74</v>
      </c>
      <c r="O248" s="4" t="s">
        <v>69</v>
      </c>
      <c r="P248" s="6">
        <v>44281.48094907407</v>
      </c>
      <c r="Q248" s="4">
        <v>16483.0</v>
      </c>
      <c r="R248" s="4"/>
      <c r="S248" s="4"/>
      <c r="T248" s="4"/>
      <c r="U248" s="7"/>
      <c r="V248" s="4"/>
      <c r="W248" s="4"/>
      <c r="X248" s="4"/>
      <c r="Y248" s="4"/>
      <c r="Z248" s="4"/>
      <c r="AA248" s="5"/>
      <c r="AB248" s="5"/>
      <c r="AC248" s="5"/>
      <c r="AD248" s="5"/>
      <c r="AE248" s="5"/>
    </row>
    <row r="249">
      <c r="A249" s="4" t="s">
        <v>580</v>
      </c>
      <c r="B249" s="4"/>
      <c r="C249" s="4" t="s">
        <v>578</v>
      </c>
      <c r="D249" s="4">
        <v>49891.0</v>
      </c>
      <c r="E249" s="4"/>
      <c r="F249" s="4" t="s">
        <v>85</v>
      </c>
      <c r="G249" s="4">
        <v>99.0</v>
      </c>
      <c r="H249" s="4"/>
      <c r="I249" s="4">
        <v>99.0</v>
      </c>
      <c r="J249" s="4" t="s">
        <v>581</v>
      </c>
      <c r="K249" s="4">
        <v>9.19880707899E11</v>
      </c>
      <c r="L249" s="4" t="s">
        <v>67</v>
      </c>
      <c r="M249" s="4" t="b">
        <v>0</v>
      </c>
      <c r="N249" s="4" t="s">
        <v>68</v>
      </c>
      <c r="O249" s="4" t="s">
        <v>69</v>
      </c>
      <c r="P249" s="6">
        <v>44281.49277777778</v>
      </c>
      <c r="Q249" s="4">
        <v>16474.0</v>
      </c>
      <c r="R249" s="4"/>
      <c r="S249" s="4"/>
      <c r="T249" s="4"/>
      <c r="U249" s="7"/>
      <c r="V249" s="4"/>
      <c r="W249" s="4"/>
      <c r="X249" s="4"/>
      <c r="Y249" s="4"/>
      <c r="Z249" s="4"/>
      <c r="AA249" s="5"/>
      <c r="AB249" s="5"/>
      <c r="AC249" s="5"/>
      <c r="AD249" s="5"/>
      <c r="AE249" s="5"/>
    </row>
    <row r="250">
      <c r="A250" s="4" t="s">
        <v>582</v>
      </c>
      <c r="B250" s="4"/>
      <c r="C250" s="4" t="s">
        <v>578</v>
      </c>
      <c r="D250" s="4">
        <v>49891.0</v>
      </c>
      <c r="E250" s="4"/>
      <c r="F250" s="4" t="s">
        <v>85</v>
      </c>
      <c r="G250" s="4">
        <v>99.0</v>
      </c>
      <c r="H250" s="4"/>
      <c r="I250" s="4">
        <v>99.0</v>
      </c>
      <c r="J250" s="4" t="s">
        <v>583</v>
      </c>
      <c r="K250" s="4">
        <v>9.19967738737E11</v>
      </c>
      <c r="L250" s="4" t="s">
        <v>67</v>
      </c>
      <c r="M250" s="4" t="b">
        <v>0</v>
      </c>
      <c r="N250" s="4" t="s">
        <v>74</v>
      </c>
      <c r="O250" s="4" t="s">
        <v>69</v>
      </c>
      <c r="P250" s="6">
        <v>44281.590902777774</v>
      </c>
      <c r="Q250" s="4">
        <v>16492.0</v>
      </c>
      <c r="R250" s="4"/>
      <c r="S250" s="4"/>
      <c r="T250" s="4"/>
      <c r="U250" s="7"/>
      <c r="V250" s="4"/>
      <c r="W250" s="4"/>
      <c r="X250" s="4"/>
      <c r="Y250" s="4"/>
      <c r="Z250" s="4"/>
      <c r="AA250" s="5"/>
      <c r="AB250" s="5"/>
      <c r="AC250" s="5"/>
      <c r="AD250" s="5"/>
      <c r="AE250" s="5"/>
    </row>
    <row r="251">
      <c r="A251" s="4" t="s">
        <v>584</v>
      </c>
      <c r="B251" s="4"/>
      <c r="C251" s="4" t="s">
        <v>184</v>
      </c>
      <c r="D251" s="4">
        <v>49833.0</v>
      </c>
      <c r="E251" s="4"/>
      <c r="F251" s="4" t="s">
        <v>85</v>
      </c>
      <c r="G251" s="4">
        <v>99.0</v>
      </c>
      <c r="H251" s="4"/>
      <c r="I251" s="4">
        <v>99.0</v>
      </c>
      <c r="J251" s="4" t="s">
        <v>585</v>
      </c>
      <c r="K251" s="4">
        <v>9.19556842122E11</v>
      </c>
      <c r="L251" s="4" t="s">
        <v>67</v>
      </c>
      <c r="M251" s="4" t="b">
        <v>0</v>
      </c>
      <c r="N251" s="4" t="s">
        <v>68</v>
      </c>
      <c r="O251" s="4" t="s">
        <v>69</v>
      </c>
      <c r="P251" s="6">
        <v>44281.61954861111</v>
      </c>
      <c r="Q251" s="4">
        <v>16583.0</v>
      </c>
      <c r="R251" s="4"/>
      <c r="S251" s="4"/>
      <c r="T251" s="4"/>
      <c r="U251" s="7"/>
      <c r="V251" s="4"/>
      <c r="W251" s="4"/>
      <c r="X251" s="4"/>
      <c r="Y251" s="4"/>
      <c r="Z251" s="4"/>
      <c r="AA251" s="5"/>
      <c r="AB251" s="5"/>
      <c r="AC251" s="5"/>
      <c r="AD251" s="5"/>
      <c r="AE251" s="5"/>
    </row>
    <row r="252">
      <c r="A252" s="4" t="s">
        <v>586</v>
      </c>
      <c r="B252" s="4"/>
      <c r="C252" s="4" t="s">
        <v>587</v>
      </c>
      <c r="D252" s="4">
        <v>49907.0</v>
      </c>
      <c r="E252" s="4"/>
      <c r="F252" s="4" t="s">
        <v>77</v>
      </c>
      <c r="G252" s="4">
        <v>349.0</v>
      </c>
      <c r="H252" s="4"/>
      <c r="I252" s="4">
        <v>349.0</v>
      </c>
      <c r="J252" s="4" t="s">
        <v>588</v>
      </c>
      <c r="K252" s="4">
        <v>9.18892959914E11</v>
      </c>
      <c r="L252" s="4" t="s">
        <v>67</v>
      </c>
      <c r="M252" s="4" t="b">
        <v>0</v>
      </c>
      <c r="N252" s="4" t="s">
        <v>68</v>
      </c>
      <c r="O252" s="4" t="s">
        <v>69</v>
      </c>
      <c r="P252" s="6">
        <v>44297.86837962963</v>
      </c>
      <c r="Q252" s="4">
        <v>16883.0</v>
      </c>
      <c r="R252" s="4"/>
      <c r="S252" s="4"/>
      <c r="T252" s="4"/>
      <c r="U252" s="8"/>
      <c r="V252" s="4"/>
      <c r="W252" s="4"/>
      <c r="X252" s="4"/>
      <c r="Y252" s="4"/>
      <c r="Z252" s="4"/>
      <c r="AA252" s="5"/>
      <c r="AB252" s="5"/>
      <c r="AC252" s="5"/>
      <c r="AD252" s="5"/>
      <c r="AE252" s="5"/>
    </row>
    <row r="253">
      <c r="A253" s="4" t="s">
        <v>589</v>
      </c>
      <c r="B253" s="4"/>
      <c r="C253" s="4" t="s">
        <v>184</v>
      </c>
      <c r="D253" s="4">
        <v>49833.0</v>
      </c>
      <c r="E253" s="4"/>
      <c r="F253" s="4" t="s">
        <v>85</v>
      </c>
      <c r="G253" s="4">
        <v>99.0</v>
      </c>
      <c r="H253" s="4"/>
      <c r="I253" s="4">
        <v>99.0</v>
      </c>
      <c r="J253" s="4" t="s">
        <v>590</v>
      </c>
      <c r="K253" s="4">
        <v>9.19703388791E11</v>
      </c>
      <c r="L253" s="4" t="s">
        <v>67</v>
      </c>
      <c r="M253" s="4" t="b">
        <v>0</v>
      </c>
      <c r="N253" s="4" t="s">
        <v>68</v>
      </c>
      <c r="O253" s="4" t="s">
        <v>69</v>
      </c>
      <c r="P253" s="6">
        <v>44281.628020833334</v>
      </c>
      <c r="Q253" s="4" t="s">
        <v>83</v>
      </c>
      <c r="R253" s="4"/>
      <c r="S253" s="4"/>
      <c r="T253" s="4"/>
      <c r="U253" s="7"/>
      <c r="V253" s="4"/>
      <c r="W253" s="4"/>
      <c r="X253" s="4"/>
      <c r="Y253" s="4"/>
      <c r="Z253" s="4"/>
      <c r="AA253" s="5"/>
      <c r="AB253" s="5"/>
      <c r="AC253" s="5"/>
      <c r="AD253" s="5"/>
      <c r="AE253" s="5"/>
    </row>
    <row r="254">
      <c r="A254" s="4" t="s">
        <v>591</v>
      </c>
      <c r="B254" s="4"/>
      <c r="C254" s="4" t="s">
        <v>184</v>
      </c>
      <c r="D254" s="4">
        <v>49833.0</v>
      </c>
      <c r="E254" s="4"/>
      <c r="F254" s="4" t="s">
        <v>85</v>
      </c>
      <c r="G254" s="4">
        <v>99.0</v>
      </c>
      <c r="H254" s="4"/>
      <c r="I254" s="4">
        <v>99.0</v>
      </c>
      <c r="J254" s="4" t="s">
        <v>592</v>
      </c>
      <c r="K254" s="4">
        <v>9.17420038487E11</v>
      </c>
      <c r="L254" s="4" t="s">
        <v>67</v>
      </c>
      <c r="M254" s="4" t="b">
        <v>0</v>
      </c>
      <c r="N254" s="4" t="s">
        <v>74</v>
      </c>
      <c r="O254" s="4" t="s">
        <v>69</v>
      </c>
      <c r="P254" s="6">
        <v>44281.6300462963</v>
      </c>
      <c r="Q254" s="4">
        <v>16593.0</v>
      </c>
      <c r="R254" s="4"/>
      <c r="S254" s="4"/>
      <c r="T254" s="4"/>
      <c r="U254" s="7"/>
      <c r="V254" s="4"/>
      <c r="W254" s="4"/>
      <c r="X254" s="4"/>
      <c r="Y254" s="4"/>
      <c r="Z254" s="4"/>
      <c r="AA254" s="5"/>
      <c r="AB254" s="5"/>
      <c r="AC254" s="5"/>
      <c r="AD254" s="5"/>
      <c r="AE254" s="5"/>
    </row>
    <row r="255">
      <c r="A255" s="4" t="s">
        <v>593</v>
      </c>
      <c r="B255" s="4"/>
      <c r="C255" s="4" t="s">
        <v>181</v>
      </c>
      <c r="D255" s="4">
        <v>49864.0</v>
      </c>
      <c r="E255" s="4"/>
      <c r="F255" s="4" t="s">
        <v>149</v>
      </c>
      <c r="G255" s="4">
        <v>99.0</v>
      </c>
      <c r="H255" s="4"/>
      <c r="I255" s="4">
        <v>99.0</v>
      </c>
      <c r="J255" s="4" t="s">
        <v>594</v>
      </c>
      <c r="K255" s="4">
        <v>9.17721854777E11</v>
      </c>
      <c r="L255" s="4" t="s">
        <v>67</v>
      </c>
      <c r="M255" s="4" t="b">
        <v>0</v>
      </c>
      <c r="N255" s="4" t="s">
        <v>68</v>
      </c>
      <c r="O255" s="4" t="s">
        <v>69</v>
      </c>
      <c r="P255" s="6">
        <v>44294.76362268518</v>
      </c>
      <c r="Q255" s="4" t="s">
        <v>83</v>
      </c>
      <c r="R255" s="4"/>
      <c r="S255" s="4"/>
      <c r="T255" s="4"/>
      <c r="U255" s="7"/>
      <c r="V255" s="4"/>
      <c r="W255" s="4"/>
      <c r="X255" s="4"/>
      <c r="Y255" s="4"/>
      <c r="Z255" s="4"/>
      <c r="AA255" s="5"/>
      <c r="AB255" s="5"/>
      <c r="AC255" s="5"/>
      <c r="AD255" s="5"/>
      <c r="AE255" s="5"/>
    </row>
    <row r="256">
      <c r="A256" s="4" t="s">
        <v>595</v>
      </c>
      <c r="B256" s="4"/>
      <c r="C256" s="4" t="s">
        <v>587</v>
      </c>
      <c r="D256" s="4">
        <v>49907.0</v>
      </c>
      <c r="E256" s="4"/>
      <c r="F256" s="4" t="s">
        <v>149</v>
      </c>
      <c r="G256" s="4">
        <v>99.0</v>
      </c>
      <c r="H256" s="4"/>
      <c r="I256" s="4">
        <v>99.0</v>
      </c>
      <c r="J256" s="4" t="s">
        <v>596</v>
      </c>
      <c r="K256" s="4">
        <v>9.19445180942E11</v>
      </c>
      <c r="L256" s="4" t="s">
        <v>67</v>
      </c>
      <c r="M256" s="4" t="b">
        <v>0</v>
      </c>
      <c r="N256" s="4" t="s">
        <v>68</v>
      </c>
      <c r="O256" s="4" t="s">
        <v>69</v>
      </c>
      <c r="P256" s="6">
        <v>44296.88471064815</v>
      </c>
      <c r="Q256" s="4">
        <v>16902.0</v>
      </c>
      <c r="R256" s="4"/>
      <c r="S256" s="4"/>
      <c r="T256" s="4"/>
      <c r="U256" s="7"/>
      <c r="V256" s="4"/>
      <c r="W256" s="4"/>
      <c r="X256" s="4"/>
      <c r="Y256" s="4"/>
      <c r="Z256" s="4"/>
      <c r="AA256" s="5"/>
      <c r="AB256" s="5"/>
      <c r="AC256" s="5"/>
      <c r="AD256" s="5"/>
      <c r="AE256" s="5"/>
    </row>
    <row r="257">
      <c r="A257" s="4" t="s">
        <v>597</v>
      </c>
      <c r="B257" s="4"/>
      <c r="C257" s="4" t="s">
        <v>184</v>
      </c>
      <c r="D257" s="4">
        <v>49833.0</v>
      </c>
      <c r="E257" s="4"/>
      <c r="F257" s="4" t="s">
        <v>85</v>
      </c>
      <c r="G257" s="4">
        <v>299.0</v>
      </c>
      <c r="H257" s="4"/>
      <c r="I257" s="4">
        <v>299.0</v>
      </c>
      <c r="J257" s="4" t="s">
        <v>598</v>
      </c>
      <c r="K257" s="4">
        <v>9.16370166083E11</v>
      </c>
      <c r="L257" s="4" t="s">
        <v>67</v>
      </c>
      <c r="M257" s="4" t="b">
        <v>0</v>
      </c>
      <c r="N257" s="4" t="s">
        <v>68</v>
      </c>
      <c r="O257" s="4" t="s">
        <v>69</v>
      </c>
      <c r="P257" s="6">
        <v>44281.71119212963</v>
      </c>
      <c r="Q257" s="4">
        <v>16696.0</v>
      </c>
      <c r="R257" s="4"/>
      <c r="S257" s="4"/>
      <c r="T257" s="4"/>
      <c r="U257" s="7"/>
      <c r="V257" s="4"/>
      <c r="W257" s="4"/>
      <c r="X257" s="4"/>
      <c r="Y257" s="4"/>
      <c r="Z257" s="4"/>
      <c r="AA257" s="5"/>
      <c r="AB257" s="5"/>
      <c r="AC257" s="5"/>
      <c r="AD257" s="5"/>
      <c r="AE257" s="5"/>
    </row>
    <row r="258">
      <c r="A258" s="4" t="s">
        <v>599</v>
      </c>
      <c r="B258" s="4"/>
      <c r="C258" s="4" t="s">
        <v>181</v>
      </c>
      <c r="D258" s="4">
        <v>49864.0</v>
      </c>
      <c r="E258" s="4"/>
      <c r="F258" s="4" t="s">
        <v>149</v>
      </c>
      <c r="G258" s="4">
        <v>99.0</v>
      </c>
      <c r="H258" s="4"/>
      <c r="I258" s="4">
        <v>99.0</v>
      </c>
      <c r="J258" s="4" t="s">
        <v>600</v>
      </c>
      <c r="K258" s="4">
        <v>9.19561683E11</v>
      </c>
      <c r="L258" s="4" t="s">
        <v>67</v>
      </c>
      <c r="M258" s="4" t="b">
        <v>0</v>
      </c>
      <c r="N258" s="4" t="s">
        <v>68</v>
      </c>
      <c r="O258" s="4" t="s">
        <v>69</v>
      </c>
      <c r="P258" s="6">
        <v>44295.38</v>
      </c>
      <c r="Q258" s="4">
        <v>16978.0</v>
      </c>
      <c r="R258" s="4"/>
      <c r="S258" s="4"/>
      <c r="T258" s="4"/>
      <c r="U258" s="7"/>
      <c r="V258" s="4"/>
      <c r="W258" s="4"/>
      <c r="X258" s="4"/>
      <c r="Y258" s="4"/>
      <c r="Z258" s="4"/>
      <c r="AA258" s="5"/>
      <c r="AB258" s="5"/>
      <c r="AC258" s="5"/>
      <c r="AD258" s="5"/>
      <c r="AE258" s="5"/>
    </row>
    <row r="259">
      <c r="A259" s="4" t="s">
        <v>601</v>
      </c>
      <c r="B259" s="4"/>
      <c r="C259" s="4" t="s">
        <v>578</v>
      </c>
      <c r="D259" s="4">
        <v>49891.0</v>
      </c>
      <c r="E259" s="4"/>
      <c r="F259" s="4" t="s">
        <v>85</v>
      </c>
      <c r="G259" s="4">
        <v>99.0</v>
      </c>
      <c r="H259" s="4"/>
      <c r="I259" s="4">
        <v>99.0</v>
      </c>
      <c r="J259" s="4" t="s">
        <v>602</v>
      </c>
      <c r="K259" s="4">
        <v>9.19096533965E11</v>
      </c>
      <c r="L259" s="4" t="s">
        <v>67</v>
      </c>
      <c r="M259" s="4" t="b">
        <v>0</v>
      </c>
      <c r="N259" s="4" t="s">
        <v>68</v>
      </c>
      <c r="O259" s="4" t="s">
        <v>69</v>
      </c>
      <c r="P259" s="6">
        <v>44281.73784722222</v>
      </c>
      <c r="Q259" s="4">
        <v>16485.0</v>
      </c>
      <c r="R259" s="4"/>
      <c r="S259" s="4"/>
      <c r="T259" s="4"/>
      <c r="U259" s="7"/>
      <c r="V259" s="4"/>
      <c r="W259" s="4"/>
      <c r="X259" s="4"/>
      <c r="Y259" s="4"/>
      <c r="Z259" s="4"/>
      <c r="AA259" s="5"/>
      <c r="AB259" s="5"/>
      <c r="AC259" s="5"/>
      <c r="AD259" s="5"/>
      <c r="AE259" s="5"/>
    </row>
    <row r="260">
      <c r="A260" s="4" t="s">
        <v>603</v>
      </c>
      <c r="B260" s="4"/>
      <c r="C260" s="4" t="s">
        <v>578</v>
      </c>
      <c r="D260" s="4">
        <v>49891.0</v>
      </c>
      <c r="E260" s="4"/>
      <c r="F260" s="4" t="s">
        <v>85</v>
      </c>
      <c r="G260" s="4">
        <v>99.0</v>
      </c>
      <c r="H260" s="4"/>
      <c r="I260" s="4">
        <v>99.0</v>
      </c>
      <c r="J260" s="4" t="s">
        <v>604</v>
      </c>
      <c r="K260" s="4">
        <v>9.1901111609E11</v>
      </c>
      <c r="L260" s="4" t="s">
        <v>67</v>
      </c>
      <c r="M260" s="4" t="b">
        <v>0</v>
      </c>
      <c r="N260" s="4" t="s">
        <v>74</v>
      </c>
      <c r="O260" s="4" t="s">
        <v>69</v>
      </c>
      <c r="P260" s="6">
        <v>44281.881747685184</v>
      </c>
      <c r="Q260" s="4">
        <v>16506.0</v>
      </c>
      <c r="R260" s="4"/>
      <c r="S260" s="4"/>
      <c r="T260" s="4"/>
      <c r="U260" s="7"/>
      <c r="V260" s="4"/>
      <c r="W260" s="4"/>
      <c r="X260" s="4"/>
      <c r="Y260" s="4"/>
      <c r="Z260" s="4"/>
      <c r="AA260" s="5"/>
      <c r="AB260" s="5"/>
      <c r="AC260" s="5"/>
      <c r="AD260" s="5"/>
      <c r="AE260" s="5"/>
    </row>
    <row r="261">
      <c r="A261" s="4" t="s">
        <v>605</v>
      </c>
      <c r="B261" s="4"/>
      <c r="C261" s="4" t="s">
        <v>181</v>
      </c>
      <c r="D261" s="4">
        <v>49864.0</v>
      </c>
      <c r="E261" s="4"/>
      <c r="F261" s="4" t="s">
        <v>149</v>
      </c>
      <c r="G261" s="4">
        <v>99.0</v>
      </c>
      <c r="H261" s="4"/>
      <c r="I261" s="4">
        <v>99.0</v>
      </c>
      <c r="J261" s="4" t="s">
        <v>606</v>
      </c>
      <c r="K261" s="4">
        <v>9.17045746333E11</v>
      </c>
      <c r="L261" s="4" t="s">
        <v>67</v>
      </c>
      <c r="M261" s="4" t="b">
        <v>0</v>
      </c>
      <c r="N261" s="4" t="s">
        <v>74</v>
      </c>
      <c r="O261" s="4" t="s">
        <v>69</v>
      </c>
      <c r="P261" s="6">
        <v>44295.49456018519</v>
      </c>
      <c r="Q261" s="4" t="s">
        <v>83</v>
      </c>
      <c r="R261" s="4"/>
      <c r="S261" s="4"/>
      <c r="T261" s="4"/>
      <c r="U261" s="7"/>
      <c r="V261" s="4"/>
      <c r="W261" s="4"/>
      <c r="X261" s="4"/>
      <c r="Y261" s="4"/>
      <c r="Z261" s="4"/>
      <c r="AA261" s="5"/>
      <c r="AB261" s="5"/>
      <c r="AC261" s="5"/>
      <c r="AD261" s="5"/>
      <c r="AE261" s="5"/>
    </row>
    <row r="262">
      <c r="A262" s="4" t="s">
        <v>607</v>
      </c>
      <c r="B262" s="4"/>
      <c r="C262" s="4" t="s">
        <v>181</v>
      </c>
      <c r="D262" s="4">
        <v>49864.0</v>
      </c>
      <c r="E262" s="4"/>
      <c r="F262" s="4" t="s">
        <v>149</v>
      </c>
      <c r="G262" s="4">
        <v>99.0</v>
      </c>
      <c r="H262" s="4"/>
      <c r="I262" s="4">
        <v>99.0</v>
      </c>
      <c r="J262" s="4" t="s">
        <v>608</v>
      </c>
      <c r="K262" s="4">
        <v>9.1944724875E11</v>
      </c>
      <c r="L262" s="4" t="s">
        <v>67</v>
      </c>
      <c r="M262" s="4" t="b">
        <v>0</v>
      </c>
      <c r="N262" s="4" t="s">
        <v>97</v>
      </c>
      <c r="O262" s="4" t="s">
        <v>69</v>
      </c>
      <c r="P262" s="6">
        <v>44295.59037037037</v>
      </c>
      <c r="Q262" s="4" t="s">
        <v>83</v>
      </c>
      <c r="R262" s="4"/>
      <c r="S262" s="4"/>
      <c r="T262" s="4"/>
      <c r="U262" s="7"/>
      <c r="V262" s="4"/>
      <c r="W262" s="4"/>
      <c r="X262" s="4"/>
      <c r="Y262" s="4"/>
      <c r="Z262" s="4"/>
      <c r="AA262" s="5"/>
      <c r="AB262" s="5"/>
      <c r="AC262" s="5"/>
      <c r="AD262" s="5"/>
      <c r="AE262" s="5"/>
    </row>
    <row r="263">
      <c r="A263" s="4" t="s">
        <v>609</v>
      </c>
      <c r="B263" s="4"/>
      <c r="C263" s="4" t="s">
        <v>181</v>
      </c>
      <c r="D263" s="4">
        <v>49864.0</v>
      </c>
      <c r="E263" s="4"/>
      <c r="F263" s="4" t="s">
        <v>149</v>
      </c>
      <c r="G263" s="4">
        <v>99.0</v>
      </c>
      <c r="H263" s="4"/>
      <c r="I263" s="4">
        <v>99.0</v>
      </c>
      <c r="J263" s="4" t="s">
        <v>610</v>
      </c>
      <c r="K263" s="4">
        <v>9.19930447947E11</v>
      </c>
      <c r="L263" s="4" t="s">
        <v>67</v>
      </c>
      <c r="M263" s="4" t="b">
        <v>0</v>
      </c>
      <c r="N263" s="4" t="s">
        <v>74</v>
      </c>
      <c r="O263" s="4" t="s">
        <v>69</v>
      </c>
      <c r="P263" s="6">
        <v>44295.69559027778</v>
      </c>
      <c r="Q263" s="4">
        <v>16980.0</v>
      </c>
      <c r="R263" s="4"/>
      <c r="S263" s="4"/>
      <c r="T263" s="4"/>
      <c r="U263" s="7"/>
      <c r="V263" s="4"/>
      <c r="W263" s="4"/>
      <c r="X263" s="4"/>
      <c r="Y263" s="4"/>
      <c r="Z263" s="4"/>
      <c r="AA263" s="5"/>
      <c r="AB263" s="5"/>
      <c r="AC263" s="5"/>
      <c r="AD263" s="5"/>
      <c r="AE263" s="5"/>
    </row>
    <row r="264">
      <c r="A264" s="4" t="s">
        <v>611</v>
      </c>
      <c r="B264" s="4"/>
      <c r="C264" s="4" t="s">
        <v>245</v>
      </c>
      <c r="D264" s="4">
        <v>49962.0</v>
      </c>
      <c r="E264" s="4"/>
      <c r="F264" s="4" t="s">
        <v>85</v>
      </c>
      <c r="G264" s="4">
        <v>99.0</v>
      </c>
      <c r="H264" s="4"/>
      <c r="I264" s="4">
        <v>99.0</v>
      </c>
      <c r="J264" s="4" t="s">
        <v>612</v>
      </c>
      <c r="K264" s="4">
        <v>9.19449450452E11</v>
      </c>
      <c r="L264" s="4" t="s">
        <v>67</v>
      </c>
      <c r="M264" s="4" t="b">
        <v>0</v>
      </c>
      <c r="N264" s="4" t="s">
        <v>74</v>
      </c>
      <c r="O264" s="4" t="s">
        <v>69</v>
      </c>
      <c r="P264" s="6">
        <v>44282.43565972222</v>
      </c>
      <c r="Q264" s="4">
        <v>16572.0</v>
      </c>
      <c r="R264" s="4"/>
      <c r="S264" s="4"/>
      <c r="T264" s="4"/>
      <c r="U264" s="7"/>
      <c r="V264" s="4"/>
      <c r="W264" s="4"/>
      <c r="X264" s="4"/>
      <c r="Y264" s="4"/>
      <c r="Z264" s="4"/>
      <c r="AA264" s="5"/>
      <c r="AB264" s="5"/>
      <c r="AC264" s="5"/>
      <c r="AD264" s="5"/>
      <c r="AE264" s="5"/>
    </row>
    <row r="265">
      <c r="A265" s="4" t="s">
        <v>613</v>
      </c>
      <c r="B265" s="4"/>
      <c r="C265" s="4" t="s">
        <v>245</v>
      </c>
      <c r="D265" s="4">
        <v>49962.0</v>
      </c>
      <c r="E265" s="4"/>
      <c r="F265" s="4" t="s">
        <v>85</v>
      </c>
      <c r="G265" s="4">
        <v>99.0</v>
      </c>
      <c r="H265" s="4"/>
      <c r="I265" s="4">
        <v>99.0</v>
      </c>
      <c r="J265" s="4" t="s">
        <v>614</v>
      </c>
      <c r="K265" s="4">
        <v>9.18074264784E11</v>
      </c>
      <c r="L265" s="4" t="s">
        <v>67</v>
      </c>
      <c r="M265" s="4" t="b">
        <v>0</v>
      </c>
      <c r="N265" s="4" t="s">
        <v>68</v>
      </c>
      <c r="O265" s="4" t="s">
        <v>69</v>
      </c>
      <c r="P265" s="6">
        <v>44282.43672453704</v>
      </c>
      <c r="Q265" s="4">
        <v>16573.0</v>
      </c>
      <c r="R265" s="4"/>
      <c r="S265" s="4"/>
      <c r="T265" s="4"/>
      <c r="U265" s="7"/>
      <c r="V265" s="4"/>
      <c r="W265" s="4"/>
      <c r="X265" s="4"/>
      <c r="Y265" s="4"/>
      <c r="Z265" s="4"/>
      <c r="AA265" s="5"/>
      <c r="AB265" s="5"/>
      <c r="AC265" s="5"/>
      <c r="AD265" s="5"/>
      <c r="AE265" s="5"/>
    </row>
    <row r="266">
      <c r="A266" s="4" t="s">
        <v>615</v>
      </c>
      <c r="B266" s="4"/>
      <c r="C266" s="4" t="s">
        <v>245</v>
      </c>
      <c r="D266" s="4">
        <v>49962.0</v>
      </c>
      <c r="E266" s="4"/>
      <c r="F266" s="4" t="s">
        <v>85</v>
      </c>
      <c r="G266" s="4">
        <v>99.0</v>
      </c>
      <c r="H266" s="4"/>
      <c r="I266" s="4">
        <v>99.0</v>
      </c>
      <c r="J266" s="4" t="s">
        <v>616</v>
      </c>
      <c r="K266" s="4">
        <v>9.1740027119E11</v>
      </c>
      <c r="L266" s="4" t="s">
        <v>67</v>
      </c>
      <c r="M266" s="4" t="b">
        <v>0</v>
      </c>
      <c r="N266" s="4" t="s">
        <v>68</v>
      </c>
      <c r="O266" s="4" t="s">
        <v>69</v>
      </c>
      <c r="P266" s="6">
        <v>44282.43931712963</v>
      </c>
      <c r="Q266" s="4" t="s">
        <v>83</v>
      </c>
      <c r="R266" s="4"/>
      <c r="S266" s="4"/>
      <c r="T266" s="4"/>
      <c r="U266" s="7"/>
      <c r="V266" s="4"/>
      <c r="W266" s="4"/>
      <c r="X266" s="4"/>
      <c r="Y266" s="4"/>
      <c r="Z266" s="4"/>
      <c r="AA266" s="5"/>
      <c r="AB266" s="5"/>
      <c r="AC266" s="5"/>
      <c r="AD266" s="5"/>
      <c r="AE266" s="5"/>
    </row>
    <row r="267">
      <c r="A267" s="4" t="s">
        <v>617</v>
      </c>
      <c r="B267" s="4"/>
      <c r="C267" s="4" t="s">
        <v>181</v>
      </c>
      <c r="D267" s="4">
        <v>49864.0</v>
      </c>
      <c r="E267" s="4"/>
      <c r="F267" s="4" t="s">
        <v>149</v>
      </c>
      <c r="G267" s="4">
        <v>99.0</v>
      </c>
      <c r="H267" s="4"/>
      <c r="I267" s="4">
        <v>99.0</v>
      </c>
      <c r="J267" s="4" t="s">
        <v>618</v>
      </c>
      <c r="K267" s="4">
        <v>9.19445286758E11</v>
      </c>
      <c r="L267" s="4" t="s">
        <v>67</v>
      </c>
      <c r="M267" s="4" t="b">
        <v>0</v>
      </c>
      <c r="N267" s="4" t="s">
        <v>68</v>
      </c>
      <c r="O267" s="4" t="s">
        <v>69</v>
      </c>
      <c r="P267" s="6">
        <v>44296.4340625</v>
      </c>
      <c r="Q267" s="4" t="s">
        <v>83</v>
      </c>
      <c r="R267" s="4"/>
      <c r="S267" s="4"/>
      <c r="T267" s="4"/>
      <c r="U267" s="7"/>
      <c r="V267" s="4"/>
      <c r="W267" s="4"/>
      <c r="X267" s="4"/>
      <c r="Y267" s="4"/>
      <c r="Z267" s="4"/>
      <c r="AA267" s="5"/>
      <c r="AB267" s="5"/>
      <c r="AC267" s="5"/>
      <c r="AD267" s="5"/>
      <c r="AE267" s="5"/>
    </row>
    <row r="268">
      <c r="A268" s="4" t="s">
        <v>619</v>
      </c>
      <c r="B268" s="4"/>
      <c r="C268" s="4" t="s">
        <v>76</v>
      </c>
      <c r="D268" s="4">
        <v>49834.0</v>
      </c>
      <c r="E268" s="4"/>
      <c r="F268" s="4" t="s">
        <v>85</v>
      </c>
      <c r="G268" s="4">
        <v>299.0</v>
      </c>
      <c r="H268" s="4"/>
      <c r="I268" s="4">
        <v>299.0</v>
      </c>
      <c r="J268" s="4" t="s">
        <v>620</v>
      </c>
      <c r="K268" s="4">
        <v>9.18249166991E11</v>
      </c>
      <c r="L268" s="4" t="s">
        <v>67</v>
      </c>
      <c r="M268" s="4" t="b">
        <v>0</v>
      </c>
      <c r="N268" s="4" t="s">
        <v>68</v>
      </c>
      <c r="O268" s="4" t="s">
        <v>69</v>
      </c>
      <c r="P268" s="6">
        <v>44282.55201388889</v>
      </c>
      <c r="Q268" s="4">
        <v>16533.0</v>
      </c>
      <c r="R268" s="4"/>
      <c r="S268" s="4"/>
      <c r="T268" s="4"/>
      <c r="U268" s="7"/>
      <c r="V268" s="4"/>
      <c r="W268" s="4"/>
      <c r="X268" s="4"/>
      <c r="Y268" s="4"/>
      <c r="Z268" s="4"/>
      <c r="AA268" s="5"/>
      <c r="AB268" s="5"/>
      <c r="AC268" s="5"/>
      <c r="AD268" s="5"/>
      <c r="AE268" s="5"/>
    </row>
    <row r="269">
      <c r="A269" s="4" t="s">
        <v>621</v>
      </c>
      <c r="B269" s="4"/>
      <c r="C269" s="4" t="s">
        <v>587</v>
      </c>
      <c r="D269" s="4">
        <v>49907.0</v>
      </c>
      <c r="E269" s="4"/>
      <c r="F269" s="4" t="s">
        <v>85</v>
      </c>
      <c r="G269" s="4">
        <v>199.0</v>
      </c>
      <c r="H269" s="4"/>
      <c r="I269" s="4">
        <v>199.0</v>
      </c>
      <c r="J269" s="4" t="s">
        <v>622</v>
      </c>
      <c r="K269" s="4">
        <v>9.18113925474E11</v>
      </c>
      <c r="L269" s="4" t="s">
        <v>67</v>
      </c>
      <c r="M269" s="4" t="b">
        <v>0</v>
      </c>
      <c r="N269" s="4" t="s">
        <v>74</v>
      </c>
      <c r="O269" s="4" t="s">
        <v>69</v>
      </c>
      <c r="P269" s="6">
        <v>44297.965833333335</v>
      </c>
      <c r="Q269" s="4">
        <v>16799.0</v>
      </c>
      <c r="R269" s="4"/>
      <c r="S269" s="4"/>
      <c r="T269" s="4"/>
      <c r="U269" s="7"/>
      <c r="V269" s="4"/>
      <c r="W269" s="4"/>
      <c r="X269" s="4"/>
      <c r="Y269" s="4"/>
      <c r="Z269" s="4"/>
      <c r="AA269" s="5"/>
      <c r="AB269" s="5"/>
      <c r="AC269" s="5"/>
      <c r="AD269" s="5"/>
      <c r="AE269" s="5"/>
    </row>
    <row r="270">
      <c r="A270" s="4" t="s">
        <v>623</v>
      </c>
      <c r="B270" s="4"/>
      <c r="C270" s="4" t="s">
        <v>587</v>
      </c>
      <c r="D270" s="4">
        <v>49907.0</v>
      </c>
      <c r="E270" s="4"/>
      <c r="F270" s="4" t="s">
        <v>149</v>
      </c>
      <c r="G270" s="4">
        <v>99.0</v>
      </c>
      <c r="H270" s="4"/>
      <c r="I270" s="4">
        <v>99.0</v>
      </c>
      <c r="J270" s="4" t="s">
        <v>624</v>
      </c>
      <c r="K270" s="4">
        <v>9.17007999702E11</v>
      </c>
      <c r="L270" s="4" t="s">
        <v>67</v>
      </c>
      <c r="M270" s="4" t="b">
        <v>0</v>
      </c>
      <c r="N270" s="4" t="s">
        <v>68</v>
      </c>
      <c r="O270" s="4" t="s">
        <v>69</v>
      </c>
      <c r="P270" s="6">
        <v>44298.410949074074</v>
      </c>
      <c r="Q270" s="4">
        <v>16915.0</v>
      </c>
      <c r="R270" s="4"/>
      <c r="S270" s="4"/>
      <c r="T270" s="4"/>
      <c r="U270" s="7"/>
      <c r="V270" s="4"/>
      <c r="W270" s="4"/>
      <c r="X270" s="4"/>
      <c r="Y270" s="4"/>
      <c r="Z270" s="4"/>
      <c r="AA270" s="5"/>
      <c r="AB270" s="5"/>
      <c r="AC270" s="5"/>
      <c r="AD270" s="5"/>
      <c r="AE270" s="5"/>
    </row>
    <row r="271">
      <c r="A271" s="4" t="s">
        <v>625</v>
      </c>
      <c r="B271" s="4"/>
      <c r="C271" s="4" t="s">
        <v>587</v>
      </c>
      <c r="D271" s="4">
        <v>49907.0</v>
      </c>
      <c r="E271" s="4"/>
      <c r="F271" s="4" t="s">
        <v>149</v>
      </c>
      <c r="G271" s="4">
        <v>99.0</v>
      </c>
      <c r="H271" s="4"/>
      <c r="I271" s="4">
        <v>99.0</v>
      </c>
      <c r="J271" s="4" t="s">
        <v>626</v>
      </c>
      <c r="K271" s="4">
        <v>9.17045314165E11</v>
      </c>
      <c r="L271" s="4" t="s">
        <v>67</v>
      </c>
      <c r="M271" s="4" t="b">
        <v>0</v>
      </c>
      <c r="N271" s="4" t="s">
        <v>74</v>
      </c>
      <c r="O271" s="4" t="s">
        <v>69</v>
      </c>
      <c r="P271" s="6">
        <v>44298.57283564815</v>
      </c>
      <c r="Q271" s="4">
        <v>16882.0</v>
      </c>
      <c r="R271" s="4"/>
      <c r="S271" s="4"/>
      <c r="T271" s="4"/>
      <c r="U271" s="7"/>
      <c r="V271" s="4"/>
      <c r="W271" s="4"/>
      <c r="X271" s="4"/>
      <c r="Y271" s="4"/>
      <c r="Z271" s="4"/>
      <c r="AA271" s="5"/>
      <c r="AB271" s="5"/>
      <c r="AC271" s="5"/>
      <c r="AD271" s="5"/>
      <c r="AE271" s="5"/>
    </row>
    <row r="272">
      <c r="A272" s="4" t="s">
        <v>627</v>
      </c>
      <c r="B272" s="4"/>
      <c r="C272" s="4" t="s">
        <v>587</v>
      </c>
      <c r="D272" s="4">
        <v>49907.0</v>
      </c>
      <c r="E272" s="4"/>
      <c r="F272" s="4" t="s">
        <v>77</v>
      </c>
      <c r="G272" s="4">
        <v>349.0</v>
      </c>
      <c r="H272" s="4"/>
      <c r="I272" s="4">
        <v>349.0</v>
      </c>
      <c r="J272" s="4" t="s">
        <v>628</v>
      </c>
      <c r="K272" s="4">
        <v>9.19711912852E11</v>
      </c>
      <c r="L272" s="4" t="s">
        <v>67</v>
      </c>
      <c r="M272" s="4" t="b">
        <v>0</v>
      </c>
      <c r="N272" s="4" t="s">
        <v>68</v>
      </c>
      <c r="O272" s="4" t="s">
        <v>69</v>
      </c>
      <c r="P272" s="6">
        <v>44299.123819444445</v>
      </c>
      <c r="Q272" s="4">
        <v>16885.0</v>
      </c>
      <c r="R272" s="4"/>
      <c r="S272" s="4"/>
      <c r="T272" s="4"/>
      <c r="U272" s="8"/>
      <c r="V272" s="4"/>
      <c r="W272" s="4"/>
      <c r="X272" s="4"/>
      <c r="Y272" s="4"/>
      <c r="Z272" s="4"/>
      <c r="AA272" s="5"/>
      <c r="AB272" s="5"/>
      <c r="AC272" s="5"/>
      <c r="AD272" s="5"/>
      <c r="AE272" s="5"/>
    </row>
    <row r="273">
      <c r="A273" s="4" t="s">
        <v>629</v>
      </c>
      <c r="B273" s="4"/>
      <c r="C273" s="4" t="s">
        <v>587</v>
      </c>
      <c r="D273" s="4">
        <v>49907.0</v>
      </c>
      <c r="E273" s="4"/>
      <c r="F273" s="4" t="s">
        <v>85</v>
      </c>
      <c r="G273" s="4">
        <v>199.0</v>
      </c>
      <c r="H273" s="4"/>
      <c r="I273" s="4">
        <v>199.0</v>
      </c>
      <c r="J273" s="4" t="s">
        <v>630</v>
      </c>
      <c r="K273" s="4">
        <v>9.19490808616E11</v>
      </c>
      <c r="L273" s="4" t="s">
        <v>67</v>
      </c>
      <c r="M273" s="4" t="b">
        <v>0</v>
      </c>
      <c r="N273" s="4" t="s">
        <v>74</v>
      </c>
      <c r="O273" s="4" t="s">
        <v>69</v>
      </c>
      <c r="P273" s="6">
        <v>44299.70576388889</v>
      </c>
      <c r="Q273" s="4" t="s">
        <v>83</v>
      </c>
      <c r="R273" s="4"/>
      <c r="S273" s="4"/>
      <c r="T273" s="4"/>
      <c r="U273" s="7"/>
      <c r="V273" s="4"/>
      <c r="W273" s="4"/>
      <c r="X273" s="4"/>
      <c r="Y273" s="4"/>
      <c r="Z273" s="4"/>
      <c r="AA273" s="5"/>
      <c r="AB273" s="5"/>
      <c r="AC273" s="5"/>
      <c r="AD273" s="5"/>
      <c r="AE273" s="5"/>
    </row>
    <row r="274">
      <c r="A274" s="4" t="s">
        <v>631</v>
      </c>
      <c r="B274" s="4"/>
      <c r="C274" s="4" t="s">
        <v>587</v>
      </c>
      <c r="D274" s="4">
        <v>49907.0</v>
      </c>
      <c r="E274" s="4"/>
      <c r="F274" s="4" t="s">
        <v>149</v>
      </c>
      <c r="G274" s="4">
        <v>99.0</v>
      </c>
      <c r="H274" s="4"/>
      <c r="I274" s="4">
        <v>99.0</v>
      </c>
      <c r="J274" s="4" t="s">
        <v>632</v>
      </c>
      <c r="K274" s="4">
        <v>9.19989716007E11</v>
      </c>
      <c r="L274" s="4" t="s">
        <v>67</v>
      </c>
      <c r="M274" s="4" t="b">
        <v>0</v>
      </c>
      <c r="N274" s="4" t="s">
        <v>151</v>
      </c>
      <c r="O274" s="4" t="s">
        <v>69</v>
      </c>
      <c r="P274" s="6">
        <v>44298.9384375</v>
      </c>
      <c r="Q274" s="4">
        <v>16887.0</v>
      </c>
      <c r="R274" s="4"/>
      <c r="S274" s="4"/>
      <c r="T274" s="4"/>
      <c r="U274" s="7"/>
      <c r="V274" s="4"/>
      <c r="W274" s="4"/>
      <c r="X274" s="4"/>
      <c r="Y274" s="4"/>
      <c r="Z274" s="4"/>
      <c r="AA274" s="5"/>
      <c r="AB274" s="5"/>
      <c r="AC274" s="5"/>
      <c r="AD274" s="5"/>
      <c r="AE274" s="5"/>
    </row>
    <row r="275">
      <c r="A275" s="4" t="s">
        <v>633</v>
      </c>
      <c r="B275" s="4"/>
      <c r="C275" s="4" t="s">
        <v>587</v>
      </c>
      <c r="D275" s="4">
        <v>49907.0</v>
      </c>
      <c r="E275" s="4"/>
      <c r="F275" s="4" t="s">
        <v>85</v>
      </c>
      <c r="G275" s="4">
        <v>199.0</v>
      </c>
      <c r="H275" s="4"/>
      <c r="I275" s="4">
        <v>199.0</v>
      </c>
      <c r="J275" s="4" t="s">
        <v>634</v>
      </c>
      <c r="K275" s="4">
        <v>9.16263101907E11</v>
      </c>
      <c r="L275" s="4" t="s">
        <v>67</v>
      </c>
      <c r="M275" s="4" t="b">
        <v>0</v>
      </c>
      <c r="N275" s="4" t="s">
        <v>68</v>
      </c>
      <c r="O275" s="4" t="s">
        <v>69</v>
      </c>
      <c r="P275" s="6">
        <v>44302.49130787037</v>
      </c>
      <c r="Q275" s="4">
        <v>16995.0</v>
      </c>
      <c r="R275" s="4"/>
      <c r="S275" s="4"/>
      <c r="T275" s="4"/>
      <c r="U275" s="7"/>
      <c r="V275" s="4"/>
      <c r="W275" s="4"/>
      <c r="X275" s="4"/>
      <c r="Y275" s="4"/>
      <c r="Z275" s="4"/>
      <c r="AA275" s="5"/>
      <c r="AB275" s="5"/>
      <c r="AC275" s="5"/>
      <c r="AD275" s="5"/>
      <c r="AE275" s="5"/>
    </row>
    <row r="276">
      <c r="A276" s="4" t="s">
        <v>635</v>
      </c>
      <c r="B276" s="4"/>
      <c r="C276" s="4" t="s">
        <v>181</v>
      </c>
      <c r="D276" s="4">
        <v>49864.0</v>
      </c>
      <c r="E276" s="4"/>
      <c r="F276" s="4" t="s">
        <v>149</v>
      </c>
      <c r="G276" s="4">
        <v>99.0</v>
      </c>
      <c r="H276" s="4"/>
      <c r="I276" s="4">
        <v>99.0</v>
      </c>
      <c r="J276" s="4" t="s">
        <v>636</v>
      </c>
      <c r="K276" s="4">
        <v>9.19870264525E11</v>
      </c>
      <c r="L276" s="4" t="s">
        <v>67</v>
      </c>
      <c r="M276" s="4" t="b">
        <v>0</v>
      </c>
      <c r="N276" s="4" t="s">
        <v>97</v>
      </c>
      <c r="O276" s="4" t="s">
        <v>69</v>
      </c>
      <c r="P276" s="6">
        <v>44297.77990740741</v>
      </c>
      <c r="Q276" s="4">
        <v>11363.0</v>
      </c>
      <c r="R276" s="4"/>
      <c r="S276" s="4"/>
      <c r="T276" s="4"/>
      <c r="U276" s="7"/>
      <c r="V276" s="4"/>
      <c r="W276" s="4"/>
      <c r="X276" s="4"/>
      <c r="Y276" s="4"/>
      <c r="Z276" s="4"/>
      <c r="AA276" s="5"/>
      <c r="AB276" s="5"/>
      <c r="AC276" s="5"/>
      <c r="AD276" s="5"/>
      <c r="AE276" s="5"/>
    </row>
    <row r="277">
      <c r="A277" s="4" t="s">
        <v>637</v>
      </c>
      <c r="B277" s="4"/>
      <c r="C277" s="4" t="s">
        <v>181</v>
      </c>
      <c r="D277" s="4">
        <v>49864.0</v>
      </c>
      <c r="E277" s="4"/>
      <c r="F277" s="4" t="s">
        <v>149</v>
      </c>
      <c r="G277" s="4">
        <v>99.0</v>
      </c>
      <c r="H277" s="4"/>
      <c r="I277" s="4">
        <v>99.0</v>
      </c>
      <c r="J277" s="4" t="s">
        <v>638</v>
      </c>
      <c r="K277" s="4">
        <v>9.18638986402E11</v>
      </c>
      <c r="L277" s="4" t="s">
        <v>67</v>
      </c>
      <c r="M277" s="4" t="b">
        <v>0</v>
      </c>
      <c r="N277" s="4" t="s">
        <v>74</v>
      </c>
      <c r="O277" s="4" t="s">
        <v>69</v>
      </c>
      <c r="P277" s="6">
        <v>44297.95584490741</v>
      </c>
      <c r="Q277" s="4" t="s">
        <v>83</v>
      </c>
      <c r="R277" s="4"/>
      <c r="S277" s="4"/>
      <c r="T277" s="4"/>
      <c r="U277" s="7"/>
      <c r="V277" s="4"/>
      <c r="W277" s="4"/>
      <c r="X277" s="4"/>
      <c r="Y277" s="4"/>
      <c r="Z277" s="4"/>
      <c r="AA277" s="5"/>
      <c r="AB277" s="5"/>
      <c r="AC277" s="5"/>
      <c r="AD277" s="5"/>
      <c r="AE277" s="5"/>
    </row>
    <row r="278">
      <c r="A278" s="4" t="s">
        <v>639</v>
      </c>
      <c r="B278" s="4"/>
      <c r="C278" s="4" t="s">
        <v>181</v>
      </c>
      <c r="D278" s="4">
        <v>49864.0</v>
      </c>
      <c r="E278" s="4"/>
      <c r="F278" s="4" t="s">
        <v>149</v>
      </c>
      <c r="G278" s="4">
        <v>99.0</v>
      </c>
      <c r="H278" s="4"/>
      <c r="I278" s="4">
        <v>99.0</v>
      </c>
      <c r="J278" s="4" t="s">
        <v>640</v>
      </c>
      <c r="K278" s="4">
        <v>9.1809596145E11</v>
      </c>
      <c r="L278" s="4" t="s">
        <v>67</v>
      </c>
      <c r="M278" s="4" t="b">
        <v>0</v>
      </c>
      <c r="N278" s="4" t="s">
        <v>68</v>
      </c>
      <c r="O278" s="4" t="s">
        <v>69</v>
      </c>
      <c r="P278" s="6">
        <v>44298.169953703706</v>
      </c>
      <c r="Q278" s="4" t="s">
        <v>83</v>
      </c>
      <c r="R278" s="4"/>
      <c r="S278" s="4"/>
      <c r="T278" s="4"/>
      <c r="U278" s="7"/>
      <c r="V278" s="4"/>
      <c r="W278" s="4"/>
      <c r="X278" s="4"/>
      <c r="Y278" s="4"/>
      <c r="Z278" s="4"/>
      <c r="AA278" s="5"/>
      <c r="AB278" s="5"/>
      <c r="AC278" s="5"/>
      <c r="AD278" s="5"/>
      <c r="AE278" s="5"/>
    </row>
    <row r="279">
      <c r="A279" s="4" t="s">
        <v>641</v>
      </c>
      <c r="B279" s="4"/>
      <c r="C279" s="4" t="s">
        <v>578</v>
      </c>
      <c r="D279" s="4">
        <v>49891.0</v>
      </c>
      <c r="E279" s="4"/>
      <c r="F279" s="4" t="s">
        <v>85</v>
      </c>
      <c r="G279" s="4">
        <v>99.0</v>
      </c>
      <c r="H279" s="4"/>
      <c r="I279" s="4">
        <v>99.0</v>
      </c>
      <c r="J279" s="4" t="s">
        <v>642</v>
      </c>
      <c r="K279" s="4">
        <v>9.19909955138E11</v>
      </c>
      <c r="L279" s="4" t="s">
        <v>67</v>
      </c>
      <c r="M279" s="4" t="b">
        <v>0</v>
      </c>
      <c r="N279" s="4" t="s">
        <v>68</v>
      </c>
      <c r="O279" s="4" t="s">
        <v>69</v>
      </c>
      <c r="P279" s="6">
        <v>44283.558125</v>
      </c>
      <c r="Q279" s="4" t="s">
        <v>83</v>
      </c>
      <c r="R279" s="4"/>
      <c r="S279" s="4"/>
      <c r="T279" s="4"/>
      <c r="U279" s="7"/>
      <c r="V279" s="4"/>
      <c r="W279" s="4"/>
      <c r="X279" s="4"/>
      <c r="Y279" s="4"/>
      <c r="Z279" s="4"/>
      <c r="AA279" s="5"/>
      <c r="AB279" s="5"/>
      <c r="AC279" s="5"/>
      <c r="AD279" s="5"/>
      <c r="AE279" s="5"/>
    </row>
    <row r="280">
      <c r="A280" s="4" t="s">
        <v>643</v>
      </c>
      <c r="B280" s="4"/>
      <c r="C280" s="4" t="s">
        <v>587</v>
      </c>
      <c r="D280" s="4">
        <v>49907.0</v>
      </c>
      <c r="E280" s="4"/>
      <c r="F280" s="4" t="s">
        <v>149</v>
      </c>
      <c r="G280" s="4">
        <v>99.0</v>
      </c>
      <c r="H280" s="4"/>
      <c r="I280" s="4">
        <v>99.0</v>
      </c>
      <c r="J280" s="4" t="s">
        <v>644</v>
      </c>
      <c r="K280" s="4">
        <v>9.18319230245E11</v>
      </c>
      <c r="L280" s="4" t="s">
        <v>67</v>
      </c>
      <c r="M280" s="4" t="b">
        <v>0</v>
      </c>
      <c r="N280" s="4" t="s">
        <v>68</v>
      </c>
      <c r="O280" s="4" t="s">
        <v>69</v>
      </c>
      <c r="P280" s="6">
        <v>44303.093090277776</v>
      </c>
      <c r="Q280" s="4" t="s">
        <v>83</v>
      </c>
      <c r="R280" s="4"/>
      <c r="S280" s="4"/>
      <c r="T280" s="4"/>
      <c r="U280" s="7"/>
      <c r="V280" s="4"/>
      <c r="W280" s="4"/>
      <c r="X280" s="4"/>
      <c r="Y280" s="4"/>
      <c r="Z280" s="4"/>
      <c r="AA280" s="5"/>
      <c r="AB280" s="5"/>
      <c r="AC280" s="5"/>
      <c r="AD280" s="5"/>
      <c r="AE280" s="5"/>
    </row>
    <row r="281">
      <c r="A281" s="4" t="s">
        <v>645</v>
      </c>
      <c r="B281" s="4"/>
      <c r="C281" s="4" t="s">
        <v>181</v>
      </c>
      <c r="D281" s="4">
        <v>49864.0</v>
      </c>
      <c r="E281" s="4"/>
      <c r="F281" s="4" t="s">
        <v>149</v>
      </c>
      <c r="G281" s="4">
        <v>99.0</v>
      </c>
      <c r="H281" s="4"/>
      <c r="I281" s="4">
        <v>99.0</v>
      </c>
      <c r="J281" s="4" t="s">
        <v>646</v>
      </c>
      <c r="K281" s="4">
        <v>9.19490314211E11</v>
      </c>
      <c r="L281" s="4" t="s">
        <v>67</v>
      </c>
      <c r="M281" s="4" t="b">
        <v>0</v>
      </c>
      <c r="N281" s="4" t="s">
        <v>68</v>
      </c>
      <c r="O281" s="4" t="s">
        <v>69</v>
      </c>
      <c r="P281" s="6">
        <v>44298.83697916667</v>
      </c>
      <c r="Q281" s="4">
        <v>17236.0</v>
      </c>
      <c r="R281" s="4"/>
      <c r="S281" s="4"/>
      <c r="T281" s="4"/>
      <c r="U281" s="7"/>
      <c r="V281" s="4"/>
      <c r="W281" s="4"/>
      <c r="X281" s="4"/>
      <c r="Y281" s="4"/>
      <c r="Z281" s="4"/>
      <c r="AA281" s="5"/>
      <c r="AB281" s="5"/>
      <c r="AC281" s="5"/>
      <c r="AD281" s="5"/>
      <c r="AE281" s="5"/>
    </row>
    <row r="282">
      <c r="A282" s="4" t="s">
        <v>647</v>
      </c>
      <c r="B282" s="4"/>
      <c r="C282" s="4" t="s">
        <v>578</v>
      </c>
      <c r="D282" s="4">
        <v>49891.0</v>
      </c>
      <c r="E282" s="4"/>
      <c r="F282" s="4" t="s">
        <v>85</v>
      </c>
      <c r="G282" s="4">
        <v>99.0</v>
      </c>
      <c r="H282" s="4"/>
      <c r="I282" s="4">
        <v>99.0</v>
      </c>
      <c r="J282" s="4" t="s">
        <v>648</v>
      </c>
      <c r="K282" s="4">
        <v>9.19672372333E11</v>
      </c>
      <c r="L282" s="4" t="s">
        <v>67</v>
      </c>
      <c r="M282" s="4" t="b">
        <v>0</v>
      </c>
      <c r="N282" s="4" t="s">
        <v>68</v>
      </c>
      <c r="O282" s="4" t="s">
        <v>69</v>
      </c>
      <c r="P282" s="6">
        <v>44283.780381944445</v>
      </c>
      <c r="Q282" s="4">
        <v>16521.0</v>
      </c>
      <c r="R282" s="4"/>
      <c r="S282" s="4"/>
      <c r="T282" s="4"/>
      <c r="U282" s="7"/>
      <c r="V282" s="4"/>
      <c r="W282" s="4"/>
      <c r="X282" s="4"/>
      <c r="Y282" s="4"/>
      <c r="Z282" s="4"/>
      <c r="AA282" s="5"/>
      <c r="AB282" s="5"/>
      <c r="AC282" s="5"/>
      <c r="AD282" s="5"/>
      <c r="AE282" s="5"/>
    </row>
    <row r="283">
      <c r="A283" s="4" t="s">
        <v>649</v>
      </c>
      <c r="B283" s="4"/>
      <c r="C283" s="4" t="s">
        <v>587</v>
      </c>
      <c r="D283" s="4">
        <v>49907.0</v>
      </c>
      <c r="E283" s="4"/>
      <c r="F283" s="4" t="s">
        <v>85</v>
      </c>
      <c r="G283" s="4">
        <v>199.0</v>
      </c>
      <c r="H283" s="4"/>
      <c r="I283" s="4">
        <v>199.0</v>
      </c>
      <c r="J283" s="4" t="s">
        <v>650</v>
      </c>
      <c r="K283" s="4">
        <v>9.18884224657E11</v>
      </c>
      <c r="L283" s="4" t="s">
        <v>67</v>
      </c>
      <c r="M283" s="4" t="b">
        <v>0</v>
      </c>
      <c r="N283" s="4" t="s">
        <v>68</v>
      </c>
      <c r="O283" s="4" t="s">
        <v>69</v>
      </c>
      <c r="P283" s="6">
        <v>44303.43854166667</v>
      </c>
      <c r="Q283" s="4">
        <v>17019.0</v>
      </c>
      <c r="R283" s="4"/>
      <c r="S283" s="4"/>
      <c r="T283" s="4"/>
      <c r="U283" s="7"/>
      <c r="V283" s="4"/>
      <c r="W283" s="4"/>
      <c r="X283" s="4"/>
      <c r="Y283" s="4"/>
      <c r="Z283" s="4"/>
      <c r="AA283" s="5"/>
      <c r="AB283" s="5"/>
      <c r="AC283" s="5"/>
      <c r="AD283" s="5"/>
      <c r="AE283" s="5"/>
    </row>
    <row r="284">
      <c r="A284" s="4" t="s">
        <v>651</v>
      </c>
      <c r="B284" s="4"/>
      <c r="C284" s="4" t="s">
        <v>76</v>
      </c>
      <c r="D284" s="4">
        <v>49834.0</v>
      </c>
      <c r="E284" s="4"/>
      <c r="F284" s="4" t="s">
        <v>77</v>
      </c>
      <c r="G284" s="4">
        <v>499.0</v>
      </c>
      <c r="H284" s="4"/>
      <c r="I284" s="4">
        <v>499.0</v>
      </c>
      <c r="J284" s="4" t="s">
        <v>652</v>
      </c>
      <c r="K284" s="4">
        <v>9.1982003323E11</v>
      </c>
      <c r="L284" s="4" t="s">
        <v>67</v>
      </c>
      <c r="M284" s="4" t="b">
        <v>0</v>
      </c>
      <c r="N284" s="4" t="s">
        <v>68</v>
      </c>
      <c r="O284" s="4" t="s">
        <v>69</v>
      </c>
      <c r="P284" s="6">
        <v>44284.02795138889</v>
      </c>
      <c r="Q284" s="4">
        <v>16534.0</v>
      </c>
      <c r="R284" s="4"/>
      <c r="S284" s="4"/>
      <c r="T284" s="4"/>
      <c r="U284" s="7"/>
      <c r="V284" s="4"/>
      <c r="W284" s="4"/>
      <c r="X284" s="4"/>
      <c r="Y284" s="4"/>
      <c r="Z284" s="4"/>
      <c r="AA284" s="5"/>
      <c r="AB284" s="5"/>
      <c r="AC284" s="5"/>
      <c r="AD284" s="5"/>
      <c r="AE284" s="5"/>
    </row>
    <row r="285">
      <c r="A285" s="4" t="s">
        <v>653</v>
      </c>
      <c r="B285" s="4"/>
      <c r="C285" s="4" t="s">
        <v>181</v>
      </c>
      <c r="D285" s="4">
        <v>49864.0</v>
      </c>
      <c r="E285" s="4"/>
      <c r="F285" s="4" t="s">
        <v>149</v>
      </c>
      <c r="G285" s="4">
        <v>99.0</v>
      </c>
      <c r="H285" s="4"/>
      <c r="I285" s="4">
        <v>99.0</v>
      </c>
      <c r="J285" s="4" t="s">
        <v>654</v>
      </c>
      <c r="K285" s="4">
        <v>9.18889222542E11</v>
      </c>
      <c r="L285" s="4" t="s">
        <v>67</v>
      </c>
      <c r="M285" s="4" t="b">
        <v>0</v>
      </c>
      <c r="N285" s="4" t="s">
        <v>68</v>
      </c>
      <c r="O285" s="4" t="s">
        <v>69</v>
      </c>
      <c r="P285" s="6">
        <v>44299.55148148148</v>
      </c>
      <c r="Q285" s="4" t="s">
        <v>83</v>
      </c>
      <c r="R285" s="4"/>
      <c r="S285" s="4"/>
      <c r="T285" s="4"/>
      <c r="U285" s="7"/>
      <c r="V285" s="4"/>
      <c r="W285" s="4"/>
      <c r="X285" s="4"/>
      <c r="Y285" s="4"/>
      <c r="Z285" s="4"/>
      <c r="AA285" s="5"/>
      <c r="AB285" s="5"/>
      <c r="AC285" s="5"/>
      <c r="AD285" s="5"/>
      <c r="AE285" s="5"/>
    </row>
    <row r="286">
      <c r="A286" s="4" t="s">
        <v>655</v>
      </c>
      <c r="B286" s="4"/>
      <c r="C286" s="4" t="s">
        <v>181</v>
      </c>
      <c r="D286" s="4">
        <v>49864.0</v>
      </c>
      <c r="E286" s="4"/>
      <c r="F286" s="4" t="s">
        <v>149</v>
      </c>
      <c r="G286" s="4">
        <v>99.0</v>
      </c>
      <c r="H286" s="4"/>
      <c r="I286" s="4">
        <v>99.0</v>
      </c>
      <c r="J286" s="4" t="s">
        <v>656</v>
      </c>
      <c r="K286" s="4">
        <v>9.19629534161E11</v>
      </c>
      <c r="L286" s="4" t="s">
        <v>67</v>
      </c>
      <c r="M286" s="4" t="b">
        <v>0</v>
      </c>
      <c r="N286" s="4" t="s">
        <v>74</v>
      </c>
      <c r="O286" s="4" t="s">
        <v>69</v>
      </c>
      <c r="P286" s="6">
        <v>44299.596504629626</v>
      </c>
      <c r="Q286" s="4" t="s">
        <v>83</v>
      </c>
      <c r="R286" s="4"/>
      <c r="S286" s="4"/>
      <c r="T286" s="4"/>
      <c r="U286" s="7"/>
      <c r="V286" s="4"/>
      <c r="W286" s="4"/>
      <c r="X286" s="4"/>
      <c r="Y286" s="4"/>
      <c r="Z286" s="4"/>
      <c r="AA286" s="5"/>
      <c r="AB286" s="5"/>
      <c r="AC286" s="5"/>
      <c r="AD286" s="5"/>
      <c r="AE286" s="5"/>
    </row>
    <row r="287">
      <c r="A287" s="4" t="s">
        <v>657</v>
      </c>
      <c r="B287" s="4"/>
      <c r="C287" s="4" t="s">
        <v>181</v>
      </c>
      <c r="D287" s="4">
        <v>49864.0</v>
      </c>
      <c r="E287" s="4"/>
      <c r="F287" s="4" t="s">
        <v>149</v>
      </c>
      <c r="G287" s="4">
        <v>99.0</v>
      </c>
      <c r="H287" s="4"/>
      <c r="I287" s="4">
        <v>99.0</v>
      </c>
      <c r="J287" s="4" t="s">
        <v>658</v>
      </c>
      <c r="K287" s="4">
        <v>9.19823584497E11</v>
      </c>
      <c r="L287" s="4" t="s">
        <v>67</v>
      </c>
      <c r="M287" s="4" t="b">
        <v>0</v>
      </c>
      <c r="N287" s="4" t="s">
        <v>68</v>
      </c>
      <c r="O287" s="4" t="s">
        <v>69</v>
      </c>
      <c r="P287" s="6">
        <v>44299.93761574074</v>
      </c>
      <c r="Q287" s="4" t="s">
        <v>83</v>
      </c>
      <c r="R287" s="4"/>
      <c r="S287" s="4"/>
      <c r="T287" s="4"/>
      <c r="U287" s="7"/>
      <c r="V287" s="4"/>
      <c r="W287" s="4"/>
      <c r="X287" s="4"/>
      <c r="Y287" s="4"/>
      <c r="Z287" s="4"/>
      <c r="AA287" s="5"/>
      <c r="AB287" s="5"/>
      <c r="AC287" s="5"/>
      <c r="AD287" s="5"/>
      <c r="AE287" s="5"/>
    </row>
    <row r="288">
      <c r="A288" s="4" t="s">
        <v>659</v>
      </c>
      <c r="B288" s="4"/>
      <c r="C288" s="4" t="s">
        <v>181</v>
      </c>
      <c r="D288" s="4">
        <v>49864.0</v>
      </c>
      <c r="E288" s="4"/>
      <c r="F288" s="4" t="s">
        <v>149</v>
      </c>
      <c r="G288" s="4">
        <v>99.0</v>
      </c>
      <c r="H288" s="4"/>
      <c r="I288" s="4">
        <v>99.0</v>
      </c>
      <c r="J288" s="4" t="s">
        <v>660</v>
      </c>
      <c r="K288" s="4">
        <v>9.19833800928E11</v>
      </c>
      <c r="L288" s="4" t="s">
        <v>67</v>
      </c>
      <c r="M288" s="4" t="b">
        <v>0</v>
      </c>
      <c r="N288" s="4" t="s">
        <v>97</v>
      </c>
      <c r="O288" s="4" t="s">
        <v>69</v>
      </c>
      <c r="P288" s="6">
        <v>44300.07230324074</v>
      </c>
      <c r="Q288" s="4" t="s">
        <v>83</v>
      </c>
      <c r="R288" s="4"/>
      <c r="S288" s="4"/>
      <c r="T288" s="4"/>
      <c r="U288" s="7"/>
      <c r="V288" s="4"/>
      <c r="W288" s="4"/>
      <c r="X288" s="4"/>
      <c r="Y288" s="4"/>
      <c r="Z288" s="4"/>
      <c r="AA288" s="5"/>
      <c r="AB288" s="5"/>
      <c r="AC288" s="5"/>
      <c r="AD288" s="5"/>
      <c r="AE288" s="5"/>
    </row>
    <row r="289">
      <c r="A289" s="4" t="s">
        <v>661</v>
      </c>
      <c r="B289" s="4"/>
      <c r="C289" s="4" t="s">
        <v>587</v>
      </c>
      <c r="D289" s="4">
        <v>49907.0</v>
      </c>
      <c r="E289" s="4"/>
      <c r="F289" s="4" t="s">
        <v>149</v>
      </c>
      <c r="G289" s="4">
        <v>99.0</v>
      </c>
      <c r="H289" s="4"/>
      <c r="I289" s="4">
        <v>99.0</v>
      </c>
      <c r="J289" s="4" t="s">
        <v>662</v>
      </c>
      <c r="K289" s="4">
        <v>9.19490164044E11</v>
      </c>
      <c r="L289" s="4" t="s">
        <v>67</v>
      </c>
      <c r="M289" s="4" t="b">
        <v>0</v>
      </c>
      <c r="N289" s="4" t="s">
        <v>68</v>
      </c>
      <c r="O289" s="4" t="s">
        <v>69</v>
      </c>
      <c r="P289" s="6">
        <v>44303.40982638889</v>
      </c>
      <c r="Q289" s="4">
        <v>17020.0</v>
      </c>
      <c r="R289" s="4"/>
      <c r="S289" s="4"/>
      <c r="T289" s="4"/>
      <c r="U289" s="7"/>
      <c r="V289" s="4"/>
      <c r="W289" s="4"/>
      <c r="X289" s="4"/>
      <c r="Y289" s="4"/>
      <c r="Z289" s="4"/>
      <c r="AA289" s="5"/>
      <c r="AB289" s="5"/>
      <c r="AC289" s="5"/>
      <c r="AD289" s="5"/>
      <c r="AE289" s="5"/>
    </row>
    <row r="290">
      <c r="A290" s="4" t="s">
        <v>663</v>
      </c>
      <c r="B290" s="4"/>
      <c r="C290" s="4" t="s">
        <v>587</v>
      </c>
      <c r="D290" s="4">
        <v>49907.0</v>
      </c>
      <c r="E290" s="4"/>
      <c r="F290" s="4" t="s">
        <v>85</v>
      </c>
      <c r="G290" s="4">
        <v>199.0</v>
      </c>
      <c r="H290" s="4"/>
      <c r="I290" s="4">
        <v>199.0</v>
      </c>
      <c r="J290" s="4" t="s">
        <v>664</v>
      </c>
      <c r="K290" s="4">
        <v>9.19448970157E11</v>
      </c>
      <c r="L290" s="4" t="s">
        <v>67</v>
      </c>
      <c r="M290" s="4" t="b">
        <v>0</v>
      </c>
      <c r="N290" s="4" t="s">
        <v>151</v>
      </c>
      <c r="O290" s="4" t="s">
        <v>69</v>
      </c>
      <c r="P290" s="6">
        <v>44306.86219907407</v>
      </c>
      <c r="Q290" s="4">
        <v>17357.0</v>
      </c>
      <c r="R290" s="4"/>
      <c r="S290" s="4"/>
      <c r="T290" s="4"/>
      <c r="U290" s="7"/>
      <c r="V290" s="4"/>
      <c r="W290" s="4"/>
      <c r="X290" s="4"/>
      <c r="Y290" s="4"/>
      <c r="Z290" s="4"/>
      <c r="AA290" s="5"/>
      <c r="AB290" s="5"/>
      <c r="AC290" s="5"/>
      <c r="AD290" s="5"/>
      <c r="AE290" s="5"/>
    </row>
    <row r="291">
      <c r="A291" s="4" t="s">
        <v>665</v>
      </c>
      <c r="B291" s="4"/>
      <c r="C291" s="4" t="s">
        <v>587</v>
      </c>
      <c r="D291" s="4">
        <v>49907.0</v>
      </c>
      <c r="E291" s="4"/>
      <c r="F291" s="4" t="s">
        <v>85</v>
      </c>
      <c r="G291" s="4">
        <v>199.0</v>
      </c>
      <c r="H291" s="4"/>
      <c r="I291" s="4">
        <v>199.0</v>
      </c>
      <c r="J291" s="4" t="s">
        <v>666</v>
      </c>
      <c r="K291" s="4">
        <v>9.17892575336E11</v>
      </c>
      <c r="L291" s="4" t="s">
        <v>67</v>
      </c>
      <c r="M291" s="4" t="b">
        <v>0</v>
      </c>
      <c r="N291" s="4" t="s">
        <v>68</v>
      </c>
      <c r="O291" s="4" t="s">
        <v>69</v>
      </c>
      <c r="P291" s="6">
        <v>44307.77643518519</v>
      </c>
      <c r="Q291" s="4" t="s">
        <v>83</v>
      </c>
      <c r="R291" s="4"/>
      <c r="S291" s="4"/>
      <c r="T291" s="4"/>
      <c r="U291" s="7"/>
      <c r="V291" s="4"/>
      <c r="W291" s="4"/>
      <c r="X291" s="4"/>
      <c r="Y291" s="4"/>
      <c r="Z291" s="4"/>
      <c r="AA291" s="5"/>
      <c r="AB291" s="5"/>
      <c r="AC291" s="5"/>
      <c r="AD291" s="5"/>
      <c r="AE291" s="5"/>
    </row>
    <row r="292">
      <c r="A292" s="4" t="s">
        <v>667</v>
      </c>
      <c r="B292" s="4"/>
      <c r="C292" s="4" t="s">
        <v>587</v>
      </c>
      <c r="D292" s="4">
        <v>49907.0</v>
      </c>
      <c r="E292" s="4"/>
      <c r="F292" s="4" t="s">
        <v>149</v>
      </c>
      <c r="G292" s="4">
        <v>99.0</v>
      </c>
      <c r="H292" s="4"/>
      <c r="I292" s="4">
        <v>99.0</v>
      </c>
      <c r="J292" s="4" t="s">
        <v>668</v>
      </c>
      <c r="K292" s="4">
        <v>9.19948497939E11</v>
      </c>
      <c r="L292" s="4" t="s">
        <v>67</v>
      </c>
      <c r="M292" s="4" t="b">
        <v>0</v>
      </c>
      <c r="N292" s="4" t="s">
        <v>74</v>
      </c>
      <c r="O292" s="4" t="s">
        <v>69</v>
      </c>
      <c r="P292" s="6">
        <v>44313.35172453704</v>
      </c>
      <c r="Q292" s="4">
        <v>17335.0</v>
      </c>
      <c r="R292" s="4"/>
      <c r="S292" s="4"/>
      <c r="T292" s="4"/>
      <c r="U292" s="7"/>
      <c r="V292" s="4"/>
      <c r="W292" s="4"/>
      <c r="X292" s="4"/>
      <c r="Y292" s="4"/>
      <c r="Z292" s="4"/>
      <c r="AA292" s="5"/>
      <c r="AB292" s="5"/>
      <c r="AC292" s="5"/>
      <c r="AD292" s="5"/>
      <c r="AE292" s="5"/>
    </row>
    <row r="293">
      <c r="A293" s="4" t="s">
        <v>669</v>
      </c>
      <c r="B293" s="4"/>
      <c r="C293" s="4" t="s">
        <v>578</v>
      </c>
      <c r="D293" s="4">
        <v>49891.0</v>
      </c>
      <c r="E293" s="4"/>
      <c r="F293" s="4" t="s">
        <v>85</v>
      </c>
      <c r="G293" s="4">
        <v>99.0</v>
      </c>
      <c r="H293" s="4"/>
      <c r="I293" s="4">
        <v>99.0</v>
      </c>
      <c r="J293" s="4" t="s">
        <v>670</v>
      </c>
      <c r="K293" s="4">
        <v>9.19004556222E11</v>
      </c>
      <c r="L293" s="4" t="s">
        <v>67</v>
      </c>
      <c r="M293" s="4" t="b">
        <v>0</v>
      </c>
      <c r="N293" s="4" t="s">
        <v>97</v>
      </c>
      <c r="O293" s="4" t="s">
        <v>69</v>
      </c>
      <c r="P293" s="6">
        <v>44285.78157407408</v>
      </c>
      <c r="Q293" s="4">
        <v>16558.0</v>
      </c>
      <c r="R293" s="4"/>
      <c r="S293" s="4"/>
      <c r="T293" s="4"/>
      <c r="U293" s="7"/>
      <c r="V293" s="4"/>
      <c r="W293" s="4"/>
      <c r="X293" s="4"/>
      <c r="Y293" s="4"/>
      <c r="Z293" s="4"/>
      <c r="AA293" s="5"/>
      <c r="AB293" s="5"/>
      <c r="AC293" s="5"/>
      <c r="AD293" s="5"/>
      <c r="AE293" s="5"/>
    </row>
    <row r="294">
      <c r="A294" s="4" t="s">
        <v>671</v>
      </c>
      <c r="B294" s="4"/>
      <c r="C294" s="4" t="s">
        <v>587</v>
      </c>
      <c r="D294" s="4">
        <v>49907.0</v>
      </c>
      <c r="E294" s="4"/>
      <c r="F294" s="4" t="s">
        <v>149</v>
      </c>
      <c r="G294" s="4">
        <v>99.0</v>
      </c>
      <c r="H294" s="4"/>
      <c r="I294" s="4">
        <v>99.0</v>
      </c>
      <c r="J294" s="4" t="s">
        <v>672</v>
      </c>
      <c r="K294" s="4">
        <v>9.18697828012E11</v>
      </c>
      <c r="L294" s="4" t="s">
        <v>67</v>
      </c>
      <c r="M294" s="4" t="b">
        <v>0</v>
      </c>
      <c r="N294" s="4" t="s">
        <v>151</v>
      </c>
      <c r="O294" s="4" t="s">
        <v>69</v>
      </c>
      <c r="P294" s="6">
        <v>44313.467141203706</v>
      </c>
      <c r="Q294" s="4">
        <v>17343.0</v>
      </c>
      <c r="R294" s="4"/>
      <c r="S294" s="4"/>
      <c r="T294" s="4"/>
      <c r="U294" s="7"/>
      <c r="V294" s="4"/>
      <c r="W294" s="4"/>
      <c r="X294" s="4"/>
      <c r="Y294" s="4"/>
      <c r="Z294" s="4"/>
      <c r="AA294" s="5"/>
      <c r="AB294" s="5"/>
      <c r="AC294" s="5"/>
      <c r="AD294" s="5"/>
      <c r="AE294" s="5"/>
    </row>
    <row r="295">
      <c r="A295" s="4" t="s">
        <v>673</v>
      </c>
      <c r="B295" s="4"/>
      <c r="C295" s="4" t="s">
        <v>578</v>
      </c>
      <c r="D295" s="4">
        <v>49891.0</v>
      </c>
      <c r="E295" s="4"/>
      <c r="F295" s="4" t="s">
        <v>85</v>
      </c>
      <c r="G295" s="4">
        <v>99.0</v>
      </c>
      <c r="H295" s="4"/>
      <c r="I295" s="4">
        <v>99.0</v>
      </c>
      <c r="J295" s="4" t="s">
        <v>674</v>
      </c>
      <c r="K295" s="4">
        <v>9.18978023455E11</v>
      </c>
      <c r="L295" s="4" t="s">
        <v>67</v>
      </c>
      <c r="M295" s="4" t="b">
        <v>0</v>
      </c>
      <c r="N295" s="4" t="s">
        <v>68</v>
      </c>
      <c r="O295" s="4" t="s">
        <v>69</v>
      </c>
      <c r="P295" s="6">
        <v>44285.84353009259</v>
      </c>
      <c r="Q295" s="4">
        <v>16554.0</v>
      </c>
      <c r="R295" s="4"/>
      <c r="S295" s="4"/>
      <c r="T295" s="4"/>
      <c r="U295" s="7"/>
      <c r="V295" s="4"/>
      <c r="W295" s="4"/>
      <c r="X295" s="4"/>
      <c r="Y295" s="4"/>
      <c r="Z295" s="4"/>
      <c r="AA295" s="5"/>
      <c r="AB295" s="5"/>
      <c r="AC295" s="5"/>
      <c r="AD295" s="5"/>
      <c r="AE295" s="5"/>
    </row>
    <row r="296">
      <c r="A296" s="4" t="s">
        <v>675</v>
      </c>
      <c r="B296" s="4"/>
      <c r="C296" s="4" t="s">
        <v>587</v>
      </c>
      <c r="D296" s="4">
        <v>49907.0</v>
      </c>
      <c r="E296" s="4"/>
      <c r="F296" s="4" t="s">
        <v>77</v>
      </c>
      <c r="G296" s="4">
        <v>349.0</v>
      </c>
      <c r="H296" s="4"/>
      <c r="I296" s="4">
        <v>349.0</v>
      </c>
      <c r="J296" s="4" t="s">
        <v>676</v>
      </c>
      <c r="K296" s="4">
        <v>9.19951010183E11</v>
      </c>
      <c r="L296" s="4" t="s">
        <v>67</v>
      </c>
      <c r="M296" s="4" t="b">
        <v>0</v>
      </c>
      <c r="N296" s="4" t="s">
        <v>68</v>
      </c>
      <c r="O296" s="4" t="s">
        <v>69</v>
      </c>
      <c r="P296" s="6">
        <v>44315.58789351852</v>
      </c>
      <c r="Q296" s="4" t="s">
        <v>83</v>
      </c>
      <c r="R296" s="4"/>
      <c r="S296" s="4"/>
      <c r="T296" s="4"/>
      <c r="U296" s="8"/>
      <c r="V296" s="4"/>
      <c r="W296" s="4"/>
      <c r="X296" s="4"/>
      <c r="Y296" s="4"/>
      <c r="Z296" s="4"/>
      <c r="AA296" s="5"/>
      <c r="AB296" s="5"/>
      <c r="AC296" s="5"/>
      <c r="AD296" s="5"/>
      <c r="AE296" s="5"/>
    </row>
    <row r="297">
      <c r="A297" s="4" t="s">
        <v>677</v>
      </c>
      <c r="B297" s="4"/>
      <c r="C297" s="4" t="s">
        <v>578</v>
      </c>
      <c r="D297" s="4">
        <v>49891.0</v>
      </c>
      <c r="E297" s="4"/>
      <c r="F297" s="4" t="s">
        <v>85</v>
      </c>
      <c r="G297" s="4">
        <v>99.0</v>
      </c>
      <c r="H297" s="4"/>
      <c r="I297" s="4">
        <v>99.0</v>
      </c>
      <c r="J297" s="4" t="s">
        <v>678</v>
      </c>
      <c r="K297" s="4">
        <v>9.19049396249E11</v>
      </c>
      <c r="L297" s="4" t="s">
        <v>67</v>
      </c>
      <c r="M297" s="4" t="b">
        <v>0</v>
      </c>
      <c r="N297" s="4" t="s">
        <v>68</v>
      </c>
      <c r="O297" s="4" t="s">
        <v>69</v>
      </c>
      <c r="P297" s="6">
        <v>44286.04482638889</v>
      </c>
      <c r="Q297" s="4">
        <v>16559.0</v>
      </c>
      <c r="R297" s="4"/>
      <c r="S297" s="4"/>
      <c r="T297" s="4"/>
      <c r="U297" s="7"/>
      <c r="V297" s="4"/>
      <c r="W297" s="4"/>
      <c r="X297" s="4"/>
      <c r="Y297" s="4"/>
      <c r="Z297" s="4"/>
      <c r="AA297" s="5"/>
      <c r="AB297" s="5"/>
      <c r="AC297" s="5"/>
      <c r="AD297" s="5"/>
      <c r="AE297" s="5"/>
    </row>
    <row r="298">
      <c r="A298" s="4" t="s">
        <v>679</v>
      </c>
      <c r="B298" s="4"/>
      <c r="C298" s="4" t="s">
        <v>680</v>
      </c>
      <c r="D298" s="4">
        <v>49835.0</v>
      </c>
      <c r="E298" s="4"/>
      <c r="F298" s="4" t="s">
        <v>85</v>
      </c>
      <c r="G298" s="4">
        <v>99.0</v>
      </c>
      <c r="H298" s="4"/>
      <c r="I298" s="4">
        <v>99.0</v>
      </c>
      <c r="J298" s="4" t="s">
        <v>681</v>
      </c>
      <c r="K298" s="4">
        <v>9.199621381E11</v>
      </c>
      <c r="L298" s="4" t="s">
        <v>67</v>
      </c>
      <c r="M298" s="4" t="b">
        <v>0</v>
      </c>
      <c r="N298" s="4" t="s">
        <v>97</v>
      </c>
      <c r="O298" s="4" t="s">
        <v>69</v>
      </c>
      <c r="P298" s="6">
        <v>44275.39873842592</v>
      </c>
      <c r="Q298" s="4">
        <v>16347.0</v>
      </c>
      <c r="R298" s="4"/>
      <c r="S298" s="4"/>
      <c r="T298" s="4"/>
      <c r="U298" s="7"/>
      <c r="V298" s="4"/>
      <c r="W298" s="4"/>
      <c r="X298" s="4"/>
      <c r="Y298" s="4"/>
      <c r="Z298" s="4"/>
      <c r="AA298" s="5"/>
      <c r="AB298" s="5"/>
      <c r="AC298" s="5"/>
      <c r="AD298" s="5"/>
      <c r="AE298" s="5"/>
    </row>
    <row r="299">
      <c r="A299" s="4" t="s">
        <v>682</v>
      </c>
      <c r="B299" s="4"/>
      <c r="C299" s="4" t="s">
        <v>184</v>
      </c>
      <c r="D299" s="4">
        <v>49833.0</v>
      </c>
      <c r="E299" s="4"/>
      <c r="F299" s="4" t="s">
        <v>85</v>
      </c>
      <c r="G299" s="4">
        <v>299.0</v>
      </c>
      <c r="H299" s="4"/>
      <c r="I299" s="4">
        <v>299.0</v>
      </c>
      <c r="J299" s="4" t="s">
        <v>683</v>
      </c>
      <c r="K299" s="4">
        <v>9.19537210787E11</v>
      </c>
      <c r="L299" s="4" t="s">
        <v>67</v>
      </c>
      <c r="M299" s="4" t="b">
        <v>0</v>
      </c>
      <c r="N299" s="4" t="s">
        <v>68</v>
      </c>
      <c r="O299" s="4" t="s">
        <v>69</v>
      </c>
      <c r="P299" s="6">
        <v>44286.61662037037</v>
      </c>
      <c r="Q299" s="4">
        <v>16586.0</v>
      </c>
      <c r="R299" s="4"/>
      <c r="S299" s="4"/>
      <c r="T299" s="4"/>
      <c r="U299" s="7"/>
      <c r="V299" s="4"/>
      <c r="W299" s="4"/>
      <c r="X299" s="4"/>
      <c r="Y299" s="4"/>
      <c r="Z299" s="4"/>
      <c r="AA299" s="5"/>
      <c r="AB299" s="5"/>
      <c r="AC299" s="5"/>
      <c r="AD299" s="5"/>
      <c r="AE299" s="5"/>
    </row>
    <row r="300">
      <c r="A300" s="4" t="s">
        <v>684</v>
      </c>
      <c r="B300" s="4"/>
      <c r="C300" s="4" t="s">
        <v>245</v>
      </c>
      <c r="D300" s="4">
        <v>49962.0</v>
      </c>
      <c r="E300" s="4"/>
      <c r="F300" s="4" t="s">
        <v>85</v>
      </c>
      <c r="G300" s="4">
        <v>99.0</v>
      </c>
      <c r="H300" s="4"/>
      <c r="I300" s="4">
        <v>99.0</v>
      </c>
      <c r="J300" s="4" t="s">
        <v>685</v>
      </c>
      <c r="K300" s="4">
        <v>9.19866769779E11</v>
      </c>
      <c r="L300" s="4" t="s">
        <v>67</v>
      </c>
      <c r="M300" s="4" t="b">
        <v>0</v>
      </c>
      <c r="N300" s="4" t="s">
        <v>97</v>
      </c>
      <c r="O300" s="4" t="s">
        <v>69</v>
      </c>
      <c r="P300" s="6">
        <v>44286.62657407407</v>
      </c>
      <c r="Q300" s="4">
        <v>16480.0</v>
      </c>
      <c r="R300" s="4"/>
      <c r="S300" s="4"/>
      <c r="T300" s="4"/>
      <c r="U300" s="7"/>
      <c r="V300" s="4"/>
      <c r="W300" s="4"/>
      <c r="X300" s="4"/>
      <c r="Y300" s="4"/>
      <c r="Z300" s="4"/>
      <c r="AA300" s="5"/>
      <c r="AB300" s="5"/>
      <c r="AC300" s="5"/>
      <c r="AD300" s="5"/>
      <c r="AE300" s="5"/>
    </row>
    <row r="301">
      <c r="A301" s="4" t="s">
        <v>686</v>
      </c>
      <c r="B301" s="4"/>
      <c r="C301" s="4" t="s">
        <v>184</v>
      </c>
      <c r="D301" s="4">
        <v>49833.0</v>
      </c>
      <c r="E301" s="4"/>
      <c r="F301" s="4" t="s">
        <v>85</v>
      </c>
      <c r="G301" s="4">
        <v>299.0</v>
      </c>
      <c r="H301" s="4"/>
      <c r="I301" s="4">
        <v>299.0</v>
      </c>
      <c r="J301" s="4" t="s">
        <v>687</v>
      </c>
      <c r="K301" s="4">
        <v>9.19620071209E11</v>
      </c>
      <c r="L301" s="4" t="s">
        <v>67</v>
      </c>
      <c r="M301" s="4" t="b">
        <v>0</v>
      </c>
      <c r="N301" s="4" t="s">
        <v>68</v>
      </c>
      <c r="O301" s="4" t="s">
        <v>69</v>
      </c>
      <c r="P301" s="6">
        <v>44286.628842592596</v>
      </c>
      <c r="Q301" s="4">
        <v>16639.0</v>
      </c>
      <c r="R301" s="4"/>
      <c r="S301" s="4"/>
      <c r="T301" s="4"/>
      <c r="U301" s="7"/>
      <c r="V301" s="4"/>
      <c r="W301" s="4"/>
      <c r="X301" s="4"/>
      <c r="Y301" s="4"/>
      <c r="Z301" s="4"/>
      <c r="AA301" s="5"/>
      <c r="AB301" s="5"/>
      <c r="AC301" s="5"/>
      <c r="AD301" s="5"/>
      <c r="AE301" s="5"/>
    </row>
    <row r="302">
      <c r="A302" s="4" t="s">
        <v>688</v>
      </c>
      <c r="B302" s="4"/>
      <c r="C302" s="4" t="s">
        <v>245</v>
      </c>
      <c r="D302" s="4">
        <v>49962.0</v>
      </c>
      <c r="E302" s="4"/>
      <c r="F302" s="4" t="s">
        <v>85</v>
      </c>
      <c r="G302" s="4">
        <v>99.0</v>
      </c>
      <c r="H302" s="4"/>
      <c r="I302" s="4">
        <v>99.0</v>
      </c>
      <c r="J302" s="4" t="s">
        <v>689</v>
      </c>
      <c r="K302" s="4">
        <v>9.17975174635E11</v>
      </c>
      <c r="L302" s="4" t="s">
        <v>67</v>
      </c>
      <c r="M302" s="4" t="b">
        <v>0</v>
      </c>
      <c r="N302" s="4" t="s">
        <v>68</v>
      </c>
      <c r="O302" s="4" t="s">
        <v>69</v>
      </c>
      <c r="P302" s="6">
        <v>44286.63402777778</v>
      </c>
      <c r="Q302" s="4">
        <v>16580.0</v>
      </c>
      <c r="R302" s="4"/>
      <c r="S302" s="4"/>
      <c r="T302" s="4"/>
      <c r="U302" s="7"/>
      <c r="V302" s="4"/>
      <c r="W302" s="4"/>
      <c r="X302" s="4"/>
      <c r="Y302" s="4"/>
      <c r="Z302" s="4"/>
      <c r="AA302" s="5"/>
      <c r="AB302" s="5"/>
      <c r="AC302" s="5"/>
      <c r="AD302" s="5"/>
      <c r="AE302" s="5"/>
    </row>
    <row r="303">
      <c r="A303" s="4" t="s">
        <v>690</v>
      </c>
      <c r="B303" s="4"/>
      <c r="C303" s="4" t="s">
        <v>245</v>
      </c>
      <c r="D303" s="4">
        <v>49962.0</v>
      </c>
      <c r="E303" s="4"/>
      <c r="F303" s="4" t="s">
        <v>85</v>
      </c>
      <c r="G303" s="4">
        <v>99.0</v>
      </c>
      <c r="H303" s="4"/>
      <c r="I303" s="4">
        <v>99.0</v>
      </c>
      <c r="J303" s="4" t="s">
        <v>691</v>
      </c>
      <c r="K303" s="4">
        <v>9.18801185563E11</v>
      </c>
      <c r="L303" s="4" t="s">
        <v>67</v>
      </c>
      <c r="M303" s="4" t="b">
        <v>0</v>
      </c>
      <c r="N303" s="4" t="s">
        <v>68</v>
      </c>
      <c r="O303" s="4" t="s">
        <v>69</v>
      </c>
      <c r="P303" s="6">
        <v>44286.638344907406</v>
      </c>
      <c r="Q303" s="4">
        <v>16581.0</v>
      </c>
      <c r="R303" s="4"/>
      <c r="S303" s="4"/>
      <c r="T303" s="4"/>
      <c r="U303" s="7"/>
      <c r="V303" s="4"/>
      <c r="W303" s="4"/>
      <c r="X303" s="4"/>
      <c r="Y303" s="4"/>
      <c r="Z303" s="4"/>
      <c r="AA303" s="5"/>
      <c r="AB303" s="5"/>
      <c r="AC303" s="5"/>
      <c r="AD303" s="5"/>
      <c r="AE303" s="5"/>
    </row>
    <row r="304">
      <c r="A304" s="4" t="s">
        <v>692</v>
      </c>
      <c r="B304" s="4"/>
      <c r="C304" s="4" t="s">
        <v>245</v>
      </c>
      <c r="D304" s="4">
        <v>49962.0</v>
      </c>
      <c r="E304" s="4"/>
      <c r="F304" s="4" t="s">
        <v>85</v>
      </c>
      <c r="G304" s="4">
        <v>99.0</v>
      </c>
      <c r="H304" s="4"/>
      <c r="I304" s="4">
        <v>99.0</v>
      </c>
      <c r="J304" s="4" t="s">
        <v>693</v>
      </c>
      <c r="K304" s="4">
        <v>9.19899747165E11</v>
      </c>
      <c r="L304" s="4" t="s">
        <v>67</v>
      </c>
      <c r="M304" s="4" t="b">
        <v>0</v>
      </c>
      <c r="N304" s="4" t="s">
        <v>68</v>
      </c>
      <c r="O304" s="4" t="s">
        <v>69</v>
      </c>
      <c r="P304" s="6">
        <v>44286.638449074075</v>
      </c>
      <c r="Q304" s="4">
        <v>16579.0</v>
      </c>
      <c r="R304" s="4"/>
      <c r="S304" s="4"/>
      <c r="T304" s="4"/>
      <c r="U304" s="7"/>
      <c r="V304" s="4"/>
      <c r="W304" s="4"/>
      <c r="X304" s="4"/>
      <c r="Y304" s="4"/>
      <c r="Z304" s="4"/>
      <c r="AA304" s="5"/>
      <c r="AB304" s="5"/>
      <c r="AC304" s="5"/>
      <c r="AD304" s="5"/>
      <c r="AE304" s="5"/>
    </row>
    <row r="305">
      <c r="A305" s="4" t="s">
        <v>694</v>
      </c>
      <c r="B305" s="4"/>
      <c r="C305" s="4" t="s">
        <v>680</v>
      </c>
      <c r="D305" s="4">
        <v>49835.0</v>
      </c>
      <c r="E305" s="4"/>
      <c r="F305" s="4" t="s">
        <v>85</v>
      </c>
      <c r="G305" s="4">
        <v>99.0</v>
      </c>
      <c r="H305" s="4"/>
      <c r="I305" s="4">
        <v>99.0</v>
      </c>
      <c r="J305" s="4" t="s">
        <v>695</v>
      </c>
      <c r="K305" s="4">
        <v>9.17976830625E11</v>
      </c>
      <c r="L305" s="4" t="s">
        <v>67</v>
      </c>
      <c r="M305" s="4" t="b">
        <v>0</v>
      </c>
      <c r="N305" s="4" t="s">
        <v>68</v>
      </c>
      <c r="O305" s="4" t="s">
        <v>69</v>
      </c>
      <c r="P305" s="6">
        <v>44275.45957175926</v>
      </c>
      <c r="Q305" s="4">
        <v>16310.0</v>
      </c>
      <c r="R305" s="4"/>
      <c r="S305" s="4"/>
      <c r="T305" s="4"/>
      <c r="U305" s="7"/>
      <c r="V305" s="4"/>
      <c r="W305" s="4"/>
      <c r="X305" s="4"/>
      <c r="Y305" s="4"/>
      <c r="Z305" s="4"/>
      <c r="AA305" s="5"/>
      <c r="AB305" s="5"/>
      <c r="AC305" s="5"/>
      <c r="AD305" s="5"/>
      <c r="AE305" s="5"/>
    </row>
    <row r="306">
      <c r="A306" s="4" t="s">
        <v>696</v>
      </c>
      <c r="B306" s="4"/>
      <c r="C306" s="4" t="s">
        <v>76</v>
      </c>
      <c r="D306" s="4">
        <v>49834.0</v>
      </c>
      <c r="E306" s="4"/>
      <c r="F306" s="4" t="s">
        <v>85</v>
      </c>
      <c r="G306" s="4">
        <v>299.0</v>
      </c>
      <c r="H306" s="4"/>
      <c r="I306" s="4">
        <v>299.0</v>
      </c>
      <c r="J306" s="4" t="s">
        <v>697</v>
      </c>
      <c r="K306" s="4">
        <v>9.18891781175E11</v>
      </c>
      <c r="L306" s="4" t="s">
        <v>67</v>
      </c>
      <c r="M306" s="4" t="b">
        <v>0</v>
      </c>
      <c r="N306" s="4" t="s">
        <v>68</v>
      </c>
      <c r="O306" s="4" t="s">
        <v>69</v>
      </c>
      <c r="P306" s="6">
        <v>44286.68953703704</v>
      </c>
      <c r="Q306" s="4">
        <v>16594.0</v>
      </c>
      <c r="R306" s="4"/>
      <c r="S306" s="4"/>
      <c r="T306" s="4"/>
      <c r="U306" s="7"/>
      <c r="V306" s="4"/>
      <c r="W306" s="4"/>
      <c r="X306" s="4"/>
      <c r="Y306" s="4"/>
      <c r="Z306" s="4"/>
      <c r="AA306" s="5"/>
      <c r="AB306" s="5"/>
      <c r="AC306" s="5"/>
      <c r="AD306" s="5"/>
      <c r="AE306" s="5"/>
    </row>
    <row r="307">
      <c r="A307" s="4" t="s">
        <v>698</v>
      </c>
      <c r="B307" s="4"/>
      <c r="C307" s="4" t="s">
        <v>184</v>
      </c>
      <c r="D307" s="4">
        <v>49833.0</v>
      </c>
      <c r="E307" s="4"/>
      <c r="F307" s="4" t="s">
        <v>85</v>
      </c>
      <c r="G307" s="4">
        <v>299.0</v>
      </c>
      <c r="H307" s="4"/>
      <c r="I307" s="4">
        <v>299.0</v>
      </c>
      <c r="J307" s="4" t="s">
        <v>699</v>
      </c>
      <c r="K307" s="4">
        <v>9.19491426888E11</v>
      </c>
      <c r="L307" s="4" t="s">
        <v>67</v>
      </c>
      <c r="M307" s="4" t="b">
        <v>0</v>
      </c>
      <c r="N307" s="4" t="s">
        <v>68</v>
      </c>
      <c r="O307" s="4" t="s">
        <v>69</v>
      </c>
      <c r="P307" s="6">
        <v>44286.71165509259</v>
      </c>
      <c r="Q307" s="4">
        <v>16603.0</v>
      </c>
      <c r="R307" s="4"/>
      <c r="S307" s="4"/>
      <c r="T307" s="4"/>
      <c r="U307" s="7"/>
      <c r="V307" s="4"/>
      <c r="W307" s="4"/>
      <c r="X307" s="4"/>
      <c r="Y307" s="4"/>
      <c r="Z307" s="4"/>
      <c r="AA307" s="5"/>
      <c r="AB307" s="5"/>
      <c r="AC307" s="5"/>
      <c r="AD307" s="5"/>
      <c r="AE307" s="5"/>
    </row>
    <row r="308">
      <c r="A308" s="4" t="s">
        <v>700</v>
      </c>
      <c r="B308" s="4"/>
      <c r="C308" s="4" t="s">
        <v>245</v>
      </c>
      <c r="D308" s="4">
        <v>49962.0</v>
      </c>
      <c r="E308" s="4"/>
      <c r="F308" s="4" t="s">
        <v>85</v>
      </c>
      <c r="G308" s="4">
        <v>99.0</v>
      </c>
      <c r="H308" s="4"/>
      <c r="I308" s="4">
        <v>99.0</v>
      </c>
      <c r="J308" s="4" t="s">
        <v>701</v>
      </c>
      <c r="K308" s="4">
        <v>9.18088038268E11</v>
      </c>
      <c r="L308" s="4" t="s">
        <v>67</v>
      </c>
      <c r="M308" s="4" t="b">
        <v>0</v>
      </c>
      <c r="N308" s="4" t="s">
        <v>68</v>
      </c>
      <c r="O308" s="4" t="s">
        <v>69</v>
      </c>
      <c r="P308" s="6">
        <v>44286.807662037034</v>
      </c>
      <c r="Q308" s="4">
        <v>16577.0</v>
      </c>
      <c r="R308" s="4"/>
      <c r="S308" s="4"/>
      <c r="T308" s="4"/>
      <c r="U308" s="7"/>
      <c r="V308" s="4"/>
      <c r="W308" s="4"/>
      <c r="X308" s="4"/>
      <c r="Y308" s="4"/>
      <c r="Z308" s="4"/>
      <c r="AA308" s="5"/>
      <c r="AB308" s="5"/>
      <c r="AC308" s="5"/>
      <c r="AD308" s="5"/>
      <c r="AE308" s="5"/>
    </row>
    <row r="309">
      <c r="A309" s="4" t="s">
        <v>702</v>
      </c>
      <c r="B309" s="4"/>
      <c r="C309" s="4" t="s">
        <v>680</v>
      </c>
      <c r="D309" s="4">
        <v>49835.0</v>
      </c>
      <c r="E309" s="4"/>
      <c r="F309" s="4" t="s">
        <v>85</v>
      </c>
      <c r="G309" s="4">
        <v>99.0</v>
      </c>
      <c r="H309" s="4"/>
      <c r="I309" s="4">
        <v>99.0</v>
      </c>
      <c r="J309" s="4" t="s">
        <v>703</v>
      </c>
      <c r="K309" s="4">
        <v>9.18248059061E11</v>
      </c>
      <c r="L309" s="4" t="s">
        <v>67</v>
      </c>
      <c r="M309" s="4" t="b">
        <v>0</v>
      </c>
      <c r="N309" s="4" t="s">
        <v>68</v>
      </c>
      <c r="O309" s="4" t="s">
        <v>69</v>
      </c>
      <c r="P309" s="6">
        <v>44275.63050925926</v>
      </c>
      <c r="Q309" s="4">
        <v>16312.0</v>
      </c>
      <c r="R309" s="4"/>
      <c r="S309" s="4"/>
      <c r="T309" s="4"/>
      <c r="U309" s="7"/>
      <c r="V309" s="4"/>
      <c r="W309" s="4"/>
      <c r="X309" s="4"/>
      <c r="Y309" s="4"/>
      <c r="Z309" s="4"/>
      <c r="AA309" s="5"/>
      <c r="AB309" s="5"/>
      <c r="AC309" s="5"/>
      <c r="AD309" s="5"/>
      <c r="AE309" s="5"/>
    </row>
    <row r="310">
      <c r="A310" s="4" t="s">
        <v>704</v>
      </c>
      <c r="B310" s="4"/>
      <c r="C310" s="4" t="s">
        <v>680</v>
      </c>
      <c r="D310" s="4">
        <v>49835.0</v>
      </c>
      <c r="E310" s="4"/>
      <c r="F310" s="4" t="s">
        <v>85</v>
      </c>
      <c r="G310" s="4">
        <v>99.0</v>
      </c>
      <c r="H310" s="4"/>
      <c r="I310" s="4">
        <v>99.0</v>
      </c>
      <c r="J310" s="4" t="s">
        <v>705</v>
      </c>
      <c r="K310" s="4">
        <v>9.18469688247E11</v>
      </c>
      <c r="L310" s="4" t="s">
        <v>67</v>
      </c>
      <c r="M310" s="4" t="b">
        <v>0</v>
      </c>
      <c r="N310" s="4" t="s">
        <v>74</v>
      </c>
      <c r="O310" s="4" t="s">
        <v>69</v>
      </c>
      <c r="P310" s="6">
        <v>44275.734918981485</v>
      </c>
      <c r="Q310" s="4">
        <v>16318.0</v>
      </c>
      <c r="R310" s="4"/>
      <c r="S310" s="4"/>
      <c r="T310" s="4"/>
      <c r="U310" s="7"/>
      <c r="V310" s="4"/>
      <c r="W310" s="4"/>
      <c r="X310" s="4"/>
      <c r="Y310" s="4"/>
      <c r="Z310" s="4"/>
      <c r="AA310" s="5"/>
      <c r="AB310" s="5"/>
      <c r="AC310" s="5"/>
      <c r="AD310" s="5"/>
      <c r="AE310" s="5"/>
    </row>
    <row r="311">
      <c r="A311" s="4" t="s">
        <v>706</v>
      </c>
      <c r="B311" s="4"/>
      <c r="C311" s="4" t="s">
        <v>680</v>
      </c>
      <c r="D311" s="4">
        <v>49835.0</v>
      </c>
      <c r="E311" s="4"/>
      <c r="F311" s="4" t="s">
        <v>85</v>
      </c>
      <c r="G311" s="4">
        <v>99.0</v>
      </c>
      <c r="H311" s="4"/>
      <c r="I311" s="4">
        <v>99.0</v>
      </c>
      <c r="J311" s="4" t="s">
        <v>707</v>
      </c>
      <c r="K311" s="4">
        <v>9.18318398884E11</v>
      </c>
      <c r="L311" s="4" t="s">
        <v>67</v>
      </c>
      <c r="M311" s="4" t="b">
        <v>0</v>
      </c>
      <c r="N311" s="4" t="s">
        <v>68</v>
      </c>
      <c r="O311" s="4" t="s">
        <v>69</v>
      </c>
      <c r="P311" s="6">
        <v>44275.87923611111</v>
      </c>
      <c r="Q311" s="4">
        <v>16326.0</v>
      </c>
      <c r="R311" s="4"/>
      <c r="S311" s="4"/>
      <c r="T311" s="4"/>
      <c r="U311" s="7"/>
      <c r="V311" s="4"/>
      <c r="W311" s="4"/>
      <c r="X311" s="4"/>
      <c r="Y311" s="4"/>
      <c r="Z311" s="4"/>
      <c r="AA311" s="5"/>
      <c r="AB311" s="5"/>
      <c r="AC311" s="5"/>
      <c r="AD311" s="5"/>
      <c r="AE311" s="5"/>
    </row>
    <row r="312">
      <c r="A312" s="4" t="s">
        <v>708</v>
      </c>
      <c r="B312" s="4"/>
      <c r="C312" s="4" t="s">
        <v>578</v>
      </c>
      <c r="D312" s="4">
        <v>49891.0</v>
      </c>
      <c r="E312" s="4"/>
      <c r="F312" s="4" t="s">
        <v>85</v>
      </c>
      <c r="G312" s="4">
        <v>99.0</v>
      </c>
      <c r="H312" s="4"/>
      <c r="I312" s="4">
        <v>99.0</v>
      </c>
      <c r="J312" s="4" t="s">
        <v>709</v>
      </c>
      <c r="K312" s="4">
        <v>9.1899979908E11</v>
      </c>
      <c r="L312" s="4" t="s">
        <v>67</v>
      </c>
      <c r="M312" s="4" t="b">
        <v>0</v>
      </c>
      <c r="N312" s="4" t="s">
        <v>68</v>
      </c>
      <c r="O312" s="4" t="s">
        <v>69</v>
      </c>
      <c r="P312" s="6">
        <v>44287.635405092595</v>
      </c>
      <c r="Q312" s="4">
        <v>16596.0</v>
      </c>
      <c r="R312" s="4"/>
      <c r="S312" s="4"/>
      <c r="T312" s="4"/>
      <c r="U312" s="7"/>
      <c r="V312" s="4"/>
      <c r="W312" s="4"/>
      <c r="X312" s="4"/>
      <c r="Y312" s="4"/>
      <c r="Z312" s="4"/>
      <c r="AA312" s="5"/>
      <c r="AB312" s="5"/>
      <c r="AC312" s="5"/>
      <c r="AD312" s="5"/>
      <c r="AE312" s="5"/>
    </row>
    <row r="313">
      <c r="A313" s="4" t="s">
        <v>710</v>
      </c>
      <c r="B313" s="4"/>
      <c r="C313" s="4" t="s">
        <v>280</v>
      </c>
      <c r="D313" s="4">
        <v>49877.0</v>
      </c>
      <c r="E313" s="4"/>
      <c r="F313" s="4" t="s">
        <v>85</v>
      </c>
      <c r="G313" s="4">
        <v>99.0</v>
      </c>
      <c r="H313" s="4"/>
      <c r="I313" s="4">
        <v>99.0</v>
      </c>
      <c r="J313" s="4" t="s">
        <v>711</v>
      </c>
      <c r="K313" s="4">
        <v>9.19205742249E11</v>
      </c>
      <c r="L313" s="4" t="s">
        <v>67</v>
      </c>
      <c r="M313" s="4" t="b">
        <v>0</v>
      </c>
      <c r="N313" s="4" t="s">
        <v>151</v>
      </c>
      <c r="O313" s="4" t="s">
        <v>69</v>
      </c>
      <c r="P313" s="6">
        <v>44287.71511574074</v>
      </c>
      <c r="Q313" s="4">
        <v>16597.0</v>
      </c>
      <c r="R313" s="4"/>
      <c r="S313" s="4"/>
      <c r="T313" s="4"/>
      <c r="U313" s="7"/>
      <c r="V313" s="4"/>
      <c r="W313" s="4"/>
      <c r="X313" s="4"/>
      <c r="Y313" s="4"/>
      <c r="Z313" s="4"/>
      <c r="AA313" s="5"/>
      <c r="AB313" s="5"/>
      <c r="AC313" s="5"/>
      <c r="AD313" s="5"/>
      <c r="AE313" s="5"/>
    </row>
    <row r="314">
      <c r="A314" s="4" t="s">
        <v>712</v>
      </c>
      <c r="B314" s="4"/>
      <c r="C314" s="4" t="s">
        <v>680</v>
      </c>
      <c r="D314" s="4">
        <v>49835.0</v>
      </c>
      <c r="E314" s="4"/>
      <c r="F314" s="4" t="s">
        <v>85</v>
      </c>
      <c r="G314" s="4">
        <v>99.0</v>
      </c>
      <c r="H314" s="4"/>
      <c r="I314" s="4">
        <v>99.0</v>
      </c>
      <c r="J314" s="4" t="s">
        <v>713</v>
      </c>
      <c r="K314" s="4">
        <v>9.19844638555E11</v>
      </c>
      <c r="L314" s="4" t="s">
        <v>67</v>
      </c>
      <c r="M314" s="4" t="b">
        <v>0</v>
      </c>
      <c r="N314" s="4" t="s">
        <v>68</v>
      </c>
      <c r="O314" s="4" t="s">
        <v>69</v>
      </c>
      <c r="P314" s="6">
        <v>44276.2915162037</v>
      </c>
      <c r="Q314" s="4">
        <v>16331.0</v>
      </c>
      <c r="R314" s="4"/>
      <c r="S314" s="4"/>
      <c r="T314" s="4"/>
      <c r="U314" s="7"/>
      <c r="V314" s="4"/>
      <c r="W314" s="4"/>
      <c r="X314" s="4"/>
      <c r="Y314" s="4"/>
      <c r="Z314" s="4"/>
      <c r="AA314" s="5"/>
      <c r="AB314" s="5"/>
      <c r="AC314" s="5"/>
      <c r="AD314" s="5"/>
      <c r="AE314" s="5"/>
    </row>
    <row r="315">
      <c r="A315" s="4" t="s">
        <v>714</v>
      </c>
      <c r="B315" s="4"/>
      <c r="C315" s="4" t="s">
        <v>680</v>
      </c>
      <c r="D315" s="4">
        <v>49835.0</v>
      </c>
      <c r="E315" s="4"/>
      <c r="F315" s="4" t="s">
        <v>85</v>
      </c>
      <c r="G315" s="4">
        <v>99.0</v>
      </c>
      <c r="H315" s="4"/>
      <c r="I315" s="4">
        <v>99.0</v>
      </c>
      <c r="J315" s="4" t="s">
        <v>715</v>
      </c>
      <c r="K315" s="4">
        <v>9.19894487751E11</v>
      </c>
      <c r="L315" s="4" t="s">
        <v>67</v>
      </c>
      <c r="M315" s="4" t="b">
        <v>0</v>
      </c>
      <c r="N315" s="4" t="s">
        <v>68</v>
      </c>
      <c r="O315" s="4" t="s">
        <v>69</v>
      </c>
      <c r="P315" s="6">
        <v>44276.398194444446</v>
      </c>
      <c r="Q315" s="4">
        <v>16332.0</v>
      </c>
      <c r="R315" s="4"/>
      <c r="S315" s="4"/>
      <c r="T315" s="4"/>
      <c r="U315" s="7"/>
      <c r="V315" s="4"/>
      <c r="W315" s="4"/>
      <c r="X315" s="4"/>
      <c r="Y315" s="4"/>
      <c r="Z315" s="4"/>
      <c r="AA315" s="5"/>
      <c r="AB315" s="5"/>
      <c r="AC315" s="5"/>
      <c r="AD315" s="5"/>
      <c r="AE315" s="5"/>
    </row>
    <row r="316">
      <c r="A316" s="4" t="s">
        <v>716</v>
      </c>
      <c r="B316" s="4"/>
      <c r="C316" s="4" t="s">
        <v>184</v>
      </c>
      <c r="D316" s="4">
        <v>49833.0</v>
      </c>
      <c r="E316" s="4"/>
      <c r="F316" s="4" t="s">
        <v>85</v>
      </c>
      <c r="G316" s="4">
        <v>299.0</v>
      </c>
      <c r="H316" s="4"/>
      <c r="I316" s="4">
        <v>299.0</v>
      </c>
      <c r="J316" s="4" t="s">
        <v>717</v>
      </c>
      <c r="K316" s="4">
        <v>9.1973954447E11</v>
      </c>
      <c r="L316" s="4" t="s">
        <v>67</v>
      </c>
      <c r="M316" s="4" t="b">
        <v>0</v>
      </c>
      <c r="N316" s="4" t="s">
        <v>68</v>
      </c>
      <c r="O316" s="4" t="s">
        <v>69</v>
      </c>
      <c r="P316" s="6">
        <v>44288.708657407406</v>
      </c>
      <c r="Q316" s="4" t="s">
        <v>83</v>
      </c>
      <c r="R316" s="4"/>
      <c r="S316" s="4"/>
      <c r="T316" s="4"/>
      <c r="U316" s="7"/>
      <c r="V316" s="4"/>
      <c r="W316" s="4"/>
      <c r="X316" s="4"/>
      <c r="Y316" s="4"/>
      <c r="Z316" s="4"/>
      <c r="AA316" s="5"/>
      <c r="AB316" s="5"/>
      <c r="AC316" s="5"/>
      <c r="AD316" s="5"/>
      <c r="AE316" s="5"/>
    </row>
    <row r="317">
      <c r="A317" s="4" t="s">
        <v>718</v>
      </c>
      <c r="B317" s="4"/>
      <c r="C317" s="4" t="s">
        <v>184</v>
      </c>
      <c r="D317" s="4">
        <v>49833.0</v>
      </c>
      <c r="E317" s="4"/>
      <c r="F317" s="4" t="s">
        <v>85</v>
      </c>
      <c r="G317" s="4">
        <v>299.0</v>
      </c>
      <c r="H317" s="4"/>
      <c r="I317" s="4">
        <v>299.0</v>
      </c>
      <c r="J317" s="4" t="s">
        <v>719</v>
      </c>
      <c r="K317" s="4">
        <v>9.18415959465E11</v>
      </c>
      <c r="L317" s="4" t="s">
        <v>67</v>
      </c>
      <c r="M317" s="4" t="b">
        <v>0</v>
      </c>
      <c r="N317" s="4" t="s">
        <v>74</v>
      </c>
      <c r="O317" s="4" t="s">
        <v>69</v>
      </c>
      <c r="P317" s="6">
        <v>44288.732881944445</v>
      </c>
      <c r="Q317" s="4">
        <v>16648.0</v>
      </c>
      <c r="R317" s="4"/>
      <c r="S317" s="4"/>
      <c r="T317" s="4"/>
      <c r="U317" s="7"/>
      <c r="V317" s="4"/>
      <c r="W317" s="4"/>
      <c r="X317" s="4"/>
      <c r="Y317" s="4"/>
      <c r="Z317" s="4"/>
      <c r="AA317" s="5"/>
      <c r="AB317" s="5"/>
      <c r="AC317" s="5"/>
      <c r="AD317" s="5"/>
      <c r="AE317" s="5"/>
    </row>
    <row r="318">
      <c r="A318" s="4" t="s">
        <v>720</v>
      </c>
      <c r="B318" s="4"/>
      <c r="C318" s="4" t="s">
        <v>280</v>
      </c>
      <c r="D318" s="4">
        <v>49877.0</v>
      </c>
      <c r="E318" s="4"/>
      <c r="F318" s="4" t="s">
        <v>85</v>
      </c>
      <c r="G318" s="4">
        <v>99.0</v>
      </c>
      <c r="H318" s="4"/>
      <c r="I318" s="4">
        <v>99.0</v>
      </c>
      <c r="J318" s="4" t="s">
        <v>721</v>
      </c>
      <c r="K318" s="4">
        <v>9.19325552072E11</v>
      </c>
      <c r="L318" s="4" t="s">
        <v>67</v>
      </c>
      <c r="M318" s="4" t="b">
        <v>0</v>
      </c>
      <c r="N318" s="4" t="s">
        <v>74</v>
      </c>
      <c r="O318" s="4" t="s">
        <v>69</v>
      </c>
      <c r="P318" s="6">
        <v>44289.308171296296</v>
      </c>
      <c r="Q318" s="4">
        <v>15932.0</v>
      </c>
      <c r="R318" s="4"/>
      <c r="S318" s="4"/>
      <c r="T318" s="4"/>
      <c r="U318" s="7"/>
      <c r="V318" s="4"/>
      <c r="W318" s="4"/>
      <c r="X318" s="4"/>
      <c r="Y318" s="4"/>
      <c r="Z318" s="4"/>
      <c r="AA318" s="5"/>
      <c r="AB318" s="5"/>
      <c r="AC318" s="5"/>
      <c r="AD318" s="5"/>
      <c r="AE318" s="5"/>
    </row>
    <row r="319">
      <c r="A319" s="4" t="s">
        <v>722</v>
      </c>
      <c r="B319" s="4"/>
      <c r="C319" s="4" t="s">
        <v>680</v>
      </c>
      <c r="D319" s="4">
        <v>49835.0</v>
      </c>
      <c r="E319" s="4"/>
      <c r="F319" s="4" t="s">
        <v>85</v>
      </c>
      <c r="G319" s="4">
        <v>99.0</v>
      </c>
      <c r="H319" s="4"/>
      <c r="I319" s="4">
        <v>99.0</v>
      </c>
      <c r="J319" s="4" t="s">
        <v>723</v>
      </c>
      <c r="K319" s="4">
        <v>9.19879323023E11</v>
      </c>
      <c r="L319" s="4" t="s">
        <v>67</v>
      </c>
      <c r="M319" s="4" t="b">
        <v>0</v>
      </c>
      <c r="N319" s="4" t="s">
        <v>68</v>
      </c>
      <c r="O319" s="4" t="s">
        <v>69</v>
      </c>
      <c r="P319" s="6">
        <v>44276.648726851854</v>
      </c>
      <c r="Q319" s="4" t="s">
        <v>83</v>
      </c>
      <c r="R319" s="4"/>
      <c r="S319" s="4"/>
      <c r="T319" s="4"/>
      <c r="U319" s="7"/>
      <c r="V319" s="4"/>
      <c r="W319" s="4"/>
      <c r="X319" s="4"/>
      <c r="Y319" s="4"/>
      <c r="Z319" s="4"/>
      <c r="AA319" s="5"/>
      <c r="AB319" s="5"/>
      <c r="AC319" s="5"/>
      <c r="AD319" s="5"/>
      <c r="AE319" s="5"/>
    </row>
    <row r="320">
      <c r="A320" s="4" t="s">
        <v>724</v>
      </c>
      <c r="B320" s="4"/>
      <c r="C320" s="4" t="s">
        <v>184</v>
      </c>
      <c r="D320" s="4">
        <v>49833.0</v>
      </c>
      <c r="E320" s="4"/>
      <c r="F320" s="4" t="s">
        <v>85</v>
      </c>
      <c r="G320" s="4">
        <v>99.0</v>
      </c>
      <c r="H320" s="4"/>
      <c r="I320" s="4">
        <v>99.0</v>
      </c>
      <c r="J320" s="4" t="s">
        <v>725</v>
      </c>
      <c r="K320" s="4">
        <v>9.17674953996E11</v>
      </c>
      <c r="L320" s="4" t="s">
        <v>67</v>
      </c>
      <c r="M320" s="4" t="b">
        <v>0</v>
      </c>
      <c r="N320" s="4" t="s">
        <v>68</v>
      </c>
      <c r="O320" s="4" t="s">
        <v>69</v>
      </c>
      <c r="P320" s="6">
        <v>44289.54388888889</v>
      </c>
      <c r="Q320" s="4">
        <v>16649.0</v>
      </c>
      <c r="R320" s="4"/>
      <c r="S320" s="4"/>
      <c r="T320" s="4"/>
      <c r="U320" s="7"/>
      <c r="V320" s="4"/>
      <c r="W320" s="4"/>
      <c r="X320" s="4"/>
      <c r="Y320" s="4"/>
      <c r="Z320" s="4"/>
      <c r="AA320" s="5"/>
      <c r="AB320" s="5"/>
      <c r="AC320" s="5"/>
      <c r="AD320" s="5"/>
      <c r="AE320" s="5"/>
    </row>
    <row r="321">
      <c r="A321" s="4" t="s">
        <v>726</v>
      </c>
      <c r="B321" s="4"/>
      <c r="C321" s="4" t="s">
        <v>184</v>
      </c>
      <c r="D321" s="4">
        <v>49833.0</v>
      </c>
      <c r="E321" s="4"/>
      <c r="F321" s="4" t="s">
        <v>85</v>
      </c>
      <c r="G321" s="4">
        <v>99.0</v>
      </c>
      <c r="H321" s="4"/>
      <c r="I321" s="4">
        <v>99.0</v>
      </c>
      <c r="J321" s="4" t="s">
        <v>727</v>
      </c>
      <c r="K321" s="4">
        <v>9.17305910432E11</v>
      </c>
      <c r="L321" s="4" t="s">
        <v>67</v>
      </c>
      <c r="M321" s="4" t="b">
        <v>0</v>
      </c>
      <c r="N321" s="4" t="s">
        <v>74</v>
      </c>
      <c r="O321" s="4" t="s">
        <v>69</v>
      </c>
      <c r="P321" s="6">
        <v>44289.545798611114</v>
      </c>
      <c r="Q321" s="4" t="s">
        <v>83</v>
      </c>
      <c r="R321" s="4"/>
      <c r="S321" s="4"/>
      <c r="T321" s="4"/>
      <c r="U321" s="7"/>
      <c r="V321" s="4"/>
      <c r="W321" s="4"/>
      <c r="X321" s="4"/>
      <c r="Y321" s="4"/>
      <c r="Z321" s="4"/>
      <c r="AA321" s="5"/>
      <c r="AB321" s="5"/>
      <c r="AC321" s="5"/>
      <c r="AD321" s="5"/>
      <c r="AE321" s="5"/>
    </row>
    <row r="322">
      <c r="A322" s="4" t="s">
        <v>728</v>
      </c>
      <c r="B322" s="4"/>
      <c r="C322" s="4" t="s">
        <v>184</v>
      </c>
      <c r="D322" s="4">
        <v>49833.0</v>
      </c>
      <c r="E322" s="4"/>
      <c r="F322" s="4" t="s">
        <v>85</v>
      </c>
      <c r="G322" s="4">
        <v>99.0</v>
      </c>
      <c r="H322" s="4"/>
      <c r="I322" s="4">
        <v>99.0</v>
      </c>
      <c r="J322" s="4" t="s">
        <v>729</v>
      </c>
      <c r="K322" s="4">
        <v>9.17338348917E11</v>
      </c>
      <c r="L322" s="4" t="s">
        <v>67</v>
      </c>
      <c r="M322" s="4" t="b">
        <v>0</v>
      </c>
      <c r="N322" s="4" t="s">
        <v>68</v>
      </c>
      <c r="O322" s="4" t="s">
        <v>69</v>
      </c>
      <c r="P322" s="6">
        <v>44289.54950231482</v>
      </c>
      <c r="Q322" s="4">
        <v>16641.0</v>
      </c>
      <c r="R322" s="4"/>
      <c r="S322" s="4"/>
      <c r="T322" s="4"/>
      <c r="U322" s="7"/>
      <c r="V322" s="4"/>
      <c r="W322" s="4"/>
      <c r="X322" s="4"/>
      <c r="Y322" s="4"/>
      <c r="Z322" s="4"/>
      <c r="AA322" s="5"/>
      <c r="AB322" s="5"/>
      <c r="AC322" s="5"/>
      <c r="AD322" s="5"/>
      <c r="AE322" s="5"/>
    </row>
    <row r="323">
      <c r="A323" s="4" t="s">
        <v>730</v>
      </c>
      <c r="B323" s="4"/>
      <c r="C323" s="4" t="s">
        <v>184</v>
      </c>
      <c r="D323" s="4">
        <v>49833.0</v>
      </c>
      <c r="E323" s="4"/>
      <c r="F323" s="4" t="s">
        <v>85</v>
      </c>
      <c r="G323" s="4">
        <v>99.0</v>
      </c>
      <c r="H323" s="4"/>
      <c r="I323" s="4">
        <v>99.0</v>
      </c>
      <c r="J323" s="4" t="s">
        <v>731</v>
      </c>
      <c r="K323" s="4">
        <v>9.18169989785E11</v>
      </c>
      <c r="L323" s="4" t="s">
        <v>67</v>
      </c>
      <c r="M323" s="4" t="b">
        <v>0</v>
      </c>
      <c r="N323" s="4" t="s">
        <v>68</v>
      </c>
      <c r="O323" s="4" t="s">
        <v>69</v>
      </c>
      <c r="P323" s="6">
        <v>44289.55403935185</v>
      </c>
      <c r="Q323" s="4">
        <v>16640.0</v>
      </c>
      <c r="R323" s="4"/>
      <c r="S323" s="4"/>
      <c r="T323" s="4"/>
      <c r="U323" s="7"/>
      <c r="V323" s="4"/>
      <c r="W323" s="4"/>
      <c r="X323" s="4"/>
      <c r="Y323" s="4"/>
      <c r="Z323" s="4"/>
      <c r="AA323" s="5"/>
      <c r="AB323" s="5"/>
      <c r="AC323" s="5"/>
      <c r="AD323" s="5"/>
      <c r="AE323" s="5"/>
    </row>
    <row r="324">
      <c r="A324" s="4" t="s">
        <v>732</v>
      </c>
      <c r="B324" s="4"/>
      <c r="C324" s="4" t="s">
        <v>184</v>
      </c>
      <c r="D324" s="4">
        <v>49833.0</v>
      </c>
      <c r="E324" s="4"/>
      <c r="F324" s="4" t="s">
        <v>85</v>
      </c>
      <c r="G324" s="4">
        <v>99.0</v>
      </c>
      <c r="H324" s="4"/>
      <c r="I324" s="4">
        <v>99.0</v>
      </c>
      <c r="J324" s="4" t="s">
        <v>733</v>
      </c>
      <c r="K324" s="4">
        <v>9.199580528E11</v>
      </c>
      <c r="L324" s="4" t="s">
        <v>67</v>
      </c>
      <c r="M324" s="4" t="b">
        <v>0</v>
      </c>
      <c r="N324" s="4" t="s">
        <v>68</v>
      </c>
      <c r="O324" s="4" t="s">
        <v>69</v>
      </c>
      <c r="P324" s="6">
        <v>44289.559224537035</v>
      </c>
      <c r="Q324" s="4" t="s">
        <v>83</v>
      </c>
      <c r="R324" s="4"/>
      <c r="S324" s="4"/>
      <c r="T324" s="4"/>
      <c r="U324" s="7"/>
      <c r="V324" s="4"/>
      <c r="W324" s="4"/>
      <c r="X324" s="4"/>
      <c r="Y324" s="4"/>
      <c r="Z324" s="4"/>
      <c r="AA324" s="5"/>
      <c r="AB324" s="5"/>
      <c r="AC324" s="5"/>
      <c r="AD324" s="5"/>
      <c r="AE324" s="5"/>
    </row>
    <row r="325">
      <c r="A325" s="4" t="s">
        <v>734</v>
      </c>
      <c r="B325" s="4"/>
      <c r="C325" s="4" t="s">
        <v>184</v>
      </c>
      <c r="D325" s="4">
        <v>49833.0</v>
      </c>
      <c r="E325" s="4"/>
      <c r="F325" s="4" t="s">
        <v>85</v>
      </c>
      <c r="G325" s="4">
        <v>99.0</v>
      </c>
      <c r="H325" s="4"/>
      <c r="I325" s="4">
        <v>99.0</v>
      </c>
      <c r="J325" s="4" t="s">
        <v>735</v>
      </c>
      <c r="K325" s="4">
        <v>9.19975891986E11</v>
      </c>
      <c r="L325" s="4" t="s">
        <v>67</v>
      </c>
      <c r="M325" s="4" t="b">
        <v>0</v>
      </c>
      <c r="N325" s="4" t="s">
        <v>68</v>
      </c>
      <c r="O325" s="4" t="s">
        <v>69</v>
      </c>
      <c r="P325" s="6">
        <v>44289.5646412037</v>
      </c>
      <c r="Q325" s="4">
        <v>16732.0</v>
      </c>
      <c r="R325" s="4"/>
      <c r="S325" s="4"/>
      <c r="T325" s="4"/>
      <c r="U325" s="7"/>
      <c r="V325" s="4"/>
      <c r="W325" s="4"/>
      <c r="X325" s="4"/>
      <c r="Y325" s="4"/>
      <c r="Z325" s="4"/>
      <c r="AA325" s="5"/>
      <c r="AB325" s="5"/>
      <c r="AC325" s="5"/>
      <c r="AD325" s="5"/>
      <c r="AE325" s="5"/>
    </row>
    <row r="326">
      <c r="A326" s="4" t="s">
        <v>736</v>
      </c>
      <c r="B326" s="4"/>
      <c r="C326" s="4" t="s">
        <v>184</v>
      </c>
      <c r="D326" s="4">
        <v>49833.0</v>
      </c>
      <c r="E326" s="4"/>
      <c r="F326" s="4" t="s">
        <v>85</v>
      </c>
      <c r="G326" s="4">
        <v>99.0</v>
      </c>
      <c r="H326" s="4"/>
      <c r="I326" s="4">
        <v>99.0</v>
      </c>
      <c r="J326" s="4" t="s">
        <v>737</v>
      </c>
      <c r="K326" s="4">
        <v>9.17569162272E11</v>
      </c>
      <c r="L326" s="4" t="s">
        <v>67</v>
      </c>
      <c r="M326" s="4" t="b">
        <v>0</v>
      </c>
      <c r="N326" s="4" t="s">
        <v>68</v>
      </c>
      <c r="O326" s="4" t="s">
        <v>69</v>
      </c>
      <c r="P326" s="6">
        <v>44289.5887037037</v>
      </c>
      <c r="Q326" s="4">
        <v>16814.0</v>
      </c>
      <c r="R326" s="4"/>
      <c r="S326" s="4"/>
      <c r="T326" s="4"/>
      <c r="U326" s="7"/>
      <c r="V326" s="4"/>
      <c r="W326" s="4"/>
      <c r="X326" s="4"/>
      <c r="Y326" s="4"/>
      <c r="Z326" s="4"/>
      <c r="AA326" s="5"/>
      <c r="AB326" s="5"/>
      <c r="AC326" s="5"/>
      <c r="AD326" s="5"/>
      <c r="AE326" s="5"/>
    </row>
    <row r="327">
      <c r="A327" s="4" t="s">
        <v>738</v>
      </c>
      <c r="B327" s="4"/>
      <c r="C327" s="4" t="s">
        <v>184</v>
      </c>
      <c r="D327" s="4">
        <v>49833.0</v>
      </c>
      <c r="E327" s="4"/>
      <c r="F327" s="4" t="s">
        <v>85</v>
      </c>
      <c r="G327" s="4">
        <v>99.0</v>
      </c>
      <c r="H327" s="4"/>
      <c r="I327" s="4">
        <v>99.0</v>
      </c>
      <c r="J327" s="4" t="s">
        <v>739</v>
      </c>
      <c r="K327" s="4">
        <v>9.17983235911E11</v>
      </c>
      <c r="L327" s="4" t="s">
        <v>67</v>
      </c>
      <c r="M327" s="4" t="b">
        <v>0</v>
      </c>
      <c r="N327" s="4" t="s">
        <v>68</v>
      </c>
      <c r="O327" s="4" t="s">
        <v>69</v>
      </c>
      <c r="P327" s="6">
        <v>44289.73168981481</v>
      </c>
      <c r="Q327" s="4" t="s">
        <v>83</v>
      </c>
      <c r="R327" s="4"/>
      <c r="S327" s="4"/>
      <c r="T327" s="4"/>
      <c r="U327" s="7"/>
      <c r="V327" s="4"/>
      <c r="W327" s="4"/>
      <c r="X327" s="4"/>
      <c r="Y327" s="4"/>
      <c r="Z327" s="4"/>
      <c r="AA327" s="5"/>
      <c r="AB327" s="5"/>
      <c r="AC327" s="5"/>
      <c r="AD327" s="5"/>
      <c r="AE327" s="5"/>
    </row>
    <row r="328">
      <c r="A328" s="4" t="s">
        <v>740</v>
      </c>
      <c r="B328" s="4"/>
      <c r="C328" s="4" t="s">
        <v>184</v>
      </c>
      <c r="D328" s="4">
        <v>49833.0</v>
      </c>
      <c r="E328" s="4"/>
      <c r="F328" s="4" t="s">
        <v>85</v>
      </c>
      <c r="G328" s="4">
        <v>99.0</v>
      </c>
      <c r="H328" s="4"/>
      <c r="I328" s="4">
        <v>99.0</v>
      </c>
      <c r="J328" s="4" t="s">
        <v>741</v>
      </c>
      <c r="K328" s="4">
        <v>9.18169795906E11</v>
      </c>
      <c r="L328" s="4" t="s">
        <v>67</v>
      </c>
      <c r="M328" s="4" t="b">
        <v>0</v>
      </c>
      <c r="N328" s="4" t="s">
        <v>74</v>
      </c>
      <c r="O328" s="4" t="s">
        <v>69</v>
      </c>
      <c r="P328" s="6">
        <v>44289.76975694444</v>
      </c>
      <c r="Q328" s="4">
        <v>16645.0</v>
      </c>
      <c r="R328" s="4"/>
      <c r="S328" s="4"/>
      <c r="T328" s="4"/>
      <c r="U328" s="7"/>
      <c r="V328" s="4"/>
      <c r="W328" s="4"/>
      <c r="X328" s="4"/>
      <c r="Y328" s="4"/>
      <c r="Z328" s="4"/>
      <c r="AA328" s="5"/>
      <c r="AB328" s="5"/>
      <c r="AC328" s="5"/>
      <c r="AD328" s="5"/>
      <c r="AE328" s="5"/>
    </row>
    <row r="329">
      <c r="A329" s="4" t="s">
        <v>742</v>
      </c>
      <c r="B329" s="4"/>
      <c r="C329" s="4" t="s">
        <v>184</v>
      </c>
      <c r="D329" s="4">
        <v>49833.0</v>
      </c>
      <c r="E329" s="4"/>
      <c r="F329" s="4" t="s">
        <v>85</v>
      </c>
      <c r="G329" s="4">
        <v>99.0</v>
      </c>
      <c r="H329" s="4"/>
      <c r="I329" s="4">
        <v>99.0</v>
      </c>
      <c r="J329" s="4" t="s">
        <v>743</v>
      </c>
      <c r="K329" s="4">
        <v>9.19547688804E11</v>
      </c>
      <c r="L329" s="4" t="s">
        <v>67</v>
      </c>
      <c r="M329" s="4" t="b">
        <v>0</v>
      </c>
      <c r="N329" s="4" t="s">
        <v>74</v>
      </c>
      <c r="O329" s="4" t="s">
        <v>69</v>
      </c>
      <c r="P329" s="6">
        <v>44289.986238425925</v>
      </c>
      <c r="Q329" s="4">
        <v>16642.0</v>
      </c>
      <c r="R329" s="4"/>
      <c r="S329" s="4"/>
      <c r="T329" s="4"/>
      <c r="U329" s="7"/>
      <c r="V329" s="4"/>
      <c r="W329" s="4"/>
      <c r="X329" s="4"/>
      <c r="Y329" s="4"/>
      <c r="Z329" s="4"/>
      <c r="AA329" s="5"/>
      <c r="AB329" s="5"/>
      <c r="AC329" s="5"/>
      <c r="AD329" s="5"/>
      <c r="AE329" s="5"/>
    </row>
    <row r="330">
      <c r="A330" s="4" t="s">
        <v>744</v>
      </c>
      <c r="B330" s="4"/>
      <c r="C330" s="4" t="s">
        <v>76</v>
      </c>
      <c r="D330" s="4">
        <v>49834.0</v>
      </c>
      <c r="E330" s="4"/>
      <c r="F330" s="4" t="s">
        <v>85</v>
      </c>
      <c r="G330" s="4">
        <v>299.0</v>
      </c>
      <c r="H330" s="4"/>
      <c r="I330" s="4">
        <v>299.0</v>
      </c>
      <c r="J330" s="4" t="s">
        <v>745</v>
      </c>
      <c r="K330" s="4">
        <v>9.18082433278E11</v>
      </c>
      <c r="L330" s="4" t="s">
        <v>67</v>
      </c>
      <c r="M330" s="4" t="b">
        <v>0</v>
      </c>
      <c r="N330" s="4" t="s">
        <v>97</v>
      </c>
      <c r="O330" s="4" t="s">
        <v>69</v>
      </c>
      <c r="P330" s="6">
        <v>44290.02334490741</v>
      </c>
      <c r="Q330" s="4" t="s">
        <v>83</v>
      </c>
      <c r="R330" s="4"/>
      <c r="S330" s="4"/>
      <c r="T330" s="4"/>
      <c r="U330" s="7"/>
      <c r="V330" s="4"/>
      <c r="W330" s="4"/>
      <c r="X330" s="4"/>
      <c r="Y330" s="4"/>
      <c r="Z330" s="4"/>
      <c r="AA330" s="5"/>
      <c r="AB330" s="5"/>
      <c r="AC330" s="5"/>
      <c r="AD330" s="5"/>
      <c r="AE330" s="5"/>
    </row>
    <row r="331">
      <c r="A331" s="4" t="s">
        <v>746</v>
      </c>
      <c r="B331" s="4"/>
      <c r="C331" s="4" t="s">
        <v>184</v>
      </c>
      <c r="D331" s="4">
        <v>49833.0</v>
      </c>
      <c r="E331" s="4"/>
      <c r="F331" s="4" t="s">
        <v>85</v>
      </c>
      <c r="G331" s="4">
        <v>99.0</v>
      </c>
      <c r="H331" s="4"/>
      <c r="I331" s="4">
        <v>99.0</v>
      </c>
      <c r="J331" s="4" t="s">
        <v>747</v>
      </c>
      <c r="K331" s="4">
        <v>9.19052913151E11</v>
      </c>
      <c r="L331" s="4" t="s">
        <v>67</v>
      </c>
      <c r="M331" s="4" t="b">
        <v>0</v>
      </c>
      <c r="N331" s="4" t="s">
        <v>68</v>
      </c>
      <c r="O331" s="4" t="s">
        <v>69</v>
      </c>
      <c r="P331" s="6">
        <v>44290.343090277776</v>
      </c>
      <c r="Q331" s="4" t="s">
        <v>83</v>
      </c>
      <c r="R331" s="4"/>
      <c r="S331" s="4"/>
      <c r="T331" s="4"/>
      <c r="U331" s="7"/>
      <c r="V331" s="4"/>
      <c r="W331" s="4"/>
      <c r="X331" s="4"/>
      <c r="Y331" s="4"/>
      <c r="Z331" s="4"/>
      <c r="AA331" s="5"/>
      <c r="AB331" s="5"/>
      <c r="AC331" s="5"/>
      <c r="AD331" s="5"/>
      <c r="AE331" s="5"/>
    </row>
    <row r="332">
      <c r="A332" s="4" t="s">
        <v>748</v>
      </c>
      <c r="B332" s="4"/>
      <c r="C332" s="4" t="s">
        <v>680</v>
      </c>
      <c r="D332" s="4">
        <v>49835.0</v>
      </c>
      <c r="E332" s="4"/>
      <c r="F332" s="4" t="s">
        <v>85</v>
      </c>
      <c r="G332" s="4">
        <v>99.0</v>
      </c>
      <c r="H332" s="4"/>
      <c r="I332" s="4">
        <v>99.0</v>
      </c>
      <c r="J332" s="4" t="s">
        <v>749</v>
      </c>
      <c r="K332" s="4">
        <v>9.19442222984E11</v>
      </c>
      <c r="L332" s="4" t="s">
        <v>67</v>
      </c>
      <c r="M332" s="4" t="b">
        <v>0</v>
      </c>
      <c r="N332" s="4" t="s">
        <v>97</v>
      </c>
      <c r="O332" s="4" t="s">
        <v>69</v>
      </c>
      <c r="P332" s="6">
        <v>44276.684016203704</v>
      </c>
      <c r="Q332" s="4" t="s">
        <v>83</v>
      </c>
      <c r="R332" s="4"/>
      <c r="S332" s="4"/>
      <c r="T332" s="4"/>
      <c r="U332" s="7"/>
      <c r="V332" s="4"/>
      <c r="W332" s="4"/>
      <c r="X332" s="4"/>
      <c r="Y332" s="4"/>
      <c r="Z332" s="4"/>
      <c r="AA332" s="5"/>
      <c r="AB332" s="5"/>
      <c r="AC332" s="5"/>
      <c r="AD332" s="5"/>
      <c r="AE332" s="5"/>
    </row>
    <row r="333">
      <c r="A333" s="4" t="s">
        <v>750</v>
      </c>
      <c r="B333" s="4"/>
      <c r="C333" s="4" t="s">
        <v>184</v>
      </c>
      <c r="D333" s="4">
        <v>49833.0</v>
      </c>
      <c r="E333" s="4"/>
      <c r="F333" s="4" t="s">
        <v>85</v>
      </c>
      <c r="G333" s="4">
        <v>99.0</v>
      </c>
      <c r="H333" s="4"/>
      <c r="I333" s="4">
        <v>99.0</v>
      </c>
      <c r="J333" s="4" t="s">
        <v>751</v>
      </c>
      <c r="K333" s="4">
        <v>9.17021726326E11</v>
      </c>
      <c r="L333" s="4" t="s">
        <v>67</v>
      </c>
      <c r="M333" s="4" t="b">
        <v>0</v>
      </c>
      <c r="N333" s="4" t="s">
        <v>68</v>
      </c>
      <c r="O333" s="4" t="s">
        <v>69</v>
      </c>
      <c r="P333" s="6">
        <v>44290.48005787037</v>
      </c>
      <c r="Q333" s="4">
        <v>16617.0</v>
      </c>
      <c r="R333" s="4"/>
      <c r="S333" s="4"/>
      <c r="T333" s="4"/>
      <c r="U333" s="7"/>
      <c r="V333" s="4"/>
      <c r="W333" s="4"/>
      <c r="X333" s="4"/>
      <c r="Y333" s="4"/>
      <c r="Z333" s="4"/>
      <c r="AA333" s="5"/>
      <c r="AB333" s="5"/>
      <c r="AC333" s="5"/>
      <c r="AD333" s="5"/>
      <c r="AE333" s="5"/>
    </row>
    <row r="334">
      <c r="A334" s="4" t="s">
        <v>752</v>
      </c>
      <c r="B334" s="4"/>
      <c r="C334" s="4" t="s">
        <v>680</v>
      </c>
      <c r="D334" s="4">
        <v>49835.0</v>
      </c>
      <c r="E334" s="4"/>
      <c r="F334" s="4" t="s">
        <v>85</v>
      </c>
      <c r="G334" s="4">
        <v>99.0</v>
      </c>
      <c r="H334" s="4"/>
      <c r="I334" s="4">
        <v>99.0</v>
      </c>
      <c r="J334" s="4" t="s">
        <v>753</v>
      </c>
      <c r="K334" s="4">
        <v>9.17008345123E11</v>
      </c>
      <c r="L334" s="4" t="s">
        <v>67</v>
      </c>
      <c r="M334" s="4" t="b">
        <v>0</v>
      </c>
      <c r="N334" s="4" t="s">
        <v>68</v>
      </c>
      <c r="O334" s="4" t="s">
        <v>69</v>
      </c>
      <c r="P334" s="6">
        <v>44276.70347222222</v>
      </c>
      <c r="Q334" s="4">
        <v>16350.0</v>
      </c>
      <c r="R334" s="4"/>
      <c r="S334" s="4"/>
      <c r="T334" s="4"/>
      <c r="U334" s="7"/>
      <c r="V334" s="4"/>
      <c r="W334" s="4"/>
      <c r="X334" s="4"/>
      <c r="Y334" s="4"/>
      <c r="Z334" s="4"/>
      <c r="AA334" s="5"/>
      <c r="AB334" s="5"/>
      <c r="AC334" s="5"/>
      <c r="AD334" s="5"/>
      <c r="AE334" s="5"/>
    </row>
    <row r="335">
      <c r="A335" s="4" t="s">
        <v>754</v>
      </c>
      <c r="B335" s="4"/>
      <c r="C335" s="4" t="s">
        <v>184</v>
      </c>
      <c r="D335" s="4">
        <v>49833.0</v>
      </c>
      <c r="E335" s="4"/>
      <c r="F335" s="4" t="s">
        <v>85</v>
      </c>
      <c r="G335" s="4">
        <v>99.0</v>
      </c>
      <c r="H335" s="4"/>
      <c r="I335" s="4">
        <v>99.0</v>
      </c>
      <c r="J335" s="4" t="s">
        <v>755</v>
      </c>
      <c r="K335" s="4">
        <v>9.1700502492E11</v>
      </c>
      <c r="L335" s="4" t="s">
        <v>67</v>
      </c>
      <c r="M335" s="4" t="b">
        <v>0</v>
      </c>
      <c r="N335" s="4" t="s">
        <v>68</v>
      </c>
      <c r="O335" s="4" t="s">
        <v>69</v>
      </c>
      <c r="P335" s="6">
        <v>44290.54996527778</v>
      </c>
      <c r="Q335" s="4" t="s">
        <v>83</v>
      </c>
      <c r="R335" s="4"/>
      <c r="S335" s="4"/>
      <c r="T335" s="4"/>
      <c r="U335" s="7"/>
      <c r="V335" s="4"/>
      <c r="W335" s="4"/>
      <c r="X335" s="4"/>
      <c r="Y335" s="4"/>
      <c r="Z335" s="4"/>
      <c r="AA335" s="5"/>
      <c r="AB335" s="5"/>
      <c r="AC335" s="5"/>
      <c r="AD335" s="5"/>
      <c r="AE335" s="5"/>
    </row>
    <row r="336">
      <c r="A336" s="4" t="s">
        <v>756</v>
      </c>
      <c r="B336" s="4"/>
      <c r="C336" s="4" t="s">
        <v>184</v>
      </c>
      <c r="D336" s="4">
        <v>49833.0</v>
      </c>
      <c r="E336" s="4"/>
      <c r="F336" s="4" t="s">
        <v>85</v>
      </c>
      <c r="G336" s="4">
        <v>99.0</v>
      </c>
      <c r="H336" s="4"/>
      <c r="I336" s="4">
        <v>99.0</v>
      </c>
      <c r="J336" s="4" t="s">
        <v>757</v>
      </c>
      <c r="K336" s="4">
        <v>9.18335922616E11</v>
      </c>
      <c r="L336" s="4" t="s">
        <v>67</v>
      </c>
      <c r="M336" s="4" t="b">
        <v>0</v>
      </c>
      <c r="N336" s="4" t="s">
        <v>68</v>
      </c>
      <c r="O336" s="4" t="s">
        <v>69</v>
      </c>
      <c r="P336" s="6">
        <v>44290.56704861111</v>
      </c>
      <c r="Q336" s="4">
        <v>16861.0</v>
      </c>
      <c r="R336" s="4"/>
      <c r="S336" s="4"/>
      <c r="T336" s="4"/>
      <c r="U336" s="7"/>
      <c r="V336" s="4"/>
      <c r="W336" s="4"/>
      <c r="X336" s="4"/>
      <c r="Y336" s="4"/>
      <c r="Z336" s="4"/>
      <c r="AA336" s="5"/>
      <c r="AB336" s="5"/>
      <c r="AC336" s="5"/>
      <c r="AD336" s="5"/>
      <c r="AE336" s="5"/>
    </row>
    <row r="337">
      <c r="A337" s="4" t="s">
        <v>758</v>
      </c>
      <c r="B337" s="4"/>
      <c r="C337" s="4" t="s">
        <v>184</v>
      </c>
      <c r="D337" s="4">
        <v>49833.0</v>
      </c>
      <c r="E337" s="4"/>
      <c r="F337" s="4" t="s">
        <v>85</v>
      </c>
      <c r="G337" s="4">
        <v>99.0</v>
      </c>
      <c r="H337" s="4"/>
      <c r="I337" s="4">
        <v>99.0</v>
      </c>
      <c r="J337" s="4" t="s">
        <v>759</v>
      </c>
      <c r="K337" s="4">
        <v>9.19451555279E11</v>
      </c>
      <c r="L337" s="4" t="s">
        <v>67</v>
      </c>
      <c r="M337" s="4" t="b">
        <v>0</v>
      </c>
      <c r="N337" s="4" t="s">
        <v>68</v>
      </c>
      <c r="O337" s="4" t="s">
        <v>69</v>
      </c>
      <c r="P337" s="6">
        <v>44290.61435185185</v>
      </c>
      <c r="Q337" s="4" t="s">
        <v>83</v>
      </c>
      <c r="R337" s="4"/>
      <c r="S337" s="4"/>
      <c r="T337" s="4"/>
      <c r="U337" s="7"/>
      <c r="V337" s="4"/>
      <c r="W337" s="4"/>
      <c r="X337" s="4"/>
      <c r="Y337" s="4"/>
      <c r="Z337" s="4"/>
      <c r="AA337" s="5"/>
      <c r="AB337" s="5"/>
      <c r="AC337" s="5"/>
      <c r="AD337" s="5"/>
      <c r="AE337" s="5"/>
    </row>
    <row r="338">
      <c r="A338" s="4" t="s">
        <v>760</v>
      </c>
      <c r="B338" s="4"/>
      <c r="C338" s="4" t="s">
        <v>184</v>
      </c>
      <c r="D338" s="4">
        <v>49833.0</v>
      </c>
      <c r="E338" s="4"/>
      <c r="F338" s="4" t="s">
        <v>85</v>
      </c>
      <c r="G338" s="4">
        <v>99.0</v>
      </c>
      <c r="H338" s="4"/>
      <c r="I338" s="4">
        <v>99.0</v>
      </c>
      <c r="J338" s="4" t="s">
        <v>761</v>
      </c>
      <c r="K338" s="4">
        <v>9.18295788746E11</v>
      </c>
      <c r="L338" s="4" t="s">
        <v>67</v>
      </c>
      <c r="M338" s="4" t="b">
        <v>0</v>
      </c>
      <c r="N338" s="4" t="s">
        <v>68</v>
      </c>
      <c r="O338" s="4" t="s">
        <v>69</v>
      </c>
      <c r="P338" s="6">
        <v>44290.64976851852</v>
      </c>
      <c r="Q338" s="4">
        <v>16650.0</v>
      </c>
      <c r="R338" s="4"/>
      <c r="S338" s="4"/>
      <c r="T338" s="4"/>
      <c r="U338" s="7"/>
      <c r="V338" s="4"/>
      <c r="W338" s="4"/>
      <c r="X338" s="4"/>
      <c r="Y338" s="4"/>
      <c r="Z338" s="4"/>
      <c r="AA338" s="5"/>
      <c r="AB338" s="5"/>
      <c r="AC338" s="5"/>
      <c r="AD338" s="5"/>
      <c r="AE338" s="5"/>
    </row>
    <row r="339">
      <c r="A339" s="4" t="s">
        <v>762</v>
      </c>
      <c r="B339" s="4"/>
      <c r="C339" s="4" t="s">
        <v>184</v>
      </c>
      <c r="D339" s="4">
        <v>49833.0</v>
      </c>
      <c r="E339" s="4"/>
      <c r="F339" s="4" t="s">
        <v>85</v>
      </c>
      <c r="G339" s="4">
        <v>99.0</v>
      </c>
      <c r="H339" s="4"/>
      <c r="I339" s="4">
        <v>99.0</v>
      </c>
      <c r="J339" s="4" t="s">
        <v>763</v>
      </c>
      <c r="K339" s="4">
        <v>9.19361418736E11</v>
      </c>
      <c r="L339" s="4" t="s">
        <v>67</v>
      </c>
      <c r="M339" s="4" t="b">
        <v>0</v>
      </c>
      <c r="N339" s="4" t="s">
        <v>68</v>
      </c>
      <c r="O339" s="4" t="s">
        <v>69</v>
      </c>
      <c r="P339" s="6">
        <v>44290.6603125</v>
      </c>
      <c r="Q339" s="4">
        <v>16655.0</v>
      </c>
      <c r="R339" s="4"/>
      <c r="S339" s="4"/>
      <c r="T339" s="4"/>
      <c r="U339" s="7"/>
      <c r="V339" s="4"/>
      <c r="W339" s="4"/>
      <c r="X339" s="4"/>
      <c r="Y339" s="4"/>
      <c r="Z339" s="4"/>
      <c r="AA339" s="5"/>
      <c r="AB339" s="5"/>
      <c r="AC339" s="5"/>
      <c r="AD339" s="5"/>
      <c r="AE339" s="5"/>
    </row>
    <row r="340">
      <c r="A340" s="4" t="s">
        <v>764</v>
      </c>
      <c r="B340" s="4"/>
      <c r="C340" s="4" t="s">
        <v>184</v>
      </c>
      <c r="D340" s="4">
        <v>49833.0</v>
      </c>
      <c r="E340" s="4"/>
      <c r="F340" s="4" t="s">
        <v>77</v>
      </c>
      <c r="G340" s="4">
        <v>299.0</v>
      </c>
      <c r="H340" s="4"/>
      <c r="I340" s="4">
        <v>299.0</v>
      </c>
      <c r="J340" s="4" t="s">
        <v>765</v>
      </c>
      <c r="K340" s="4">
        <v>9.19632219597E11</v>
      </c>
      <c r="L340" s="4" t="s">
        <v>67</v>
      </c>
      <c r="M340" s="4" t="b">
        <v>0</v>
      </c>
      <c r="N340" s="4" t="s">
        <v>68</v>
      </c>
      <c r="O340" s="4" t="s">
        <v>69</v>
      </c>
      <c r="P340" s="6">
        <v>44290.680138888885</v>
      </c>
      <c r="Q340" s="4">
        <v>16690.0</v>
      </c>
      <c r="R340" s="4"/>
      <c r="S340" s="4"/>
      <c r="T340" s="4"/>
      <c r="U340" s="7"/>
      <c r="V340" s="4"/>
      <c r="W340" s="4"/>
      <c r="X340" s="4"/>
      <c r="Y340" s="4"/>
      <c r="Z340" s="4"/>
      <c r="AA340" s="5"/>
      <c r="AB340" s="5"/>
      <c r="AC340" s="5"/>
      <c r="AD340" s="5"/>
      <c r="AE340" s="5"/>
    </row>
    <row r="341">
      <c r="A341" s="4" t="s">
        <v>766</v>
      </c>
      <c r="B341" s="4"/>
      <c r="C341" s="4" t="s">
        <v>184</v>
      </c>
      <c r="D341" s="4">
        <v>49833.0</v>
      </c>
      <c r="E341" s="4"/>
      <c r="F341" s="4" t="s">
        <v>85</v>
      </c>
      <c r="G341" s="4">
        <v>99.0</v>
      </c>
      <c r="H341" s="4"/>
      <c r="I341" s="4">
        <v>99.0</v>
      </c>
      <c r="J341" s="4" t="s">
        <v>767</v>
      </c>
      <c r="K341" s="4">
        <v>9.1829173187E11</v>
      </c>
      <c r="L341" s="4" t="s">
        <v>67</v>
      </c>
      <c r="M341" s="4" t="b">
        <v>0</v>
      </c>
      <c r="N341" s="4" t="s">
        <v>68</v>
      </c>
      <c r="O341" s="4" t="s">
        <v>69</v>
      </c>
      <c r="P341" s="6">
        <v>44290.68127314815</v>
      </c>
      <c r="Q341" s="4">
        <v>16644.0</v>
      </c>
      <c r="R341" s="4"/>
      <c r="S341" s="4"/>
      <c r="T341" s="4"/>
      <c r="U341" s="7"/>
      <c r="V341" s="4"/>
      <c r="W341" s="4"/>
      <c r="X341" s="4"/>
      <c r="Y341" s="4"/>
      <c r="Z341" s="4"/>
      <c r="AA341" s="5"/>
      <c r="AB341" s="5"/>
      <c r="AC341" s="5"/>
      <c r="AD341" s="5"/>
      <c r="AE341" s="5"/>
    </row>
    <row r="342">
      <c r="A342" s="4" t="s">
        <v>768</v>
      </c>
      <c r="B342" s="4"/>
      <c r="C342" s="4" t="s">
        <v>184</v>
      </c>
      <c r="D342" s="4">
        <v>49833.0</v>
      </c>
      <c r="E342" s="4"/>
      <c r="F342" s="4" t="s">
        <v>85</v>
      </c>
      <c r="G342" s="4">
        <v>99.0</v>
      </c>
      <c r="H342" s="4"/>
      <c r="I342" s="4">
        <v>99.0</v>
      </c>
      <c r="J342" s="4" t="s">
        <v>769</v>
      </c>
      <c r="K342" s="4">
        <v>9.17083064416E11</v>
      </c>
      <c r="L342" s="4" t="s">
        <v>67</v>
      </c>
      <c r="M342" s="4" t="b">
        <v>0</v>
      </c>
      <c r="N342" s="4" t="s">
        <v>74</v>
      </c>
      <c r="O342" s="4" t="s">
        <v>69</v>
      </c>
      <c r="P342" s="6">
        <v>44290.68971064815</v>
      </c>
      <c r="Q342" s="4" t="s">
        <v>83</v>
      </c>
      <c r="R342" s="4"/>
      <c r="S342" s="4"/>
      <c r="T342" s="4"/>
      <c r="U342" s="7"/>
      <c r="V342" s="4"/>
      <c r="W342" s="4"/>
      <c r="X342" s="4"/>
      <c r="Y342" s="4"/>
      <c r="Z342" s="4"/>
      <c r="AA342" s="5"/>
      <c r="AB342" s="5"/>
      <c r="AC342" s="5"/>
      <c r="AD342" s="5"/>
      <c r="AE342" s="5"/>
    </row>
    <row r="343">
      <c r="A343" s="4" t="s">
        <v>770</v>
      </c>
      <c r="B343" s="4"/>
      <c r="C343" s="4" t="s">
        <v>184</v>
      </c>
      <c r="D343" s="4">
        <v>49833.0</v>
      </c>
      <c r="E343" s="4"/>
      <c r="F343" s="4" t="s">
        <v>85</v>
      </c>
      <c r="G343" s="4">
        <v>99.0</v>
      </c>
      <c r="H343" s="4"/>
      <c r="I343" s="4">
        <v>99.0</v>
      </c>
      <c r="J343" s="4" t="s">
        <v>771</v>
      </c>
      <c r="K343" s="4">
        <v>9.19076233324E11</v>
      </c>
      <c r="L343" s="4" t="s">
        <v>67</v>
      </c>
      <c r="M343" s="4" t="b">
        <v>0</v>
      </c>
      <c r="N343" s="4" t="s">
        <v>68</v>
      </c>
      <c r="O343" s="4" t="s">
        <v>69</v>
      </c>
      <c r="P343" s="6">
        <v>44290.69516203704</v>
      </c>
      <c r="Q343" s="4">
        <v>16619.0</v>
      </c>
      <c r="R343" s="4"/>
      <c r="S343" s="4"/>
      <c r="T343" s="4"/>
      <c r="U343" s="7"/>
      <c r="V343" s="4"/>
      <c r="W343" s="4"/>
      <c r="X343" s="4"/>
      <c r="Y343" s="4"/>
      <c r="Z343" s="4"/>
      <c r="AA343" s="5"/>
      <c r="AB343" s="5"/>
      <c r="AC343" s="5"/>
      <c r="AD343" s="5"/>
      <c r="AE343" s="5"/>
    </row>
    <row r="344">
      <c r="A344" s="4" t="s">
        <v>772</v>
      </c>
      <c r="B344" s="4"/>
      <c r="C344" s="4" t="s">
        <v>184</v>
      </c>
      <c r="D344" s="4">
        <v>49833.0</v>
      </c>
      <c r="E344" s="4"/>
      <c r="F344" s="4" t="s">
        <v>85</v>
      </c>
      <c r="G344" s="4">
        <v>99.0</v>
      </c>
      <c r="H344" s="4"/>
      <c r="I344" s="4">
        <v>99.0</v>
      </c>
      <c r="J344" s="4" t="s">
        <v>773</v>
      </c>
      <c r="K344" s="4">
        <v>9.1970241011E11</v>
      </c>
      <c r="L344" s="4" t="s">
        <v>67</v>
      </c>
      <c r="M344" s="4" t="b">
        <v>0</v>
      </c>
      <c r="N344" s="4" t="s">
        <v>68</v>
      </c>
      <c r="O344" s="4" t="s">
        <v>69</v>
      </c>
      <c r="P344" s="6">
        <v>44290.703784722224</v>
      </c>
      <c r="Q344" s="4">
        <v>17050.0</v>
      </c>
      <c r="R344" s="4"/>
      <c r="S344" s="4"/>
      <c r="T344" s="4"/>
      <c r="U344" s="7"/>
      <c r="V344" s="4"/>
      <c r="W344" s="4"/>
      <c r="X344" s="4"/>
      <c r="Y344" s="4"/>
      <c r="Z344" s="4"/>
      <c r="AA344" s="5"/>
      <c r="AB344" s="5"/>
      <c r="AC344" s="5"/>
      <c r="AD344" s="5"/>
      <c r="AE344" s="5"/>
    </row>
    <row r="345">
      <c r="A345" s="4" t="s">
        <v>774</v>
      </c>
      <c r="B345" s="4"/>
      <c r="C345" s="4" t="s">
        <v>680</v>
      </c>
      <c r="D345" s="4">
        <v>49835.0</v>
      </c>
      <c r="E345" s="4"/>
      <c r="F345" s="4" t="s">
        <v>85</v>
      </c>
      <c r="G345" s="4">
        <v>99.0</v>
      </c>
      <c r="H345" s="4"/>
      <c r="I345" s="4">
        <v>99.0</v>
      </c>
      <c r="J345" s="4" t="s">
        <v>775</v>
      </c>
      <c r="K345" s="4">
        <v>9.19028281808E11</v>
      </c>
      <c r="L345" s="4" t="s">
        <v>67</v>
      </c>
      <c r="M345" s="4" t="b">
        <v>0</v>
      </c>
      <c r="N345" s="4" t="s">
        <v>97</v>
      </c>
      <c r="O345" s="4" t="s">
        <v>69</v>
      </c>
      <c r="P345" s="6">
        <v>44276.7259837963</v>
      </c>
      <c r="Q345" s="4">
        <v>16358.0</v>
      </c>
      <c r="R345" s="4"/>
      <c r="S345" s="4"/>
      <c r="T345" s="4"/>
      <c r="U345" s="7"/>
      <c r="V345" s="4"/>
      <c r="W345" s="4"/>
      <c r="X345" s="4"/>
      <c r="Y345" s="4"/>
      <c r="Z345" s="4"/>
      <c r="AA345" s="5"/>
      <c r="AB345" s="5"/>
      <c r="AC345" s="5"/>
      <c r="AD345" s="5"/>
      <c r="AE345" s="5"/>
    </row>
    <row r="346">
      <c r="A346" s="4" t="s">
        <v>776</v>
      </c>
      <c r="B346" s="4"/>
      <c r="C346" s="4" t="s">
        <v>184</v>
      </c>
      <c r="D346" s="4">
        <v>49833.0</v>
      </c>
      <c r="E346" s="4"/>
      <c r="F346" s="4" t="s">
        <v>85</v>
      </c>
      <c r="G346" s="4">
        <v>99.0</v>
      </c>
      <c r="H346" s="4"/>
      <c r="I346" s="4">
        <v>99.0</v>
      </c>
      <c r="J346" s="4" t="s">
        <v>777</v>
      </c>
      <c r="K346" s="4">
        <v>9.17836977023E11</v>
      </c>
      <c r="L346" s="4" t="s">
        <v>67</v>
      </c>
      <c r="M346" s="4" t="b">
        <v>0</v>
      </c>
      <c r="N346" s="4" t="s">
        <v>68</v>
      </c>
      <c r="O346" s="4" t="s">
        <v>69</v>
      </c>
      <c r="P346" s="6">
        <v>44290.739641203705</v>
      </c>
      <c r="Q346" s="4">
        <v>16651.0</v>
      </c>
      <c r="R346" s="4"/>
      <c r="S346" s="4"/>
      <c r="T346" s="4"/>
      <c r="U346" s="7"/>
      <c r="V346" s="4"/>
      <c r="W346" s="4"/>
      <c r="X346" s="4"/>
      <c r="Y346" s="4"/>
      <c r="Z346" s="4"/>
      <c r="AA346" s="5"/>
      <c r="AB346" s="5"/>
      <c r="AC346" s="5"/>
      <c r="AD346" s="5"/>
      <c r="AE346" s="5"/>
    </row>
    <row r="347">
      <c r="A347" s="4" t="s">
        <v>778</v>
      </c>
      <c r="B347" s="4"/>
      <c r="C347" s="4" t="s">
        <v>184</v>
      </c>
      <c r="D347" s="4">
        <v>49833.0</v>
      </c>
      <c r="E347" s="4"/>
      <c r="F347" s="4" t="s">
        <v>85</v>
      </c>
      <c r="G347" s="4">
        <v>99.0</v>
      </c>
      <c r="H347" s="4"/>
      <c r="I347" s="4">
        <v>99.0</v>
      </c>
      <c r="J347" s="4" t="s">
        <v>779</v>
      </c>
      <c r="K347" s="4">
        <v>9.19627201201E11</v>
      </c>
      <c r="L347" s="4" t="s">
        <v>67</v>
      </c>
      <c r="M347" s="4" t="b">
        <v>0</v>
      </c>
      <c r="N347" s="4" t="s">
        <v>74</v>
      </c>
      <c r="O347" s="4" t="s">
        <v>69</v>
      </c>
      <c r="P347" s="6">
        <v>44290.7412962963</v>
      </c>
      <c r="Q347" s="4">
        <v>16653.0</v>
      </c>
      <c r="R347" s="4"/>
      <c r="S347" s="4"/>
      <c r="T347" s="4"/>
      <c r="U347" s="7"/>
      <c r="V347" s="4"/>
      <c r="W347" s="4"/>
      <c r="X347" s="4"/>
      <c r="Y347" s="4"/>
      <c r="Z347" s="4"/>
      <c r="AA347" s="5"/>
      <c r="AB347" s="5"/>
      <c r="AC347" s="5"/>
      <c r="AD347" s="5"/>
      <c r="AE347" s="5"/>
    </row>
    <row r="348">
      <c r="A348" s="4" t="s">
        <v>780</v>
      </c>
      <c r="B348" s="4"/>
      <c r="C348" s="4" t="s">
        <v>137</v>
      </c>
      <c r="D348" s="4">
        <v>49831.0</v>
      </c>
      <c r="E348" s="4"/>
      <c r="F348" s="4" t="s">
        <v>149</v>
      </c>
      <c r="G348" s="4">
        <v>99.0</v>
      </c>
      <c r="H348" s="4"/>
      <c r="I348" s="4">
        <v>99.0</v>
      </c>
      <c r="J348" s="4" t="s">
        <v>781</v>
      </c>
      <c r="K348" s="4">
        <v>9.19455202194E11</v>
      </c>
      <c r="L348" s="4" t="s">
        <v>67</v>
      </c>
      <c r="M348" s="4" t="b">
        <v>0</v>
      </c>
      <c r="N348" s="4" t="s">
        <v>74</v>
      </c>
      <c r="O348" s="4" t="s">
        <v>69</v>
      </c>
      <c r="P348" s="6">
        <v>44213.679236111115</v>
      </c>
      <c r="Q348" s="4" t="s">
        <v>782</v>
      </c>
      <c r="R348" s="4"/>
      <c r="S348" s="4"/>
      <c r="T348" s="4"/>
      <c r="U348" s="7"/>
      <c r="V348" s="4"/>
      <c r="W348" s="4"/>
      <c r="X348" s="4"/>
      <c r="Y348" s="4"/>
      <c r="Z348" s="4"/>
      <c r="AA348" s="5"/>
      <c r="AB348" s="5"/>
      <c r="AC348" s="5"/>
      <c r="AD348" s="5"/>
      <c r="AE348" s="5"/>
    </row>
    <row r="349">
      <c r="A349" s="4" t="s">
        <v>783</v>
      </c>
      <c r="B349" s="4"/>
      <c r="C349" s="4" t="s">
        <v>184</v>
      </c>
      <c r="D349" s="4">
        <v>49833.0</v>
      </c>
      <c r="E349" s="4"/>
      <c r="F349" s="4" t="s">
        <v>85</v>
      </c>
      <c r="G349" s="4">
        <v>99.0</v>
      </c>
      <c r="H349" s="4"/>
      <c r="I349" s="4">
        <v>99.0</v>
      </c>
      <c r="J349" s="4" t="s">
        <v>784</v>
      </c>
      <c r="K349" s="4">
        <v>9.1988606817E11</v>
      </c>
      <c r="L349" s="4" t="s">
        <v>67</v>
      </c>
      <c r="M349" s="4" t="b">
        <v>0</v>
      </c>
      <c r="N349" s="4" t="s">
        <v>68</v>
      </c>
      <c r="O349" s="4" t="s">
        <v>69</v>
      </c>
      <c r="P349" s="6">
        <v>44290.82975694445</v>
      </c>
      <c r="Q349" s="4" t="s">
        <v>83</v>
      </c>
      <c r="R349" s="4"/>
      <c r="S349" s="4"/>
      <c r="T349" s="4"/>
      <c r="U349" s="7"/>
      <c r="V349" s="4"/>
      <c r="W349" s="4"/>
      <c r="X349" s="4"/>
      <c r="Y349" s="4"/>
      <c r="Z349" s="4"/>
      <c r="AA349" s="5"/>
      <c r="AB349" s="5"/>
      <c r="AC349" s="5"/>
      <c r="AD349" s="5"/>
      <c r="AE349" s="5"/>
    </row>
    <row r="350">
      <c r="A350" s="4" t="s">
        <v>785</v>
      </c>
      <c r="B350" s="4"/>
      <c r="C350" s="4" t="s">
        <v>680</v>
      </c>
      <c r="D350" s="4">
        <v>49835.0</v>
      </c>
      <c r="E350" s="4"/>
      <c r="F350" s="4" t="s">
        <v>85</v>
      </c>
      <c r="G350" s="4">
        <v>99.0</v>
      </c>
      <c r="H350" s="4"/>
      <c r="I350" s="4">
        <v>99.0</v>
      </c>
      <c r="J350" s="4" t="s">
        <v>786</v>
      </c>
      <c r="K350" s="4">
        <v>9.19111110852E11</v>
      </c>
      <c r="L350" s="4" t="s">
        <v>67</v>
      </c>
      <c r="M350" s="4" t="b">
        <v>0</v>
      </c>
      <c r="N350" s="4" t="s">
        <v>68</v>
      </c>
      <c r="O350" s="4" t="s">
        <v>69</v>
      </c>
      <c r="P350" s="6">
        <v>44276.77238425926</v>
      </c>
      <c r="Q350" s="4">
        <v>16562.0</v>
      </c>
      <c r="R350" s="4"/>
      <c r="S350" s="4"/>
      <c r="T350" s="4"/>
      <c r="U350" s="7"/>
      <c r="V350" s="4"/>
      <c r="W350" s="4"/>
      <c r="X350" s="4"/>
      <c r="Y350" s="4"/>
      <c r="Z350" s="4"/>
      <c r="AA350" s="5"/>
      <c r="AB350" s="5"/>
      <c r="AC350" s="5"/>
      <c r="AD350" s="5"/>
      <c r="AE350" s="5"/>
    </row>
    <row r="351">
      <c r="A351" s="4" t="s">
        <v>787</v>
      </c>
      <c r="B351" s="4"/>
      <c r="C351" s="4" t="s">
        <v>137</v>
      </c>
      <c r="D351" s="4">
        <v>49831.0</v>
      </c>
      <c r="E351" s="4"/>
      <c r="F351" s="4" t="s">
        <v>149</v>
      </c>
      <c r="G351" s="4">
        <v>99.0</v>
      </c>
      <c r="H351" s="4"/>
      <c r="I351" s="4">
        <v>99.0</v>
      </c>
      <c r="J351" s="4" t="s">
        <v>788</v>
      </c>
      <c r="K351" s="4">
        <v>9.18810555506E11</v>
      </c>
      <c r="L351" s="4" t="s">
        <v>67</v>
      </c>
      <c r="M351" s="4" t="b">
        <v>0</v>
      </c>
      <c r="N351" s="4" t="s">
        <v>68</v>
      </c>
      <c r="O351" s="4" t="s">
        <v>69</v>
      </c>
      <c r="P351" s="6">
        <v>44237.79421296297</v>
      </c>
      <c r="Q351" s="4">
        <v>11999.0</v>
      </c>
      <c r="R351" s="4"/>
      <c r="S351" s="4"/>
      <c r="T351" s="4"/>
      <c r="U351" s="7"/>
      <c r="V351" s="4"/>
      <c r="W351" s="4"/>
      <c r="X351" s="4"/>
      <c r="Y351" s="4"/>
      <c r="Z351" s="4"/>
      <c r="AA351" s="5"/>
      <c r="AB351" s="5"/>
      <c r="AC351" s="5"/>
      <c r="AD351" s="5"/>
      <c r="AE351" s="5"/>
    </row>
    <row r="352">
      <c r="A352" s="4" t="s">
        <v>789</v>
      </c>
      <c r="B352" s="4"/>
      <c r="C352" s="4" t="s">
        <v>137</v>
      </c>
      <c r="D352" s="4">
        <v>49831.0</v>
      </c>
      <c r="E352" s="4"/>
      <c r="F352" s="4" t="s">
        <v>149</v>
      </c>
      <c r="G352" s="4">
        <v>99.0</v>
      </c>
      <c r="H352" s="4"/>
      <c r="I352" s="4">
        <v>99.0</v>
      </c>
      <c r="J352" s="4" t="s">
        <v>788</v>
      </c>
      <c r="K352" s="4">
        <v>9.18810555506E11</v>
      </c>
      <c r="L352" s="4" t="s">
        <v>67</v>
      </c>
      <c r="M352" s="4" t="b">
        <v>0</v>
      </c>
      <c r="N352" s="4" t="s">
        <v>68</v>
      </c>
      <c r="O352" s="4" t="s">
        <v>69</v>
      </c>
      <c r="P352" s="6">
        <v>44237.79591435185</v>
      </c>
      <c r="Q352" s="4">
        <v>11999.0</v>
      </c>
      <c r="R352" s="4"/>
      <c r="S352" s="4"/>
      <c r="T352" s="4"/>
      <c r="U352" s="7"/>
      <c r="V352" s="4"/>
      <c r="W352" s="4"/>
      <c r="X352" s="4"/>
      <c r="Y352" s="4"/>
      <c r="Z352" s="4"/>
      <c r="AA352" s="5"/>
      <c r="AB352" s="5"/>
      <c r="AC352" s="5"/>
      <c r="AD352" s="5"/>
      <c r="AE352" s="5"/>
    </row>
    <row r="353">
      <c r="A353" s="4" t="s">
        <v>790</v>
      </c>
      <c r="B353" s="4"/>
      <c r="C353" s="4" t="s">
        <v>791</v>
      </c>
      <c r="D353" s="4">
        <v>49948.0</v>
      </c>
      <c r="E353" s="4"/>
      <c r="F353" s="4" t="s">
        <v>149</v>
      </c>
      <c r="G353" s="4">
        <v>99.0</v>
      </c>
      <c r="H353" s="4"/>
      <c r="I353" s="4">
        <v>99.0</v>
      </c>
      <c r="J353" s="4" t="s">
        <v>792</v>
      </c>
      <c r="K353" s="4">
        <v>9.1988477296E11</v>
      </c>
      <c r="L353" s="4" t="s">
        <v>67</v>
      </c>
      <c r="M353" s="4" t="b">
        <v>0</v>
      </c>
      <c r="N353" s="4" t="s">
        <v>97</v>
      </c>
      <c r="O353" s="4" t="s">
        <v>69</v>
      </c>
      <c r="P353" s="6">
        <v>44273.6178125</v>
      </c>
      <c r="Q353" s="4">
        <v>16341.0</v>
      </c>
      <c r="R353" s="4"/>
      <c r="S353" s="4"/>
      <c r="T353" s="4"/>
      <c r="U353" s="7"/>
      <c r="V353" s="4"/>
      <c r="W353" s="4"/>
      <c r="X353" s="4"/>
      <c r="Y353" s="4"/>
      <c r="Z353" s="4"/>
      <c r="AA353" s="5"/>
      <c r="AB353" s="5"/>
      <c r="AC353" s="5"/>
      <c r="AD353" s="5"/>
      <c r="AE353" s="5"/>
    </row>
    <row r="354">
      <c r="A354" s="4" t="s">
        <v>793</v>
      </c>
      <c r="B354" s="4"/>
      <c r="C354" s="4" t="s">
        <v>184</v>
      </c>
      <c r="D354" s="4">
        <v>49833.0</v>
      </c>
      <c r="E354" s="4"/>
      <c r="F354" s="4" t="s">
        <v>77</v>
      </c>
      <c r="G354" s="4">
        <v>299.0</v>
      </c>
      <c r="H354" s="4"/>
      <c r="I354" s="4">
        <v>299.0</v>
      </c>
      <c r="J354" s="4" t="s">
        <v>794</v>
      </c>
      <c r="K354" s="4">
        <v>9.19176548049E11</v>
      </c>
      <c r="L354" s="4" t="s">
        <v>67</v>
      </c>
      <c r="M354" s="4" t="b">
        <v>0</v>
      </c>
      <c r="N354" s="4" t="s">
        <v>68</v>
      </c>
      <c r="O354" s="4" t="s">
        <v>69</v>
      </c>
      <c r="P354" s="6">
        <v>44290.947592592594</v>
      </c>
      <c r="Q354" s="4">
        <v>16678.0</v>
      </c>
      <c r="R354" s="4"/>
      <c r="S354" s="4"/>
      <c r="T354" s="4"/>
      <c r="U354" s="7"/>
      <c r="V354" s="4"/>
      <c r="W354" s="4"/>
      <c r="X354" s="4"/>
      <c r="Y354" s="4"/>
      <c r="Z354" s="4"/>
      <c r="AA354" s="5"/>
      <c r="AB354" s="5"/>
      <c r="AC354" s="5"/>
      <c r="AD354" s="5"/>
      <c r="AE354" s="5"/>
    </row>
    <row r="355">
      <c r="A355" s="4" t="s">
        <v>795</v>
      </c>
      <c r="B355" s="4"/>
      <c r="C355" s="4" t="s">
        <v>280</v>
      </c>
      <c r="D355" s="4">
        <v>49877.0</v>
      </c>
      <c r="E355" s="4"/>
      <c r="F355" s="4" t="s">
        <v>85</v>
      </c>
      <c r="G355" s="4">
        <v>99.0</v>
      </c>
      <c r="H355" s="4"/>
      <c r="I355" s="4">
        <v>99.0</v>
      </c>
      <c r="J355" s="4" t="s">
        <v>796</v>
      </c>
      <c r="K355" s="4">
        <v>9.17233924385E11</v>
      </c>
      <c r="L355" s="4" t="s">
        <v>67</v>
      </c>
      <c r="M355" s="4" t="b">
        <v>0</v>
      </c>
      <c r="N355" s="4" t="s">
        <v>74</v>
      </c>
      <c r="O355" s="4" t="s">
        <v>69</v>
      </c>
      <c r="P355" s="6">
        <v>44290.988900462966</v>
      </c>
      <c r="Q355" s="4" t="s">
        <v>83</v>
      </c>
      <c r="R355" s="4"/>
      <c r="S355" s="4"/>
      <c r="T355" s="4"/>
      <c r="U355" s="7"/>
      <c r="V355" s="4"/>
      <c r="W355" s="4"/>
      <c r="X355" s="4"/>
      <c r="Y355" s="4"/>
      <c r="Z355" s="4"/>
      <c r="AA355" s="5"/>
      <c r="AB355" s="5"/>
      <c r="AC355" s="5"/>
      <c r="AD355" s="5"/>
      <c r="AE355" s="5"/>
    </row>
    <row r="356">
      <c r="A356" s="4" t="s">
        <v>797</v>
      </c>
      <c r="B356" s="4"/>
      <c r="C356" s="4" t="s">
        <v>791</v>
      </c>
      <c r="D356" s="4">
        <v>49948.0</v>
      </c>
      <c r="E356" s="4"/>
      <c r="F356" s="4" t="s">
        <v>149</v>
      </c>
      <c r="G356" s="4">
        <v>99.0</v>
      </c>
      <c r="H356" s="4"/>
      <c r="I356" s="4">
        <v>99.0</v>
      </c>
      <c r="J356" s="4" t="s">
        <v>798</v>
      </c>
      <c r="K356" s="4">
        <v>9.17319789623E11</v>
      </c>
      <c r="L356" s="4" t="s">
        <v>67</v>
      </c>
      <c r="M356" s="4" t="b">
        <v>0</v>
      </c>
      <c r="N356" s="4" t="s">
        <v>68</v>
      </c>
      <c r="O356" s="4" t="s">
        <v>69</v>
      </c>
      <c r="P356" s="6">
        <v>44274.378657407404</v>
      </c>
      <c r="Q356" s="4">
        <v>16301.0</v>
      </c>
      <c r="R356" s="4"/>
      <c r="S356" s="4"/>
      <c r="T356" s="4"/>
      <c r="U356" s="7"/>
      <c r="V356" s="4"/>
      <c r="W356" s="4"/>
      <c r="X356" s="4"/>
      <c r="Y356" s="4"/>
      <c r="Z356" s="4"/>
      <c r="AA356" s="5"/>
      <c r="AB356" s="5"/>
      <c r="AC356" s="5"/>
      <c r="AD356" s="5"/>
      <c r="AE356" s="5"/>
    </row>
    <row r="357">
      <c r="A357" s="4" t="s">
        <v>799</v>
      </c>
      <c r="B357" s="4"/>
      <c r="C357" s="4" t="s">
        <v>184</v>
      </c>
      <c r="D357" s="4">
        <v>49833.0</v>
      </c>
      <c r="E357" s="4"/>
      <c r="F357" s="4" t="s">
        <v>85</v>
      </c>
      <c r="G357" s="4">
        <v>99.0</v>
      </c>
      <c r="H357" s="4"/>
      <c r="I357" s="4">
        <v>99.0</v>
      </c>
      <c r="J357" s="4" t="s">
        <v>800</v>
      </c>
      <c r="K357" s="4">
        <v>9.18448418696E11</v>
      </c>
      <c r="L357" s="4" t="s">
        <v>67</v>
      </c>
      <c r="M357" s="4" t="b">
        <v>0</v>
      </c>
      <c r="N357" s="4" t="s">
        <v>68</v>
      </c>
      <c r="O357" s="4" t="s">
        <v>69</v>
      </c>
      <c r="P357" s="6">
        <v>44291.18373842593</v>
      </c>
      <c r="Q357" s="4" t="s">
        <v>83</v>
      </c>
      <c r="R357" s="4"/>
      <c r="S357" s="4"/>
      <c r="T357" s="4"/>
      <c r="U357" s="7"/>
      <c r="V357" s="4"/>
      <c r="W357" s="4"/>
      <c r="X357" s="4"/>
      <c r="Y357" s="4"/>
      <c r="Z357" s="4"/>
      <c r="AA357" s="5"/>
      <c r="AB357" s="5"/>
      <c r="AC357" s="5"/>
      <c r="AD357" s="5"/>
      <c r="AE357" s="5"/>
    </row>
    <row r="358">
      <c r="A358" s="4" t="s">
        <v>801</v>
      </c>
      <c r="B358" s="4"/>
      <c r="C358" s="4" t="s">
        <v>791</v>
      </c>
      <c r="D358" s="4">
        <v>49948.0</v>
      </c>
      <c r="E358" s="4"/>
      <c r="F358" s="4" t="s">
        <v>149</v>
      </c>
      <c r="G358" s="4">
        <v>99.0</v>
      </c>
      <c r="H358" s="4"/>
      <c r="I358" s="4">
        <v>99.0</v>
      </c>
      <c r="J358" s="4" t="s">
        <v>802</v>
      </c>
      <c r="K358" s="4">
        <v>9.19354292696E11</v>
      </c>
      <c r="L358" s="4" t="s">
        <v>67</v>
      </c>
      <c r="M358" s="4" t="b">
        <v>0</v>
      </c>
      <c r="N358" s="4" t="s">
        <v>68</v>
      </c>
      <c r="O358" s="4" t="s">
        <v>69</v>
      </c>
      <c r="P358" s="6">
        <v>44274.444027777776</v>
      </c>
      <c r="Q358" s="4">
        <v>16300.0</v>
      </c>
      <c r="R358" s="4"/>
      <c r="S358" s="4"/>
      <c r="T358" s="4"/>
      <c r="U358" s="7"/>
      <c r="V358" s="4"/>
      <c r="W358" s="4"/>
      <c r="X358" s="4"/>
      <c r="Y358" s="4"/>
      <c r="Z358" s="4"/>
      <c r="AA358" s="5"/>
      <c r="AB358" s="5"/>
      <c r="AC358" s="5"/>
      <c r="AD358" s="5"/>
      <c r="AE358" s="5"/>
    </row>
    <row r="359">
      <c r="A359" s="4" t="s">
        <v>803</v>
      </c>
      <c r="B359" s="4"/>
      <c r="C359" s="4" t="s">
        <v>280</v>
      </c>
      <c r="D359" s="4">
        <v>49877.0</v>
      </c>
      <c r="E359" s="4"/>
      <c r="F359" s="4" t="s">
        <v>85</v>
      </c>
      <c r="G359" s="4">
        <v>99.0</v>
      </c>
      <c r="H359" s="4"/>
      <c r="I359" s="4">
        <v>99.0</v>
      </c>
      <c r="J359" s="4" t="s">
        <v>804</v>
      </c>
      <c r="K359" s="4">
        <v>9.1832915984E11</v>
      </c>
      <c r="L359" s="4" t="s">
        <v>67</v>
      </c>
      <c r="M359" s="4" t="b">
        <v>0</v>
      </c>
      <c r="N359" s="4" t="s">
        <v>68</v>
      </c>
      <c r="O359" s="4" t="s">
        <v>69</v>
      </c>
      <c r="P359" s="6">
        <v>44291.31002314815</v>
      </c>
      <c r="Q359" s="4" t="s">
        <v>83</v>
      </c>
      <c r="R359" s="4"/>
      <c r="S359" s="4"/>
      <c r="T359" s="4"/>
      <c r="U359" s="7"/>
      <c r="V359" s="4"/>
      <c r="W359" s="4"/>
      <c r="X359" s="4"/>
      <c r="Y359" s="4"/>
      <c r="Z359" s="4"/>
      <c r="AA359" s="5"/>
      <c r="AB359" s="5"/>
      <c r="AC359" s="5"/>
      <c r="AD359" s="5"/>
      <c r="AE359" s="5"/>
    </row>
    <row r="360">
      <c r="A360" s="4" t="s">
        <v>805</v>
      </c>
      <c r="B360" s="4"/>
      <c r="C360" s="4" t="s">
        <v>184</v>
      </c>
      <c r="D360" s="4">
        <v>49833.0</v>
      </c>
      <c r="E360" s="4"/>
      <c r="F360" s="4" t="s">
        <v>85</v>
      </c>
      <c r="G360" s="4">
        <v>99.0</v>
      </c>
      <c r="H360" s="4"/>
      <c r="I360" s="4">
        <v>99.0</v>
      </c>
      <c r="J360" s="4" t="s">
        <v>806</v>
      </c>
      <c r="K360" s="4">
        <v>9.19970593037E11</v>
      </c>
      <c r="L360" s="4" t="s">
        <v>67</v>
      </c>
      <c r="M360" s="4" t="b">
        <v>0</v>
      </c>
      <c r="N360" s="4" t="s">
        <v>68</v>
      </c>
      <c r="O360" s="4" t="s">
        <v>69</v>
      </c>
      <c r="P360" s="6">
        <v>44291.35435185185</v>
      </c>
      <c r="Q360" s="4" t="s">
        <v>83</v>
      </c>
      <c r="R360" s="4"/>
      <c r="S360" s="4"/>
      <c r="T360" s="4"/>
      <c r="U360" s="7"/>
      <c r="V360" s="4"/>
      <c r="W360" s="4"/>
      <c r="X360" s="4"/>
      <c r="Y360" s="4"/>
      <c r="Z360" s="4"/>
      <c r="AA360" s="5"/>
      <c r="AB360" s="5"/>
      <c r="AC360" s="5"/>
      <c r="AD360" s="5"/>
      <c r="AE360" s="5"/>
    </row>
    <row r="361">
      <c r="A361" s="4" t="s">
        <v>807</v>
      </c>
      <c r="B361" s="4"/>
      <c r="C361" s="4" t="s">
        <v>680</v>
      </c>
      <c r="D361" s="4">
        <v>49835.0</v>
      </c>
      <c r="E361" s="4"/>
      <c r="F361" s="4" t="s">
        <v>85</v>
      </c>
      <c r="G361" s="4">
        <v>99.0</v>
      </c>
      <c r="H361" s="4"/>
      <c r="I361" s="4">
        <v>99.0</v>
      </c>
      <c r="J361" s="4" t="s">
        <v>808</v>
      </c>
      <c r="K361" s="4">
        <v>9.1885698501E11</v>
      </c>
      <c r="L361" s="4" t="s">
        <v>67</v>
      </c>
      <c r="M361" s="4" t="b">
        <v>0</v>
      </c>
      <c r="N361" s="4" t="s">
        <v>68</v>
      </c>
      <c r="O361" s="4" t="s">
        <v>69</v>
      </c>
      <c r="P361" s="6">
        <v>44276.806238425925</v>
      </c>
      <c r="Q361" s="4">
        <v>16362.0</v>
      </c>
      <c r="R361" s="4"/>
      <c r="S361" s="4"/>
      <c r="T361" s="4"/>
      <c r="U361" s="7"/>
      <c r="V361" s="4"/>
      <c r="W361" s="4"/>
      <c r="X361" s="4"/>
      <c r="Y361" s="4"/>
      <c r="Z361" s="4"/>
      <c r="AA361" s="5"/>
      <c r="AB361" s="5"/>
      <c r="AC361" s="5"/>
      <c r="AD361" s="5"/>
      <c r="AE361" s="5"/>
    </row>
    <row r="362">
      <c r="A362" s="4" t="s">
        <v>809</v>
      </c>
      <c r="B362" s="4"/>
      <c r="C362" s="4" t="s">
        <v>184</v>
      </c>
      <c r="D362" s="4">
        <v>49833.0</v>
      </c>
      <c r="E362" s="4"/>
      <c r="F362" s="4" t="s">
        <v>77</v>
      </c>
      <c r="G362" s="4">
        <v>299.0</v>
      </c>
      <c r="H362" s="4"/>
      <c r="I362" s="4">
        <v>299.0</v>
      </c>
      <c r="J362" s="4" t="s">
        <v>810</v>
      </c>
      <c r="K362" s="4">
        <v>9.18806652336E11</v>
      </c>
      <c r="L362" s="4" t="s">
        <v>67</v>
      </c>
      <c r="M362" s="4" t="b">
        <v>0</v>
      </c>
      <c r="N362" s="4" t="s">
        <v>74</v>
      </c>
      <c r="O362" s="4" t="s">
        <v>69</v>
      </c>
      <c r="P362" s="6">
        <v>44291.41196759259</v>
      </c>
      <c r="Q362" s="4">
        <v>6466.0</v>
      </c>
      <c r="R362" s="4"/>
      <c r="S362" s="4"/>
      <c r="T362" s="4"/>
      <c r="U362" s="7"/>
      <c r="V362" s="4"/>
      <c r="W362" s="4"/>
      <c r="X362" s="4"/>
      <c r="Y362" s="4"/>
      <c r="Z362" s="4"/>
      <c r="AA362" s="5"/>
      <c r="AB362" s="5"/>
      <c r="AC362" s="5"/>
      <c r="AD362" s="5"/>
      <c r="AE362" s="5"/>
    </row>
    <row r="363">
      <c r="A363" s="4" t="s">
        <v>811</v>
      </c>
      <c r="B363" s="4"/>
      <c r="C363" s="4" t="s">
        <v>184</v>
      </c>
      <c r="D363" s="4">
        <v>49833.0</v>
      </c>
      <c r="E363" s="4"/>
      <c r="F363" s="4" t="s">
        <v>85</v>
      </c>
      <c r="G363" s="4">
        <v>99.0</v>
      </c>
      <c r="H363" s="4"/>
      <c r="I363" s="4">
        <v>99.0</v>
      </c>
      <c r="J363" s="4" t="s">
        <v>812</v>
      </c>
      <c r="K363" s="4">
        <v>9.18976004528E11</v>
      </c>
      <c r="L363" s="4" t="s">
        <v>67</v>
      </c>
      <c r="M363" s="4" t="b">
        <v>0</v>
      </c>
      <c r="N363" s="4" t="s">
        <v>68</v>
      </c>
      <c r="O363" s="4" t="s">
        <v>69</v>
      </c>
      <c r="P363" s="6">
        <v>44291.41233796296</v>
      </c>
      <c r="Q363" s="4">
        <v>16673.0</v>
      </c>
      <c r="R363" s="4"/>
      <c r="S363" s="4"/>
      <c r="T363" s="4"/>
      <c r="U363" s="7"/>
      <c r="V363" s="4"/>
      <c r="W363" s="4"/>
      <c r="X363" s="4"/>
      <c r="Y363" s="4"/>
      <c r="Z363" s="4"/>
      <c r="AA363" s="5"/>
      <c r="AB363" s="5"/>
      <c r="AC363" s="5"/>
      <c r="AD363" s="5"/>
      <c r="AE363" s="5"/>
    </row>
    <row r="364">
      <c r="A364" s="4" t="s">
        <v>813</v>
      </c>
      <c r="B364" s="4"/>
      <c r="C364" s="4" t="s">
        <v>280</v>
      </c>
      <c r="D364" s="4">
        <v>49877.0</v>
      </c>
      <c r="E364" s="4"/>
      <c r="F364" s="4" t="s">
        <v>85</v>
      </c>
      <c r="G364" s="4">
        <v>99.0</v>
      </c>
      <c r="H364" s="4"/>
      <c r="I364" s="4">
        <v>99.0</v>
      </c>
      <c r="J364" s="4" t="s">
        <v>814</v>
      </c>
      <c r="K364" s="4">
        <v>9.19599660295E11</v>
      </c>
      <c r="L364" s="4" t="s">
        <v>67</v>
      </c>
      <c r="M364" s="4" t="b">
        <v>0</v>
      </c>
      <c r="N364" s="4" t="s">
        <v>68</v>
      </c>
      <c r="O364" s="4" t="s">
        <v>69</v>
      </c>
      <c r="P364" s="6">
        <v>44291.438159722224</v>
      </c>
      <c r="Q364" s="4">
        <v>16869.0</v>
      </c>
      <c r="R364" s="4"/>
      <c r="S364" s="4"/>
      <c r="T364" s="4"/>
      <c r="U364" s="7"/>
      <c r="V364" s="4"/>
      <c r="W364" s="4"/>
      <c r="X364" s="4"/>
      <c r="Y364" s="4"/>
      <c r="Z364" s="4"/>
      <c r="AA364" s="5"/>
      <c r="AB364" s="5"/>
      <c r="AC364" s="5"/>
      <c r="AD364" s="5"/>
      <c r="AE364" s="5"/>
    </row>
    <row r="365">
      <c r="A365" s="4" t="s">
        <v>815</v>
      </c>
      <c r="B365" s="4"/>
      <c r="C365" s="4" t="s">
        <v>184</v>
      </c>
      <c r="D365" s="4">
        <v>49833.0</v>
      </c>
      <c r="E365" s="4"/>
      <c r="F365" s="4" t="s">
        <v>85</v>
      </c>
      <c r="G365" s="4">
        <v>99.0</v>
      </c>
      <c r="H365" s="4"/>
      <c r="I365" s="4">
        <v>99.0</v>
      </c>
      <c r="J365" s="4" t="s">
        <v>816</v>
      </c>
      <c r="K365" s="4">
        <v>9.17506573129E11</v>
      </c>
      <c r="L365" s="4" t="s">
        <v>67</v>
      </c>
      <c r="M365" s="4" t="b">
        <v>0</v>
      </c>
      <c r="N365" s="4" t="s">
        <v>97</v>
      </c>
      <c r="O365" s="4" t="s">
        <v>69</v>
      </c>
      <c r="P365" s="6">
        <v>44291.49392361111</v>
      </c>
      <c r="Q365" s="4">
        <v>16818.0</v>
      </c>
      <c r="R365" s="4"/>
      <c r="S365" s="4"/>
      <c r="T365" s="4"/>
      <c r="U365" s="7"/>
      <c r="V365" s="4"/>
      <c r="W365" s="4"/>
      <c r="X365" s="4"/>
      <c r="Y365" s="4"/>
      <c r="Z365" s="4"/>
      <c r="AA365" s="5"/>
      <c r="AB365" s="5"/>
      <c r="AC365" s="5"/>
      <c r="AD365" s="5"/>
      <c r="AE365" s="5"/>
    </row>
    <row r="366">
      <c r="A366" s="4" t="s">
        <v>817</v>
      </c>
      <c r="B366" s="4"/>
      <c r="C366" s="4" t="s">
        <v>184</v>
      </c>
      <c r="D366" s="4">
        <v>49833.0</v>
      </c>
      <c r="E366" s="4"/>
      <c r="F366" s="4" t="s">
        <v>85</v>
      </c>
      <c r="G366" s="4">
        <v>99.0</v>
      </c>
      <c r="H366" s="4"/>
      <c r="I366" s="4">
        <v>99.0</v>
      </c>
      <c r="J366" s="4" t="s">
        <v>818</v>
      </c>
      <c r="K366" s="4">
        <v>9.17738219439E11</v>
      </c>
      <c r="L366" s="4" t="s">
        <v>67</v>
      </c>
      <c r="M366" s="4" t="b">
        <v>0</v>
      </c>
      <c r="N366" s="4" t="s">
        <v>68</v>
      </c>
      <c r="O366" s="4" t="s">
        <v>69</v>
      </c>
      <c r="P366" s="6">
        <v>44291.510729166665</v>
      </c>
      <c r="Q366" s="4" t="s">
        <v>83</v>
      </c>
      <c r="R366" s="4"/>
      <c r="S366" s="4"/>
      <c r="T366" s="4"/>
      <c r="U366" s="7"/>
      <c r="V366" s="4"/>
      <c r="W366" s="4"/>
      <c r="X366" s="4"/>
      <c r="Y366" s="4"/>
      <c r="Z366" s="4"/>
      <c r="AA366" s="5"/>
      <c r="AB366" s="5"/>
      <c r="AC366" s="5"/>
      <c r="AD366" s="5"/>
      <c r="AE366" s="5"/>
    </row>
    <row r="367">
      <c r="A367" s="4" t="s">
        <v>819</v>
      </c>
      <c r="B367" s="4"/>
      <c r="C367" s="4" t="s">
        <v>184</v>
      </c>
      <c r="D367" s="4">
        <v>49833.0</v>
      </c>
      <c r="E367" s="4"/>
      <c r="F367" s="4" t="s">
        <v>85</v>
      </c>
      <c r="G367" s="4">
        <v>99.0</v>
      </c>
      <c r="H367" s="4"/>
      <c r="I367" s="4">
        <v>99.0</v>
      </c>
      <c r="J367" s="4" t="s">
        <v>820</v>
      </c>
      <c r="K367" s="4">
        <v>9.18978885133E11</v>
      </c>
      <c r="L367" s="4" t="s">
        <v>67</v>
      </c>
      <c r="M367" s="4" t="b">
        <v>0</v>
      </c>
      <c r="N367" s="4" t="s">
        <v>68</v>
      </c>
      <c r="O367" s="4" t="s">
        <v>69</v>
      </c>
      <c r="P367" s="6">
        <v>44291.51819444444</v>
      </c>
      <c r="Q367" s="4" t="s">
        <v>83</v>
      </c>
      <c r="R367" s="4"/>
      <c r="S367" s="4"/>
      <c r="T367" s="4"/>
      <c r="U367" s="7"/>
      <c r="V367" s="4"/>
      <c r="W367" s="4"/>
      <c r="X367" s="4"/>
      <c r="Y367" s="4"/>
      <c r="Z367" s="4"/>
      <c r="AA367" s="5"/>
      <c r="AB367" s="5"/>
      <c r="AC367" s="5"/>
      <c r="AD367" s="5"/>
      <c r="AE367" s="5"/>
    </row>
    <row r="368">
      <c r="A368" s="4" t="s">
        <v>821</v>
      </c>
      <c r="B368" s="4"/>
      <c r="C368" s="4" t="s">
        <v>280</v>
      </c>
      <c r="D368" s="4">
        <v>49877.0</v>
      </c>
      <c r="E368" s="4"/>
      <c r="F368" s="4" t="s">
        <v>85</v>
      </c>
      <c r="G368" s="4">
        <v>99.0</v>
      </c>
      <c r="H368" s="4"/>
      <c r="I368" s="4">
        <v>99.0</v>
      </c>
      <c r="J368" s="4" t="s">
        <v>822</v>
      </c>
      <c r="K368" s="4">
        <v>9.19925905303E11</v>
      </c>
      <c r="L368" s="4" t="s">
        <v>67</v>
      </c>
      <c r="M368" s="4" t="b">
        <v>0</v>
      </c>
      <c r="N368" s="4" t="s">
        <v>74</v>
      </c>
      <c r="O368" s="4" t="s">
        <v>69</v>
      </c>
      <c r="P368" s="6">
        <v>44291.556226851855</v>
      </c>
      <c r="Q368" s="4">
        <v>16643.0</v>
      </c>
      <c r="R368" s="4"/>
      <c r="S368" s="4"/>
      <c r="T368" s="4"/>
      <c r="U368" s="7"/>
      <c r="V368" s="4"/>
      <c r="W368" s="4"/>
      <c r="X368" s="4"/>
      <c r="Y368" s="4"/>
      <c r="Z368" s="4"/>
      <c r="AA368" s="5"/>
      <c r="AB368" s="5"/>
      <c r="AC368" s="5"/>
      <c r="AD368" s="5"/>
      <c r="AE368" s="5"/>
    </row>
    <row r="369">
      <c r="A369" s="4" t="s">
        <v>823</v>
      </c>
      <c r="B369" s="4"/>
      <c r="C369" s="4" t="s">
        <v>184</v>
      </c>
      <c r="D369" s="4">
        <v>49833.0</v>
      </c>
      <c r="E369" s="4"/>
      <c r="F369" s="4" t="s">
        <v>85</v>
      </c>
      <c r="G369" s="4">
        <v>99.0</v>
      </c>
      <c r="H369" s="4"/>
      <c r="I369" s="4">
        <v>99.0</v>
      </c>
      <c r="J369" s="4" t="s">
        <v>824</v>
      </c>
      <c r="K369" s="4">
        <v>9.17042373889E11</v>
      </c>
      <c r="L369" s="4" t="s">
        <v>67</v>
      </c>
      <c r="M369" s="4" t="b">
        <v>0</v>
      </c>
      <c r="N369" s="4" t="s">
        <v>68</v>
      </c>
      <c r="O369" s="4" t="s">
        <v>69</v>
      </c>
      <c r="P369" s="6">
        <v>44291.58587962963</v>
      </c>
      <c r="Q369" s="4">
        <v>16713.0</v>
      </c>
      <c r="R369" s="4"/>
      <c r="S369" s="4"/>
      <c r="T369" s="4"/>
      <c r="U369" s="7"/>
      <c r="V369" s="4"/>
      <c r="W369" s="4"/>
      <c r="X369" s="4"/>
      <c r="Y369" s="4"/>
      <c r="Z369" s="4"/>
      <c r="AA369" s="5"/>
      <c r="AB369" s="5"/>
      <c r="AC369" s="5"/>
      <c r="AD369" s="5"/>
      <c r="AE369" s="5"/>
    </row>
    <row r="370">
      <c r="A370" s="4" t="s">
        <v>825</v>
      </c>
      <c r="B370" s="4"/>
      <c r="C370" s="4" t="s">
        <v>680</v>
      </c>
      <c r="D370" s="4">
        <v>49835.0</v>
      </c>
      <c r="E370" s="4"/>
      <c r="F370" s="4" t="s">
        <v>85</v>
      </c>
      <c r="G370" s="4">
        <v>99.0</v>
      </c>
      <c r="H370" s="4"/>
      <c r="I370" s="4">
        <v>99.0</v>
      </c>
      <c r="J370" s="4" t="s">
        <v>826</v>
      </c>
      <c r="K370" s="4">
        <v>9.19448482501E11</v>
      </c>
      <c r="L370" s="4" t="s">
        <v>67</v>
      </c>
      <c r="M370" s="4" t="b">
        <v>0</v>
      </c>
      <c r="N370" s="4" t="s">
        <v>74</v>
      </c>
      <c r="O370" s="4" t="s">
        <v>69</v>
      </c>
      <c r="P370" s="6">
        <v>44276.833645833336</v>
      </c>
      <c r="Q370" s="4">
        <v>16357.0</v>
      </c>
      <c r="R370" s="4"/>
      <c r="S370" s="4"/>
      <c r="T370" s="4"/>
      <c r="U370" s="7"/>
      <c r="V370" s="4"/>
      <c r="W370" s="4"/>
      <c r="X370" s="4"/>
      <c r="Y370" s="4"/>
      <c r="Z370" s="4"/>
      <c r="AA370" s="5"/>
      <c r="AB370" s="5"/>
      <c r="AC370" s="5"/>
      <c r="AD370" s="5"/>
      <c r="AE370" s="5"/>
    </row>
    <row r="371">
      <c r="A371" s="4" t="s">
        <v>827</v>
      </c>
      <c r="B371" s="4"/>
      <c r="C371" s="4" t="s">
        <v>184</v>
      </c>
      <c r="D371" s="4">
        <v>49833.0</v>
      </c>
      <c r="E371" s="4"/>
      <c r="F371" s="4" t="s">
        <v>85</v>
      </c>
      <c r="G371" s="4">
        <v>99.0</v>
      </c>
      <c r="H371" s="4"/>
      <c r="I371" s="4">
        <v>99.0</v>
      </c>
      <c r="J371" s="4" t="s">
        <v>828</v>
      </c>
      <c r="K371" s="4">
        <v>9.1725956385E11</v>
      </c>
      <c r="L371" s="4" t="s">
        <v>67</v>
      </c>
      <c r="M371" s="4" t="b">
        <v>0</v>
      </c>
      <c r="N371" s="4" t="s">
        <v>74</v>
      </c>
      <c r="O371" s="4" t="s">
        <v>69</v>
      </c>
      <c r="P371" s="6">
        <v>44291.62464120371</v>
      </c>
      <c r="Q371" s="4">
        <v>16811.0</v>
      </c>
      <c r="R371" s="4"/>
      <c r="S371" s="4"/>
      <c r="T371" s="4"/>
      <c r="U371" s="7"/>
      <c r="V371" s="4"/>
      <c r="W371" s="4"/>
      <c r="X371" s="4"/>
      <c r="Y371" s="4"/>
      <c r="Z371" s="4"/>
      <c r="AA371" s="5"/>
      <c r="AB371" s="5"/>
      <c r="AC371" s="5"/>
      <c r="AD371" s="5"/>
      <c r="AE371" s="5"/>
    </row>
    <row r="372">
      <c r="A372" s="4" t="s">
        <v>829</v>
      </c>
      <c r="B372" s="4"/>
      <c r="C372" s="4" t="s">
        <v>791</v>
      </c>
      <c r="D372" s="4">
        <v>49948.0</v>
      </c>
      <c r="E372" s="4"/>
      <c r="F372" s="4" t="s">
        <v>149</v>
      </c>
      <c r="G372" s="4">
        <v>99.0</v>
      </c>
      <c r="H372" s="4"/>
      <c r="I372" s="4">
        <v>99.0</v>
      </c>
      <c r="J372" s="4" t="s">
        <v>830</v>
      </c>
      <c r="K372" s="4">
        <v>9.19852968534E11</v>
      </c>
      <c r="L372" s="4" t="s">
        <v>67</v>
      </c>
      <c r="M372" s="4" t="b">
        <v>0</v>
      </c>
      <c r="N372" s="4" t="s">
        <v>68</v>
      </c>
      <c r="O372" s="4" t="s">
        <v>69</v>
      </c>
      <c r="P372" s="6">
        <v>44274.56964120371</v>
      </c>
      <c r="Q372" s="4">
        <v>16302.0</v>
      </c>
      <c r="R372" s="4"/>
      <c r="S372" s="4"/>
      <c r="T372" s="4"/>
      <c r="U372" s="7"/>
      <c r="V372" s="4"/>
      <c r="W372" s="4"/>
      <c r="X372" s="4"/>
      <c r="Y372" s="4"/>
      <c r="Z372" s="4"/>
      <c r="AA372" s="5"/>
      <c r="AB372" s="5"/>
      <c r="AC372" s="5"/>
      <c r="AD372" s="5"/>
      <c r="AE372" s="5"/>
    </row>
    <row r="373">
      <c r="A373" s="4" t="s">
        <v>831</v>
      </c>
      <c r="B373" s="4"/>
      <c r="C373" s="4" t="s">
        <v>680</v>
      </c>
      <c r="D373" s="4">
        <v>49835.0</v>
      </c>
      <c r="E373" s="4"/>
      <c r="F373" s="4" t="s">
        <v>85</v>
      </c>
      <c r="G373" s="4">
        <v>99.0</v>
      </c>
      <c r="H373" s="4"/>
      <c r="I373" s="4">
        <v>99.0</v>
      </c>
      <c r="J373" s="4" t="s">
        <v>832</v>
      </c>
      <c r="K373" s="4">
        <v>9.19879019097E11</v>
      </c>
      <c r="L373" s="4" t="s">
        <v>67</v>
      </c>
      <c r="M373" s="4" t="b">
        <v>0</v>
      </c>
      <c r="N373" s="4" t="s">
        <v>97</v>
      </c>
      <c r="O373" s="4" t="s">
        <v>69</v>
      </c>
      <c r="P373" s="6">
        <v>44276.89420138889</v>
      </c>
      <c r="Q373" s="4">
        <v>16366.0</v>
      </c>
      <c r="R373" s="4"/>
      <c r="S373" s="4"/>
      <c r="T373" s="4"/>
      <c r="U373" s="7"/>
      <c r="V373" s="4"/>
      <c r="W373" s="4"/>
      <c r="X373" s="4"/>
      <c r="Y373" s="4"/>
      <c r="Z373" s="4"/>
      <c r="AA373" s="5"/>
      <c r="AB373" s="5"/>
      <c r="AC373" s="5"/>
      <c r="AD373" s="5"/>
      <c r="AE373" s="5"/>
    </row>
    <row r="374">
      <c r="A374" s="4" t="s">
        <v>833</v>
      </c>
      <c r="B374" s="4"/>
      <c r="C374" s="4" t="s">
        <v>184</v>
      </c>
      <c r="D374" s="4">
        <v>49833.0</v>
      </c>
      <c r="E374" s="4"/>
      <c r="F374" s="4" t="s">
        <v>85</v>
      </c>
      <c r="G374" s="4">
        <v>99.0</v>
      </c>
      <c r="H374" s="4"/>
      <c r="I374" s="4">
        <v>99.0</v>
      </c>
      <c r="J374" s="4" t="s">
        <v>834</v>
      </c>
      <c r="K374" s="4">
        <v>9.19022387194E11</v>
      </c>
      <c r="L374" s="4" t="s">
        <v>67</v>
      </c>
      <c r="M374" s="4" t="b">
        <v>0</v>
      </c>
      <c r="N374" s="4" t="s">
        <v>68</v>
      </c>
      <c r="O374" s="4" t="s">
        <v>69</v>
      </c>
      <c r="P374" s="6">
        <v>44291.702361111114</v>
      </c>
      <c r="Q374" s="4" t="s">
        <v>83</v>
      </c>
      <c r="R374" s="4"/>
      <c r="S374" s="4"/>
      <c r="T374" s="4"/>
      <c r="U374" s="7"/>
      <c r="V374" s="4"/>
      <c r="W374" s="4"/>
      <c r="X374" s="4"/>
      <c r="Y374" s="4"/>
      <c r="Z374" s="4"/>
      <c r="AA374" s="5"/>
      <c r="AB374" s="5"/>
      <c r="AC374" s="5"/>
      <c r="AD374" s="5"/>
      <c r="AE374" s="5"/>
    </row>
    <row r="375">
      <c r="A375" s="4" t="s">
        <v>835</v>
      </c>
      <c r="B375" s="4"/>
      <c r="C375" s="4" t="s">
        <v>680</v>
      </c>
      <c r="D375" s="4">
        <v>49835.0</v>
      </c>
      <c r="E375" s="4"/>
      <c r="F375" s="4" t="s">
        <v>85</v>
      </c>
      <c r="G375" s="4">
        <v>99.0</v>
      </c>
      <c r="H375" s="4"/>
      <c r="I375" s="4">
        <v>99.0</v>
      </c>
      <c r="J375" s="4" t="s">
        <v>836</v>
      </c>
      <c r="K375" s="4">
        <v>9.17874911926E11</v>
      </c>
      <c r="L375" s="4" t="s">
        <v>67</v>
      </c>
      <c r="M375" s="4" t="b">
        <v>0</v>
      </c>
      <c r="N375" s="4" t="s">
        <v>97</v>
      </c>
      <c r="O375" s="4" t="s">
        <v>69</v>
      </c>
      <c r="P375" s="6">
        <v>44276.903865740744</v>
      </c>
      <c r="Q375" s="4">
        <v>16365.0</v>
      </c>
      <c r="R375" s="4"/>
      <c r="S375" s="4"/>
      <c r="T375" s="4"/>
      <c r="U375" s="7"/>
      <c r="V375" s="4"/>
      <c r="W375" s="4"/>
      <c r="X375" s="4"/>
      <c r="Y375" s="4"/>
      <c r="Z375" s="4"/>
      <c r="AA375" s="5"/>
      <c r="AB375" s="5"/>
      <c r="AC375" s="5"/>
      <c r="AD375" s="5"/>
      <c r="AE375" s="5"/>
    </row>
    <row r="376">
      <c r="A376" s="4" t="s">
        <v>837</v>
      </c>
      <c r="B376" s="4"/>
      <c r="C376" s="4" t="s">
        <v>791</v>
      </c>
      <c r="D376" s="4">
        <v>49948.0</v>
      </c>
      <c r="E376" s="4"/>
      <c r="F376" s="4" t="s">
        <v>149</v>
      </c>
      <c r="G376" s="4">
        <v>99.0</v>
      </c>
      <c r="H376" s="4"/>
      <c r="I376" s="4">
        <v>99.0</v>
      </c>
      <c r="J376" s="4" t="s">
        <v>838</v>
      </c>
      <c r="K376" s="4">
        <v>9.19130513668E11</v>
      </c>
      <c r="L376" s="4" t="s">
        <v>67</v>
      </c>
      <c r="M376" s="4" t="b">
        <v>0</v>
      </c>
      <c r="N376" s="4" t="s">
        <v>74</v>
      </c>
      <c r="O376" s="4" t="s">
        <v>69</v>
      </c>
      <c r="P376" s="6">
        <v>44275.833402777775</v>
      </c>
      <c r="Q376" s="4">
        <v>16342.0</v>
      </c>
      <c r="R376" s="4"/>
      <c r="S376" s="4"/>
      <c r="T376" s="4"/>
      <c r="U376" s="7"/>
      <c r="V376" s="4"/>
      <c r="W376" s="4"/>
      <c r="X376" s="4"/>
      <c r="Y376" s="4"/>
      <c r="Z376" s="4"/>
      <c r="AA376" s="5"/>
      <c r="AB376" s="5"/>
      <c r="AC376" s="5"/>
      <c r="AD376" s="5"/>
      <c r="AE376" s="5"/>
    </row>
    <row r="377">
      <c r="A377" s="4" t="s">
        <v>839</v>
      </c>
      <c r="B377" s="4"/>
      <c r="C377" s="4" t="s">
        <v>184</v>
      </c>
      <c r="D377" s="4">
        <v>49833.0</v>
      </c>
      <c r="E377" s="4"/>
      <c r="F377" s="4" t="s">
        <v>85</v>
      </c>
      <c r="G377" s="4">
        <v>99.0</v>
      </c>
      <c r="H377" s="4"/>
      <c r="I377" s="4">
        <v>99.0</v>
      </c>
      <c r="J377" s="4" t="s">
        <v>840</v>
      </c>
      <c r="K377" s="4">
        <v>9.19667314043E11</v>
      </c>
      <c r="L377" s="4" t="s">
        <v>67</v>
      </c>
      <c r="M377" s="4" t="b">
        <v>0</v>
      </c>
      <c r="N377" s="4" t="s">
        <v>68</v>
      </c>
      <c r="O377" s="4" t="s">
        <v>69</v>
      </c>
      <c r="P377" s="6">
        <v>44291.817928240744</v>
      </c>
      <c r="Q377" s="4">
        <v>16701.0</v>
      </c>
      <c r="R377" s="4"/>
      <c r="S377" s="4"/>
      <c r="T377" s="4"/>
      <c r="U377" s="7"/>
      <c r="V377" s="4"/>
      <c r="W377" s="4"/>
      <c r="X377" s="4"/>
      <c r="Y377" s="4"/>
      <c r="Z377" s="4"/>
      <c r="AA377" s="5"/>
      <c r="AB377" s="5"/>
      <c r="AC377" s="5"/>
      <c r="AD377" s="5"/>
      <c r="AE377" s="5"/>
    </row>
    <row r="378">
      <c r="A378" s="4" t="s">
        <v>841</v>
      </c>
      <c r="B378" s="4"/>
      <c r="C378" s="4" t="s">
        <v>184</v>
      </c>
      <c r="D378" s="4">
        <v>49833.0</v>
      </c>
      <c r="E378" s="4"/>
      <c r="F378" s="4" t="s">
        <v>85</v>
      </c>
      <c r="G378" s="4">
        <v>99.0</v>
      </c>
      <c r="H378" s="4"/>
      <c r="I378" s="4">
        <v>99.0</v>
      </c>
      <c r="J378" s="4" t="s">
        <v>842</v>
      </c>
      <c r="K378" s="4">
        <v>9.19866603605E11</v>
      </c>
      <c r="L378" s="4" t="s">
        <v>67</v>
      </c>
      <c r="M378" s="4" t="b">
        <v>0</v>
      </c>
      <c r="N378" s="4" t="s">
        <v>68</v>
      </c>
      <c r="O378" s="4" t="s">
        <v>69</v>
      </c>
      <c r="P378" s="6">
        <v>44291.82821759259</v>
      </c>
      <c r="Q378" s="4" t="s">
        <v>83</v>
      </c>
      <c r="R378" s="4"/>
      <c r="S378" s="4"/>
      <c r="T378" s="4"/>
      <c r="U378" s="7"/>
      <c r="V378" s="4"/>
      <c r="W378" s="4"/>
      <c r="X378" s="4"/>
      <c r="Y378" s="4"/>
      <c r="Z378" s="4"/>
      <c r="AA378" s="5"/>
      <c r="AB378" s="5"/>
      <c r="AC378" s="5"/>
      <c r="AD378" s="5"/>
      <c r="AE378" s="5"/>
    </row>
    <row r="379">
      <c r="A379" s="4" t="s">
        <v>843</v>
      </c>
      <c r="B379" s="4"/>
      <c r="C379" s="4" t="s">
        <v>184</v>
      </c>
      <c r="D379" s="4">
        <v>49833.0</v>
      </c>
      <c r="E379" s="4"/>
      <c r="F379" s="4" t="s">
        <v>85</v>
      </c>
      <c r="G379" s="4">
        <v>99.0</v>
      </c>
      <c r="H379" s="4"/>
      <c r="I379" s="4">
        <v>99.0</v>
      </c>
      <c r="J379" s="4" t="s">
        <v>844</v>
      </c>
      <c r="K379" s="4">
        <v>9.19882693003E11</v>
      </c>
      <c r="L379" s="4" t="s">
        <v>67</v>
      </c>
      <c r="M379" s="4" t="b">
        <v>0</v>
      </c>
      <c r="N379" s="4" t="s">
        <v>97</v>
      </c>
      <c r="O379" s="4" t="s">
        <v>69</v>
      </c>
      <c r="P379" s="6">
        <v>44291.85716435185</v>
      </c>
      <c r="Q379" s="4" t="s">
        <v>83</v>
      </c>
      <c r="R379" s="4"/>
      <c r="S379" s="4"/>
      <c r="T379" s="4"/>
      <c r="U379" s="7"/>
      <c r="V379" s="4"/>
      <c r="W379" s="4"/>
      <c r="X379" s="4"/>
      <c r="Y379" s="4"/>
      <c r="Z379" s="4"/>
      <c r="AA379" s="5"/>
      <c r="AB379" s="5"/>
      <c r="AC379" s="5"/>
      <c r="AD379" s="5"/>
      <c r="AE379" s="5"/>
    </row>
    <row r="380">
      <c r="A380" s="4" t="s">
        <v>845</v>
      </c>
      <c r="B380" s="4"/>
      <c r="C380" s="4" t="s">
        <v>791</v>
      </c>
      <c r="D380" s="4">
        <v>49948.0</v>
      </c>
      <c r="E380" s="4"/>
      <c r="F380" s="4" t="s">
        <v>149</v>
      </c>
      <c r="G380" s="4">
        <v>99.0</v>
      </c>
      <c r="H380" s="4"/>
      <c r="I380" s="4">
        <v>99.0</v>
      </c>
      <c r="J380" s="4" t="s">
        <v>846</v>
      </c>
      <c r="K380" s="4">
        <v>9.1967443192E11</v>
      </c>
      <c r="L380" s="4" t="s">
        <v>67</v>
      </c>
      <c r="M380" s="4" t="b">
        <v>0</v>
      </c>
      <c r="N380" s="4" t="s">
        <v>68</v>
      </c>
      <c r="O380" s="4" t="s">
        <v>69</v>
      </c>
      <c r="P380" s="6">
        <v>44275.86224537037</v>
      </c>
      <c r="Q380" s="4">
        <v>16328.0</v>
      </c>
      <c r="R380" s="4"/>
      <c r="S380" s="4"/>
      <c r="T380" s="4"/>
      <c r="U380" s="7"/>
      <c r="V380" s="4"/>
      <c r="W380" s="4"/>
      <c r="X380" s="4"/>
      <c r="Y380" s="4"/>
      <c r="Z380" s="4"/>
      <c r="AA380" s="5"/>
      <c r="AB380" s="5"/>
      <c r="AC380" s="5"/>
      <c r="AD380" s="5"/>
      <c r="AE380" s="5"/>
    </row>
    <row r="381">
      <c r="A381" s="4" t="s">
        <v>847</v>
      </c>
      <c r="B381" s="4"/>
      <c r="C381" s="4" t="s">
        <v>578</v>
      </c>
      <c r="D381" s="4">
        <v>49891.0</v>
      </c>
      <c r="E381" s="4"/>
      <c r="F381" s="4" t="s">
        <v>85</v>
      </c>
      <c r="G381" s="4">
        <v>99.0</v>
      </c>
      <c r="H381" s="4"/>
      <c r="I381" s="4">
        <v>99.0</v>
      </c>
      <c r="J381" s="4" t="s">
        <v>848</v>
      </c>
      <c r="K381" s="4">
        <v>9.1630902229E11</v>
      </c>
      <c r="L381" s="4" t="s">
        <v>67</v>
      </c>
      <c r="M381" s="4" t="b">
        <v>0</v>
      </c>
      <c r="N381" s="4" t="s">
        <v>97</v>
      </c>
      <c r="O381" s="4" t="s">
        <v>69</v>
      </c>
      <c r="P381" s="6">
        <v>44291.921122685184</v>
      </c>
      <c r="Q381" s="4" t="s">
        <v>83</v>
      </c>
      <c r="R381" s="4"/>
      <c r="S381" s="4"/>
      <c r="T381" s="4"/>
      <c r="U381" s="7"/>
      <c r="V381" s="4"/>
      <c r="W381" s="4"/>
      <c r="X381" s="4"/>
      <c r="Y381" s="4"/>
      <c r="Z381" s="4"/>
      <c r="AA381" s="5"/>
      <c r="AB381" s="5"/>
      <c r="AC381" s="5"/>
      <c r="AD381" s="5"/>
      <c r="AE381" s="5"/>
    </row>
    <row r="382">
      <c r="A382" s="4" t="s">
        <v>849</v>
      </c>
      <c r="B382" s="4"/>
      <c r="C382" s="4" t="s">
        <v>680</v>
      </c>
      <c r="D382" s="4">
        <v>49835.0</v>
      </c>
      <c r="E382" s="4"/>
      <c r="F382" s="4" t="s">
        <v>85</v>
      </c>
      <c r="G382" s="4">
        <v>99.0</v>
      </c>
      <c r="H382" s="4"/>
      <c r="I382" s="4">
        <v>99.0</v>
      </c>
      <c r="J382" s="4" t="s">
        <v>850</v>
      </c>
      <c r="K382" s="4">
        <v>9.19995109847E11</v>
      </c>
      <c r="L382" s="4" t="s">
        <v>67</v>
      </c>
      <c r="M382" s="4" t="b">
        <v>0</v>
      </c>
      <c r="N382" s="4" t="s">
        <v>68</v>
      </c>
      <c r="O382" s="4" t="s">
        <v>69</v>
      </c>
      <c r="P382" s="6">
        <v>44276.917337962965</v>
      </c>
      <c r="Q382" s="4">
        <v>16370.0</v>
      </c>
      <c r="R382" s="4"/>
      <c r="S382" s="4"/>
      <c r="T382" s="4"/>
      <c r="U382" s="7"/>
      <c r="V382" s="4"/>
      <c r="W382" s="4"/>
      <c r="X382" s="4"/>
      <c r="Y382" s="4"/>
      <c r="Z382" s="4"/>
      <c r="AA382" s="5"/>
      <c r="AB382" s="5"/>
      <c r="AC382" s="5"/>
      <c r="AD382" s="5"/>
      <c r="AE382" s="5"/>
    </row>
    <row r="383">
      <c r="A383" s="4" t="s">
        <v>851</v>
      </c>
      <c r="B383" s="4"/>
      <c r="C383" s="4" t="s">
        <v>791</v>
      </c>
      <c r="D383" s="4">
        <v>49948.0</v>
      </c>
      <c r="E383" s="4"/>
      <c r="F383" s="4" t="s">
        <v>149</v>
      </c>
      <c r="G383" s="4">
        <v>99.0</v>
      </c>
      <c r="H383" s="4"/>
      <c r="I383" s="4">
        <v>99.0</v>
      </c>
      <c r="J383" s="4" t="s">
        <v>852</v>
      </c>
      <c r="K383" s="4">
        <v>9.19600148835E11</v>
      </c>
      <c r="L383" s="4" t="s">
        <v>67</v>
      </c>
      <c r="M383" s="4" t="b">
        <v>0</v>
      </c>
      <c r="N383" s="4" t="s">
        <v>97</v>
      </c>
      <c r="O383" s="4" t="s">
        <v>69</v>
      </c>
      <c r="P383" s="6">
        <v>44276.480104166665</v>
      </c>
      <c r="Q383" s="4">
        <v>16367.0</v>
      </c>
      <c r="R383" s="4"/>
      <c r="S383" s="4"/>
      <c r="T383" s="4"/>
      <c r="U383" s="7"/>
      <c r="V383" s="4"/>
      <c r="W383" s="4"/>
      <c r="X383" s="4"/>
      <c r="Y383" s="4"/>
      <c r="Z383" s="4"/>
      <c r="AA383" s="5"/>
      <c r="AB383" s="5"/>
      <c r="AC383" s="5"/>
      <c r="AD383" s="5"/>
      <c r="AE383" s="5"/>
    </row>
    <row r="384">
      <c r="A384" s="4" t="s">
        <v>853</v>
      </c>
      <c r="B384" s="4"/>
      <c r="C384" s="4" t="s">
        <v>184</v>
      </c>
      <c r="D384" s="4">
        <v>49833.0</v>
      </c>
      <c r="E384" s="4"/>
      <c r="F384" s="4" t="s">
        <v>85</v>
      </c>
      <c r="G384" s="4">
        <v>99.0</v>
      </c>
      <c r="H384" s="4"/>
      <c r="I384" s="4">
        <v>99.0</v>
      </c>
      <c r="J384" s="4" t="s">
        <v>854</v>
      </c>
      <c r="K384" s="4">
        <v>9.19082661274E11</v>
      </c>
      <c r="L384" s="4" t="s">
        <v>67</v>
      </c>
      <c r="M384" s="4" t="b">
        <v>0</v>
      </c>
      <c r="N384" s="4" t="s">
        <v>68</v>
      </c>
      <c r="O384" s="4" t="s">
        <v>69</v>
      </c>
      <c r="P384" s="6">
        <v>44291.983819444446</v>
      </c>
      <c r="Q384" s="4">
        <v>16709.0</v>
      </c>
      <c r="R384" s="4"/>
      <c r="S384" s="4"/>
      <c r="T384" s="4"/>
      <c r="U384" s="7"/>
      <c r="V384" s="4"/>
      <c r="W384" s="4"/>
      <c r="X384" s="4"/>
      <c r="Y384" s="4"/>
      <c r="Z384" s="4"/>
      <c r="AA384" s="5"/>
      <c r="AB384" s="5"/>
      <c r="AC384" s="5"/>
      <c r="AD384" s="5"/>
      <c r="AE384" s="5"/>
    </row>
    <row r="385">
      <c r="A385" s="4" t="s">
        <v>855</v>
      </c>
      <c r="B385" s="4"/>
      <c r="C385" s="4" t="s">
        <v>184</v>
      </c>
      <c r="D385" s="4">
        <v>49833.0</v>
      </c>
      <c r="E385" s="4"/>
      <c r="F385" s="4" t="s">
        <v>85</v>
      </c>
      <c r="G385" s="4">
        <v>99.0</v>
      </c>
      <c r="H385" s="4"/>
      <c r="I385" s="4">
        <v>99.0</v>
      </c>
      <c r="J385" s="4" t="s">
        <v>856</v>
      </c>
      <c r="K385" s="4">
        <v>9.18285682442E11</v>
      </c>
      <c r="L385" s="4" t="s">
        <v>67</v>
      </c>
      <c r="M385" s="4" t="b">
        <v>0</v>
      </c>
      <c r="N385" s="4" t="s">
        <v>68</v>
      </c>
      <c r="O385" s="4" t="s">
        <v>69</v>
      </c>
      <c r="P385" s="6">
        <v>44292.09716435185</v>
      </c>
      <c r="Q385" s="4">
        <v>16718.0</v>
      </c>
      <c r="R385" s="4"/>
      <c r="S385" s="4"/>
      <c r="T385" s="4"/>
      <c r="U385" s="7"/>
      <c r="V385" s="4"/>
      <c r="W385" s="4"/>
      <c r="X385" s="4"/>
      <c r="Y385" s="4"/>
      <c r="Z385" s="4"/>
      <c r="AA385" s="5"/>
      <c r="AB385" s="5"/>
      <c r="AC385" s="5"/>
      <c r="AD385" s="5"/>
      <c r="AE385" s="5"/>
    </row>
    <row r="386">
      <c r="A386" s="4" t="s">
        <v>857</v>
      </c>
      <c r="B386" s="4"/>
      <c r="C386" s="4" t="s">
        <v>858</v>
      </c>
      <c r="D386" s="4">
        <v>49958.0</v>
      </c>
      <c r="E386" s="4"/>
      <c r="F386" s="4" t="s">
        <v>149</v>
      </c>
      <c r="G386" s="4">
        <v>99.0</v>
      </c>
      <c r="H386" s="4"/>
      <c r="I386" s="4">
        <v>99.0</v>
      </c>
      <c r="J386" s="4" t="s">
        <v>859</v>
      </c>
      <c r="K386" s="4">
        <v>9.19518956486E11</v>
      </c>
      <c r="L386" s="4" t="s">
        <v>67</v>
      </c>
      <c r="M386" s="4" t="b">
        <v>0</v>
      </c>
      <c r="N386" s="4" t="s">
        <v>74</v>
      </c>
      <c r="O386" s="4" t="s">
        <v>69</v>
      </c>
      <c r="P386" s="6">
        <v>44276.72568287037</v>
      </c>
      <c r="Q386" s="4">
        <v>16354.0</v>
      </c>
      <c r="R386" s="4"/>
      <c r="S386" s="4"/>
      <c r="T386" s="4"/>
      <c r="U386" s="7"/>
      <c r="V386" s="4"/>
      <c r="W386" s="4"/>
      <c r="X386" s="4"/>
      <c r="Y386" s="4"/>
      <c r="Z386" s="4"/>
      <c r="AA386" s="5"/>
      <c r="AB386" s="5"/>
      <c r="AC386" s="5"/>
      <c r="AD386" s="5"/>
      <c r="AE386" s="5"/>
    </row>
    <row r="387">
      <c r="A387" s="4" t="s">
        <v>860</v>
      </c>
      <c r="B387" s="4"/>
      <c r="C387" s="4" t="s">
        <v>791</v>
      </c>
      <c r="D387" s="4">
        <v>49948.0</v>
      </c>
      <c r="E387" s="4"/>
      <c r="F387" s="4" t="s">
        <v>149</v>
      </c>
      <c r="G387" s="4">
        <v>99.0</v>
      </c>
      <c r="H387" s="4"/>
      <c r="I387" s="4">
        <v>99.0</v>
      </c>
      <c r="J387" s="4" t="s">
        <v>861</v>
      </c>
      <c r="K387" s="4">
        <v>9.19819258919E11</v>
      </c>
      <c r="L387" s="4" t="s">
        <v>67</v>
      </c>
      <c r="M387" s="4" t="b">
        <v>0</v>
      </c>
      <c r="N387" s="4" t="s">
        <v>74</v>
      </c>
      <c r="O387" s="4" t="s">
        <v>69</v>
      </c>
      <c r="P387" s="6">
        <v>44276.83149305556</v>
      </c>
      <c r="Q387" s="4">
        <v>16356.0</v>
      </c>
      <c r="R387" s="4"/>
      <c r="S387" s="4"/>
      <c r="T387" s="4"/>
      <c r="U387" s="7"/>
      <c r="V387" s="4"/>
      <c r="W387" s="4"/>
      <c r="X387" s="4"/>
      <c r="Y387" s="4"/>
      <c r="Z387" s="4"/>
      <c r="AA387" s="5"/>
      <c r="AB387" s="5"/>
      <c r="AC387" s="5"/>
      <c r="AD387" s="5"/>
      <c r="AE387" s="5"/>
    </row>
    <row r="388">
      <c r="A388" s="4" t="s">
        <v>862</v>
      </c>
      <c r="B388" s="4"/>
      <c r="C388" s="4" t="s">
        <v>184</v>
      </c>
      <c r="D388" s="4">
        <v>49833.0</v>
      </c>
      <c r="E388" s="4"/>
      <c r="F388" s="4" t="s">
        <v>85</v>
      </c>
      <c r="G388" s="4">
        <v>99.0</v>
      </c>
      <c r="H388" s="4"/>
      <c r="I388" s="4">
        <v>99.0</v>
      </c>
      <c r="J388" s="4" t="s">
        <v>863</v>
      </c>
      <c r="K388" s="4">
        <v>9.19525752886E11</v>
      </c>
      <c r="L388" s="4" t="s">
        <v>67</v>
      </c>
      <c r="M388" s="4" t="b">
        <v>0</v>
      </c>
      <c r="N388" s="4" t="s">
        <v>68</v>
      </c>
      <c r="O388" s="4" t="s">
        <v>69</v>
      </c>
      <c r="P388" s="6">
        <v>44292.31769675926</v>
      </c>
      <c r="Q388" s="4">
        <v>16702.0</v>
      </c>
      <c r="R388" s="4"/>
      <c r="S388" s="4"/>
      <c r="T388" s="4"/>
      <c r="U388" s="7"/>
      <c r="V388" s="4"/>
      <c r="W388" s="4"/>
      <c r="X388" s="4"/>
      <c r="Y388" s="4"/>
      <c r="Z388" s="4"/>
      <c r="AA388" s="5"/>
      <c r="AB388" s="5"/>
      <c r="AC388" s="5"/>
      <c r="AD388" s="5"/>
      <c r="AE388" s="5"/>
    </row>
    <row r="389">
      <c r="A389" s="4" t="s">
        <v>864</v>
      </c>
      <c r="B389" s="4"/>
      <c r="C389" s="4" t="s">
        <v>184</v>
      </c>
      <c r="D389" s="4">
        <v>49833.0</v>
      </c>
      <c r="E389" s="4"/>
      <c r="F389" s="4" t="s">
        <v>85</v>
      </c>
      <c r="G389" s="4">
        <v>99.0</v>
      </c>
      <c r="H389" s="4"/>
      <c r="I389" s="4">
        <v>99.0</v>
      </c>
      <c r="J389" s="4" t="s">
        <v>865</v>
      </c>
      <c r="K389" s="4">
        <v>9.17385833937E11</v>
      </c>
      <c r="L389" s="4" t="s">
        <v>67</v>
      </c>
      <c r="M389" s="4" t="b">
        <v>0</v>
      </c>
      <c r="N389" s="4" t="s">
        <v>68</v>
      </c>
      <c r="O389" s="4" t="s">
        <v>69</v>
      </c>
      <c r="P389" s="6">
        <v>44292.37</v>
      </c>
      <c r="Q389" s="4">
        <v>16822.0</v>
      </c>
      <c r="R389" s="4"/>
      <c r="S389" s="4"/>
      <c r="T389" s="4"/>
      <c r="U389" s="7"/>
      <c r="V389" s="4"/>
      <c r="W389" s="4"/>
      <c r="X389" s="4"/>
      <c r="Y389" s="4"/>
      <c r="Z389" s="4"/>
      <c r="AA389" s="5"/>
      <c r="AB389" s="5"/>
      <c r="AC389" s="5"/>
      <c r="AD389" s="5"/>
      <c r="AE389" s="5"/>
    </row>
    <row r="390">
      <c r="A390" s="4" t="s">
        <v>866</v>
      </c>
      <c r="B390" s="4"/>
      <c r="C390" s="4" t="s">
        <v>184</v>
      </c>
      <c r="D390" s="4">
        <v>49833.0</v>
      </c>
      <c r="E390" s="4"/>
      <c r="F390" s="4" t="s">
        <v>85</v>
      </c>
      <c r="G390" s="4">
        <v>99.0</v>
      </c>
      <c r="H390" s="4"/>
      <c r="I390" s="4">
        <v>99.0</v>
      </c>
      <c r="J390" s="4" t="s">
        <v>867</v>
      </c>
      <c r="K390" s="4">
        <v>9.19770177656E11</v>
      </c>
      <c r="L390" s="4" t="s">
        <v>67</v>
      </c>
      <c r="M390" s="4" t="b">
        <v>0</v>
      </c>
      <c r="N390" s="4" t="s">
        <v>68</v>
      </c>
      <c r="O390" s="4" t="s">
        <v>69</v>
      </c>
      <c r="P390" s="6">
        <v>44292.38649305556</v>
      </c>
      <c r="Q390" s="4" t="s">
        <v>83</v>
      </c>
      <c r="R390" s="4"/>
      <c r="S390" s="4"/>
      <c r="T390" s="4"/>
      <c r="U390" s="7"/>
      <c r="V390" s="4"/>
      <c r="W390" s="4"/>
      <c r="X390" s="4"/>
      <c r="Y390" s="4"/>
      <c r="Z390" s="4"/>
      <c r="AA390" s="5"/>
      <c r="AB390" s="5"/>
      <c r="AC390" s="5"/>
      <c r="AD390" s="5"/>
      <c r="AE390" s="5"/>
    </row>
    <row r="391">
      <c r="A391" s="4" t="s">
        <v>868</v>
      </c>
      <c r="B391" s="4"/>
      <c r="C391" s="4" t="s">
        <v>184</v>
      </c>
      <c r="D391" s="4">
        <v>49833.0</v>
      </c>
      <c r="E391" s="4"/>
      <c r="F391" s="4" t="s">
        <v>85</v>
      </c>
      <c r="G391" s="4">
        <v>99.0</v>
      </c>
      <c r="H391" s="4"/>
      <c r="I391" s="4">
        <v>99.0</v>
      </c>
      <c r="J391" s="4" t="s">
        <v>869</v>
      </c>
      <c r="K391" s="4">
        <v>9.19482342955E11</v>
      </c>
      <c r="L391" s="4" t="s">
        <v>67</v>
      </c>
      <c r="M391" s="4" t="b">
        <v>0</v>
      </c>
      <c r="N391" s="4" t="s">
        <v>68</v>
      </c>
      <c r="O391" s="4" t="s">
        <v>69</v>
      </c>
      <c r="P391" s="6">
        <v>44292.39653935185</v>
      </c>
      <c r="Q391" s="4">
        <v>16717.0</v>
      </c>
      <c r="R391" s="4"/>
      <c r="S391" s="4"/>
      <c r="T391" s="4"/>
      <c r="U391" s="7"/>
      <c r="V391" s="4"/>
      <c r="W391" s="4"/>
      <c r="X391" s="4"/>
      <c r="Y391" s="4"/>
      <c r="Z391" s="4"/>
      <c r="AA391" s="5"/>
      <c r="AB391" s="5"/>
      <c r="AC391" s="5"/>
      <c r="AD391" s="5"/>
      <c r="AE391" s="5"/>
    </row>
    <row r="392">
      <c r="A392" s="4" t="s">
        <v>870</v>
      </c>
      <c r="B392" s="4"/>
      <c r="C392" s="4" t="s">
        <v>184</v>
      </c>
      <c r="D392" s="4">
        <v>49833.0</v>
      </c>
      <c r="E392" s="4"/>
      <c r="F392" s="4" t="s">
        <v>85</v>
      </c>
      <c r="G392" s="4">
        <v>99.0</v>
      </c>
      <c r="H392" s="4"/>
      <c r="I392" s="4">
        <v>99.0</v>
      </c>
      <c r="J392" s="4" t="s">
        <v>871</v>
      </c>
      <c r="K392" s="4">
        <v>9.19028042471E11</v>
      </c>
      <c r="L392" s="4" t="s">
        <v>67</v>
      </c>
      <c r="M392" s="4" t="b">
        <v>0</v>
      </c>
      <c r="N392" s="4" t="s">
        <v>68</v>
      </c>
      <c r="O392" s="4" t="s">
        <v>69</v>
      </c>
      <c r="P392" s="6">
        <v>44292.40273148148</v>
      </c>
      <c r="Q392" s="4">
        <v>16703.0</v>
      </c>
      <c r="R392" s="4"/>
      <c r="S392" s="4"/>
      <c r="T392" s="4"/>
      <c r="U392" s="7"/>
      <c r="V392" s="4"/>
      <c r="W392" s="4"/>
      <c r="X392" s="4"/>
      <c r="Y392" s="4"/>
      <c r="Z392" s="4"/>
      <c r="AA392" s="5"/>
      <c r="AB392" s="5"/>
      <c r="AC392" s="5"/>
      <c r="AD392" s="5"/>
      <c r="AE392" s="5"/>
    </row>
    <row r="393">
      <c r="A393" s="4" t="s">
        <v>872</v>
      </c>
      <c r="B393" s="4"/>
      <c r="C393" s="4" t="s">
        <v>184</v>
      </c>
      <c r="D393" s="4">
        <v>49833.0</v>
      </c>
      <c r="E393" s="4"/>
      <c r="F393" s="4" t="s">
        <v>85</v>
      </c>
      <c r="G393" s="4">
        <v>99.0</v>
      </c>
      <c r="H393" s="4"/>
      <c r="I393" s="4">
        <v>99.0</v>
      </c>
      <c r="J393" s="4" t="s">
        <v>873</v>
      </c>
      <c r="K393" s="4">
        <v>9.18861992808E11</v>
      </c>
      <c r="L393" s="4" t="s">
        <v>67</v>
      </c>
      <c r="M393" s="4" t="b">
        <v>0</v>
      </c>
      <c r="N393" s="4" t="s">
        <v>68</v>
      </c>
      <c r="O393" s="4" t="s">
        <v>69</v>
      </c>
      <c r="P393" s="6">
        <v>44292.412199074075</v>
      </c>
      <c r="Q393" s="4">
        <v>16707.0</v>
      </c>
      <c r="R393" s="4"/>
      <c r="S393" s="4"/>
      <c r="T393" s="4"/>
      <c r="U393" s="7"/>
      <c r="V393" s="4"/>
      <c r="W393" s="4"/>
      <c r="X393" s="4"/>
      <c r="Y393" s="4"/>
      <c r="Z393" s="4"/>
      <c r="AA393" s="5"/>
      <c r="AB393" s="5"/>
      <c r="AC393" s="5"/>
      <c r="AD393" s="5"/>
      <c r="AE393" s="5"/>
    </row>
    <row r="394">
      <c r="A394" s="4" t="s">
        <v>874</v>
      </c>
      <c r="B394" s="4"/>
      <c r="C394" s="4" t="s">
        <v>184</v>
      </c>
      <c r="D394" s="4">
        <v>49833.0</v>
      </c>
      <c r="E394" s="4"/>
      <c r="F394" s="4" t="s">
        <v>85</v>
      </c>
      <c r="G394" s="4">
        <v>99.0</v>
      </c>
      <c r="H394" s="4"/>
      <c r="I394" s="4">
        <v>99.0</v>
      </c>
      <c r="J394" s="4" t="s">
        <v>875</v>
      </c>
      <c r="K394" s="4">
        <v>9.19860821318E11</v>
      </c>
      <c r="L394" s="4" t="s">
        <v>67</v>
      </c>
      <c r="M394" s="4" t="b">
        <v>0</v>
      </c>
      <c r="N394" s="4" t="s">
        <v>97</v>
      </c>
      <c r="O394" s="4" t="s">
        <v>69</v>
      </c>
      <c r="P394" s="6">
        <v>44292.417395833334</v>
      </c>
      <c r="Q394" s="4">
        <v>16706.0</v>
      </c>
      <c r="R394" s="4"/>
      <c r="S394" s="4"/>
      <c r="T394" s="4"/>
      <c r="U394" s="7"/>
      <c r="V394" s="4"/>
      <c r="W394" s="4"/>
      <c r="X394" s="4"/>
      <c r="Y394" s="4"/>
      <c r="Z394" s="4"/>
      <c r="AA394" s="5"/>
      <c r="AB394" s="5"/>
      <c r="AC394" s="5"/>
      <c r="AD394" s="5"/>
      <c r="AE394" s="5"/>
    </row>
    <row r="395">
      <c r="A395" s="4" t="s">
        <v>876</v>
      </c>
      <c r="B395" s="4"/>
      <c r="C395" s="4" t="s">
        <v>184</v>
      </c>
      <c r="D395" s="4">
        <v>49833.0</v>
      </c>
      <c r="E395" s="4"/>
      <c r="F395" s="4" t="s">
        <v>85</v>
      </c>
      <c r="G395" s="4">
        <v>99.0</v>
      </c>
      <c r="H395" s="4"/>
      <c r="I395" s="4">
        <v>99.0</v>
      </c>
      <c r="J395" s="4" t="s">
        <v>877</v>
      </c>
      <c r="K395" s="4">
        <v>9.1968250902E11</v>
      </c>
      <c r="L395" s="4" t="s">
        <v>67</v>
      </c>
      <c r="M395" s="4" t="b">
        <v>0</v>
      </c>
      <c r="N395" s="4" t="s">
        <v>68</v>
      </c>
      <c r="O395" s="4" t="s">
        <v>69</v>
      </c>
      <c r="P395" s="6">
        <v>44292.453368055554</v>
      </c>
      <c r="Q395" s="4">
        <v>16685.0</v>
      </c>
      <c r="R395" s="4"/>
      <c r="S395" s="4"/>
      <c r="T395" s="4"/>
      <c r="U395" s="7"/>
      <c r="V395" s="4"/>
      <c r="W395" s="4"/>
      <c r="X395" s="4"/>
      <c r="Y395" s="4"/>
      <c r="Z395" s="4"/>
      <c r="AA395" s="5"/>
      <c r="AB395" s="5"/>
      <c r="AC395" s="5"/>
      <c r="AD395" s="5"/>
      <c r="AE395" s="5"/>
    </row>
    <row r="396">
      <c r="A396" s="4" t="s">
        <v>878</v>
      </c>
      <c r="B396" s="4"/>
      <c r="C396" s="4" t="s">
        <v>184</v>
      </c>
      <c r="D396" s="4">
        <v>49833.0</v>
      </c>
      <c r="E396" s="4"/>
      <c r="F396" s="4" t="s">
        <v>85</v>
      </c>
      <c r="G396" s="4">
        <v>99.0</v>
      </c>
      <c r="H396" s="4"/>
      <c r="I396" s="4">
        <v>99.0</v>
      </c>
      <c r="J396" s="4" t="s">
        <v>879</v>
      </c>
      <c r="K396" s="4">
        <v>9.18125771795E11</v>
      </c>
      <c r="L396" s="4" t="s">
        <v>67</v>
      </c>
      <c r="M396" s="4" t="b">
        <v>0</v>
      </c>
      <c r="N396" s="4" t="s">
        <v>68</v>
      </c>
      <c r="O396" s="4" t="s">
        <v>69</v>
      </c>
      <c r="P396" s="6">
        <v>44292.49234953704</v>
      </c>
      <c r="Q396" s="4">
        <v>16705.0</v>
      </c>
      <c r="R396" s="4"/>
      <c r="S396" s="4"/>
      <c r="T396" s="4"/>
      <c r="U396" s="7"/>
      <c r="V396" s="4"/>
      <c r="W396" s="4"/>
      <c r="X396" s="4"/>
      <c r="Y396" s="4"/>
      <c r="Z396" s="4"/>
      <c r="AA396" s="5"/>
      <c r="AB396" s="5"/>
      <c r="AC396" s="5"/>
      <c r="AD396" s="5"/>
      <c r="AE396" s="5"/>
    </row>
    <row r="397">
      <c r="A397" s="4" t="s">
        <v>880</v>
      </c>
      <c r="B397" s="4"/>
      <c r="C397" s="4" t="s">
        <v>680</v>
      </c>
      <c r="D397" s="4">
        <v>49835.0</v>
      </c>
      <c r="E397" s="4"/>
      <c r="F397" s="4" t="s">
        <v>85</v>
      </c>
      <c r="G397" s="4">
        <v>99.0</v>
      </c>
      <c r="H397" s="4"/>
      <c r="I397" s="4">
        <v>99.0</v>
      </c>
      <c r="J397" s="4" t="s">
        <v>881</v>
      </c>
      <c r="K397" s="4">
        <v>9.19853214761E11</v>
      </c>
      <c r="L397" s="4" t="s">
        <v>67</v>
      </c>
      <c r="M397" s="4" t="b">
        <v>0</v>
      </c>
      <c r="N397" s="4" t="s">
        <v>68</v>
      </c>
      <c r="O397" s="4" t="s">
        <v>69</v>
      </c>
      <c r="P397" s="6">
        <v>44277.5212962963</v>
      </c>
      <c r="Q397" s="4">
        <v>16386.0</v>
      </c>
      <c r="R397" s="4"/>
      <c r="S397" s="4"/>
      <c r="T397" s="4"/>
      <c r="U397" s="7"/>
      <c r="V397" s="4"/>
      <c r="W397" s="4"/>
      <c r="X397" s="4"/>
      <c r="Y397" s="4"/>
      <c r="Z397" s="4"/>
      <c r="AA397" s="5"/>
      <c r="AB397" s="5"/>
      <c r="AC397" s="5"/>
      <c r="AD397" s="5"/>
      <c r="AE397" s="5"/>
    </row>
    <row r="398">
      <c r="A398" s="4" t="s">
        <v>882</v>
      </c>
      <c r="B398" s="4"/>
      <c r="C398" s="4" t="s">
        <v>680</v>
      </c>
      <c r="D398" s="4">
        <v>49835.0</v>
      </c>
      <c r="E398" s="4"/>
      <c r="F398" s="4" t="s">
        <v>85</v>
      </c>
      <c r="G398" s="4">
        <v>99.0</v>
      </c>
      <c r="H398" s="4"/>
      <c r="I398" s="4">
        <v>99.0</v>
      </c>
      <c r="J398" s="4" t="s">
        <v>883</v>
      </c>
      <c r="K398" s="4">
        <v>9.19731054878E11</v>
      </c>
      <c r="L398" s="4" t="s">
        <v>67</v>
      </c>
      <c r="M398" s="4" t="b">
        <v>0</v>
      </c>
      <c r="N398" s="4" t="s">
        <v>68</v>
      </c>
      <c r="O398" s="4" t="s">
        <v>69</v>
      </c>
      <c r="P398" s="6">
        <v>44278.10141203704</v>
      </c>
      <c r="Q398" s="4" t="s">
        <v>83</v>
      </c>
      <c r="R398" s="4"/>
      <c r="S398" s="4"/>
      <c r="T398" s="4"/>
      <c r="U398" s="7"/>
      <c r="V398" s="4"/>
      <c r="W398" s="4"/>
      <c r="X398" s="4"/>
      <c r="Y398" s="4"/>
      <c r="Z398" s="4"/>
      <c r="AA398" s="5"/>
      <c r="AB398" s="5"/>
      <c r="AC398" s="5"/>
      <c r="AD398" s="5"/>
      <c r="AE398" s="5"/>
    </row>
    <row r="399">
      <c r="A399" s="4" t="s">
        <v>884</v>
      </c>
      <c r="B399" s="4"/>
      <c r="C399" s="4" t="s">
        <v>885</v>
      </c>
      <c r="D399" s="4">
        <v>49844.0</v>
      </c>
      <c r="E399" s="4"/>
      <c r="F399" s="4" t="s">
        <v>85</v>
      </c>
      <c r="G399" s="4">
        <v>299.0</v>
      </c>
      <c r="H399" s="4"/>
      <c r="I399" s="4">
        <v>299.0</v>
      </c>
      <c r="J399" s="4" t="s">
        <v>886</v>
      </c>
      <c r="K399" s="4">
        <v>9.19633950074E11</v>
      </c>
      <c r="L399" s="4" t="s">
        <v>67</v>
      </c>
      <c r="M399" s="4" t="b">
        <v>0</v>
      </c>
      <c r="N399" s="4" t="s">
        <v>68</v>
      </c>
      <c r="O399" s="4" t="s">
        <v>69</v>
      </c>
      <c r="P399" s="6">
        <v>44292.56394675926</v>
      </c>
      <c r="Q399" s="4">
        <v>16835.0</v>
      </c>
      <c r="R399" s="4"/>
      <c r="S399" s="4"/>
      <c r="T399" s="4"/>
      <c r="U399" s="7"/>
      <c r="V399" s="4"/>
      <c r="W399" s="4"/>
      <c r="X399" s="4"/>
      <c r="Y399" s="4"/>
      <c r="Z399" s="4"/>
      <c r="AA399" s="5"/>
      <c r="AB399" s="5"/>
      <c r="AC399" s="5"/>
      <c r="AD399" s="5"/>
      <c r="AE399" s="5"/>
    </row>
    <row r="400">
      <c r="A400" s="4" t="s">
        <v>887</v>
      </c>
      <c r="B400" s="4"/>
      <c r="C400" s="4" t="s">
        <v>791</v>
      </c>
      <c r="D400" s="4">
        <v>49948.0</v>
      </c>
      <c r="E400" s="4"/>
      <c r="F400" s="4" t="s">
        <v>149</v>
      </c>
      <c r="G400" s="4">
        <v>99.0</v>
      </c>
      <c r="H400" s="4"/>
      <c r="I400" s="4">
        <v>99.0</v>
      </c>
      <c r="J400" s="4" t="s">
        <v>888</v>
      </c>
      <c r="K400" s="4">
        <v>9.19113669792E11</v>
      </c>
      <c r="L400" s="4" t="s">
        <v>67</v>
      </c>
      <c r="M400" s="4" t="b">
        <v>0</v>
      </c>
      <c r="N400" s="4" t="s">
        <v>68</v>
      </c>
      <c r="O400" s="4" t="s">
        <v>69</v>
      </c>
      <c r="P400" s="6">
        <v>44276.84888888889</v>
      </c>
      <c r="Q400" s="4">
        <v>16391.0</v>
      </c>
      <c r="R400" s="4"/>
      <c r="S400" s="4"/>
      <c r="T400" s="4"/>
      <c r="U400" s="7"/>
      <c r="V400" s="4"/>
      <c r="W400" s="4"/>
      <c r="X400" s="4"/>
      <c r="Y400" s="4"/>
      <c r="Z400" s="4"/>
      <c r="AA400" s="5"/>
      <c r="AB400" s="5"/>
      <c r="AC400" s="5"/>
      <c r="AD400" s="5"/>
      <c r="AE400" s="5"/>
    </row>
    <row r="401">
      <c r="A401" s="4" t="s">
        <v>889</v>
      </c>
      <c r="B401" s="4"/>
      <c r="C401" s="4" t="s">
        <v>680</v>
      </c>
      <c r="D401" s="4">
        <v>49835.0</v>
      </c>
      <c r="E401" s="4"/>
      <c r="F401" s="4" t="s">
        <v>85</v>
      </c>
      <c r="G401" s="4">
        <v>99.0</v>
      </c>
      <c r="H401" s="4"/>
      <c r="I401" s="4">
        <v>99.0</v>
      </c>
      <c r="J401" s="4" t="s">
        <v>890</v>
      </c>
      <c r="K401" s="4">
        <v>9.19869997619E11</v>
      </c>
      <c r="L401" s="4" t="s">
        <v>67</v>
      </c>
      <c r="M401" s="4" t="b">
        <v>0</v>
      </c>
      <c r="N401" s="4" t="s">
        <v>97</v>
      </c>
      <c r="O401" s="4" t="s">
        <v>69</v>
      </c>
      <c r="P401" s="6">
        <v>44278.33128472222</v>
      </c>
      <c r="Q401" s="4">
        <v>16397.0</v>
      </c>
      <c r="R401" s="4"/>
      <c r="S401" s="4"/>
      <c r="T401" s="4"/>
      <c r="U401" s="7"/>
      <c r="V401" s="4"/>
      <c r="W401" s="4"/>
      <c r="X401" s="4"/>
      <c r="Y401" s="4"/>
      <c r="Z401" s="4"/>
      <c r="AA401" s="5"/>
      <c r="AB401" s="5"/>
      <c r="AC401" s="5"/>
      <c r="AD401" s="5"/>
      <c r="AE401" s="5"/>
    </row>
    <row r="402">
      <c r="A402" s="4" t="s">
        <v>891</v>
      </c>
      <c r="B402" s="4"/>
      <c r="C402" s="4" t="s">
        <v>184</v>
      </c>
      <c r="D402" s="4">
        <v>49833.0</v>
      </c>
      <c r="E402" s="4"/>
      <c r="F402" s="4" t="s">
        <v>85</v>
      </c>
      <c r="G402" s="4">
        <v>99.0</v>
      </c>
      <c r="H402" s="4"/>
      <c r="I402" s="4">
        <v>99.0</v>
      </c>
      <c r="J402" s="4" t="s">
        <v>892</v>
      </c>
      <c r="K402" s="4">
        <v>9.17416464951E11</v>
      </c>
      <c r="L402" s="4" t="s">
        <v>67</v>
      </c>
      <c r="M402" s="4" t="b">
        <v>0</v>
      </c>
      <c r="N402" s="4" t="s">
        <v>97</v>
      </c>
      <c r="O402" s="4" t="s">
        <v>69</v>
      </c>
      <c r="P402" s="6">
        <v>44292.69974537037</v>
      </c>
      <c r="Q402" s="4">
        <v>16708.0</v>
      </c>
      <c r="R402" s="4"/>
      <c r="S402" s="4"/>
      <c r="T402" s="4"/>
      <c r="U402" s="7"/>
      <c r="V402" s="4"/>
      <c r="W402" s="4"/>
      <c r="X402" s="4"/>
      <c r="Y402" s="4"/>
      <c r="Z402" s="4"/>
      <c r="AA402" s="5"/>
      <c r="AB402" s="5"/>
      <c r="AC402" s="5"/>
      <c r="AD402" s="5"/>
      <c r="AE402" s="5"/>
    </row>
    <row r="403">
      <c r="A403" s="4" t="s">
        <v>893</v>
      </c>
      <c r="B403" s="4"/>
      <c r="C403" s="4" t="s">
        <v>184</v>
      </c>
      <c r="D403" s="4">
        <v>49833.0</v>
      </c>
      <c r="E403" s="4"/>
      <c r="F403" s="4" t="s">
        <v>85</v>
      </c>
      <c r="G403" s="4">
        <v>99.0</v>
      </c>
      <c r="H403" s="4"/>
      <c r="I403" s="4">
        <v>99.0</v>
      </c>
      <c r="J403" s="4" t="s">
        <v>894</v>
      </c>
      <c r="K403" s="4">
        <v>9.16303895054E11</v>
      </c>
      <c r="L403" s="4" t="s">
        <v>67</v>
      </c>
      <c r="M403" s="4" t="b">
        <v>0</v>
      </c>
      <c r="N403" s="4" t="s">
        <v>74</v>
      </c>
      <c r="O403" s="4" t="s">
        <v>69</v>
      </c>
      <c r="P403" s="6">
        <v>44292.70123842593</v>
      </c>
      <c r="Q403" s="4">
        <v>16710.0</v>
      </c>
      <c r="R403" s="4"/>
      <c r="S403" s="4"/>
      <c r="T403" s="4"/>
      <c r="U403" s="7"/>
      <c r="V403" s="4"/>
      <c r="W403" s="4"/>
      <c r="X403" s="4"/>
      <c r="Y403" s="4"/>
      <c r="Z403" s="4"/>
      <c r="AA403" s="5"/>
      <c r="AB403" s="5"/>
      <c r="AC403" s="5"/>
      <c r="AD403" s="5"/>
      <c r="AE403" s="5"/>
    </row>
    <row r="404">
      <c r="A404" s="4" t="s">
        <v>895</v>
      </c>
      <c r="B404" s="4"/>
      <c r="C404" s="4" t="s">
        <v>184</v>
      </c>
      <c r="D404" s="4">
        <v>49833.0</v>
      </c>
      <c r="E404" s="4"/>
      <c r="F404" s="4" t="s">
        <v>85</v>
      </c>
      <c r="G404" s="4">
        <v>99.0</v>
      </c>
      <c r="H404" s="4"/>
      <c r="I404" s="4">
        <v>99.0</v>
      </c>
      <c r="J404" s="4" t="s">
        <v>896</v>
      </c>
      <c r="K404" s="4">
        <v>9.18374783987E11</v>
      </c>
      <c r="L404" s="4" t="s">
        <v>67</v>
      </c>
      <c r="M404" s="4" t="b">
        <v>0</v>
      </c>
      <c r="N404" s="4" t="s">
        <v>68</v>
      </c>
      <c r="O404" s="4" t="s">
        <v>69</v>
      </c>
      <c r="P404" s="6">
        <v>44292.710497685184</v>
      </c>
      <c r="Q404" s="4">
        <v>16716.0</v>
      </c>
      <c r="R404" s="4"/>
      <c r="S404" s="4"/>
      <c r="T404" s="4"/>
      <c r="U404" s="7"/>
      <c r="V404" s="4"/>
      <c r="W404" s="4"/>
      <c r="X404" s="4"/>
      <c r="Y404" s="4"/>
      <c r="Z404" s="4"/>
      <c r="AA404" s="5"/>
      <c r="AB404" s="5"/>
      <c r="AC404" s="5"/>
      <c r="AD404" s="5"/>
      <c r="AE404" s="5"/>
    </row>
    <row r="405">
      <c r="A405" s="4" t="s">
        <v>897</v>
      </c>
      <c r="B405" s="4"/>
      <c r="C405" s="4" t="s">
        <v>791</v>
      </c>
      <c r="D405" s="4">
        <v>49948.0</v>
      </c>
      <c r="E405" s="4"/>
      <c r="F405" s="4" t="s">
        <v>149</v>
      </c>
      <c r="G405" s="4">
        <v>99.0</v>
      </c>
      <c r="H405" s="4"/>
      <c r="I405" s="4">
        <v>99.0</v>
      </c>
      <c r="J405" s="4" t="s">
        <v>898</v>
      </c>
      <c r="K405" s="4">
        <v>9.18838008185E11</v>
      </c>
      <c r="L405" s="4" t="s">
        <v>67</v>
      </c>
      <c r="M405" s="4" t="b">
        <v>0</v>
      </c>
      <c r="N405" s="4" t="s">
        <v>74</v>
      </c>
      <c r="O405" s="4" t="s">
        <v>69</v>
      </c>
      <c r="P405" s="6">
        <v>44277.550092592595</v>
      </c>
      <c r="Q405" s="4">
        <v>16377.0</v>
      </c>
      <c r="R405" s="4"/>
      <c r="S405" s="4"/>
      <c r="T405" s="4"/>
      <c r="U405" s="7"/>
      <c r="V405" s="4"/>
      <c r="W405" s="4"/>
      <c r="X405" s="4"/>
      <c r="Y405" s="4"/>
      <c r="Z405" s="4"/>
      <c r="AA405" s="5"/>
      <c r="AB405" s="5"/>
      <c r="AC405" s="5"/>
      <c r="AD405" s="5"/>
      <c r="AE405" s="5"/>
    </row>
    <row r="406">
      <c r="A406" s="4" t="s">
        <v>899</v>
      </c>
      <c r="B406" s="4"/>
      <c r="C406" s="4" t="s">
        <v>680</v>
      </c>
      <c r="D406" s="4">
        <v>49835.0</v>
      </c>
      <c r="E406" s="4"/>
      <c r="F406" s="4" t="s">
        <v>85</v>
      </c>
      <c r="G406" s="4">
        <v>99.0</v>
      </c>
      <c r="H406" s="4"/>
      <c r="I406" s="4">
        <v>99.0</v>
      </c>
      <c r="J406" s="4" t="s">
        <v>900</v>
      </c>
      <c r="K406" s="4">
        <v>9.1992601488E11</v>
      </c>
      <c r="L406" s="4" t="s">
        <v>67</v>
      </c>
      <c r="M406" s="4" t="b">
        <v>0</v>
      </c>
      <c r="N406" s="4" t="s">
        <v>68</v>
      </c>
      <c r="O406" s="4" t="s">
        <v>69</v>
      </c>
      <c r="P406" s="6">
        <v>44278.379837962966</v>
      </c>
      <c r="Q406" s="4">
        <v>16395.0</v>
      </c>
      <c r="R406" s="4"/>
      <c r="S406" s="4"/>
      <c r="T406" s="4"/>
      <c r="U406" s="7"/>
      <c r="V406" s="4"/>
      <c r="W406" s="4"/>
      <c r="X406" s="4"/>
      <c r="Y406" s="4"/>
      <c r="Z406" s="4"/>
      <c r="AA406" s="5"/>
      <c r="AB406" s="5"/>
      <c r="AC406" s="5"/>
      <c r="AD406" s="5"/>
      <c r="AE406" s="5"/>
    </row>
    <row r="407">
      <c r="A407" s="4" t="s">
        <v>901</v>
      </c>
      <c r="B407" s="4"/>
      <c r="C407" s="4" t="s">
        <v>680</v>
      </c>
      <c r="D407" s="4">
        <v>49835.0</v>
      </c>
      <c r="E407" s="4"/>
      <c r="F407" s="4" t="s">
        <v>85</v>
      </c>
      <c r="G407" s="4">
        <v>99.0</v>
      </c>
      <c r="H407" s="4"/>
      <c r="I407" s="4">
        <v>99.0</v>
      </c>
      <c r="J407" s="4" t="s">
        <v>902</v>
      </c>
      <c r="K407" s="4">
        <v>9.19033128091E11</v>
      </c>
      <c r="L407" s="4" t="s">
        <v>67</v>
      </c>
      <c r="M407" s="4" t="b">
        <v>0</v>
      </c>
      <c r="N407" s="4" t="s">
        <v>68</v>
      </c>
      <c r="O407" s="4" t="s">
        <v>69</v>
      </c>
      <c r="P407" s="6">
        <v>44278.38334490741</v>
      </c>
      <c r="Q407" s="4">
        <v>16398.0</v>
      </c>
      <c r="R407" s="4"/>
      <c r="S407" s="4"/>
      <c r="T407" s="4"/>
      <c r="U407" s="7"/>
      <c r="V407" s="4"/>
      <c r="W407" s="4"/>
      <c r="X407" s="4"/>
      <c r="Y407" s="4"/>
      <c r="Z407" s="4"/>
      <c r="AA407" s="5"/>
      <c r="AB407" s="5"/>
      <c r="AC407" s="5"/>
      <c r="AD407" s="5"/>
      <c r="AE407" s="5"/>
    </row>
    <row r="408">
      <c r="A408" s="4" t="s">
        <v>903</v>
      </c>
      <c r="B408" s="4"/>
      <c r="C408" s="4" t="s">
        <v>184</v>
      </c>
      <c r="D408" s="4">
        <v>49833.0</v>
      </c>
      <c r="E408" s="4"/>
      <c r="F408" s="4" t="s">
        <v>85</v>
      </c>
      <c r="G408" s="4">
        <v>99.0</v>
      </c>
      <c r="H408" s="4"/>
      <c r="I408" s="4">
        <v>99.0</v>
      </c>
      <c r="J408" s="4" t="s">
        <v>904</v>
      </c>
      <c r="K408" s="4">
        <v>9.18105132941E11</v>
      </c>
      <c r="L408" s="4" t="s">
        <v>67</v>
      </c>
      <c r="M408" s="4" t="b">
        <v>0</v>
      </c>
      <c r="N408" s="4" t="s">
        <v>68</v>
      </c>
      <c r="O408" s="4" t="s">
        <v>69</v>
      </c>
      <c r="P408" s="6">
        <v>44292.79525462963</v>
      </c>
      <c r="Q408" s="4">
        <v>17145.0</v>
      </c>
      <c r="R408" s="4"/>
      <c r="S408" s="4"/>
      <c r="T408" s="4"/>
      <c r="U408" s="7"/>
      <c r="V408" s="4"/>
      <c r="W408" s="4"/>
      <c r="X408" s="4"/>
      <c r="Y408" s="4"/>
      <c r="Z408" s="4"/>
      <c r="AA408" s="5"/>
      <c r="AB408" s="5"/>
      <c r="AC408" s="5"/>
      <c r="AD408" s="5"/>
      <c r="AE408" s="5"/>
    </row>
    <row r="409">
      <c r="A409" s="4" t="s">
        <v>905</v>
      </c>
      <c r="B409" s="4"/>
      <c r="C409" s="4" t="s">
        <v>280</v>
      </c>
      <c r="D409" s="4">
        <v>49877.0</v>
      </c>
      <c r="E409" s="4"/>
      <c r="F409" s="4" t="s">
        <v>85</v>
      </c>
      <c r="G409" s="4">
        <v>99.0</v>
      </c>
      <c r="H409" s="4"/>
      <c r="I409" s="4">
        <v>99.0</v>
      </c>
      <c r="J409" s="4" t="s">
        <v>906</v>
      </c>
      <c r="K409" s="4">
        <v>9.18130724406E11</v>
      </c>
      <c r="L409" s="4" t="s">
        <v>67</v>
      </c>
      <c r="M409" s="4" t="b">
        <v>0</v>
      </c>
      <c r="N409" s="4" t="s">
        <v>68</v>
      </c>
      <c r="O409" s="4" t="s">
        <v>69</v>
      </c>
      <c r="P409" s="6">
        <v>44292.81706018518</v>
      </c>
      <c r="Q409" s="4">
        <v>16699.0</v>
      </c>
      <c r="R409" s="4"/>
      <c r="S409" s="4"/>
      <c r="T409" s="4"/>
      <c r="U409" s="7"/>
      <c r="V409" s="4"/>
      <c r="W409" s="4"/>
      <c r="X409" s="4"/>
      <c r="Y409" s="4"/>
      <c r="Z409" s="4"/>
      <c r="AA409" s="5"/>
      <c r="AB409" s="5"/>
      <c r="AC409" s="5"/>
      <c r="AD409" s="5"/>
      <c r="AE409" s="5"/>
    </row>
    <row r="410">
      <c r="A410" s="4" t="s">
        <v>907</v>
      </c>
      <c r="B410" s="4"/>
      <c r="C410" s="4" t="s">
        <v>184</v>
      </c>
      <c r="D410" s="4">
        <v>49833.0</v>
      </c>
      <c r="E410" s="4"/>
      <c r="F410" s="4" t="s">
        <v>77</v>
      </c>
      <c r="G410" s="4">
        <v>299.0</v>
      </c>
      <c r="H410" s="4"/>
      <c r="I410" s="4">
        <v>299.0</v>
      </c>
      <c r="J410" s="4" t="s">
        <v>908</v>
      </c>
      <c r="K410" s="4">
        <v>9.18826337294E11</v>
      </c>
      <c r="L410" s="4" t="s">
        <v>67</v>
      </c>
      <c r="M410" s="4" t="b">
        <v>0</v>
      </c>
      <c r="N410" s="4" t="s">
        <v>97</v>
      </c>
      <c r="O410" s="4" t="s">
        <v>69</v>
      </c>
      <c r="P410" s="6">
        <v>44292.828518518516</v>
      </c>
      <c r="Q410" s="4" t="s">
        <v>83</v>
      </c>
      <c r="R410" s="4"/>
      <c r="S410" s="4"/>
      <c r="T410" s="4"/>
      <c r="U410" s="7"/>
      <c r="V410" s="4"/>
      <c r="W410" s="4"/>
      <c r="X410" s="4"/>
      <c r="Y410" s="4"/>
      <c r="Z410" s="4"/>
      <c r="AA410" s="5"/>
      <c r="AB410" s="5"/>
      <c r="AC410" s="5"/>
      <c r="AD410" s="5"/>
      <c r="AE410" s="5"/>
    </row>
    <row r="411">
      <c r="A411" s="4" t="s">
        <v>909</v>
      </c>
      <c r="B411" s="4"/>
      <c r="C411" s="4" t="s">
        <v>184</v>
      </c>
      <c r="D411" s="4">
        <v>49833.0</v>
      </c>
      <c r="E411" s="4"/>
      <c r="F411" s="4" t="s">
        <v>85</v>
      </c>
      <c r="G411" s="4">
        <v>99.0</v>
      </c>
      <c r="H411" s="4"/>
      <c r="I411" s="4">
        <v>99.0</v>
      </c>
      <c r="J411" s="4" t="s">
        <v>910</v>
      </c>
      <c r="K411" s="4">
        <v>9.17319871366E11</v>
      </c>
      <c r="L411" s="4" t="s">
        <v>67</v>
      </c>
      <c r="M411" s="4" t="b">
        <v>0</v>
      </c>
      <c r="N411" s="4" t="s">
        <v>68</v>
      </c>
      <c r="O411" s="4" t="s">
        <v>69</v>
      </c>
      <c r="P411" s="6">
        <v>44292.85167824074</v>
      </c>
      <c r="Q411" s="4" t="s">
        <v>83</v>
      </c>
      <c r="R411" s="4"/>
      <c r="S411" s="4"/>
      <c r="T411" s="4"/>
      <c r="U411" s="7"/>
      <c r="V411" s="4"/>
      <c r="W411" s="4"/>
      <c r="X411" s="4"/>
      <c r="Y411" s="4"/>
      <c r="Z411" s="4"/>
      <c r="AA411" s="5"/>
      <c r="AB411" s="5"/>
      <c r="AC411" s="5"/>
      <c r="AD411" s="5"/>
      <c r="AE411" s="5"/>
    </row>
    <row r="412">
      <c r="A412" s="4" t="s">
        <v>911</v>
      </c>
      <c r="B412" s="4"/>
      <c r="C412" s="4" t="s">
        <v>791</v>
      </c>
      <c r="D412" s="4">
        <v>49948.0</v>
      </c>
      <c r="E412" s="4"/>
      <c r="F412" s="4" t="s">
        <v>149</v>
      </c>
      <c r="G412" s="4">
        <v>99.0</v>
      </c>
      <c r="H412" s="4"/>
      <c r="I412" s="4">
        <v>99.0</v>
      </c>
      <c r="J412" s="4" t="s">
        <v>912</v>
      </c>
      <c r="K412" s="4">
        <v>9.18587965287E11</v>
      </c>
      <c r="L412" s="4" t="s">
        <v>67</v>
      </c>
      <c r="M412" s="4" t="b">
        <v>0</v>
      </c>
      <c r="N412" s="4" t="s">
        <v>68</v>
      </c>
      <c r="O412" s="4" t="s">
        <v>69</v>
      </c>
      <c r="P412" s="6">
        <v>44277.68071759259</v>
      </c>
      <c r="Q412" s="4">
        <v>16431.0</v>
      </c>
      <c r="R412" s="4"/>
      <c r="S412" s="4"/>
      <c r="T412" s="4"/>
      <c r="U412" s="7"/>
      <c r="V412" s="4"/>
      <c r="W412" s="4"/>
      <c r="X412" s="4"/>
      <c r="Y412" s="4"/>
      <c r="Z412" s="4"/>
      <c r="AA412" s="5"/>
      <c r="AB412" s="5"/>
      <c r="AC412" s="5"/>
      <c r="AD412" s="5"/>
      <c r="AE412" s="5"/>
    </row>
    <row r="413">
      <c r="A413" s="4" t="s">
        <v>913</v>
      </c>
      <c r="B413" s="4"/>
      <c r="C413" s="4" t="s">
        <v>184</v>
      </c>
      <c r="D413" s="4">
        <v>49833.0</v>
      </c>
      <c r="E413" s="4"/>
      <c r="F413" s="4" t="s">
        <v>85</v>
      </c>
      <c r="G413" s="4">
        <v>99.0</v>
      </c>
      <c r="H413" s="4"/>
      <c r="I413" s="4">
        <v>99.0</v>
      </c>
      <c r="J413" s="4" t="s">
        <v>914</v>
      </c>
      <c r="K413" s="4">
        <v>9.18770031299E11</v>
      </c>
      <c r="L413" s="4" t="s">
        <v>67</v>
      </c>
      <c r="M413" s="4" t="b">
        <v>0</v>
      </c>
      <c r="N413" s="4" t="s">
        <v>68</v>
      </c>
      <c r="O413" s="4" t="s">
        <v>69</v>
      </c>
      <c r="P413" s="6">
        <v>44292.87621527778</v>
      </c>
      <c r="Q413" s="4">
        <v>16749.0</v>
      </c>
      <c r="R413" s="4"/>
      <c r="S413" s="4"/>
      <c r="T413" s="4"/>
      <c r="U413" s="7"/>
      <c r="V413" s="4"/>
      <c r="W413" s="4"/>
      <c r="X413" s="4"/>
      <c r="Y413" s="4"/>
      <c r="Z413" s="4"/>
      <c r="AA413" s="5"/>
      <c r="AB413" s="5"/>
      <c r="AC413" s="5"/>
      <c r="AD413" s="5"/>
      <c r="AE413" s="5"/>
    </row>
    <row r="414">
      <c r="A414" s="4" t="s">
        <v>915</v>
      </c>
      <c r="B414" s="4"/>
      <c r="C414" s="4" t="s">
        <v>184</v>
      </c>
      <c r="D414" s="4">
        <v>49833.0</v>
      </c>
      <c r="E414" s="4"/>
      <c r="F414" s="4" t="s">
        <v>85</v>
      </c>
      <c r="G414" s="4">
        <v>99.0</v>
      </c>
      <c r="H414" s="4"/>
      <c r="I414" s="4">
        <v>99.0</v>
      </c>
      <c r="J414" s="4" t="s">
        <v>916</v>
      </c>
      <c r="K414" s="4">
        <v>9.18506881781E11</v>
      </c>
      <c r="L414" s="4" t="s">
        <v>67</v>
      </c>
      <c r="M414" s="4" t="b">
        <v>0</v>
      </c>
      <c r="N414" s="4" t="s">
        <v>68</v>
      </c>
      <c r="O414" s="4" t="s">
        <v>69</v>
      </c>
      <c r="P414" s="6">
        <v>44292.88585648148</v>
      </c>
      <c r="Q414" s="4" t="s">
        <v>83</v>
      </c>
      <c r="R414" s="4"/>
      <c r="S414" s="4"/>
      <c r="T414" s="4"/>
      <c r="U414" s="7"/>
      <c r="V414" s="4"/>
      <c r="W414" s="4"/>
      <c r="X414" s="4"/>
      <c r="Y414" s="4"/>
      <c r="Z414" s="4"/>
      <c r="AA414" s="5"/>
      <c r="AB414" s="5"/>
      <c r="AC414" s="5"/>
      <c r="AD414" s="5"/>
      <c r="AE414" s="5"/>
    </row>
    <row r="415">
      <c r="A415" s="4" t="s">
        <v>917</v>
      </c>
      <c r="B415" s="4"/>
      <c r="C415" s="4" t="s">
        <v>858</v>
      </c>
      <c r="D415" s="4">
        <v>49958.0</v>
      </c>
      <c r="E415" s="4"/>
      <c r="F415" s="4" t="s">
        <v>149</v>
      </c>
      <c r="G415" s="4">
        <v>99.0</v>
      </c>
      <c r="H415" s="4"/>
      <c r="I415" s="4">
        <v>99.0</v>
      </c>
      <c r="J415" s="4" t="s">
        <v>918</v>
      </c>
      <c r="K415" s="4">
        <v>9.19867540266E11</v>
      </c>
      <c r="L415" s="4" t="s">
        <v>67</v>
      </c>
      <c r="M415" s="4" t="b">
        <v>0</v>
      </c>
      <c r="N415" s="4" t="s">
        <v>68</v>
      </c>
      <c r="O415" s="4" t="s">
        <v>69</v>
      </c>
      <c r="P415" s="6">
        <v>44278.55262731481</v>
      </c>
      <c r="Q415" s="4">
        <v>16408.0</v>
      </c>
      <c r="R415" s="4"/>
      <c r="S415" s="4"/>
      <c r="T415" s="4"/>
      <c r="U415" s="7"/>
      <c r="V415" s="4"/>
      <c r="W415" s="4"/>
      <c r="X415" s="4"/>
      <c r="Y415" s="4"/>
      <c r="Z415" s="4"/>
      <c r="AA415" s="5"/>
      <c r="AB415" s="5"/>
      <c r="AC415" s="5"/>
      <c r="AD415" s="5"/>
      <c r="AE415" s="5"/>
    </row>
    <row r="416">
      <c r="A416" s="4" t="s">
        <v>919</v>
      </c>
      <c r="B416" s="4"/>
      <c r="C416" s="4" t="s">
        <v>858</v>
      </c>
      <c r="D416" s="4">
        <v>49958.0</v>
      </c>
      <c r="E416" s="4"/>
      <c r="F416" s="4" t="s">
        <v>149</v>
      </c>
      <c r="G416" s="4">
        <v>99.0</v>
      </c>
      <c r="H416" s="4"/>
      <c r="I416" s="4">
        <v>99.0</v>
      </c>
      <c r="J416" s="4" t="s">
        <v>920</v>
      </c>
      <c r="K416" s="4">
        <v>9.19061064782E11</v>
      </c>
      <c r="L416" s="4" t="s">
        <v>67</v>
      </c>
      <c r="M416" s="4" t="b">
        <v>0</v>
      </c>
      <c r="N416" s="4" t="s">
        <v>68</v>
      </c>
      <c r="O416" s="4" t="s">
        <v>69</v>
      </c>
      <c r="P416" s="6">
        <v>44278.698229166665</v>
      </c>
      <c r="Q416" s="4">
        <v>14276.0</v>
      </c>
      <c r="R416" s="4"/>
      <c r="S416" s="4"/>
      <c r="T416" s="4"/>
      <c r="U416" s="7"/>
      <c r="V416" s="4"/>
      <c r="W416" s="4"/>
      <c r="X416" s="4"/>
      <c r="Y416" s="4"/>
      <c r="Z416" s="4"/>
      <c r="AA416" s="5"/>
      <c r="AB416" s="5"/>
      <c r="AC416" s="5"/>
      <c r="AD416" s="5"/>
      <c r="AE416" s="5"/>
    </row>
    <row r="417">
      <c r="A417" s="4" t="s">
        <v>921</v>
      </c>
      <c r="B417" s="4"/>
      <c r="C417" s="4" t="s">
        <v>280</v>
      </c>
      <c r="D417" s="4">
        <v>49877.0</v>
      </c>
      <c r="E417" s="4"/>
      <c r="F417" s="4" t="s">
        <v>85</v>
      </c>
      <c r="G417" s="4">
        <v>99.0</v>
      </c>
      <c r="H417" s="4"/>
      <c r="I417" s="4">
        <v>99.0</v>
      </c>
      <c r="J417" s="4" t="s">
        <v>922</v>
      </c>
      <c r="K417" s="4">
        <v>9.19900171846E11</v>
      </c>
      <c r="L417" s="4" t="s">
        <v>67</v>
      </c>
      <c r="M417" s="4" t="b">
        <v>0</v>
      </c>
      <c r="N417" s="4" t="s">
        <v>68</v>
      </c>
      <c r="O417" s="4" t="s">
        <v>69</v>
      </c>
      <c r="P417" s="6">
        <v>44292.92513888889</v>
      </c>
      <c r="Q417" s="4">
        <v>16725.0</v>
      </c>
      <c r="R417" s="4"/>
      <c r="S417" s="4"/>
      <c r="T417" s="4"/>
      <c r="U417" s="7"/>
      <c r="V417" s="4"/>
      <c r="W417" s="4"/>
      <c r="X417" s="4"/>
      <c r="Y417" s="4"/>
      <c r="Z417" s="4"/>
      <c r="AA417" s="5"/>
      <c r="AB417" s="5"/>
      <c r="AC417" s="5"/>
      <c r="AD417" s="5"/>
      <c r="AE417" s="5"/>
    </row>
    <row r="418">
      <c r="A418" s="4" t="s">
        <v>923</v>
      </c>
      <c r="B418" s="4"/>
      <c r="C418" s="4" t="s">
        <v>184</v>
      </c>
      <c r="D418" s="4">
        <v>49833.0</v>
      </c>
      <c r="E418" s="4"/>
      <c r="F418" s="4" t="s">
        <v>85</v>
      </c>
      <c r="G418" s="4">
        <v>99.0</v>
      </c>
      <c r="H418" s="4"/>
      <c r="I418" s="4">
        <v>99.0</v>
      </c>
      <c r="J418" s="4" t="s">
        <v>924</v>
      </c>
      <c r="K418" s="4">
        <v>9.19620409283E11</v>
      </c>
      <c r="L418" s="4" t="s">
        <v>67</v>
      </c>
      <c r="M418" s="4" t="b">
        <v>0</v>
      </c>
      <c r="N418" s="4" t="s">
        <v>74</v>
      </c>
      <c r="O418" s="4" t="s">
        <v>69</v>
      </c>
      <c r="P418" s="6">
        <v>44292.9281712963</v>
      </c>
      <c r="Q418" s="4">
        <v>16736.0</v>
      </c>
      <c r="R418" s="4"/>
      <c r="S418" s="4"/>
      <c r="T418" s="4"/>
      <c r="U418" s="7"/>
      <c r="V418" s="4"/>
      <c r="W418" s="4"/>
      <c r="X418" s="4"/>
      <c r="Y418" s="4"/>
      <c r="Z418" s="4"/>
      <c r="AA418" s="5"/>
      <c r="AB418" s="5"/>
      <c r="AC418" s="5"/>
      <c r="AD418" s="5"/>
      <c r="AE418" s="5"/>
    </row>
    <row r="419">
      <c r="A419" s="4" t="s">
        <v>925</v>
      </c>
      <c r="B419" s="4"/>
      <c r="C419" s="4" t="s">
        <v>184</v>
      </c>
      <c r="D419" s="4">
        <v>49833.0</v>
      </c>
      <c r="E419" s="4"/>
      <c r="F419" s="4" t="s">
        <v>85</v>
      </c>
      <c r="G419" s="4">
        <v>99.0</v>
      </c>
      <c r="H419" s="4"/>
      <c r="I419" s="4">
        <v>99.0</v>
      </c>
      <c r="J419" s="4" t="s">
        <v>926</v>
      </c>
      <c r="K419" s="4">
        <v>9.18447849162E11</v>
      </c>
      <c r="L419" s="4" t="s">
        <v>67</v>
      </c>
      <c r="M419" s="4" t="b">
        <v>0</v>
      </c>
      <c r="N419" s="4" t="s">
        <v>68</v>
      </c>
      <c r="O419" s="4" t="s">
        <v>69</v>
      </c>
      <c r="P419" s="6">
        <v>44292.93785879629</v>
      </c>
      <c r="Q419" s="4" t="s">
        <v>83</v>
      </c>
      <c r="R419" s="4"/>
      <c r="S419" s="4"/>
      <c r="T419" s="4"/>
      <c r="U419" s="7"/>
      <c r="V419" s="4"/>
      <c r="W419" s="4"/>
      <c r="X419" s="4"/>
      <c r="Y419" s="4"/>
      <c r="Z419" s="4"/>
      <c r="AA419" s="5"/>
      <c r="AB419" s="5"/>
      <c r="AC419" s="5"/>
      <c r="AD419" s="5"/>
      <c r="AE419" s="5"/>
    </row>
    <row r="420">
      <c r="A420" s="4" t="s">
        <v>927</v>
      </c>
      <c r="B420" s="4"/>
      <c r="C420" s="4" t="s">
        <v>184</v>
      </c>
      <c r="D420" s="4">
        <v>49833.0</v>
      </c>
      <c r="E420" s="4"/>
      <c r="F420" s="4" t="s">
        <v>85</v>
      </c>
      <c r="G420" s="4">
        <v>99.0</v>
      </c>
      <c r="H420" s="4"/>
      <c r="I420" s="4">
        <v>99.0</v>
      </c>
      <c r="J420" s="4" t="s">
        <v>928</v>
      </c>
      <c r="K420" s="4">
        <v>9.19964221453E11</v>
      </c>
      <c r="L420" s="4" t="s">
        <v>67</v>
      </c>
      <c r="M420" s="4" t="b">
        <v>0</v>
      </c>
      <c r="N420" s="4" t="s">
        <v>68</v>
      </c>
      <c r="O420" s="4" t="s">
        <v>69</v>
      </c>
      <c r="P420" s="6">
        <v>44292.96113425926</v>
      </c>
      <c r="Q420" s="4" t="s">
        <v>83</v>
      </c>
      <c r="R420" s="4"/>
      <c r="S420" s="4"/>
      <c r="T420" s="4"/>
      <c r="U420" s="7"/>
      <c r="V420" s="4"/>
      <c r="W420" s="4"/>
      <c r="X420" s="4"/>
      <c r="Y420" s="4"/>
      <c r="Z420" s="4"/>
      <c r="AA420" s="5"/>
      <c r="AB420" s="5"/>
      <c r="AC420" s="5"/>
      <c r="AD420" s="5"/>
      <c r="AE420" s="5"/>
    </row>
    <row r="421">
      <c r="A421" s="4" t="s">
        <v>929</v>
      </c>
      <c r="B421" s="4"/>
      <c r="C421" s="4" t="s">
        <v>680</v>
      </c>
      <c r="D421" s="4">
        <v>49835.0</v>
      </c>
      <c r="E421" s="4"/>
      <c r="F421" s="4" t="s">
        <v>85</v>
      </c>
      <c r="G421" s="4">
        <v>99.0</v>
      </c>
      <c r="H421" s="4"/>
      <c r="I421" s="4">
        <v>99.0</v>
      </c>
      <c r="J421" s="4" t="s">
        <v>930</v>
      </c>
      <c r="K421" s="4">
        <v>9.17057607419E11</v>
      </c>
      <c r="L421" s="4" t="s">
        <v>67</v>
      </c>
      <c r="M421" s="4" t="b">
        <v>0</v>
      </c>
      <c r="N421" s="4" t="s">
        <v>68</v>
      </c>
      <c r="O421" s="4" t="s">
        <v>69</v>
      </c>
      <c r="P421" s="6">
        <v>44278.39230324074</v>
      </c>
      <c r="Q421" s="4">
        <v>16396.0</v>
      </c>
      <c r="R421" s="4"/>
      <c r="S421" s="4"/>
      <c r="T421" s="4"/>
      <c r="U421" s="7"/>
      <c r="V421" s="4"/>
      <c r="W421" s="4"/>
      <c r="X421" s="4"/>
      <c r="Y421" s="4"/>
      <c r="Z421" s="4"/>
      <c r="AA421" s="5"/>
      <c r="AB421" s="5"/>
      <c r="AC421" s="5"/>
      <c r="AD421" s="5"/>
      <c r="AE421" s="5"/>
    </row>
    <row r="422">
      <c r="A422" s="4" t="s">
        <v>931</v>
      </c>
      <c r="B422" s="4"/>
      <c r="C422" s="4" t="s">
        <v>184</v>
      </c>
      <c r="D422" s="4">
        <v>49833.0</v>
      </c>
      <c r="E422" s="4"/>
      <c r="F422" s="4" t="s">
        <v>85</v>
      </c>
      <c r="G422" s="4">
        <v>99.0</v>
      </c>
      <c r="H422" s="4"/>
      <c r="I422" s="4">
        <v>99.0</v>
      </c>
      <c r="J422" s="4" t="s">
        <v>932</v>
      </c>
      <c r="K422" s="4">
        <v>9.17249339493E11</v>
      </c>
      <c r="L422" s="4" t="s">
        <v>67</v>
      </c>
      <c r="M422" s="4" t="b">
        <v>0</v>
      </c>
      <c r="N422" s="4" t="s">
        <v>74</v>
      </c>
      <c r="O422" s="4" t="s">
        <v>69</v>
      </c>
      <c r="P422" s="6">
        <v>44293.385613425926</v>
      </c>
      <c r="Q422" s="4">
        <v>16812.0</v>
      </c>
      <c r="R422" s="4"/>
      <c r="S422" s="4"/>
      <c r="T422" s="4"/>
      <c r="U422" s="7"/>
      <c r="V422" s="4"/>
      <c r="W422" s="4"/>
      <c r="X422" s="4"/>
      <c r="Y422" s="4"/>
      <c r="Z422" s="4"/>
      <c r="AA422" s="5"/>
      <c r="AB422" s="5"/>
      <c r="AC422" s="5"/>
      <c r="AD422" s="5"/>
      <c r="AE422" s="5"/>
    </row>
    <row r="423">
      <c r="A423" s="4" t="s">
        <v>933</v>
      </c>
      <c r="B423" s="4"/>
      <c r="C423" s="4" t="s">
        <v>885</v>
      </c>
      <c r="D423" s="4">
        <v>49844.0</v>
      </c>
      <c r="E423" s="4"/>
      <c r="F423" s="4" t="s">
        <v>85</v>
      </c>
      <c r="G423" s="4">
        <v>299.0</v>
      </c>
      <c r="H423" s="4"/>
      <c r="I423" s="4">
        <v>299.0</v>
      </c>
      <c r="J423" s="4" t="s">
        <v>934</v>
      </c>
      <c r="K423" s="4">
        <v>9.19589501792E11</v>
      </c>
      <c r="L423" s="4" t="s">
        <v>67</v>
      </c>
      <c r="M423" s="4" t="b">
        <v>0</v>
      </c>
      <c r="N423" s="4" t="s">
        <v>68</v>
      </c>
      <c r="O423" s="4" t="s">
        <v>69</v>
      </c>
      <c r="P423" s="6">
        <v>44293.512407407405</v>
      </c>
      <c r="Q423" s="4">
        <v>16731.0</v>
      </c>
      <c r="R423" s="4"/>
      <c r="S423" s="4"/>
      <c r="T423" s="4"/>
      <c r="U423" s="7"/>
      <c r="V423" s="4"/>
      <c r="W423" s="4"/>
      <c r="X423" s="4"/>
      <c r="Y423" s="4"/>
      <c r="Z423" s="4"/>
      <c r="AA423" s="5"/>
      <c r="AB423" s="5"/>
      <c r="AC423" s="5"/>
      <c r="AD423" s="5"/>
      <c r="AE423" s="5"/>
    </row>
    <row r="424">
      <c r="A424" s="4" t="s">
        <v>935</v>
      </c>
      <c r="B424" s="4"/>
      <c r="C424" s="4" t="s">
        <v>280</v>
      </c>
      <c r="D424" s="4">
        <v>49877.0</v>
      </c>
      <c r="E424" s="4"/>
      <c r="F424" s="4" t="s">
        <v>85</v>
      </c>
      <c r="G424" s="4">
        <v>99.0</v>
      </c>
      <c r="H424" s="4"/>
      <c r="I424" s="4">
        <v>99.0</v>
      </c>
      <c r="J424" s="4" t="s">
        <v>936</v>
      </c>
      <c r="K424" s="4">
        <v>9.19167616685E11</v>
      </c>
      <c r="L424" s="4" t="s">
        <v>67</v>
      </c>
      <c r="M424" s="4" t="b">
        <v>0</v>
      </c>
      <c r="N424" s="4" t="s">
        <v>97</v>
      </c>
      <c r="O424" s="4" t="s">
        <v>69</v>
      </c>
      <c r="P424" s="6">
        <v>44293.5990625</v>
      </c>
      <c r="Q424" s="4">
        <v>16722.0</v>
      </c>
      <c r="R424" s="4"/>
      <c r="S424" s="4"/>
      <c r="T424" s="4"/>
      <c r="U424" s="7"/>
      <c r="V424" s="4"/>
      <c r="W424" s="4"/>
      <c r="X424" s="4"/>
      <c r="Y424" s="4"/>
      <c r="Z424" s="4"/>
      <c r="AA424" s="5"/>
      <c r="AB424" s="5"/>
      <c r="AC424" s="5"/>
      <c r="AD424" s="5"/>
      <c r="AE424" s="5"/>
    </row>
    <row r="425">
      <c r="A425" s="4" t="s">
        <v>937</v>
      </c>
      <c r="B425" s="4"/>
      <c r="C425" s="4" t="s">
        <v>858</v>
      </c>
      <c r="D425" s="4">
        <v>49958.0</v>
      </c>
      <c r="E425" s="4"/>
      <c r="F425" s="4" t="s">
        <v>149</v>
      </c>
      <c r="G425" s="4">
        <v>99.0</v>
      </c>
      <c r="H425" s="4"/>
      <c r="I425" s="4">
        <v>99.0</v>
      </c>
      <c r="J425" s="4" t="s">
        <v>938</v>
      </c>
      <c r="K425" s="4">
        <v>9.18369505698E11</v>
      </c>
      <c r="L425" s="4" t="s">
        <v>67</v>
      </c>
      <c r="M425" s="4" t="b">
        <v>0</v>
      </c>
      <c r="N425" s="4" t="s">
        <v>74</v>
      </c>
      <c r="O425" s="4" t="s">
        <v>69</v>
      </c>
      <c r="P425" s="6">
        <v>44279.45869212963</v>
      </c>
      <c r="Q425" s="4">
        <v>16443.0</v>
      </c>
      <c r="R425" s="4"/>
      <c r="S425" s="4"/>
      <c r="T425" s="4"/>
      <c r="U425" s="7"/>
      <c r="V425" s="4"/>
      <c r="W425" s="4"/>
      <c r="X425" s="4"/>
      <c r="Y425" s="4"/>
      <c r="Z425" s="4"/>
      <c r="AA425" s="5"/>
      <c r="AB425" s="5"/>
      <c r="AC425" s="5"/>
      <c r="AD425" s="5"/>
      <c r="AE425" s="5"/>
    </row>
    <row r="426">
      <c r="A426" s="4" t="s">
        <v>939</v>
      </c>
      <c r="B426" s="4"/>
      <c r="C426" s="4" t="s">
        <v>280</v>
      </c>
      <c r="D426" s="4">
        <v>49877.0</v>
      </c>
      <c r="E426" s="4"/>
      <c r="F426" s="4" t="s">
        <v>85</v>
      </c>
      <c r="G426" s="4">
        <v>99.0</v>
      </c>
      <c r="H426" s="4"/>
      <c r="I426" s="4">
        <v>99.0</v>
      </c>
      <c r="J426" s="4" t="s">
        <v>940</v>
      </c>
      <c r="K426" s="4">
        <v>9.19344545554E11</v>
      </c>
      <c r="L426" s="4" t="s">
        <v>67</v>
      </c>
      <c r="M426" s="4" t="b">
        <v>0</v>
      </c>
      <c r="N426" s="4" t="s">
        <v>68</v>
      </c>
      <c r="O426" s="4" t="s">
        <v>69</v>
      </c>
      <c r="P426" s="6">
        <v>44293.64</v>
      </c>
      <c r="Q426" s="4">
        <v>16723.0</v>
      </c>
      <c r="R426" s="4"/>
      <c r="S426" s="4"/>
      <c r="T426" s="4"/>
      <c r="U426" s="7"/>
      <c r="V426" s="4"/>
      <c r="W426" s="4"/>
      <c r="X426" s="4"/>
      <c r="Y426" s="4"/>
      <c r="Z426" s="4"/>
      <c r="AA426" s="5"/>
      <c r="AB426" s="5"/>
      <c r="AC426" s="5"/>
      <c r="AD426" s="5"/>
      <c r="AE426" s="5"/>
    </row>
    <row r="427">
      <c r="A427" s="4" t="s">
        <v>941</v>
      </c>
      <c r="B427" s="4"/>
      <c r="C427" s="4" t="s">
        <v>858</v>
      </c>
      <c r="D427" s="4">
        <v>49958.0</v>
      </c>
      <c r="E427" s="4"/>
      <c r="F427" s="4" t="s">
        <v>149</v>
      </c>
      <c r="G427" s="4">
        <v>99.0</v>
      </c>
      <c r="H427" s="4"/>
      <c r="I427" s="4">
        <v>99.0</v>
      </c>
      <c r="J427" s="4" t="s">
        <v>942</v>
      </c>
      <c r="K427" s="4">
        <v>9.1878825876E11</v>
      </c>
      <c r="L427" s="4" t="s">
        <v>67</v>
      </c>
      <c r="M427" s="4" t="b">
        <v>0</v>
      </c>
      <c r="N427" s="4" t="s">
        <v>68</v>
      </c>
      <c r="O427" s="4" t="s">
        <v>69</v>
      </c>
      <c r="P427" s="6">
        <v>44279.56673611111</v>
      </c>
      <c r="Q427" s="4">
        <v>16442.0</v>
      </c>
      <c r="R427" s="4"/>
      <c r="S427" s="4"/>
      <c r="T427" s="4"/>
      <c r="U427" s="7"/>
      <c r="V427" s="4"/>
      <c r="W427" s="4"/>
      <c r="X427" s="4"/>
      <c r="Y427" s="4"/>
      <c r="Z427" s="4"/>
      <c r="AA427" s="5"/>
      <c r="AB427" s="5"/>
      <c r="AC427" s="5"/>
      <c r="AD427" s="5"/>
      <c r="AE427" s="5"/>
    </row>
    <row r="428">
      <c r="A428" s="4" t="s">
        <v>943</v>
      </c>
      <c r="B428" s="4"/>
      <c r="C428" s="4" t="s">
        <v>280</v>
      </c>
      <c r="D428" s="4">
        <v>49877.0</v>
      </c>
      <c r="E428" s="4"/>
      <c r="F428" s="4" t="s">
        <v>85</v>
      </c>
      <c r="G428" s="4">
        <v>99.0</v>
      </c>
      <c r="H428" s="4"/>
      <c r="I428" s="4">
        <v>99.0</v>
      </c>
      <c r="J428" s="4" t="s">
        <v>944</v>
      </c>
      <c r="K428" s="4">
        <v>9.18619054187E11</v>
      </c>
      <c r="L428" s="4" t="s">
        <v>67</v>
      </c>
      <c r="M428" s="4" t="b">
        <v>0</v>
      </c>
      <c r="N428" s="4" t="s">
        <v>68</v>
      </c>
      <c r="O428" s="4" t="s">
        <v>69</v>
      </c>
      <c r="P428" s="6">
        <v>44293.65016203704</v>
      </c>
      <c r="Q428" s="4" t="s">
        <v>83</v>
      </c>
      <c r="R428" s="4"/>
      <c r="S428" s="4"/>
      <c r="T428" s="4"/>
      <c r="U428" s="7"/>
      <c r="V428" s="4"/>
      <c r="W428" s="4"/>
      <c r="X428" s="4"/>
      <c r="Y428" s="4"/>
      <c r="Z428" s="4"/>
      <c r="AA428" s="5"/>
      <c r="AB428" s="5"/>
      <c r="AC428" s="5"/>
      <c r="AD428" s="5"/>
      <c r="AE428" s="5"/>
    </row>
    <row r="429">
      <c r="A429" s="4" t="s">
        <v>945</v>
      </c>
      <c r="B429" s="4"/>
      <c r="C429" s="4" t="s">
        <v>280</v>
      </c>
      <c r="D429" s="4">
        <v>49877.0</v>
      </c>
      <c r="E429" s="4"/>
      <c r="F429" s="4" t="s">
        <v>85</v>
      </c>
      <c r="G429" s="4">
        <v>99.0</v>
      </c>
      <c r="H429" s="4"/>
      <c r="I429" s="4">
        <v>99.0</v>
      </c>
      <c r="J429" s="4" t="s">
        <v>946</v>
      </c>
      <c r="K429" s="4">
        <v>9.19632559977E11</v>
      </c>
      <c r="L429" s="4" t="s">
        <v>67</v>
      </c>
      <c r="M429" s="4" t="b">
        <v>0</v>
      </c>
      <c r="N429" s="4" t="s">
        <v>68</v>
      </c>
      <c r="O429" s="4" t="s">
        <v>69</v>
      </c>
      <c r="P429" s="6">
        <v>44293.680127314816</v>
      </c>
      <c r="Q429" s="4">
        <v>16726.0</v>
      </c>
      <c r="R429" s="4"/>
      <c r="S429" s="4"/>
      <c r="T429" s="4"/>
      <c r="U429" s="7"/>
      <c r="V429" s="4"/>
      <c r="W429" s="4"/>
      <c r="X429" s="4"/>
      <c r="Y429" s="4"/>
      <c r="Z429" s="4"/>
      <c r="AA429" s="5"/>
      <c r="AB429" s="5"/>
      <c r="AC429" s="5"/>
      <c r="AD429" s="5"/>
      <c r="AE429" s="5"/>
    </row>
    <row r="430">
      <c r="A430" s="4" t="s">
        <v>947</v>
      </c>
      <c r="B430" s="4"/>
      <c r="C430" s="4" t="s">
        <v>858</v>
      </c>
      <c r="D430" s="4">
        <v>49958.0</v>
      </c>
      <c r="E430" s="4"/>
      <c r="F430" s="4" t="s">
        <v>149</v>
      </c>
      <c r="G430" s="4">
        <v>99.0</v>
      </c>
      <c r="H430" s="4"/>
      <c r="I430" s="4">
        <v>99.0</v>
      </c>
      <c r="J430" s="4" t="s">
        <v>948</v>
      </c>
      <c r="K430" s="4">
        <v>9.18279730238E11</v>
      </c>
      <c r="L430" s="4" t="s">
        <v>67</v>
      </c>
      <c r="M430" s="4" t="b">
        <v>0</v>
      </c>
      <c r="N430" s="4" t="s">
        <v>68</v>
      </c>
      <c r="O430" s="4" t="s">
        <v>69</v>
      </c>
      <c r="P430" s="6">
        <v>44279.89659722222</v>
      </c>
      <c r="Q430" s="4">
        <v>10971.0</v>
      </c>
      <c r="R430" s="4"/>
      <c r="S430" s="4"/>
      <c r="T430" s="4"/>
      <c r="U430" s="7"/>
      <c r="V430" s="4"/>
      <c r="W430" s="4"/>
      <c r="X430" s="4"/>
      <c r="Y430" s="4"/>
      <c r="Z430" s="4"/>
      <c r="AA430" s="5"/>
      <c r="AB430" s="5"/>
      <c r="AC430" s="5"/>
      <c r="AD430" s="5"/>
      <c r="AE430" s="5"/>
    </row>
    <row r="431">
      <c r="A431" s="4" t="s">
        <v>949</v>
      </c>
      <c r="B431" s="4"/>
      <c r="C431" s="4" t="s">
        <v>184</v>
      </c>
      <c r="D431" s="4">
        <v>49833.0</v>
      </c>
      <c r="E431" s="4"/>
      <c r="F431" s="4" t="s">
        <v>85</v>
      </c>
      <c r="G431" s="4">
        <v>99.0</v>
      </c>
      <c r="H431" s="4"/>
      <c r="I431" s="4">
        <v>99.0</v>
      </c>
      <c r="J431" s="4" t="s">
        <v>950</v>
      </c>
      <c r="K431" s="4">
        <v>9.17073210759E11</v>
      </c>
      <c r="L431" s="4" t="s">
        <v>67</v>
      </c>
      <c r="M431" s="4" t="b">
        <v>0</v>
      </c>
      <c r="N431" s="4" t="s">
        <v>68</v>
      </c>
      <c r="O431" s="4" t="s">
        <v>69</v>
      </c>
      <c r="P431" s="6">
        <v>44293.68853009259</v>
      </c>
      <c r="Q431" s="4">
        <v>16748.0</v>
      </c>
      <c r="R431" s="4"/>
      <c r="S431" s="4"/>
      <c r="T431" s="4"/>
      <c r="U431" s="7"/>
      <c r="V431" s="4"/>
      <c r="W431" s="4"/>
      <c r="X431" s="4"/>
      <c r="Y431" s="4"/>
      <c r="Z431" s="4"/>
      <c r="AA431" s="5"/>
      <c r="AB431" s="5"/>
      <c r="AC431" s="5"/>
      <c r="AD431" s="5"/>
      <c r="AE431" s="5"/>
    </row>
    <row r="432">
      <c r="A432" s="4" t="s">
        <v>951</v>
      </c>
      <c r="B432" s="4"/>
      <c r="C432" s="4" t="s">
        <v>858</v>
      </c>
      <c r="D432" s="4">
        <v>49958.0</v>
      </c>
      <c r="E432" s="4"/>
      <c r="F432" s="4" t="s">
        <v>149</v>
      </c>
      <c r="G432" s="4">
        <v>99.0</v>
      </c>
      <c r="H432" s="4"/>
      <c r="I432" s="4">
        <v>99.0</v>
      </c>
      <c r="J432" s="4" t="s">
        <v>952</v>
      </c>
      <c r="K432" s="4">
        <v>9.18446453123E11</v>
      </c>
      <c r="L432" s="4" t="s">
        <v>67</v>
      </c>
      <c r="M432" s="4" t="b">
        <v>0</v>
      </c>
      <c r="N432" s="4" t="s">
        <v>68</v>
      </c>
      <c r="O432" s="4" t="s">
        <v>69</v>
      </c>
      <c r="P432" s="6">
        <v>44280.424780092595</v>
      </c>
      <c r="Q432" s="4">
        <v>16598.0</v>
      </c>
      <c r="R432" s="4"/>
      <c r="S432" s="4"/>
      <c r="T432" s="4"/>
      <c r="U432" s="7"/>
      <c r="V432" s="4"/>
      <c r="W432" s="4"/>
      <c r="X432" s="4"/>
      <c r="Y432" s="4"/>
      <c r="Z432" s="4"/>
      <c r="AA432" s="5"/>
      <c r="AB432" s="5"/>
      <c r="AC432" s="5"/>
      <c r="AD432" s="5"/>
      <c r="AE432" s="5"/>
    </row>
    <row r="433">
      <c r="A433" s="4" t="s">
        <v>953</v>
      </c>
      <c r="B433" s="4"/>
      <c r="C433" s="4" t="s">
        <v>858</v>
      </c>
      <c r="D433" s="4">
        <v>49958.0</v>
      </c>
      <c r="E433" s="4"/>
      <c r="F433" s="4" t="s">
        <v>149</v>
      </c>
      <c r="G433" s="4">
        <v>99.0</v>
      </c>
      <c r="H433" s="4"/>
      <c r="I433" s="4">
        <v>99.0</v>
      </c>
      <c r="J433" s="4" t="s">
        <v>954</v>
      </c>
      <c r="K433" s="4">
        <v>9.17439542867E11</v>
      </c>
      <c r="L433" s="4" t="s">
        <v>67</v>
      </c>
      <c r="M433" s="4" t="b">
        <v>0</v>
      </c>
      <c r="N433" s="4" t="s">
        <v>74</v>
      </c>
      <c r="O433" s="4" t="s">
        <v>69</v>
      </c>
      <c r="P433" s="6">
        <v>44280.517800925925</v>
      </c>
      <c r="Q433" s="4">
        <v>16463.0</v>
      </c>
      <c r="R433" s="4"/>
      <c r="S433" s="4"/>
      <c r="T433" s="4"/>
      <c r="U433" s="7"/>
      <c r="V433" s="4"/>
      <c r="W433" s="4"/>
      <c r="X433" s="4"/>
      <c r="Y433" s="4"/>
      <c r="Z433" s="4"/>
      <c r="AA433" s="5"/>
      <c r="AB433" s="5"/>
      <c r="AC433" s="5"/>
      <c r="AD433" s="5"/>
      <c r="AE433" s="5"/>
    </row>
    <row r="434">
      <c r="A434" s="4" t="s">
        <v>955</v>
      </c>
      <c r="B434" s="4"/>
      <c r="C434" s="4" t="s">
        <v>280</v>
      </c>
      <c r="D434" s="4">
        <v>49877.0</v>
      </c>
      <c r="E434" s="4"/>
      <c r="F434" s="4" t="s">
        <v>85</v>
      </c>
      <c r="G434" s="4">
        <v>99.0</v>
      </c>
      <c r="H434" s="4"/>
      <c r="I434" s="4">
        <v>99.0</v>
      </c>
      <c r="J434" s="4" t="s">
        <v>956</v>
      </c>
      <c r="K434" s="4">
        <v>9.1983633312E11</v>
      </c>
      <c r="L434" s="4" t="s">
        <v>67</v>
      </c>
      <c r="M434" s="4" t="b">
        <v>0</v>
      </c>
      <c r="N434" s="4" t="s">
        <v>68</v>
      </c>
      <c r="O434" s="4" t="s">
        <v>69</v>
      </c>
      <c r="P434" s="6">
        <v>44293.79719907408</v>
      </c>
      <c r="Q434" s="4">
        <v>16730.0</v>
      </c>
      <c r="R434" s="4"/>
      <c r="S434" s="4"/>
      <c r="T434" s="4"/>
      <c r="U434" s="7"/>
      <c r="V434" s="4"/>
      <c r="W434" s="4"/>
      <c r="X434" s="4"/>
      <c r="Y434" s="4"/>
      <c r="Z434" s="4"/>
      <c r="AA434" s="5"/>
      <c r="AB434" s="5"/>
      <c r="AC434" s="5"/>
      <c r="AD434" s="5"/>
      <c r="AE434" s="5"/>
    </row>
    <row r="435">
      <c r="A435" s="4" t="s">
        <v>957</v>
      </c>
      <c r="B435" s="4"/>
      <c r="C435" s="4" t="s">
        <v>280</v>
      </c>
      <c r="D435" s="4">
        <v>49877.0</v>
      </c>
      <c r="E435" s="4"/>
      <c r="F435" s="4" t="s">
        <v>85</v>
      </c>
      <c r="G435" s="4">
        <v>99.0</v>
      </c>
      <c r="H435" s="4"/>
      <c r="I435" s="4">
        <v>99.0</v>
      </c>
      <c r="J435" s="4" t="s">
        <v>958</v>
      </c>
      <c r="K435" s="4">
        <v>9.18777866155E11</v>
      </c>
      <c r="L435" s="4" t="s">
        <v>67</v>
      </c>
      <c r="M435" s="4" t="b">
        <v>0</v>
      </c>
      <c r="N435" s="4" t="s">
        <v>97</v>
      </c>
      <c r="O435" s="4" t="s">
        <v>69</v>
      </c>
      <c r="P435" s="6">
        <v>44293.89469907407</v>
      </c>
      <c r="Q435" s="4">
        <v>15076.0</v>
      </c>
      <c r="R435" s="4"/>
      <c r="S435" s="4"/>
      <c r="T435" s="4"/>
      <c r="U435" s="7"/>
      <c r="V435" s="4"/>
      <c r="W435" s="4"/>
      <c r="X435" s="4"/>
      <c r="Y435" s="4"/>
      <c r="Z435" s="4"/>
      <c r="AA435" s="5"/>
      <c r="AB435" s="5"/>
      <c r="AC435" s="5"/>
      <c r="AD435" s="5"/>
      <c r="AE435" s="5"/>
    </row>
    <row r="436">
      <c r="A436" s="4" t="s">
        <v>959</v>
      </c>
      <c r="B436" s="4"/>
      <c r="C436" s="4" t="s">
        <v>960</v>
      </c>
      <c r="D436" s="4">
        <v>49834.0</v>
      </c>
      <c r="E436" s="4"/>
      <c r="F436" s="4" t="s">
        <v>149</v>
      </c>
      <c r="G436" s="4">
        <v>699.0</v>
      </c>
      <c r="H436" s="4"/>
      <c r="I436" s="4">
        <v>699.0</v>
      </c>
      <c r="J436" s="4" t="s">
        <v>961</v>
      </c>
      <c r="K436" s="4">
        <v>9.18777050269E11</v>
      </c>
      <c r="L436" s="4" t="s">
        <v>67</v>
      </c>
      <c r="M436" s="4" t="b">
        <v>0</v>
      </c>
      <c r="N436" s="4" t="s">
        <v>68</v>
      </c>
      <c r="O436" s="4" t="s">
        <v>69</v>
      </c>
      <c r="P436" s="6">
        <v>44280.75215277778</v>
      </c>
      <c r="Q436" s="4">
        <v>16471.0</v>
      </c>
      <c r="R436" s="4"/>
      <c r="S436" s="4"/>
      <c r="T436" s="4"/>
      <c r="U436" s="7"/>
      <c r="V436" s="4"/>
      <c r="W436" s="4"/>
      <c r="X436" s="4"/>
      <c r="Y436" s="4"/>
      <c r="Z436" s="4"/>
      <c r="AA436" s="5"/>
      <c r="AB436" s="5"/>
      <c r="AC436" s="5"/>
      <c r="AD436" s="5"/>
      <c r="AE436" s="5"/>
    </row>
    <row r="437">
      <c r="A437" s="4" t="s">
        <v>962</v>
      </c>
      <c r="B437" s="4"/>
      <c r="C437" s="4" t="s">
        <v>280</v>
      </c>
      <c r="D437" s="4">
        <v>49877.0</v>
      </c>
      <c r="E437" s="4"/>
      <c r="F437" s="4" t="s">
        <v>85</v>
      </c>
      <c r="G437" s="4">
        <v>99.0</v>
      </c>
      <c r="H437" s="4"/>
      <c r="I437" s="4">
        <v>99.0</v>
      </c>
      <c r="J437" s="4" t="s">
        <v>963</v>
      </c>
      <c r="K437" s="4">
        <v>9.19820472204E11</v>
      </c>
      <c r="L437" s="4" t="s">
        <v>67</v>
      </c>
      <c r="M437" s="4" t="b">
        <v>0</v>
      </c>
      <c r="N437" s="4" t="s">
        <v>74</v>
      </c>
      <c r="O437" s="4" t="s">
        <v>69</v>
      </c>
      <c r="P437" s="6">
        <v>44294.40186342593</v>
      </c>
      <c r="Q437" s="4">
        <v>16738.0</v>
      </c>
      <c r="R437" s="4"/>
      <c r="S437" s="4"/>
      <c r="T437" s="4"/>
      <c r="U437" s="7"/>
      <c r="V437" s="4"/>
      <c r="W437" s="4"/>
      <c r="X437" s="4"/>
      <c r="Y437" s="4"/>
      <c r="Z437" s="4"/>
      <c r="AA437" s="5"/>
      <c r="AB437" s="5"/>
      <c r="AC437" s="5"/>
      <c r="AD437" s="5"/>
      <c r="AE437" s="5"/>
    </row>
    <row r="438">
      <c r="A438" s="4" t="s">
        <v>964</v>
      </c>
      <c r="B438" s="4"/>
      <c r="C438" s="4" t="s">
        <v>960</v>
      </c>
      <c r="D438" s="4">
        <v>49834.0</v>
      </c>
      <c r="E438" s="4"/>
      <c r="F438" s="4" t="s">
        <v>149</v>
      </c>
      <c r="G438" s="4">
        <v>699.0</v>
      </c>
      <c r="H438" s="4"/>
      <c r="I438" s="4">
        <v>699.0</v>
      </c>
      <c r="J438" s="4" t="s">
        <v>685</v>
      </c>
      <c r="K438" s="4">
        <v>9.19866769779E11</v>
      </c>
      <c r="L438" s="4" t="s">
        <v>67</v>
      </c>
      <c r="M438" s="4" t="b">
        <v>0</v>
      </c>
      <c r="N438" s="4" t="s">
        <v>68</v>
      </c>
      <c r="O438" s="4" t="s">
        <v>69</v>
      </c>
      <c r="P438" s="6">
        <v>44281.64469907407</v>
      </c>
      <c r="Q438" s="4">
        <v>16480.0</v>
      </c>
      <c r="R438" s="4"/>
      <c r="S438" s="4"/>
      <c r="T438" s="4"/>
      <c r="U438" s="7"/>
      <c r="V438" s="4"/>
      <c r="W438" s="4"/>
      <c r="X438" s="4"/>
      <c r="Y438" s="4"/>
      <c r="Z438" s="4"/>
      <c r="AA438" s="5"/>
      <c r="AB438" s="5"/>
      <c r="AC438" s="5"/>
      <c r="AD438" s="5"/>
      <c r="AE438" s="5"/>
    </row>
    <row r="439">
      <c r="A439" s="4" t="s">
        <v>965</v>
      </c>
      <c r="B439" s="4"/>
      <c r="C439" s="4" t="s">
        <v>791</v>
      </c>
      <c r="D439" s="4">
        <v>49948.0</v>
      </c>
      <c r="E439" s="4"/>
      <c r="F439" s="4" t="s">
        <v>149</v>
      </c>
      <c r="G439" s="4">
        <v>99.0</v>
      </c>
      <c r="H439" s="4"/>
      <c r="I439" s="4">
        <v>99.0</v>
      </c>
      <c r="J439" s="4" t="s">
        <v>966</v>
      </c>
      <c r="K439" s="4">
        <v>9.18826223205E11</v>
      </c>
      <c r="L439" s="4" t="s">
        <v>67</v>
      </c>
      <c r="M439" s="4" t="b">
        <v>0</v>
      </c>
      <c r="N439" s="4" t="s">
        <v>68</v>
      </c>
      <c r="O439" s="4" t="s">
        <v>69</v>
      </c>
      <c r="P439" s="6">
        <v>44281.90582175926</v>
      </c>
      <c r="Q439" s="4">
        <v>16490.0</v>
      </c>
      <c r="R439" s="4"/>
      <c r="S439" s="4"/>
      <c r="T439" s="4"/>
      <c r="U439" s="7"/>
      <c r="V439" s="4"/>
      <c r="W439" s="4"/>
      <c r="X439" s="4"/>
      <c r="Y439" s="4"/>
      <c r="Z439" s="4"/>
      <c r="AA439" s="5"/>
      <c r="AB439" s="5"/>
      <c r="AC439" s="5"/>
      <c r="AD439" s="5"/>
      <c r="AE439" s="5"/>
    </row>
    <row r="440">
      <c r="A440" s="4" t="s">
        <v>967</v>
      </c>
      <c r="B440" s="4"/>
      <c r="C440" s="4" t="s">
        <v>791</v>
      </c>
      <c r="D440" s="4">
        <v>49948.0</v>
      </c>
      <c r="E440" s="4"/>
      <c r="F440" s="4" t="s">
        <v>149</v>
      </c>
      <c r="G440" s="4">
        <v>99.0</v>
      </c>
      <c r="H440" s="4"/>
      <c r="I440" s="4">
        <v>99.0</v>
      </c>
      <c r="J440" s="4" t="s">
        <v>968</v>
      </c>
      <c r="K440" s="4">
        <v>9.17533903125E11</v>
      </c>
      <c r="L440" s="4" t="s">
        <v>67</v>
      </c>
      <c r="M440" s="4" t="b">
        <v>0</v>
      </c>
      <c r="N440" s="4" t="s">
        <v>68</v>
      </c>
      <c r="O440" s="4" t="s">
        <v>69</v>
      </c>
      <c r="P440" s="6">
        <v>44281.90665509259</v>
      </c>
      <c r="Q440" s="4">
        <v>2936.0</v>
      </c>
      <c r="R440" s="4"/>
      <c r="S440" s="4"/>
      <c r="T440" s="4"/>
      <c r="U440" s="7"/>
      <c r="V440" s="4"/>
      <c r="W440" s="4"/>
      <c r="X440" s="4"/>
      <c r="Y440" s="4"/>
      <c r="Z440" s="4"/>
      <c r="AA440" s="5"/>
      <c r="AB440" s="5"/>
      <c r="AC440" s="5"/>
      <c r="AD440" s="5"/>
      <c r="AE440" s="5"/>
    </row>
    <row r="441">
      <c r="A441" s="4" t="s">
        <v>969</v>
      </c>
      <c r="B441" s="4"/>
      <c r="C441" s="4" t="s">
        <v>858</v>
      </c>
      <c r="D441" s="4">
        <v>49958.0</v>
      </c>
      <c r="E441" s="4"/>
      <c r="F441" s="4" t="s">
        <v>149</v>
      </c>
      <c r="G441" s="4">
        <v>99.0</v>
      </c>
      <c r="H441" s="4"/>
      <c r="I441" s="4">
        <v>99.0</v>
      </c>
      <c r="J441" s="4" t="s">
        <v>970</v>
      </c>
      <c r="K441" s="4">
        <v>9.19894300078E11</v>
      </c>
      <c r="L441" s="4" t="s">
        <v>67</v>
      </c>
      <c r="M441" s="4" t="b">
        <v>0</v>
      </c>
      <c r="N441" s="4" t="s">
        <v>68</v>
      </c>
      <c r="O441" s="4" t="s">
        <v>69</v>
      </c>
      <c r="P441" s="6">
        <v>44281.966678240744</v>
      </c>
      <c r="Q441" s="4">
        <v>16493.0</v>
      </c>
      <c r="R441" s="4"/>
      <c r="S441" s="4"/>
      <c r="T441" s="4"/>
      <c r="U441" s="7"/>
      <c r="V441" s="4"/>
      <c r="W441" s="4"/>
      <c r="X441" s="4"/>
      <c r="Y441" s="4"/>
      <c r="Z441" s="4"/>
      <c r="AA441" s="5"/>
      <c r="AB441" s="5"/>
      <c r="AC441" s="5"/>
      <c r="AD441" s="5"/>
      <c r="AE441" s="5"/>
    </row>
    <row r="442">
      <c r="A442" s="4" t="s">
        <v>971</v>
      </c>
      <c r="B442" s="4"/>
      <c r="C442" s="4" t="s">
        <v>791</v>
      </c>
      <c r="D442" s="4">
        <v>49948.0</v>
      </c>
      <c r="E442" s="4"/>
      <c r="F442" s="4" t="s">
        <v>149</v>
      </c>
      <c r="G442" s="4">
        <v>99.0</v>
      </c>
      <c r="H442" s="4"/>
      <c r="I442" s="4">
        <v>99.0</v>
      </c>
      <c r="J442" s="4" t="s">
        <v>972</v>
      </c>
      <c r="K442" s="4">
        <v>9.19295856979E11</v>
      </c>
      <c r="L442" s="4" t="s">
        <v>67</v>
      </c>
      <c r="M442" s="4" t="b">
        <v>0</v>
      </c>
      <c r="N442" s="4" t="s">
        <v>68</v>
      </c>
      <c r="O442" s="4" t="s">
        <v>69</v>
      </c>
      <c r="P442" s="6">
        <v>44282.443020833336</v>
      </c>
      <c r="Q442" s="4" t="s">
        <v>83</v>
      </c>
      <c r="R442" s="4"/>
      <c r="S442" s="4"/>
      <c r="T442" s="4"/>
      <c r="U442" s="7"/>
      <c r="V442" s="4"/>
      <c r="W442" s="4"/>
      <c r="X442" s="4"/>
      <c r="Y442" s="4"/>
      <c r="Z442" s="4"/>
      <c r="AA442" s="5"/>
      <c r="AB442" s="5"/>
      <c r="AC442" s="5"/>
      <c r="AD442" s="5"/>
      <c r="AE442" s="5"/>
    </row>
    <row r="443">
      <c r="A443" s="4" t="s">
        <v>973</v>
      </c>
      <c r="B443" s="4"/>
      <c r="C443" s="4" t="s">
        <v>858</v>
      </c>
      <c r="D443" s="4">
        <v>49958.0</v>
      </c>
      <c r="E443" s="4"/>
      <c r="F443" s="4" t="s">
        <v>149</v>
      </c>
      <c r="G443" s="4">
        <v>99.0</v>
      </c>
      <c r="H443" s="4"/>
      <c r="I443" s="4">
        <v>99.0</v>
      </c>
      <c r="J443" s="4" t="s">
        <v>974</v>
      </c>
      <c r="K443" s="4">
        <v>9.18309523987E11</v>
      </c>
      <c r="L443" s="4" t="s">
        <v>67</v>
      </c>
      <c r="M443" s="4" t="b">
        <v>0</v>
      </c>
      <c r="N443" s="4" t="s">
        <v>68</v>
      </c>
      <c r="O443" s="4" t="s">
        <v>69</v>
      </c>
      <c r="P443" s="6">
        <v>44282.772835648146</v>
      </c>
      <c r="Q443" s="4">
        <v>16514.0</v>
      </c>
      <c r="R443" s="4"/>
      <c r="S443" s="4"/>
      <c r="T443" s="4"/>
      <c r="U443" s="7"/>
      <c r="V443" s="4"/>
      <c r="W443" s="4"/>
      <c r="X443" s="4"/>
      <c r="Y443" s="4"/>
      <c r="Z443" s="4"/>
      <c r="AA443" s="5"/>
      <c r="AB443" s="5"/>
      <c r="AC443" s="5"/>
      <c r="AD443" s="5"/>
      <c r="AE443" s="5"/>
    </row>
    <row r="444">
      <c r="A444" s="4" t="s">
        <v>975</v>
      </c>
      <c r="B444" s="4"/>
      <c r="C444" s="4" t="s">
        <v>791</v>
      </c>
      <c r="D444" s="4">
        <v>49948.0</v>
      </c>
      <c r="E444" s="4"/>
      <c r="F444" s="4" t="s">
        <v>149</v>
      </c>
      <c r="G444" s="4">
        <v>99.0</v>
      </c>
      <c r="H444" s="4"/>
      <c r="I444" s="4">
        <v>99.0</v>
      </c>
      <c r="J444" s="4" t="s">
        <v>976</v>
      </c>
      <c r="K444" s="4">
        <v>9.19087000401E11</v>
      </c>
      <c r="L444" s="4" t="s">
        <v>67</v>
      </c>
      <c r="M444" s="4" t="b">
        <v>0</v>
      </c>
      <c r="N444" s="4" t="s">
        <v>68</v>
      </c>
      <c r="O444" s="4" t="s">
        <v>69</v>
      </c>
      <c r="P444" s="6">
        <v>44284.938680555555</v>
      </c>
      <c r="Q444" s="4">
        <v>16543.0</v>
      </c>
      <c r="R444" s="4"/>
      <c r="S444" s="4"/>
      <c r="T444" s="4"/>
      <c r="U444" s="7"/>
      <c r="V444" s="4"/>
      <c r="W444" s="4"/>
      <c r="X444" s="4"/>
      <c r="Y444" s="4"/>
      <c r="Z444" s="4"/>
      <c r="AA444" s="5"/>
      <c r="AB444" s="5"/>
      <c r="AC444" s="5"/>
      <c r="AD444" s="5"/>
      <c r="AE444" s="5"/>
    </row>
    <row r="445">
      <c r="A445" s="4" t="s">
        <v>977</v>
      </c>
      <c r="B445" s="4"/>
      <c r="C445" s="4" t="s">
        <v>280</v>
      </c>
      <c r="D445" s="4">
        <v>49877.0</v>
      </c>
      <c r="E445" s="4"/>
      <c r="F445" s="4" t="s">
        <v>85</v>
      </c>
      <c r="G445" s="4">
        <v>99.0</v>
      </c>
      <c r="H445" s="4"/>
      <c r="I445" s="4">
        <v>99.0</v>
      </c>
      <c r="J445" s="4" t="s">
        <v>978</v>
      </c>
      <c r="K445" s="4">
        <v>9.19757474789E11</v>
      </c>
      <c r="L445" s="4" t="s">
        <v>67</v>
      </c>
      <c r="M445" s="4" t="b">
        <v>0</v>
      </c>
      <c r="N445" s="4" t="s">
        <v>68</v>
      </c>
      <c r="O445" s="4" t="s">
        <v>69</v>
      </c>
      <c r="P445" s="6">
        <v>44294.664351851854</v>
      </c>
      <c r="Q445" s="4">
        <v>16745.0</v>
      </c>
      <c r="R445" s="4"/>
      <c r="S445" s="4"/>
      <c r="T445" s="4"/>
      <c r="U445" s="7"/>
      <c r="V445" s="4"/>
      <c r="W445" s="4"/>
      <c r="X445" s="4"/>
      <c r="Y445" s="4"/>
      <c r="Z445" s="4"/>
      <c r="AA445" s="5"/>
      <c r="AB445" s="5"/>
      <c r="AC445" s="5"/>
      <c r="AD445" s="5"/>
      <c r="AE445" s="5"/>
    </row>
    <row r="446">
      <c r="A446" s="4" t="s">
        <v>979</v>
      </c>
      <c r="B446" s="4"/>
      <c r="C446" s="4" t="s">
        <v>280</v>
      </c>
      <c r="D446" s="4">
        <v>49877.0</v>
      </c>
      <c r="E446" s="4"/>
      <c r="F446" s="4" t="s">
        <v>85</v>
      </c>
      <c r="G446" s="4">
        <v>99.0</v>
      </c>
      <c r="H446" s="4"/>
      <c r="I446" s="4">
        <v>99.0</v>
      </c>
      <c r="J446" s="4" t="s">
        <v>980</v>
      </c>
      <c r="K446" s="4">
        <v>9.19789303244E11</v>
      </c>
      <c r="L446" s="4" t="s">
        <v>67</v>
      </c>
      <c r="M446" s="4" t="b">
        <v>0</v>
      </c>
      <c r="N446" s="4" t="s">
        <v>97</v>
      </c>
      <c r="O446" s="4" t="s">
        <v>69</v>
      </c>
      <c r="P446" s="6">
        <v>44294.67894675926</v>
      </c>
      <c r="Q446" s="4" t="s">
        <v>83</v>
      </c>
      <c r="R446" s="4"/>
      <c r="S446" s="4"/>
      <c r="T446" s="4"/>
      <c r="U446" s="7"/>
      <c r="V446" s="4"/>
      <c r="W446" s="4"/>
      <c r="X446" s="4"/>
      <c r="Y446" s="4"/>
      <c r="Z446" s="4"/>
      <c r="AA446" s="5"/>
      <c r="AB446" s="5"/>
      <c r="AC446" s="5"/>
      <c r="AD446" s="5"/>
      <c r="AE446" s="5"/>
    </row>
    <row r="447">
      <c r="A447" s="4" t="s">
        <v>981</v>
      </c>
      <c r="B447" s="4"/>
      <c r="C447" s="4" t="s">
        <v>791</v>
      </c>
      <c r="D447" s="4">
        <v>49948.0</v>
      </c>
      <c r="E447" s="4"/>
      <c r="F447" s="4" t="s">
        <v>149</v>
      </c>
      <c r="G447" s="4">
        <v>99.0</v>
      </c>
      <c r="H447" s="4"/>
      <c r="I447" s="4">
        <v>99.0</v>
      </c>
      <c r="J447" s="4" t="s">
        <v>982</v>
      </c>
      <c r="K447" s="4">
        <v>9.18447664324E11</v>
      </c>
      <c r="L447" s="4" t="s">
        <v>67</v>
      </c>
      <c r="M447" s="4" t="b">
        <v>0</v>
      </c>
      <c r="N447" s="4" t="s">
        <v>68</v>
      </c>
      <c r="O447" s="4" t="s">
        <v>69</v>
      </c>
      <c r="P447" s="6">
        <v>44286.48616898148</v>
      </c>
      <c r="Q447" s="4">
        <v>16575.0</v>
      </c>
      <c r="R447" s="4"/>
      <c r="S447" s="4"/>
      <c r="T447" s="4"/>
      <c r="U447" s="7"/>
      <c r="V447" s="4"/>
      <c r="W447" s="4"/>
      <c r="X447" s="4"/>
      <c r="Y447" s="4"/>
      <c r="Z447" s="4"/>
      <c r="AA447" s="5"/>
      <c r="AB447" s="5"/>
      <c r="AC447" s="5"/>
      <c r="AD447" s="5"/>
      <c r="AE447" s="5"/>
    </row>
    <row r="448">
      <c r="A448" s="4" t="s">
        <v>983</v>
      </c>
      <c r="B448" s="4"/>
      <c r="C448" s="4" t="s">
        <v>791</v>
      </c>
      <c r="D448" s="4">
        <v>49948.0</v>
      </c>
      <c r="E448" s="4"/>
      <c r="F448" s="4" t="s">
        <v>149</v>
      </c>
      <c r="G448" s="4">
        <v>99.0</v>
      </c>
      <c r="H448" s="4"/>
      <c r="I448" s="4">
        <v>99.0</v>
      </c>
      <c r="J448" s="4" t="s">
        <v>984</v>
      </c>
      <c r="K448" s="4">
        <v>9.19871774415E11</v>
      </c>
      <c r="L448" s="4" t="s">
        <v>67</v>
      </c>
      <c r="M448" s="4" t="b">
        <v>0</v>
      </c>
      <c r="N448" s="4" t="s">
        <v>68</v>
      </c>
      <c r="O448" s="4" t="s">
        <v>69</v>
      </c>
      <c r="P448" s="6">
        <v>44287.760717592595</v>
      </c>
      <c r="Q448" s="4">
        <v>16806.0</v>
      </c>
      <c r="R448" s="4"/>
      <c r="S448" s="4"/>
      <c r="T448" s="4"/>
      <c r="U448" s="7"/>
      <c r="V448" s="4"/>
      <c r="W448" s="4"/>
      <c r="X448" s="4"/>
      <c r="Y448" s="4"/>
      <c r="Z448" s="4"/>
      <c r="AA448" s="5"/>
      <c r="AB448" s="5"/>
      <c r="AC448" s="5"/>
      <c r="AD448" s="5"/>
      <c r="AE448" s="5"/>
    </row>
    <row r="449">
      <c r="A449" s="4" t="s">
        <v>985</v>
      </c>
      <c r="B449" s="4"/>
      <c r="C449" s="4" t="s">
        <v>280</v>
      </c>
      <c r="D449" s="4">
        <v>49877.0</v>
      </c>
      <c r="E449" s="4"/>
      <c r="F449" s="4" t="s">
        <v>85</v>
      </c>
      <c r="G449" s="4">
        <v>99.0</v>
      </c>
      <c r="H449" s="4"/>
      <c r="I449" s="4">
        <v>99.0</v>
      </c>
      <c r="J449" s="4" t="s">
        <v>333</v>
      </c>
      <c r="K449" s="4">
        <v>9.16009313775E11</v>
      </c>
      <c r="L449" s="4" t="s">
        <v>67</v>
      </c>
      <c r="M449" s="4" t="b">
        <v>0</v>
      </c>
      <c r="N449" s="4" t="s">
        <v>68</v>
      </c>
      <c r="O449" s="4" t="s">
        <v>69</v>
      </c>
      <c r="P449" s="6">
        <v>44294.772511574076</v>
      </c>
      <c r="Q449" s="4" t="s">
        <v>83</v>
      </c>
      <c r="R449" s="4"/>
      <c r="S449" s="4"/>
      <c r="T449" s="4"/>
      <c r="U449" s="7"/>
      <c r="V449" s="4"/>
      <c r="W449" s="4"/>
      <c r="X449" s="4"/>
      <c r="Y449" s="4"/>
      <c r="Z449" s="4"/>
      <c r="AA449" s="5"/>
      <c r="AB449" s="5"/>
      <c r="AC449" s="5"/>
      <c r="AD449" s="5"/>
      <c r="AE449" s="5"/>
    </row>
    <row r="450">
      <c r="A450" s="4" t="s">
        <v>986</v>
      </c>
      <c r="B450" s="4"/>
      <c r="C450" s="4" t="s">
        <v>791</v>
      </c>
      <c r="D450" s="4">
        <v>49948.0</v>
      </c>
      <c r="E450" s="4"/>
      <c r="F450" s="4" t="s">
        <v>149</v>
      </c>
      <c r="G450" s="4">
        <v>99.0</v>
      </c>
      <c r="H450" s="4"/>
      <c r="I450" s="4">
        <v>99.0</v>
      </c>
      <c r="J450" s="4" t="s">
        <v>987</v>
      </c>
      <c r="K450" s="4">
        <v>9.19579765697E11</v>
      </c>
      <c r="L450" s="4" t="s">
        <v>67</v>
      </c>
      <c r="M450" s="4" t="b">
        <v>0</v>
      </c>
      <c r="N450" s="4" t="s">
        <v>68</v>
      </c>
      <c r="O450" s="4" t="s">
        <v>69</v>
      </c>
      <c r="P450" s="6">
        <v>44287.899189814816</v>
      </c>
      <c r="Q450" s="4">
        <v>16599.0</v>
      </c>
      <c r="R450" s="4"/>
      <c r="S450" s="4"/>
      <c r="T450" s="4"/>
      <c r="U450" s="7"/>
      <c r="V450" s="4"/>
      <c r="W450" s="4"/>
      <c r="X450" s="4"/>
      <c r="Y450" s="4"/>
      <c r="Z450" s="4"/>
      <c r="AA450" s="5"/>
      <c r="AB450" s="5"/>
      <c r="AC450" s="5"/>
      <c r="AD450" s="5"/>
      <c r="AE450" s="5"/>
    </row>
    <row r="451">
      <c r="A451" s="4" t="s">
        <v>988</v>
      </c>
      <c r="B451" s="4"/>
      <c r="C451" s="4" t="s">
        <v>960</v>
      </c>
      <c r="D451" s="4">
        <v>49834.0</v>
      </c>
      <c r="E451" s="4"/>
      <c r="F451" s="4" t="s">
        <v>149</v>
      </c>
      <c r="G451" s="4">
        <v>699.0</v>
      </c>
      <c r="H451" s="4"/>
      <c r="I451" s="4">
        <v>699.0</v>
      </c>
      <c r="J451" s="4" t="s">
        <v>989</v>
      </c>
      <c r="K451" s="4">
        <v>9.18087651651E11</v>
      </c>
      <c r="L451" s="4" t="s">
        <v>67</v>
      </c>
      <c r="M451" s="4" t="b">
        <v>0</v>
      </c>
      <c r="N451" s="4" t="s">
        <v>151</v>
      </c>
      <c r="O451" s="4" t="s">
        <v>69</v>
      </c>
      <c r="P451" s="6">
        <v>44288.97513888889</v>
      </c>
      <c r="Q451" s="4">
        <v>16609.0</v>
      </c>
      <c r="R451" s="4"/>
      <c r="S451" s="4"/>
      <c r="T451" s="4"/>
      <c r="U451" s="7"/>
      <c r="V451" s="4"/>
      <c r="W451" s="4"/>
      <c r="X451" s="4"/>
      <c r="Y451" s="4"/>
      <c r="Z451" s="4"/>
      <c r="AA451" s="5"/>
      <c r="AB451" s="5"/>
      <c r="AC451" s="5"/>
      <c r="AD451" s="5"/>
      <c r="AE451" s="5"/>
    </row>
    <row r="452">
      <c r="A452" s="4" t="s">
        <v>990</v>
      </c>
      <c r="B452" s="4"/>
      <c r="C452" s="4" t="s">
        <v>680</v>
      </c>
      <c r="D452" s="4">
        <v>49835.0</v>
      </c>
      <c r="E452" s="4"/>
      <c r="F452" s="4" t="s">
        <v>85</v>
      </c>
      <c r="G452" s="4">
        <v>99.0</v>
      </c>
      <c r="H452" s="4"/>
      <c r="I452" s="4">
        <v>99.0</v>
      </c>
      <c r="J452" s="4" t="s">
        <v>991</v>
      </c>
      <c r="K452" s="4">
        <v>9.19951475053E11</v>
      </c>
      <c r="L452" s="4" t="s">
        <v>67</v>
      </c>
      <c r="M452" s="4" t="b">
        <v>0</v>
      </c>
      <c r="N452" s="4" t="s">
        <v>74</v>
      </c>
      <c r="O452" s="4" t="s">
        <v>69</v>
      </c>
      <c r="P452" s="6">
        <v>44278.61262731482</v>
      </c>
      <c r="Q452" s="4" t="s">
        <v>83</v>
      </c>
      <c r="R452" s="4"/>
      <c r="S452" s="4"/>
      <c r="T452" s="4"/>
      <c r="U452" s="7"/>
      <c r="V452" s="4"/>
      <c r="W452" s="4"/>
      <c r="X452" s="4"/>
      <c r="Y452" s="4"/>
      <c r="Z452" s="4"/>
      <c r="AA452" s="5"/>
      <c r="AB452" s="5"/>
      <c r="AC452" s="5"/>
      <c r="AD452" s="5"/>
      <c r="AE452" s="5"/>
    </row>
    <row r="453">
      <c r="A453" s="4" t="s">
        <v>992</v>
      </c>
      <c r="B453" s="4"/>
      <c r="C453" s="4" t="s">
        <v>280</v>
      </c>
      <c r="D453" s="4">
        <v>49877.0</v>
      </c>
      <c r="E453" s="4"/>
      <c r="F453" s="4" t="s">
        <v>85</v>
      </c>
      <c r="G453" s="4">
        <v>99.0</v>
      </c>
      <c r="H453" s="4"/>
      <c r="I453" s="4">
        <v>99.0</v>
      </c>
      <c r="J453" s="4" t="s">
        <v>993</v>
      </c>
      <c r="K453" s="4">
        <v>9.19717905588E11</v>
      </c>
      <c r="L453" s="4" t="s">
        <v>67</v>
      </c>
      <c r="M453" s="4" t="b">
        <v>0</v>
      </c>
      <c r="N453" s="4" t="s">
        <v>74</v>
      </c>
      <c r="O453" s="4" t="s">
        <v>69</v>
      </c>
      <c r="P453" s="6">
        <v>44295.14145833333</v>
      </c>
      <c r="Q453" s="4">
        <v>16793.0</v>
      </c>
      <c r="R453" s="4"/>
      <c r="S453" s="4"/>
      <c r="T453" s="4"/>
      <c r="U453" s="7"/>
      <c r="V453" s="4"/>
      <c r="W453" s="4"/>
      <c r="X453" s="4"/>
      <c r="Y453" s="4"/>
      <c r="Z453" s="4"/>
      <c r="AA453" s="5"/>
      <c r="AB453" s="5"/>
      <c r="AC453" s="5"/>
      <c r="AD453" s="5"/>
      <c r="AE453" s="5"/>
    </row>
    <row r="454">
      <c r="A454" s="4" t="s">
        <v>994</v>
      </c>
      <c r="B454" s="4"/>
      <c r="C454" s="4" t="s">
        <v>791</v>
      </c>
      <c r="D454" s="4">
        <v>49948.0</v>
      </c>
      <c r="E454" s="4"/>
      <c r="F454" s="4" t="s">
        <v>149</v>
      </c>
      <c r="G454" s="4">
        <v>99.0</v>
      </c>
      <c r="H454" s="4"/>
      <c r="I454" s="4">
        <v>99.0</v>
      </c>
      <c r="J454" s="4" t="s">
        <v>995</v>
      </c>
      <c r="K454" s="4">
        <v>9.19916823638E11</v>
      </c>
      <c r="L454" s="4" t="s">
        <v>67</v>
      </c>
      <c r="M454" s="4" t="b">
        <v>0</v>
      </c>
      <c r="N454" s="4" t="s">
        <v>68</v>
      </c>
      <c r="O454" s="4" t="s">
        <v>69</v>
      </c>
      <c r="P454" s="6">
        <v>44289.88628472222</v>
      </c>
      <c r="Q454" s="4">
        <v>16734.0</v>
      </c>
      <c r="R454" s="4"/>
      <c r="S454" s="4"/>
      <c r="T454" s="4"/>
      <c r="U454" s="7"/>
      <c r="V454" s="4"/>
      <c r="W454" s="4"/>
      <c r="X454" s="4"/>
      <c r="Y454" s="4"/>
      <c r="Z454" s="4"/>
      <c r="AA454" s="5"/>
      <c r="AB454" s="5"/>
      <c r="AC454" s="5"/>
      <c r="AD454" s="5"/>
      <c r="AE454" s="5"/>
    </row>
    <row r="455">
      <c r="A455" s="4" t="s">
        <v>996</v>
      </c>
      <c r="B455" s="4"/>
      <c r="C455" s="4" t="s">
        <v>791</v>
      </c>
      <c r="D455" s="4">
        <v>49948.0</v>
      </c>
      <c r="E455" s="4"/>
      <c r="F455" s="4" t="s">
        <v>149</v>
      </c>
      <c r="G455" s="4">
        <v>99.0</v>
      </c>
      <c r="H455" s="4"/>
      <c r="I455" s="4">
        <v>99.0</v>
      </c>
      <c r="J455" s="4" t="s">
        <v>997</v>
      </c>
      <c r="K455" s="4">
        <v>9.19949893907E11</v>
      </c>
      <c r="L455" s="4" t="s">
        <v>67</v>
      </c>
      <c r="M455" s="4" t="b">
        <v>0</v>
      </c>
      <c r="N455" s="4" t="s">
        <v>74</v>
      </c>
      <c r="O455" s="4" t="s">
        <v>69</v>
      </c>
      <c r="P455" s="6">
        <v>44290.93493055556</v>
      </c>
      <c r="Q455" s="4">
        <v>16740.0</v>
      </c>
      <c r="R455" s="4"/>
      <c r="S455" s="4"/>
      <c r="T455" s="4"/>
      <c r="U455" s="7"/>
      <c r="V455" s="4"/>
      <c r="W455" s="4"/>
      <c r="X455" s="4"/>
      <c r="Y455" s="4"/>
      <c r="Z455" s="4"/>
      <c r="AA455" s="5"/>
      <c r="AB455" s="5"/>
      <c r="AC455" s="5"/>
      <c r="AD455" s="5"/>
      <c r="AE455" s="5"/>
    </row>
    <row r="456">
      <c r="A456" s="4" t="s">
        <v>998</v>
      </c>
      <c r="B456" s="4"/>
      <c r="C456" s="4" t="s">
        <v>791</v>
      </c>
      <c r="D456" s="4">
        <v>49948.0</v>
      </c>
      <c r="E456" s="4"/>
      <c r="F456" s="4" t="s">
        <v>149</v>
      </c>
      <c r="G456" s="4">
        <v>99.0</v>
      </c>
      <c r="H456" s="4"/>
      <c r="I456" s="4">
        <v>99.0</v>
      </c>
      <c r="J456" s="4" t="s">
        <v>999</v>
      </c>
      <c r="K456" s="4">
        <v>9.17980961321E11</v>
      </c>
      <c r="L456" s="4" t="s">
        <v>67</v>
      </c>
      <c r="M456" s="4" t="b">
        <v>0</v>
      </c>
      <c r="N456" s="4" t="s">
        <v>68</v>
      </c>
      <c r="O456" s="4" t="s">
        <v>69</v>
      </c>
      <c r="P456" s="6">
        <v>44291.22408564815</v>
      </c>
      <c r="Q456" s="4">
        <v>16681.0</v>
      </c>
      <c r="R456" s="4"/>
      <c r="S456" s="4"/>
      <c r="T456" s="4"/>
      <c r="U456" s="7"/>
      <c r="V456" s="4"/>
      <c r="W456" s="4"/>
      <c r="X456" s="4"/>
      <c r="Y456" s="4"/>
      <c r="Z456" s="4"/>
      <c r="AA456" s="5"/>
      <c r="AB456" s="5"/>
      <c r="AC456" s="5"/>
      <c r="AD456" s="5"/>
      <c r="AE456" s="5"/>
    </row>
    <row r="457">
      <c r="A457" s="4" t="s">
        <v>1000</v>
      </c>
      <c r="B457" s="4"/>
      <c r="C457" s="4" t="s">
        <v>858</v>
      </c>
      <c r="D457" s="4">
        <v>49958.0</v>
      </c>
      <c r="E457" s="4"/>
      <c r="F457" s="4" t="s">
        <v>149</v>
      </c>
      <c r="G457" s="4">
        <v>99.0</v>
      </c>
      <c r="H457" s="4"/>
      <c r="I457" s="4">
        <v>99.0</v>
      </c>
      <c r="J457" s="4" t="s">
        <v>1001</v>
      </c>
      <c r="K457" s="4">
        <v>9.1990141395E11</v>
      </c>
      <c r="L457" s="4" t="s">
        <v>67</v>
      </c>
      <c r="M457" s="4" t="b">
        <v>0</v>
      </c>
      <c r="N457" s="4" t="s">
        <v>68</v>
      </c>
      <c r="O457" s="4" t="s">
        <v>69</v>
      </c>
      <c r="P457" s="6">
        <v>44291.63122685185</v>
      </c>
      <c r="Q457" s="4">
        <v>16712.0</v>
      </c>
      <c r="R457" s="4"/>
      <c r="S457" s="4"/>
      <c r="T457" s="4"/>
      <c r="U457" s="7"/>
      <c r="V457" s="4"/>
      <c r="W457" s="4"/>
      <c r="X457" s="4"/>
      <c r="Y457" s="4"/>
      <c r="Z457" s="4"/>
      <c r="AA457" s="5"/>
      <c r="AB457" s="5"/>
      <c r="AC457" s="5"/>
      <c r="AD457" s="5"/>
      <c r="AE457" s="5"/>
    </row>
    <row r="458">
      <c r="A458" s="4" t="s">
        <v>1002</v>
      </c>
      <c r="B458" s="4"/>
      <c r="C458" s="4" t="s">
        <v>280</v>
      </c>
      <c r="D458" s="4">
        <v>49877.0</v>
      </c>
      <c r="E458" s="4"/>
      <c r="F458" s="4" t="s">
        <v>85</v>
      </c>
      <c r="G458" s="4">
        <v>99.0</v>
      </c>
      <c r="H458" s="4"/>
      <c r="I458" s="4">
        <v>99.0</v>
      </c>
      <c r="J458" s="4" t="s">
        <v>1003</v>
      </c>
      <c r="K458" s="4">
        <v>9.17208044702E11</v>
      </c>
      <c r="L458" s="4" t="s">
        <v>67</v>
      </c>
      <c r="M458" s="4" t="b">
        <v>0</v>
      </c>
      <c r="N458" s="4" t="s">
        <v>68</v>
      </c>
      <c r="O458" s="4" t="s">
        <v>69</v>
      </c>
      <c r="P458" s="6">
        <v>44295.509675925925</v>
      </c>
      <c r="Q458" s="4" t="s">
        <v>83</v>
      </c>
      <c r="R458" s="4"/>
      <c r="S458" s="4"/>
      <c r="T458" s="4"/>
      <c r="U458" s="7"/>
      <c r="V458" s="4"/>
      <c r="W458" s="4"/>
      <c r="X458" s="4"/>
      <c r="Y458" s="4"/>
      <c r="Z458" s="4"/>
      <c r="AA458" s="5"/>
      <c r="AB458" s="5"/>
      <c r="AC458" s="5"/>
      <c r="AD458" s="5"/>
      <c r="AE458" s="5"/>
    </row>
    <row r="459">
      <c r="A459" s="4" t="s">
        <v>1004</v>
      </c>
      <c r="B459" s="4"/>
      <c r="C459" s="4" t="s">
        <v>280</v>
      </c>
      <c r="D459" s="4">
        <v>49877.0</v>
      </c>
      <c r="E459" s="4"/>
      <c r="F459" s="4" t="s">
        <v>85</v>
      </c>
      <c r="G459" s="4">
        <v>99.0</v>
      </c>
      <c r="H459" s="4"/>
      <c r="I459" s="4">
        <v>99.0</v>
      </c>
      <c r="J459" s="4" t="s">
        <v>1005</v>
      </c>
      <c r="K459" s="4">
        <v>9.16001418651E11</v>
      </c>
      <c r="L459" s="4" t="s">
        <v>67</v>
      </c>
      <c r="M459" s="4" t="b">
        <v>0</v>
      </c>
      <c r="N459" s="4" t="s">
        <v>68</v>
      </c>
      <c r="O459" s="4" t="s">
        <v>69</v>
      </c>
      <c r="P459" s="6">
        <v>44295.54107638889</v>
      </c>
      <c r="Q459" s="4">
        <v>16757.0</v>
      </c>
      <c r="R459" s="4"/>
      <c r="S459" s="4"/>
      <c r="T459" s="4"/>
      <c r="U459" s="7"/>
      <c r="V459" s="4"/>
      <c r="W459" s="4"/>
      <c r="X459" s="4"/>
      <c r="Y459" s="4"/>
      <c r="Z459" s="4"/>
      <c r="AA459" s="5"/>
      <c r="AB459" s="5"/>
      <c r="AC459" s="5"/>
      <c r="AD459" s="5"/>
      <c r="AE459" s="5"/>
    </row>
    <row r="460">
      <c r="A460" s="4" t="s">
        <v>1006</v>
      </c>
      <c r="B460" s="4"/>
      <c r="C460" s="4" t="s">
        <v>791</v>
      </c>
      <c r="D460" s="4">
        <v>49948.0</v>
      </c>
      <c r="E460" s="4"/>
      <c r="F460" s="4" t="s">
        <v>149</v>
      </c>
      <c r="G460" s="4">
        <v>99.0</v>
      </c>
      <c r="H460" s="4"/>
      <c r="I460" s="4">
        <v>99.0</v>
      </c>
      <c r="J460" s="4" t="s">
        <v>1007</v>
      </c>
      <c r="K460" s="4">
        <v>9.18411860506E11</v>
      </c>
      <c r="L460" s="4" t="s">
        <v>67</v>
      </c>
      <c r="M460" s="4" t="b">
        <v>0</v>
      </c>
      <c r="N460" s="4" t="s">
        <v>68</v>
      </c>
      <c r="O460" s="4" t="s">
        <v>69</v>
      </c>
      <c r="P460" s="6">
        <v>44291.81760416667</v>
      </c>
      <c r="Q460" s="4" t="s">
        <v>1008</v>
      </c>
      <c r="R460" s="4"/>
      <c r="S460" s="4"/>
      <c r="T460" s="4"/>
      <c r="U460" s="7"/>
      <c r="V460" s="4"/>
      <c r="W460" s="4"/>
      <c r="X460" s="4"/>
      <c r="Y460" s="4"/>
      <c r="Z460" s="4"/>
      <c r="AA460" s="5"/>
      <c r="AB460" s="5"/>
      <c r="AC460" s="5"/>
      <c r="AD460" s="5"/>
      <c r="AE460" s="5"/>
    </row>
    <row r="461">
      <c r="A461" s="4" t="s">
        <v>1009</v>
      </c>
      <c r="B461" s="4"/>
      <c r="C461" s="4" t="s">
        <v>858</v>
      </c>
      <c r="D461" s="4">
        <v>49958.0</v>
      </c>
      <c r="E461" s="4"/>
      <c r="F461" s="4" t="s">
        <v>149</v>
      </c>
      <c r="G461" s="4">
        <v>99.0</v>
      </c>
      <c r="H461" s="4"/>
      <c r="I461" s="4">
        <v>99.0</v>
      </c>
      <c r="J461" s="4" t="s">
        <v>1010</v>
      </c>
      <c r="K461" s="4">
        <v>9.17054674592E11</v>
      </c>
      <c r="L461" s="4" t="s">
        <v>67</v>
      </c>
      <c r="M461" s="4" t="b">
        <v>0</v>
      </c>
      <c r="N461" s="4" t="s">
        <v>74</v>
      </c>
      <c r="O461" s="4" t="s">
        <v>69</v>
      </c>
      <c r="P461" s="6">
        <v>44291.85921296296</v>
      </c>
      <c r="Q461" s="4">
        <v>16676.0</v>
      </c>
      <c r="R461" s="4"/>
      <c r="S461" s="4"/>
      <c r="T461" s="4"/>
      <c r="U461" s="7"/>
      <c r="V461" s="4"/>
      <c r="W461" s="4"/>
      <c r="X461" s="4"/>
      <c r="Y461" s="4"/>
      <c r="Z461" s="4"/>
      <c r="AA461" s="5"/>
      <c r="AB461" s="5"/>
      <c r="AC461" s="5"/>
      <c r="AD461" s="5"/>
      <c r="AE461" s="5"/>
    </row>
    <row r="462">
      <c r="A462" s="4" t="s">
        <v>1011</v>
      </c>
      <c r="B462" s="4"/>
      <c r="C462" s="4" t="s">
        <v>960</v>
      </c>
      <c r="D462" s="4">
        <v>49834.0</v>
      </c>
      <c r="E462" s="4"/>
      <c r="F462" s="4" t="s">
        <v>149</v>
      </c>
      <c r="G462" s="4">
        <v>699.0</v>
      </c>
      <c r="H462" s="4"/>
      <c r="I462" s="4">
        <v>699.0</v>
      </c>
      <c r="J462" s="4" t="s">
        <v>1012</v>
      </c>
      <c r="K462" s="4">
        <v>9.17507905444E11</v>
      </c>
      <c r="L462" s="4" t="s">
        <v>67</v>
      </c>
      <c r="M462" s="4" t="b">
        <v>0</v>
      </c>
      <c r="N462" s="4" t="s">
        <v>97</v>
      </c>
      <c r="O462" s="4" t="s">
        <v>69</v>
      </c>
      <c r="P462" s="6">
        <v>44292.14880787037</v>
      </c>
      <c r="Q462" s="4">
        <v>16724.0</v>
      </c>
      <c r="R462" s="4"/>
      <c r="S462" s="4"/>
      <c r="T462" s="4"/>
      <c r="U462" s="7"/>
      <c r="V462" s="4"/>
      <c r="W462" s="4"/>
      <c r="X462" s="4"/>
      <c r="Y462" s="4"/>
      <c r="Z462" s="4"/>
      <c r="AA462" s="5"/>
      <c r="AB462" s="5"/>
      <c r="AC462" s="5"/>
      <c r="AD462" s="5"/>
      <c r="AE462" s="5"/>
    </row>
    <row r="463">
      <c r="A463" s="4" t="s">
        <v>1013</v>
      </c>
      <c r="B463" s="4"/>
      <c r="C463" s="4" t="s">
        <v>791</v>
      </c>
      <c r="D463" s="4">
        <v>49948.0</v>
      </c>
      <c r="E463" s="4"/>
      <c r="F463" s="4" t="s">
        <v>149</v>
      </c>
      <c r="G463" s="4">
        <v>99.0</v>
      </c>
      <c r="H463" s="4"/>
      <c r="I463" s="4">
        <v>99.0</v>
      </c>
      <c r="J463" s="4" t="s">
        <v>1014</v>
      </c>
      <c r="K463" s="4">
        <v>9.19031937718E11</v>
      </c>
      <c r="L463" s="4" t="s">
        <v>67</v>
      </c>
      <c r="M463" s="4" t="b">
        <v>0</v>
      </c>
      <c r="N463" s="4" t="s">
        <v>68</v>
      </c>
      <c r="O463" s="4" t="s">
        <v>69</v>
      </c>
      <c r="P463" s="6">
        <v>44292.28755787037</v>
      </c>
      <c r="Q463" s="4">
        <v>16739.0</v>
      </c>
      <c r="R463" s="4"/>
      <c r="S463" s="4"/>
      <c r="T463" s="4"/>
      <c r="U463" s="7"/>
      <c r="V463" s="4"/>
      <c r="W463" s="4"/>
      <c r="X463" s="4"/>
      <c r="Y463" s="4"/>
      <c r="Z463" s="4"/>
      <c r="AA463" s="5"/>
      <c r="AB463" s="5"/>
      <c r="AC463" s="5"/>
      <c r="AD463" s="5"/>
      <c r="AE463" s="5"/>
    </row>
    <row r="464">
      <c r="A464" s="4" t="s">
        <v>1015</v>
      </c>
      <c r="B464" s="4"/>
      <c r="C464" s="4" t="s">
        <v>1016</v>
      </c>
      <c r="D464" s="4">
        <v>49899.0</v>
      </c>
      <c r="E464" s="4"/>
      <c r="F464" s="4" t="s">
        <v>77</v>
      </c>
      <c r="G464" s="4">
        <v>249.0</v>
      </c>
      <c r="H464" s="4"/>
      <c r="I464" s="4">
        <v>249.0</v>
      </c>
      <c r="J464" s="4" t="s">
        <v>1017</v>
      </c>
      <c r="K464" s="4">
        <v>9.18334836917E11</v>
      </c>
      <c r="L464" s="4" t="s">
        <v>67</v>
      </c>
      <c r="M464" s="4" t="b">
        <v>0</v>
      </c>
      <c r="N464" s="4" t="s">
        <v>74</v>
      </c>
      <c r="O464" s="4" t="s">
        <v>69</v>
      </c>
      <c r="P464" s="6">
        <v>44295.89454861111</v>
      </c>
      <c r="Q464" s="4">
        <v>13419.0</v>
      </c>
      <c r="R464" s="4"/>
      <c r="S464" s="4"/>
      <c r="T464" s="4"/>
      <c r="U464" s="7"/>
      <c r="V464" s="4"/>
      <c r="W464" s="4"/>
      <c r="X464" s="4"/>
      <c r="Y464" s="4"/>
      <c r="Z464" s="4"/>
      <c r="AA464" s="5"/>
      <c r="AB464" s="5"/>
      <c r="AC464" s="5"/>
      <c r="AD464" s="5"/>
      <c r="AE464" s="5"/>
    </row>
    <row r="465">
      <c r="A465" s="4" t="s">
        <v>1018</v>
      </c>
      <c r="B465" s="4"/>
      <c r="C465" s="4" t="s">
        <v>858</v>
      </c>
      <c r="D465" s="4">
        <v>49958.0</v>
      </c>
      <c r="E465" s="4"/>
      <c r="F465" s="4" t="s">
        <v>149</v>
      </c>
      <c r="G465" s="4">
        <v>99.0</v>
      </c>
      <c r="H465" s="4"/>
      <c r="I465" s="4">
        <v>99.0</v>
      </c>
      <c r="J465" s="4" t="s">
        <v>1019</v>
      </c>
      <c r="K465" s="4">
        <v>9.19496824552E11</v>
      </c>
      <c r="L465" s="4" t="s">
        <v>67</v>
      </c>
      <c r="M465" s="4" t="b">
        <v>0</v>
      </c>
      <c r="N465" s="4" t="s">
        <v>68</v>
      </c>
      <c r="O465" s="4" t="s">
        <v>69</v>
      </c>
      <c r="P465" s="6">
        <v>44292.89753472222</v>
      </c>
      <c r="Q465" s="4">
        <v>16704.0</v>
      </c>
      <c r="R465" s="4"/>
      <c r="S465" s="4"/>
      <c r="T465" s="4"/>
      <c r="U465" s="7"/>
      <c r="V465" s="4"/>
      <c r="W465" s="4"/>
      <c r="X465" s="4"/>
      <c r="Y465" s="4"/>
      <c r="Z465" s="4"/>
      <c r="AA465" s="5"/>
      <c r="AB465" s="5"/>
      <c r="AC465" s="5"/>
      <c r="AD465" s="5"/>
      <c r="AE465" s="5"/>
    </row>
    <row r="466">
      <c r="A466" s="4" t="s">
        <v>1020</v>
      </c>
      <c r="B466" s="4"/>
      <c r="C466" s="4" t="s">
        <v>791</v>
      </c>
      <c r="D466" s="4">
        <v>49948.0</v>
      </c>
      <c r="E466" s="4"/>
      <c r="F466" s="4" t="s">
        <v>149</v>
      </c>
      <c r="G466" s="4">
        <v>99.0</v>
      </c>
      <c r="H466" s="4"/>
      <c r="I466" s="4">
        <v>99.0</v>
      </c>
      <c r="J466" s="4" t="s">
        <v>1021</v>
      </c>
      <c r="K466" s="4">
        <v>9.19910475789E11</v>
      </c>
      <c r="L466" s="4" t="s">
        <v>67</v>
      </c>
      <c r="M466" s="4" t="b">
        <v>0</v>
      </c>
      <c r="N466" s="4" t="s">
        <v>68</v>
      </c>
      <c r="O466" s="4" t="s">
        <v>69</v>
      </c>
      <c r="P466" s="6">
        <v>44292.90012731482</v>
      </c>
      <c r="Q466" s="4">
        <v>16737.0</v>
      </c>
      <c r="R466" s="4"/>
      <c r="S466" s="4"/>
      <c r="T466" s="4"/>
      <c r="U466" s="7"/>
      <c r="V466" s="4"/>
      <c r="W466" s="4"/>
      <c r="X466" s="4"/>
      <c r="Y466" s="4"/>
      <c r="Z466" s="4"/>
      <c r="AA466" s="5"/>
      <c r="AB466" s="5"/>
      <c r="AC466" s="5"/>
      <c r="AD466" s="5"/>
      <c r="AE466" s="5"/>
    </row>
    <row r="467">
      <c r="A467" s="4" t="s">
        <v>1022</v>
      </c>
      <c r="B467" s="4"/>
      <c r="C467" s="4" t="s">
        <v>280</v>
      </c>
      <c r="D467" s="4">
        <v>49877.0</v>
      </c>
      <c r="E467" s="4"/>
      <c r="F467" s="4" t="s">
        <v>85</v>
      </c>
      <c r="G467" s="4">
        <v>99.0</v>
      </c>
      <c r="H467" s="4"/>
      <c r="I467" s="4">
        <v>99.0</v>
      </c>
      <c r="J467" s="4" t="s">
        <v>1023</v>
      </c>
      <c r="K467" s="4">
        <v>9.19130323747E11</v>
      </c>
      <c r="L467" s="4" t="s">
        <v>67</v>
      </c>
      <c r="M467" s="4" t="b">
        <v>0</v>
      </c>
      <c r="N467" s="4" t="s">
        <v>68</v>
      </c>
      <c r="O467" s="4" t="s">
        <v>69</v>
      </c>
      <c r="P467" s="6">
        <v>44295.92209490741</v>
      </c>
      <c r="Q467" s="4">
        <v>16762.0</v>
      </c>
      <c r="R467" s="4"/>
      <c r="S467" s="4"/>
      <c r="T467" s="4"/>
      <c r="U467" s="7"/>
      <c r="V467" s="4"/>
      <c r="W467" s="4"/>
      <c r="X467" s="4"/>
      <c r="Y467" s="4"/>
      <c r="Z467" s="4"/>
      <c r="AA467" s="5"/>
      <c r="AB467" s="5"/>
      <c r="AC467" s="5"/>
      <c r="AD467" s="5"/>
      <c r="AE467" s="5"/>
    </row>
    <row r="468">
      <c r="A468" s="4" t="s">
        <v>1024</v>
      </c>
      <c r="B468" s="4"/>
      <c r="C468" s="4" t="s">
        <v>1025</v>
      </c>
      <c r="D468" s="4">
        <v>49948.0</v>
      </c>
      <c r="E468" s="4"/>
      <c r="F468" s="4" t="s">
        <v>85</v>
      </c>
      <c r="G468" s="4">
        <v>199.0</v>
      </c>
      <c r="H468" s="4"/>
      <c r="I468" s="4">
        <v>199.0</v>
      </c>
      <c r="J468" s="4" t="s">
        <v>1026</v>
      </c>
      <c r="K468" s="4">
        <v>9.17339644424E11</v>
      </c>
      <c r="L468" s="4" t="s">
        <v>67</v>
      </c>
      <c r="M468" s="4" t="b">
        <v>0</v>
      </c>
      <c r="N468" s="4" t="s">
        <v>68</v>
      </c>
      <c r="O468" s="4" t="s">
        <v>69</v>
      </c>
      <c r="P468" s="6">
        <v>44296.355787037035</v>
      </c>
      <c r="Q468" s="4">
        <v>16803.0</v>
      </c>
      <c r="R468" s="4"/>
      <c r="S468" s="4"/>
      <c r="T468" s="4"/>
      <c r="U468" s="7"/>
      <c r="V468" s="4"/>
      <c r="W468" s="4"/>
      <c r="X468" s="4"/>
      <c r="Y468" s="4"/>
      <c r="Z468" s="4"/>
      <c r="AA468" s="5"/>
      <c r="AB468" s="5"/>
      <c r="AC468" s="5"/>
      <c r="AD468" s="5"/>
      <c r="AE468" s="5"/>
    </row>
    <row r="469">
      <c r="A469" s="4" t="s">
        <v>1027</v>
      </c>
      <c r="B469" s="4"/>
      <c r="C469" s="4" t="s">
        <v>280</v>
      </c>
      <c r="D469" s="4">
        <v>49877.0</v>
      </c>
      <c r="E469" s="4"/>
      <c r="F469" s="4" t="s">
        <v>85</v>
      </c>
      <c r="G469" s="4">
        <v>99.0</v>
      </c>
      <c r="H469" s="4"/>
      <c r="I469" s="4">
        <v>99.0</v>
      </c>
      <c r="J469" s="4" t="s">
        <v>1028</v>
      </c>
      <c r="K469" s="4">
        <v>9.19871998481E11</v>
      </c>
      <c r="L469" s="4" t="s">
        <v>67</v>
      </c>
      <c r="M469" s="4" t="b">
        <v>0</v>
      </c>
      <c r="N469" s="4" t="s">
        <v>68</v>
      </c>
      <c r="O469" s="4" t="s">
        <v>69</v>
      </c>
      <c r="P469" s="6">
        <v>44296.384560185186</v>
      </c>
      <c r="Q469" s="4" t="s">
        <v>83</v>
      </c>
      <c r="R469" s="4"/>
      <c r="S469" s="4"/>
      <c r="T469" s="4"/>
      <c r="U469" s="7"/>
      <c r="V469" s="4"/>
      <c r="W469" s="4"/>
      <c r="X469" s="4"/>
      <c r="Y469" s="4"/>
      <c r="Z469" s="4"/>
      <c r="AA469" s="5"/>
      <c r="AB469" s="5"/>
      <c r="AC469" s="5"/>
      <c r="AD469" s="5"/>
      <c r="AE469" s="5"/>
    </row>
    <row r="470">
      <c r="A470" s="4" t="s">
        <v>1029</v>
      </c>
      <c r="B470" s="4"/>
      <c r="C470" s="4" t="s">
        <v>184</v>
      </c>
      <c r="D470" s="4">
        <v>49833.0</v>
      </c>
      <c r="E470" s="4"/>
      <c r="F470" s="4" t="s">
        <v>85</v>
      </c>
      <c r="G470" s="4">
        <v>299.0</v>
      </c>
      <c r="H470" s="4"/>
      <c r="I470" s="4">
        <v>299.0</v>
      </c>
      <c r="J470" s="4" t="s">
        <v>1030</v>
      </c>
      <c r="K470" s="4">
        <v>9.19930208383E11</v>
      </c>
      <c r="L470" s="4" t="s">
        <v>67</v>
      </c>
      <c r="M470" s="4" t="b">
        <v>0</v>
      </c>
      <c r="N470" s="4" t="s">
        <v>68</v>
      </c>
      <c r="O470" s="4" t="s">
        <v>69</v>
      </c>
      <c r="P470" s="6">
        <v>44296.425578703704</v>
      </c>
      <c r="Q470" s="4">
        <v>16770.0</v>
      </c>
      <c r="R470" s="4"/>
      <c r="S470" s="4"/>
      <c r="T470" s="4"/>
      <c r="U470" s="7"/>
      <c r="V470" s="4"/>
      <c r="W470" s="4"/>
      <c r="X470" s="4"/>
      <c r="Y470" s="4"/>
      <c r="Z470" s="4"/>
      <c r="AA470" s="5"/>
      <c r="AB470" s="5"/>
      <c r="AC470" s="5"/>
      <c r="AD470" s="5"/>
      <c r="AE470" s="5"/>
    </row>
    <row r="471">
      <c r="A471" s="4" t="s">
        <v>1031</v>
      </c>
      <c r="B471" s="4"/>
      <c r="C471" s="4" t="s">
        <v>858</v>
      </c>
      <c r="D471" s="4">
        <v>49958.0</v>
      </c>
      <c r="E471" s="4"/>
      <c r="F471" s="4" t="s">
        <v>149</v>
      </c>
      <c r="G471" s="4">
        <v>99.0</v>
      </c>
      <c r="H471" s="4"/>
      <c r="I471" s="4">
        <v>99.0</v>
      </c>
      <c r="J471" s="4" t="s">
        <v>1032</v>
      </c>
      <c r="K471" s="4">
        <v>9.18668877436E11</v>
      </c>
      <c r="L471" s="4" t="s">
        <v>67</v>
      </c>
      <c r="M471" s="4" t="b">
        <v>0</v>
      </c>
      <c r="N471" s="4" t="s">
        <v>68</v>
      </c>
      <c r="O471" s="4" t="s">
        <v>69</v>
      </c>
      <c r="P471" s="6">
        <v>44293.68582175926</v>
      </c>
      <c r="Q471" s="4">
        <v>16727.0</v>
      </c>
      <c r="R471" s="4"/>
      <c r="S471" s="4"/>
      <c r="T471" s="4"/>
      <c r="U471" s="7"/>
      <c r="V471" s="4"/>
      <c r="W471" s="4"/>
      <c r="X471" s="4"/>
      <c r="Y471" s="4"/>
      <c r="Z471" s="4"/>
      <c r="AA471" s="5"/>
      <c r="AB471" s="5"/>
      <c r="AC471" s="5"/>
      <c r="AD471" s="5"/>
      <c r="AE471" s="5"/>
    </row>
    <row r="472">
      <c r="A472" s="4" t="s">
        <v>1033</v>
      </c>
      <c r="B472" s="4"/>
      <c r="C472" s="4" t="s">
        <v>858</v>
      </c>
      <c r="D472" s="4">
        <v>49958.0</v>
      </c>
      <c r="E472" s="4"/>
      <c r="F472" s="4" t="s">
        <v>85</v>
      </c>
      <c r="G472" s="4">
        <v>199.0</v>
      </c>
      <c r="H472" s="4"/>
      <c r="I472" s="4">
        <v>199.0</v>
      </c>
      <c r="J472" s="4" t="s">
        <v>1034</v>
      </c>
      <c r="K472" s="4">
        <v>9.19410579952E11</v>
      </c>
      <c r="L472" s="4" t="s">
        <v>67</v>
      </c>
      <c r="M472" s="4" t="b">
        <v>0</v>
      </c>
      <c r="N472" s="4" t="s">
        <v>97</v>
      </c>
      <c r="O472" s="4" t="s">
        <v>69</v>
      </c>
      <c r="P472" s="6">
        <v>44296.62023148148</v>
      </c>
      <c r="Q472" s="4">
        <v>17458.0</v>
      </c>
      <c r="R472" s="4"/>
      <c r="S472" s="4"/>
      <c r="T472" s="4"/>
      <c r="U472" s="7"/>
      <c r="V472" s="4"/>
      <c r="W472" s="4"/>
      <c r="X472" s="4"/>
      <c r="Y472" s="4"/>
      <c r="Z472" s="4"/>
      <c r="AA472" s="5"/>
      <c r="AB472" s="5"/>
      <c r="AC472" s="5"/>
      <c r="AD472" s="5"/>
      <c r="AE472" s="5"/>
    </row>
    <row r="473">
      <c r="A473" s="4" t="s">
        <v>1035</v>
      </c>
      <c r="B473" s="4"/>
      <c r="C473" s="4" t="s">
        <v>680</v>
      </c>
      <c r="D473" s="4">
        <v>49835.0</v>
      </c>
      <c r="E473" s="4"/>
      <c r="F473" s="4" t="s">
        <v>85</v>
      </c>
      <c r="G473" s="4">
        <v>99.0</v>
      </c>
      <c r="H473" s="4"/>
      <c r="I473" s="4">
        <v>99.0</v>
      </c>
      <c r="J473" s="4" t="s">
        <v>1036</v>
      </c>
      <c r="K473" s="4">
        <v>9.1961746093E11</v>
      </c>
      <c r="L473" s="4" t="s">
        <v>67</v>
      </c>
      <c r="M473" s="4" t="b">
        <v>0</v>
      </c>
      <c r="N473" s="4" t="s">
        <v>68</v>
      </c>
      <c r="O473" s="4" t="s">
        <v>69</v>
      </c>
      <c r="P473" s="6">
        <v>44278.75662037037</v>
      </c>
      <c r="Q473" s="4">
        <v>16430.0</v>
      </c>
      <c r="R473" s="4"/>
      <c r="S473" s="4"/>
      <c r="T473" s="4"/>
      <c r="U473" s="7"/>
      <c r="V473" s="4"/>
      <c r="W473" s="4"/>
      <c r="X473" s="4"/>
      <c r="Y473" s="4"/>
      <c r="Z473" s="4"/>
      <c r="AA473" s="5"/>
      <c r="AB473" s="5"/>
      <c r="AC473" s="5"/>
      <c r="AD473" s="5"/>
      <c r="AE473" s="5"/>
    </row>
    <row r="474">
      <c r="A474" s="4" t="s">
        <v>1037</v>
      </c>
      <c r="B474" s="4"/>
      <c r="C474" s="4" t="s">
        <v>858</v>
      </c>
      <c r="D474" s="4">
        <v>49958.0</v>
      </c>
      <c r="E474" s="4"/>
      <c r="F474" s="4" t="s">
        <v>149</v>
      </c>
      <c r="G474" s="4">
        <v>99.0</v>
      </c>
      <c r="H474" s="4"/>
      <c r="I474" s="4">
        <v>99.0</v>
      </c>
      <c r="J474" s="4" t="s">
        <v>1038</v>
      </c>
      <c r="K474" s="4">
        <v>9.1729195179E11</v>
      </c>
      <c r="L474" s="4" t="s">
        <v>67</v>
      </c>
      <c r="M474" s="4" t="b">
        <v>0</v>
      </c>
      <c r="N474" s="4" t="s">
        <v>68</v>
      </c>
      <c r="O474" s="4" t="s">
        <v>69</v>
      </c>
      <c r="P474" s="6">
        <v>44293.91505787037</v>
      </c>
      <c r="Q474" s="4">
        <v>16735.0</v>
      </c>
      <c r="R474" s="4"/>
      <c r="S474" s="4"/>
      <c r="T474" s="4"/>
      <c r="U474" s="7"/>
      <c r="V474" s="4"/>
      <c r="W474" s="4"/>
      <c r="X474" s="4"/>
      <c r="Y474" s="4"/>
      <c r="Z474" s="4"/>
      <c r="AA474" s="5"/>
      <c r="AB474" s="5"/>
      <c r="AC474" s="5"/>
      <c r="AD474" s="5"/>
      <c r="AE474" s="5"/>
    </row>
    <row r="475">
      <c r="A475" s="4" t="s">
        <v>1039</v>
      </c>
      <c r="B475" s="4"/>
      <c r="C475" s="4" t="s">
        <v>280</v>
      </c>
      <c r="D475" s="4">
        <v>49877.0</v>
      </c>
      <c r="E475" s="4"/>
      <c r="F475" s="4" t="s">
        <v>85</v>
      </c>
      <c r="G475" s="4">
        <v>99.0</v>
      </c>
      <c r="H475" s="4"/>
      <c r="I475" s="4">
        <v>99.0</v>
      </c>
      <c r="J475" s="4" t="s">
        <v>1040</v>
      </c>
      <c r="K475" s="4">
        <v>9.19805379172E11</v>
      </c>
      <c r="L475" s="4" t="s">
        <v>67</v>
      </c>
      <c r="M475" s="4" t="b">
        <v>0</v>
      </c>
      <c r="N475" s="4" t="s">
        <v>74</v>
      </c>
      <c r="O475" s="4" t="s">
        <v>69</v>
      </c>
      <c r="P475" s="6">
        <v>44296.75460648148</v>
      </c>
      <c r="Q475" s="4" t="s">
        <v>83</v>
      </c>
      <c r="R475" s="4"/>
      <c r="S475" s="4"/>
      <c r="T475" s="4"/>
      <c r="U475" s="7"/>
      <c r="V475" s="4"/>
      <c r="W475" s="4"/>
      <c r="X475" s="4"/>
      <c r="Y475" s="4"/>
      <c r="Z475" s="4"/>
      <c r="AA475" s="5"/>
      <c r="AB475" s="5"/>
      <c r="AC475" s="5"/>
      <c r="AD475" s="5"/>
      <c r="AE475" s="5"/>
    </row>
    <row r="476">
      <c r="A476" s="4" t="s">
        <v>1041</v>
      </c>
      <c r="B476" s="4"/>
      <c r="C476" s="4" t="s">
        <v>791</v>
      </c>
      <c r="D476" s="4">
        <v>49948.0</v>
      </c>
      <c r="E476" s="4"/>
      <c r="F476" s="4" t="s">
        <v>149</v>
      </c>
      <c r="G476" s="4">
        <v>99.0</v>
      </c>
      <c r="H476" s="4"/>
      <c r="I476" s="4">
        <v>99.0</v>
      </c>
      <c r="J476" s="4" t="s">
        <v>824</v>
      </c>
      <c r="K476" s="4">
        <v>9.17042373889E11</v>
      </c>
      <c r="L476" s="4" t="s">
        <v>67</v>
      </c>
      <c r="M476" s="4" t="b">
        <v>0</v>
      </c>
      <c r="N476" s="4" t="s">
        <v>68</v>
      </c>
      <c r="O476" s="4" t="s">
        <v>69</v>
      </c>
      <c r="P476" s="6">
        <v>44294.43278935185</v>
      </c>
      <c r="Q476" s="4">
        <v>16713.0</v>
      </c>
      <c r="R476" s="4"/>
      <c r="S476" s="4"/>
      <c r="T476" s="4"/>
      <c r="U476" s="7"/>
      <c r="V476" s="4"/>
      <c r="W476" s="4"/>
      <c r="X476" s="4"/>
      <c r="Y476" s="4"/>
      <c r="Z476" s="4"/>
      <c r="AA476" s="5"/>
      <c r="AB476" s="5"/>
      <c r="AC476" s="5"/>
      <c r="AD476" s="5"/>
      <c r="AE476" s="5"/>
    </row>
    <row r="477">
      <c r="A477" s="4" t="s">
        <v>1042</v>
      </c>
      <c r="B477" s="4"/>
      <c r="C477" s="4" t="s">
        <v>791</v>
      </c>
      <c r="D477" s="4">
        <v>49948.0</v>
      </c>
      <c r="E477" s="4"/>
      <c r="F477" s="4" t="s">
        <v>149</v>
      </c>
      <c r="G477" s="4">
        <v>99.0</v>
      </c>
      <c r="H477" s="4"/>
      <c r="I477" s="4">
        <v>99.0</v>
      </c>
      <c r="J477" s="4" t="s">
        <v>1043</v>
      </c>
      <c r="K477" s="4">
        <v>9.19965090924E11</v>
      </c>
      <c r="L477" s="4" t="s">
        <v>67</v>
      </c>
      <c r="M477" s="4" t="b">
        <v>0</v>
      </c>
      <c r="N477" s="4" t="s">
        <v>68</v>
      </c>
      <c r="O477" s="4" t="s">
        <v>69</v>
      </c>
      <c r="P477" s="6">
        <v>44294.488020833334</v>
      </c>
      <c r="Q477" s="4" t="s">
        <v>83</v>
      </c>
      <c r="R477" s="4"/>
      <c r="S477" s="4"/>
      <c r="T477" s="4"/>
      <c r="U477" s="7"/>
      <c r="V477" s="4"/>
      <c r="W477" s="4"/>
      <c r="X477" s="4"/>
      <c r="Y477" s="4"/>
      <c r="Z477" s="4"/>
      <c r="AA477" s="5"/>
      <c r="AB477" s="5"/>
      <c r="AC477" s="5"/>
      <c r="AD477" s="5"/>
      <c r="AE477" s="5"/>
    </row>
    <row r="478">
      <c r="A478" s="4" t="s">
        <v>1044</v>
      </c>
      <c r="B478" s="4"/>
      <c r="C478" s="4" t="s">
        <v>791</v>
      </c>
      <c r="D478" s="4">
        <v>49948.0</v>
      </c>
      <c r="E478" s="4"/>
      <c r="F478" s="4" t="s">
        <v>149</v>
      </c>
      <c r="G478" s="4">
        <v>99.0</v>
      </c>
      <c r="H478" s="4"/>
      <c r="I478" s="4">
        <v>99.0</v>
      </c>
      <c r="J478" s="4" t="s">
        <v>1045</v>
      </c>
      <c r="K478" s="4">
        <v>9.18976355185E11</v>
      </c>
      <c r="L478" s="4" t="s">
        <v>67</v>
      </c>
      <c r="M478" s="4" t="b">
        <v>0</v>
      </c>
      <c r="N478" s="4" t="s">
        <v>74</v>
      </c>
      <c r="O478" s="4" t="s">
        <v>69</v>
      </c>
      <c r="P478" s="6">
        <v>44294.555497685185</v>
      </c>
      <c r="Q478" s="4">
        <v>16741.0</v>
      </c>
      <c r="R478" s="4"/>
      <c r="S478" s="4"/>
      <c r="T478" s="4"/>
      <c r="U478" s="7"/>
      <c r="V478" s="4"/>
      <c r="W478" s="4"/>
      <c r="X478" s="4"/>
      <c r="Y478" s="4"/>
      <c r="Z478" s="4"/>
      <c r="AA478" s="5"/>
      <c r="AB478" s="5"/>
      <c r="AC478" s="5"/>
      <c r="AD478" s="5"/>
      <c r="AE478" s="5"/>
    </row>
    <row r="479">
      <c r="A479" s="4" t="s">
        <v>1046</v>
      </c>
      <c r="B479" s="4"/>
      <c r="C479" s="4" t="s">
        <v>184</v>
      </c>
      <c r="D479" s="4">
        <v>49833.0</v>
      </c>
      <c r="E479" s="4"/>
      <c r="F479" s="4" t="s">
        <v>85</v>
      </c>
      <c r="G479" s="4">
        <v>299.0</v>
      </c>
      <c r="H479" s="4"/>
      <c r="I479" s="4">
        <v>299.0</v>
      </c>
      <c r="J479" s="4" t="s">
        <v>1047</v>
      </c>
      <c r="K479" s="4">
        <v>9.17708767012E11</v>
      </c>
      <c r="L479" s="4" t="s">
        <v>67</v>
      </c>
      <c r="M479" s="4" t="b">
        <v>0</v>
      </c>
      <c r="N479" s="4" t="s">
        <v>68</v>
      </c>
      <c r="O479" s="4" t="s">
        <v>69</v>
      </c>
      <c r="P479" s="6">
        <v>44296.927615740744</v>
      </c>
      <c r="Q479" s="4" t="s">
        <v>83</v>
      </c>
      <c r="R479" s="4"/>
      <c r="S479" s="4"/>
      <c r="T479" s="4"/>
      <c r="U479" s="7"/>
      <c r="V479" s="4"/>
      <c r="W479" s="4"/>
      <c r="X479" s="4"/>
      <c r="Y479" s="4"/>
      <c r="Z479" s="4"/>
      <c r="AA479" s="5"/>
      <c r="AB479" s="5"/>
      <c r="AC479" s="5"/>
      <c r="AD479" s="5"/>
      <c r="AE479" s="5"/>
    </row>
    <row r="480">
      <c r="A480" s="4" t="s">
        <v>1048</v>
      </c>
      <c r="B480" s="4"/>
      <c r="C480" s="4" t="s">
        <v>280</v>
      </c>
      <c r="D480" s="4">
        <v>49877.0</v>
      </c>
      <c r="E480" s="4"/>
      <c r="F480" s="4" t="s">
        <v>85</v>
      </c>
      <c r="G480" s="4">
        <v>99.0</v>
      </c>
      <c r="H480" s="4"/>
      <c r="I480" s="4">
        <v>99.0</v>
      </c>
      <c r="J480" s="4" t="s">
        <v>1049</v>
      </c>
      <c r="K480" s="4">
        <v>9.19944335899E11</v>
      </c>
      <c r="L480" s="4" t="s">
        <v>67</v>
      </c>
      <c r="M480" s="4" t="b">
        <v>0</v>
      </c>
      <c r="N480" s="4" t="s">
        <v>68</v>
      </c>
      <c r="O480" s="4" t="s">
        <v>69</v>
      </c>
      <c r="P480" s="6">
        <v>44297.03372685185</v>
      </c>
      <c r="Q480" s="4" t="s">
        <v>83</v>
      </c>
      <c r="R480" s="4"/>
      <c r="S480" s="4"/>
      <c r="T480" s="4"/>
      <c r="U480" s="7"/>
      <c r="V480" s="4"/>
      <c r="W480" s="4"/>
      <c r="X480" s="4"/>
      <c r="Y480" s="4"/>
      <c r="Z480" s="4"/>
      <c r="AA480" s="5"/>
      <c r="AB480" s="5"/>
      <c r="AC480" s="5"/>
      <c r="AD480" s="5"/>
      <c r="AE480" s="5"/>
    </row>
    <row r="481">
      <c r="A481" s="4" t="s">
        <v>1050</v>
      </c>
      <c r="B481" s="4"/>
      <c r="C481" s="4" t="s">
        <v>184</v>
      </c>
      <c r="D481" s="4">
        <v>49833.0</v>
      </c>
      <c r="E481" s="4"/>
      <c r="F481" s="4" t="s">
        <v>149</v>
      </c>
      <c r="G481" s="4">
        <v>199.0</v>
      </c>
      <c r="H481" s="4"/>
      <c r="I481" s="4">
        <v>199.0</v>
      </c>
      <c r="J481" s="4" t="s">
        <v>1051</v>
      </c>
      <c r="K481" s="4">
        <v>9.17702764774E11</v>
      </c>
      <c r="L481" s="4" t="s">
        <v>67</v>
      </c>
      <c r="M481" s="4" t="b">
        <v>0</v>
      </c>
      <c r="N481" s="4" t="s">
        <v>68</v>
      </c>
      <c r="O481" s="4" t="s">
        <v>69</v>
      </c>
      <c r="P481" s="6">
        <v>44294.630625</v>
      </c>
      <c r="Q481" s="4" t="s">
        <v>83</v>
      </c>
      <c r="R481" s="4"/>
      <c r="S481" s="4"/>
      <c r="T481" s="4"/>
      <c r="U481" s="7"/>
      <c r="V481" s="4"/>
      <c r="W481" s="4"/>
      <c r="X481" s="4"/>
      <c r="Y481" s="4"/>
      <c r="Z481" s="4"/>
      <c r="AA481" s="5"/>
      <c r="AB481" s="5"/>
      <c r="AC481" s="5"/>
      <c r="AD481" s="5"/>
      <c r="AE481" s="5"/>
    </row>
    <row r="482">
      <c r="A482" s="4" t="s">
        <v>1052</v>
      </c>
      <c r="B482" s="4"/>
      <c r="C482" s="4" t="s">
        <v>885</v>
      </c>
      <c r="D482" s="4">
        <v>49844.0</v>
      </c>
      <c r="E482" s="4"/>
      <c r="F482" s="4" t="s">
        <v>85</v>
      </c>
      <c r="G482" s="4">
        <v>299.0</v>
      </c>
      <c r="H482" s="4"/>
      <c r="I482" s="4">
        <v>299.0</v>
      </c>
      <c r="J482" s="4" t="s">
        <v>1053</v>
      </c>
      <c r="K482" s="4">
        <v>9.19798977977E11</v>
      </c>
      <c r="L482" s="4" t="s">
        <v>67</v>
      </c>
      <c r="M482" s="4" t="b">
        <v>0</v>
      </c>
      <c r="N482" s="4" t="s">
        <v>68</v>
      </c>
      <c r="O482" s="4" t="s">
        <v>69</v>
      </c>
      <c r="P482" s="6">
        <v>44297.27322916667</v>
      </c>
      <c r="Q482" s="4" t="s">
        <v>83</v>
      </c>
      <c r="R482" s="4"/>
      <c r="S482" s="4"/>
      <c r="T482" s="4"/>
      <c r="U482" s="7"/>
      <c r="V482" s="4"/>
      <c r="W482" s="4"/>
      <c r="X482" s="4"/>
      <c r="Y482" s="4"/>
      <c r="Z482" s="4"/>
      <c r="AA482" s="5"/>
      <c r="AB482" s="5"/>
      <c r="AC482" s="5"/>
      <c r="AD482" s="5"/>
      <c r="AE482" s="5"/>
    </row>
    <row r="483">
      <c r="A483" s="4" t="s">
        <v>1054</v>
      </c>
      <c r="B483" s="4"/>
      <c r="C483" s="4" t="s">
        <v>280</v>
      </c>
      <c r="D483" s="4">
        <v>49877.0</v>
      </c>
      <c r="E483" s="4"/>
      <c r="F483" s="4" t="s">
        <v>85</v>
      </c>
      <c r="G483" s="4">
        <v>99.0</v>
      </c>
      <c r="H483" s="4"/>
      <c r="I483" s="4">
        <v>99.0</v>
      </c>
      <c r="J483" s="4" t="s">
        <v>1055</v>
      </c>
      <c r="K483" s="4">
        <v>9.19637599591E11</v>
      </c>
      <c r="L483" s="4" t="s">
        <v>67</v>
      </c>
      <c r="M483" s="4" t="b">
        <v>0</v>
      </c>
      <c r="N483" s="4" t="s">
        <v>151</v>
      </c>
      <c r="O483" s="4" t="s">
        <v>69</v>
      </c>
      <c r="P483" s="6">
        <v>44297.28863425926</v>
      </c>
      <c r="Q483" s="4" t="s">
        <v>83</v>
      </c>
      <c r="R483" s="4"/>
      <c r="S483" s="4"/>
      <c r="T483" s="4"/>
      <c r="U483" s="7"/>
      <c r="V483" s="4"/>
      <c r="W483" s="4"/>
      <c r="X483" s="4"/>
      <c r="Y483" s="4"/>
      <c r="Z483" s="4"/>
      <c r="AA483" s="5"/>
      <c r="AB483" s="5"/>
      <c r="AC483" s="5"/>
      <c r="AD483" s="5"/>
      <c r="AE483" s="5"/>
    </row>
    <row r="484">
      <c r="A484" s="4" t="s">
        <v>1056</v>
      </c>
      <c r="B484" s="4"/>
      <c r="C484" s="4" t="s">
        <v>1016</v>
      </c>
      <c r="D484" s="4">
        <v>49899.0</v>
      </c>
      <c r="E484" s="4"/>
      <c r="F484" s="4" t="s">
        <v>85</v>
      </c>
      <c r="G484" s="4">
        <v>149.0</v>
      </c>
      <c r="H484" s="4"/>
      <c r="I484" s="4">
        <v>149.0</v>
      </c>
      <c r="J484" s="4" t="s">
        <v>1057</v>
      </c>
      <c r="K484" s="4">
        <v>9.19964835699E11</v>
      </c>
      <c r="L484" s="4" t="s">
        <v>67</v>
      </c>
      <c r="M484" s="4" t="b">
        <v>0</v>
      </c>
      <c r="N484" s="4" t="s">
        <v>68</v>
      </c>
      <c r="O484" s="4" t="s">
        <v>69</v>
      </c>
      <c r="P484" s="6">
        <v>44297.34627314815</v>
      </c>
      <c r="Q484" s="4">
        <v>16782.0</v>
      </c>
      <c r="R484" s="4"/>
      <c r="S484" s="4"/>
      <c r="T484" s="4"/>
      <c r="U484" s="7"/>
      <c r="V484" s="4"/>
      <c r="W484" s="4"/>
      <c r="X484" s="4"/>
      <c r="Y484" s="4"/>
      <c r="Z484" s="4"/>
      <c r="AA484" s="5"/>
      <c r="AB484" s="5"/>
      <c r="AC484" s="5"/>
      <c r="AD484" s="5"/>
      <c r="AE484" s="5"/>
    </row>
    <row r="485">
      <c r="A485" s="4" t="s">
        <v>1058</v>
      </c>
      <c r="B485" s="4"/>
      <c r="C485" s="4" t="s">
        <v>1059</v>
      </c>
      <c r="D485" s="4">
        <v>49997.0</v>
      </c>
      <c r="E485" s="4"/>
      <c r="F485" s="4" t="s">
        <v>149</v>
      </c>
      <c r="G485" s="4">
        <v>99.0</v>
      </c>
      <c r="H485" s="4"/>
      <c r="I485" s="4">
        <v>99.0</v>
      </c>
      <c r="J485" s="4" t="s">
        <v>1060</v>
      </c>
      <c r="K485" s="4">
        <v>9.19980809118E11</v>
      </c>
      <c r="L485" s="4" t="s">
        <v>67</v>
      </c>
      <c r="M485" s="4" t="b">
        <v>0</v>
      </c>
      <c r="N485" s="4" t="s">
        <v>97</v>
      </c>
      <c r="O485" s="4" t="s">
        <v>69</v>
      </c>
      <c r="P485" s="6">
        <v>44297.370208333334</v>
      </c>
      <c r="Q485" s="4" t="s">
        <v>83</v>
      </c>
      <c r="R485" s="4"/>
      <c r="S485" s="4"/>
      <c r="T485" s="4"/>
      <c r="U485" s="7"/>
      <c r="V485" s="4"/>
      <c r="W485" s="4"/>
      <c r="X485" s="4"/>
      <c r="Y485" s="4"/>
      <c r="Z485" s="4"/>
      <c r="AA485" s="5"/>
      <c r="AB485" s="5"/>
      <c r="AC485" s="5"/>
      <c r="AD485" s="5"/>
      <c r="AE485" s="5"/>
    </row>
    <row r="486">
      <c r="A486" s="4" t="s">
        <v>1061</v>
      </c>
      <c r="B486" s="4"/>
      <c r="C486" s="4" t="s">
        <v>280</v>
      </c>
      <c r="D486" s="4">
        <v>49877.0</v>
      </c>
      <c r="E486" s="4"/>
      <c r="F486" s="4" t="s">
        <v>85</v>
      </c>
      <c r="G486" s="4">
        <v>99.0</v>
      </c>
      <c r="H486" s="4"/>
      <c r="I486" s="4">
        <v>99.0</v>
      </c>
      <c r="J486" s="4" t="s">
        <v>1062</v>
      </c>
      <c r="K486" s="4">
        <v>9.19934490988E11</v>
      </c>
      <c r="L486" s="4" t="s">
        <v>67</v>
      </c>
      <c r="M486" s="4" t="b">
        <v>0</v>
      </c>
      <c r="N486" s="4" t="s">
        <v>68</v>
      </c>
      <c r="O486" s="4" t="s">
        <v>69</v>
      </c>
      <c r="P486" s="6">
        <v>44297.38707175926</v>
      </c>
      <c r="Q486" s="4" t="s">
        <v>83</v>
      </c>
      <c r="R486" s="4"/>
      <c r="S486" s="4"/>
      <c r="T486" s="4"/>
      <c r="U486" s="7"/>
      <c r="V486" s="4"/>
      <c r="W486" s="4"/>
      <c r="X486" s="4"/>
      <c r="Y486" s="4"/>
      <c r="Z486" s="4"/>
      <c r="AA486" s="5"/>
      <c r="AB486" s="5"/>
      <c r="AC486" s="5"/>
      <c r="AD486" s="5"/>
      <c r="AE486" s="5"/>
    </row>
    <row r="487">
      <c r="A487" s="4" t="s">
        <v>1063</v>
      </c>
      <c r="B487" s="4"/>
      <c r="C487" s="4" t="s">
        <v>1059</v>
      </c>
      <c r="D487" s="4">
        <v>49997.0</v>
      </c>
      <c r="E487" s="4"/>
      <c r="F487" s="4" t="s">
        <v>77</v>
      </c>
      <c r="G487" s="4">
        <v>349.0</v>
      </c>
      <c r="H487" s="4"/>
      <c r="I487" s="4">
        <v>349.0</v>
      </c>
      <c r="J487" s="4" t="s">
        <v>1064</v>
      </c>
      <c r="K487" s="4">
        <v>9.19893147563E11</v>
      </c>
      <c r="L487" s="4" t="s">
        <v>67</v>
      </c>
      <c r="M487" s="4" t="b">
        <v>0</v>
      </c>
      <c r="N487" s="4" t="s">
        <v>68</v>
      </c>
      <c r="O487" s="4" t="s">
        <v>69</v>
      </c>
      <c r="P487" s="6">
        <v>44297.49300925926</v>
      </c>
      <c r="Q487" s="4" t="s">
        <v>83</v>
      </c>
      <c r="R487" s="4"/>
      <c r="S487" s="4"/>
      <c r="T487" s="4"/>
      <c r="U487" s="8"/>
      <c r="V487" s="4"/>
      <c r="W487" s="4"/>
      <c r="X487" s="4"/>
      <c r="Y487" s="4"/>
      <c r="Z487" s="4"/>
      <c r="AA487" s="5"/>
      <c r="AB487" s="5"/>
      <c r="AC487" s="5"/>
      <c r="AD487" s="5"/>
      <c r="AE487" s="5"/>
    </row>
    <row r="488">
      <c r="A488" s="4" t="s">
        <v>1065</v>
      </c>
      <c r="B488" s="4"/>
      <c r="C488" s="4" t="s">
        <v>280</v>
      </c>
      <c r="D488" s="4">
        <v>49877.0</v>
      </c>
      <c r="E488" s="4"/>
      <c r="F488" s="4" t="s">
        <v>85</v>
      </c>
      <c r="G488" s="4">
        <v>99.0</v>
      </c>
      <c r="H488" s="4"/>
      <c r="I488" s="4">
        <v>99.0</v>
      </c>
      <c r="J488" s="4" t="s">
        <v>1066</v>
      </c>
      <c r="K488" s="4">
        <v>9.19145050291E11</v>
      </c>
      <c r="L488" s="4" t="s">
        <v>67</v>
      </c>
      <c r="M488" s="4" t="b">
        <v>0</v>
      </c>
      <c r="N488" s="4" t="s">
        <v>68</v>
      </c>
      <c r="O488" s="4" t="s">
        <v>69</v>
      </c>
      <c r="P488" s="6">
        <v>44297.52475694445</v>
      </c>
      <c r="Q488" s="4" t="s">
        <v>83</v>
      </c>
      <c r="R488" s="4"/>
      <c r="S488" s="4"/>
      <c r="T488" s="4"/>
      <c r="U488" s="7"/>
      <c r="V488" s="4"/>
      <c r="W488" s="4"/>
      <c r="X488" s="4"/>
      <c r="Y488" s="4"/>
      <c r="Z488" s="4"/>
      <c r="AA488" s="5"/>
      <c r="AB488" s="5"/>
      <c r="AC488" s="5"/>
      <c r="AD488" s="5"/>
      <c r="AE488" s="5"/>
    </row>
    <row r="489">
      <c r="A489" s="4" t="s">
        <v>1067</v>
      </c>
      <c r="B489" s="4"/>
      <c r="C489" s="4" t="s">
        <v>858</v>
      </c>
      <c r="D489" s="4">
        <v>49958.0</v>
      </c>
      <c r="E489" s="4"/>
      <c r="F489" s="4" t="s">
        <v>149</v>
      </c>
      <c r="G489" s="4">
        <v>99.0</v>
      </c>
      <c r="H489" s="4"/>
      <c r="I489" s="4">
        <v>99.0</v>
      </c>
      <c r="J489" s="4" t="s">
        <v>1068</v>
      </c>
      <c r="K489" s="4">
        <v>9.18237930412E11</v>
      </c>
      <c r="L489" s="4" t="s">
        <v>67</v>
      </c>
      <c r="M489" s="4" t="b">
        <v>0</v>
      </c>
      <c r="N489" s="4" t="s">
        <v>68</v>
      </c>
      <c r="O489" s="4" t="s">
        <v>69</v>
      </c>
      <c r="P489" s="6">
        <v>44294.651921296296</v>
      </c>
      <c r="Q489" s="4">
        <v>16746.0</v>
      </c>
      <c r="R489" s="4"/>
      <c r="S489" s="4"/>
      <c r="T489" s="4"/>
      <c r="U489" s="7"/>
      <c r="V489" s="4"/>
      <c r="W489" s="4"/>
      <c r="X489" s="4"/>
      <c r="Y489" s="4"/>
      <c r="Z489" s="4"/>
      <c r="AA489" s="5"/>
      <c r="AB489" s="5"/>
      <c r="AC489" s="5"/>
      <c r="AD489" s="5"/>
      <c r="AE489" s="5"/>
    </row>
    <row r="490">
      <c r="A490" s="4" t="s">
        <v>1069</v>
      </c>
      <c r="B490" s="4"/>
      <c r="C490" s="4" t="s">
        <v>680</v>
      </c>
      <c r="D490" s="4">
        <v>49835.0</v>
      </c>
      <c r="E490" s="4"/>
      <c r="F490" s="4" t="s">
        <v>85</v>
      </c>
      <c r="G490" s="4">
        <v>99.0</v>
      </c>
      <c r="H490" s="4"/>
      <c r="I490" s="4">
        <v>99.0</v>
      </c>
      <c r="J490" s="4" t="s">
        <v>1070</v>
      </c>
      <c r="K490" s="4">
        <v>9.189781179E11</v>
      </c>
      <c r="L490" s="4" t="s">
        <v>67</v>
      </c>
      <c r="M490" s="4" t="b">
        <v>0</v>
      </c>
      <c r="N490" s="4" t="s">
        <v>97</v>
      </c>
      <c r="O490" s="4" t="s">
        <v>69</v>
      </c>
      <c r="P490" s="6">
        <v>44278.94758101852</v>
      </c>
      <c r="Q490" s="4">
        <v>16429.0</v>
      </c>
      <c r="R490" s="4"/>
      <c r="S490" s="4"/>
      <c r="T490" s="4"/>
      <c r="U490" s="7"/>
      <c r="V490" s="4"/>
      <c r="W490" s="4"/>
      <c r="X490" s="4"/>
      <c r="Y490" s="4"/>
      <c r="Z490" s="4"/>
      <c r="AA490" s="5"/>
      <c r="AB490" s="5"/>
      <c r="AC490" s="5"/>
      <c r="AD490" s="5"/>
      <c r="AE490" s="5"/>
    </row>
    <row r="491">
      <c r="A491" s="4" t="s">
        <v>1071</v>
      </c>
      <c r="B491" s="4"/>
      <c r="C491" s="4" t="s">
        <v>680</v>
      </c>
      <c r="D491" s="4">
        <v>49835.0</v>
      </c>
      <c r="E491" s="4"/>
      <c r="F491" s="4" t="s">
        <v>85</v>
      </c>
      <c r="G491" s="4">
        <v>99.0</v>
      </c>
      <c r="H491" s="4"/>
      <c r="I491" s="4">
        <v>99.0</v>
      </c>
      <c r="J491" s="4" t="s">
        <v>1072</v>
      </c>
      <c r="K491" s="4">
        <v>9.19403050572E11</v>
      </c>
      <c r="L491" s="4" t="s">
        <v>67</v>
      </c>
      <c r="M491" s="4" t="b">
        <v>0</v>
      </c>
      <c r="N491" s="4" t="s">
        <v>68</v>
      </c>
      <c r="O491" s="4" t="s">
        <v>69</v>
      </c>
      <c r="P491" s="6">
        <v>44278.95422453704</v>
      </c>
      <c r="Q491" s="4">
        <v>16520.0</v>
      </c>
      <c r="R491" s="4"/>
      <c r="S491" s="4"/>
      <c r="T491" s="4"/>
      <c r="U491" s="7"/>
      <c r="V491" s="4"/>
      <c r="W491" s="4"/>
      <c r="X491" s="4"/>
      <c r="Y491" s="4"/>
      <c r="Z491" s="4"/>
      <c r="AA491" s="5"/>
      <c r="AB491" s="5"/>
      <c r="AC491" s="5"/>
      <c r="AD491" s="5"/>
      <c r="AE491" s="5"/>
    </row>
    <row r="492">
      <c r="A492" s="4" t="s">
        <v>1073</v>
      </c>
      <c r="B492" s="4"/>
      <c r="C492" s="4" t="s">
        <v>1016</v>
      </c>
      <c r="D492" s="4">
        <v>49899.0</v>
      </c>
      <c r="E492" s="4"/>
      <c r="F492" s="4" t="s">
        <v>85</v>
      </c>
      <c r="G492" s="4">
        <v>149.0</v>
      </c>
      <c r="H492" s="4"/>
      <c r="I492" s="4">
        <v>149.0</v>
      </c>
      <c r="J492" s="4" t="s">
        <v>1074</v>
      </c>
      <c r="K492" s="4">
        <v>9.19860474565E11</v>
      </c>
      <c r="L492" s="4" t="s">
        <v>67</v>
      </c>
      <c r="M492" s="4" t="b">
        <v>0</v>
      </c>
      <c r="N492" s="4" t="s">
        <v>68</v>
      </c>
      <c r="O492" s="4" t="s">
        <v>69</v>
      </c>
      <c r="P492" s="6">
        <v>44297.70245370371</v>
      </c>
      <c r="Q492" s="4">
        <v>16142.0</v>
      </c>
      <c r="R492" s="4"/>
      <c r="S492" s="4"/>
      <c r="T492" s="4"/>
      <c r="U492" s="7"/>
      <c r="V492" s="4"/>
      <c r="W492" s="4"/>
      <c r="X492" s="4"/>
      <c r="Y492" s="4"/>
      <c r="Z492" s="4"/>
      <c r="AA492" s="5"/>
      <c r="AB492" s="5"/>
      <c r="AC492" s="5"/>
      <c r="AD492" s="5"/>
      <c r="AE492" s="5"/>
    </row>
    <row r="493">
      <c r="A493" s="4" t="s">
        <v>1075</v>
      </c>
      <c r="B493" s="4"/>
      <c r="C493" s="4" t="s">
        <v>960</v>
      </c>
      <c r="D493" s="4">
        <v>49834.0</v>
      </c>
      <c r="E493" s="4"/>
      <c r="F493" s="4" t="s">
        <v>149</v>
      </c>
      <c r="G493" s="4">
        <v>199.0</v>
      </c>
      <c r="H493" s="4"/>
      <c r="I493" s="4">
        <v>199.0</v>
      </c>
      <c r="J493" s="4" t="s">
        <v>1076</v>
      </c>
      <c r="K493" s="4">
        <v>9.18551941847E11</v>
      </c>
      <c r="L493" s="4" t="s">
        <v>67</v>
      </c>
      <c r="M493" s="4" t="b">
        <v>0</v>
      </c>
      <c r="N493" s="4" t="s">
        <v>68</v>
      </c>
      <c r="O493" s="4" t="s">
        <v>69</v>
      </c>
      <c r="P493" s="6">
        <v>44294.96537037037</v>
      </c>
      <c r="Q493" s="4">
        <v>16790.0</v>
      </c>
      <c r="R493" s="4"/>
      <c r="S493" s="4"/>
      <c r="T493" s="4"/>
      <c r="U493" s="7"/>
      <c r="V493" s="4"/>
      <c r="W493" s="4"/>
      <c r="X493" s="4"/>
      <c r="Y493" s="4"/>
      <c r="Z493" s="4"/>
      <c r="AA493" s="5"/>
      <c r="AB493" s="5"/>
      <c r="AC493" s="5"/>
      <c r="AD493" s="5"/>
      <c r="AE493" s="5"/>
    </row>
    <row r="494">
      <c r="A494" s="4" t="s">
        <v>1077</v>
      </c>
      <c r="B494" s="4"/>
      <c r="C494" s="4" t="s">
        <v>791</v>
      </c>
      <c r="D494" s="4">
        <v>49948.0</v>
      </c>
      <c r="E494" s="4"/>
      <c r="F494" s="4" t="s">
        <v>149</v>
      </c>
      <c r="G494" s="4">
        <v>99.0</v>
      </c>
      <c r="H494" s="4"/>
      <c r="I494" s="4">
        <v>99.0</v>
      </c>
      <c r="J494" s="4" t="s">
        <v>1078</v>
      </c>
      <c r="K494" s="4">
        <v>9.19182641223E11</v>
      </c>
      <c r="L494" s="4" t="s">
        <v>67</v>
      </c>
      <c r="M494" s="4" t="b">
        <v>0</v>
      </c>
      <c r="N494" s="4" t="s">
        <v>68</v>
      </c>
      <c r="O494" s="4" t="s">
        <v>69</v>
      </c>
      <c r="P494" s="6">
        <v>44295.50958333333</v>
      </c>
      <c r="Q494" s="4">
        <v>16787.0</v>
      </c>
      <c r="R494" s="4"/>
      <c r="S494" s="4"/>
      <c r="T494" s="4"/>
      <c r="U494" s="7"/>
      <c r="V494" s="4"/>
      <c r="W494" s="4"/>
      <c r="X494" s="4"/>
      <c r="Y494" s="4"/>
      <c r="Z494" s="4"/>
      <c r="AA494" s="5"/>
      <c r="AB494" s="5"/>
      <c r="AC494" s="5"/>
      <c r="AD494" s="5"/>
      <c r="AE494" s="5"/>
    </row>
    <row r="495">
      <c r="A495" s="4" t="s">
        <v>1079</v>
      </c>
      <c r="B495" s="4"/>
      <c r="C495" s="4" t="s">
        <v>858</v>
      </c>
      <c r="D495" s="4">
        <v>49958.0</v>
      </c>
      <c r="E495" s="4"/>
      <c r="F495" s="4" t="s">
        <v>149</v>
      </c>
      <c r="G495" s="4">
        <v>99.0</v>
      </c>
      <c r="H495" s="4"/>
      <c r="I495" s="4">
        <v>99.0</v>
      </c>
      <c r="J495" s="4" t="s">
        <v>1080</v>
      </c>
      <c r="K495" s="4">
        <v>9.19654180293E11</v>
      </c>
      <c r="L495" s="4" t="s">
        <v>67</v>
      </c>
      <c r="M495" s="4" t="b">
        <v>0</v>
      </c>
      <c r="N495" s="4" t="s">
        <v>68</v>
      </c>
      <c r="O495" s="4" t="s">
        <v>69</v>
      </c>
      <c r="P495" s="6">
        <v>44295.60916666667</v>
      </c>
      <c r="Q495" s="4">
        <v>17503.0</v>
      </c>
      <c r="R495" s="4"/>
      <c r="S495" s="4"/>
      <c r="T495" s="4"/>
      <c r="U495" s="7"/>
      <c r="V495" s="4"/>
      <c r="W495" s="4"/>
      <c r="X495" s="4"/>
      <c r="Y495" s="4"/>
      <c r="Z495" s="4"/>
      <c r="AA495" s="5"/>
      <c r="AB495" s="5"/>
      <c r="AC495" s="5"/>
      <c r="AD495" s="5"/>
      <c r="AE495" s="5"/>
    </row>
    <row r="496">
      <c r="A496" s="4" t="s">
        <v>1081</v>
      </c>
      <c r="B496" s="4"/>
      <c r="C496" s="4" t="s">
        <v>1016</v>
      </c>
      <c r="D496" s="4">
        <v>49899.0</v>
      </c>
      <c r="E496" s="4"/>
      <c r="F496" s="4" t="s">
        <v>85</v>
      </c>
      <c r="G496" s="4">
        <v>149.0</v>
      </c>
      <c r="H496" s="4"/>
      <c r="I496" s="4">
        <v>149.0</v>
      </c>
      <c r="J496" s="4" t="s">
        <v>1082</v>
      </c>
      <c r="K496" s="4">
        <v>9.19602562899E11</v>
      </c>
      <c r="L496" s="4" t="s">
        <v>67</v>
      </c>
      <c r="M496" s="4" t="b">
        <v>0</v>
      </c>
      <c r="N496" s="4" t="s">
        <v>68</v>
      </c>
      <c r="O496" s="4" t="s">
        <v>69</v>
      </c>
      <c r="P496" s="6">
        <v>44297.78275462963</v>
      </c>
      <c r="Q496" s="4">
        <v>13007.0</v>
      </c>
      <c r="R496" s="4"/>
      <c r="S496" s="4"/>
      <c r="T496" s="4"/>
      <c r="U496" s="7"/>
      <c r="V496" s="4"/>
      <c r="W496" s="4"/>
      <c r="X496" s="4"/>
      <c r="Y496" s="4"/>
      <c r="Z496" s="4"/>
      <c r="AA496" s="5"/>
      <c r="AB496" s="5"/>
      <c r="AC496" s="5"/>
      <c r="AD496" s="5"/>
      <c r="AE496" s="5"/>
    </row>
    <row r="497">
      <c r="A497" s="4" t="s">
        <v>1083</v>
      </c>
      <c r="B497" s="4"/>
      <c r="C497" s="4" t="s">
        <v>680</v>
      </c>
      <c r="D497" s="4">
        <v>49835.0</v>
      </c>
      <c r="E497" s="4"/>
      <c r="F497" s="4" t="s">
        <v>85</v>
      </c>
      <c r="G497" s="4">
        <v>99.0</v>
      </c>
      <c r="H497" s="4"/>
      <c r="I497" s="4">
        <v>99.0</v>
      </c>
      <c r="J497" s="4" t="s">
        <v>1084</v>
      </c>
      <c r="K497" s="4">
        <v>9.17710862064E11</v>
      </c>
      <c r="L497" s="4" t="s">
        <v>67</v>
      </c>
      <c r="M497" s="4" t="b">
        <v>0</v>
      </c>
      <c r="N497" s="4" t="s">
        <v>68</v>
      </c>
      <c r="O497" s="4" t="s">
        <v>69</v>
      </c>
      <c r="P497" s="6">
        <v>44278.99103009259</v>
      </c>
      <c r="Q497" s="4">
        <v>16432.0</v>
      </c>
      <c r="R497" s="4"/>
      <c r="S497" s="4"/>
      <c r="T497" s="4"/>
      <c r="U497" s="7"/>
      <c r="V497" s="4"/>
      <c r="W497" s="4"/>
      <c r="X497" s="4"/>
      <c r="Y497" s="4"/>
      <c r="Z497" s="4"/>
      <c r="AA497" s="5"/>
      <c r="AB497" s="5"/>
      <c r="AC497" s="5"/>
      <c r="AD497" s="5"/>
      <c r="AE497" s="5"/>
    </row>
    <row r="498">
      <c r="A498" s="4" t="s">
        <v>1085</v>
      </c>
      <c r="B498" s="4"/>
      <c r="C498" s="4" t="s">
        <v>184</v>
      </c>
      <c r="D498" s="4">
        <v>49833.0</v>
      </c>
      <c r="E498" s="4"/>
      <c r="F498" s="4" t="s">
        <v>149</v>
      </c>
      <c r="G498" s="4">
        <v>199.0</v>
      </c>
      <c r="H498" s="4"/>
      <c r="I498" s="4">
        <v>199.0</v>
      </c>
      <c r="J498" s="4" t="s">
        <v>1086</v>
      </c>
      <c r="K498" s="4">
        <v>9.17978295558E11</v>
      </c>
      <c r="L498" s="4" t="s">
        <v>67</v>
      </c>
      <c r="M498" s="4" t="b">
        <v>0</v>
      </c>
      <c r="N498" s="4" t="s">
        <v>74</v>
      </c>
      <c r="O498" s="4" t="s">
        <v>69</v>
      </c>
      <c r="P498" s="6">
        <v>44295.91415509259</v>
      </c>
      <c r="Q498" s="4">
        <v>16810.0</v>
      </c>
      <c r="R498" s="4"/>
      <c r="S498" s="4"/>
      <c r="T498" s="4"/>
      <c r="U498" s="7"/>
      <c r="V498" s="4"/>
      <c r="W498" s="4"/>
      <c r="X498" s="4"/>
      <c r="Y498" s="4"/>
      <c r="Z498" s="4"/>
      <c r="AA498" s="5"/>
      <c r="AB498" s="5"/>
      <c r="AC498" s="5"/>
      <c r="AD498" s="5"/>
      <c r="AE498" s="5"/>
    </row>
    <row r="499">
      <c r="A499" s="4" t="s">
        <v>1087</v>
      </c>
      <c r="B499" s="4"/>
      <c r="C499" s="4" t="s">
        <v>1016</v>
      </c>
      <c r="D499" s="4">
        <v>49899.0</v>
      </c>
      <c r="E499" s="4"/>
      <c r="F499" s="4" t="s">
        <v>85</v>
      </c>
      <c r="G499" s="4">
        <v>149.0</v>
      </c>
      <c r="H499" s="4"/>
      <c r="I499" s="4">
        <v>149.0</v>
      </c>
      <c r="J499" s="4" t="s">
        <v>1088</v>
      </c>
      <c r="K499" s="4">
        <v>9.18055165881E11</v>
      </c>
      <c r="L499" s="4" t="s">
        <v>67</v>
      </c>
      <c r="M499" s="4" t="b">
        <v>0</v>
      </c>
      <c r="N499" s="4" t="s">
        <v>68</v>
      </c>
      <c r="O499" s="4" t="s">
        <v>69</v>
      </c>
      <c r="P499" s="6">
        <v>44297.83739583333</v>
      </c>
      <c r="Q499" s="4">
        <v>15594.0</v>
      </c>
      <c r="R499" s="4"/>
      <c r="S499" s="4"/>
      <c r="T499" s="4"/>
      <c r="U499" s="7"/>
      <c r="V499" s="4"/>
      <c r="W499" s="4"/>
      <c r="X499" s="4"/>
      <c r="Y499" s="4"/>
      <c r="Z499" s="4"/>
      <c r="AA499" s="5"/>
      <c r="AB499" s="5"/>
      <c r="AC499" s="5"/>
      <c r="AD499" s="5"/>
      <c r="AE499" s="5"/>
    </row>
    <row r="500">
      <c r="A500" s="4" t="s">
        <v>1089</v>
      </c>
      <c r="B500" s="4"/>
      <c r="C500" s="4" t="s">
        <v>680</v>
      </c>
      <c r="D500" s="4">
        <v>49835.0</v>
      </c>
      <c r="E500" s="4"/>
      <c r="F500" s="4" t="s">
        <v>85</v>
      </c>
      <c r="G500" s="4">
        <v>99.0</v>
      </c>
      <c r="H500" s="4"/>
      <c r="I500" s="4">
        <v>99.0</v>
      </c>
      <c r="J500" s="4" t="s">
        <v>1090</v>
      </c>
      <c r="K500" s="4">
        <v>9.19612714671E11</v>
      </c>
      <c r="L500" s="4" t="s">
        <v>67</v>
      </c>
      <c r="M500" s="4" t="b">
        <v>0</v>
      </c>
      <c r="N500" s="4" t="s">
        <v>68</v>
      </c>
      <c r="O500" s="4" t="s">
        <v>69</v>
      </c>
      <c r="P500" s="6">
        <v>44279.33886574074</v>
      </c>
      <c r="Q500" s="4">
        <v>16438.0</v>
      </c>
      <c r="R500" s="4"/>
      <c r="S500" s="4"/>
      <c r="T500" s="4"/>
      <c r="U500" s="7"/>
      <c r="V500" s="4"/>
      <c r="W500" s="4"/>
      <c r="X500" s="4"/>
      <c r="Y500" s="4"/>
      <c r="Z500" s="4"/>
      <c r="AA500" s="5"/>
      <c r="AB500" s="5"/>
      <c r="AC500" s="5"/>
      <c r="AD500" s="5"/>
      <c r="AE500" s="5"/>
    </row>
    <row r="501">
      <c r="A501" s="4" t="s">
        <v>1091</v>
      </c>
      <c r="B501" s="4"/>
      <c r="C501" s="4" t="s">
        <v>1016</v>
      </c>
      <c r="D501" s="4">
        <v>49899.0</v>
      </c>
      <c r="E501" s="4"/>
      <c r="F501" s="4" t="s">
        <v>85</v>
      </c>
      <c r="G501" s="4">
        <v>149.0</v>
      </c>
      <c r="H501" s="4"/>
      <c r="I501" s="4">
        <v>149.0</v>
      </c>
      <c r="J501" s="4" t="s">
        <v>1092</v>
      </c>
      <c r="K501" s="4">
        <v>9.19910694686E11</v>
      </c>
      <c r="L501" s="4" t="s">
        <v>67</v>
      </c>
      <c r="M501" s="4" t="b">
        <v>0</v>
      </c>
      <c r="N501" s="4" t="s">
        <v>74</v>
      </c>
      <c r="O501" s="4" t="s">
        <v>69</v>
      </c>
      <c r="P501" s="6">
        <v>44297.868425925924</v>
      </c>
      <c r="Q501" s="4">
        <v>16792.0</v>
      </c>
      <c r="R501" s="4"/>
      <c r="S501" s="4"/>
      <c r="T501" s="4"/>
      <c r="U501" s="7"/>
      <c r="V501" s="4"/>
      <c r="W501" s="4"/>
      <c r="X501" s="4"/>
      <c r="Y501" s="4"/>
      <c r="Z501" s="4"/>
      <c r="AA501" s="5"/>
      <c r="AB501" s="5"/>
      <c r="AC501" s="5"/>
      <c r="AD501" s="5"/>
      <c r="AE501" s="5"/>
    </row>
    <row r="502">
      <c r="A502" s="4" t="s">
        <v>1093</v>
      </c>
      <c r="B502" s="4"/>
      <c r="C502" s="4" t="s">
        <v>1016</v>
      </c>
      <c r="D502" s="4">
        <v>49899.0</v>
      </c>
      <c r="E502" s="4"/>
      <c r="F502" s="4" t="s">
        <v>77</v>
      </c>
      <c r="G502" s="4">
        <v>249.0</v>
      </c>
      <c r="H502" s="4"/>
      <c r="I502" s="4">
        <v>249.0</v>
      </c>
      <c r="J502" s="4" t="s">
        <v>1094</v>
      </c>
      <c r="K502" s="4">
        <v>9.19381998851E11</v>
      </c>
      <c r="L502" s="4" t="s">
        <v>67</v>
      </c>
      <c r="M502" s="4" t="b">
        <v>0</v>
      </c>
      <c r="N502" s="4" t="s">
        <v>68</v>
      </c>
      <c r="O502" s="4" t="s">
        <v>69</v>
      </c>
      <c r="P502" s="6">
        <v>44297.86981481482</v>
      </c>
      <c r="Q502" s="4">
        <v>13182.0</v>
      </c>
      <c r="R502" s="4"/>
      <c r="S502" s="4"/>
      <c r="T502" s="4"/>
      <c r="U502" s="8"/>
      <c r="V502" s="4"/>
      <c r="W502" s="4"/>
      <c r="X502" s="4"/>
      <c r="Y502" s="4"/>
      <c r="Z502" s="4"/>
      <c r="AA502" s="5"/>
      <c r="AB502" s="5"/>
      <c r="AC502" s="5"/>
      <c r="AD502" s="5"/>
      <c r="AE502" s="5"/>
    </row>
    <row r="503">
      <c r="A503" s="4" t="s">
        <v>1095</v>
      </c>
      <c r="B503" s="4"/>
      <c r="C503" s="4" t="s">
        <v>1016</v>
      </c>
      <c r="D503" s="4">
        <v>49899.0</v>
      </c>
      <c r="E503" s="4"/>
      <c r="F503" s="4" t="s">
        <v>77</v>
      </c>
      <c r="G503" s="4">
        <v>249.0</v>
      </c>
      <c r="H503" s="4"/>
      <c r="I503" s="4">
        <v>249.0</v>
      </c>
      <c r="J503" s="4" t="s">
        <v>1096</v>
      </c>
      <c r="K503" s="4">
        <v>9.18698626838E11</v>
      </c>
      <c r="L503" s="4" t="s">
        <v>67</v>
      </c>
      <c r="M503" s="4" t="b">
        <v>0</v>
      </c>
      <c r="N503" s="4" t="s">
        <v>68</v>
      </c>
      <c r="O503" s="4" t="s">
        <v>69</v>
      </c>
      <c r="P503" s="6">
        <v>44297.87695601852</v>
      </c>
      <c r="Q503" s="4">
        <v>16074.0</v>
      </c>
      <c r="R503" s="4"/>
      <c r="S503" s="4"/>
      <c r="T503" s="4"/>
      <c r="U503" s="8"/>
      <c r="V503" s="4"/>
      <c r="W503" s="4"/>
      <c r="X503" s="4"/>
      <c r="Y503" s="4"/>
      <c r="Z503" s="4"/>
      <c r="AA503" s="5"/>
      <c r="AB503" s="5"/>
      <c r="AC503" s="5"/>
      <c r="AD503" s="5"/>
      <c r="AE503" s="5"/>
    </row>
    <row r="504">
      <c r="A504" s="4" t="s">
        <v>1097</v>
      </c>
      <c r="B504" s="4"/>
      <c r="C504" s="4" t="s">
        <v>960</v>
      </c>
      <c r="D504" s="4">
        <v>49834.0</v>
      </c>
      <c r="E504" s="4"/>
      <c r="F504" s="4" t="s">
        <v>149</v>
      </c>
      <c r="G504" s="4">
        <v>99.0</v>
      </c>
      <c r="H504" s="4"/>
      <c r="I504" s="4">
        <v>99.0</v>
      </c>
      <c r="J504" s="4" t="s">
        <v>1098</v>
      </c>
      <c r="K504" s="4">
        <v>9.19823379973E11</v>
      </c>
      <c r="L504" s="4" t="s">
        <v>67</v>
      </c>
      <c r="M504" s="4" t="b">
        <v>0</v>
      </c>
      <c r="N504" s="4" t="s">
        <v>68</v>
      </c>
      <c r="O504" s="4" t="s">
        <v>69</v>
      </c>
      <c r="P504" s="6">
        <v>44296.6505787037</v>
      </c>
      <c r="Q504" s="4">
        <v>16773.0</v>
      </c>
      <c r="R504" s="4"/>
      <c r="S504" s="4"/>
      <c r="T504" s="4"/>
      <c r="U504" s="7"/>
      <c r="V504" s="4"/>
      <c r="W504" s="4"/>
      <c r="X504" s="4"/>
      <c r="Y504" s="4"/>
      <c r="Z504" s="4"/>
      <c r="AA504" s="5"/>
      <c r="AB504" s="5"/>
      <c r="AC504" s="5"/>
      <c r="AD504" s="5"/>
      <c r="AE504" s="5"/>
    </row>
    <row r="505">
      <c r="A505" s="4" t="s">
        <v>1099</v>
      </c>
      <c r="B505" s="4"/>
      <c r="C505" s="4" t="s">
        <v>960</v>
      </c>
      <c r="D505" s="4">
        <v>49834.0</v>
      </c>
      <c r="E505" s="4"/>
      <c r="F505" s="4" t="s">
        <v>149</v>
      </c>
      <c r="G505" s="4">
        <v>99.0</v>
      </c>
      <c r="H505" s="4"/>
      <c r="I505" s="4">
        <v>99.0</v>
      </c>
      <c r="J505" s="4" t="s">
        <v>1100</v>
      </c>
      <c r="K505" s="4">
        <v>9.198208606E11</v>
      </c>
      <c r="L505" s="4" t="s">
        <v>67</v>
      </c>
      <c r="M505" s="4" t="b">
        <v>0</v>
      </c>
      <c r="N505" s="4" t="s">
        <v>74</v>
      </c>
      <c r="O505" s="4" t="s">
        <v>69</v>
      </c>
      <c r="P505" s="6">
        <v>44296.87170138889</v>
      </c>
      <c r="Q505" s="4">
        <v>16777.0</v>
      </c>
      <c r="R505" s="4"/>
      <c r="S505" s="4"/>
      <c r="T505" s="4"/>
      <c r="U505" s="7"/>
      <c r="V505" s="4"/>
      <c r="W505" s="4"/>
      <c r="X505" s="4"/>
      <c r="Y505" s="4"/>
      <c r="Z505" s="4"/>
      <c r="AA505" s="5"/>
      <c r="AB505" s="5"/>
      <c r="AC505" s="5"/>
      <c r="AD505" s="5"/>
      <c r="AE505" s="5"/>
    </row>
    <row r="506">
      <c r="A506" s="4" t="s">
        <v>1101</v>
      </c>
      <c r="B506" s="4"/>
      <c r="C506" s="4" t="s">
        <v>680</v>
      </c>
      <c r="D506" s="4">
        <v>49835.0</v>
      </c>
      <c r="E506" s="4"/>
      <c r="F506" s="4" t="s">
        <v>85</v>
      </c>
      <c r="G506" s="4">
        <v>99.0</v>
      </c>
      <c r="H506" s="4"/>
      <c r="I506" s="4">
        <v>99.0</v>
      </c>
      <c r="J506" s="4" t="s">
        <v>1102</v>
      </c>
      <c r="K506" s="4">
        <v>9.19145753914E11</v>
      </c>
      <c r="L506" s="4" t="s">
        <v>67</v>
      </c>
      <c r="M506" s="4" t="b">
        <v>0</v>
      </c>
      <c r="N506" s="4" t="s">
        <v>68</v>
      </c>
      <c r="O506" s="4" t="s">
        <v>69</v>
      </c>
      <c r="P506" s="6">
        <v>44279.37396990741</v>
      </c>
      <c r="Q506" s="4" t="s">
        <v>83</v>
      </c>
      <c r="R506" s="4"/>
      <c r="S506" s="4"/>
      <c r="T506" s="4"/>
      <c r="U506" s="7"/>
      <c r="V506" s="4"/>
      <c r="W506" s="4"/>
      <c r="X506" s="4"/>
      <c r="Y506" s="4"/>
      <c r="Z506" s="4"/>
      <c r="AA506" s="5"/>
      <c r="AB506" s="5"/>
      <c r="AC506" s="5"/>
      <c r="AD506" s="5"/>
      <c r="AE506" s="5"/>
    </row>
    <row r="507">
      <c r="A507" s="4" t="s">
        <v>1103</v>
      </c>
      <c r="B507" s="4"/>
      <c r="C507" s="4" t="s">
        <v>1104</v>
      </c>
      <c r="D507" s="4">
        <v>49993.0</v>
      </c>
      <c r="E507" s="4"/>
      <c r="F507" s="4" t="s">
        <v>149</v>
      </c>
      <c r="G507" s="4">
        <v>99.0</v>
      </c>
      <c r="H507" s="4"/>
      <c r="I507" s="4">
        <v>99.0</v>
      </c>
      <c r="J507" s="4" t="s">
        <v>1105</v>
      </c>
      <c r="K507" s="4">
        <v>9.19995594286E11</v>
      </c>
      <c r="L507" s="4" t="s">
        <v>67</v>
      </c>
      <c r="M507" s="4" t="b">
        <v>0</v>
      </c>
      <c r="N507" s="4" t="s">
        <v>68</v>
      </c>
      <c r="O507" s="4" t="s">
        <v>69</v>
      </c>
      <c r="P507" s="6">
        <v>44297.27148148148</v>
      </c>
      <c r="Q507" s="4">
        <v>16775.0</v>
      </c>
      <c r="R507" s="4"/>
      <c r="S507" s="4"/>
      <c r="T507" s="4"/>
      <c r="U507" s="7"/>
      <c r="V507" s="4"/>
      <c r="W507" s="4"/>
      <c r="X507" s="4"/>
      <c r="Y507" s="4"/>
      <c r="Z507" s="4"/>
      <c r="AA507" s="5"/>
      <c r="AB507" s="5"/>
      <c r="AC507" s="5"/>
      <c r="AD507" s="5"/>
      <c r="AE507" s="5"/>
    </row>
    <row r="508">
      <c r="A508" s="4" t="s">
        <v>1106</v>
      </c>
      <c r="B508" s="4"/>
      <c r="C508" s="4" t="s">
        <v>680</v>
      </c>
      <c r="D508" s="4">
        <v>49835.0</v>
      </c>
      <c r="E508" s="4"/>
      <c r="F508" s="4" t="s">
        <v>85</v>
      </c>
      <c r="G508" s="4">
        <v>99.0</v>
      </c>
      <c r="H508" s="4"/>
      <c r="I508" s="4">
        <v>99.0</v>
      </c>
      <c r="J508" s="4" t="s">
        <v>1107</v>
      </c>
      <c r="K508" s="4">
        <v>9.19602206226E11</v>
      </c>
      <c r="L508" s="4" t="s">
        <v>67</v>
      </c>
      <c r="M508" s="4" t="b">
        <v>0</v>
      </c>
      <c r="N508" s="4" t="s">
        <v>68</v>
      </c>
      <c r="O508" s="4" t="s">
        <v>69</v>
      </c>
      <c r="P508" s="6">
        <v>44279.41670138889</v>
      </c>
      <c r="Q508" s="4">
        <v>16487.0</v>
      </c>
      <c r="R508" s="4"/>
      <c r="S508" s="4"/>
      <c r="T508" s="4"/>
      <c r="U508" s="7"/>
      <c r="V508" s="4"/>
      <c r="W508" s="4"/>
      <c r="X508" s="4"/>
      <c r="Y508" s="4"/>
      <c r="Z508" s="4"/>
      <c r="AA508" s="5"/>
      <c r="AB508" s="5"/>
      <c r="AC508" s="5"/>
      <c r="AD508" s="5"/>
      <c r="AE508" s="5"/>
    </row>
    <row r="509">
      <c r="A509" s="4" t="s">
        <v>1108</v>
      </c>
      <c r="B509" s="4"/>
      <c r="C509" s="4" t="s">
        <v>280</v>
      </c>
      <c r="D509" s="4">
        <v>49877.0</v>
      </c>
      <c r="E509" s="4"/>
      <c r="F509" s="4" t="s">
        <v>85</v>
      </c>
      <c r="G509" s="4">
        <v>99.0</v>
      </c>
      <c r="H509" s="4"/>
      <c r="I509" s="4">
        <v>99.0</v>
      </c>
      <c r="J509" s="4" t="s">
        <v>1109</v>
      </c>
      <c r="K509" s="4">
        <v>9.18247036504E11</v>
      </c>
      <c r="L509" s="4" t="s">
        <v>67</v>
      </c>
      <c r="M509" s="4" t="b">
        <v>0</v>
      </c>
      <c r="N509" s="4" t="s">
        <v>74</v>
      </c>
      <c r="O509" s="4" t="s">
        <v>69</v>
      </c>
      <c r="P509" s="6">
        <v>44297.97064814815</v>
      </c>
      <c r="Q509" s="4">
        <v>17225.0</v>
      </c>
      <c r="R509" s="4"/>
      <c r="S509" s="4"/>
      <c r="T509" s="4"/>
      <c r="U509" s="7"/>
      <c r="V509" s="4"/>
      <c r="W509" s="4"/>
      <c r="X509" s="4"/>
      <c r="Y509" s="4"/>
      <c r="Z509" s="4"/>
      <c r="AA509" s="5"/>
      <c r="AB509" s="5"/>
      <c r="AC509" s="5"/>
      <c r="AD509" s="5"/>
      <c r="AE509" s="5"/>
    </row>
    <row r="510">
      <c r="A510" s="4" t="s">
        <v>1110</v>
      </c>
      <c r="B510" s="4"/>
      <c r="C510" s="4" t="s">
        <v>1016</v>
      </c>
      <c r="D510" s="4">
        <v>49899.0</v>
      </c>
      <c r="E510" s="4"/>
      <c r="F510" s="4" t="s">
        <v>85</v>
      </c>
      <c r="G510" s="4">
        <v>149.0</v>
      </c>
      <c r="H510" s="4"/>
      <c r="I510" s="4">
        <v>149.0</v>
      </c>
      <c r="J510" s="4" t="s">
        <v>1111</v>
      </c>
      <c r="K510" s="4">
        <v>9.18763708663E11</v>
      </c>
      <c r="L510" s="4" t="s">
        <v>67</v>
      </c>
      <c r="M510" s="4" t="b">
        <v>0</v>
      </c>
      <c r="N510" s="4" t="s">
        <v>68</v>
      </c>
      <c r="O510" s="4" t="s">
        <v>69</v>
      </c>
      <c r="P510" s="6">
        <v>44297.97445601852</v>
      </c>
      <c r="Q510" s="4">
        <v>15952.0</v>
      </c>
      <c r="R510" s="4"/>
      <c r="S510" s="4"/>
      <c r="T510" s="4"/>
      <c r="U510" s="7"/>
      <c r="V510" s="4"/>
      <c r="W510" s="4"/>
      <c r="X510" s="4"/>
      <c r="Y510" s="4"/>
      <c r="Z510" s="4"/>
      <c r="AA510" s="5"/>
      <c r="AB510" s="5"/>
      <c r="AC510" s="5"/>
      <c r="AD510" s="5"/>
      <c r="AE510" s="5"/>
    </row>
    <row r="511">
      <c r="A511" s="4" t="s">
        <v>1112</v>
      </c>
      <c r="B511" s="4"/>
      <c r="C511" s="4" t="s">
        <v>960</v>
      </c>
      <c r="D511" s="4">
        <v>49834.0</v>
      </c>
      <c r="E511" s="4"/>
      <c r="F511" s="4" t="s">
        <v>149</v>
      </c>
      <c r="G511" s="4">
        <v>99.0</v>
      </c>
      <c r="H511" s="4"/>
      <c r="I511" s="4">
        <v>99.0</v>
      </c>
      <c r="J511" s="4" t="s">
        <v>1113</v>
      </c>
      <c r="K511" s="4">
        <v>9.19108908279E11</v>
      </c>
      <c r="L511" s="4" t="s">
        <v>67</v>
      </c>
      <c r="M511" s="4" t="b">
        <v>0</v>
      </c>
      <c r="N511" s="4" t="s">
        <v>68</v>
      </c>
      <c r="O511" s="4" t="s">
        <v>69</v>
      </c>
      <c r="P511" s="6">
        <v>44297.557800925926</v>
      </c>
      <c r="Q511" s="4">
        <v>16817.0</v>
      </c>
      <c r="R511" s="4"/>
      <c r="S511" s="4"/>
      <c r="T511" s="4"/>
      <c r="U511" s="7"/>
      <c r="V511" s="4"/>
      <c r="W511" s="4"/>
      <c r="X511" s="4"/>
      <c r="Y511" s="4"/>
      <c r="Z511" s="4"/>
      <c r="AA511" s="5"/>
      <c r="AB511" s="5"/>
      <c r="AC511" s="5"/>
      <c r="AD511" s="5"/>
      <c r="AE511" s="5"/>
    </row>
    <row r="512">
      <c r="A512" s="4" t="s">
        <v>1114</v>
      </c>
      <c r="B512" s="4"/>
      <c r="C512" s="4" t="s">
        <v>1016</v>
      </c>
      <c r="D512" s="4">
        <v>49899.0</v>
      </c>
      <c r="E512" s="4"/>
      <c r="F512" s="4" t="s">
        <v>85</v>
      </c>
      <c r="G512" s="4">
        <v>149.0</v>
      </c>
      <c r="H512" s="4"/>
      <c r="I512" s="4">
        <v>149.0</v>
      </c>
      <c r="J512" s="4" t="s">
        <v>1115</v>
      </c>
      <c r="K512" s="4">
        <v>9.18619025126E11</v>
      </c>
      <c r="L512" s="4" t="s">
        <v>67</v>
      </c>
      <c r="M512" s="4" t="b">
        <v>0</v>
      </c>
      <c r="N512" s="4" t="s">
        <v>74</v>
      </c>
      <c r="O512" s="4" t="s">
        <v>69</v>
      </c>
      <c r="P512" s="6">
        <v>44298.02390046296</v>
      </c>
      <c r="Q512" s="4">
        <v>16794.0</v>
      </c>
      <c r="R512" s="4"/>
      <c r="S512" s="4"/>
      <c r="T512" s="4"/>
      <c r="U512" s="7"/>
      <c r="V512" s="4"/>
      <c r="W512" s="4"/>
      <c r="X512" s="4"/>
      <c r="Y512" s="4"/>
      <c r="Z512" s="4"/>
      <c r="AA512" s="5"/>
      <c r="AB512" s="5"/>
      <c r="AC512" s="5"/>
      <c r="AD512" s="5"/>
      <c r="AE512" s="5"/>
    </row>
    <row r="513">
      <c r="A513" s="4" t="s">
        <v>1116</v>
      </c>
      <c r="B513" s="4"/>
      <c r="C513" s="4" t="s">
        <v>280</v>
      </c>
      <c r="D513" s="4">
        <v>49877.0</v>
      </c>
      <c r="E513" s="4"/>
      <c r="F513" s="4" t="s">
        <v>85</v>
      </c>
      <c r="G513" s="4">
        <v>99.0</v>
      </c>
      <c r="H513" s="4"/>
      <c r="I513" s="4">
        <v>99.0</v>
      </c>
      <c r="J513" s="4" t="s">
        <v>1117</v>
      </c>
      <c r="K513" s="4">
        <v>9.19891326328E11</v>
      </c>
      <c r="L513" s="4" t="s">
        <v>67</v>
      </c>
      <c r="M513" s="4" t="b">
        <v>0</v>
      </c>
      <c r="N513" s="4" t="s">
        <v>74</v>
      </c>
      <c r="O513" s="4" t="s">
        <v>69</v>
      </c>
      <c r="P513" s="6">
        <v>44298.030706018515</v>
      </c>
      <c r="Q513" s="4">
        <v>16801.0</v>
      </c>
      <c r="R513" s="4"/>
      <c r="S513" s="4"/>
      <c r="T513" s="4"/>
      <c r="U513" s="7"/>
      <c r="V513" s="4"/>
      <c r="W513" s="4"/>
      <c r="X513" s="4"/>
      <c r="Y513" s="4"/>
      <c r="Z513" s="4"/>
      <c r="AA513" s="5"/>
      <c r="AB513" s="5"/>
      <c r="AC513" s="5"/>
      <c r="AD513" s="5"/>
      <c r="AE513" s="5"/>
    </row>
    <row r="514">
      <c r="A514" s="4" t="s">
        <v>1118</v>
      </c>
      <c r="B514" s="4"/>
      <c r="C514" s="4" t="s">
        <v>680</v>
      </c>
      <c r="D514" s="4">
        <v>49835.0</v>
      </c>
      <c r="E514" s="4"/>
      <c r="F514" s="4" t="s">
        <v>85</v>
      </c>
      <c r="G514" s="4">
        <v>99.0</v>
      </c>
      <c r="H514" s="4"/>
      <c r="I514" s="4">
        <v>99.0</v>
      </c>
      <c r="J514" s="4" t="s">
        <v>1119</v>
      </c>
      <c r="K514" s="4">
        <v>9.18099773482E11</v>
      </c>
      <c r="L514" s="4" t="s">
        <v>67</v>
      </c>
      <c r="M514" s="4" t="b">
        <v>0</v>
      </c>
      <c r="N514" s="4" t="s">
        <v>74</v>
      </c>
      <c r="O514" s="4" t="s">
        <v>69</v>
      </c>
      <c r="P514" s="6">
        <v>44279.79226851852</v>
      </c>
      <c r="Q514" s="4">
        <v>16451.0</v>
      </c>
      <c r="R514" s="4"/>
      <c r="S514" s="4"/>
      <c r="T514" s="4"/>
      <c r="U514" s="7"/>
      <c r="V514" s="4"/>
      <c r="W514" s="4"/>
      <c r="X514" s="4"/>
      <c r="Y514" s="4"/>
      <c r="Z514" s="4"/>
      <c r="AA514" s="5"/>
      <c r="AB514" s="5"/>
      <c r="AC514" s="5"/>
      <c r="AD514" s="5"/>
      <c r="AE514" s="5"/>
    </row>
    <row r="515">
      <c r="A515" s="4" t="s">
        <v>1120</v>
      </c>
      <c r="B515" s="4"/>
      <c r="C515" s="4" t="s">
        <v>1104</v>
      </c>
      <c r="D515" s="4">
        <v>49993.0</v>
      </c>
      <c r="E515" s="4"/>
      <c r="F515" s="4" t="s">
        <v>85</v>
      </c>
      <c r="G515" s="4">
        <v>199.0</v>
      </c>
      <c r="H515" s="4"/>
      <c r="I515" s="4">
        <v>199.0</v>
      </c>
      <c r="J515" s="4" t="s">
        <v>1121</v>
      </c>
      <c r="K515" s="4">
        <v>9.19867390225E11</v>
      </c>
      <c r="L515" s="4" t="s">
        <v>67</v>
      </c>
      <c r="M515" s="4" t="b">
        <v>0</v>
      </c>
      <c r="N515" s="4" t="s">
        <v>74</v>
      </c>
      <c r="O515" s="4" t="s">
        <v>69</v>
      </c>
      <c r="P515" s="6">
        <v>44298.08210648148</v>
      </c>
      <c r="Q515" s="4" t="s">
        <v>83</v>
      </c>
      <c r="R515" s="4"/>
      <c r="S515" s="4"/>
      <c r="T515" s="4"/>
      <c r="U515" s="7"/>
      <c r="V515" s="4"/>
      <c r="W515" s="4"/>
      <c r="X515" s="4"/>
      <c r="Y515" s="4"/>
      <c r="Z515" s="4"/>
      <c r="AA515" s="5"/>
      <c r="AB515" s="5"/>
      <c r="AC515" s="5"/>
      <c r="AD515" s="5"/>
      <c r="AE515" s="5"/>
    </row>
    <row r="516">
      <c r="A516" s="4" t="s">
        <v>1122</v>
      </c>
      <c r="B516" s="4"/>
      <c r="C516" s="4" t="s">
        <v>184</v>
      </c>
      <c r="D516" s="4">
        <v>49833.0</v>
      </c>
      <c r="E516" s="4"/>
      <c r="F516" s="4" t="s">
        <v>149</v>
      </c>
      <c r="G516" s="4">
        <v>199.0</v>
      </c>
      <c r="H516" s="4"/>
      <c r="I516" s="4">
        <v>199.0</v>
      </c>
      <c r="J516" s="4" t="s">
        <v>1123</v>
      </c>
      <c r="K516" s="4">
        <v>9.18097486489E11</v>
      </c>
      <c r="L516" s="4" t="s">
        <v>67</v>
      </c>
      <c r="M516" s="4" t="b">
        <v>0</v>
      </c>
      <c r="N516" s="4" t="s">
        <v>68</v>
      </c>
      <c r="O516" s="4" t="s">
        <v>69</v>
      </c>
      <c r="P516" s="6">
        <v>44297.677708333336</v>
      </c>
      <c r="Q516" s="4" t="s">
        <v>83</v>
      </c>
      <c r="R516" s="4"/>
      <c r="S516" s="4"/>
      <c r="T516" s="4"/>
      <c r="U516" s="7"/>
      <c r="V516" s="4"/>
      <c r="W516" s="4"/>
      <c r="X516" s="4"/>
      <c r="Y516" s="4"/>
      <c r="Z516" s="4"/>
      <c r="AA516" s="5"/>
      <c r="AB516" s="5"/>
      <c r="AC516" s="5"/>
      <c r="AD516" s="5"/>
      <c r="AE516" s="5"/>
    </row>
    <row r="517">
      <c r="A517" s="4" t="s">
        <v>1124</v>
      </c>
      <c r="B517" s="4"/>
      <c r="C517" s="4" t="s">
        <v>791</v>
      </c>
      <c r="D517" s="4">
        <v>49948.0</v>
      </c>
      <c r="E517" s="4"/>
      <c r="F517" s="4" t="s">
        <v>149</v>
      </c>
      <c r="G517" s="4">
        <v>99.0</v>
      </c>
      <c r="H517" s="4"/>
      <c r="I517" s="4">
        <v>99.0</v>
      </c>
      <c r="J517" s="4" t="s">
        <v>1125</v>
      </c>
      <c r="K517" s="4">
        <v>9.17738022992E11</v>
      </c>
      <c r="L517" s="4" t="s">
        <v>67</v>
      </c>
      <c r="M517" s="4" t="b">
        <v>0</v>
      </c>
      <c r="N517" s="4" t="s">
        <v>74</v>
      </c>
      <c r="O517" s="4" t="s">
        <v>69</v>
      </c>
      <c r="P517" s="6">
        <v>44297.70979166667</v>
      </c>
      <c r="Q517" s="4">
        <v>16785.0</v>
      </c>
      <c r="R517" s="4"/>
      <c r="S517" s="4"/>
      <c r="T517" s="4"/>
      <c r="U517" s="7"/>
      <c r="V517" s="4"/>
      <c r="W517" s="4"/>
      <c r="X517" s="4"/>
      <c r="Y517" s="4"/>
      <c r="Z517" s="4"/>
      <c r="AA517" s="5"/>
      <c r="AB517" s="5"/>
      <c r="AC517" s="5"/>
      <c r="AD517" s="5"/>
      <c r="AE517" s="5"/>
    </row>
    <row r="518">
      <c r="A518" s="4" t="s">
        <v>1126</v>
      </c>
      <c r="B518" s="4"/>
      <c r="C518" s="4" t="s">
        <v>280</v>
      </c>
      <c r="D518" s="4">
        <v>49877.0</v>
      </c>
      <c r="E518" s="4"/>
      <c r="F518" s="4" t="s">
        <v>85</v>
      </c>
      <c r="G518" s="4">
        <v>99.0</v>
      </c>
      <c r="H518" s="4"/>
      <c r="I518" s="4">
        <v>99.0</v>
      </c>
      <c r="J518" s="4" t="s">
        <v>1127</v>
      </c>
      <c r="K518" s="4">
        <v>9.17975862096E11</v>
      </c>
      <c r="L518" s="4" t="s">
        <v>67</v>
      </c>
      <c r="M518" s="4" t="b">
        <v>0</v>
      </c>
      <c r="N518" s="4" t="s">
        <v>74</v>
      </c>
      <c r="O518" s="4" t="s">
        <v>69</v>
      </c>
      <c r="P518" s="6">
        <v>44298.30474537037</v>
      </c>
      <c r="Q518" s="4" t="s">
        <v>83</v>
      </c>
      <c r="R518" s="4"/>
      <c r="S518" s="4"/>
      <c r="T518" s="4"/>
      <c r="U518" s="7"/>
      <c r="V518" s="4"/>
      <c r="W518" s="4"/>
      <c r="X518" s="4"/>
      <c r="Y518" s="4"/>
      <c r="Z518" s="4"/>
      <c r="AA518" s="5"/>
      <c r="AB518" s="5"/>
      <c r="AC518" s="5"/>
      <c r="AD518" s="5"/>
      <c r="AE518" s="5"/>
    </row>
    <row r="519">
      <c r="A519" s="4" t="s">
        <v>1128</v>
      </c>
      <c r="B519" s="4"/>
      <c r="C519" s="4" t="s">
        <v>1016</v>
      </c>
      <c r="D519" s="4">
        <v>49899.0</v>
      </c>
      <c r="E519" s="4"/>
      <c r="F519" s="4" t="s">
        <v>149</v>
      </c>
      <c r="G519" s="4">
        <v>99.0</v>
      </c>
      <c r="H519" s="4"/>
      <c r="I519" s="4">
        <v>99.0</v>
      </c>
      <c r="J519" s="4" t="s">
        <v>1129</v>
      </c>
      <c r="K519" s="4">
        <v>9.1891931511E11</v>
      </c>
      <c r="L519" s="4" t="s">
        <v>67</v>
      </c>
      <c r="M519" s="4" t="b">
        <v>0</v>
      </c>
      <c r="N519" s="4" t="s">
        <v>68</v>
      </c>
      <c r="O519" s="4" t="s">
        <v>69</v>
      </c>
      <c r="P519" s="6">
        <v>44297.73106481481</v>
      </c>
      <c r="Q519" s="4">
        <v>16784.0</v>
      </c>
      <c r="R519" s="4"/>
      <c r="S519" s="4"/>
      <c r="T519" s="4"/>
      <c r="U519" s="7"/>
      <c r="V519" s="4"/>
      <c r="W519" s="4"/>
      <c r="X519" s="4"/>
      <c r="Y519" s="4"/>
      <c r="Z519" s="4"/>
      <c r="AA519" s="5"/>
      <c r="AB519" s="5"/>
      <c r="AC519" s="5"/>
      <c r="AD519" s="5"/>
      <c r="AE519" s="5"/>
    </row>
    <row r="520">
      <c r="A520" s="4" t="s">
        <v>1130</v>
      </c>
      <c r="B520" s="4"/>
      <c r="C520" s="4" t="s">
        <v>184</v>
      </c>
      <c r="D520" s="4">
        <v>49833.0</v>
      </c>
      <c r="E520" s="4"/>
      <c r="F520" s="4" t="s">
        <v>149</v>
      </c>
      <c r="G520" s="4">
        <v>199.0</v>
      </c>
      <c r="H520" s="4"/>
      <c r="I520" s="4">
        <v>199.0</v>
      </c>
      <c r="J520" s="4" t="s">
        <v>1131</v>
      </c>
      <c r="K520" s="4">
        <v>9.1992006585E11</v>
      </c>
      <c r="L520" s="4" t="s">
        <v>67</v>
      </c>
      <c r="M520" s="4" t="b">
        <v>0</v>
      </c>
      <c r="N520" s="4" t="s">
        <v>74</v>
      </c>
      <c r="O520" s="4" t="s">
        <v>69</v>
      </c>
      <c r="P520" s="6">
        <v>44297.79148148148</v>
      </c>
      <c r="Q520" s="4" t="s">
        <v>83</v>
      </c>
      <c r="R520" s="4"/>
      <c r="S520" s="4"/>
      <c r="T520" s="4"/>
      <c r="U520" s="7"/>
      <c r="V520" s="4"/>
      <c r="W520" s="4"/>
      <c r="X520" s="4"/>
      <c r="Y520" s="4"/>
      <c r="Z520" s="4"/>
      <c r="AA520" s="5"/>
      <c r="AB520" s="5"/>
      <c r="AC520" s="5"/>
      <c r="AD520" s="5"/>
      <c r="AE520" s="5"/>
    </row>
    <row r="521">
      <c r="A521" s="4" t="s">
        <v>1132</v>
      </c>
      <c r="B521" s="4"/>
      <c r="C521" s="4" t="s">
        <v>1133</v>
      </c>
      <c r="D521" s="4">
        <v>49859.0</v>
      </c>
      <c r="E521" s="4"/>
      <c r="F521" s="4" t="s">
        <v>85</v>
      </c>
      <c r="G521" s="4">
        <v>199.0</v>
      </c>
      <c r="H521" s="4"/>
      <c r="I521" s="4">
        <v>199.0</v>
      </c>
      <c r="J521" s="4" t="s">
        <v>1134</v>
      </c>
      <c r="K521" s="4">
        <v>9.19654330123E11</v>
      </c>
      <c r="L521" s="4" t="s">
        <v>67</v>
      </c>
      <c r="M521" s="4" t="b">
        <v>0</v>
      </c>
      <c r="N521" s="4" t="s">
        <v>68</v>
      </c>
      <c r="O521" s="4" t="s">
        <v>69</v>
      </c>
      <c r="P521" s="6">
        <v>44298.5105787037</v>
      </c>
      <c r="Q521" s="4">
        <v>16800.0</v>
      </c>
      <c r="R521" s="4"/>
      <c r="S521" s="4"/>
      <c r="T521" s="4"/>
      <c r="U521" s="7"/>
      <c r="V521" s="4"/>
      <c r="W521" s="4"/>
      <c r="X521" s="4"/>
      <c r="Y521" s="4"/>
      <c r="Z521" s="4"/>
      <c r="AA521" s="5"/>
      <c r="AB521" s="5"/>
      <c r="AC521" s="5"/>
      <c r="AD521" s="5"/>
      <c r="AE521" s="5"/>
    </row>
    <row r="522">
      <c r="A522" s="4" t="s">
        <v>1135</v>
      </c>
      <c r="B522" s="4"/>
      <c r="C522" s="4" t="s">
        <v>1059</v>
      </c>
      <c r="D522" s="4">
        <v>49997.0</v>
      </c>
      <c r="E522" s="4"/>
      <c r="F522" s="4" t="s">
        <v>149</v>
      </c>
      <c r="G522" s="4">
        <v>99.0</v>
      </c>
      <c r="H522" s="4"/>
      <c r="I522" s="4">
        <v>99.0</v>
      </c>
      <c r="J522" s="4" t="s">
        <v>1136</v>
      </c>
      <c r="K522" s="4">
        <v>9.17411000295E11</v>
      </c>
      <c r="L522" s="4" t="s">
        <v>67</v>
      </c>
      <c r="M522" s="4" t="b">
        <v>0</v>
      </c>
      <c r="N522" s="4" t="s">
        <v>68</v>
      </c>
      <c r="O522" s="4" t="s">
        <v>69</v>
      </c>
      <c r="P522" s="6">
        <v>44298.52625</v>
      </c>
      <c r="Q522" s="4" t="s">
        <v>83</v>
      </c>
      <c r="R522" s="4"/>
      <c r="S522" s="4"/>
      <c r="T522" s="4"/>
      <c r="U522" s="7"/>
      <c r="V522" s="4"/>
      <c r="W522" s="4"/>
      <c r="X522" s="4"/>
      <c r="Y522" s="4"/>
      <c r="Z522" s="4"/>
      <c r="AA522" s="5"/>
      <c r="AB522" s="5"/>
      <c r="AC522" s="5"/>
      <c r="AD522" s="5"/>
      <c r="AE522" s="5"/>
    </row>
    <row r="523">
      <c r="A523" s="4" t="s">
        <v>1137</v>
      </c>
      <c r="B523" s="4"/>
      <c r="C523" s="4" t="s">
        <v>1016</v>
      </c>
      <c r="D523" s="4">
        <v>49899.0</v>
      </c>
      <c r="E523" s="4"/>
      <c r="F523" s="4" t="s">
        <v>85</v>
      </c>
      <c r="G523" s="4">
        <v>149.0</v>
      </c>
      <c r="H523" s="4"/>
      <c r="I523" s="4">
        <v>149.0</v>
      </c>
      <c r="J523" s="4" t="s">
        <v>1138</v>
      </c>
      <c r="K523" s="4">
        <v>9.17083846181E11</v>
      </c>
      <c r="L523" s="4" t="s">
        <v>67</v>
      </c>
      <c r="M523" s="4" t="b">
        <v>0</v>
      </c>
      <c r="N523" s="4" t="s">
        <v>68</v>
      </c>
      <c r="O523" s="4" t="s">
        <v>69</v>
      </c>
      <c r="P523" s="6">
        <v>44298.54908564815</v>
      </c>
      <c r="Q523" s="4">
        <v>16064.0</v>
      </c>
      <c r="R523" s="4"/>
      <c r="S523" s="4"/>
      <c r="T523" s="4"/>
      <c r="U523" s="7"/>
      <c r="V523" s="4"/>
      <c r="W523" s="4"/>
      <c r="X523" s="4"/>
      <c r="Y523" s="4"/>
      <c r="Z523" s="4"/>
      <c r="AA523" s="5"/>
      <c r="AB523" s="5"/>
      <c r="AC523" s="5"/>
      <c r="AD523" s="5"/>
      <c r="AE523" s="5"/>
    </row>
    <row r="524">
      <c r="A524" s="4" t="s">
        <v>1139</v>
      </c>
      <c r="B524" s="4"/>
      <c r="C524" s="4" t="s">
        <v>1016</v>
      </c>
      <c r="D524" s="4">
        <v>49899.0</v>
      </c>
      <c r="E524" s="4"/>
      <c r="F524" s="4" t="s">
        <v>85</v>
      </c>
      <c r="G524" s="4">
        <v>149.0</v>
      </c>
      <c r="H524" s="4"/>
      <c r="I524" s="4">
        <v>149.0</v>
      </c>
      <c r="J524" s="4" t="s">
        <v>1140</v>
      </c>
      <c r="K524" s="4">
        <v>9.18888718913E11</v>
      </c>
      <c r="L524" s="4" t="s">
        <v>67</v>
      </c>
      <c r="M524" s="4" t="b">
        <v>0</v>
      </c>
      <c r="N524" s="4" t="s">
        <v>68</v>
      </c>
      <c r="O524" s="4" t="s">
        <v>69</v>
      </c>
      <c r="P524" s="6">
        <v>44298.57041666667</v>
      </c>
      <c r="Q524" s="4">
        <v>15616.0</v>
      </c>
      <c r="R524" s="4"/>
      <c r="S524" s="4"/>
      <c r="T524" s="4"/>
      <c r="U524" s="7"/>
      <c r="V524" s="4"/>
      <c r="W524" s="4"/>
      <c r="X524" s="4"/>
      <c r="Y524" s="4"/>
      <c r="Z524" s="4"/>
      <c r="AA524" s="5"/>
      <c r="AB524" s="5"/>
      <c r="AC524" s="5"/>
      <c r="AD524" s="5"/>
      <c r="AE524" s="5"/>
    </row>
    <row r="525">
      <c r="A525" s="4" t="s">
        <v>1141</v>
      </c>
      <c r="B525" s="4"/>
      <c r="C525" s="4" t="s">
        <v>1016</v>
      </c>
      <c r="D525" s="4">
        <v>49899.0</v>
      </c>
      <c r="E525" s="4"/>
      <c r="F525" s="4" t="s">
        <v>149</v>
      </c>
      <c r="G525" s="4">
        <v>99.0</v>
      </c>
      <c r="H525" s="4"/>
      <c r="I525" s="4">
        <v>99.0</v>
      </c>
      <c r="J525" s="4" t="s">
        <v>1142</v>
      </c>
      <c r="K525" s="4">
        <v>9.19304533843E11</v>
      </c>
      <c r="L525" s="4" t="s">
        <v>67</v>
      </c>
      <c r="M525" s="4" t="b">
        <v>0</v>
      </c>
      <c r="N525" s="4" t="s">
        <v>97</v>
      </c>
      <c r="O525" s="4" t="s">
        <v>69</v>
      </c>
      <c r="P525" s="6">
        <v>44297.81758101852</v>
      </c>
      <c r="Q525" s="4">
        <v>15685.0</v>
      </c>
      <c r="R525" s="4"/>
      <c r="S525" s="4"/>
      <c r="T525" s="4"/>
      <c r="U525" s="7"/>
      <c r="V525" s="4"/>
      <c r="W525" s="4"/>
      <c r="X525" s="4"/>
      <c r="Y525" s="4"/>
      <c r="Z525" s="4"/>
      <c r="AA525" s="5"/>
      <c r="AB525" s="5"/>
      <c r="AC525" s="5"/>
      <c r="AD525" s="5"/>
      <c r="AE525" s="5"/>
    </row>
    <row r="526">
      <c r="A526" s="4" t="s">
        <v>1143</v>
      </c>
      <c r="B526" s="4"/>
      <c r="C526" s="4" t="s">
        <v>184</v>
      </c>
      <c r="D526" s="4">
        <v>49833.0</v>
      </c>
      <c r="E526" s="4"/>
      <c r="F526" s="4" t="s">
        <v>85</v>
      </c>
      <c r="G526" s="4">
        <v>299.0</v>
      </c>
      <c r="H526" s="4"/>
      <c r="I526" s="4">
        <v>299.0</v>
      </c>
      <c r="J526" s="4" t="s">
        <v>1144</v>
      </c>
      <c r="K526" s="4">
        <v>9.19972733084E11</v>
      </c>
      <c r="L526" s="4" t="s">
        <v>67</v>
      </c>
      <c r="M526" s="4" t="b">
        <v>0</v>
      </c>
      <c r="N526" s="4" t="s">
        <v>68</v>
      </c>
      <c r="O526" s="4" t="s">
        <v>69</v>
      </c>
      <c r="P526" s="6">
        <v>44298.57476851852</v>
      </c>
      <c r="Q526" s="4">
        <v>17060.0</v>
      </c>
      <c r="R526" s="4"/>
      <c r="S526" s="4"/>
      <c r="T526" s="4"/>
      <c r="U526" s="7"/>
      <c r="V526" s="4"/>
      <c r="W526" s="4"/>
      <c r="X526" s="4"/>
      <c r="Y526" s="4"/>
      <c r="Z526" s="4"/>
      <c r="AA526" s="5"/>
      <c r="AB526" s="5"/>
      <c r="AC526" s="5"/>
      <c r="AD526" s="5"/>
      <c r="AE526" s="5"/>
    </row>
    <row r="527">
      <c r="A527" s="4" t="s">
        <v>1145</v>
      </c>
      <c r="B527" s="4"/>
      <c r="C527" s="4" t="s">
        <v>680</v>
      </c>
      <c r="D527" s="4">
        <v>49835.0</v>
      </c>
      <c r="E527" s="4"/>
      <c r="F527" s="4" t="s">
        <v>85</v>
      </c>
      <c r="G527" s="4">
        <v>99.0</v>
      </c>
      <c r="H527" s="4"/>
      <c r="I527" s="4">
        <v>99.0</v>
      </c>
      <c r="J527" s="4" t="s">
        <v>1146</v>
      </c>
      <c r="K527" s="4">
        <v>9.19160009508E11</v>
      </c>
      <c r="L527" s="4" t="s">
        <v>67</v>
      </c>
      <c r="M527" s="4" t="b">
        <v>0</v>
      </c>
      <c r="N527" s="4" t="s">
        <v>68</v>
      </c>
      <c r="O527" s="4" t="s">
        <v>69</v>
      </c>
      <c r="P527" s="6">
        <v>44279.873125</v>
      </c>
      <c r="Q527" s="4">
        <v>16452.0</v>
      </c>
      <c r="R527" s="4"/>
      <c r="S527" s="4"/>
      <c r="T527" s="4"/>
      <c r="U527" s="7"/>
      <c r="V527" s="4"/>
      <c r="W527" s="4"/>
      <c r="X527" s="4"/>
      <c r="Y527" s="4"/>
      <c r="Z527" s="4"/>
      <c r="AA527" s="5"/>
      <c r="AB527" s="5"/>
      <c r="AC527" s="5"/>
      <c r="AD527" s="5"/>
      <c r="AE527" s="5"/>
    </row>
    <row r="528">
      <c r="A528" s="4" t="s">
        <v>1147</v>
      </c>
      <c r="B528" s="4"/>
      <c r="C528" s="4" t="s">
        <v>184</v>
      </c>
      <c r="D528" s="4">
        <v>49833.0</v>
      </c>
      <c r="E528" s="4"/>
      <c r="F528" s="4" t="s">
        <v>149</v>
      </c>
      <c r="G528" s="4">
        <v>199.0</v>
      </c>
      <c r="H528" s="4"/>
      <c r="I528" s="4">
        <v>199.0</v>
      </c>
      <c r="J528" s="4" t="s">
        <v>1148</v>
      </c>
      <c r="K528" s="4">
        <v>9.17830542434E11</v>
      </c>
      <c r="L528" s="4" t="s">
        <v>67</v>
      </c>
      <c r="M528" s="4" t="b">
        <v>0</v>
      </c>
      <c r="N528" s="4" t="s">
        <v>68</v>
      </c>
      <c r="O528" s="4" t="s">
        <v>69</v>
      </c>
      <c r="P528" s="6">
        <v>44297.915625</v>
      </c>
      <c r="Q528" s="4">
        <v>17116.0</v>
      </c>
      <c r="R528" s="4"/>
      <c r="S528" s="4"/>
      <c r="T528" s="4"/>
      <c r="U528" s="7"/>
      <c r="V528" s="4"/>
      <c r="W528" s="4"/>
      <c r="X528" s="4"/>
      <c r="Y528" s="4"/>
      <c r="Z528" s="4"/>
      <c r="AA528" s="5"/>
      <c r="AB528" s="5"/>
      <c r="AC528" s="5"/>
      <c r="AD528" s="5"/>
      <c r="AE528" s="5"/>
    </row>
    <row r="529">
      <c r="A529" s="4" t="s">
        <v>1149</v>
      </c>
      <c r="B529" s="4"/>
      <c r="C529" s="4" t="s">
        <v>184</v>
      </c>
      <c r="D529" s="4">
        <v>49833.0</v>
      </c>
      <c r="E529" s="4"/>
      <c r="F529" s="4" t="s">
        <v>149</v>
      </c>
      <c r="G529" s="4">
        <v>199.0</v>
      </c>
      <c r="H529" s="4"/>
      <c r="I529" s="4">
        <v>199.0</v>
      </c>
      <c r="J529" s="4" t="s">
        <v>1150</v>
      </c>
      <c r="K529" s="4">
        <v>9.17028122777E11</v>
      </c>
      <c r="L529" s="4" t="s">
        <v>67</v>
      </c>
      <c r="M529" s="4" t="b">
        <v>0</v>
      </c>
      <c r="N529" s="4" t="s">
        <v>68</v>
      </c>
      <c r="O529" s="4" t="s">
        <v>69</v>
      </c>
      <c r="P529" s="6">
        <v>44297.93415509259</v>
      </c>
      <c r="Q529" s="4">
        <v>16813.0</v>
      </c>
      <c r="R529" s="4"/>
      <c r="S529" s="4"/>
      <c r="T529" s="4"/>
      <c r="U529" s="7"/>
      <c r="V529" s="4"/>
      <c r="W529" s="4"/>
      <c r="X529" s="4"/>
      <c r="Y529" s="4"/>
      <c r="Z529" s="4"/>
      <c r="AA529" s="5"/>
      <c r="AB529" s="5"/>
      <c r="AC529" s="5"/>
      <c r="AD529" s="5"/>
      <c r="AE529" s="5"/>
    </row>
    <row r="530">
      <c r="A530" s="4" t="s">
        <v>1151</v>
      </c>
      <c r="B530" s="4"/>
      <c r="C530" s="4" t="s">
        <v>680</v>
      </c>
      <c r="D530" s="4">
        <v>49835.0</v>
      </c>
      <c r="E530" s="4"/>
      <c r="F530" s="4" t="s">
        <v>85</v>
      </c>
      <c r="G530" s="4">
        <v>99.0</v>
      </c>
      <c r="H530" s="4"/>
      <c r="I530" s="4">
        <v>99.0</v>
      </c>
      <c r="J530" s="4" t="s">
        <v>1152</v>
      </c>
      <c r="K530" s="4">
        <v>9.19059598497E11</v>
      </c>
      <c r="L530" s="4" t="s">
        <v>67</v>
      </c>
      <c r="M530" s="4" t="b">
        <v>0</v>
      </c>
      <c r="N530" s="4" t="s">
        <v>151</v>
      </c>
      <c r="O530" s="4" t="s">
        <v>69</v>
      </c>
      <c r="P530" s="6">
        <v>44279.8987037037</v>
      </c>
      <c r="Q530" s="4">
        <v>16455.0</v>
      </c>
      <c r="R530" s="4"/>
      <c r="S530" s="4"/>
      <c r="T530" s="4"/>
      <c r="U530" s="7"/>
      <c r="V530" s="4"/>
      <c r="W530" s="4"/>
      <c r="X530" s="4"/>
      <c r="Y530" s="4"/>
      <c r="Z530" s="4"/>
      <c r="AA530" s="5"/>
      <c r="AB530" s="5"/>
      <c r="AC530" s="5"/>
      <c r="AD530" s="5"/>
      <c r="AE530" s="5"/>
    </row>
    <row r="531">
      <c r="A531" s="4" t="s">
        <v>1153</v>
      </c>
      <c r="B531" s="4"/>
      <c r="C531" s="4" t="s">
        <v>1104</v>
      </c>
      <c r="D531" s="4">
        <v>49993.0</v>
      </c>
      <c r="E531" s="4"/>
      <c r="F531" s="4" t="s">
        <v>149</v>
      </c>
      <c r="G531" s="4">
        <v>99.0</v>
      </c>
      <c r="H531" s="4"/>
      <c r="I531" s="4">
        <v>99.0</v>
      </c>
      <c r="J531" s="4" t="s">
        <v>1154</v>
      </c>
      <c r="K531" s="4">
        <v>9.19740840621E11</v>
      </c>
      <c r="L531" s="4" t="s">
        <v>67</v>
      </c>
      <c r="M531" s="4" t="b">
        <v>0</v>
      </c>
      <c r="N531" s="4" t="s">
        <v>68</v>
      </c>
      <c r="O531" s="4" t="s">
        <v>69</v>
      </c>
      <c r="P531" s="6">
        <v>44298.01283564815</v>
      </c>
      <c r="Q531" s="4">
        <v>16873.0</v>
      </c>
      <c r="R531" s="4"/>
      <c r="S531" s="4"/>
      <c r="T531" s="4"/>
      <c r="U531" s="7"/>
      <c r="V531" s="4"/>
      <c r="W531" s="4"/>
      <c r="X531" s="4"/>
      <c r="Y531" s="4"/>
      <c r="Z531" s="4"/>
      <c r="AA531" s="5"/>
      <c r="AB531" s="5"/>
      <c r="AC531" s="5"/>
      <c r="AD531" s="5"/>
      <c r="AE531" s="5"/>
    </row>
    <row r="532">
      <c r="A532" s="4" t="s">
        <v>1155</v>
      </c>
      <c r="B532" s="4"/>
      <c r="C532" s="4" t="s">
        <v>280</v>
      </c>
      <c r="D532" s="4">
        <v>49877.0</v>
      </c>
      <c r="E532" s="4"/>
      <c r="F532" s="4" t="s">
        <v>85</v>
      </c>
      <c r="G532" s="4">
        <v>99.0</v>
      </c>
      <c r="H532" s="4"/>
      <c r="I532" s="4">
        <v>99.0</v>
      </c>
      <c r="J532" s="4" t="s">
        <v>1156</v>
      </c>
      <c r="K532" s="4">
        <v>9.19923576324E11</v>
      </c>
      <c r="L532" s="4" t="s">
        <v>67</v>
      </c>
      <c r="M532" s="4" t="b">
        <v>0</v>
      </c>
      <c r="N532" s="4" t="s">
        <v>68</v>
      </c>
      <c r="O532" s="4" t="s">
        <v>69</v>
      </c>
      <c r="P532" s="6">
        <v>44298.816666666666</v>
      </c>
      <c r="Q532" s="4" t="s">
        <v>83</v>
      </c>
      <c r="R532" s="4"/>
      <c r="S532" s="4"/>
      <c r="T532" s="4"/>
      <c r="U532" s="7"/>
      <c r="V532" s="4"/>
      <c r="W532" s="4"/>
      <c r="X532" s="4"/>
      <c r="Y532" s="4"/>
      <c r="Z532" s="4"/>
      <c r="AA532" s="5"/>
      <c r="AB532" s="5"/>
      <c r="AC532" s="5"/>
      <c r="AD532" s="5"/>
      <c r="AE532" s="5"/>
    </row>
    <row r="533">
      <c r="A533" s="4" t="s">
        <v>1157</v>
      </c>
      <c r="B533" s="4"/>
      <c r="C533" s="4" t="s">
        <v>1059</v>
      </c>
      <c r="D533" s="4">
        <v>49997.0</v>
      </c>
      <c r="E533" s="4"/>
      <c r="F533" s="4" t="s">
        <v>149</v>
      </c>
      <c r="G533" s="4">
        <v>99.0</v>
      </c>
      <c r="H533" s="4"/>
      <c r="I533" s="4">
        <v>99.0</v>
      </c>
      <c r="J533" s="4" t="s">
        <v>1158</v>
      </c>
      <c r="K533" s="4">
        <v>9.1720895517E11</v>
      </c>
      <c r="L533" s="4" t="s">
        <v>67</v>
      </c>
      <c r="M533" s="4" t="b">
        <v>0</v>
      </c>
      <c r="N533" s="4" t="s">
        <v>68</v>
      </c>
      <c r="O533" s="4" t="s">
        <v>69</v>
      </c>
      <c r="P533" s="6">
        <v>44298.81853009259</v>
      </c>
      <c r="Q533" s="4">
        <v>16899.0</v>
      </c>
      <c r="R533" s="4"/>
      <c r="S533" s="4"/>
      <c r="T533" s="4"/>
      <c r="U533" s="7"/>
      <c r="V533" s="4"/>
      <c r="W533" s="4"/>
      <c r="X533" s="4"/>
      <c r="Y533" s="4"/>
      <c r="Z533" s="4"/>
      <c r="AA533" s="5"/>
      <c r="AB533" s="5"/>
      <c r="AC533" s="5"/>
      <c r="AD533" s="5"/>
      <c r="AE533" s="5"/>
    </row>
    <row r="534">
      <c r="A534" s="4" t="s">
        <v>1159</v>
      </c>
      <c r="B534" s="4"/>
      <c r="C534" s="4" t="s">
        <v>1104</v>
      </c>
      <c r="D534" s="4">
        <v>49993.0</v>
      </c>
      <c r="E534" s="4"/>
      <c r="F534" s="4" t="s">
        <v>149</v>
      </c>
      <c r="G534" s="4">
        <v>99.0</v>
      </c>
      <c r="H534" s="4"/>
      <c r="I534" s="4">
        <v>99.0</v>
      </c>
      <c r="J534" s="4" t="s">
        <v>1160</v>
      </c>
      <c r="K534" s="4">
        <v>9.19920425717E11</v>
      </c>
      <c r="L534" s="4" t="s">
        <v>67</v>
      </c>
      <c r="M534" s="4" t="b">
        <v>0</v>
      </c>
      <c r="N534" s="4" t="s">
        <v>68</v>
      </c>
      <c r="O534" s="4" t="s">
        <v>69</v>
      </c>
      <c r="P534" s="6">
        <v>44298.05467592592</v>
      </c>
      <c r="Q534" s="4">
        <v>16853.0</v>
      </c>
      <c r="R534" s="4"/>
      <c r="S534" s="4"/>
      <c r="T534" s="4"/>
      <c r="U534" s="7"/>
      <c r="V534" s="4"/>
      <c r="W534" s="4"/>
      <c r="X534" s="4"/>
      <c r="Y534" s="4"/>
      <c r="Z534" s="4"/>
      <c r="AA534" s="5"/>
      <c r="AB534" s="5"/>
      <c r="AC534" s="5"/>
      <c r="AD534" s="5"/>
      <c r="AE534" s="5"/>
    </row>
    <row r="535">
      <c r="A535" s="4" t="s">
        <v>1161</v>
      </c>
      <c r="B535" s="4"/>
      <c r="C535" s="4" t="s">
        <v>280</v>
      </c>
      <c r="D535" s="4">
        <v>49877.0</v>
      </c>
      <c r="E535" s="4"/>
      <c r="F535" s="4" t="s">
        <v>85</v>
      </c>
      <c r="G535" s="4">
        <v>99.0</v>
      </c>
      <c r="H535" s="4"/>
      <c r="I535" s="4">
        <v>99.0</v>
      </c>
      <c r="J535" s="4" t="s">
        <v>1162</v>
      </c>
      <c r="K535" s="4">
        <v>9.17506087782E11</v>
      </c>
      <c r="L535" s="4" t="s">
        <v>67</v>
      </c>
      <c r="M535" s="4" t="b">
        <v>0</v>
      </c>
      <c r="N535" s="4" t="s">
        <v>74</v>
      </c>
      <c r="O535" s="4" t="s">
        <v>69</v>
      </c>
      <c r="P535" s="6">
        <v>44298.855104166665</v>
      </c>
      <c r="Q535" s="4">
        <v>16821.0</v>
      </c>
      <c r="R535" s="4"/>
      <c r="S535" s="4"/>
      <c r="T535" s="4"/>
      <c r="U535" s="7"/>
      <c r="V535" s="4"/>
      <c r="W535" s="4"/>
      <c r="X535" s="4"/>
      <c r="Y535" s="4"/>
      <c r="Z535" s="4"/>
      <c r="AA535" s="5"/>
      <c r="AB535" s="5"/>
      <c r="AC535" s="5"/>
      <c r="AD535" s="5"/>
      <c r="AE535" s="5"/>
    </row>
    <row r="536">
      <c r="A536" s="4" t="s">
        <v>1163</v>
      </c>
      <c r="B536" s="4"/>
      <c r="C536" s="4" t="s">
        <v>680</v>
      </c>
      <c r="D536" s="4">
        <v>49835.0</v>
      </c>
      <c r="E536" s="4"/>
      <c r="F536" s="4" t="s">
        <v>85</v>
      </c>
      <c r="G536" s="4">
        <v>99.0</v>
      </c>
      <c r="H536" s="4"/>
      <c r="I536" s="4">
        <v>99.0</v>
      </c>
      <c r="J536" s="4" t="s">
        <v>1164</v>
      </c>
      <c r="K536" s="4">
        <v>9.18200299213E11</v>
      </c>
      <c r="L536" s="4" t="s">
        <v>67</v>
      </c>
      <c r="M536" s="4" t="b">
        <v>0</v>
      </c>
      <c r="N536" s="4" t="s">
        <v>68</v>
      </c>
      <c r="O536" s="4" t="s">
        <v>69</v>
      </c>
      <c r="P536" s="6">
        <v>44280.52097222222</v>
      </c>
      <c r="Q536" s="4">
        <v>16464.0</v>
      </c>
      <c r="R536" s="4"/>
      <c r="S536" s="4"/>
      <c r="T536" s="4"/>
      <c r="U536" s="7"/>
      <c r="V536" s="4"/>
      <c r="W536" s="4"/>
      <c r="X536" s="4"/>
      <c r="Y536" s="4"/>
      <c r="Z536" s="4"/>
      <c r="AA536" s="5"/>
      <c r="AB536" s="5"/>
      <c r="AC536" s="5"/>
      <c r="AD536" s="5"/>
      <c r="AE536" s="5"/>
    </row>
    <row r="537">
      <c r="A537" s="4" t="s">
        <v>1165</v>
      </c>
      <c r="B537" s="4"/>
      <c r="C537" s="4" t="s">
        <v>680</v>
      </c>
      <c r="D537" s="4">
        <v>49835.0</v>
      </c>
      <c r="E537" s="4"/>
      <c r="F537" s="4" t="s">
        <v>85</v>
      </c>
      <c r="G537" s="4">
        <v>99.0</v>
      </c>
      <c r="H537" s="4"/>
      <c r="I537" s="4">
        <v>99.0</v>
      </c>
      <c r="J537" s="4" t="s">
        <v>1166</v>
      </c>
      <c r="K537" s="4">
        <v>9.19975642616E11</v>
      </c>
      <c r="L537" s="4" t="s">
        <v>67</v>
      </c>
      <c r="M537" s="4" t="b">
        <v>0</v>
      </c>
      <c r="N537" s="4" t="s">
        <v>68</v>
      </c>
      <c r="O537" s="4" t="s">
        <v>69</v>
      </c>
      <c r="P537" s="6">
        <v>44280.75269675926</v>
      </c>
      <c r="Q537" s="4">
        <v>11236.0</v>
      </c>
      <c r="R537" s="4"/>
      <c r="S537" s="4"/>
      <c r="T537" s="4"/>
      <c r="U537" s="7"/>
      <c r="V537" s="4"/>
      <c r="W537" s="4"/>
      <c r="X537" s="4"/>
      <c r="Y537" s="4"/>
      <c r="Z537" s="4"/>
      <c r="AA537" s="5"/>
      <c r="AB537" s="5"/>
      <c r="AC537" s="5"/>
      <c r="AD537" s="5"/>
      <c r="AE537" s="5"/>
    </row>
    <row r="538">
      <c r="A538" s="4" t="s">
        <v>1167</v>
      </c>
      <c r="B538" s="4"/>
      <c r="C538" s="4" t="s">
        <v>680</v>
      </c>
      <c r="D538" s="4">
        <v>49835.0</v>
      </c>
      <c r="E538" s="4"/>
      <c r="F538" s="4" t="s">
        <v>85</v>
      </c>
      <c r="G538" s="4">
        <v>99.0</v>
      </c>
      <c r="H538" s="4"/>
      <c r="I538" s="4">
        <v>99.0</v>
      </c>
      <c r="J538" s="4" t="s">
        <v>1168</v>
      </c>
      <c r="K538" s="4">
        <v>9.19861036869E11</v>
      </c>
      <c r="L538" s="4" t="s">
        <v>67</v>
      </c>
      <c r="M538" s="4" t="b">
        <v>0</v>
      </c>
      <c r="N538" s="4" t="s">
        <v>68</v>
      </c>
      <c r="O538" s="4" t="s">
        <v>69</v>
      </c>
      <c r="P538" s="6">
        <v>44280.83300925926</v>
      </c>
      <c r="Q538" s="4">
        <v>16468.0</v>
      </c>
      <c r="R538" s="4"/>
      <c r="S538" s="4"/>
      <c r="T538" s="4"/>
      <c r="U538" s="7"/>
      <c r="V538" s="4"/>
      <c r="W538" s="4"/>
      <c r="X538" s="4"/>
      <c r="Y538" s="4"/>
      <c r="Z538" s="4"/>
      <c r="AA538" s="5"/>
      <c r="AB538" s="5"/>
      <c r="AC538" s="5"/>
      <c r="AD538" s="5"/>
      <c r="AE538" s="5"/>
    </row>
    <row r="539">
      <c r="A539" s="4" t="s">
        <v>1169</v>
      </c>
      <c r="B539" s="4"/>
      <c r="C539" s="4" t="s">
        <v>680</v>
      </c>
      <c r="D539" s="4">
        <v>49835.0</v>
      </c>
      <c r="E539" s="4"/>
      <c r="F539" s="4" t="s">
        <v>85</v>
      </c>
      <c r="G539" s="4">
        <v>99.0</v>
      </c>
      <c r="H539" s="4"/>
      <c r="I539" s="4">
        <v>99.0</v>
      </c>
      <c r="J539" s="4" t="s">
        <v>1170</v>
      </c>
      <c r="K539" s="4">
        <v>9.18977292937E11</v>
      </c>
      <c r="L539" s="4" t="s">
        <v>67</v>
      </c>
      <c r="M539" s="4" t="b">
        <v>0</v>
      </c>
      <c r="N539" s="4" t="s">
        <v>68</v>
      </c>
      <c r="O539" s="4" t="s">
        <v>69</v>
      </c>
      <c r="P539" s="6">
        <v>44280.85697916667</v>
      </c>
      <c r="Q539" s="4">
        <v>16467.0</v>
      </c>
      <c r="R539" s="4"/>
      <c r="S539" s="4"/>
      <c r="T539" s="4"/>
      <c r="U539" s="7"/>
      <c r="V539" s="4"/>
      <c r="W539" s="4"/>
      <c r="X539" s="4"/>
      <c r="Y539" s="4"/>
      <c r="Z539" s="4"/>
      <c r="AA539" s="5"/>
      <c r="AB539" s="5"/>
      <c r="AC539" s="5"/>
      <c r="AD539" s="5"/>
      <c r="AE539" s="5"/>
    </row>
    <row r="540">
      <c r="A540" s="4" t="s">
        <v>1171</v>
      </c>
      <c r="B540" s="4"/>
      <c r="C540" s="4" t="s">
        <v>858</v>
      </c>
      <c r="D540" s="4">
        <v>49958.0</v>
      </c>
      <c r="E540" s="4"/>
      <c r="F540" s="4" t="s">
        <v>85</v>
      </c>
      <c r="G540" s="4">
        <v>199.0</v>
      </c>
      <c r="H540" s="4"/>
      <c r="I540" s="4">
        <v>199.0</v>
      </c>
      <c r="J540" s="4" t="s">
        <v>1172</v>
      </c>
      <c r="K540" s="4">
        <v>9.17397574692E11</v>
      </c>
      <c r="L540" s="4" t="s">
        <v>67</v>
      </c>
      <c r="M540" s="4" t="b">
        <v>0</v>
      </c>
      <c r="N540" s="4" t="s">
        <v>68</v>
      </c>
      <c r="O540" s="4" t="s">
        <v>69</v>
      </c>
      <c r="P540" s="6">
        <v>44298.945231481484</v>
      </c>
      <c r="Q540" s="4">
        <v>17521.0</v>
      </c>
      <c r="R540" s="4"/>
      <c r="S540" s="4"/>
      <c r="T540" s="4"/>
      <c r="U540" s="7"/>
      <c r="V540" s="4"/>
      <c r="W540" s="4"/>
      <c r="X540" s="4"/>
      <c r="Y540" s="4"/>
      <c r="Z540" s="4"/>
      <c r="AA540" s="5"/>
      <c r="AB540" s="5"/>
      <c r="AC540" s="5"/>
      <c r="AD540" s="5"/>
      <c r="AE540" s="5"/>
    </row>
    <row r="541">
      <c r="A541" s="4" t="s">
        <v>1173</v>
      </c>
      <c r="B541" s="4"/>
      <c r="C541" s="4" t="s">
        <v>1174</v>
      </c>
      <c r="D541" s="4">
        <v>49844.0</v>
      </c>
      <c r="E541" s="4"/>
      <c r="F541" s="4" t="s">
        <v>149</v>
      </c>
      <c r="G541" s="4">
        <v>99.0</v>
      </c>
      <c r="H541" s="4"/>
      <c r="I541" s="4">
        <v>99.0</v>
      </c>
      <c r="J541" s="4" t="s">
        <v>1175</v>
      </c>
      <c r="K541" s="4">
        <v>9.19629870727E11</v>
      </c>
      <c r="L541" s="4" t="s">
        <v>67</v>
      </c>
      <c r="M541" s="4" t="b">
        <v>0</v>
      </c>
      <c r="N541" s="4" t="s">
        <v>97</v>
      </c>
      <c r="O541" s="4" t="s">
        <v>69</v>
      </c>
      <c r="P541" s="6">
        <v>44298.65109953703</v>
      </c>
      <c r="Q541" s="4">
        <v>16808.0</v>
      </c>
      <c r="R541" s="4"/>
      <c r="S541" s="4"/>
      <c r="T541" s="4"/>
      <c r="U541" s="7"/>
      <c r="V541" s="4"/>
      <c r="W541" s="4"/>
      <c r="X541" s="4"/>
      <c r="Y541" s="4"/>
      <c r="Z541" s="4"/>
      <c r="AA541" s="5"/>
      <c r="AB541" s="5"/>
      <c r="AC541" s="5"/>
      <c r="AD541" s="5"/>
      <c r="AE541" s="5"/>
    </row>
    <row r="542">
      <c r="A542" s="4" t="s">
        <v>1176</v>
      </c>
      <c r="B542" s="4"/>
      <c r="C542" s="4" t="s">
        <v>858</v>
      </c>
      <c r="D542" s="4">
        <v>49958.0</v>
      </c>
      <c r="E542" s="4"/>
      <c r="F542" s="4" t="s">
        <v>149</v>
      </c>
      <c r="G542" s="4">
        <v>99.0</v>
      </c>
      <c r="H542" s="4"/>
      <c r="I542" s="4">
        <v>99.0</v>
      </c>
      <c r="J542" s="4" t="s">
        <v>1177</v>
      </c>
      <c r="K542" s="4">
        <v>9.19607799251E11</v>
      </c>
      <c r="L542" s="4" t="s">
        <v>67</v>
      </c>
      <c r="M542" s="4" t="b">
        <v>0</v>
      </c>
      <c r="N542" s="4" t="s">
        <v>68</v>
      </c>
      <c r="O542" s="4" t="s">
        <v>69</v>
      </c>
      <c r="P542" s="6">
        <v>44298.777719907404</v>
      </c>
      <c r="Q542" s="4">
        <v>16819.0</v>
      </c>
      <c r="R542" s="4"/>
      <c r="S542" s="4"/>
      <c r="T542" s="4"/>
      <c r="U542" s="7"/>
      <c r="V542" s="4"/>
      <c r="W542" s="4"/>
      <c r="X542" s="4"/>
      <c r="Y542" s="4"/>
      <c r="Z542" s="4"/>
      <c r="AA542" s="5"/>
      <c r="AB542" s="5"/>
      <c r="AC542" s="5"/>
      <c r="AD542" s="5"/>
      <c r="AE542" s="5"/>
    </row>
    <row r="543">
      <c r="A543" s="4" t="s">
        <v>1178</v>
      </c>
      <c r="B543" s="4"/>
      <c r="C543" s="4" t="s">
        <v>680</v>
      </c>
      <c r="D543" s="4">
        <v>49835.0</v>
      </c>
      <c r="E543" s="4"/>
      <c r="F543" s="4" t="s">
        <v>85</v>
      </c>
      <c r="G543" s="4">
        <v>99.0</v>
      </c>
      <c r="H543" s="4"/>
      <c r="I543" s="4">
        <v>99.0</v>
      </c>
      <c r="J543" s="4" t="s">
        <v>1179</v>
      </c>
      <c r="K543" s="4">
        <v>9.17274875448E11</v>
      </c>
      <c r="L543" s="4" t="s">
        <v>67</v>
      </c>
      <c r="M543" s="4" t="b">
        <v>0</v>
      </c>
      <c r="N543" s="4" t="s">
        <v>68</v>
      </c>
      <c r="O543" s="4" t="s">
        <v>69</v>
      </c>
      <c r="P543" s="6">
        <v>44280.90309027778</v>
      </c>
      <c r="Q543" s="4">
        <v>16488.0</v>
      </c>
      <c r="R543" s="4"/>
      <c r="S543" s="4"/>
      <c r="T543" s="4"/>
      <c r="U543" s="7"/>
      <c r="V543" s="4"/>
      <c r="W543" s="4"/>
      <c r="X543" s="4"/>
      <c r="Y543" s="4"/>
      <c r="Z543" s="4"/>
      <c r="AA543" s="5"/>
      <c r="AB543" s="5"/>
      <c r="AC543" s="5"/>
      <c r="AD543" s="5"/>
      <c r="AE543" s="5"/>
    </row>
    <row r="544">
      <c r="A544" s="4" t="s">
        <v>1180</v>
      </c>
      <c r="B544" s="4"/>
      <c r="C544" s="4" t="s">
        <v>1104</v>
      </c>
      <c r="D544" s="4">
        <v>49993.0</v>
      </c>
      <c r="E544" s="4"/>
      <c r="F544" s="4" t="s">
        <v>149</v>
      </c>
      <c r="G544" s="4">
        <v>99.0</v>
      </c>
      <c r="H544" s="4"/>
      <c r="I544" s="4">
        <v>99.0</v>
      </c>
      <c r="J544" s="4" t="s">
        <v>1181</v>
      </c>
      <c r="K544" s="4">
        <v>9.19995074501E11</v>
      </c>
      <c r="L544" s="4" t="s">
        <v>67</v>
      </c>
      <c r="M544" s="4" t="b">
        <v>0</v>
      </c>
      <c r="N544" s="4" t="s">
        <v>68</v>
      </c>
      <c r="O544" s="4" t="s">
        <v>69</v>
      </c>
      <c r="P544" s="6">
        <v>44298.78569444444</v>
      </c>
      <c r="Q544" s="4" t="s">
        <v>83</v>
      </c>
      <c r="R544" s="4"/>
      <c r="S544" s="4"/>
      <c r="T544" s="4"/>
      <c r="U544" s="7"/>
      <c r="V544" s="4"/>
      <c r="W544" s="4"/>
      <c r="X544" s="4"/>
      <c r="Y544" s="4"/>
      <c r="Z544" s="4"/>
      <c r="AA544" s="5"/>
      <c r="AB544" s="5"/>
      <c r="AC544" s="5"/>
      <c r="AD544" s="5"/>
      <c r="AE544" s="5"/>
    </row>
    <row r="545">
      <c r="A545" s="4" t="s">
        <v>1182</v>
      </c>
      <c r="B545" s="4"/>
      <c r="C545" s="4" t="s">
        <v>960</v>
      </c>
      <c r="D545" s="4">
        <v>49834.0</v>
      </c>
      <c r="E545" s="4"/>
      <c r="F545" s="4" t="s">
        <v>149</v>
      </c>
      <c r="G545" s="4">
        <v>99.0</v>
      </c>
      <c r="H545" s="4"/>
      <c r="I545" s="4">
        <v>99.0</v>
      </c>
      <c r="J545" s="4" t="s">
        <v>1183</v>
      </c>
      <c r="K545" s="4">
        <v>9.18618924365E11</v>
      </c>
      <c r="L545" s="4" t="s">
        <v>67</v>
      </c>
      <c r="M545" s="4" t="b">
        <v>0</v>
      </c>
      <c r="N545" s="4" t="s">
        <v>68</v>
      </c>
      <c r="O545" s="4" t="s">
        <v>69</v>
      </c>
      <c r="P545" s="6">
        <v>44298.78579861111</v>
      </c>
      <c r="Q545" s="4" t="s">
        <v>83</v>
      </c>
      <c r="R545" s="4"/>
      <c r="S545" s="4"/>
      <c r="T545" s="4"/>
      <c r="U545" s="7"/>
      <c r="V545" s="4"/>
      <c r="W545" s="4"/>
      <c r="X545" s="4"/>
      <c r="Y545" s="4"/>
      <c r="Z545" s="4"/>
      <c r="AA545" s="5"/>
      <c r="AB545" s="5"/>
      <c r="AC545" s="5"/>
      <c r="AD545" s="5"/>
      <c r="AE545" s="5"/>
    </row>
    <row r="546">
      <c r="A546" s="4" t="s">
        <v>1184</v>
      </c>
      <c r="B546" s="4"/>
      <c r="C546" s="4" t="s">
        <v>858</v>
      </c>
      <c r="D546" s="4">
        <v>49958.0</v>
      </c>
      <c r="E546" s="4"/>
      <c r="F546" s="4" t="s">
        <v>149</v>
      </c>
      <c r="G546" s="4">
        <v>99.0</v>
      </c>
      <c r="H546" s="4"/>
      <c r="I546" s="4">
        <v>99.0</v>
      </c>
      <c r="J546" s="4" t="s">
        <v>1185</v>
      </c>
      <c r="K546" s="4">
        <v>9.19739693101E11</v>
      </c>
      <c r="L546" s="4" t="s">
        <v>67</v>
      </c>
      <c r="M546" s="4" t="b">
        <v>0</v>
      </c>
      <c r="N546" s="4" t="s">
        <v>68</v>
      </c>
      <c r="O546" s="4" t="s">
        <v>69</v>
      </c>
      <c r="P546" s="6">
        <v>44298.88239583333</v>
      </c>
      <c r="Q546" s="4" t="s">
        <v>83</v>
      </c>
      <c r="R546" s="4"/>
      <c r="S546" s="4"/>
      <c r="T546" s="4"/>
      <c r="U546" s="7"/>
      <c r="V546" s="4"/>
      <c r="W546" s="4"/>
      <c r="X546" s="4"/>
      <c r="Y546" s="4"/>
      <c r="Z546" s="4"/>
      <c r="AA546" s="5"/>
      <c r="AB546" s="5"/>
      <c r="AC546" s="5"/>
      <c r="AD546" s="5"/>
      <c r="AE546" s="5"/>
    </row>
    <row r="547">
      <c r="A547" s="4" t="s">
        <v>1186</v>
      </c>
      <c r="B547" s="4"/>
      <c r="C547" s="4" t="s">
        <v>184</v>
      </c>
      <c r="D547" s="4">
        <v>49833.0</v>
      </c>
      <c r="E547" s="4"/>
      <c r="F547" s="4" t="s">
        <v>149</v>
      </c>
      <c r="G547" s="4">
        <v>199.0</v>
      </c>
      <c r="H547" s="4"/>
      <c r="I547" s="4">
        <v>199.0</v>
      </c>
      <c r="J547" s="4" t="s">
        <v>1187</v>
      </c>
      <c r="K547" s="4">
        <v>9.17489413636E11</v>
      </c>
      <c r="L547" s="4" t="s">
        <v>67</v>
      </c>
      <c r="M547" s="4" t="b">
        <v>0</v>
      </c>
      <c r="N547" s="4" t="s">
        <v>68</v>
      </c>
      <c r="O547" s="4" t="s">
        <v>69</v>
      </c>
      <c r="P547" s="6">
        <v>44298.912199074075</v>
      </c>
      <c r="Q547" s="4" t="s">
        <v>83</v>
      </c>
      <c r="R547" s="4"/>
      <c r="S547" s="4"/>
      <c r="T547" s="4"/>
      <c r="U547" s="7"/>
      <c r="V547" s="4"/>
      <c r="W547" s="4"/>
      <c r="X547" s="4"/>
      <c r="Y547" s="4"/>
      <c r="Z547" s="4"/>
      <c r="AA547" s="5"/>
      <c r="AB547" s="5"/>
      <c r="AC547" s="5"/>
      <c r="AD547" s="5"/>
      <c r="AE547" s="5"/>
    </row>
    <row r="548">
      <c r="A548" s="4" t="s">
        <v>1188</v>
      </c>
      <c r="B548" s="4"/>
      <c r="C548" s="4" t="s">
        <v>280</v>
      </c>
      <c r="D548" s="4">
        <v>49877.0</v>
      </c>
      <c r="E548" s="4"/>
      <c r="F548" s="4" t="s">
        <v>85</v>
      </c>
      <c r="G548" s="4">
        <v>99.0</v>
      </c>
      <c r="H548" s="4"/>
      <c r="I548" s="4">
        <v>99.0</v>
      </c>
      <c r="J548" s="4" t="s">
        <v>1189</v>
      </c>
      <c r="K548" s="4">
        <v>9.17543882902E11</v>
      </c>
      <c r="L548" s="4" t="s">
        <v>67</v>
      </c>
      <c r="M548" s="4" t="b">
        <v>0</v>
      </c>
      <c r="N548" s="4" t="s">
        <v>74</v>
      </c>
      <c r="O548" s="4" t="s">
        <v>69</v>
      </c>
      <c r="P548" s="6">
        <v>44299.677152777775</v>
      </c>
      <c r="Q548" s="4">
        <v>16855.0</v>
      </c>
      <c r="R548" s="4"/>
      <c r="S548" s="4"/>
      <c r="T548" s="4"/>
      <c r="U548" s="7"/>
      <c r="V548" s="4"/>
      <c r="W548" s="4"/>
      <c r="X548" s="4"/>
      <c r="Y548" s="4"/>
      <c r="Z548" s="4"/>
      <c r="AA548" s="5"/>
      <c r="AB548" s="5"/>
      <c r="AC548" s="5"/>
      <c r="AD548" s="5"/>
      <c r="AE548" s="5"/>
    </row>
    <row r="549">
      <c r="A549" s="4" t="s">
        <v>1190</v>
      </c>
      <c r="B549" s="4"/>
      <c r="C549" s="4" t="s">
        <v>1059</v>
      </c>
      <c r="D549" s="4">
        <v>49997.0</v>
      </c>
      <c r="E549" s="4"/>
      <c r="F549" s="4" t="s">
        <v>77</v>
      </c>
      <c r="G549" s="4">
        <v>349.0</v>
      </c>
      <c r="H549" s="4"/>
      <c r="I549" s="4">
        <v>349.0</v>
      </c>
      <c r="J549" s="4" t="s">
        <v>1191</v>
      </c>
      <c r="K549" s="4">
        <v>9.19980910389E11</v>
      </c>
      <c r="L549" s="4" t="s">
        <v>67</v>
      </c>
      <c r="M549" s="4" t="b">
        <v>0</v>
      </c>
      <c r="N549" s="4" t="s">
        <v>74</v>
      </c>
      <c r="O549" s="4" t="s">
        <v>69</v>
      </c>
      <c r="P549" s="6">
        <v>44299.69752314815</v>
      </c>
      <c r="Q549" s="4">
        <v>16848.0</v>
      </c>
      <c r="R549" s="4"/>
      <c r="S549" s="4"/>
      <c r="T549" s="4"/>
      <c r="U549" s="8"/>
      <c r="V549" s="4"/>
      <c r="W549" s="4"/>
      <c r="X549" s="4"/>
      <c r="Y549" s="4"/>
      <c r="Z549" s="4"/>
      <c r="AA549" s="5"/>
      <c r="AB549" s="5"/>
      <c r="AC549" s="5"/>
      <c r="AD549" s="5"/>
      <c r="AE549" s="5"/>
    </row>
    <row r="550">
      <c r="A550" s="4" t="s">
        <v>1192</v>
      </c>
      <c r="B550" s="4"/>
      <c r="C550" s="4" t="s">
        <v>680</v>
      </c>
      <c r="D550" s="4">
        <v>49835.0</v>
      </c>
      <c r="E550" s="4"/>
      <c r="F550" s="4" t="s">
        <v>85</v>
      </c>
      <c r="G550" s="4">
        <v>99.0</v>
      </c>
      <c r="H550" s="4"/>
      <c r="I550" s="4">
        <v>99.0</v>
      </c>
      <c r="J550" s="4" t="s">
        <v>1193</v>
      </c>
      <c r="K550" s="4">
        <v>9.18668346674E11</v>
      </c>
      <c r="L550" s="4" t="s">
        <v>67</v>
      </c>
      <c r="M550" s="4" t="b">
        <v>0</v>
      </c>
      <c r="N550" s="4" t="s">
        <v>68</v>
      </c>
      <c r="O550" s="4" t="s">
        <v>69</v>
      </c>
      <c r="P550" s="6">
        <v>44281.414305555554</v>
      </c>
      <c r="Q550" s="4">
        <v>16476.0</v>
      </c>
      <c r="R550" s="4"/>
      <c r="S550" s="4"/>
      <c r="T550" s="4"/>
      <c r="U550" s="7"/>
      <c r="V550" s="4"/>
      <c r="W550" s="4"/>
      <c r="X550" s="4"/>
      <c r="Y550" s="4"/>
      <c r="Z550" s="4"/>
      <c r="AA550" s="5"/>
      <c r="AB550" s="5"/>
      <c r="AC550" s="5"/>
      <c r="AD550" s="5"/>
      <c r="AE550" s="5"/>
    </row>
    <row r="551">
      <c r="A551" s="4" t="s">
        <v>1194</v>
      </c>
      <c r="B551" s="4"/>
      <c r="C551" s="4" t="s">
        <v>680</v>
      </c>
      <c r="D551" s="4">
        <v>49835.0</v>
      </c>
      <c r="E551" s="4"/>
      <c r="F551" s="4" t="s">
        <v>85</v>
      </c>
      <c r="G551" s="4">
        <v>99.0</v>
      </c>
      <c r="H551" s="4"/>
      <c r="I551" s="4">
        <v>99.0</v>
      </c>
      <c r="J551" s="4" t="s">
        <v>1195</v>
      </c>
      <c r="K551" s="4">
        <v>9.17906644849E11</v>
      </c>
      <c r="L551" s="4" t="s">
        <v>67</v>
      </c>
      <c r="M551" s="4" t="b">
        <v>0</v>
      </c>
      <c r="N551" s="4" t="s">
        <v>68</v>
      </c>
      <c r="O551" s="4" t="s">
        <v>69</v>
      </c>
      <c r="P551" s="6">
        <v>44281.66369212963</v>
      </c>
      <c r="Q551" s="4" t="s">
        <v>83</v>
      </c>
      <c r="R551" s="4"/>
      <c r="S551" s="4"/>
      <c r="T551" s="4"/>
      <c r="U551" s="7"/>
      <c r="V551" s="4"/>
      <c r="W551" s="4"/>
      <c r="X551" s="4"/>
      <c r="Y551" s="4"/>
      <c r="Z551" s="4"/>
      <c r="AA551" s="5"/>
      <c r="AB551" s="5"/>
      <c r="AC551" s="5"/>
      <c r="AD551" s="5"/>
      <c r="AE551" s="5"/>
    </row>
    <row r="552">
      <c r="A552" s="4" t="s">
        <v>1196</v>
      </c>
      <c r="B552" s="4"/>
      <c r="C552" s="4" t="s">
        <v>680</v>
      </c>
      <c r="D552" s="4">
        <v>49835.0</v>
      </c>
      <c r="E552" s="4"/>
      <c r="F552" s="4" t="s">
        <v>85</v>
      </c>
      <c r="G552" s="4">
        <v>99.0</v>
      </c>
      <c r="H552" s="4"/>
      <c r="I552" s="4">
        <v>99.0</v>
      </c>
      <c r="J552" s="4" t="s">
        <v>1197</v>
      </c>
      <c r="K552" s="4">
        <v>9.1903343568E11</v>
      </c>
      <c r="L552" s="4" t="s">
        <v>67</v>
      </c>
      <c r="M552" s="4" t="b">
        <v>0</v>
      </c>
      <c r="N552" s="4" t="s">
        <v>74</v>
      </c>
      <c r="O552" s="4" t="s">
        <v>69</v>
      </c>
      <c r="P552" s="6">
        <v>44282.62385416667</v>
      </c>
      <c r="Q552" s="4">
        <v>16507.0</v>
      </c>
      <c r="R552" s="4"/>
      <c r="S552" s="4"/>
      <c r="T552" s="4"/>
      <c r="U552" s="7"/>
      <c r="V552" s="4"/>
      <c r="W552" s="4"/>
      <c r="X552" s="4"/>
      <c r="Y552" s="4"/>
      <c r="Z552" s="4"/>
      <c r="AA552" s="5"/>
      <c r="AB552" s="5"/>
      <c r="AC552" s="5"/>
      <c r="AD552" s="5"/>
      <c r="AE552" s="5"/>
    </row>
    <row r="553">
      <c r="A553" s="4" t="s">
        <v>1198</v>
      </c>
      <c r="B553" s="4"/>
      <c r="C553" s="4" t="s">
        <v>1104</v>
      </c>
      <c r="D553" s="4">
        <v>49993.0</v>
      </c>
      <c r="E553" s="4"/>
      <c r="F553" s="4" t="s">
        <v>149</v>
      </c>
      <c r="G553" s="4">
        <v>99.0</v>
      </c>
      <c r="H553" s="4"/>
      <c r="I553" s="4">
        <v>99.0</v>
      </c>
      <c r="J553" s="4" t="s">
        <v>1199</v>
      </c>
      <c r="K553" s="4">
        <v>9.19330326274E11</v>
      </c>
      <c r="L553" s="4" t="s">
        <v>67</v>
      </c>
      <c r="M553" s="4" t="b">
        <v>0</v>
      </c>
      <c r="N553" s="4" t="s">
        <v>68</v>
      </c>
      <c r="O553" s="4" t="s">
        <v>69</v>
      </c>
      <c r="P553" s="6">
        <v>44299.003483796296</v>
      </c>
      <c r="Q553" s="4">
        <v>16858.0</v>
      </c>
      <c r="R553" s="4"/>
      <c r="S553" s="4"/>
      <c r="T553" s="4"/>
      <c r="U553" s="7"/>
      <c r="V553" s="4"/>
      <c r="W553" s="4"/>
      <c r="X553" s="4"/>
      <c r="Y553" s="4"/>
      <c r="Z553" s="4"/>
      <c r="AA553" s="5"/>
      <c r="AB553" s="5"/>
      <c r="AC553" s="5"/>
      <c r="AD553" s="5"/>
      <c r="AE553" s="5"/>
    </row>
    <row r="554">
      <c r="A554" s="4" t="s">
        <v>1200</v>
      </c>
      <c r="B554" s="4"/>
      <c r="C554" s="4" t="s">
        <v>858</v>
      </c>
      <c r="D554" s="4">
        <v>49958.0</v>
      </c>
      <c r="E554" s="4"/>
      <c r="F554" s="4" t="s">
        <v>149</v>
      </c>
      <c r="G554" s="4">
        <v>99.0</v>
      </c>
      <c r="H554" s="4"/>
      <c r="I554" s="4">
        <v>99.0</v>
      </c>
      <c r="J554" s="4" t="s">
        <v>1201</v>
      </c>
      <c r="K554" s="4">
        <v>9.18552030051E11</v>
      </c>
      <c r="L554" s="4" t="s">
        <v>67</v>
      </c>
      <c r="M554" s="4" t="b">
        <v>0</v>
      </c>
      <c r="N554" s="4" t="s">
        <v>68</v>
      </c>
      <c r="O554" s="4" t="s">
        <v>69</v>
      </c>
      <c r="P554" s="6">
        <v>44299.006423611114</v>
      </c>
      <c r="Q554" s="4">
        <v>17494.0</v>
      </c>
      <c r="R554" s="4"/>
      <c r="S554" s="4"/>
      <c r="T554" s="4"/>
      <c r="U554" s="7"/>
      <c r="V554" s="4"/>
      <c r="W554" s="4"/>
      <c r="X554" s="4"/>
      <c r="Y554" s="4"/>
      <c r="Z554" s="4"/>
      <c r="AA554" s="5"/>
      <c r="AB554" s="5"/>
      <c r="AC554" s="5"/>
      <c r="AD554" s="5"/>
      <c r="AE554" s="5"/>
    </row>
    <row r="555">
      <c r="A555" s="4" t="s">
        <v>1202</v>
      </c>
      <c r="B555" s="4"/>
      <c r="C555" s="4" t="s">
        <v>1059</v>
      </c>
      <c r="D555" s="4">
        <v>49997.0</v>
      </c>
      <c r="E555" s="4"/>
      <c r="F555" s="4" t="s">
        <v>149</v>
      </c>
      <c r="G555" s="4">
        <v>99.0</v>
      </c>
      <c r="H555" s="4"/>
      <c r="I555" s="4">
        <v>99.0</v>
      </c>
      <c r="J555" s="4" t="s">
        <v>1203</v>
      </c>
      <c r="K555" s="4">
        <v>9.19990456907E11</v>
      </c>
      <c r="L555" s="4" t="s">
        <v>67</v>
      </c>
      <c r="M555" s="4" t="b">
        <v>0</v>
      </c>
      <c r="N555" s="4" t="s">
        <v>68</v>
      </c>
      <c r="O555" s="4" t="s">
        <v>69</v>
      </c>
      <c r="P555" s="6">
        <v>44299.967986111114</v>
      </c>
      <c r="Q555" s="4" t="s">
        <v>83</v>
      </c>
      <c r="R555" s="4"/>
      <c r="S555" s="4"/>
      <c r="T555" s="4"/>
      <c r="U555" s="7"/>
      <c r="V555" s="4"/>
      <c r="W555" s="4"/>
      <c r="X555" s="4"/>
      <c r="Y555" s="4"/>
      <c r="Z555" s="4"/>
      <c r="AA555" s="5"/>
      <c r="AB555" s="5"/>
      <c r="AC555" s="5"/>
      <c r="AD555" s="5"/>
      <c r="AE555" s="5"/>
    </row>
    <row r="556">
      <c r="A556" s="4" t="s">
        <v>1204</v>
      </c>
      <c r="B556" s="4"/>
      <c r="C556" s="4" t="s">
        <v>680</v>
      </c>
      <c r="D556" s="4">
        <v>49835.0</v>
      </c>
      <c r="E556" s="4"/>
      <c r="F556" s="4" t="s">
        <v>85</v>
      </c>
      <c r="G556" s="4">
        <v>99.0</v>
      </c>
      <c r="H556" s="4"/>
      <c r="I556" s="4">
        <v>99.0</v>
      </c>
      <c r="J556" s="4" t="s">
        <v>1205</v>
      </c>
      <c r="K556" s="4">
        <v>9.19840027205E11</v>
      </c>
      <c r="L556" s="4" t="s">
        <v>67</v>
      </c>
      <c r="M556" s="4" t="b">
        <v>0</v>
      </c>
      <c r="N556" s="4" t="s">
        <v>97</v>
      </c>
      <c r="O556" s="4" t="s">
        <v>69</v>
      </c>
      <c r="P556" s="6">
        <v>44282.62851851852</v>
      </c>
      <c r="Q556" s="4">
        <v>16508.0</v>
      </c>
      <c r="R556" s="4"/>
      <c r="S556" s="4"/>
      <c r="T556" s="4"/>
      <c r="U556" s="7"/>
      <c r="V556" s="4"/>
      <c r="W556" s="4"/>
      <c r="X556" s="4"/>
      <c r="Y556" s="4"/>
      <c r="Z556" s="4"/>
      <c r="AA556" s="5"/>
      <c r="AB556" s="5"/>
      <c r="AC556" s="5"/>
      <c r="AD556" s="5"/>
      <c r="AE556" s="5"/>
    </row>
    <row r="557">
      <c r="A557" s="4" t="s">
        <v>1206</v>
      </c>
      <c r="B557" s="4"/>
      <c r="C557" s="4" t="s">
        <v>858</v>
      </c>
      <c r="D557" s="4">
        <v>49958.0</v>
      </c>
      <c r="E557" s="4"/>
      <c r="F557" s="4" t="s">
        <v>149</v>
      </c>
      <c r="G557" s="4">
        <v>99.0</v>
      </c>
      <c r="H557" s="4"/>
      <c r="I557" s="4">
        <v>99.0</v>
      </c>
      <c r="J557" s="4" t="s">
        <v>1207</v>
      </c>
      <c r="K557" s="4">
        <v>9.19645402053E11</v>
      </c>
      <c r="L557" s="4" t="s">
        <v>67</v>
      </c>
      <c r="M557" s="4" t="b">
        <v>0</v>
      </c>
      <c r="N557" s="4" t="s">
        <v>68</v>
      </c>
      <c r="O557" s="4" t="s">
        <v>69</v>
      </c>
      <c r="P557" s="6">
        <v>44299.54719907408</v>
      </c>
      <c r="Q557" s="4" t="s">
        <v>83</v>
      </c>
      <c r="R557" s="4"/>
      <c r="S557" s="4"/>
      <c r="T557" s="4"/>
      <c r="U557" s="7"/>
      <c r="V557" s="4"/>
      <c r="W557" s="4"/>
      <c r="X557" s="4"/>
      <c r="Y557" s="4"/>
      <c r="Z557" s="4"/>
      <c r="AA557" s="5"/>
      <c r="AB557" s="5"/>
      <c r="AC557" s="5"/>
      <c r="AD557" s="5"/>
      <c r="AE557" s="5"/>
    </row>
    <row r="558">
      <c r="A558" s="4" t="s">
        <v>1208</v>
      </c>
      <c r="B558" s="4"/>
      <c r="C558" s="4" t="s">
        <v>680</v>
      </c>
      <c r="D558" s="4">
        <v>49835.0</v>
      </c>
      <c r="E558" s="4"/>
      <c r="F558" s="4" t="s">
        <v>85</v>
      </c>
      <c r="G558" s="4">
        <v>99.0</v>
      </c>
      <c r="H558" s="4"/>
      <c r="I558" s="4">
        <v>99.0</v>
      </c>
      <c r="J558" s="4" t="s">
        <v>1209</v>
      </c>
      <c r="K558" s="4">
        <v>9.19650269576E11</v>
      </c>
      <c r="L558" s="4" t="s">
        <v>67</v>
      </c>
      <c r="M558" s="4" t="b">
        <v>0</v>
      </c>
      <c r="N558" s="4" t="s">
        <v>68</v>
      </c>
      <c r="O558" s="4" t="s">
        <v>69</v>
      </c>
      <c r="P558" s="6">
        <v>44282.62869212963</v>
      </c>
      <c r="Q558" s="4">
        <v>16512.0</v>
      </c>
      <c r="R558" s="4"/>
      <c r="S558" s="4"/>
      <c r="T558" s="4"/>
      <c r="U558" s="7"/>
      <c r="V558" s="4"/>
      <c r="W558" s="4"/>
      <c r="X558" s="4"/>
      <c r="Y558" s="4"/>
      <c r="Z558" s="4"/>
      <c r="AA558" s="5"/>
      <c r="AB558" s="5"/>
      <c r="AC558" s="5"/>
      <c r="AD558" s="5"/>
      <c r="AE558" s="5"/>
    </row>
    <row r="559">
      <c r="A559" s="4" t="s">
        <v>1210</v>
      </c>
      <c r="B559" s="4"/>
      <c r="C559" s="4" t="s">
        <v>960</v>
      </c>
      <c r="D559" s="4">
        <v>49834.0</v>
      </c>
      <c r="E559" s="4"/>
      <c r="F559" s="4" t="s">
        <v>149</v>
      </c>
      <c r="G559" s="4">
        <v>99.0</v>
      </c>
      <c r="H559" s="4"/>
      <c r="I559" s="4">
        <v>99.0</v>
      </c>
      <c r="J559" s="4" t="s">
        <v>1211</v>
      </c>
      <c r="K559" s="4">
        <v>9.19756206269E11</v>
      </c>
      <c r="L559" s="4" t="s">
        <v>67</v>
      </c>
      <c r="M559" s="4" t="b">
        <v>0</v>
      </c>
      <c r="N559" s="4" t="s">
        <v>68</v>
      </c>
      <c r="O559" s="4" t="s">
        <v>69</v>
      </c>
      <c r="P559" s="6">
        <v>44299.94451388889</v>
      </c>
      <c r="Q559" s="4">
        <v>16829.0</v>
      </c>
      <c r="R559" s="4"/>
      <c r="S559" s="4"/>
      <c r="T559" s="4"/>
      <c r="U559" s="7"/>
      <c r="V559" s="4"/>
      <c r="W559" s="4"/>
      <c r="X559" s="4"/>
      <c r="Y559" s="4"/>
      <c r="Z559" s="4"/>
      <c r="AA559" s="5"/>
      <c r="AB559" s="5"/>
      <c r="AC559" s="5"/>
      <c r="AD559" s="5"/>
      <c r="AE559" s="5"/>
    </row>
    <row r="560">
      <c r="A560" s="4" t="s">
        <v>1212</v>
      </c>
      <c r="B560" s="4"/>
      <c r="C560" s="4" t="s">
        <v>858</v>
      </c>
      <c r="D560" s="4">
        <v>49958.0</v>
      </c>
      <c r="E560" s="4"/>
      <c r="F560" s="4" t="s">
        <v>149</v>
      </c>
      <c r="G560" s="4">
        <v>99.0</v>
      </c>
      <c r="H560" s="4"/>
      <c r="I560" s="4">
        <v>99.0</v>
      </c>
      <c r="J560" s="4" t="s">
        <v>1213</v>
      </c>
      <c r="K560" s="4">
        <v>9.1725965494E11</v>
      </c>
      <c r="L560" s="4" t="s">
        <v>67</v>
      </c>
      <c r="M560" s="4" t="b">
        <v>0</v>
      </c>
      <c r="N560" s="4" t="s">
        <v>68</v>
      </c>
      <c r="O560" s="4" t="s">
        <v>69</v>
      </c>
      <c r="P560" s="6">
        <v>44300.013194444444</v>
      </c>
      <c r="Q560" s="4" t="s">
        <v>83</v>
      </c>
      <c r="R560" s="4"/>
      <c r="S560" s="4"/>
      <c r="T560" s="4"/>
      <c r="U560" s="7"/>
      <c r="V560" s="4"/>
      <c r="W560" s="4"/>
      <c r="X560" s="4"/>
      <c r="Y560" s="4"/>
      <c r="Z560" s="4"/>
      <c r="AA560" s="5"/>
      <c r="AB560" s="5"/>
      <c r="AC560" s="5"/>
      <c r="AD560" s="5"/>
      <c r="AE560" s="5"/>
    </row>
    <row r="561">
      <c r="A561" s="4" t="s">
        <v>1214</v>
      </c>
      <c r="B561" s="4"/>
      <c r="C561" s="4" t="s">
        <v>1104</v>
      </c>
      <c r="D561" s="4">
        <v>49993.0</v>
      </c>
      <c r="E561" s="4"/>
      <c r="F561" s="4" t="s">
        <v>77</v>
      </c>
      <c r="G561" s="4">
        <v>349.0</v>
      </c>
      <c r="H561" s="4"/>
      <c r="I561" s="4">
        <v>349.0</v>
      </c>
      <c r="J561" s="4" t="s">
        <v>1215</v>
      </c>
      <c r="K561" s="4">
        <v>9.1902221115E11</v>
      </c>
      <c r="L561" s="4" t="s">
        <v>67</v>
      </c>
      <c r="M561" s="4" t="b">
        <v>0</v>
      </c>
      <c r="N561" s="4" t="s">
        <v>74</v>
      </c>
      <c r="O561" s="4" t="s">
        <v>69</v>
      </c>
      <c r="P561" s="6">
        <v>44300.18920138889</v>
      </c>
      <c r="Q561" s="4">
        <v>16837.0</v>
      </c>
      <c r="R561" s="4"/>
      <c r="S561" s="4"/>
      <c r="T561" s="4"/>
      <c r="U561" s="8"/>
      <c r="V561" s="4"/>
      <c r="W561" s="4"/>
      <c r="X561" s="4"/>
      <c r="Y561" s="4"/>
      <c r="Z561" s="4"/>
      <c r="AA561" s="5"/>
      <c r="AB561" s="5"/>
      <c r="AC561" s="5"/>
      <c r="AD561" s="5"/>
      <c r="AE561" s="5"/>
    </row>
    <row r="562">
      <c r="A562" s="4" t="s">
        <v>1216</v>
      </c>
      <c r="B562" s="4"/>
      <c r="C562" s="4" t="s">
        <v>858</v>
      </c>
      <c r="D562" s="4">
        <v>49958.0</v>
      </c>
      <c r="E562" s="4"/>
      <c r="F562" s="4" t="s">
        <v>149</v>
      </c>
      <c r="G562" s="4">
        <v>99.0</v>
      </c>
      <c r="H562" s="4"/>
      <c r="I562" s="4">
        <v>99.0</v>
      </c>
      <c r="J562" s="4" t="s">
        <v>1217</v>
      </c>
      <c r="K562" s="4">
        <v>9.17978596139E11</v>
      </c>
      <c r="L562" s="4" t="s">
        <v>67</v>
      </c>
      <c r="M562" s="4" t="b">
        <v>0</v>
      </c>
      <c r="N562" s="4" t="s">
        <v>68</v>
      </c>
      <c r="O562" s="4" t="s">
        <v>69</v>
      </c>
      <c r="P562" s="6">
        <v>44300.02633101852</v>
      </c>
      <c r="Q562" s="4">
        <v>16833.0</v>
      </c>
      <c r="R562" s="4"/>
      <c r="S562" s="4"/>
      <c r="T562" s="4"/>
      <c r="U562" s="7"/>
      <c r="V562" s="4"/>
      <c r="W562" s="4"/>
      <c r="X562" s="4"/>
      <c r="Y562" s="4"/>
      <c r="Z562" s="4"/>
      <c r="AA562" s="5"/>
      <c r="AB562" s="5"/>
      <c r="AC562" s="5"/>
      <c r="AD562" s="5"/>
      <c r="AE562" s="5"/>
    </row>
    <row r="563">
      <c r="A563" s="4" t="s">
        <v>1218</v>
      </c>
      <c r="B563" s="4"/>
      <c r="C563" s="4" t="s">
        <v>280</v>
      </c>
      <c r="D563" s="4">
        <v>49877.0</v>
      </c>
      <c r="E563" s="4"/>
      <c r="F563" s="4" t="s">
        <v>85</v>
      </c>
      <c r="G563" s="4">
        <v>99.0</v>
      </c>
      <c r="H563" s="4"/>
      <c r="I563" s="4">
        <v>99.0</v>
      </c>
      <c r="J563" s="4" t="s">
        <v>1219</v>
      </c>
      <c r="K563" s="4">
        <v>9.19845121768E11</v>
      </c>
      <c r="L563" s="4" t="s">
        <v>67</v>
      </c>
      <c r="M563" s="4" t="b">
        <v>0</v>
      </c>
      <c r="N563" s="4" t="s">
        <v>68</v>
      </c>
      <c r="O563" s="4" t="s">
        <v>69</v>
      </c>
      <c r="P563" s="6">
        <v>44300.38789351852</v>
      </c>
      <c r="Q563" s="4" t="s">
        <v>83</v>
      </c>
      <c r="R563" s="4"/>
      <c r="S563" s="4"/>
      <c r="T563" s="4"/>
      <c r="U563" s="7"/>
      <c r="V563" s="4"/>
      <c r="W563" s="4"/>
      <c r="X563" s="4"/>
      <c r="Y563" s="4"/>
      <c r="Z563" s="4"/>
      <c r="AA563" s="5"/>
      <c r="AB563" s="5"/>
      <c r="AC563" s="5"/>
      <c r="AD563" s="5"/>
      <c r="AE563" s="5"/>
    </row>
    <row r="564">
      <c r="A564" s="4" t="s">
        <v>1220</v>
      </c>
      <c r="B564" s="4"/>
      <c r="C564" s="4" t="s">
        <v>680</v>
      </c>
      <c r="D564" s="4">
        <v>49835.0</v>
      </c>
      <c r="E564" s="4"/>
      <c r="F564" s="4" t="s">
        <v>85</v>
      </c>
      <c r="G564" s="4">
        <v>99.0</v>
      </c>
      <c r="H564" s="4"/>
      <c r="I564" s="4">
        <v>99.0</v>
      </c>
      <c r="J564" s="4" t="s">
        <v>1221</v>
      </c>
      <c r="K564" s="4">
        <v>9.19975083337E11</v>
      </c>
      <c r="L564" s="4" t="s">
        <v>67</v>
      </c>
      <c r="M564" s="4" t="b">
        <v>0</v>
      </c>
      <c r="N564" s="4" t="s">
        <v>74</v>
      </c>
      <c r="O564" s="4" t="s">
        <v>69</v>
      </c>
      <c r="P564" s="6">
        <v>44282.63086805555</v>
      </c>
      <c r="Q564" s="4">
        <v>16550.0</v>
      </c>
      <c r="R564" s="4"/>
      <c r="S564" s="4"/>
      <c r="T564" s="4"/>
      <c r="U564" s="7"/>
      <c r="V564" s="4"/>
      <c r="W564" s="4"/>
      <c r="X564" s="4"/>
      <c r="Y564" s="4"/>
      <c r="Z564" s="4"/>
      <c r="AA564" s="5"/>
      <c r="AB564" s="5"/>
      <c r="AC564" s="5"/>
      <c r="AD564" s="5"/>
      <c r="AE564" s="5"/>
    </row>
    <row r="565">
      <c r="A565" s="4" t="s">
        <v>1222</v>
      </c>
      <c r="B565" s="4"/>
      <c r="C565" s="4" t="s">
        <v>680</v>
      </c>
      <c r="D565" s="4">
        <v>49835.0</v>
      </c>
      <c r="E565" s="4"/>
      <c r="F565" s="4" t="s">
        <v>85</v>
      </c>
      <c r="G565" s="4">
        <v>99.0</v>
      </c>
      <c r="H565" s="4"/>
      <c r="I565" s="4">
        <v>99.0</v>
      </c>
      <c r="J565" s="4" t="s">
        <v>1223</v>
      </c>
      <c r="K565" s="4">
        <v>9.19585765416E11</v>
      </c>
      <c r="L565" s="4" t="s">
        <v>67</v>
      </c>
      <c r="M565" s="4" t="b">
        <v>0</v>
      </c>
      <c r="N565" s="4" t="s">
        <v>68</v>
      </c>
      <c r="O565" s="4" t="s">
        <v>69</v>
      </c>
      <c r="P565" s="6">
        <v>44282.63292824074</v>
      </c>
      <c r="Q565" s="4">
        <v>16513.0</v>
      </c>
      <c r="R565" s="4"/>
      <c r="S565" s="4"/>
      <c r="T565" s="4"/>
      <c r="U565" s="7"/>
      <c r="V565" s="4"/>
      <c r="W565" s="4"/>
      <c r="X565" s="4"/>
      <c r="Y565" s="4"/>
      <c r="Z565" s="4"/>
      <c r="AA565" s="5"/>
      <c r="AB565" s="5"/>
      <c r="AC565" s="5"/>
      <c r="AD565" s="5"/>
      <c r="AE565" s="5"/>
    </row>
    <row r="566">
      <c r="A566" s="4" t="s">
        <v>1224</v>
      </c>
      <c r="B566" s="4"/>
      <c r="C566" s="4" t="s">
        <v>1059</v>
      </c>
      <c r="D566" s="4">
        <v>49997.0</v>
      </c>
      <c r="E566" s="4"/>
      <c r="F566" s="4" t="s">
        <v>149</v>
      </c>
      <c r="G566" s="4">
        <v>99.0</v>
      </c>
      <c r="H566" s="4"/>
      <c r="I566" s="4">
        <v>99.0</v>
      </c>
      <c r="J566" s="4" t="s">
        <v>1225</v>
      </c>
      <c r="K566" s="4">
        <v>9.18989512695E11</v>
      </c>
      <c r="L566" s="4" t="s">
        <v>67</v>
      </c>
      <c r="M566" s="4" t="b">
        <v>0</v>
      </c>
      <c r="N566" s="4" t="s">
        <v>97</v>
      </c>
      <c r="O566" s="4" t="s">
        <v>69</v>
      </c>
      <c r="P566" s="6">
        <v>44300.510462962964</v>
      </c>
      <c r="Q566" s="4">
        <v>16836.0</v>
      </c>
      <c r="R566" s="4"/>
      <c r="S566" s="4"/>
      <c r="T566" s="4"/>
      <c r="U566" s="7"/>
      <c r="V566" s="4"/>
      <c r="W566" s="4"/>
      <c r="X566" s="4"/>
      <c r="Y566" s="4"/>
      <c r="Z566" s="4"/>
      <c r="AA566" s="5"/>
      <c r="AB566" s="5"/>
      <c r="AC566" s="5"/>
      <c r="AD566" s="5"/>
      <c r="AE566" s="5"/>
    </row>
    <row r="567">
      <c r="A567" s="4" t="s">
        <v>1226</v>
      </c>
      <c r="B567" s="4"/>
      <c r="C567" s="4" t="s">
        <v>1059</v>
      </c>
      <c r="D567" s="4">
        <v>49997.0</v>
      </c>
      <c r="E567" s="4"/>
      <c r="F567" s="4" t="s">
        <v>149</v>
      </c>
      <c r="G567" s="4">
        <v>99.0</v>
      </c>
      <c r="H567" s="4"/>
      <c r="I567" s="4">
        <v>99.0</v>
      </c>
      <c r="J567" s="4" t="s">
        <v>1227</v>
      </c>
      <c r="K567" s="4">
        <v>9.19681482727E11</v>
      </c>
      <c r="L567" s="4" t="s">
        <v>67</v>
      </c>
      <c r="M567" s="4" t="b">
        <v>0</v>
      </c>
      <c r="N567" s="4" t="s">
        <v>151</v>
      </c>
      <c r="O567" s="4" t="s">
        <v>69</v>
      </c>
      <c r="P567" s="6">
        <v>44300.51693287037</v>
      </c>
      <c r="Q567" s="4">
        <v>16846.0</v>
      </c>
      <c r="R567" s="4"/>
      <c r="S567" s="4"/>
      <c r="T567" s="4"/>
      <c r="U567" s="7"/>
      <c r="V567" s="4"/>
      <c r="W567" s="4"/>
      <c r="X567" s="4"/>
      <c r="Y567" s="4"/>
      <c r="Z567" s="4"/>
      <c r="AA567" s="5"/>
      <c r="AB567" s="5"/>
      <c r="AC567" s="5"/>
      <c r="AD567" s="5"/>
      <c r="AE567" s="5"/>
    </row>
    <row r="568">
      <c r="A568" s="4" t="s">
        <v>1228</v>
      </c>
      <c r="B568" s="4"/>
      <c r="C568" s="4" t="s">
        <v>680</v>
      </c>
      <c r="D568" s="4">
        <v>49835.0</v>
      </c>
      <c r="E568" s="4"/>
      <c r="F568" s="4" t="s">
        <v>85</v>
      </c>
      <c r="G568" s="4">
        <v>99.0</v>
      </c>
      <c r="H568" s="4"/>
      <c r="I568" s="4">
        <v>99.0</v>
      </c>
      <c r="J568" s="4" t="s">
        <v>1229</v>
      </c>
      <c r="K568" s="4">
        <v>9.19799767443E11</v>
      </c>
      <c r="L568" s="4" t="s">
        <v>67</v>
      </c>
      <c r="M568" s="4" t="b">
        <v>0</v>
      </c>
      <c r="N568" s="4" t="s">
        <v>68</v>
      </c>
      <c r="O568" s="4" t="s">
        <v>69</v>
      </c>
      <c r="P568" s="6">
        <v>44282.66675925926</v>
      </c>
      <c r="Q568" s="4">
        <v>16511.0</v>
      </c>
      <c r="R568" s="4"/>
      <c r="S568" s="4"/>
      <c r="T568" s="4"/>
      <c r="U568" s="7"/>
      <c r="V568" s="4"/>
      <c r="W568" s="4"/>
      <c r="X568" s="4"/>
      <c r="Y568" s="4"/>
      <c r="Z568" s="4"/>
      <c r="AA568" s="5"/>
      <c r="AB568" s="5"/>
      <c r="AC568" s="5"/>
      <c r="AD568" s="5"/>
      <c r="AE568" s="5"/>
    </row>
    <row r="569">
      <c r="A569" s="4" t="s">
        <v>1230</v>
      </c>
      <c r="B569" s="4"/>
      <c r="C569" s="4" t="s">
        <v>184</v>
      </c>
      <c r="D569" s="4">
        <v>49833.0</v>
      </c>
      <c r="E569" s="4"/>
      <c r="F569" s="4" t="s">
        <v>149</v>
      </c>
      <c r="G569" s="4">
        <v>199.0</v>
      </c>
      <c r="H569" s="4"/>
      <c r="I569" s="4">
        <v>199.0</v>
      </c>
      <c r="J569" s="4" t="s">
        <v>1231</v>
      </c>
      <c r="K569" s="4">
        <v>9.18954730725E11</v>
      </c>
      <c r="L569" s="4" t="s">
        <v>67</v>
      </c>
      <c r="M569" s="4" t="b">
        <v>0</v>
      </c>
      <c r="N569" s="4" t="s">
        <v>68</v>
      </c>
      <c r="O569" s="4" t="s">
        <v>69</v>
      </c>
      <c r="P569" s="6">
        <v>44300.410219907404</v>
      </c>
      <c r="Q569" s="4">
        <v>17109.0</v>
      </c>
      <c r="R569" s="4"/>
      <c r="S569" s="4"/>
      <c r="T569" s="4"/>
      <c r="U569" s="7"/>
      <c r="V569" s="4"/>
      <c r="W569" s="4"/>
      <c r="X569" s="4"/>
      <c r="Y569" s="4"/>
      <c r="Z569" s="4"/>
      <c r="AA569" s="5"/>
      <c r="AB569" s="5"/>
      <c r="AC569" s="5"/>
      <c r="AD569" s="5"/>
      <c r="AE569" s="5"/>
    </row>
    <row r="570">
      <c r="A570" s="4" t="s">
        <v>1232</v>
      </c>
      <c r="B570" s="4"/>
      <c r="C570" s="4" t="s">
        <v>680</v>
      </c>
      <c r="D570" s="4">
        <v>49835.0</v>
      </c>
      <c r="E570" s="4"/>
      <c r="F570" s="4" t="s">
        <v>85</v>
      </c>
      <c r="G570" s="4">
        <v>99.0</v>
      </c>
      <c r="H570" s="4"/>
      <c r="I570" s="4">
        <v>99.0</v>
      </c>
      <c r="J570" s="4" t="s">
        <v>1233</v>
      </c>
      <c r="K570" s="4">
        <v>9.18308831523E11</v>
      </c>
      <c r="L570" s="4" t="s">
        <v>67</v>
      </c>
      <c r="M570" s="4" t="b">
        <v>0</v>
      </c>
      <c r="N570" s="4" t="s">
        <v>74</v>
      </c>
      <c r="O570" s="4" t="s">
        <v>69</v>
      </c>
      <c r="P570" s="6">
        <v>44282.684282407405</v>
      </c>
      <c r="Q570" s="4">
        <v>16515.0</v>
      </c>
      <c r="R570" s="4"/>
      <c r="S570" s="4"/>
      <c r="T570" s="4"/>
      <c r="U570" s="7"/>
      <c r="V570" s="4"/>
      <c r="W570" s="4"/>
      <c r="X570" s="4"/>
      <c r="Y570" s="4"/>
      <c r="Z570" s="4"/>
      <c r="AA570" s="5"/>
      <c r="AB570" s="5"/>
      <c r="AC570" s="5"/>
      <c r="AD570" s="5"/>
      <c r="AE570" s="5"/>
    </row>
    <row r="571">
      <c r="A571" s="4" t="s">
        <v>1234</v>
      </c>
      <c r="B571" s="4"/>
      <c r="C571" s="4" t="s">
        <v>280</v>
      </c>
      <c r="D571" s="4">
        <v>49877.0</v>
      </c>
      <c r="E571" s="4"/>
      <c r="F571" s="4" t="s">
        <v>85</v>
      </c>
      <c r="G571" s="4">
        <v>99.0</v>
      </c>
      <c r="H571" s="4"/>
      <c r="I571" s="4">
        <v>99.0</v>
      </c>
      <c r="J571" s="4" t="s">
        <v>1235</v>
      </c>
      <c r="K571" s="4">
        <v>9.19322256348E11</v>
      </c>
      <c r="L571" s="4" t="s">
        <v>67</v>
      </c>
      <c r="M571" s="4" t="b">
        <v>0</v>
      </c>
      <c r="N571" s="4" t="s">
        <v>97</v>
      </c>
      <c r="O571" s="4" t="s">
        <v>69</v>
      </c>
      <c r="P571" s="6">
        <v>44300.70247685185</v>
      </c>
      <c r="Q571" s="4" t="s">
        <v>83</v>
      </c>
      <c r="R571" s="4"/>
      <c r="S571" s="4"/>
      <c r="T571" s="4"/>
      <c r="U571" s="7"/>
      <c r="V571" s="4"/>
      <c r="W571" s="4"/>
      <c r="X571" s="4"/>
      <c r="Y571" s="4"/>
      <c r="Z571" s="4"/>
      <c r="AA571" s="5"/>
      <c r="AB571" s="5"/>
      <c r="AC571" s="5"/>
      <c r="AD571" s="5"/>
      <c r="AE571" s="5"/>
    </row>
    <row r="572">
      <c r="A572" s="4" t="s">
        <v>1236</v>
      </c>
      <c r="B572" s="4"/>
      <c r="C572" s="4" t="s">
        <v>680</v>
      </c>
      <c r="D572" s="4">
        <v>49835.0</v>
      </c>
      <c r="E572" s="4"/>
      <c r="F572" s="4" t="s">
        <v>85</v>
      </c>
      <c r="G572" s="4">
        <v>99.0</v>
      </c>
      <c r="H572" s="4"/>
      <c r="I572" s="4">
        <v>99.0</v>
      </c>
      <c r="J572" s="4" t="s">
        <v>1237</v>
      </c>
      <c r="K572" s="4">
        <v>9.194458324E11</v>
      </c>
      <c r="L572" s="4" t="s">
        <v>67</v>
      </c>
      <c r="M572" s="4" t="b">
        <v>0</v>
      </c>
      <c r="N572" s="4" t="s">
        <v>68</v>
      </c>
      <c r="O572" s="4" t="s">
        <v>69</v>
      </c>
      <c r="P572" s="6">
        <v>44283.59193287037</v>
      </c>
      <c r="Q572" s="4" t="s">
        <v>83</v>
      </c>
      <c r="R572" s="4"/>
      <c r="S572" s="4"/>
      <c r="T572" s="4"/>
      <c r="U572" s="7"/>
      <c r="V572" s="4"/>
      <c r="W572" s="4"/>
      <c r="X572" s="4"/>
      <c r="Y572" s="4"/>
      <c r="Z572" s="4"/>
      <c r="AA572" s="5"/>
      <c r="AB572" s="5"/>
      <c r="AC572" s="5"/>
      <c r="AD572" s="5"/>
      <c r="AE572" s="5"/>
    </row>
    <row r="573">
      <c r="A573" s="4" t="s">
        <v>1238</v>
      </c>
      <c r="B573" s="4"/>
      <c r="C573" s="4" t="s">
        <v>280</v>
      </c>
      <c r="D573" s="4">
        <v>49877.0</v>
      </c>
      <c r="E573" s="4"/>
      <c r="F573" s="4" t="s">
        <v>85</v>
      </c>
      <c r="G573" s="4">
        <v>99.0</v>
      </c>
      <c r="H573" s="4"/>
      <c r="I573" s="4">
        <v>99.0</v>
      </c>
      <c r="J573" s="4" t="s">
        <v>1060</v>
      </c>
      <c r="K573" s="4">
        <v>9.19980809118E11</v>
      </c>
      <c r="L573" s="4" t="s">
        <v>67</v>
      </c>
      <c r="M573" s="4" t="b">
        <v>0</v>
      </c>
      <c r="N573" s="4" t="s">
        <v>97</v>
      </c>
      <c r="O573" s="4" t="s">
        <v>69</v>
      </c>
      <c r="P573" s="6">
        <v>44300.88748842593</v>
      </c>
      <c r="Q573" s="4" t="s">
        <v>83</v>
      </c>
      <c r="R573" s="4"/>
      <c r="S573" s="4"/>
      <c r="T573" s="4"/>
      <c r="U573" s="7"/>
      <c r="V573" s="4"/>
      <c r="W573" s="4"/>
      <c r="X573" s="4"/>
      <c r="Y573" s="4"/>
      <c r="Z573" s="4"/>
      <c r="AA573" s="5"/>
      <c r="AB573" s="5"/>
      <c r="AC573" s="5"/>
      <c r="AD573" s="5"/>
      <c r="AE573" s="5"/>
    </row>
    <row r="574">
      <c r="A574" s="4" t="s">
        <v>1239</v>
      </c>
      <c r="B574" s="4"/>
      <c r="C574" s="4" t="s">
        <v>858</v>
      </c>
      <c r="D574" s="4">
        <v>49958.0</v>
      </c>
      <c r="E574" s="4"/>
      <c r="F574" s="4" t="s">
        <v>149</v>
      </c>
      <c r="G574" s="4">
        <v>99.0</v>
      </c>
      <c r="H574" s="4"/>
      <c r="I574" s="4">
        <v>99.0</v>
      </c>
      <c r="J574" s="4" t="s">
        <v>1240</v>
      </c>
      <c r="K574" s="4">
        <v>9.1724111505E11</v>
      </c>
      <c r="L574" s="4" t="s">
        <v>67</v>
      </c>
      <c r="M574" s="4" t="b">
        <v>0</v>
      </c>
      <c r="N574" s="4" t="s">
        <v>68</v>
      </c>
      <c r="O574" s="4" t="s">
        <v>69</v>
      </c>
      <c r="P574" s="6">
        <v>44300.68115740741</v>
      </c>
      <c r="Q574" s="4">
        <v>17457.0</v>
      </c>
      <c r="R574" s="4"/>
      <c r="S574" s="4"/>
      <c r="T574" s="4"/>
      <c r="U574" s="7"/>
      <c r="V574" s="4"/>
      <c r="W574" s="4"/>
      <c r="X574" s="4"/>
      <c r="Y574" s="4"/>
      <c r="Z574" s="4"/>
      <c r="AA574" s="5"/>
      <c r="AB574" s="5"/>
      <c r="AC574" s="5"/>
      <c r="AD574" s="5"/>
      <c r="AE574" s="5"/>
    </row>
    <row r="575">
      <c r="A575" s="4" t="s">
        <v>1241</v>
      </c>
      <c r="B575" s="4"/>
      <c r="C575" s="4" t="s">
        <v>280</v>
      </c>
      <c r="D575" s="4">
        <v>49877.0</v>
      </c>
      <c r="E575" s="4"/>
      <c r="F575" s="4" t="s">
        <v>85</v>
      </c>
      <c r="G575" s="4">
        <v>99.0</v>
      </c>
      <c r="H575" s="4"/>
      <c r="I575" s="4">
        <v>99.0</v>
      </c>
      <c r="J575" s="4" t="s">
        <v>1242</v>
      </c>
      <c r="K575" s="4">
        <v>9.1983302635E11</v>
      </c>
      <c r="L575" s="4" t="s">
        <v>67</v>
      </c>
      <c r="M575" s="4" t="b">
        <v>0</v>
      </c>
      <c r="N575" s="4" t="s">
        <v>68</v>
      </c>
      <c r="O575" s="4" t="s">
        <v>69</v>
      </c>
      <c r="P575" s="6">
        <v>44301.023564814815</v>
      </c>
      <c r="Q575" s="4" t="s">
        <v>83</v>
      </c>
      <c r="R575" s="4"/>
      <c r="S575" s="4"/>
      <c r="T575" s="4"/>
      <c r="U575" s="7"/>
      <c r="V575" s="4"/>
      <c r="W575" s="4"/>
      <c r="X575" s="4"/>
      <c r="Y575" s="4"/>
      <c r="Z575" s="4"/>
      <c r="AA575" s="5"/>
      <c r="AB575" s="5"/>
      <c r="AC575" s="5"/>
      <c r="AD575" s="5"/>
      <c r="AE575" s="5"/>
    </row>
    <row r="576">
      <c r="A576" s="4" t="s">
        <v>1243</v>
      </c>
      <c r="B576" s="4"/>
      <c r="C576" s="4" t="s">
        <v>885</v>
      </c>
      <c r="D576" s="4">
        <v>49844.0</v>
      </c>
      <c r="E576" s="4"/>
      <c r="F576" s="4" t="s">
        <v>85</v>
      </c>
      <c r="G576" s="4">
        <v>199.0</v>
      </c>
      <c r="H576" s="4"/>
      <c r="I576" s="4">
        <v>199.0</v>
      </c>
      <c r="J576" s="4" t="s">
        <v>1244</v>
      </c>
      <c r="K576" s="4">
        <v>9.17096739255E11</v>
      </c>
      <c r="L576" s="4" t="s">
        <v>67</v>
      </c>
      <c r="M576" s="4" t="b">
        <v>0</v>
      </c>
      <c r="N576" s="4" t="s">
        <v>68</v>
      </c>
      <c r="O576" s="4" t="s">
        <v>69</v>
      </c>
      <c r="P576" s="6">
        <v>44301.367476851854</v>
      </c>
      <c r="Q576" s="4">
        <v>16871.0</v>
      </c>
      <c r="R576" s="4"/>
      <c r="S576" s="4"/>
      <c r="T576" s="4"/>
      <c r="U576" s="7"/>
      <c r="V576" s="4"/>
      <c r="W576" s="4"/>
      <c r="X576" s="4"/>
      <c r="Y576" s="4"/>
      <c r="Z576" s="4"/>
      <c r="AA576" s="5"/>
      <c r="AB576" s="5"/>
      <c r="AC576" s="5"/>
      <c r="AD576" s="5"/>
      <c r="AE576" s="5"/>
    </row>
    <row r="577">
      <c r="A577" s="4" t="s">
        <v>1245</v>
      </c>
      <c r="B577" s="4"/>
      <c r="C577" s="4" t="s">
        <v>1059</v>
      </c>
      <c r="D577" s="4">
        <v>49997.0</v>
      </c>
      <c r="E577" s="4"/>
      <c r="F577" s="4" t="s">
        <v>149</v>
      </c>
      <c r="G577" s="4">
        <v>99.0</v>
      </c>
      <c r="H577" s="4"/>
      <c r="I577" s="4">
        <v>99.0</v>
      </c>
      <c r="J577" s="4" t="s">
        <v>1246</v>
      </c>
      <c r="K577" s="4">
        <v>9.18860120842E11</v>
      </c>
      <c r="L577" s="4" t="s">
        <v>67</v>
      </c>
      <c r="M577" s="4" t="b">
        <v>0</v>
      </c>
      <c r="N577" s="4" t="s">
        <v>68</v>
      </c>
      <c r="O577" s="4" t="s">
        <v>69</v>
      </c>
      <c r="P577" s="6">
        <v>44301.37420138889</v>
      </c>
      <c r="Q577" s="4">
        <v>16926.0</v>
      </c>
      <c r="R577" s="4"/>
      <c r="S577" s="4"/>
      <c r="T577" s="4"/>
      <c r="U577" s="7"/>
      <c r="V577" s="4"/>
      <c r="W577" s="4"/>
      <c r="X577" s="4"/>
      <c r="Y577" s="4"/>
      <c r="Z577" s="4"/>
      <c r="AA577" s="5"/>
      <c r="AB577" s="5"/>
      <c r="AC577" s="5"/>
      <c r="AD577" s="5"/>
      <c r="AE577" s="5"/>
    </row>
    <row r="578">
      <c r="A578" s="4" t="s">
        <v>1247</v>
      </c>
      <c r="B578" s="4"/>
      <c r="C578" s="4" t="s">
        <v>1059</v>
      </c>
      <c r="D578" s="4">
        <v>49997.0</v>
      </c>
      <c r="E578" s="4"/>
      <c r="F578" s="4" t="s">
        <v>77</v>
      </c>
      <c r="G578" s="4">
        <v>349.0</v>
      </c>
      <c r="H578" s="4"/>
      <c r="I578" s="4">
        <v>349.0</v>
      </c>
      <c r="J578" s="4" t="s">
        <v>1248</v>
      </c>
      <c r="K578" s="4">
        <v>9.19768586173E11</v>
      </c>
      <c r="L578" s="4" t="s">
        <v>67</v>
      </c>
      <c r="M578" s="4" t="b">
        <v>0</v>
      </c>
      <c r="N578" s="4" t="s">
        <v>68</v>
      </c>
      <c r="O578" s="4" t="s">
        <v>69</v>
      </c>
      <c r="P578" s="6">
        <v>44301.39126157408</v>
      </c>
      <c r="Q578" s="4">
        <v>16907.0</v>
      </c>
      <c r="R578" s="4"/>
      <c r="S578" s="4"/>
      <c r="T578" s="4"/>
      <c r="U578" s="8"/>
      <c r="V578" s="4"/>
      <c r="W578" s="4"/>
      <c r="X578" s="4"/>
      <c r="Y578" s="4"/>
      <c r="Z578" s="4"/>
      <c r="AA578" s="5"/>
      <c r="AB578" s="5"/>
      <c r="AC578" s="5"/>
      <c r="AD578" s="5"/>
      <c r="AE578" s="5"/>
    </row>
    <row r="579">
      <c r="A579" s="4" t="s">
        <v>1249</v>
      </c>
      <c r="B579" s="4"/>
      <c r="C579" s="4" t="s">
        <v>885</v>
      </c>
      <c r="D579" s="4">
        <v>49844.0</v>
      </c>
      <c r="E579" s="4"/>
      <c r="F579" s="4" t="s">
        <v>85</v>
      </c>
      <c r="G579" s="4">
        <v>199.0</v>
      </c>
      <c r="H579" s="4"/>
      <c r="I579" s="4">
        <v>199.0</v>
      </c>
      <c r="J579" s="4" t="s">
        <v>1250</v>
      </c>
      <c r="K579" s="4">
        <v>9.19591329039E11</v>
      </c>
      <c r="L579" s="4" t="s">
        <v>67</v>
      </c>
      <c r="M579" s="4" t="b">
        <v>0</v>
      </c>
      <c r="N579" s="4" t="s">
        <v>74</v>
      </c>
      <c r="O579" s="4" t="s">
        <v>69</v>
      </c>
      <c r="P579" s="6">
        <v>44301.40356481481</v>
      </c>
      <c r="Q579" s="4" t="s">
        <v>83</v>
      </c>
      <c r="R579" s="4"/>
      <c r="S579" s="4"/>
      <c r="T579" s="4"/>
      <c r="U579" s="7"/>
      <c r="V579" s="4"/>
      <c r="W579" s="4"/>
      <c r="X579" s="4"/>
      <c r="Y579" s="4"/>
      <c r="Z579" s="4"/>
      <c r="AA579" s="5"/>
      <c r="AB579" s="5"/>
      <c r="AC579" s="5"/>
      <c r="AD579" s="5"/>
      <c r="AE579" s="5"/>
    </row>
    <row r="580">
      <c r="A580" s="4" t="s">
        <v>1251</v>
      </c>
      <c r="B580" s="4"/>
      <c r="C580" s="4" t="s">
        <v>280</v>
      </c>
      <c r="D580" s="4">
        <v>49877.0</v>
      </c>
      <c r="E580" s="4"/>
      <c r="F580" s="4" t="s">
        <v>85</v>
      </c>
      <c r="G580" s="4">
        <v>99.0</v>
      </c>
      <c r="H580" s="4"/>
      <c r="I580" s="4">
        <v>99.0</v>
      </c>
      <c r="J580" s="4" t="s">
        <v>1252</v>
      </c>
      <c r="K580" s="4">
        <v>9.18427153791E11</v>
      </c>
      <c r="L580" s="4" t="s">
        <v>67</v>
      </c>
      <c r="M580" s="4" t="b">
        <v>0</v>
      </c>
      <c r="N580" s="4" t="s">
        <v>74</v>
      </c>
      <c r="O580" s="4" t="s">
        <v>69</v>
      </c>
      <c r="P580" s="6">
        <v>44301.46430555556</v>
      </c>
      <c r="Q580" s="4" t="s">
        <v>83</v>
      </c>
      <c r="R580" s="4"/>
      <c r="S580" s="4"/>
      <c r="T580" s="4"/>
      <c r="U580" s="7"/>
      <c r="V580" s="4"/>
      <c r="W580" s="4"/>
      <c r="X580" s="4"/>
      <c r="Y580" s="4"/>
      <c r="Z580" s="4"/>
      <c r="AA580" s="5"/>
      <c r="AB580" s="5"/>
      <c r="AC580" s="5"/>
      <c r="AD580" s="5"/>
      <c r="AE580" s="5"/>
    </row>
    <row r="581">
      <c r="A581" s="4" t="s">
        <v>1253</v>
      </c>
      <c r="B581" s="4"/>
      <c r="C581" s="4" t="s">
        <v>885</v>
      </c>
      <c r="D581" s="4">
        <v>49844.0</v>
      </c>
      <c r="E581" s="4"/>
      <c r="F581" s="4" t="s">
        <v>85</v>
      </c>
      <c r="G581" s="4">
        <v>199.0</v>
      </c>
      <c r="H581" s="4"/>
      <c r="I581" s="4">
        <v>199.0</v>
      </c>
      <c r="J581" s="4" t="s">
        <v>1254</v>
      </c>
      <c r="K581" s="4">
        <v>9.19995858969E11</v>
      </c>
      <c r="L581" s="4" t="s">
        <v>67</v>
      </c>
      <c r="M581" s="4" t="b">
        <v>0</v>
      </c>
      <c r="N581" s="4" t="s">
        <v>68</v>
      </c>
      <c r="O581" s="4" t="s">
        <v>69</v>
      </c>
      <c r="P581" s="6">
        <v>44301.510196759256</v>
      </c>
      <c r="Q581" s="4">
        <v>16879.0</v>
      </c>
      <c r="R581" s="4"/>
      <c r="S581" s="4"/>
      <c r="T581" s="4"/>
      <c r="U581" s="7"/>
      <c r="V581" s="4"/>
      <c r="W581" s="4"/>
      <c r="X581" s="4"/>
      <c r="Y581" s="4"/>
      <c r="Z581" s="4"/>
      <c r="AA581" s="5"/>
      <c r="AB581" s="5"/>
      <c r="AC581" s="5"/>
      <c r="AD581" s="5"/>
      <c r="AE581" s="5"/>
    </row>
    <row r="582">
      <c r="A582" s="4" t="s">
        <v>1255</v>
      </c>
      <c r="B582" s="4"/>
      <c r="C582" s="4" t="s">
        <v>1104</v>
      </c>
      <c r="D582" s="4">
        <v>49993.0</v>
      </c>
      <c r="E582" s="4"/>
      <c r="F582" s="4" t="s">
        <v>77</v>
      </c>
      <c r="G582" s="4">
        <v>349.0</v>
      </c>
      <c r="H582" s="4"/>
      <c r="I582" s="4">
        <v>349.0</v>
      </c>
      <c r="J582" s="4" t="s">
        <v>1256</v>
      </c>
      <c r="K582" s="4">
        <v>6.1450428471E10</v>
      </c>
      <c r="L582" s="4" t="s">
        <v>67</v>
      </c>
      <c r="M582" s="4" t="b">
        <v>0</v>
      </c>
      <c r="N582" s="4" t="s">
        <v>74</v>
      </c>
      <c r="O582" s="4" t="s">
        <v>69</v>
      </c>
      <c r="P582" s="6">
        <v>44301.54754629629</v>
      </c>
      <c r="Q582" s="4">
        <v>17276.0</v>
      </c>
      <c r="R582" s="4"/>
      <c r="S582" s="4"/>
      <c r="T582" s="4"/>
      <c r="U582" s="8"/>
      <c r="V582" s="4"/>
      <c r="W582" s="4"/>
      <c r="X582" s="4"/>
      <c r="Y582" s="4"/>
      <c r="Z582" s="4"/>
      <c r="AA582" s="5"/>
      <c r="AB582" s="5"/>
      <c r="AC582" s="5"/>
      <c r="AD582" s="5"/>
      <c r="AE582" s="5"/>
    </row>
    <row r="583">
      <c r="A583" s="4" t="s">
        <v>1257</v>
      </c>
      <c r="B583" s="4"/>
      <c r="C583" s="4" t="s">
        <v>1104</v>
      </c>
      <c r="D583" s="4">
        <v>49993.0</v>
      </c>
      <c r="E583" s="4"/>
      <c r="F583" s="4" t="s">
        <v>149</v>
      </c>
      <c r="G583" s="4">
        <v>99.0</v>
      </c>
      <c r="H583" s="4"/>
      <c r="I583" s="4">
        <v>99.0</v>
      </c>
      <c r="J583" s="4" t="s">
        <v>1258</v>
      </c>
      <c r="K583" s="4">
        <v>9.19535999553E11</v>
      </c>
      <c r="L583" s="4" t="s">
        <v>67</v>
      </c>
      <c r="M583" s="4" t="b">
        <v>0</v>
      </c>
      <c r="N583" s="4" t="s">
        <v>74</v>
      </c>
      <c r="O583" s="4" t="s">
        <v>69</v>
      </c>
      <c r="P583" s="6">
        <v>44300.84762731481</v>
      </c>
      <c r="Q583" s="4">
        <v>16856.0</v>
      </c>
      <c r="R583" s="4"/>
      <c r="S583" s="4"/>
      <c r="T583" s="4"/>
      <c r="U583" s="7"/>
      <c r="V583" s="4"/>
      <c r="W583" s="4"/>
      <c r="X583" s="4"/>
      <c r="Y583" s="4"/>
      <c r="Z583" s="4"/>
      <c r="AA583" s="5"/>
      <c r="AB583" s="5"/>
      <c r="AC583" s="5"/>
      <c r="AD583" s="5"/>
      <c r="AE583" s="5"/>
    </row>
    <row r="584">
      <c r="A584" s="4" t="s">
        <v>1259</v>
      </c>
      <c r="B584" s="4"/>
      <c r="C584" s="4" t="s">
        <v>1025</v>
      </c>
      <c r="D584" s="4">
        <v>49948.0</v>
      </c>
      <c r="E584" s="4"/>
      <c r="F584" s="4" t="s">
        <v>85</v>
      </c>
      <c r="G584" s="4">
        <v>199.0</v>
      </c>
      <c r="H584" s="4"/>
      <c r="I584" s="4">
        <v>199.0</v>
      </c>
      <c r="J584" s="4" t="s">
        <v>1260</v>
      </c>
      <c r="K584" s="4">
        <v>9.17248471313E11</v>
      </c>
      <c r="L584" s="4" t="s">
        <v>67</v>
      </c>
      <c r="M584" s="4" t="b">
        <v>0</v>
      </c>
      <c r="N584" s="4" t="s">
        <v>68</v>
      </c>
      <c r="O584" s="4" t="s">
        <v>69</v>
      </c>
      <c r="P584" s="6">
        <v>44301.62657407407</v>
      </c>
      <c r="Q584" s="4">
        <v>16905.0</v>
      </c>
      <c r="R584" s="4"/>
      <c r="S584" s="4"/>
      <c r="T584" s="4"/>
      <c r="U584" s="7"/>
      <c r="V584" s="4"/>
      <c r="W584" s="4"/>
      <c r="X584" s="4"/>
      <c r="Y584" s="4"/>
      <c r="Z584" s="4"/>
      <c r="AA584" s="5"/>
      <c r="AB584" s="5"/>
      <c r="AC584" s="5"/>
      <c r="AD584" s="5"/>
      <c r="AE584" s="5"/>
    </row>
    <row r="585">
      <c r="A585" s="4" t="s">
        <v>1261</v>
      </c>
      <c r="B585" s="4"/>
      <c r="C585" s="4" t="s">
        <v>680</v>
      </c>
      <c r="D585" s="4">
        <v>49835.0</v>
      </c>
      <c r="E585" s="4"/>
      <c r="F585" s="4" t="s">
        <v>85</v>
      </c>
      <c r="G585" s="4">
        <v>99.0</v>
      </c>
      <c r="H585" s="4"/>
      <c r="I585" s="4">
        <v>99.0</v>
      </c>
      <c r="J585" s="4" t="s">
        <v>1262</v>
      </c>
      <c r="K585" s="4">
        <v>9.17411410801E11</v>
      </c>
      <c r="L585" s="4" t="s">
        <v>67</v>
      </c>
      <c r="M585" s="4" t="b">
        <v>0</v>
      </c>
      <c r="N585" s="4" t="s">
        <v>68</v>
      </c>
      <c r="O585" s="4" t="s">
        <v>69</v>
      </c>
      <c r="P585" s="6">
        <v>44283.85972222222</v>
      </c>
      <c r="Q585" s="4" t="s">
        <v>83</v>
      </c>
      <c r="R585" s="4"/>
      <c r="S585" s="4"/>
      <c r="T585" s="4"/>
      <c r="U585" s="7"/>
      <c r="V585" s="4"/>
      <c r="W585" s="4"/>
      <c r="X585" s="4"/>
      <c r="Y585" s="4"/>
      <c r="Z585" s="4"/>
      <c r="AA585" s="5"/>
      <c r="AB585" s="5"/>
      <c r="AC585" s="5"/>
      <c r="AD585" s="5"/>
      <c r="AE585" s="5"/>
    </row>
    <row r="586">
      <c r="A586" s="4" t="s">
        <v>1263</v>
      </c>
      <c r="B586" s="4"/>
      <c r="C586" s="4" t="s">
        <v>1264</v>
      </c>
      <c r="D586" s="4">
        <v>49994.0</v>
      </c>
      <c r="E586" s="4"/>
      <c r="F586" s="4" t="s">
        <v>149</v>
      </c>
      <c r="G586" s="4">
        <v>99.0</v>
      </c>
      <c r="H586" s="4"/>
      <c r="I586" s="4">
        <v>99.0</v>
      </c>
      <c r="J586" s="4" t="s">
        <v>1265</v>
      </c>
      <c r="K586" s="4">
        <v>9.19784235426E11</v>
      </c>
      <c r="L586" s="4" t="s">
        <v>67</v>
      </c>
      <c r="M586" s="4" t="b">
        <v>0</v>
      </c>
      <c r="N586" s="4" t="s">
        <v>151</v>
      </c>
      <c r="O586" s="4" t="s">
        <v>69</v>
      </c>
      <c r="P586" s="6">
        <v>44300.92582175926</v>
      </c>
      <c r="Q586" s="4">
        <v>16930.0</v>
      </c>
      <c r="R586" s="4"/>
      <c r="S586" s="4"/>
      <c r="T586" s="4"/>
      <c r="U586" s="7"/>
      <c r="V586" s="4"/>
      <c r="W586" s="4"/>
      <c r="X586" s="4"/>
      <c r="Y586" s="4"/>
      <c r="Z586" s="4"/>
      <c r="AA586" s="5"/>
      <c r="AB586" s="5"/>
      <c r="AC586" s="5"/>
      <c r="AD586" s="5"/>
      <c r="AE586" s="5"/>
    </row>
    <row r="587">
      <c r="A587" s="4" t="s">
        <v>1266</v>
      </c>
      <c r="B587" s="4"/>
      <c r="C587" s="4" t="s">
        <v>680</v>
      </c>
      <c r="D587" s="4">
        <v>49835.0</v>
      </c>
      <c r="E587" s="4"/>
      <c r="F587" s="4" t="s">
        <v>85</v>
      </c>
      <c r="G587" s="4">
        <v>99.0</v>
      </c>
      <c r="H587" s="4"/>
      <c r="I587" s="4">
        <v>99.0</v>
      </c>
      <c r="J587" s="4" t="s">
        <v>1267</v>
      </c>
      <c r="K587" s="4">
        <v>9.18977733861E11</v>
      </c>
      <c r="L587" s="4" t="s">
        <v>67</v>
      </c>
      <c r="M587" s="4" t="b">
        <v>0</v>
      </c>
      <c r="N587" s="4" t="s">
        <v>68</v>
      </c>
      <c r="O587" s="4" t="s">
        <v>69</v>
      </c>
      <c r="P587" s="6">
        <v>44285.589224537034</v>
      </c>
      <c r="Q587" s="4">
        <v>16569.0</v>
      </c>
      <c r="R587" s="4"/>
      <c r="S587" s="4"/>
      <c r="T587" s="4"/>
      <c r="U587" s="7"/>
      <c r="V587" s="4"/>
      <c r="W587" s="4"/>
      <c r="X587" s="4"/>
      <c r="Y587" s="4"/>
      <c r="Z587" s="4"/>
      <c r="AA587" s="5"/>
      <c r="AB587" s="5"/>
      <c r="AC587" s="5"/>
      <c r="AD587" s="5"/>
      <c r="AE587" s="5"/>
    </row>
    <row r="588">
      <c r="A588" s="4" t="s">
        <v>1268</v>
      </c>
      <c r="B588" s="4"/>
      <c r="C588" s="4" t="s">
        <v>280</v>
      </c>
      <c r="D588" s="4">
        <v>49877.0</v>
      </c>
      <c r="E588" s="4"/>
      <c r="F588" s="4" t="s">
        <v>85</v>
      </c>
      <c r="G588" s="4">
        <v>99.0</v>
      </c>
      <c r="H588" s="4"/>
      <c r="I588" s="4">
        <v>99.0</v>
      </c>
      <c r="J588" s="4" t="s">
        <v>1269</v>
      </c>
      <c r="K588" s="4">
        <v>9.18767964718E11</v>
      </c>
      <c r="L588" s="4" t="s">
        <v>67</v>
      </c>
      <c r="M588" s="4" t="b">
        <v>0</v>
      </c>
      <c r="N588" s="4" t="s">
        <v>68</v>
      </c>
      <c r="O588" s="4" t="s">
        <v>69</v>
      </c>
      <c r="P588" s="6">
        <v>44301.720243055555</v>
      </c>
      <c r="Q588" s="4">
        <v>16933.0</v>
      </c>
      <c r="R588" s="4"/>
      <c r="S588" s="4"/>
      <c r="T588" s="4"/>
      <c r="U588" s="7"/>
      <c r="V588" s="4"/>
      <c r="W588" s="4"/>
      <c r="X588" s="4"/>
      <c r="Y588" s="4"/>
      <c r="Z588" s="4"/>
      <c r="AA588" s="5"/>
      <c r="AB588" s="5"/>
      <c r="AC588" s="5"/>
      <c r="AD588" s="5"/>
      <c r="AE588" s="5"/>
    </row>
    <row r="589">
      <c r="A589" s="4" t="s">
        <v>1270</v>
      </c>
      <c r="B589" s="4"/>
      <c r="C589" s="4" t="s">
        <v>680</v>
      </c>
      <c r="D589" s="4">
        <v>49835.0</v>
      </c>
      <c r="E589" s="4"/>
      <c r="F589" s="4" t="s">
        <v>85</v>
      </c>
      <c r="G589" s="4">
        <v>99.0</v>
      </c>
      <c r="H589" s="4"/>
      <c r="I589" s="4">
        <v>99.0</v>
      </c>
      <c r="J589" s="4" t="s">
        <v>1271</v>
      </c>
      <c r="K589" s="4">
        <v>9.19920937811E11</v>
      </c>
      <c r="L589" s="4" t="s">
        <v>67</v>
      </c>
      <c r="M589" s="4" t="b">
        <v>0</v>
      </c>
      <c r="N589" s="4" t="s">
        <v>68</v>
      </c>
      <c r="O589" s="4" t="s">
        <v>69</v>
      </c>
      <c r="P589" s="6">
        <v>44285.60439814815</v>
      </c>
      <c r="Q589" s="4">
        <v>16563.0</v>
      </c>
      <c r="R589" s="4"/>
      <c r="S589" s="4"/>
      <c r="T589" s="4"/>
      <c r="U589" s="7"/>
      <c r="V589" s="4"/>
      <c r="W589" s="4"/>
      <c r="X589" s="4"/>
      <c r="Y589" s="4"/>
      <c r="Z589" s="4"/>
      <c r="AA589" s="5"/>
      <c r="AB589" s="5"/>
      <c r="AC589" s="5"/>
      <c r="AD589" s="5"/>
      <c r="AE589" s="5"/>
    </row>
    <row r="590">
      <c r="A590" s="4" t="s">
        <v>1272</v>
      </c>
      <c r="B590" s="4"/>
      <c r="C590" s="4" t="s">
        <v>1264</v>
      </c>
      <c r="D590" s="4">
        <v>49994.0</v>
      </c>
      <c r="E590" s="4"/>
      <c r="F590" s="4" t="s">
        <v>85</v>
      </c>
      <c r="G590" s="4">
        <v>199.0</v>
      </c>
      <c r="H590" s="4"/>
      <c r="I590" s="4">
        <v>199.0</v>
      </c>
      <c r="J590" s="4" t="s">
        <v>1273</v>
      </c>
      <c r="K590" s="4">
        <v>9.19975678287E11</v>
      </c>
      <c r="L590" s="4" t="s">
        <v>67</v>
      </c>
      <c r="M590" s="4" t="b">
        <v>0</v>
      </c>
      <c r="N590" s="4" t="s">
        <v>68</v>
      </c>
      <c r="O590" s="4" t="s">
        <v>69</v>
      </c>
      <c r="P590" s="6">
        <v>44301.76756944445</v>
      </c>
      <c r="Q590" s="4">
        <v>16896.0</v>
      </c>
      <c r="R590" s="4"/>
      <c r="S590" s="4"/>
      <c r="T590" s="4"/>
      <c r="U590" s="7"/>
      <c r="V590" s="4"/>
      <c r="W590" s="4"/>
      <c r="X590" s="4"/>
      <c r="Y590" s="4"/>
      <c r="Z590" s="4"/>
      <c r="AA590" s="5"/>
      <c r="AB590" s="5"/>
      <c r="AC590" s="5"/>
      <c r="AD590" s="5"/>
      <c r="AE590" s="5"/>
    </row>
    <row r="591">
      <c r="A591" s="4" t="s">
        <v>1274</v>
      </c>
      <c r="B591" s="4"/>
      <c r="C591" s="4" t="s">
        <v>680</v>
      </c>
      <c r="D591" s="4">
        <v>49835.0</v>
      </c>
      <c r="E591" s="4"/>
      <c r="F591" s="4" t="s">
        <v>85</v>
      </c>
      <c r="G591" s="4">
        <v>99.0</v>
      </c>
      <c r="H591" s="4"/>
      <c r="I591" s="4">
        <v>99.0</v>
      </c>
      <c r="J591" s="4" t="s">
        <v>1275</v>
      </c>
      <c r="K591" s="4">
        <v>9.19739958666E11</v>
      </c>
      <c r="L591" s="4" t="s">
        <v>67</v>
      </c>
      <c r="M591" s="4" t="b">
        <v>0</v>
      </c>
      <c r="N591" s="4" t="s">
        <v>68</v>
      </c>
      <c r="O591" s="4" t="s">
        <v>69</v>
      </c>
      <c r="P591" s="6">
        <v>44285.80042824074</v>
      </c>
      <c r="Q591" s="4">
        <v>16564.0</v>
      </c>
      <c r="R591" s="4"/>
      <c r="S591" s="4"/>
      <c r="T591" s="4"/>
      <c r="U591" s="7"/>
      <c r="V591" s="4"/>
      <c r="W591" s="4"/>
      <c r="X591" s="4"/>
      <c r="Y591" s="4"/>
      <c r="Z591" s="4"/>
      <c r="AA591" s="5"/>
      <c r="AB591" s="5"/>
      <c r="AC591" s="5"/>
      <c r="AD591" s="5"/>
      <c r="AE591" s="5"/>
    </row>
    <row r="592">
      <c r="A592" s="4" t="s">
        <v>1276</v>
      </c>
      <c r="B592" s="4"/>
      <c r="C592" s="4" t="s">
        <v>858</v>
      </c>
      <c r="D592" s="4">
        <v>49958.0</v>
      </c>
      <c r="E592" s="4"/>
      <c r="F592" s="4" t="s">
        <v>149</v>
      </c>
      <c r="G592" s="4">
        <v>99.0</v>
      </c>
      <c r="H592" s="4"/>
      <c r="I592" s="4">
        <v>99.0</v>
      </c>
      <c r="J592" s="4" t="s">
        <v>1277</v>
      </c>
      <c r="K592" s="4">
        <v>9.19326129046E11</v>
      </c>
      <c r="L592" s="4" t="s">
        <v>67</v>
      </c>
      <c r="M592" s="4" t="b">
        <v>0</v>
      </c>
      <c r="N592" s="4" t="s">
        <v>74</v>
      </c>
      <c r="O592" s="4" t="s">
        <v>69</v>
      </c>
      <c r="P592" s="6">
        <v>44301.65803240741</v>
      </c>
      <c r="Q592" s="4" t="s">
        <v>83</v>
      </c>
      <c r="R592" s="4"/>
      <c r="S592" s="4"/>
      <c r="T592" s="4"/>
      <c r="U592" s="7"/>
      <c r="V592" s="4"/>
      <c r="W592" s="4"/>
      <c r="X592" s="4"/>
      <c r="Y592" s="4"/>
      <c r="Z592" s="4"/>
      <c r="AA592" s="5"/>
      <c r="AB592" s="5"/>
      <c r="AC592" s="5"/>
      <c r="AD592" s="5"/>
      <c r="AE592" s="5"/>
    </row>
    <row r="593">
      <c r="A593" s="4" t="s">
        <v>1278</v>
      </c>
      <c r="B593" s="4"/>
      <c r="C593" s="4" t="s">
        <v>1264</v>
      </c>
      <c r="D593" s="4">
        <v>49994.0</v>
      </c>
      <c r="E593" s="4"/>
      <c r="F593" s="4" t="s">
        <v>149</v>
      </c>
      <c r="G593" s="4">
        <v>99.0</v>
      </c>
      <c r="H593" s="4"/>
      <c r="I593" s="4">
        <v>99.0</v>
      </c>
      <c r="J593" s="4" t="s">
        <v>1279</v>
      </c>
      <c r="K593" s="4">
        <v>9.18978473496E11</v>
      </c>
      <c r="L593" s="4" t="s">
        <v>67</v>
      </c>
      <c r="M593" s="4" t="b">
        <v>0</v>
      </c>
      <c r="N593" s="4" t="s">
        <v>151</v>
      </c>
      <c r="O593" s="4" t="s">
        <v>69</v>
      </c>
      <c r="P593" s="6">
        <v>44301.78550925926</v>
      </c>
      <c r="Q593" s="4">
        <v>16919.0</v>
      </c>
      <c r="R593" s="4"/>
      <c r="S593" s="4"/>
      <c r="T593" s="4"/>
      <c r="U593" s="7"/>
      <c r="V593" s="4"/>
      <c r="W593" s="4"/>
      <c r="X593" s="4"/>
      <c r="Y593" s="4"/>
      <c r="Z593" s="4"/>
      <c r="AA593" s="5"/>
      <c r="AB593" s="5"/>
      <c r="AC593" s="5"/>
      <c r="AD593" s="5"/>
      <c r="AE593" s="5"/>
    </row>
    <row r="594">
      <c r="A594" s="4" t="s">
        <v>1280</v>
      </c>
      <c r="B594" s="4"/>
      <c r="C594" s="4" t="s">
        <v>858</v>
      </c>
      <c r="D594" s="4">
        <v>49958.0</v>
      </c>
      <c r="E594" s="4"/>
      <c r="F594" s="4" t="s">
        <v>149</v>
      </c>
      <c r="G594" s="4">
        <v>99.0</v>
      </c>
      <c r="H594" s="4"/>
      <c r="I594" s="4">
        <v>99.0</v>
      </c>
      <c r="J594" s="4" t="s">
        <v>1281</v>
      </c>
      <c r="K594" s="4">
        <v>9.1965796273E11</v>
      </c>
      <c r="L594" s="4" t="s">
        <v>67</v>
      </c>
      <c r="M594" s="4" t="b">
        <v>0</v>
      </c>
      <c r="N594" s="4" t="s">
        <v>68</v>
      </c>
      <c r="O594" s="4" t="s">
        <v>69</v>
      </c>
      <c r="P594" s="6">
        <v>44301.827673611115</v>
      </c>
      <c r="Q594" s="4">
        <v>17471.0</v>
      </c>
      <c r="R594" s="4"/>
      <c r="S594" s="4"/>
      <c r="T594" s="4"/>
      <c r="U594" s="7"/>
      <c r="V594" s="4"/>
      <c r="W594" s="4"/>
      <c r="X594" s="4"/>
      <c r="Y594" s="4"/>
      <c r="Z594" s="4"/>
      <c r="AA594" s="5"/>
      <c r="AB594" s="5"/>
      <c r="AC594" s="5"/>
      <c r="AD594" s="5"/>
      <c r="AE594" s="5"/>
    </row>
    <row r="595">
      <c r="A595" s="4" t="s">
        <v>1282</v>
      </c>
      <c r="B595" s="4"/>
      <c r="C595" s="4" t="s">
        <v>858</v>
      </c>
      <c r="D595" s="4">
        <v>49958.0</v>
      </c>
      <c r="E595" s="4"/>
      <c r="F595" s="4" t="s">
        <v>149</v>
      </c>
      <c r="G595" s="4">
        <v>99.0</v>
      </c>
      <c r="H595" s="4"/>
      <c r="I595" s="4">
        <v>99.0</v>
      </c>
      <c r="J595" s="4" t="s">
        <v>1283</v>
      </c>
      <c r="K595" s="4">
        <v>9.19064236723E11</v>
      </c>
      <c r="L595" s="4" t="s">
        <v>67</v>
      </c>
      <c r="M595" s="4" t="b">
        <v>0</v>
      </c>
      <c r="N595" s="4" t="s">
        <v>74</v>
      </c>
      <c r="O595" s="4" t="s">
        <v>69</v>
      </c>
      <c r="P595" s="6">
        <v>44301.85542824074</v>
      </c>
      <c r="Q595" s="4">
        <v>17635.0</v>
      </c>
      <c r="R595" s="4"/>
      <c r="S595" s="4"/>
      <c r="T595" s="4"/>
      <c r="U595" s="7"/>
      <c r="V595" s="4"/>
      <c r="W595" s="4"/>
      <c r="X595" s="4"/>
      <c r="Y595" s="4"/>
      <c r="Z595" s="4"/>
      <c r="AA595" s="5"/>
      <c r="AB595" s="5"/>
      <c r="AC595" s="5"/>
      <c r="AD595" s="5"/>
      <c r="AE595" s="5"/>
    </row>
    <row r="596">
      <c r="A596" s="4" t="s">
        <v>1284</v>
      </c>
      <c r="B596" s="4"/>
      <c r="C596" s="4" t="s">
        <v>858</v>
      </c>
      <c r="D596" s="4">
        <v>49958.0</v>
      </c>
      <c r="E596" s="4"/>
      <c r="F596" s="4" t="s">
        <v>149</v>
      </c>
      <c r="G596" s="4">
        <v>99.0</v>
      </c>
      <c r="H596" s="4"/>
      <c r="I596" s="4">
        <v>99.0</v>
      </c>
      <c r="J596" s="4" t="s">
        <v>1285</v>
      </c>
      <c r="K596" s="4">
        <v>9.18779424854E11</v>
      </c>
      <c r="L596" s="4" t="s">
        <v>67</v>
      </c>
      <c r="M596" s="4" t="b">
        <v>0</v>
      </c>
      <c r="N596" s="4" t="s">
        <v>68</v>
      </c>
      <c r="O596" s="4" t="s">
        <v>69</v>
      </c>
      <c r="P596" s="6">
        <v>44301.88982638889</v>
      </c>
      <c r="Q596" s="4">
        <v>16900.0</v>
      </c>
      <c r="R596" s="4"/>
      <c r="S596" s="4"/>
      <c r="T596" s="4"/>
      <c r="U596" s="7"/>
      <c r="V596" s="4"/>
      <c r="W596" s="4"/>
      <c r="X596" s="4"/>
      <c r="Y596" s="4"/>
      <c r="Z596" s="4"/>
      <c r="AA596" s="5"/>
      <c r="AB596" s="5"/>
      <c r="AC596" s="5"/>
      <c r="AD596" s="5"/>
      <c r="AE596" s="5"/>
    </row>
    <row r="597">
      <c r="A597" s="4" t="s">
        <v>1286</v>
      </c>
      <c r="B597" s="4"/>
      <c r="C597" s="4" t="s">
        <v>858</v>
      </c>
      <c r="D597" s="4">
        <v>49958.0</v>
      </c>
      <c r="E597" s="4"/>
      <c r="F597" s="4" t="s">
        <v>149</v>
      </c>
      <c r="G597" s="4">
        <v>99.0</v>
      </c>
      <c r="H597" s="4"/>
      <c r="I597" s="4">
        <v>99.0</v>
      </c>
      <c r="J597" s="4" t="s">
        <v>1287</v>
      </c>
      <c r="K597" s="4">
        <v>9.19136221622E11</v>
      </c>
      <c r="L597" s="4" t="s">
        <v>67</v>
      </c>
      <c r="M597" s="4" t="b">
        <v>0</v>
      </c>
      <c r="N597" s="4" t="s">
        <v>68</v>
      </c>
      <c r="O597" s="4" t="s">
        <v>69</v>
      </c>
      <c r="P597" s="6">
        <v>44301.90825231482</v>
      </c>
      <c r="Q597" s="4">
        <v>16904.0</v>
      </c>
      <c r="R597" s="4"/>
      <c r="S597" s="4"/>
      <c r="T597" s="4"/>
      <c r="U597" s="7"/>
      <c r="V597" s="4"/>
      <c r="W597" s="4"/>
      <c r="X597" s="4"/>
      <c r="Y597" s="4"/>
      <c r="Z597" s="4"/>
      <c r="AA597" s="5"/>
      <c r="AB597" s="5"/>
      <c r="AC597" s="5"/>
      <c r="AD597" s="5"/>
      <c r="AE597" s="5"/>
    </row>
    <row r="598">
      <c r="A598" s="4" t="s">
        <v>1288</v>
      </c>
      <c r="B598" s="4"/>
      <c r="C598" s="4" t="s">
        <v>680</v>
      </c>
      <c r="D598" s="4">
        <v>49835.0</v>
      </c>
      <c r="E598" s="4"/>
      <c r="F598" s="4" t="s">
        <v>85</v>
      </c>
      <c r="G598" s="4">
        <v>99.0</v>
      </c>
      <c r="H598" s="4"/>
      <c r="I598" s="4">
        <v>99.0</v>
      </c>
      <c r="J598" s="4" t="s">
        <v>1289</v>
      </c>
      <c r="K598" s="4">
        <v>9.19894644746E11</v>
      </c>
      <c r="L598" s="4" t="s">
        <v>67</v>
      </c>
      <c r="M598" s="4" t="b">
        <v>0</v>
      </c>
      <c r="N598" s="4" t="s">
        <v>97</v>
      </c>
      <c r="O598" s="4" t="s">
        <v>69</v>
      </c>
      <c r="P598" s="6">
        <v>44285.87427083333</v>
      </c>
      <c r="Q598" s="4">
        <v>16567.0</v>
      </c>
      <c r="R598" s="4"/>
      <c r="S598" s="4"/>
      <c r="T598" s="4"/>
      <c r="U598" s="7"/>
      <c r="V598" s="4"/>
      <c r="W598" s="4"/>
      <c r="X598" s="4"/>
      <c r="Y598" s="4"/>
      <c r="Z598" s="4"/>
      <c r="AA598" s="5"/>
      <c r="AB598" s="5"/>
      <c r="AC598" s="5"/>
      <c r="AD598" s="5"/>
      <c r="AE598" s="5"/>
    </row>
    <row r="599">
      <c r="A599" s="4" t="s">
        <v>1290</v>
      </c>
      <c r="B599" s="4"/>
      <c r="C599" s="4" t="s">
        <v>885</v>
      </c>
      <c r="D599" s="4">
        <v>49844.0</v>
      </c>
      <c r="E599" s="4"/>
      <c r="F599" s="4" t="s">
        <v>85</v>
      </c>
      <c r="G599" s="4">
        <v>199.0</v>
      </c>
      <c r="H599" s="4"/>
      <c r="I599" s="4">
        <v>199.0</v>
      </c>
      <c r="J599" s="4" t="s">
        <v>1291</v>
      </c>
      <c r="K599" s="4">
        <v>9.19780514598E11</v>
      </c>
      <c r="L599" s="4" t="s">
        <v>67</v>
      </c>
      <c r="M599" s="4" t="b">
        <v>0</v>
      </c>
      <c r="N599" s="4" t="s">
        <v>68</v>
      </c>
      <c r="O599" s="4" t="s">
        <v>69</v>
      </c>
      <c r="P599" s="6">
        <v>44302.46076388889</v>
      </c>
      <c r="Q599" s="4">
        <v>16913.0</v>
      </c>
      <c r="R599" s="4"/>
      <c r="S599" s="4"/>
      <c r="T599" s="4"/>
      <c r="U599" s="7"/>
      <c r="V599" s="4"/>
      <c r="W599" s="4"/>
      <c r="X599" s="4"/>
      <c r="Y599" s="4"/>
      <c r="Z599" s="4"/>
      <c r="AA599" s="5"/>
      <c r="AB599" s="5"/>
      <c r="AC599" s="5"/>
      <c r="AD599" s="5"/>
      <c r="AE599" s="5"/>
    </row>
    <row r="600">
      <c r="A600" s="4" t="s">
        <v>1292</v>
      </c>
      <c r="B600" s="4"/>
      <c r="C600" s="4" t="s">
        <v>680</v>
      </c>
      <c r="D600" s="4">
        <v>49835.0</v>
      </c>
      <c r="E600" s="4"/>
      <c r="F600" s="4" t="s">
        <v>85</v>
      </c>
      <c r="G600" s="4">
        <v>99.0</v>
      </c>
      <c r="H600" s="4"/>
      <c r="I600" s="4">
        <v>99.0</v>
      </c>
      <c r="J600" s="4" t="s">
        <v>1293</v>
      </c>
      <c r="K600" s="4">
        <v>9.19873483333E11</v>
      </c>
      <c r="L600" s="4" t="s">
        <v>67</v>
      </c>
      <c r="M600" s="4" t="b">
        <v>0</v>
      </c>
      <c r="N600" s="4" t="s">
        <v>68</v>
      </c>
      <c r="O600" s="4" t="s">
        <v>69</v>
      </c>
      <c r="P600" s="6">
        <v>44286.571435185186</v>
      </c>
      <c r="Q600" s="4">
        <v>16570.0</v>
      </c>
      <c r="R600" s="4"/>
      <c r="S600" s="4"/>
      <c r="T600" s="4"/>
      <c r="U600" s="7"/>
      <c r="V600" s="4"/>
      <c r="W600" s="4"/>
      <c r="X600" s="4"/>
      <c r="Y600" s="4"/>
      <c r="Z600" s="4"/>
      <c r="AA600" s="5"/>
      <c r="AB600" s="5"/>
      <c r="AC600" s="5"/>
      <c r="AD600" s="5"/>
      <c r="AE600" s="5"/>
    </row>
    <row r="601">
      <c r="A601" s="4" t="s">
        <v>1294</v>
      </c>
      <c r="B601" s="4"/>
      <c r="C601" s="4" t="s">
        <v>1059</v>
      </c>
      <c r="D601" s="4">
        <v>49997.0</v>
      </c>
      <c r="E601" s="4"/>
      <c r="F601" s="4" t="s">
        <v>149</v>
      </c>
      <c r="G601" s="4">
        <v>99.0</v>
      </c>
      <c r="H601" s="4"/>
      <c r="I601" s="4">
        <v>99.0</v>
      </c>
      <c r="J601" s="4" t="s">
        <v>1295</v>
      </c>
      <c r="K601" s="4">
        <v>9.18879400441E11</v>
      </c>
      <c r="L601" s="4" t="s">
        <v>67</v>
      </c>
      <c r="M601" s="4" t="b">
        <v>0</v>
      </c>
      <c r="N601" s="4" t="s">
        <v>68</v>
      </c>
      <c r="O601" s="4" t="s">
        <v>69</v>
      </c>
      <c r="P601" s="6">
        <v>44302.484826388885</v>
      </c>
      <c r="Q601" s="4">
        <v>16979.0</v>
      </c>
      <c r="R601" s="4"/>
      <c r="S601" s="4"/>
      <c r="T601" s="4"/>
      <c r="U601" s="7"/>
      <c r="V601" s="4"/>
      <c r="W601" s="4"/>
      <c r="X601" s="4"/>
      <c r="Y601" s="4"/>
      <c r="Z601" s="4"/>
      <c r="AA601" s="5"/>
      <c r="AB601" s="5"/>
      <c r="AC601" s="5"/>
      <c r="AD601" s="5"/>
      <c r="AE601" s="5"/>
    </row>
    <row r="602">
      <c r="A602" s="4" t="s">
        <v>1296</v>
      </c>
      <c r="B602" s="4"/>
      <c r="C602" s="4" t="s">
        <v>184</v>
      </c>
      <c r="D602" s="4">
        <v>49833.0</v>
      </c>
      <c r="E602" s="4"/>
      <c r="F602" s="4" t="s">
        <v>77</v>
      </c>
      <c r="G602" s="4">
        <v>499.0</v>
      </c>
      <c r="H602" s="4"/>
      <c r="I602" s="4">
        <v>499.0</v>
      </c>
      <c r="J602" s="4" t="s">
        <v>1297</v>
      </c>
      <c r="K602" s="4">
        <v>9.16304489336E11</v>
      </c>
      <c r="L602" s="4" t="s">
        <v>67</v>
      </c>
      <c r="M602" s="4" t="b">
        <v>0</v>
      </c>
      <c r="N602" s="4" t="s">
        <v>68</v>
      </c>
      <c r="O602" s="4" t="s">
        <v>69</v>
      </c>
      <c r="P602" s="6">
        <v>44302.486759259256</v>
      </c>
      <c r="Q602" s="4">
        <v>17100.0</v>
      </c>
      <c r="R602" s="4"/>
      <c r="S602" s="4"/>
      <c r="T602" s="4"/>
      <c r="U602" s="8"/>
      <c r="V602" s="4"/>
      <c r="W602" s="4"/>
      <c r="X602" s="4"/>
      <c r="Y602" s="4"/>
      <c r="Z602" s="4"/>
      <c r="AA602" s="5"/>
      <c r="AB602" s="5"/>
      <c r="AC602" s="5"/>
      <c r="AD602" s="5"/>
      <c r="AE602" s="5"/>
    </row>
    <row r="603">
      <c r="A603" s="4" t="s">
        <v>1298</v>
      </c>
      <c r="B603" s="4"/>
      <c r="C603" s="4" t="s">
        <v>680</v>
      </c>
      <c r="D603" s="4">
        <v>49835.0</v>
      </c>
      <c r="E603" s="4"/>
      <c r="F603" s="4" t="s">
        <v>85</v>
      </c>
      <c r="G603" s="4">
        <v>99.0</v>
      </c>
      <c r="H603" s="4"/>
      <c r="I603" s="4">
        <v>99.0</v>
      </c>
      <c r="J603" s="4" t="s">
        <v>1299</v>
      </c>
      <c r="K603" s="4">
        <v>9.18447875636E11</v>
      </c>
      <c r="L603" s="4" t="s">
        <v>67</v>
      </c>
      <c r="M603" s="4" t="b">
        <v>0</v>
      </c>
      <c r="N603" s="4" t="s">
        <v>68</v>
      </c>
      <c r="O603" s="4" t="s">
        <v>69</v>
      </c>
      <c r="P603" s="6">
        <v>44286.68261574074</v>
      </c>
      <c r="Q603" s="4">
        <v>16595.0</v>
      </c>
      <c r="R603" s="4"/>
      <c r="S603" s="4"/>
      <c r="T603" s="4"/>
      <c r="U603" s="7"/>
      <c r="V603" s="4"/>
      <c r="W603" s="4"/>
      <c r="X603" s="4"/>
      <c r="Y603" s="4"/>
      <c r="Z603" s="4"/>
      <c r="AA603" s="5"/>
      <c r="AB603" s="5"/>
      <c r="AC603" s="5"/>
      <c r="AD603" s="5"/>
      <c r="AE603" s="5"/>
    </row>
    <row r="604">
      <c r="A604" s="4" t="s">
        <v>1300</v>
      </c>
      <c r="B604" s="4"/>
      <c r="C604" s="4" t="s">
        <v>960</v>
      </c>
      <c r="D604" s="4">
        <v>49834.0</v>
      </c>
      <c r="E604" s="4"/>
      <c r="F604" s="4" t="s">
        <v>149</v>
      </c>
      <c r="G604" s="4">
        <v>99.0</v>
      </c>
      <c r="H604" s="4"/>
      <c r="I604" s="4">
        <v>99.0</v>
      </c>
      <c r="J604" s="4" t="s">
        <v>1301</v>
      </c>
      <c r="K604" s="4">
        <v>9.18605689953E11</v>
      </c>
      <c r="L604" s="4" t="s">
        <v>67</v>
      </c>
      <c r="M604" s="4" t="b">
        <v>0</v>
      </c>
      <c r="N604" s="4" t="s">
        <v>97</v>
      </c>
      <c r="O604" s="4" t="s">
        <v>69</v>
      </c>
      <c r="P604" s="6">
        <v>44301.96828703704</v>
      </c>
      <c r="Q604" s="4" t="s">
        <v>83</v>
      </c>
      <c r="R604" s="4"/>
      <c r="S604" s="4"/>
      <c r="T604" s="4"/>
      <c r="U604" s="7"/>
      <c r="V604" s="4"/>
      <c r="W604" s="4"/>
      <c r="X604" s="4"/>
      <c r="Y604" s="4"/>
      <c r="Z604" s="4"/>
      <c r="AA604" s="5"/>
      <c r="AB604" s="5"/>
      <c r="AC604" s="5"/>
      <c r="AD604" s="5"/>
      <c r="AE604" s="5"/>
    </row>
    <row r="605">
      <c r="A605" s="4" t="s">
        <v>1302</v>
      </c>
      <c r="B605" s="4"/>
      <c r="C605" s="4" t="s">
        <v>680</v>
      </c>
      <c r="D605" s="4">
        <v>49835.0</v>
      </c>
      <c r="E605" s="4"/>
      <c r="F605" s="4" t="s">
        <v>85</v>
      </c>
      <c r="G605" s="4">
        <v>99.0</v>
      </c>
      <c r="H605" s="4"/>
      <c r="I605" s="4">
        <v>99.0</v>
      </c>
      <c r="J605" s="4" t="s">
        <v>1303</v>
      </c>
      <c r="K605" s="4">
        <v>9.1709672918E11</v>
      </c>
      <c r="L605" s="4" t="s">
        <v>67</v>
      </c>
      <c r="M605" s="4" t="b">
        <v>0</v>
      </c>
      <c r="N605" s="4" t="s">
        <v>68</v>
      </c>
      <c r="O605" s="4" t="s">
        <v>69</v>
      </c>
      <c r="P605" s="6">
        <v>44287.47241898148</v>
      </c>
      <c r="Q605" s="4">
        <v>16589.0</v>
      </c>
      <c r="R605" s="4"/>
      <c r="S605" s="4"/>
      <c r="T605" s="4"/>
      <c r="U605" s="7"/>
      <c r="V605" s="4"/>
      <c r="W605" s="4"/>
      <c r="X605" s="4"/>
      <c r="Y605" s="4"/>
      <c r="Z605" s="4"/>
      <c r="AA605" s="5"/>
      <c r="AB605" s="5"/>
      <c r="AC605" s="5"/>
      <c r="AD605" s="5"/>
      <c r="AE605" s="5"/>
    </row>
    <row r="606">
      <c r="A606" s="4" t="s">
        <v>1304</v>
      </c>
      <c r="B606" s="4"/>
      <c r="C606" s="4" t="s">
        <v>184</v>
      </c>
      <c r="D606" s="4">
        <v>49833.0</v>
      </c>
      <c r="E606" s="4"/>
      <c r="F606" s="4" t="s">
        <v>77</v>
      </c>
      <c r="G606" s="4">
        <v>499.0</v>
      </c>
      <c r="H606" s="4"/>
      <c r="I606" s="4">
        <v>499.0</v>
      </c>
      <c r="J606" s="4" t="s">
        <v>1305</v>
      </c>
      <c r="K606" s="4">
        <v>9.17980048067E11</v>
      </c>
      <c r="L606" s="4" t="s">
        <v>67</v>
      </c>
      <c r="M606" s="4" t="b">
        <v>0</v>
      </c>
      <c r="N606" s="4" t="s">
        <v>68</v>
      </c>
      <c r="O606" s="4" t="s">
        <v>69</v>
      </c>
      <c r="P606" s="6">
        <v>44302.54210648148</v>
      </c>
      <c r="Q606" s="4">
        <v>17101.0</v>
      </c>
      <c r="R606" s="4"/>
      <c r="S606" s="4"/>
      <c r="T606" s="4"/>
      <c r="U606" s="8"/>
      <c r="V606" s="4"/>
      <c r="W606" s="4"/>
      <c r="X606" s="4"/>
      <c r="Y606" s="4"/>
      <c r="Z606" s="4"/>
      <c r="AA606" s="5"/>
      <c r="AB606" s="5"/>
      <c r="AC606" s="5"/>
      <c r="AD606" s="5"/>
      <c r="AE606" s="5"/>
    </row>
    <row r="607">
      <c r="A607" s="4" t="s">
        <v>1306</v>
      </c>
      <c r="B607" s="4"/>
      <c r="C607" s="4" t="s">
        <v>680</v>
      </c>
      <c r="D607" s="4">
        <v>49835.0</v>
      </c>
      <c r="E607" s="4"/>
      <c r="F607" s="4" t="s">
        <v>85</v>
      </c>
      <c r="G607" s="4">
        <v>99.0</v>
      </c>
      <c r="H607" s="4"/>
      <c r="I607" s="4">
        <v>99.0</v>
      </c>
      <c r="J607" s="4" t="s">
        <v>1307</v>
      </c>
      <c r="K607" s="4">
        <v>9.2044562223E10</v>
      </c>
      <c r="L607" s="4" t="s">
        <v>67</v>
      </c>
      <c r="M607" s="4" t="b">
        <v>0</v>
      </c>
      <c r="N607" s="4" t="s">
        <v>68</v>
      </c>
      <c r="O607" s="4" t="s">
        <v>69</v>
      </c>
      <c r="P607" s="6">
        <v>44287.50991898148</v>
      </c>
      <c r="Q607" s="4" t="s">
        <v>83</v>
      </c>
      <c r="R607" s="4"/>
      <c r="S607" s="4"/>
      <c r="T607" s="4"/>
      <c r="U607" s="7"/>
      <c r="V607" s="4"/>
      <c r="W607" s="4"/>
      <c r="X607" s="4"/>
      <c r="Y607" s="4"/>
      <c r="Z607" s="4"/>
      <c r="AA607" s="5"/>
      <c r="AB607" s="5"/>
      <c r="AC607" s="5"/>
      <c r="AD607" s="5"/>
      <c r="AE607" s="5"/>
    </row>
    <row r="608">
      <c r="A608" s="4" t="s">
        <v>1308</v>
      </c>
      <c r="B608" s="4"/>
      <c r="C608" s="4" t="s">
        <v>680</v>
      </c>
      <c r="D608" s="4">
        <v>49835.0</v>
      </c>
      <c r="E608" s="4"/>
      <c r="F608" s="4" t="s">
        <v>85</v>
      </c>
      <c r="G608" s="4">
        <v>99.0</v>
      </c>
      <c r="H608" s="4"/>
      <c r="I608" s="4">
        <v>99.0</v>
      </c>
      <c r="J608" s="4" t="s">
        <v>1307</v>
      </c>
      <c r="K608" s="4">
        <v>9.19204456223E11</v>
      </c>
      <c r="L608" s="4" t="s">
        <v>67</v>
      </c>
      <c r="M608" s="4" t="b">
        <v>0</v>
      </c>
      <c r="N608" s="4" t="s">
        <v>74</v>
      </c>
      <c r="O608" s="4" t="s">
        <v>69</v>
      </c>
      <c r="P608" s="6">
        <v>44287.518171296295</v>
      </c>
      <c r="Q608" s="4" t="s">
        <v>83</v>
      </c>
      <c r="R608" s="4"/>
      <c r="S608" s="4"/>
      <c r="T608" s="4"/>
      <c r="U608" s="7"/>
      <c r="V608" s="4"/>
      <c r="W608" s="4"/>
      <c r="X608" s="4"/>
      <c r="Y608" s="4"/>
      <c r="Z608" s="4"/>
      <c r="AA608" s="5"/>
      <c r="AB608" s="5"/>
      <c r="AC608" s="5"/>
      <c r="AD608" s="5"/>
      <c r="AE608" s="5"/>
    </row>
    <row r="609">
      <c r="A609" s="4" t="s">
        <v>1309</v>
      </c>
      <c r="B609" s="4"/>
      <c r="C609" s="4" t="s">
        <v>791</v>
      </c>
      <c r="D609" s="4">
        <v>49948.0</v>
      </c>
      <c r="E609" s="4"/>
      <c r="F609" s="4" t="s">
        <v>149</v>
      </c>
      <c r="G609" s="4">
        <v>99.0</v>
      </c>
      <c r="H609" s="4"/>
      <c r="I609" s="4">
        <v>99.0</v>
      </c>
      <c r="J609" s="4" t="s">
        <v>1310</v>
      </c>
      <c r="K609" s="4">
        <v>9.1854199026E11</v>
      </c>
      <c r="L609" s="4" t="s">
        <v>67</v>
      </c>
      <c r="M609" s="4" t="b">
        <v>0</v>
      </c>
      <c r="N609" s="4" t="s">
        <v>151</v>
      </c>
      <c r="O609" s="4" t="s">
        <v>69</v>
      </c>
      <c r="P609" s="6">
        <v>44302.52203703704</v>
      </c>
      <c r="Q609" s="4">
        <v>16917.0</v>
      </c>
      <c r="R609" s="4"/>
      <c r="S609" s="4"/>
      <c r="T609" s="4"/>
      <c r="U609" s="7"/>
      <c r="V609" s="4"/>
      <c r="W609" s="4"/>
      <c r="X609" s="4"/>
      <c r="Y609" s="4"/>
      <c r="Z609" s="4"/>
      <c r="AA609" s="5"/>
      <c r="AB609" s="5"/>
      <c r="AC609" s="5"/>
      <c r="AD609" s="5"/>
      <c r="AE609" s="5"/>
    </row>
    <row r="610">
      <c r="A610" s="4" t="s">
        <v>1311</v>
      </c>
      <c r="B610" s="4"/>
      <c r="C610" s="4" t="s">
        <v>680</v>
      </c>
      <c r="D610" s="4">
        <v>49835.0</v>
      </c>
      <c r="E610" s="4"/>
      <c r="F610" s="4" t="s">
        <v>85</v>
      </c>
      <c r="G610" s="4">
        <v>99.0</v>
      </c>
      <c r="H610" s="4"/>
      <c r="I610" s="4">
        <v>99.0</v>
      </c>
      <c r="J610" s="4" t="s">
        <v>1312</v>
      </c>
      <c r="K610" s="4">
        <v>9.19579981219E11</v>
      </c>
      <c r="L610" s="4" t="s">
        <v>67</v>
      </c>
      <c r="M610" s="4" t="b">
        <v>0</v>
      </c>
      <c r="N610" s="4" t="s">
        <v>97</v>
      </c>
      <c r="O610" s="4" t="s">
        <v>69</v>
      </c>
      <c r="P610" s="6">
        <v>44288.63554398148</v>
      </c>
      <c r="Q610" s="4">
        <v>16604.0</v>
      </c>
      <c r="R610" s="4"/>
      <c r="S610" s="4"/>
      <c r="T610" s="4"/>
      <c r="U610" s="7"/>
      <c r="V610" s="4"/>
      <c r="W610" s="4"/>
      <c r="X610" s="4"/>
      <c r="Y610" s="4"/>
      <c r="Z610" s="4"/>
      <c r="AA610" s="5"/>
      <c r="AB610" s="5"/>
      <c r="AC610" s="5"/>
      <c r="AD610" s="5"/>
      <c r="AE610" s="5"/>
    </row>
    <row r="611">
      <c r="A611" s="4" t="s">
        <v>1313</v>
      </c>
      <c r="B611" s="4"/>
      <c r="C611" s="4" t="s">
        <v>1059</v>
      </c>
      <c r="D611" s="4">
        <v>49997.0</v>
      </c>
      <c r="E611" s="4"/>
      <c r="F611" s="4" t="s">
        <v>149</v>
      </c>
      <c r="G611" s="4">
        <v>99.0</v>
      </c>
      <c r="H611" s="4"/>
      <c r="I611" s="4">
        <v>99.0</v>
      </c>
      <c r="J611" s="4" t="s">
        <v>1314</v>
      </c>
      <c r="K611" s="4">
        <v>9.19893038506E11</v>
      </c>
      <c r="L611" s="4" t="s">
        <v>67</v>
      </c>
      <c r="M611" s="4" t="b">
        <v>0</v>
      </c>
      <c r="N611" s="4" t="s">
        <v>68</v>
      </c>
      <c r="O611" s="4" t="s">
        <v>69</v>
      </c>
      <c r="P611" s="6">
        <v>44302.59923611111</v>
      </c>
      <c r="Q611" s="4">
        <v>16935.0</v>
      </c>
      <c r="R611" s="4"/>
      <c r="S611" s="4"/>
      <c r="T611" s="4"/>
      <c r="U611" s="7"/>
      <c r="V611" s="4"/>
      <c r="W611" s="4"/>
      <c r="X611" s="4"/>
      <c r="Y611" s="4"/>
      <c r="Z611" s="4"/>
      <c r="AA611" s="5"/>
      <c r="AB611" s="5"/>
      <c r="AC611" s="5"/>
      <c r="AD611" s="5"/>
      <c r="AE611" s="5"/>
    </row>
    <row r="612">
      <c r="A612" s="4" t="s">
        <v>1315</v>
      </c>
      <c r="B612" s="4"/>
      <c r="C612" s="4" t="s">
        <v>680</v>
      </c>
      <c r="D612" s="4">
        <v>49835.0</v>
      </c>
      <c r="E612" s="4"/>
      <c r="F612" s="4" t="s">
        <v>85</v>
      </c>
      <c r="G612" s="4">
        <v>99.0</v>
      </c>
      <c r="H612" s="4"/>
      <c r="I612" s="4">
        <v>99.0</v>
      </c>
      <c r="J612" s="4" t="s">
        <v>1316</v>
      </c>
      <c r="K612" s="4">
        <v>9.1970329801E11</v>
      </c>
      <c r="L612" s="4" t="s">
        <v>67</v>
      </c>
      <c r="M612" s="4" t="b">
        <v>0</v>
      </c>
      <c r="N612" s="4" t="s">
        <v>68</v>
      </c>
      <c r="O612" s="4" t="s">
        <v>69</v>
      </c>
      <c r="P612" s="6">
        <v>44288.66849537037</v>
      </c>
      <c r="Q612" s="4">
        <v>16602.0</v>
      </c>
      <c r="R612" s="4"/>
      <c r="S612" s="4"/>
      <c r="T612" s="4"/>
      <c r="U612" s="7"/>
      <c r="V612" s="4"/>
      <c r="W612" s="4"/>
      <c r="X612" s="4"/>
      <c r="Y612" s="4"/>
      <c r="Z612" s="4"/>
      <c r="AA612" s="5"/>
      <c r="AB612" s="5"/>
      <c r="AC612" s="5"/>
      <c r="AD612" s="5"/>
      <c r="AE612" s="5"/>
    </row>
    <row r="613">
      <c r="A613" s="4" t="s">
        <v>1317</v>
      </c>
      <c r="B613" s="4"/>
      <c r="C613" s="4" t="s">
        <v>680</v>
      </c>
      <c r="D613" s="4">
        <v>49835.0</v>
      </c>
      <c r="E613" s="4"/>
      <c r="F613" s="4" t="s">
        <v>85</v>
      </c>
      <c r="G613" s="4">
        <v>99.0</v>
      </c>
      <c r="H613" s="4"/>
      <c r="I613" s="4">
        <v>99.0</v>
      </c>
      <c r="J613" s="4" t="s">
        <v>1318</v>
      </c>
      <c r="K613" s="4">
        <v>9.19985141881E11</v>
      </c>
      <c r="L613" s="4" t="s">
        <v>67</v>
      </c>
      <c r="M613" s="4" t="b">
        <v>0</v>
      </c>
      <c r="N613" s="4" t="s">
        <v>68</v>
      </c>
      <c r="O613" s="4" t="s">
        <v>69</v>
      </c>
      <c r="P613" s="6">
        <v>44289.34341435185</v>
      </c>
      <c r="Q613" s="4">
        <v>16611.0</v>
      </c>
      <c r="R613" s="4"/>
      <c r="S613" s="4"/>
      <c r="T613" s="4"/>
      <c r="U613" s="7"/>
      <c r="V613" s="4"/>
      <c r="W613" s="4"/>
      <c r="X613" s="4"/>
      <c r="Y613" s="4"/>
      <c r="Z613" s="4"/>
      <c r="AA613" s="5"/>
      <c r="AB613" s="5"/>
      <c r="AC613" s="5"/>
      <c r="AD613" s="5"/>
      <c r="AE613" s="5"/>
    </row>
    <row r="614">
      <c r="A614" s="4" t="s">
        <v>1319</v>
      </c>
      <c r="B614" s="4"/>
      <c r="C614" s="4" t="s">
        <v>1320</v>
      </c>
      <c r="D614" s="4">
        <v>50036.0</v>
      </c>
      <c r="E614" s="4"/>
      <c r="F614" s="4" t="s">
        <v>149</v>
      </c>
      <c r="G614" s="4">
        <v>149.0</v>
      </c>
      <c r="H614" s="4"/>
      <c r="I614" s="4">
        <v>149.0</v>
      </c>
      <c r="J614" s="4" t="s">
        <v>1321</v>
      </c>
      <c r="K614" s="4">
        <v>9.19953110524E11</v>
      </c>
      <c r="L614" s="4" t="s">
        <v>67</v>
      </c>
      <c r="M614" s="4" t="b">
        <v>0</v>
      </c>
      <c r="N614" s="4" t="s">
        <v>74</v>
      </c>
      <c r="O614" s="4" t="s">
        <v>69</v>
      </c>
      <c r="P614" s="6">
        <v>44302.67251157408</v>
      </c>
      <c r="Q614" s="4">
        <v>16923.0</v>
      </c>
      <c r="R614" s="4"/>
      <c r="S614" s="4"/>
      <c r="T614" s="4"/>
      <c r="U614" s="7"/>
      <c r="V614" s="4"/>
      <c r="W614" s="4"/>
      <c r="X614" s="4"/>
      <c r="Y614" s="4"/>
      <c r="Z614" s="4"/>
      <c r="AA614" s="5"/>
      <c r="AB614" s="5"/>
      <c r="AC614" s="5"/>
      <c r="AD614" s="5"/>
      <c r="AE614" s="5"/>
    </row>
    <row r="615">
      <c r="A615" s="4" t="s">
        <v>1322</v>
      </c>
      <c r="B615" s="4"/>
      <c r="C615" s="4" t="s">
        <v>1264</v>
      </c>
      <c r="D615" s="4">
        <v>49994.0</v>
      </c>
      <c r="E615" s="4"/>
      <c r="F615" s="4" t="s">
        <v>77</v>
      </c>
      <c r="G615" s="4">
        <v>349.0</v>
      </c>
      <c r="H615" s="4"/>
      <c r="I615" s="4">
        <v>349.0</v>
      </c>
      <c r="J615" s="4" t="s">
        <v>1323</v>
      </c>
      <c r="K615" s="4">
        <v>9.17077803146E11</v>
      </c>
      <c r="L615" s="4" t="s">
        <v>67</v>
      </c>
      <c r="M615" s="4" t="b">
        <v>0</v>
      </c>
      <c r="N615" s="4" t="s">
        <v>68</v>
      </c>
      <c r="O615" s="4" t="s">
        <v>69</v>
      </c>
      <c r="P615" s="6">
        <v>44302.68466435185</v>
      </c>
      <c r="Q615" s="4">
        <v>16945.0</v>
      </c>
      <c r="R615" s="4"/>
      <c r="S615" s="4"/>
      <c r="T615" s="4"/>
      <c r="U615" s="8"/>
      <c r="V615" s="4"/>
      <c r="W615" s="4"/>
      <c r="X615" s="4"/>
      <c r="Y615" s="4"/>
      <c r="Z615" s="4"/>
      <c r="AA615" s="5"/>
      <c r="AB615" s="5"/>
      <c r="AC615" s="5"/>
      <c r="AD615" s="5"/>
      <c r="AE615" s="5"/>
    </row>
    <row r="616">
      <c r="A616" s="4" t="s">
        <v>1324</v>
      </c>
      <c r="B616" s="4"/>
      <c r="C616" s="4" t="s">
        <v>1320</v>
      </c>
      <c r="D616" s="4">
        <v>50036.0</v>
      </c>
      <c r="E616" s="4"/>
      <c r="F616" s="4" t="s">
        <v>149</v>
      </c>
      <c r="G616" s="4">
        <v>149.0</v>
      </c>
      <c r="H616" s="4"/>
      <c r="I616" s="4">
        <v>149.0</v>
      </c>
      <c r="J616" s="4" t="s">
        <v>1325</v>
      </c>
      <c r="K616" s="4">
        <v>9.19966478345E11</v>
      </c>
      <c r="L616" s="4" t="s">
        <v>67</v>
      </c>
      <c r="M616" s="4" t="b">
        <v>0</v>
      </c>
      <c r="N616" s="4" t="s">
        <v>68</v>
      </c>
      <c r="O616" s="4" t="s">
        <v>69</v>
      </c>
      <c r="P616" s="6">
        <v>44302.709398148145</v>
      </c>
      <c r="Q616" s="4">
        <v>16924.0</v>
      </c>
      <c r="R616" s="4"/>
      <c r="S616" s="4"/>
      <c r="T616" s="4"/>
      <c r="U616" s="7"/>
      <c r="V616" s="4"/>
      <c r="W616" s="4"/>
      <c r="X616" s="4"/>
      <c r="Y616" s="4"/>
      <c r="Z616" s="4"/>
      <c r="AA616" s="5"/>
      <c r="AB616" s="5"/>
      <c r="AC616" s="5"/>
      <c r="AD616" s="5"/>
      <c r="AE616" s="5"/>
    </row>
    <row r="617">
      <c r="A617" s="4" t="s">
        <v>1326</v>
      </c>
      <c r="B617" s="4"/>
      <c r="C617" s="4" t="s">
        <v>858</v>
      </c>
      <c r="D617" s="4">
        <v>49958.0</v>
      </c>
      <c r="E617" s="4"/>
      <c r="F617" s="4" t="s">
        <v>85</v>
      </c>
      <c r="G617" s="4">
        <v>199.0</v>
      </c>
      <c r="H617" s="4"/>
      <c r="I617" s="4">
        <v>199.0</v>
      </c>
      <c r="J617" s="4" t="s">
        <v>1327</v>
      </c>
      <c r="K617" s="4">
        <v>9.1883844192E11</v>
      </c>
      <c r="L617" s="4" t="s">
        <v>67</v>
      </c>
      <c r="M617" s="4" t="b">
        <v>0</v>
      </c>
      <c r="N617" s="4" t="s">
        <v>68</v>
      </c>
      <c r="O617" s="4" t="s">
        <v>69</v>
      </c>
      <c r="P617" s="6">
        <v>44302.785462962966</v>
      </c>
      <c r="Q617" s="4" t="s">
        <v>83</v>
      </c>
      <c r="R617" s="4"/>
      <c r="S617" s="4"/>
      <c r="T617" s="4"/>
      <c r="U617" s="7"/>
      <c r="V617" s="4"/>
      <c r="W617" s="4"/>
      <c r="X617" s="4"/>
      <c r="Y617" s="4"/>
      <c r="Z617" s="4"/>
      <c r="AA617" s="5"/>
      <c r="AB617" s="5"/>
      <c r="AC617" s="5"/>
      <c r="AD617" s="5"/>
      <c r="AE617" s="5"/>
    </row>
    <row r="618">
      <c r="A618" s="4" t="s">
        <v>1328</v>
      </c>
      <c r="B618" s="4"/>
      <c r="C618" s="4" t="s">
        <v>680</v>
      </c>
      <c r="D618" s="4">
        <v>49835.0</v>
      </c>
      <c r="E618" s="4"/>
      <c r="F618" s="4" t="s">
        <v>85</v>
      </c>
      <c r="G618" s="4">
        <v>99.0</v>
      </c>
      <c r="H618" s="4"/>
      <c r="I618" s="4">
        <v>99.0</v>
      </c>
      <c r="J618" s="4" t="s">
        <v>1329</v>
      </c>
      <c r="K618" s="4">
        <v>9.16353122546E11</v>
      </c>
      <c r="L618" s="4" t="s">
        <v>67</v>
      </c>
      <c r="M618" s="4" t="b">
        <v>0</v>
      </c>
      <c r="N618" s="4" t="s">
        <v>68</v>
      </c>
      <c r="O618" s="4" t="s">
        <v>69</v>
      </c>
      <c r="P618" s="6">
        <v>44290.39662037037</v>
      </c>
      <c r="Q618" s="4">
        <v>16618.0</v>
      </c>
      <c r="R618" s="4"/>
      <c r="S618" s="4"/>
      <c r="T618" s="4"/>
      <c r="U618" s="7"/>
      <c r="V618" s="4"/>
      <c r="W618" s="4"/>
      <c r="X618" s="4"/>
      <c r="Y618" s="4"/>
      <c r="Z618" s="4"/>
      <c r="AA618" s="5"/>
      <c r="AB618" s="5"/>
      <c r="AC618" s="5"/>
      <c r="AD618" s="5"/>
      <c r="AE618" s="5"/>
    </row>
    <row r="619">
      <c r="A619" s="4" t="s">
        <v>1330</v>
      </c>
      <c r="B619" s="4"/>
      <c r="C619" s="4" t="s">
        <v>680</v>
      </c>
      <c r="D619" s="4">
        <v>49835.0</v>
      </c>
      <c r="E619" s="4"/>
      <c r="F619" s="4" t="s">
        <v>85</v>
      </c>
      <c r="G619" s="4">
        <v>99.0</v>
      </c>
      <c r="H619" s="4"/>
      <c r="I619" s="4">
        <v>99.0</v>
      </c>
      <c r="J619" s="4" t="s">
        <v>1331</v>
      </c>
      <c r="K619" s="4">
        <v>9.1902922058E11</v>
      </c>
      <c r="L619" s="4" t="s">
        <v>67</v>
      </c>
      <c r="M619" s="4" t="b">
        <v>0</v>
      </c>
      <c r="N619" s="4" t="s">
        <v>68</v>
      </c>
      <c r="O619" s="4" t="s">
        <v>69</v>
      </c>
      <c r="P619" s="6">
        <v>44290.52674768519</v>
      </c>
      <c r="Q619" s="4">
        <v>16677.0</v>
      </c>
      <c r="R619" s="4"/>
      <c r="S619" s="4"/>
      <c r="T619" s="4"/>
      <c r="U619" s="7"/>
      <c r="V619" s="4"/>
      <c r="W619" s="4"/>
      <c r="X619" s="4"/>
      <c r="Y619" s="4"/>
      <c r="Z619" s="4"/>
      <c r="AA619" s="5"/>
      <c r="AB619" s="5"/>
      <c r="AC619" s="5"/>
      <c r="AD619" s="5"/>
      <c r="AE619" s="5"/>
    </row>
    <row r="620">
      <c r="A620" s="4" t="s">
        <v>1332</v>
      </c>
      <c r="B620" s="4"/>
      <c r="C620" s="4" t="s">
        <v>184</v>
      </c>
      <c r="D620" s="4">
        <v>49833.0</v>
      </c>
      <c r="E620" s="4"/>
      <c r="F620" s="4" t="s">
        <v>85</v>
      </c>
      <c r="G620" s="4">
        <v>299.0</v>
      </c>
      <c r="H620" s="4"/>
      <c r="I620" s="4">
        <v>299.0</v>
      </c>
      <c r="J620" s="4" t="s">
        <v>1333</v>
      </c>
      <c r="K620" s="4">
        <v>9.19900323825E11</v>
      </c>
      <c r="L620" s="4" t="s">
        <v>67</v>
      </c>
      <c r="M620" s="4" t="b">
        <v>0</v>
      </c>
      <c r="N620" s="4" t="s">
        <v>97</v>
      </c>
      <c r="O620" s="4" t="s">
        <v>69</v>
      </c>
      <c r="P620" s="6">
        <v>44302.84180555555</v>
      </c>
      <c r="Q620" s="4">
        <v>17102.0</v>
      </c>
      <c r="R620" s="4"/>
      <c r="S620" s="4"/>
      <c r="T620" s="4"/>
      <c r="U620" s="7"/>
      <c r="V620" s="4"/>
      <c r="W620" s="4"/>
      <c r="X620" s="4"/>
      <c r="Y620" s="4"/>
      <c r="Z620" s="4"/>
      <c r="AA620" s="5"/>
      <c r="AB620" s="5"/>
      <c r="AC620" s="5"/>
      <c r="AD620" s="5"/>
      <c r="AE620" s="5"/>
    </row>
    <row r="621">
      <c r="A621" s="4" t="s">
        <v>1334</v>
      </c>
      <c r="B621" s="4"/>
      <c r="C621" s="4" t="s">
        <v>280</v>
      </c>
      <c r="D621" s="4">
        <v>49877.0</v>
      </c>
      <c r="E621" s="4"/>
      <c r="F621" s="4" t="s">
        <v>85</v>
      </c>
      <c r="G621" s="4">
        <v>99.0</v>
      </c>
      <c r="H621" s="4"/>
      <c r="I621" s="4">
        <v>99.0</v>
      </c>
      <c r="J621" s="4" t="s">
        <v>1335</v>
      </c>
      <c r="K621" s="4">
        <v>9.1890332009E11</v>
      </c>
      <c r="L621" s="4" t="s">
        <v>67</v>
      </c>
      <c r="M621" s="4" t="b">
        <v>0</v>
      </c>
      <c r="N621" s="4" t="s">
        <v>97</v>
      </c>
      <c r="O621" s="4" t="s">
        <v>69</v>
      </c>
      <c r="P621" s="6">
        <v>44302.87435185185</v>
      </c>
      <c r="Q621" s="4" t="s">
        <v>83</v>
      </c>
      <c r="R621" s="4"/>
      <c r="S621" s="4"/>
      <c r="T621" s="4"/>
      <c r="U621" s="7"/>
      <c r="V621" s="4"/>
      <c r="W621" s="4"/>
      <c r="X621" s="4"/>
      <c r="Y621" s="4"/>
      <c r="Z621" s="4"/>
      <c r="AA621" s="5"/>
      <c r="AB621" s="5"/>
      <c r="AC621" s="5"/>
      <c r="AD621" s="5"/>
      <c r="AE621" s="5"/>
    </row>
    <row r="622">
      <c r="A622" s="4" t="s">
        <v>1336</v>
      </c>
      <c r="B622" s="4"/>
      <c r="C622" s="4" t="s">
        <v>680</v>
      </c>
      <c r="D622" s="4">
        <v>49835.0</v>
      </c>
      <c r="E622" s="4"/>
      <c r="F622" s="4" t="s">
        <v>85</v>
      </c>
      <c r="G622" s="4">
        <v>99.0</v>
      </c>
      <c r="H622" s="4"/>
      <c r="I622" s="4">
        <v>99.0</v>
      </c>
      <c r="J622" s="4" t="s">
        <v>1337</v>
      </c>
      <c r="K622" s="4">
        <v>9.17016529011E11</v>
      </c>
      <c r="L622" s="4" t="s">
        <v>67</v>
      </c>
      <c r="M622" s="4" t="b">
        <v>0</v>
      </c>
      <c r="N622" s="4" t="s">
        <v>74</v>
      </c>
      <c r="O622" s="4" t="s">
        <v>69</v>
      </c>
      <c r="P622" s="6">
        <v>44290.70951388889</v>
      </c>
      <c r="Q622" s="4" t="s">
        <v>83</v>
      </c>
      <c r="R622" s="4"/>
      <c r="S622" s="4"/>
      <c r="T622" s="4"/>
      <c r="U622" s="7"/>
      <c r="V622" s="4"/>
      <c r="W622" s="4"/>
      <c r="X622" s="4"/>
      <c r="Y622" s="4"/>
      <c r="Z622" s="4"/>
      <c r="AA622" s="5"/>
      <c r="AB622" s="5"/>
      <c r="AC622" s="5"/>
      <c r="AD622" s="5"/>
      <c r="AE622" s="5"/>
    </row>
    <row r="623">
      <c r="A623" s="4" t="s">
        <v>1338</v>
      </c>
      <c r="B623" s="4"/>
      <c r="C623" s="4" t="s">
        <v>680</v>
      </c>
      <c r="D623" s="4">
        <v>49835.0</v>
      </c>
      <c r="E623" s="4"/>
      <c r="F623" s="4" t="s">
        <v>85</v>
      </c>
      <c r="G623" s="4">
        <v>99.0</v>
      </c>
      <c r="H623" s="4"/>
      <c r="I623" s="4">
        <v>99.0</v>
      </c>
      <c r="J623" s="4" t="s">
        <v>1339</v>
      </c>
      <c r="K623" s="4">
        <v>9.19176625213E11</v>
      </c>
      <c r="L623" s="4" t="s">
        <v>67</v>
      </c>
      <c r="M623" s="4" t="b">
        <v>0</v>
      </c>
      <c r="N623" s="4" t="s">
        <v>151</v>
      </c>
      <c r="O623" s="4" t="s">
        <v>69</v>
      </c>
      <c r="P623" s="6">
        <v>44290.899201388886</v>
      </c>
      <c r="Q623" s="4" t="s">
        <v>83</v>
      </c>
      <c r="R623" s="4"/>
      <c r="S623" s="4"/>
      <c r="T623" s="4"/>
      <c r="U623" s="7"/>
      <c r="V623" s="4"/>
      <c r="W623" s="4"/>
      <c r="X623" s="4"/>
      <c r="Y623" s="4"/>
      <c r="Z623" s="4"/>
      <c r="AA623" s="5"/>
      <c r="AB623" s="5"/>
      <c r="AC623" s="5"/>
      <c r="AD623" s="5"/>
      <c r="AE623" s="5"/>
    </row>
    <row r="624">
      <c r="A624" s="4" t="s">
        <v>1340</v>
      </c>
      <c r="B624" s="4"/>
      <c r="C624" s="4" t="s">
        <v>858</v>
      </c>
      <c r="D624" s="4">
        <v>49958.0</v>
      </c>
      <c r="E624" s="4"/>
      <c r="F624" s="4" t="s">
        <v>149</v>
      </c>
      <c r="G624" s="4">
        <v>99.0</v>
      </c>
      <c r="H624" s="4"/>
      <c r="I624" s="4">
        <v>99.0</v>
      </c>
      <c r="J624" s="4" t="s">
        <v>1341</v>
      </c>
      <c r="K624" s="4">
        <v>9.18975429431E11</v>
      </c>
      <c r="L624" s="4" t="s">
        <v>67</v>
      </c>
      <c r="M624" s="4" t="b">
        <v>0</v>
      </c>
      <c r="N624" s="4" t="s">
        <v>68</v>
      </c>
      <c r="O624" s="4" t="s">
        <v>69</v>
      </c>
      <c r="P624" s="6">
        <v>44302.89303240741</v>
      </c>
      <c r="Q624" s="4">
        <v>17456.0</v>
      </c>
      <c r="R624" s="4"/>
      <c r="S624" s="4"/>
      <c r="T624" s="4"/>
      <c r="U624" s="7"/>
      <c r="V624" s="4"/>
      <c r="W624" s="4"/>
      <c r="X624" s="4"/>
      <c r="Y624" s="4"/>
      <c r="Z624" s="4"/>
      <c r="AA624" s="5"/>
      <c r="AB624" s="5"/>
      <c r="AC624" s="5"/>
      <c r="AD624" s="5"/>
      <c r="AE624" s="5"/>
    </row>
    <row r="625">
      <c r="A625" s="4" t="s">
        <v>1342</v>
      </c>
      <c r="B625" s="4"/>
      <c r="C625" s="4" t="s">
        <v>791</v>
      </c>
      <c r="D625" s="4">
        <v>49948.0</v>
      </c>
      <c r="E625" s="4"/>
      <c r="F625" s="4" t="s">
        <v>149</v>
      </c>
      <c r="G625" s="4">
        <v>99.0</v>
      </c>
      <c r="H625" s="4"/>
      <c r="I625" s="4">
        <v>99.0</v>
      </c>
      <c r="J625" s="4" t="s">
        <v>1343</v>
      </c>
      <c r="K625" s="4">
        <v>9.19916031233E11</v>
      </c>
      <c r="L625" s="4" t="s">
        <v>67</v>
      </c>
      <c r="M625" s="4" t="b">
        <v>0</v>
      </c>
      <c r="N625" s="4" t="s">
        <v>68</v>
      </c>
      <c r="O625" s="4" t="s">
        <v>69</v>
      </c>
      <c r="P625" s="6">
        <v>44302.916655092595</v>
      </c>
      <c r="Q625" s="4">
        <v>16939.0</v>
      </c>
      <c r="R625" s="4"/>
      <c r="S625" s="4"/>
      <c r="T625" s="4"/>
      <c r="U625" s="7"/>
      <c r="V625" s="4"/>
      <c r="W625" s="4"/>
      <c r="X625" s="4"/>
      <c r="Y625" s="4"/>
      <c r="Z625" s="4"/>
      <c r="AA625" s="5"/>
      <c r="AB625" s="5"/>
      <c r="AC625" s="5"/>
      <c r="AD625" s="5"/>
      <c r="AE625" s="5"/>
    </row>
    <row r="626">
      <c r="A626" s="4" t="s">
        <v>1344</v>
      </c>
      <c r="B626" s="4"/>
      <c r="C626" s="4" t="s">
        <v>960</v>
      </c>
      <c r="D626" s="4">
        <v>49834.0</v>
      </c>
      <c r="E626" s="4"/>
      <c r="F626" s="4" t="s">
        <v>149</v>
      </c>
      <c r="G626" s="4">
        <v>99.0</v>
      </c>
      <c r="H626" s="4"/>
      <c r="I626" s="4">
        <v>99.0</v>
      </c>
      <c r="J626" s="4" t="s">
        <v>1345</v>
      </c>
      <c r="K626" s="4">
        <v>9.19985799855E11</v>
      </c>
      <c r="L626" s="4" t="s">
        <v>67</v>
      </c>
      <c r="M626" s="4" t="b">
        <v>0</v>
      </c>
      <c r="N626" s="4" t="s">
        <v>68</v>
      </c>
      <c r="O626" s="4" t="s">
        <v>69</v>
      </c>
      <c r="P626" s="6">
        <v>44302.92359953704</v>
      </c>
      <c r="Q626" s="4">
        <v>17043.0</v>
      </c>
      <c r="R626" s="4"/>
      <c r="S626" s="4"/>
      <c r="T626" s="4"/>
      <c r="U626" s="7"/>
      <c r="V626" s="4"/>
      <c r="W626" s="4"/>
      <c r="X626" s="4"/>
      <c r="Y626" s="4"/>
      <c r="Z626" s="4"/>
      <c r="AA626" s="5"/>
      <c r="AB626" s="5"/>
      <c r="AC626" s="5"/>
      <c r="AD626" s="5"/>
      <c r="AE626" s="5"/>
    </row>
    <row r="627">
      <c r="A627" s="4" t="s">
        <v>1346</v>
      </c>
      <c r="B627" s="4"/>
      <c r="C627" s="4" t="s">
        <v>1059</v>
      </c>
      <c r="D627" s="4">
        <v>49997.0</v>
      </c>
      <c r="E627" s="4"/>
      <c r="F627" s="4" t="s">
        <v>85</v>
      </c>
      <c r="G627" s="4">
        <v>199.0</v>
      </c>
      <c r="H627" s="4"/>
      <c r="I627" s="4">
        <v>199.0</v>
      </c>
      <c r="J627" s="4" t="s">
        <v>1347</v>
      </c>
      <c r="K627" s="4">
        <v>9.18802705258E11</v>
      </c>
      <c r="L627" s="4" t="s">
        <v>67</v>
      </c>
      <c r="M627" s="4" t="b">
        <v>0</v>
      </c>
      <c r="N627" s="4" t="s">
        <v>151</v>
      </c>
      <c r="O627" s="4" t="s">
        <v>69</v>
      </c>
      <c r="P627" s="6">
        <v>44302.97021990741</v>
      </c>
      <c r="Q627" s="4">
        <v>5419.0</v>
      </c>
      <c r="R627" s="4"/>
      <c r="S627" s="4"/>
      <c r="T627" s="4"/>
      <c r="U627" s="7"/>
      <c r="V627" s="4"/>
      <c r="W627" s="4"/>
      <c r="X627" s="4"/>
      <c r="Y627" s="4"/>
      <c r="Z627" s="4"/>
      <c r="AA627" s="5"/>
      <c r="AB627" s="5"/>
      <c r="AC627" s="5"/>
      <c r="AD627" s="5"/>
      <c r="AE627" s="5"/>
    </row>
    <row r="628">
      <c r="A628" s="4" t="s">
        <v>1348</v>
      </c>
      <c r="B628" s="4"/>
      <c r="C628" s="4" t="s">
        <v>184</v>
      </c>
      <c r="D628" s="4">
        <v>49833.0</v>
      </c>
      <c r="E628" s="4"/>
      <c r="F628" s="4" t="s">
        <v>85</v>
      </c>
      <c r="G628" s="4">
        <v>299.0</v>
      </c>
      <c r="H628" s="4"/>
      <c r="I628" s="4">
        <v>299.0</v>
      </c>
      <c r="J628" s="4" t="s">
        <v>1349</v>
      </c>
      <c r="K628" s="4">
        <v>9.19942704988E11</v>
      </c>
      <c r="L628" s="4" t="s">
        <v>67</v>
      </c>
      <c r="M628" s="4" t="b">
        <v>0</v>
      </c>
      <c r="N628" s="4" t="s">
        <v>68</v>
      </c>
      <c r="O628" s="4" t="s">
        <v>69</v>
      </c>
      <c r="P628" s="6">
        <v>44302.975173611114</v>
      </c>
      <c r="Q628" s="4" t="s">
        <v>83</v>
      </c>
      <c r="R628" s="4"/>
      <c r="S628" s="4"/>
      <c r="T628" s="4"/>
      <c r="U628" s="7"/>
      <c r="V628" s="4"/>
      <c r="W628" s="4"/>
      <c r="X628" s="4"/>
      <c r="Y628" s="4"/>
      <c r="Z628" s="4"/>
      <c r="AA628" s="5"/>
      <c r="AB628" s="5"/>
      <c r="AC628" s="5"/>
      <c r="AD628" s="5"/>
      <c r="AE628" s="5"/>
    </row>
    <row r="629">
      <c r="A629" s="4" t="s">
        <v>1350</v>
      </c>
      <c r="B629" s="4"/>
      <c r="C629" s="4" t="s">
        <v>960</v>
      </c>
      <c r="D629" s="4">
        <v>49834.0</v>
      </c>
      <c r="E629" s="4"/>
      <c r="F629" s="4" t="s">
        <v>149</v>
      </c>
      <c r="G629" s="4">
        <v>99.0</v>
      </c>
      <c r="H629" s="4"/>
      <c r="I629" s="4">
        <v>99.0</v>
      </c>
      <c r="J629" s="4" t="s">
        <v>1351</v>
      </c>
      <c r="K629" s="4">
        <v>9.19873817091E11</v>
      </c>
      <c r="L629" s="4" t="s">
        <v>67</v>
      </c>
      <c r="M629" s="4" t="b">
        <v>0</v>
      </c>
      <c r="N629" s="4" t="s">
        <v>74</v>
      </c>
      <c r="O629" s="4" t="s">
        <v>69</v>
      </c>
      <c r="P629" s="6">
        <v>44302.92579861111</v>
      </c>
      <c r="Q629" s="4">
        <v>17402.0</v>
      </c>
      <c r="R629" s="4"/>
      <c r="S629" s="4"/>
      <c r="T629" s="4"/>
      <c r="U629" s="7"/>
      <c r="V629" s="4"/>
      <c r="W629" s="4"/>
      <c r="X629" s="4"/>
      <c r="Y629" s="4"/>
      <c r="Z629" s="4"/>
      <c r="AA629" s="5"/>
      <c r="AB629" s="5"/>
      <c r="AC629" s="5"/>
      <c r="AD629" s="5"/>
      <c r="AE629" s="5"/>
    </row>
    <row r="630">
      <c r="A630" s="4" t="s">
        <v>1352</v>
      </c>
      <c r="B630" s="4"/>
      <c r="C630" s="4" t="s">
        <v>76</v>
      </c>
      <c r="D630" s="4">
        <v>49834.0</v>
      </c>
      <c r="E630" s="4"/>
      <c r="F630" s="4" t="s">
        <v>77</v>
      </c>
      <c r="G630" s="4">
        <v>349.0</v>
      </c>
      <c r="H630" s="4"/>
      <c r="I630" s="4">
        <v>349.0</v>
      </c>
      <c r="J630" s="4" t="s">
        <v>765</v>
      </c>
      <c r="K630" s="4">
        <v>9.19632219597E11</v>
      </c>
      <c r="L630" s="4" t="s">
        <v>67</v>
      </c>
      <c r="M630" s="4" t="b">
        <v>0</v>
      </c>
      <c r="N630" s="4" t="s">
        <v>68</v>
      </c>
      <c r="O630" s="4" t="s">
        <v>69</v>
      </c>
      <c r="P630" s="6">
        <v>44303.01755787037</v>
      </c>
      <c r="Q630" s="4">
        <v>16690.0</v>
      </c>
      <c r="R630" s="4"/>
      <c r="S630" s="4"/>
      <c r="T630" s="4"/>
      <c r="U630" s="8"/>
      <c r="V630" s="4"/>
      <c r="W630" s="4"/>
      <c r="X630" s="4"/>
      <c r="Y630" s="4"/>
      <c r="Z630" s="4"/>
      <c r="AA630" s="5"/>
      <c r="AB630" s="5"/>
      <c r="AC630" s="5"/>
      <c r="AD630" s="5"/>
      <c r="AE630" s="5"/>
    </row>
    <row r="631">
      <c r="A631" s="4" t="s">
        <v>1353</v>
      </c>
      <c r="B631" s="4"/>
      <c r="C631" s="4" t="s">
        <v>858</v>
      </c>
      <c r="D631" s="4">
        <v>49958.0</v>
      </c>
      <c r="E631" s="4"/>
      <c r="F631" s="4" t="s">
        <v>149</v>
      </c>
      <c r="G631" s="4">
        <v>99.0</v>
      </c>
      <c r="H631" s="4"/>
      <c r="I631" s="4">
        <v>99.0</v>
      </c>
      <c r="J631" s="4" t="s">
        <v>1354</v>
      </c>
      <c r="K631" s="4">
        <v>9.19653129846E11</v>
      </c>
      <c r="L631" s="4" t="s">
        <v>67</v>
      </c>
      <c r="M631" s="4" t="b">
        <v>0</v>
      </c>
      <c r="N631" s="4" t="s">
        <v>74</v>
      </c>
      <c r="O631" s="4" t="s">
        <v>69</v>
      </c>
      <c r="P631" s="6">
        <v>44302.939884259256</v>
      </c>
      <c r="Q631" s="4" t="s">
        <v>83</v>
      </c>
      <c r="R631" s="4"/>
      <c r="S631" s="4"/>
      <c r="T631" s="4"/>
      <c r="U631" s="7"/>
      <c r="V631" s="4"/>
      <c r="W631" s="4"/>
      <c r="X631" s="4"/>
      <c r="Y631" s="4"/>
      <c r="Z631" s="4"/>
      <c r="AA631" s="5"/>
      <c r="AB631" s="5"/>
      <c r="AC631" s="5"/>
      <c r="AD631" s="5"/>
      <c r="AE631" s="5"/>
    </row>
    <row r="632">
      <c r="A632" s="4" t="s">
        <v>1355</v>
      </c>
      <c r="B632" s="4"/>
      <c r="C632" s="4" t="s">
        <v>280</v>
      </c>
      <c r="D632" s="4">
        <v>49877.0</v>
      </c>
      <c r="E632" s="4"/>
      <c r="F632" s="4" t="s">
        <v>85</v>
      </c>
      <c r="G632" s="4">
        <v>99.0</v>
      </c>
      <c r="H632" s="4"/>
      <c r="I632" s="4">
        <v>99.0</v>
      </c>
      <c r="J632" s="4" t="s">
        <v>1356</v>
      </c>
      <c r="K632" s="4">
        <v>9.19538546796E11</v>
      </c>
      <c r="L632" s="4" t="s">
        <v>67</v>
      </c>
      <c r="M632" s="4" t="b">
        <v>0</v>
      </c>
      <c r="N632" s="4" t="s">
        <v>68</v>
      </c>
      <c r="O632" s="4" t="s">
        <v>69</v>
      </c>
      <c r="P632" s="6">
        <v>44303.308657407404</v>
      </c>
      <c r="Q632" s="4" t="s">
        <v>83</v>
      </c>
      <c r="R632" s="4"/>
      <c r="S632" s="4"/>
      <c r="T632" s="4"/>
      <c r="U632" s="7"/>
      <c r="V632" s="4"/>
      <c r="W632" s="4"/>
      <c r="X632" s="4"/>
      <c r="Y632" s="4"/>
      <c r="Z632" s="4"/>
      <c r="AA632" s="5"/>
      <c r="AB632" s="5"/>
      <c r="AC632" s="5"/>
      <c r="AD632" s="5"/>
      <c r="AE632" s="5"/>
    </row>
    <row r="633">
      <c r="A633" s="4" t="s">
        <v>1357</v>
      </c>
      <c r="B633" s="4"/>
      <c r="C633" s="4" t="s">
        <v>1104</v>
      </c>
      <c r="D633" s="4">
        <v>49993.0</v>
      </c>
      <c r="E633" s="4"/>
      <c r="F633" s="4" t="s">
        <v>149</v>
      </c>
      <c r="G633" s="4">
        <v>99.0</v>
      </c>
      <c r="H633" s="4"/>
      <c r="I633" s="4">
        <v>99.0</v>
      </c>
      <c r="J633" s="4" t="s">
        <v>1358</v>
      </c>
      <c r="K633" s="4">
        <v>9.17006160966E11</v>
      </c>
      <c r="L633" s="4" t="s">
        <v>67</v>
      </c>
      <c r="M633" s="4" t="b">
        <v>0</v>
      </c>
      <c r="N633" s="4" t="s">
        <v>74</v>
      </c>
      <c r="O633" s="4" t="s">
        <v>69</v>
      </c>
      <c r="P633" s="6">
        <v>44302.976319444446</v>
      </c>
      <c r="Q633" s="4">
        <v>16942.0</v>
      </c>
      <c r="R633" s="4"/>
      <c r="S633" s="4"/>
      <c r="T633" s="4"/>
      <c r="U633" s="7"/>
      <c r="V633" s="4"/>
      <c r="W633" s="4"/>
      <c r="X633" s="4"/>
      <c r="Y633" s="4"/>
      <c r="Z633" s="4"/>
      <c r="AA633" s="5"/>
      <c r="AB633" s="5"/>
      <c r="AC633" s="5"/>
      <c r="AD633" s="5"/>
      <c r="AE633" s="5"/>
    </row>
    <row r="634">
      <c r="A634" s="4" t="s">
        <v>1359</v>
      </c>
      <c r="B634" s="4"/>
      <c r="C634" s="4" t="s">
        <v>680</v>
      </c>
      <c r="D634" s="4">
        <v>49835.0</v>
      </c>
      <c r="E634" s="4"/>
      <c r="F634" s="4" t="s">
        <v>85</v>
      </c>
      <c r="G634" s="4">
        <v>99.0</v>
      </c>
      <c r="H634" s="4"/>
      <c r="I634" s="4">
        <v>99.0</v>
      </c>
      <c r="J634" s="4" t="s">
        <v>1360</v>
      </c>
      <c r="K634" s="4">
        <v>9.1886725733E11</v>
      </c>
      <c r="L634" s="4" t="s">
        <v>67</v>
      </c>
      <c r="M634" s="4" t="b">
        <v>0</v>
      </c>
      <c r="N634" s="4" t="s">
        <v>74</v>
      </c>
      <c r="O634" s="4" t="s">
        <v>69</v>
      </c>
      <c r="P634" s="6">
        <v>44291.39628472222</v>
      </c>
      <c r="Q634" s="4" t="s">
        <v>83</v>
      </c>
      <c r="R634" s="4"/>
      <c r="S634" s="4"/>
      <c r="T634" s="4"/>
      <c r="U634" s="7"/>
      <c r="V634" s="4"/>
      <c r="W634" s="4"/>
      <c r="X634" s="4"/>
      <c r="Y634" s="4"/>
      <c r="Z634" s="4"/>
      <c r="AA634" s="5"/>
      <c r="AB634" s="5"/>
      <c r="AC634" s="5"/>
      <c r="AD634" s="5"/>
      <c r="AE634" s="5"/>
    </row>
    <row r="635">
      <c r="A635" s="4" t="s">
        <v>1361</v>
      </c>
      <c r="B635" s="4"/>
      <c r="C635" s="4" t="s">
        <v>184</v>
      </c>
      <c r="D635" s="4">
        <v>49833.0</v>
      </c>
      <c r="E635" s="4"/>
      <c r="F635" s="4" t="s">
        <v>85</v>
      </c>
      <c r="G635" s="4">
        <v>299.0</v>
      </c>
      <c r="H635" s="4"/>
      <c r="I635" s="4">
        <v>299.0</v>
      </c>
      <c r="J635" s="4" t="s">
        <v>1362</v>
      </c>
      <c r="K635" s="4">
        <v>9.19967497775E11</v>
      </c>
      <c r="L635" s="4" t="s">
        <v>67</v>
      </c>
      <c r="M635" s="4" t="b">
        <v>0</v>
      </c>
      <c r="N635" s="4" t="s">
        <v>74</v>
      </c>
      <c r="O635" s="4" t="s">
        <v>69</v>
      </c>
      <c r="P635" s="6">
        <v>44303.43782407408</v>
      </c>
      <c r="Q635" s="4">
        <v>17131.0</v>
      </c>
      <c r="R635" s="4"/>
      <c r="S635" s="4"/>
      <c r="T635" s="4"/>
      <c r="U635" s="7"/>
      <c r="V635" s="4"/>
      <c r="W635" s="4"/>
      <c r="X635" s="4"/>
      <c r="Y635" s="4"/>
      <c r="Z635" s="4"/>
      <c r="AA635" s="5"/>
      <c r="AB635" s="5"/>
      <c r="AC635" s="5"/>
      <c r="AD635" s="5"/>
      <c r="AE635" s="5"/>
    </row>
    <row r="636">
      <c r="A636" s="4" t="s">
        <v>1363</v>
      </c>
      <c r="B636" s="4"/>
      <c r="C636" s="4" t="s">
        <v>680</v>
      </c>
      <c r="D636" s="4">
        <v>49835.0</v>
      </c>
      <c r="E636" s="4"/>
      <c r="F636" s="4" t="s">
        <v>85</v>
      </c>
      <c r="G636" s="4">
        <v>99.0</v>
      </c>
      <c r="H636" s="4"/>
      <c r="I636" s="4">
        <v>99.0</v>
      </c>
      <c r="J636" s="4" t="s">
        <v>1364</v>
      </c>
      <c r="K636" s="4">
        <v>9.17014180098E11</v>
      </c>
      <c r="L636" s="4" t="s">
        <v>67</v>
      </c>
      <c r="M636" s="4" t="b">
        <v>0</v>
      </c>
      <c r="N636" s="4" t="s">
        <v>68</v>
      </c>
      <c r="O636" s="4" t="s">
        <v>69</v>
      </c>
      <c r="P636" s="6">
        <v>44291.601006944446</v>
      </c>
      <c r="Q636" s="4" t="s">
        <v>83</v>
      </c>
      <c r="R636" s="4"/>
      <c r="S636" s="4"/>
      <c r="T636" s="4"/>
      <c r="U636" s="7"/>
      <c r="V636" s="4"/>
      <c r="W636" s="4"/>
      <c r="X636" s="4"/>
      <c r="Y636" s="4"/>
      <c r="Z636" s="4"/>
      <c r="AA636" s="5"/>
      <c r="AB636" s="5"/>
      <c r="AC636" s="5"/>
      <c r="AD636" s="5"/>
      <c r="AE636" s="5"/>
    </row>
    <row r="637">
      <c r="A637" s="4" t="s">
        <v>1365</v>
      </c>
      <c r="B637" s="4"/>
      <c r="C637" s="4" t="s">
        <v>680</v>
      </c>
      <c r="D637" s="4">
        <v>49835.0</v>
      </c>
      <c r="E637" s="4"/>
      <c r="F637" s="4" t="s">
        <v>85</v>
      </c>
      <c r="G637" s="4">
        <v>99.0</v>
      </c>
      <c r="H637" s="4"/>
      <c r="I637" s="4">
        <v>99.0</v>
      </c>
      <c r="J637" s="4" t="s">
        <v>1366</v>
      </c>
      <c r="K637" s="4">
        <v>9.1999988122E11</v>
      </c>
      <c r="L637" s="4" t="s">
        <v>67</v>
      </c>
      <c r="M637" s="4" t="b">
        <v>0</v>
      </c>
      <c r="N637" s="4" t="s">
        <v>68</v>
      </c>
      <c r="O637" s="4" t="s">
        <v>69</v>
      </c>
      <c r="P637" s="6">
        <v>44291.645590277774</v>
      </c>
      <c r="Q637" s="4" t="s">
        <v>83</v>
      </c>
      <c r="R637" s="4"/>
      <c r="S637" s="4"/>
      <c r="T637" s="4"/>
      <c r="U637" s="7"/>
      <c r="V637" s="4"/>
      <c r="W637" s="4"/>
      <c r="X637" s="4"/>
      <c r="Y637" s="4"/>
      <c r="Z637" s="4"/>
      <c r="AA637" s="5"/>
      <c r="AB637" s="5"/>
      <c r="AC637" s="5"/>
      <c r="AD637" s="5"/>
      <c r="AE637" s="5"/>
    </row>
    <row r="638">
      <c r="A638" s="4" t="s">
        <v>1367</v>
      </c>
      <c r="B638" s="4"/>
      <c r="C638" s="4" t="s">
        <v>680</v>
      </c>
      <c r="D638" s="4">
        <v>49835.0</v>
      </c>
      <c r="E638" s="4"/>
      <c r="F638" s="4" t="s">
        <v>85</v>
      </c>
      <c r="G638" s="4">
        <v>99.0</v>
      </c>
      <c r="H638" s="4"/>
      <c r="I638" s="4">
        <v>99.0</v>
      </c>
      <c r="J638" s="4" t="s">
        <v>1368</v>
      </c>
      <c r="K638" s="4">
        <v>9.19482191628E11</v>
      </c>
      <c r="L638" s="4" t="s">
        <v>67</v>
      </c>
      <c r="M638" s="4" t="b">
        <v>0</v>
      </c>
      <c r="N638" s="4" t="s">
        <v>68</v>
      </c>
      <c r="O638" s="4" t="s">
        <v>69</v>
      </c>
      <c r="P638" s="6">
        <v>44291.733402777776</v>
      </c>
      <c r="Q638" s="4" t="s">
        <v>83</v>
      </c>
      <c r="R638" s="4"/>
      <c r="S638" s="4"/>
      <c r="T638" s="4"/>
      <c r="U638" s="7"/>
      <c r="V638" s="4"/>
      <c r="W638" s="4"/>
      <c r="X638" s="4"/>
      <c r="Y638" s="4"/>
      <c r="Z638" s="4"/>
      <c r="AA638" s="5"/>
      <c r="AB638" s="5"/>
      <c r="AC638" s="5"/>
      <c r="AD638" s="5"/>
      <c r="AE638" s="5"/>
    </row>
    <row r="639">
      <c r="A639" s="4" t="s">
        <v>1369</v>
      </c>
      <c r="B639" s="4"/>
      <c r="C639" s="4" t="s">
        <v>280</v>
      </c>
      <c r="D639" s="4">
        <v>49877.0</v>
      </c>
      <c r="E639" s="4"/>
      <c r="F639" s="4" t="s">
        <v>85</v>
      </c>
      <c r="G639" s="4">
        <v>99.0</v>
      </c>
      <c r="H639" s="4"/>
      <c r="I639" s="4">
        <v>99.0</v>
      </c>
      <c r="J639" s="4" t="s">
        <v>1370</v>
      </c>
      <c r="K639" s="4">
        <v>9.1942989268E11</v>
      </c>
      <c r="L639" s="4" t="s">
        <v>67</v>
      </c>
      <c r="M639" s="4" t="b">
        <v>0</v>
      </c>
      <c r="N639" s="4" t="s">
        <v>68</v>
      </c>
      <c r="O639" s="4" t="s">
        <v>69</v>
      </c>
      <c r="P639" s="6">
        <v>44303.459872685184</v>
      </c>
      <c r="Q639" s="4" t="s">
        <v>83</v>
      </c>
      <c r="R639" s="4"/>
      <c r="S639" s="4"/>
      <c r="T639" s="4"/>
      <c r="U639" s="7"/>
      <c r="V639" s="4"/>
      <c r="W639" s="4"/>
      <c r="X639" s="4"/>
      <c r="Y639" s="4"/>
      <c r="Z639" s="4"/>
      <c r="AA639" s="5"/>
      <c r="AB639" s="5"/>
      <c r="AC639" s="5"/>
      <c r="AD639" s="5"/>
      <c r="AE639" s="5"/>
    </row>
    <row r="640">
      <c r="A640" s="4" t="s">
        <v>1371</v>
      </c>
      <c r="B640" s="4"/>
      <c r="C640" s="4" t="s">
        <v>1059</v>
      </c>
      <c r="D640" s="4">
        <v>49997.0</v>
      </c>
      <c r="E640" s="4"/>
      <c r="F640" s="4" t="s">
        <v>149</v>
      </c>
      <c r="G640" s="4">
        <v>99.0</v>
      </c>
      <c r="H640" s="4"/>
      <c r="I640" s="4">
        <v>99.0</v>
      </c>
      <c r="J640" s="4" t="s">
        <v>1372</v>
      </c>
      <c r="K640" s="4">
        <v>9.18810558698E11</v>
      </c>
      <c r="L640" s="4" t="s">
        <v>67</v>
      </c>
      <c r="M640" s="4" t="b">
        <v>0</v>
      </c>
      <c r="N640" s="4" t="s">
        <v>151</v>
      </c>
      <c r="O640" s="4" t="s">
        <v>69</v>
      </c>
      <c r="P640" s="6">
        <v>44303.47252314815</v>
      </c>
      <c r="Q640" s="4">
        <v>16949.0</v>
      </c>
      <c r="R640" s="4"/>
      <c r="S640" s="4"/>
      <c r="T640" s="4"/>
      <c r="U640" s="7"/>
      <c r="V640" s="4"/>
      <c r="W640" s="4"/>
      <c r="X640" s="4"/>
      <c r="Y640" s="4"/>
      <c r="Z640" s="4"/>
      <c r="AA640" s="5"/>
      <c r="AB640" s="5"/>
      <c r="AC640" s="5"/>
      <c r="AD640" s="5"/>
      <c r="AE640" s="5"/>
    </row>
    <row r="641">
      <c r="A641" s="4" t="s">
        <v>1373</v>
      </c>
      <c r="B641" s="4"/>
      <c r="C641" s="4" t="s">
        <v>1059</v>
      </c>
      <c r="D641" s="4">
        <v>49997.0</v>
      </c>
      <c r="E641" s="4"/>
      <c r="F641" s="4" t="s">
        <v>85</v>
      </c>
      <c r="G641" s="4">
        <v>199.0</v>
      </c>
      <c r="H641" s="4"/>
      <c r="I641" s="4">
        <v>199.0</v>
      </c>
      <c r="J641" s="4" t="s">
        <v>1374</v>
      </c>
      <c r="K641" s="4">
        <v>9.19962545496E11</v>
      </c>
      <c r="L641" s="4" t="s">
        <v>67</v>
      </c>
      <c r="M641" s="4" t="b">
        <v>0</v>
      </c>
      <c r="N641" s="4" t="s">
        <v>74</v>
      </c>
      <c r="O641" s="4" t="s">
        <v>69</v>
      </c>
      <c r="P641" s="6">
        <v>44303.48217592593</v>
      </c>
      <c r="Q641" s="4" t="s">
        <v>83</v>
      </c>
      <c r="R641" s="4"/>
      <c r="S641" s="4"/>
      <c r="T641" s="4"/>
      <c r="U641" s="7"/>
      <c r="V641" s="4"/>
      <c r="W641" s="4"/>
      <c r="X641" s="4"/>
      <c r="Y641" s="4"/>
      <c r="Z641" s="4"/>
      <c r="AA641" s="5"/>
      <c r="AB641" s="5"/>
      <c r="AC641" s="5"/>
      <c r="AD641" s="5"/>
      <c r="AE641" s="5"/>
    </row>
    <row r="642">
      <c r="A642" s="4" t="s">
        <v>1375</v>
      </c>
      <c r="B642" s="4"/>
      <c r="C642" s="4" t="s">
        <v>1104</v>
      </c>
      <c r="D642" s="4">
        <v>49993.0</v>
      </c>
      <c r="E642" s="4"/>
      <c r="F642" s="4" t="s">
        <v>149</v>
      </c>
      <c r="G642" s="4">
        <v>99.0</v>
      </c>
      <c r="H642" s="4"/>
      <c r="I642" s="4">
        <v>99.0</v>
      </c>
      <c r="J642" s="4" t="s">
        <v>1376</v>
      </c>
      <c r="K642" s="4">
        <v>9.18950279316E11</v>
      </c>
      <c r="L642" s="4" t="s">
        <v>67</v>
      </c>
      <c r="M642" s="4" t="b">
        <v>0</v>
      </c>
      <c r="N642" s="4" t="s">
        <v>68</v>
      </c>
      <c r="O642" s="4" t="s">
        <v>69</v>
      </c>
      <c r="P642" s="6">
        <v>44303.446238425924</v>
      </c>
      <c r="Q642" s="4">
        <v>16943.0</v>
      </c>
      <c r="R642" s="4"/>
      <c r="S642" s="4"/>
      <c r="T642" s="4"/>
      <c r="U642" s="7"/>
      <c r="V642" s="4"/>
      <c r="W642" s="4"/>
      <c r="X642" s="4"/>
      <c r="Y642" s="4"/>
      <c r="Z642" s="4"/>
      <c r="AA642" s="5"/>
      <c r="AB642" s="5"/>
      <c r="AC642" s="5"/>
      <c r="AD642" s="5"/>
      <c r="AE642" s="5"/>
    </row>
    <row r="643">
      <c r="A643" s="4" t="s">
        <v>1377</v>
      </c>
      <c r="B643" s="4"/>
      <c r="C643" s="4" t="s">
        <v>280</v>
      </c>
      <c r="D643" s="4">
        <v>49877.0</v>
      </c>
      <c r="E643" s="4"/>
      <c r="F643" s="4" t="s">
        <v>85</v>
      </c>
      <c r="G643" s="4">
        <v>99.0</v>
      </c>
      <c r="H643" s="4"/>
      <c r="I643" s="4">
        <v>99.0</v>
      </c>
      <c r="J643" s="4" t="s">
        <v>1378</v>
      </c>
      <c r="K643" s="4">
        <v>9.17093358228E11</v>
      </c>
      <c r="L643" s="4" t="s">
        <v>67</v>
      </c>
      <c r="M643" s="4" t="b">
        <v>0</v>
      </c>
      <c r="N643" s="4" t="s">
        <v>68</v>
      </c>
      <c r="O643" s="4" t="s">
        <v>69</v>
      </c>
      <c r="P643" s="6">
        <v>44303.53803240741</v>
      </c>
      <c r="Q643" s="4" t="s">
        <v>83</v>
      </c>
      <c r="R643" s="4"/>
      <c r="S643" s="4"/>
      <c r="T643" s="4"/>
      <c r="U643" s="7"/>
      <c r="V643" s="4"/>
      <c r="W643" s="4"/>
      <c r="X643" s="4"/>
      <c r="Y643" s="4"/>
      <c r="Z643" s="4"/>
      <c r="AA643" s="5"/>
      <c r="AB643" s="5"/>
      <c r="AC643" s="5"/>
      <c r="AD643" s="5"/>
      <c r="AE643" s="5"/>
    </row>
    <row r="644">
      <c r="A644" s="4" t="s">
        <v>1379</v>
      </c>
      <c r="B644" s="4"/>
      <c r="C644" s="4" t="s">
        <v>76</v>
      </c>
      <c r="D644" s="4">
        <v>49834.0</v>
      </c>
      <c r="E644" s="4"/>
      <c r="F644" s="4" t="s">
        <v>77</v>
      </c>
      <c r="G644" s="4">
        <v>349.0</v>
      </c>
      <c r="H644" s="4"/>
      <c r="I644" s="4">
        <v>349.0</v>
      </c>
      <c r="J644" s="4" t="s">
        <v>1380</v>
      </c>
      <c r="K644" s="4">
        <v>4.8663785985E10</v>
      </c>
      <c r="L644" s="4" t="s">
        <v>67</v>
      </c>
      <c r="M644" s="4" t="b">
        <v>0</v>
      </c>
      <c r="N644" s="4" t="s">
        <v>97</v>
      </c>
      <c r="O644" s="4" t="s">
        <v>69</v>
      </c>
      <c r="P644" s="6">
        <v>44303.56554398148</v>
      </c>
      <c r="Q644" s="4">
        <v>17056.0</v>
      </c>
      <c r="R644" s="4"/>
      <c r="S644" s="4"/>
      <c r="T644" s="4"/>
      <c r="U644" s="8"/>
      <c r="V644" s="4"/>
      <c r="W644" s="4"/>
      <c r="X644" s="4"/>
      <c r="Y644" s="4"/>
      <c r="Z644" s="4"/>
      <c r="AA644" s="5"/>
      <c r="AB644" s="5"/>
      <c r="AC644" s="5"/>
      <c r="AD644" s="5"/>
      <c r="AE644" s="5"/>
    </row>
    <row r="645">
      <c r="A645" s="4" t="s">
        <v>1381</v>
      </c>
      <c r="B645" s="4"/>
      <c r="C645" s="4" t="s">
        <v>1174</v>
      </c>
      <c r="D645" s="4">
        <v>49844.0</v>
      </c>
      <c r="E645" s="4"/>
      <c r="F645" s="4" t="s">
        <v>149</v>
      </c>
      <c r="G645" s="4">
        <v>99.0</v>
      </c>
      <c r="H645" s="4"/>
      <c r="I645" s="4">
        <v>99.0</v>
      </c>
      <c r="J645" s="4" t="s">
        <v>1382</v>
      </c>
      <c r="K645" s="4">
        <v>9.17987015683E11</v>
      </c>
      <c r="L645" s="4" t="s">
        <v>67</v>
      </c>
      <c r="M645" s="4" t="b">
        <v>0</v>
      </c>
      <c r="N645" s="4" t="s">
        <v>68</v>
      </c>
      <c r="O645" s="4" t="s">
        <v>69</v>
      </c>
      <c r="P645" s="6">
        <v>44303.451157407406</v>
      </c>
      <c r="Q645" s="4">
        <v>17017.0</v>
      </c>
      <c r="R645" s="4"/>
      <c r="S645" s="4"/>
      <c r="T645" s="4"/>
      <c r="U645" s="7"/>
      <c r="V645" s="4"/>
      <c r="W645" s="4"/>
      <c r="X645" s="4"/>
      <c r="Y645" s="4"/>
      <c r="Z645" s="4"/>
      <c r="AA645" s="5"/>
      <c r="AB645" s="5"/>
      <c r="AC645" s="5"/>
      <c r="AD645" s="5"/>
      <c r="AE645" s="5"/>
    </row>
    <row r="646">
      <c r="A646" s="4" t="s">
        <v>1383</v>
      </c>
      <c r="B646" s="4"/>
      <c r="C646" s="4" t="s">
        <v>680</v>
      </c>
      <c r="D646" s="4">
        <v>49835.0</v>
      </c>
      <c r="E646" s="4"/>
      <c r="F646" s="4" t="s">
        <v>85</v>
      </c>
      <c r="G646" s="4">
        <v>99.0</v>
      </c>
      <c r="H646" s="4"/>
      <c r="I646" s="4">
        <v>99.0</v>
      </c>
      <c r="J646" s="4" t="s">
        <v>1384</v>
      </c>
      <c r="K646" s="4">
        <v>9.18077348951E11</v>
      </c>
      <c r="L646" s="4" t="s">
        <v>67</v>
      </c>
      <c r="M646" s="4" t="b">
        <v>0</v>
      </c>
      <c r="N646" s="4" t="s">
        <v>74</v>
      </c>
      <c r="O646" s="4" t="s">
        <v>69</v>
      </c>
      <c r="P646" s="6">
        <v>44291.94846064815</v>
      </c>
      <c r="Q646" s="4" t="s">
        <v>83</v>
      </c>
      <c r="R646" s="4"/>
      <c r="S646" s="4"/>
      <c r="T646" s="4"/>
      <c r="U646" s="7"/>
      <c r="V646" s="4"/>
      <c r="W646" s="4"/>
      <c r="X646" s="4"/>
      <c r="Y646" s="4"/>
      <c r="Z646" s="4"/>
      <c r="AA646" s="5"/>
      <c r="AB646" s="5"/>
      <c r="AC646" s="5"/>
      <c r="AD646" s="5"/>
      <c r="AE646" s="5"/>
    </row>
    <row r="647">
      <c r="A647" s="4" t="s">
        <v>1385</v>
      </c>
      <c r="B647" s="4"/>
      <c r="C647" s="4" t="s">
        <v>858</v>
      </c>
      <c r="D647" s="4">
        <v>49958.0</v>
      </c>
      <c r="E647" s="4"/>
      <c r="F647" s="4" t="s">
        <v>149</v>
      </c>
      <c r="G647" s="4">
        <v>99.0</v>
      </c>
      <c r="H647" s="4"/>
      <c r="I647" s="4">
        <v>99.0</v>
      </c>
      <c r="J647" s="4" t="s">
        <v>1386</v>
      </c>
      <c r="K647" s="4">
        <v>9.18851642293E11</v>
      </c>
      <c r="L647" s="4" t="s">
        <v>67</v>
      </c>
      <c r="M647" s="4" t="b">
        <v>0</v>
      </c>
      <c r="N647" s="4" t="s">
        <v>151</v>
      </c>
      <c r="O647" s="4" t="s">
        <v>69</v>
      </c>
      <c r="P647" s="6">
        <v>44303.537152777775</v>
      </c>
      <c r="Q647" s="4" t="s">
        <v>83</v>
      </c>
      <c r="R647" s="4"/>
      <c r="S647" s="4"/>
      <c r="T647" s="4"/>
      <c r="U647" s="7"/>
      <c r="V647" s="4"/>
      <c r="W647" s="4"/>
      <c r="X647" s="4"/>
      <c r="Y647" s="4"/>
      <c r="Z647" s="4"/>
      <c r="AA647" s="5"/>
      <c r="AB647" s="5"/>
      <c r="AC647" s="5"/>
      <c r="AD647" s="5"/>
      <c r="AE647" s="5"/>
    </row>
    <row r="648">
      <c r="A648" s="4" t="s">
        <v>1387</v>
      </c>
      <c r="B648" s="4"/>
      <c r="C648" s="4" t="s">
        <v>184</v>
      </c>
      <c r="D648" s="4">
        <v>49833.0</v>
      </c>
      <c r="E648" s="4"/>
      <c r="F648" s="4" t="s">
        <v>85</v>
      </c>
      <c r="G648" s="4">
        <v>299.0</v>
      </c>
      <c r="H648" s="4"/>
      <c r="I648" s="4">
        <v>299.0</v>
      </c>
      <c r="J648" s="4" t="s">
        <v>1388</v>
      </c>
      <c r="K648" s="4">
        <v>9.18921085181E11</v>
      </c>
      <c r="L648" s="4" t="s">
        <v>67</v>
      </c>
      <c r="M648" s="4" t="b">
        <v>0</v>
      </c>
      <c r="N648" s="4" t="s">
        <v>151</v>
      </c>
      <c r="O648" s="4" t="s">
        <v>69</v>
      </c>
      <c r="P648" s="6">
        <v>44303.745833333334</v>
      </c>
      <c r="Q648" s="4">
        <v>17107.0</v>
      </c>
      <c r="R648" s="4"/>
      <c r="S648" s="4"/>
      <c r="T648" s="4"/>
      <c r="U648" s="7"/>
      <c r="V648" s="4"/>
      <c r="W648" s="4"/>
      <c r="X648" s="4"/>
      <c r="Y648" s="4"/>
      <c r="Z648" s="4"/>
      <c r="AA648" s="5"/>
      <c r="AB648" s="5"/>
      <c r="AC648" s="5"/>
      <c r="AD648" s="5"/>
      <c r="AE648" s="5"/>
    </row>
    <row r="649">
      <c r="A649" s="4" t="s">
        <v>1389</v>
      </c>
      <c r="B649" s="4"/>
      <c r="C649" s="4" t="s">
        <v>858</v>
      </c>
      <c r="D649" s="4">
        <v>49958.0</v>
      </c>
      <c r="E649" s="4"/>
      <c r="F649" s="4" t="s">
        <v>149</v>
      </c>
      <c r="G649" s="4">
        <v>99.0</v>
      </c>
      <c r="H649" s="4"/>
      <c r="I649" s="4">
        <v>99.0</v>
      </c>
      <c r="J649" s="4" t="s">
        <v>1390</v>
      </c>
      <c r="K649" s="4">
        <v>9.17893587275E11</v>
      </c>
      <c r="L649" s="4" t="s">
        <v>67</v>
      </c>
      <c r="M649" s="4" t="b">
        <v>0</v>
      </c>
      <c r="N649" s="4" t="s">
        <v>74</v>
      </c>
      <c r="O649" s="4" t="s">
        <v>69</v>
      </c>
      <c r="P649" s="6">
        <v>44303.70130787037</v>
      </c>
      <c r="Q649" s="4">
        <v>17520.0</v>
      </c>
      <c r="R649" s="4"/>
      <c r="S649" s="4"/>
      <c r="T649" s="4"/>
      <c r="U649" s="7"/>
      <c r="V649" s="4"/>
      <c r="W649" s="4"/>
      <c r="X649" s="4"/>
      <c r="Y649" s="4"/>
      <c r="Z649" s="4"/>
      <c r="AA649" s="5"/>
      <c r="AB649" s="5"/>
      <c r="AC649" s="5"/>
      <c r="AD649" s="5"/>
      <c r="AE649" s="5"/>
    </row>
    <row r="650">
      <c r="A650" s="4" t="s">
        <v>1391</v>
      </c>
      <c r="B650" s="4"/>
      <c r="C650" s="4" t="s">
        <v>280</v>
      </c>
      <c r="D650" s="4">
        <v>49877.0</v>
      </c>
      <c r="E650" s="4"/>
      <c r="F650" s="4" t="s">
        <v>85</v>
      </c>
      <c r="G650" s="4">
        <v>99.0</v>
      </c>
      <c r="H650" s="4"/>
      <c r="I650" s="4">
        <v>99.0</v>
      </c>
      <c r="J650" s="4" t="s">
        <v>1392</v>
      </c>
      <c r="K650" s="4">
        <v>9.18433978157E11</v>
      </c>
      <c r="L650" s="4" t="s">
        <v>67</v>
      </c>
      <c r="M650" s="4" t="b">
        <v>0</v>
      </c>
      <c r="N650" s="4" t="s">
        <v>68</v>
      </c>
      <c r="O650" s="4" t="s">
        <v>69</v>
      </c>
      <c r="P650" s="6">
        <v>44303.79425925926</v>
      </c>
      <c r="Q650" s="4">
        <v>17499.0</v>
      </c>
      <c r="R650" s="4"/>
      <c r="S650" s="4"/>
      <c r="T650" s="4"/>
      <c r="U650" s="7"/>
      <c r="V650" s="4"/>
      <c r="W650" s="4"/>
      <c r="X650" s="4"/>
      <c r="Y650" s="4"/>
      <c r="Z650" s="4"/>
      <c r="AA650" s="5"/>
      <c r="AB650" s="5"/>
      <c r="AC650" s="5"/>
      <c r="AD650" s="5"/>
      <c r="AE650" s="5"/>
    </row>
    <row r="651">
      <c r="A651" s="4" t="s">
        <v>1393</v>
      </c>
      <c r="B651" s="4"/>
      <c r="C651" s="4" t="s">
        <v>280</v>
      </c>
      <c r="D651" s="4">
        <v>49877.0</v>
      </c>
      <c r="E651" s="4"/>
      <c r="F651" s="4" t="s">
        <v>85</v>
      </c>
      <c r="G651" s="4">
        <v>99.0</v>
      </c>
      <c r="H651" s="4"/>
      <c r="I651" s="4">
        <v>99.0</v>
      </c>
      <c r="J651" s="4" t="s">
        <v>1394</v>
      </c>
      <c r="K651" s="4">
        <v>9.19860822515E11</v>
      </c>
      <c r="L651" s="4" t="s">
        <v>67</v>
      </c>
      <c r="M651" s="4" t="b">
        <v>0</v>
      </c>
      <c r="N651" s="4" t="s">
        <v>74</v>
      </c>
      <c r="O651" s="4" t="s">
        <v>69</v>
      </c>
      <c r="P651" s="6">
        <v>44303.796122685184</v>
      </c>
      <c r="Q651" s="4" t="s">
        <v>83</v>
      </c>
      <c r="R651" s="4"/>
      <c r="S651" s="4"/>
      <c r="T651" s="4"/>
      <c r="U651" s="7"/>
      <c r="V651" s="4"/>
      <c r="W651" s="4"/>
      <c r="X651" s="4"/>
      <c r="Y651" s="4"/>
      <c r="Z651" s="4"/>
      <c r="AA651" s="5"/>
      <c r="AB651" s="5"/>
      <c r="AC651" s="5"/>
      <c r="AD651" s="5"/>
      <c r="AE651" s="5"/>
    </row>
    <row r="652">
      <c r="A652" s="4" t="s">
        <v>1395</v>
      </c>
      <c r="B652" s="4"/>
      <c r="C652" s="4" t="s">
        <v>1104</v>
      </c>
      <c r="D652" s="4">
        <v>49993.0</v>
      </c>
      <c r="E652" s="4"/>
      <c r="F652" s="4" t="s">
        <v>85</v>
      </c>
      <c r="G652" s="4">
        <v>199.0</v>
      </c>
      <c r="H652" s="4"/>
      <c r="I652" s="4">
        <v>199.0</v>
      </c>
      <c r="J652" s="4" t="s">
        <v>1396</v>
      </c>
      <c r="K652" s="4">
        <v>9.1845286201E11</v>
      </c>
      <c r="L652" s="4" t="s">
        <v>67</v>
      </c>
      <c r="M652" s="4" t="b">
        <v>0</v>
      </c>
      <c r="N652" s="4" t="s">
        <v>68</v>
      </c>
      <c r="O652" s="4" t="s">
        <v>69</v>
      </c>
      <c r="P652" s="6">
        <v>44303.82618055555</v>
      </c>
      <c r="Q652" s="4" t="s">
        <v>83</v>
      </c>
      <c r="R652" s="4"/>
      <c r="S652" s="4"/>
      <c r="T652" s="4"/>
      <c r="U652" s="7"/>
      <c r="V652" s="4"/>
      <c r="W652" s="4"/>
      <c r="X652" s="4"/>
      <c r="Y652" s="4"/>
      <c r="Z652" s="4"/>
      <c r="AA652" s="5"/>
      <c r="AB652" s="5"/>
      <c r="AC652" s="5"/>
      <c r="AD652" s="5"/>
      <c r="AE652" s="5"/>
    </row>
    <row r="653">
      <c r="A653" s="4" t="s">
        <v>1397</v>
      </c>
      <c r="B653" s="4"/>
      <c r="C653" s="4" t="s">
        <v>885</v>
      </c>
      <c r="D653" s="4">
        <v>49844.0</v>
      </c>
      <c r="E653" s="4"/>
      <c r="F653" s="4" t="s">
        <v>85</v>
      </c>
      <c r="G653" s="4">
        <v>199.0</v>
      </c>
      <c r="H653" s="4"/>
      <c r="I653" s="4">
        <v>199.0</v>
      </c>
      <c r="J653" s="4" t="s">
        <v>1398</v>
      </c>
      <c r="K653" s="4">
        <v>9.19010025455E11</v>
      </c>
      <c r="L653" s="4" t="s">
        <v>67</v>
      </c>
      <c r="M653" s="4" t="b">
        <v>0</v>
      </c>
      <c r="N653" s="4" t="s">
        <v>97</v>
      </c>
      <c r="O653" s="4" t="s">
        <v>69</v>
      </c>
      <c r="P653" s="6">
        <v>44303.870162037034</v>
      </c>
      <c r="Q653" s="4">
        <v>17411.0</v>
      </c>
      <c r="R653" s="4"/>
      <c r="S653" s="4"/>
      <c r="T653" s="4"/>
      <c r="U653" s="7"/>
      <c r="V653" s="4"/>
      <c r="W653" s="4"/>
      <c r="X653" s="4"/>
      <c r="Y653" s="4"/>
      <c r="Z653" s="4"/>
      <c r="AA653" s="5"/>
      <c r="AB653" s="5"/>
      <c r="AC653" s="5"/>
      <c r="AD653" s="5"/>
      <c r="AE653" s="5"/>
    </row>
    <row r="654">
      <c r="A654" s="4" t="s">
        <v>1399</v>
      </c>
      <c r="B654" s="4"/>
      <c r="C654" s="4" t="s">
        <v>1059</v>
      </c>
      <c r="D654" s="4">
        <v>49997.0</v>
      </c>
      <c r="E654" s="4"/>
      <c r="F654" s="4" t="s">
        <v>149</v>
      </c>
      <c r="G654" s="4">
        <v>99.0</v>
      </c>
      <c r="H654" s="4"/>
      <c r="I654" s="4">
        <v>99.0</v>
      </c>
      <c r="J654" s="4" t="s">
        <v>1400</v>
      </c>
      <c r="K654" s="4">
        <v>9.17982620256E11</v>
      </c>
      <c r="L654" s="4" t="s">
        <v>67</v>
      </c>
      <c r="M654" s="4" t="b">
        <v>0</v>
      </c>
      <c r="N654" s="4" t="s">
        <v>68</v>
      </c>
      <c r="O654" s="4" t="s">
        <v>69</v>
      </c>
      <c r="P654" s="6">
        <v>44303.90912037037</v>
      </c>
      <c r="Q654" s="4">
        <v>16965.0</v>
      </c>
      <c r="R654" s="4"/>
      <c r="S654" s="4"/>
      <c r="T654" s="4"/>
      <c r="U654" s="7"/>
      <c r="V654" s="4"/>
      <c r="W654" s="4"/>
      <c r="X654" s="4"/>
      <c r="Y654" s="4"/>
      <c r="Z654" s="4"/>
      <c r="AA654" s="5"/>
      <c r="AB654" s="5"/>
      <c r="AC654" s="5"/>
      <c r="AD654" s="5"/>
      <c r="AE654" s="5"/>
    </row>
    <row r="655">
      <c r="A655" s="4" t="s">
        <v>1401</v>
      </c>
      <c r="B655" s="4"/>
      <c r="C655" s="4" t="s">
        <v>791</v>
      </c>
      <c r="D655" s="4">
        <v>49948.0</v>
      </c>
      <c r="E655" s="4"/>
      <c r="F655" s="4" t="s">
        <v>149</v>
      </c>
      <c r="G655" s="4">
        <v>99.0</v>
      </c>
      <c r="H655" s="4"/>
      <c r="I655" s="4">
        <v>99.0</v>
      </c>
      <c r="J655" s="4" t="s">
        <v>1402</v>
      </c>
      <c r="K655" s="4">
        <v>9.19961633236E11</v>
      </c>
      <c r="L655" s="4" t="s">
        <v>67</v>
      </c>
      <c r="M655" s="4" t="b">
        <v>0</v>
      </c>
      <c r="N655" s="4" t="s">
        <v>68</v>
      </c>
      <c r="O655" s="4" t="s">
        <v>69</v>
      </c>
      <c r="P655" s="6">
        <v>44303.76579861111</v>
      </c>
      <c r="Q655" s="4" t="s">
        <v>83</v>
      </c>
      <c r="R655" s="4"/>
      <c r="S655" s="4"/>
      <c r="T655" s="4"/>
      <c r="U655" s="7"/>
      <c r="V655" s="4"/>
      <c r="W655" s="4"/>
      <c r="X655" s="4"/>
      <c r="Y655" s="4"/>
      <c r="Z655" s="4"/>
      <c r="AA655" s="5"/>
      <c r="AB655" s="5"/>
      <c r="AC655" s="5"/>
      <c r="AD655" s="5"/>
      <c r="AE655" s="5"/>
    </row>
    <row r="656">
      <c r="A656" s="4" t="s">
        <v>1403</v>
      </c>
      <c r="B656" s="4"/>
      <c r="C656" s="4" t="s">
        <v>1264</v>
      </c>
      <c r="D656" s="4">
        <v>49994.0</v>
      </c>
      <c r="E656" s="4"/>
      <c r="F656" s="4" t="s">
        <v>149</v>
      </c>
      <c r="G656" s="4">
        <v>99.0</v>
      </c>
      <c r="H656" s="4"/>
      <c r="I656" s="4">
        <v>99.0</v>
      </c>
      <c r="J656" s="4" t="s">
        <v>1404</v>
      </c>
      <c r="K656" s="4">
        <v>9.19766460862E11</v>
      </c>
      <c r="L656" s="4" t="s">
        <v>67</v>
      </c>
      <c r="M656" s="4" t="b">
        <v>0</v>
      </c>
      <c r="N656" s="4" t="s">
        <v>68</v>
      </c>
      <c r="O656" s="4" t="s">
        <v>69</v>
      </c>
      <c r="P656" s="6">
        <v>44303.94966435185</v>
      </c>
      <c r="Q656" s="4">
        <v>16984.0</v>
      </c>
      <c r="R656" s="4"/>
      <c r="S656" s="4"/>
      <c r="T656" s="4"/>
      <c r="U656" s="7"/>
      <c r="V656" s="4"/>
      <c r="W656" s="4"/>
      <c r="X656" s="4"/>
      <c r="Y656" s="4"/>
      <c r="Z656" s="4"/>
      <c r="AA656" s="5"/>
      <c r="AB656" s="5"/>
      <c r="AC656" s="5"/>
      <c r="AD656" s="5"/>
      <c r="AE656" s="5"/>
    </row>
    <row r="657">
      <c r="A657" s="4" t="s">
        <v>1405</v>
      </c>
      <c r="B657" s="4"/>
      <c r="C657" s="4" t="s">
        <v>280</v>
      </c>
      <c r="D657" s="4">
        <v>49877.0</v>
      </c>
      <c r="E657" s="4"/>
      <c r="F657" s="4" t="s">
        <v>85</v>
      </c>
      <c r="G657" s="4">
        <v>99.0</v>
      </c>
      <c r="H657" s="4"/>
      <c r="I657" s="4">
        <v>99.0</v>
      </c>
      <c r="J657" s="4" t="s">
        <v>1406</v>
      </c>
      <c r="K657" s="4">
        <v>9.17013765713E11</v>
      </c>
      <c r="L657" s="4" t="s">
        <v>67</v>
      </c>
      <c r="M657" s="4" t="b">
        <v>0</v>
      </c>
      <c r="N657" s="4" t="s">
        <v>68</v>
      </c>
      <c r="O657" s="4" t="s">
        <v>69</v>
      </c>
      <c r="P657" s="6">
        <v>44304.200266203705</v>
      </c>
      <c r="Q657" s="4" t="s">
        <v>83</v>
      </c>
      <c r="R657" s="4"/>
      <c r="S657" s="4"/>
      <c r="T657" s="4"/>
      <c r="U657" s="7"/>
      <c r="V657" s="4"/>
      <c r="W657" s="4"/>
      <c r="X657" s="4"/>
      <c r="Y657" s="4"/>
      <c r="Z657" s="4"/>
      <c r="AA657" s="5"/>
      <c r="AB657" s="5"/>
      <c r="AC657" s="5"/>
      <c r="AD657" s="5"/>
      <c r="AE657" s="5"/>
    </row>
    <row r="658">
      <c r="A658" s="4" t="s">
        <v>1407</v>
      </c>
      <c r="B658" s="4"/>
      <c r="C658" s="4" t="s">
        <v>1059</v>
      </c>
      <c r="D658" s="4">
        <v>49997.0</v>
      </c>
      <c r="E658" s="4"/>
      <c r="F658" s="4" t="s">
        <v>149</v>
      </c>
      <c r="G658" s="4">
        <v>99.0</v>
      </c>
      <c r="H658" s="4"/>
      <c r="I658" s="4">
        <v>99.0</v>
      </c>
      <c r="J658" s="4" t="s">
        <v>1408</v>
      </c>
      <c r="K658" s="4">
        <v>9.19576875504E11</v>
      </c>
      <c r="L658" s="4" t="s">
        <v>67</v>
      </c>
      <c r="M658" s="4" t="b">
        <v>0</v>
      </c>
      <c r="N658" s="4" t="s">
        <v>68</v>
      </c>
      <c r="O658" s="4" t="s">
        <v>69</v>
      </c>
      <c r="P658" s="6">
        <v>44304.31487268519</v>
      </c>
      <c r="Q658" s="4">
        <v>16967.0</v>
      </c>
      <c r="R658" s="4"/>
      <c r="S658" s="4"/>
      <c r="T658" s="4"/>
      <c r="U658" s="7"/>
      <c r="V658" s="4"/>
      <c r="W658" s="4"/>
      <c r="X658" s="4"/>
      <c r="Y658" s="4"/>
      <c r="Z658" s="4"/>
      <c r="AA658" s="5"/>
      <c r="AB658" s="5"/>
      <c r="AC658" s="5"/>
      <c r="AD658" s="5"/>
      <c r="AE658" s="5"/>
    </row>
    <row r="659">
      <c r="A659" s="4" t="s">
        <v>1409</v>
      </c>
      <c r="B659" s="4"/>
      <c r="C659" s="4" t="s">
        <v>680</v>
      </c>
      <c r="D659" s="4">
        <v>49835.0</v>
      </c>
      <c r="E659" s="4"/>
      <c r="F659" s="4" t="s">
        <v>85</v>
      </c>
      <c r="G659" s="4">
        <v>99.0</v>
      </c>
      <c r="H659" s="4"/>
      <c r="I659" s="4">
        <v>99.0</v>
      </c>
      <c r="J659" s="4" t="s">
        <v>1410</v>
      </c>
      <c r="K659" s="4">
        <v>9.19032408728E11</v>
      </c>
      <c r="L659" s="4" t="s">
        <v>67</v>
      </c>
      <c r="M659" s="4" t="b">
        <v>0</v>
      </c>
      <c r="N659" s="4" t="s">
        <v>68</v>
      </c>
      <c r="O659" s="4" t="s">
        <v>69</v>
      </c>
      <c r="P659" s="6">
        <v>44292.50130787037</v>
      </c>
      <c r="Q659" s="4" t="s">
        <v>83</v>
      </c>
      <c r="R659" s="4"/>
      <c r="S659" s="4"/>
      <c r="T659" s="4"/>
      <c r="U659" s="7"/>
      <c r="V659" s="4"/>
      <c r="W659" s="4"/>
      <c r="X659" s="4"/>
      <c r="Y659" s="4"/>
      <c r="Z659" s="4"/>
      <c r="AA659" s="5"/>
      <c r="AB659" s="5"/>
      <c r="AC659" s="5"/>
      <c r="AD659" s="5"/>
      <c r="AE659" s="5"/>
    </row>
    <row r="660">
      <c r="A660" s="4" t="s">
        <v>1411</v>
      </c>
      <c r="B660" s="4"/>
      <c r="C660" s="4" t="s">
        <v>1104</v>
      </c>
      <c r="D660" s="4">
        <v>49993.0</v>
      </c>
      <c r="E660" s="4"/>
      <c r="F660" s="4" t="s">
        <v>149</v>
      </c>
      <c r="G660" s="4">
        <v>99.0</v>
      </c>
      <c r="H660" s="4"/>
      <c r="I660" s="4">
        <v>99.0</v>
      </c>
      <c r="J660" s="4" t="s">
        <v>1412</v>
      </c>
      <c r="K660" s="4">
        <v>9.19445284191E11</v>
      </c>
      <c r="L660" s="4" t="s">
        <v>67</v>
      </c>
      <c r="M660" s="4" t="b">
        <v>0</v>
      </c>
      <c r="N660" s="4" t="s">
        <v>97</v>
      </c>
      <c r="O660" s="4" t="s">
        <v>69</v>
      </c>
      <c r="P660" s="6">
        <v>44304.31825231481</v>
      </c>
      <c r="Q660" s="4">
        <v>16956.0</v>
      </c>
      <c r="R660" s="4"/>
      <c r="S660" s="4"/>
      <c r="T660" s="4"/>
      <c r="U660" s="7"/>
      <c r="V660" s="4"/>
      <c r="W660" s="4"/>
      <c r="X660" s="4"/>
      <c r="Y660" s="4"/>
      <c r="Z660" s="4"/>
      <c r="AA660" s="5"/>
      <c r="AB660" s="5"/>
      <c r="AC660" s="5"/>
      <c r="AD660" s="5"/>
      <c r="AE660" s="5"/>
    </row>
    <row r="661">
      <c r="A661" s="4" t="s">
        <v>1413</v>
      </c>
      <c r="B661" s="4"/>
      <c r="C661" s="4" t="s">
        <v>1059</v>
      </c>
      <c r="D661" s="4">
        <v>49997.0</v>
      </c>
      <c r="E661" s="4"/>
      <c r="F661" s="4" t="s">
        <v>149</v>
      </c>
      <c r="G661" s="4">
        <v>99.0</v>
      </c>
      <c r="H661" s="4"/>
      <c r="I661" s="4">
        <v>99.0</v>
      </c>
      <c r="J661" s="4" t="s">
        <v>1414</v>
      </c>
      <c r="K661" s="4">
        <v>9.19630355579E11</v>
      </c>
      <c r="L661" s="4" t="s">
        <v>67</v>
      </c>
      <c r="M661" s="4" t="b">
        <v>0</v>
      </c>
      <c r="N661" s="4" t="s">
        <v>151</v>
      </c>
      <c r="O661" s="4" t="s">
        <v>69</v>
      </c>
      <c r="P661" s="6">
        <v>44304.438425925924</v>
      </c>
      <c r="Q661" s="4">
        <v>16966.0</v>
      </c>
      <c r="R661" s="4"/>
      <c r="S661" s="4"/>
      <c r="T661" s="4"/>
      <c r="U661" s="7"/>
      <c r="V661" s="4"/>
      <c r="W661" s="4"/>
      <c r="X661" s="4"/>
      <c r="Y661" s="4"/>
      <c r="Z661" s="4"/>
      <c r="AA661" s="5"/>
      <c r="AB661" s="5"/>
      <c r="AC661" s="5"/>
      <c r="AD661" s="5"/>
      <c r="AE661" s="5"/>
    </row>
    <row r="662">
      <c r="A662" s="4" t="s">
        <v>1415</v>
      </c>
      <c r="B662" s="4"/>
      <c r="C662" s="4" t="s">
        <v>184</v>
      </c>
      <c r="D662" s="4">
        <v>49833.0</v>
      </c>
      <c r="E662" s="4"/>
      <c r="F662" s="4" t="s">
        <v>149</v>
      </c>
      <c r="G662" s="4">
        <v>199.0</v>
      </c>
      <c r="H662" s="4"/>
      <c r="I662" s="4">
        <v>199.0</v>
      </c>
      <c r="J662" s="4" t="s">
        <v>1416</v>
      </c>
      <c r="K662" s="4">
        <v>9.18690188062E11</v>
      </c>
      <c r="L662" s="4" t="s">
        <v>67</v>
      </c>
      <c r="M662" s="4" t="b">
        <v>0</v>
      </c>
      <c r="N662" s="4" t="s">
        <v>68</v>
      </c>
      <c r="O662" s="4" t="s">
        <v>69</v>
      </c>
      <c r="P662" s="6">
        <v>44304.4321412037</v>
      </c>
      <c r="Q662" s="4" t="s">
        <v>83</v>
      </c>
      <c r="R662" s="4"/>
      <c r="S662" s="4"/>
      <c r="T662" s="4"/>
      <c r="U662" s="7"/>
      <c r="V662" s="4"/>
      <c r="W662" s="4"/>
      <c r="X662" s="4"/>
      <c r="Y662" s="4"/>
      <c r="Z662" s="4"/>
      <c r="AA662" s="5"/>
      <c r="AB662" s="5"/>
      <c r="AC662" s="5"/>
      <c r="AD662" s="5"/>
      <c r="AE662" s="5"/>
    </row>
    <row r="663">
      <c r="A663" s="4" t="s">
        <v>1417</v>
      </c>
      <c r="B663" s="4"/>
      <c r="C663" s="4" t="s">
        <v>885</v>
      </c>
      <c r="D663" s="4">
        <v>49844.0</v>
      </c>
      <c r="E663" s="4"/>
      <c r="F663" s="4" t="s">
        <v>77</v>
      </c>
      <c r="G663" s="4">
        <v>349.0</v>
      </c>
      <c r="H663" s="4"/>
      <c r="I663" s="4">
        <v>349.0</v>
      </c>
      <c r="J663" s="4" t="s">
        <v>1418</v>
      </c>
      <c r="K663" s="4">
        <v>9.19462249196E11</v>
      </c>
      <c r="L663" s="4" t="s">
        <v>67</v>
      </c>
      <c r="M663" s="4" t="b">
        <v>0</v>
      </c>
      <c r="N663" s="4" t="s">
        <v>97</v>
      </c>
      <c r="O663" s="4" t="s">
        <v>69</v>
      </c>
      <c r="P663" s="6">
        <v>44304.5412037037</v>
      </c>
      <c r="Q663" s="4">
        <v>17062.0</v>
      </c>
      <c r="R663" s="4"/>
      <c r="S663" s="4"/>
      <c r="T663" s="4"/>
      <c r="U663" s="8"/>
      <c r="V663" s="4"/>
      <c r="W663" s="4"/>
      <c r="X663" s="4"/>
      <c r="Y663" s="4"/>
      <c r="Z663" s="4"/>
      <c r="AA663" s="5"/>
      <c r="AB663" s="5"/>
      <c r="AC663" s="5"/>
      <c r="AD663" s="5"/>
      <c r="AE663" s="5"/>
    </row>
    <row r="664">
      <c r="A664" s="4" t="s">
        <v>1419</v>
      </c>
      <c r="B664" s="4"/>
      <c r="C664" s="4" t="s">
        <v>280</v>
      </c>
      <c r="D664" s="4">
        <v>49877.0</v>
      </c>
      <c r="E664" s="4"/>
      <c r="F664" s="4" t="s">
        <v>85</v>
      </c>
      <c r="G664" s="4">
        <v>99.0</v>
      </c>
      <c r="H664" s="4"/>
      <c r="I664" s="4">
        <v>99.0</v>
      </c>
      <c r="J664" s="4" t="s">
        <v>1420</v>
      </c>
      <c r="K664" s="4">
        <v>9.18826684731E11</v>
      </c>
      <c r="L664" s="4" t="s">
        <v>67</v>
      </c>
      <c r="M664" s="4" t="b">
        <v>0</v>
      </c>
      <c r="N664" s="4" t="s">
        <v>68</v>
      </c>
      <c r="O664" s="4" t="s">
        <v>69</v>
      </c>
      <c r="P664" s="6">
        <v>44304.54701388889</v>
      </c>
      <c r="Q664" s="4" t="s">
        <v>83</v>
      </c>
      <c r="R664" s="4"/>
      <c r="S664" s="4"/>
      <c r="T664" s="4"/>
      <c r="U664" s="7"/>
      <c r="V664" s="4"/>
      <c r="W664" s="4"/>
      <c r="X664" s="4"/>
      <c r="Y664" s="4"/>
      <c r="Z664" s="4"/>
      <c r="AA664" s="5"/>
      <c r="AB664" s="5"/>
      <c r="AC664" s="5"/>
      <c r="AD664" s="5"/>
      <c r="AE664" s="5"/>
    </row>
    <row r="665">
      <c r="A665" s="4" t="s">
        <v>1421</v>
      </c>
      <c r="B665" s="4"/>
      <c r="C665" s="4" t="s">
        <v>184</v>
      </c>
      <c r="D665" s="4">
        <v>49833.0</v>
      </c>
      <c r="E665" s="4"/>
      <c r="F665" s="4" t="s">
        <v>149</v>
      </c>
      <c r="G665" s="4">
        <v>199.0</v>
      </c>
      <c r="H665" s="4"/>
      <c r="I665" s="4">
        <v>199.0</v>
      </c>
      <c r="J665" s="4" t="s">
        <v>1422</v>
      </c>
      <c r="K665" s="4">
        <v>9.19511866026E11</v>
      </c>
      <c r="L665" s="4" t="s">
        <v>67</v>
      </c>
      <c r="M665" s="4" t="b">
        <v>0</v>
      </c>
      <c r="N665" s="4" t="s">
        <v>68</v>
      </c>
      <c r="O665" s="4" t="s">
        <v>69</v>
      </c>
      <c r="P665" s="6">
        <v>44304.50068287037</v>
      </c>
      <c r="Q665" s="4">
        <v>17099.0</v>
      </c>
      <c r="R665" s="4"/>
      <c r="S665" s="4"/>
      <c r="T665" s="4"/>
      <c r="U665" s="7"/>
      <c r="V665" s="4"/>
      <c r="W665" s="4"/>
      <c r="X665" s="4"/>
      <c r="Y665" s="4"/>
      <c r="Z665" s="4"/>
      <c r="AA665" s="5"/>
      <c r="AB665" s="5"/>
      <c r="AC665" s="5"/>
      <c r="AD665" s="5"/>
      <c r="AE665" s="5"/>
    </row>
    <row r="666">
      <c r="A666" s="4" t="s">
        <v>1423</v>
      </c>
      <c r="B666" s="4"/>
      <c r="C666" s="4" t="s">
        <v>960</v>
      </c>
      <c r="D666" s="4">
        <v>49834.0</v>
      </c>
      <c r="E666" s="4"/>
      <c r="F666" s="4" t="s">
        <v>149</v>
      </c>
      <c r="G666" s="4">
        <v>99.0</v>
      </c>
      <c r="H666" s="4"/>
      <c r="I666" s="4">
        <v>99.0</v>
      </c>
      <c r="J666" s="4" t="s">
        <v>1424</v>
      </c>
      <c r="K666" s="4">
        <v>9.18368429782E11</v>
      </c>
      <c r="L666" s="4" t="s">
        <v>67</v>
      </c>
      <c r="M666" s="4" t="b">
        <v>0</v>
      </c>
      <c r="N666" s="4" t="s">
        <v>68</v>
      </c>
      <c r="O666" s="4" t="s">
        <v>69</v>
      </c>
      <c r="P666" s="6">
        <v>44304.55435185185</v>
      </c>
      <c r="Q666" s="4">
        <v>17044.0</v>
      </c>
      <c r="R666" s="4"/>
      <c r="S666" s="4"/>
      <c r="T666" s="4"/>
      <c r="U666" s="7"/>
      <c r="V666" s="4"/>
      <c r="W666" s="4"/>
      <c r="X666" s="4"/>
      <c r="Y666" s="4"/>
      <c r="Z666" s="4"/>
      <c r="AA666" s="5"/>
      <c r="AB666" s="5"/>
      <c r="AC666" s="5"/>
      <c r="AD666" s="5"/>
      <c r="AE666" s="5"/>
    </row>
    <row r="667">
      <c r="A667" s="4" t="s">
        <v>1425</v>
      </c>
      <c r="B667" s="4"/>
      <c r="C667" s="4" t="s">
        <v>680</v>
      </c>
      <c r="D667" s="4">
        <v>49835.0</v>
      </c>
      <c r="E667" s="4"/>
      <c r="F667" s="4" t="s">
        <v>85</v>
      </c>
      <c r="G667" s="4">
        <v>99.0</v>
      </c>
      <c r="H667" s="4"/>
      <c r="I667" s="4">
        <v>99.0</v>
      </c>
      <c r="J667" s="4" t="s">
        <v>1426</v>
      </c>
      <c r="K667" s="4">
        <v>9.19764397268E11</v>
      </c>
      <c r="L667" s="4" t="s">
        <v>67</v>
      </c>
      <c r="M667" s="4" t="b">
        <v>0</v>
      </c>
      <c r="N667" s="4" t="s">
        <v>97</v>
      </c>
      <c r="O667" s="4" t="s">
        <v>69</v>
      </c>
      <c r="P667" s="6">
        <v>44292.71708333334</v>
      </c>
      <c r="Q667" s="4" t="s">
        <v>83</v>
      </c>
      <c r="R667" s="4"/>
      <c r="S667" s="4"/>
      <c r="T667" s="4"/>
      <c r="U667" s="7"/>
      <c r="V667" s="4"/>
      <c r="W667" s="4"/>
      <c r="X667" s="4"/>
      <c r="Y667" s="4"/>
      <c r="Z667" s="4"/>
      <c r="AA667" s="5"/>
      <c r="AB667" s="5"/>
      <c r="AC667" s="5"/>
      <c r="AD667" s="5"/>
      <c r="AE667" s="5"/>
    </row>
    <row r="668">
      <c r="A668" s="4" t="s">
        <v>1427</v>
      </c>
      <c r="B668" s="4"/>
      <c r="C668" s="4" t="s">
        <v>680</v>
      </c>
      <c r="D668" s="4">
        <v>49835.0</v>
      </c>
      <c r="E668" s="4"/>
      <c r="F668" s="4" t="s">
        <v>85</v>
      </c>
      <c r="G668" s="4">
        <v>99.0</v>
      </c>
      <c r="H668" s="4"/>
      <c r="I668" s="4">
        <v>99.0</v>
      </c>
      <c r="J668" s="4" t="s">
        <v>1428</v>
      </c>
      <c r="K668" s="4">
        <v>9.19007518877E11</v>
      </c>
      <c r="L668" s="4" t="s">
        <v>67</v>
      </c>
      <c r="M668" s="4" t="b">
        <v>0</v>
      </c>
      <c r="N668" s="4" t="s">
        <v>68</v>
      </c>
      <c r="O668" s="4" t="s">
        <v>69</v>
      </c>
      <c r="P668" s="6">
        <v>44292.79046296296</v>
      </c>
      <c r="Q668" s="4" t="s">
        <v>83</v>
      </c>
      <c r="R668" s="4"/>
      <c r="S668" s="4"/>
      <c r="T668" s="4"/>
      <c r="U668" s="7"/>
      <c r="V668" s="4"/>
      <c r="W668" s="4"/>
      <c r="X668" s="4"/>
      <c r="Y668" s="4"/>
      <c r="Z668" s="4"/>
      <c r="AA668" s="5"/>
      <c r="AB668" s="5"/>
      <c r="AC668" s="5"/>
      <c r="AD668" s="5"/>
      <c r="AE668" s="5"/>
    </row>
    <row r="669">
      <c r="A669" s="4" t="s">
        <v>1429</v>
      </c>
      <c r="B669" s="4"/>
      <c r="C669" s="4" t="s">
        <v>1174</v>
      </c>
      <c r="D669" s="4">
        <v>49844.0</v>
      </c>
      <c r="E669" s="4"/>
      <c r="F669" s="4" t="s">
        <v>149</v>
      </c>
      <c r="G669" s="4">
        <v>99.0</v>
      </c>
      <c r="H669" s="4"/>
      <c r="I669" s="4">
        <v>99.0</v>
      </c>
      <c r="J669" s="4" t="s">
        <v>1430</v>
      </c>
      <c r="K669" s="4">
        <v>9.19513582157E11</v>
      </c>
      <c r="L669" s="4" t="s">
        <v>67</v>
      </c>
      <c r="M669" s="4" t="b">
        <v>0</v>
      </c>
      <c r="N669" s="4" t="s">
        <v>68</v>
      </c>
      <c r="O669" s="4" t="s">
        <v>69</v>
      </c>
      <c r="P669" s="6">
        <v>44304.588692129626</v>
      </c>
      <c r="Q669" s="4">
        <v>17015.0</v>
      </c>
      <c r="R669" s="4"/>
      <c r="S669" s="4"/>
      <c r="T669" s="4"/>
      <c r="U669" s="7"/>
      <c r="V669" s="4"/>
      <c r="W669" s="4"/>
      <c r="X669" s="4"/>
      <c r="Y669" s="4"/>
      <c r="Z669" s="4"/>
      <c r="AA669" s="5"/>
      <c r="AB669" s="5"/>
      <c r="AC669" s="5"/>
      <c r="AD669" s="5"/>
      <c r="AE669" s="5"/>
    </row>
    <row r="670">
      <c r="A670" s="4" t="s">
        <v>1431</v>
      </c>
      <c r="B670" s="4"/>
      <c r="C670" s="4" t="s">
        <v>1174</v>
      </c>
      <c r="D670" s="4">
        <v>49844.0</v>
      </c>
      <c r="E670" s="4"/>
      <c r="F670" s="4" t="s">
        <v>149</v>
      </c>
      <c r="G670" s="4">
        <v>99.0</v>
      </c>
      <c r="H670" s="4"/>
      <c r="I670" s="4">
        <v>99.0</v>
      </c>
      <c r="J670" s="4" t="s">
        <v>1432</v>
      </c>
      <c r="K670" s="4">
        <v>9.18709614054E11</v>
      </c>
      <c r="L670" s="4" t="s">
        <v>67</v>
      </c>
      <c r="M670" s="4" t="b">
        <v>0</v>
      </c>
      <c r="N670" s="4" t="s">
        <v>68</v>
      </c>
      <c r="O670" s="4" t="s">
        <v>69</v>
      </c>
      <c r="P670" s="6">
        <v>44304.59204861111</v>
      </c>
      <c r="Q670" s="4" t="s">
        <v>83</v>
      </c>
      <c r="R670" s="4"/>
      <c r="S670" s="4"/>
      <c r="T670" s="4"/>
      <c r="U670" s="7"/>
      <c r="V670" s="4"/>
      <c r="W670" s="4"/>
      <c r="X670" s="4"/>
      <c r="Y670" s="4"/>
      <c r="Z670" s="4"/>
      <c r="AA670" s="5"/>
      <c r="AB670" s="5"/>
      <c r="AC670" s="5"/>
      <c r="AD670" s="5"/>
      <c r="AE670" s="5"/>
    </row>
    <row r="671">
      <c r="A671" s="4" t="s">
        <v>1433</v>
      </c>
      <c r="B671" s="4"/>
      <c r="C671" s="4" t="s">
        <v>680</v>
      </c>
      <c r="D671" s="4">
        <v>49835.0</v>
      </c>
      <c r="E671" s="4"/>
      <c r="F671" s="4" t="s">
        <v>85</v>
      </c>
      <c r="G671" s="4">
        <v>99.0</v>
      </c>
      <c r="H671" s="4"/>
      <c r="I671" s="4">
        <v>99.0</v>
      </c>
      <c r="J671" s="4" t="s">
        <v>1434</v>
      </c>
      <c r="K671" s="4">
        <v>9.19894717185E11</v>
      </c>
      <c r="L671" s="4" t="s">
        <v>67</v>
      </c>
      <c r="M671" s="4" t="b">
        <v>0</v>
      </c>
      <c r="N671" s="4" t="s">
        <v>68</v>
      </c>
      <c r="O671" s="4" t="s">
        <v>69</v>
      </c>
      <c r="P671" s="6">
        <v>44293.35150462963</v>
      </c>
      <c r="Q671" s="4" t="s">
        <v>83</v>
      </c>
      <c r="R671" s="4"/>
      <c r="S671" s="4"/>
      <c r="T671" s="4"/>
      <c r="U671" s="7"/>
      <c r="V671" s="4"/>
      <c r="W671" s="4"/>
      <c r="X671" s="4"/>
      <c r="Y671" s="4"/>
      <c r="Z671" s="4"/>
      <c r="AA671" s="5"/>
      <c r="AB671" s="5"/>
      <c r="AC671" s="5"/>
      <c r="AD671" s="5"/>
      <c r="AE671" s="5"/>
    </row>
    <row r="672">
      <c r="A672" s="4" t="s">
        <v>1435</v>
      </c>
      <c r="B672" s="4"/>
      <c r="C672" s="4" t="s">
        <v>1436</v>
      </c>
      <c r="D672" s="4">
        <v>50048.0</v>
      </c>
      <c r="E672" s="4"/>
      <c r="F672" s="4" t="s">
        <v>1437</v>
      </c>
      <c r="G672" s="4">
        <v>149.0</v>
      </c>
      <c r="H672" s="4"/>
      <c r="I672" s="4">
        <v>149.0</v>
      </c>
      <c r="J672" s="4" t="s">
        <v>1438</v>
      </c>
      <c r="K672" s="4">
        <v>9.19819828305E11</v>
      </c>
      <c r="L672" s="4" t="s">
        <v>67</v>
      </c>
      <c r="M672" s="4" t="b">
        <v>0</v>
      </c>
      <c r="N672" s="4" t="s">
        <v>74</v>
      </c>
      <c r="O672" s="4" t="s">
        <v>69</v>
      </c>
      <c r="P672" s="6">
        <v>44304.75886574074</v>
      </c>
      <c r="Q672" s="4">
        <v>17148.0</v>
      </c>
      <c r="R672" s="4"/>
      <c r="S672" s="4"/>
      <c r="T672" s="4"/>
      <c r="U672" s="7"/>
      <c r="V672" s="4"/>
      <c r="W672" s="4"/>
      <c r="X672" s="4"/>
      <c r="Y672" s="4"/>
      <c r="Z672" s="4"/>
      <c r="AA672" s="5"/>
      <c r="AB672" s="5"/>
      <c r="AC672" s="5"/>
      <c r="AD672" s="5"/>
      <c r="AE672" s="5"/>
    </row>
    <row r="673">
      <c r="A673" s="4" t="s">
        <v>1439</v>
      </c>
      <c r="B673" s="4"/>
      <c r="C673" s="4" t="s">
        <v>680</v>
      </c>
      <c r="D673" s="4">
        <v>49835.0</v>
      </c>
      <c r="E673" s="4"/>
      <c r="F673" s="4" t="s">
        <v>85</v>
      </c>
      <c r="G673" s="4">
        <v>99.0</v>
      </c>
      <c r="H673" s="4"/>
      <c r="I673" s="4">
        <v>99.0</v>
      </c>
      <c r="J673" s="4" t="s">
        <v>1440</v>
      </c>
      <c r="K673" s="4">
        <v>9.18866669652E11</v>
      </c>
      <c r="L673" s="4" t="s">
        <v>67</v>
      </c>
      <c r="M673" s="4" t="b">
        <v>0</v>
      </c>
      <c r="N673" s="4" t="s">
        <v>74</v>
      </c>
      <c r="O673" s="4" t="s">
        <v>69</v>
      </c>
      <c r="P673" s="6">
        <v>44313.39655092593</v>
      </c>
      <c r="Q673" s="4">
        <v>3912.0</v>
      </c>
      <c r="R673" s="4"/>
      <c r="S673" s="4"/>
      <c r="T673" s="4"/>
      <c r="U673" s="7"/>
      <c r="V673" s="4"/>
      <c r="W673" s="4"/>
      <c r="X673" s="4"/>
      <c r="Y673" s="4"/>
      <c r="Z673" s="4"/>
      <c r="AA673" s="5"/>
      <c r="AB673" s="5"/>
      <c r="AC673" s="5"/>
      <c r="AD673" s="5"/>
      <c r="AE673" s="5"/>
    </row>
    <row r="674">
      <c r="A674" s="4" t="s">
        <v>1441</v>
      </c>
      <c r="B674" s="4"/>
      <c r="C674" s="4" t="s">
        <v>1436</v>
      </c>
      <c r="D674" s="4">
        <v>50048.0</v>
      </c>
      <c r="E674" s="4"/>
      <c r="F674" s="4" t="s">
        <v>1442</v>
      </c>
      <c r="G674" s="4">
        <v>299.0</v>
      </c>
      <c r="H674" s="4"/>
      <c r="I674" s="4">
        <v>299.0</v>
      </c>
      <c r="J674" s="4" t="s">
        <v>1443</v>
      </c>
      <c r="K674" s="4">
        <v>9.19920385077E11</v>
      </c>
      <c r="L674" s="4" t="s">
        <v>67</v>
      </c>
      <c r="M674" s="4" t="b">
        <v>0</v>
      </c>
      <c r="N674" s="4" t="s">
        <v>97</v>
      </c>
      <c r="O674" s="4" t="s">
        <v>69</v>
      </c>
      <c r="P674" s="6">
        <v>44304.760567129626</v>
      </c>
      <c r="Q674" s="4">
        <v>17140.0</v>
      </c>
      <c r="R674" s="4"/>
      <c r="S674" s="4"/>
      <c r="T674" s="4"/>
      <c r="U674" s="7"/>
      <c r="V674" s="4"/>
      <c r="W674" s="4"/>
      <c r="X674" s="4"/>
      <c r="Y674" s="4"/>
      <c r="Z674" s="4"/>
      <c r="AA674" s="5"/>
      <c r="AB674" s="5"/>
      <c r="AC674" s="5"/>
      <c r="AD674" s="5"/>
      <c r="AE674" s="5"/>
    </row>
    <row r="675">
      <c r="A675" s="4" t="s">
        <v>1444</v>
      </c>
      <c r="B675" s="4"/>
      <c r="C675" s="4" t="s">
        <v>1436</v>
      </c>
      <c r="D675" s="4">
        <v>50048.0</v>
      </c>
      <c r="E675" s="4"/>
      <c r="F675" s="4" t="s">
        <v>1442</v>
      </c>
      <c r="G675" s="4">
        <v>299.0</v>
      </c>
      <c r="H675" s="4"/>
      <c r="I675" s="4">
        <v>299.0</v>
      </c>
      <c r="J675" s="4" t="s">
        <v>1445</v>
      </c>
      <c r="K675" s="4">
        <v>9.19892516514E11</v>
      </c>
      <c r="L675" s="4" t="s">
        <v>67</v>
      </c>
      <c r="M675" s="4" t="b">
        <v>0</v>
      </c>
      <c r="N675" s="4" t="s">
        <v>68</v>
      </c>
      <c r="O675" s="4" t="s">
        <v>69</v>
      </c>
      <c r="P675" s="6">
        <v>44304.79355324074</v>
      </c>
      <c r="Q675" s="4">
        <v>17144.0</v>
      </c>
      <c r="R675" s="4"/>
      <c r="S675" s="4"/>
      <c r="T675" s="4"/>
      <c r="U675" s="7"/>
      <c r="V675" s="4"/>
      <c r="W675" s="4"/>
      <c r="X675" s="4"/>
      <c r="Y675" s="4"/>
      <c r="Z675" s="4"/>
      <c r="AA675" s="5"/>
      <c r="AB675" s="5"/>
      <c r="AC675" s="5"/>
      <c r="AD675" s="5"/>
      <c r="AE675" s="5"/>
    </row>
    <row r="676">
      <c r="A676" s="4" t="s">
        <v>1446</v>
      </c>
      <c r="B676" s="4"/>
      <c r="C676" s="4" t="s">
        <v>1447</v>
      </c>
      <c r="D676" s="4">
        <v>50031.0</v>
      </c>
      <c r="E676" s="4"/>
      <c r="F676" s="4" t="s">
        <v>77</v>
      </c>
      <c r="G676" s="4">
        <v>349.0</v>
      </c>
      <c r="H676" s="4"/>
      <c r="I676" s="4">
        <v>349.0</v>
      </c>
      <c r="J676" s="4" t="s">
        <v>1448</v>
      </c>
      <c r="K676" s="4">
        <v>9.19769200933E11</v>
      </c>
      <c r="L676" s="4" t="s">
        <v>67</v>
      </c>
      <c r="M676" s="4" t="b">
        <v>0</v>
      </c>
      <c r="N676" s="4" t="s">
        <v>68</v>
      </c>
      <c r="O676" s="4" t="s">
        <v>69</v>
      </c>
      <c r="P676" s="6">
        <v>44310.00224537037</v>
      </c>
      <c r="Q676" s="4">
        <v>17210.0</v>
      </c>
      <c r="R676" s="4"/>
      <c r="S676" s="4"/>
      <c r="T676" s="4"/>
      <c r="U676" s="8"/>
      <c r="V676" s="4"/>
      <c r="W676" s="4"/>
      <c r="X676" s="4"/>
      <c r="Y676" s="4"/>
      <c r="Z676" s="4"/>
      <c r="AA676" s="5"/>
      <c r="AB676" s="5"/>
      <c r="AC676" s="5"/>
      <c r="AD676" s="5"/>
      <c r="AE676" s="5"/>
    </row>
    <row r="677">
      <c r="A677" s="4" t="s">
        <v>1449</v>
      </c>
      <c r="B677" s="4"/>
      <c r="C677" s="4" t="s">
        <v>1133</v>
      </c>
      <c r="D677" s="4">
        <v>49859.0</v>
      </c>
      <c r="E677" s="4"/>
      <c r="F677" s="4" t="s">
        <v>85</v>
      </c>
      <c r="G677" s="4">
        <v>199.0</v>
      </c>
      <c r="H677" s="4"/>
      <c r="I677" s="4">
        <v>199.0</v>
      </c>
      <c r="J677" s="4" t="s">
        <v>1450</v>
      </c>
      <c r="K677" s="4">
        <v>9.18919193484E11</v>
      </c>
      <c r="L677" s="4" t="s">
        <v>67</v>
      </c>
      <c r="M677" s="4" t="b">
        <v>0</v>
      </c>
      <c r="N677" s="4" t="s">
        <v>74</v>
      </c>
      <c r="O677" s="4" t="s">
        <v>69</v>
      </c>
      <c r="P677" s="6">
        <v>44304.80347222222</v>
      </c>
      <c r="Q677" s="4" t="s">
        <v>83</v>
      </c>
      <c r="R677" s="4"/>
      <c r="S677" s="4"/>
      <c r="T677" s="4"/>
      <c r="U677" s="7"/>
      <c r="V677" s="4"/>
      <c r="W677" s="4"/>
      <c r="X677" s="4"/>
      <c r="Y677" s="4"/>
      <c r="Z677" s="4"/>
      <c r="AA677" s="5"/>
      <c r="AB677" s="5"/>
      <c r="AC677" s="5"/>
      <c r="AD677" s="5"/>
      <c r="AE677" s="5"/>
    </row>
    <row r="678">
      <c r="A678" s="4" t="s">
        <v>1451</v>
      </c>
      <c r="B678" s="4"/>
      <c r="C678" s="4" t="s">
        <v>960</v>
      </c>
      <c r="D678" s="4">
        <v>49834.0</v>
      </c>
      <c r="E678" s="4"/>
      <c r="F678" s="4" t="s">
        <v>149</v>
      </c>
      <c r="G678" s="4">
        <v>99.0</v>
      </c>
      <c r="H678" s="4"/>
      <c r="I678" s="4">
        <v>99.0</v>
      </c>
      <c r="J678" s="4" t="s">
        <v>1452</v>
      </c>
      <c r="K678" s="4">
        <v>9.19903999288E11</v>
      </c>
      <c r="L678" s="4" t="s">
        <v>67</v>
      </c>
      <c r="M678" s="4" t="b">
        <v>0</v>
      </c>
      <c r="N678" s="4" t="s">
        <v>97</v>
      </c>
      <c r="O678" s="4" t="s">
        <v>69</v>
      </c>
      <c r="P678" s="6">
        <v>44304.75996527778</v>
      </c>
      <c r="Q678" s="4">
        <v>17033.0</v>
      </c>
      <c r="R678" s="4"/>
      <c r="S678" s="4"/>
      <c r="T678" s="4"/>
      <c r="U678" s="7"/>
      <c r="V678" s="4"/>
      <c r="W678" s="4"/>
      <c r="X678" s="4"/>
      <c r="Y678" s="4"/>
      <c r="Z678" s="4"/>
      <c r="AA678" s="5"/>
      <c r="AB678" s="5"/>
      <c r="AC678" s="5"/>
      <c r="AD678" s="5"/>
      <c r="AE678" s="5"/>
    </row>
    <row r="679">
      <c r="A679" s="4" t="s">
        <v>1453</v>
      </c>
      <c r="B679" s="4"/>
      <c r="C679" s="4" t="s">
        <v>1447</v>
      </c>
      <c r="D679" s="4">
        <v>50031.0</v>
      </c>
      <c r="E679" s="4"/>
      <c r="F679" s="4" t="s">
        <v>1437</v>
      </c>
      <c r="G679" s="4">
        <v>99.0</v>
      </c>
      <c r="H679" s="4"/>
      <c r="I679" s="4">
        <v>99.0</v>
      </c>
      <c r="J679" s="4" t="s">
        <v>1454</v>
      </c>
      <c r="K679" s="4">
        <v>9.19819161181E11</v>
      </c>
      <c r="L679" s="4" t="s">
        <v>67</v>
      </c>
      <c r="M679" s="4" t="b">
        <v>0</v>
      </c>
      <c r="N679" s="4" t="s">
        <v>74</v>
      </c>
      <c r="O679" s="4" t="s">
        <v>69</v>
      </c>
      <c r="P679" s="6">
        <v>44310.00879629629</v>
      </c>
      <c r="Q679" s="4">
        <v>17251.0</v>
      </c>
      <c r="R679" s="4"/>
      <c r="S679" s="4"/>
      <c r="T679" s="4"/>
      <c r="U679" s="7"/>
      <c r="V679" s="4"/>
      <c r="W679" s="4"/>
      <c r="X679" s="4"/>
      <c r="Y679" s="4"/>
      <c r="Z679" s="4"/>
      <c r="AA679" s="5"/>
      <c r="AB679" s="5"/>
      <c r="AC679" s="5"/>
      <c r="AD679" s="5"/>
      <c r="AE679" s="5"/>
    </row>
    <row r="680">
      <c r="A680" s="4" t="s">
        <v>1455</v>
      </c>
      <c r="B680" s="4"/>
      <c r="C680" s="4" t="s">
        <v>1059</v>
      </c>
      <c r="D680" s="4">
        <v>49997.0</v>
      </c>
      <c r="E680" s="4"/>
      <c r="F680" s="4" t="s">
        <v>149</v>
      </c>
      <c r="G680" s="4">
        <v>99.0</v>
      </c>
      <c r="H680" s="4"/>
      <c r="I680" s="4">
        <v>99.0</v>
      </c>
      <c r="J680" s="4" t="s">
        <v>1456</v>
      </c>
      <c r="K680" s="4">
        <v>9.19819733909E11</v>
      </c>
      <c r="L680" s="4" t="s">
        <v>67</v>
      </c>
      <c r="M680" s="4" t="b">
        <v>0</v>
      </c>
      <c r="N680" s="4" t="s">
        <v>68</v>
      </c>
      <c r="O680" s="4" t="s">
        <v>69</v>
      </c>
      <c r="P680" s="6">
        <v>44304.86497685185</v>
      </c>
      <c r="Q680" s="4" t="s">
        <v>83</v>
      </c>
      <c r="R680" s="4"/>
      <c r="S680" s="4"/>
      <c r="T680" s="4"/>
      <c r="U680" s="7"/>
      <c r="V680" s="4"/>
      <c r="W680" s="4"/>
      <c r="X680" s="4"/>
      <c r="Y680" s="4"/>
      <c r="Z680" s="4"/>
      <c r="AA680" s="5"/>
      <c r="AB680" s="5"/>
      <c r="AC680" s="5"/>
      <c r="AD680" s="5"/>
      <c r="AE680" s="5"/>
    </row>
    <row r="681">
      <c r="A681" s="4" t="s">
        <v>1457</v>
      </c>
      <c r="B681" s="4"/>
      <c r="C681" s="4" t="s">
        <v>1447</v>
      </c>
      <c r="D681" s="4">
        <v>50031.0</v>
      </c>
      <c r="E681" s="4"/>
      <c r="F681" s="4" t="s">
        <v>1437</v>
      </c>
      <c r="G681" s="4">
        <v>99.0</v>
      </c>
      <c r="H681" s="4"/>
      <c r="I681" s="4">
        <v>99.0</v>
      </c>
      <c r="J681" s="4" t="s">
        <v>1458</v>
      </c>
      <c r="K681" s="4">
        <v>9.19321885E11</v>
      </c>
      <c r="L681" s="4" t="s">
        <v>67</v>
      </c>
      <c r="M681" s="4" t="b">
        <v>0</v>
      </c>
      <c r="N681" s="4" t="s">
        <v>68</v>
      </c>
      <c r="O681" s="4" t="s">
        <v>69</v>
      </c>
      <c r="P681" s="6">
        <v>44310.54503472222</v>
      </c>
      <c r="Q681" s="4">
        <v>17227.0</v>
      </c>
      <c r="R681" s="4"/>
      <c r="S681" s="4"/>
      <c r="T681" s="4"/>
      <c r="U681" s="7"/>
      <c r="V681" s="4"/>
      <c r="W681" s="4"/>
      <c r="X681" s="4"/>
      <c r="Y681" s="4"/>
      <c r="Z681" s="4"/>
      <c r="AA681" s="5"/>
      <c r="AB681" s="5"/>
      <c r="AC681" s="5"/>
      <c r="AD681" s="5"/>
      <c r="AE681" s="5"/>
    </row>
    <row r="682">
      <c r="A682" s="4" t="s">
        <v>1459</v>
      </c>
      <c r="B682" s="4"/>
      <c r="C682" s="4" t="s">
        <v>184</v>
      </c>
      <c r="D682" s="4">
        <v>49833.0</v>
      </c>
      <c r="E682" s="4"/>
      <c r="F682" s="4" t="s">
        <v>77</v>
      </c>
      <c r="G682" s="4">
        <v>499.0</v>
      </c>
      <c r="H682" s="4"/>
      <c r="I682" s="4">
        <v>499.0</v>
      </c>
      <c r="J682" s="4" t="s">
        <v>1460</v>
      </c>
      <c r="K682" s="4">
        <v>9.18973640081E11</v>
      </c>
      <c r="L682" s="4" t="s">
        <v>67</v>
      </c>
      <c r="M682" s="4" t="b">
        <v>0</v>
      </c>
      <c r="N682" s="4" t="s">
        <v>97</v>
      </c>
      <c r="O682" s="4" t="s">
        <v>69</v>
      </c>
      <c r="P682" s="6">
        <v>44304.93696759259</v>
      </c>
      <c r="Q682" s="4">
        <v>17112.0</v>
      </c>
      <c r="R682" s="4"/>
      <c r="S682" s="4"/>
      <c r="T682" s="4"/>
      <c r="U682" s="8"/>
      <c r="V682" s="4"/>
      <c r="W682" s="4"/>
      <c r="X682" s="4"/>
      <c r="Y682" s="4"/>
      <c r="Z682" s="4"/>
      <c r="AA682" s="5"/>
      <c r="AB682" s="5"/>
      <c r="AC682" s="5"/>
      <c r="AD682" s="5"/>
      <c r="AE682" s="5"/>
    </row>
    <row r="683">
      <c r="A683" s="4" t="s">
        <v>1461</v>
      </c>
      <c r="B683" s="4"/>
      <c r="C683" s="4" t="s">
        <v>1447</v>
      </c>
      <c r="D683" s="4">
        <v>50031.0</v>
      </c>
      <c r="E683" s="4"/>
      <c r="F683" s="4" t="s">
        <v>1437</v>
      </c>
      <c r="G683" s="4">
        <v>99.0</v>
      </c>
      <c r="H683" s="4"/>
      <c r="I683" s="4">
        <v>99.0</v>
      </c>
      <c r="J683" s="4" t="s">
        <v>1462</v>
      </c>
      <c r="K683" s="4">
        <v>9.18056044708E11</v>
      </c>
      <c r="L683" s="4" t="s">
        <v>67</v>
      </c>
      <c r="M683" s="4" t="b">
        <v>0</v>
      </c>
      <c r="N683" s="4" t="s">
        <v>97</v>
      </c>
      <c r="O683" s="4" t="s">
        <v>69</v>
      </c>
      <c r="P683" s="6">
        <v>44310.77307870371</v>
      </c>
      <c r="Q683" s="4">
        <v>17247.0</v>
      </c>
      <c r="R683" s="4"/>
      <c r="S683" s="4"/>
      <c r="T683" s="4"/>
      <c r="U683" s="7"/>
      <c r="V683" s="4"/>
      <c r="W683" s="4"/>
      <c r="X683" s="4"/>
      <c r="Y683" s="4"/>
      <c r="Z683" s="4"/>
      <c r="AA683" s="5"/>
      <c r="AB683" s="5"/>
      <c r="AC683" s="5"/>
      <c r="AD683" s="5"/>
      <c r="AE683" s="5"/>
    </row>
    <row r="684">
      <c r="A684" s="4" t="s">
        <v>1463</v>
      </c>
      <c r="B684" s="4"/>
      <c r="C684" s="4" t="s">
        <v>1447</v>
      </c>
      <c r="D684" s="4">
        <v>50031.0</v>
      </c>
      <c r="E684" s="4"/>
      <c r="F684" s="4" t="s">
        <v>1437</v>
      </c>
      <c r="G684" s="4">
        <v>99.0</v>
      </c>
      <c r="H684" s="4"/>
      <c r="I684" s="4">
        <v>99.0</v>
      </c>
      <c r="J684" s="4" t="s">
        <v>1464</v>
      </c>
      <c r="K684" s="4">
        <v>9.1988140146E11</v>
      </c>
      <c r="L684" s="4" t="s">
        <v>67</v>
      </c>
      <c r="M684" s="4" t="b">
        <v>0</v>
      </c>
      <c r="N684" s="4" t="s">
        <v>151</v>
      </c>
      <c r="O684" s="4" t="s">
        <v>69</v>
      </c>
      <c r="P684" s="6">
        <v>44311.93446759259</v>
      </c>
      <c r="Q684" s="4">
        <v>17764.0</v>
      </c>
      <c r="R684" s="4"/>
      <c r="S684" s="4"/>
      <c r="T684" s="4"/>
      <c r="U684" s="7"/>
      <c r="V684" s="4"/>
      <c r="W684" s="4"/>
      <c r="X684" s="4"/>
      <c r="Y684" s="4"/>
      <c r="Z684" s="4"/>
      <c r="AA684" s="5"/>
      <c r="AB684" s="5"/>
      <c r="AC684" s="5"/>
      <c r="AD684" s="5"/>
      <c r="AE684" s="5"/>
    </row>
    <row r="685">
      <c r="A685" s="4" t="s">
        <v>1465</v>
      </c>
      <c r="B685" s="4"/>
      <c r="C685" s="4" t="s">
        <v>1447</v>
      </c>
      <c r="D685" s="4">
        <v>50031.0</v>
      </c>
      <c r="E685" s="4"/>
      <c r="F685" s="4" t="s">
        <v>1437</v>
      </c>
      <c r="G685" s="4">
        <v>99.0</v>
      </c>
      <c r="H685" s="4"/>
      <c r="I685" s="4">
        <v>99.0</v>
      </c>
      <c r="J685" s="4" t="s">
        <v>1466</v>
      </c>
      <c r="K685" s="4">
        <v>9.19717911157E11</v>
      </c>
      <c r="L685" s="4" t="s">
        <v>67</v>
      </c>
      <c r="M685" s="4" t="b">
        <v>0</v>
      </c>
      <c r="N685" s="4" t="s">
        <v>97</v>
      </c>
      <c r="O685" s="4" t="s">
        <v>69</v>
      </c>
      <c r="P685" s="6">
        <v>44312.068460648145</v>
      </c>
      <c r="Q685" s="4">
        <v>17332.0</v>
      </c>
      <c r="R685" s="4"/>
      <c r="S685" s="4"/>
      <c r="T685" s="4"/>
      <c r="U685" s="7"/>
      <c r="V685" s="4"/>
      <c r="W685" s="4"/>
      <c r="X685" s="4"/>
      <c r="Y685" s="4"/>
      <c r="Z685" s="4"/>
      <c r="AA685" s="5"/>
      <c r="AB685" s="5"/>
      <c r="AC685" s="5"/>
      <c r="AD685" s="5"/>
      <c r="AE685" s="5"/>
    </row>
    <row r="686">
      <c r="A686" s="4" t="s">
        <v>1467</v>
      </c>
      <c r="B686" s="4"/>
      <c r="C686" s="4" t="s">
        <v>1133</v>
      </c>
      <c r="D686" s="4">
        <v>49859.0</v>
      </c>
      <c r="E686" s="4"/>
      <c r="F686" s="4" t="s">
        <v>85</v>
      </c>
      <c r="G686" s="4">
        <v>199.0</v>
      </c>
      <c r="H686" s="4"/>
      <c r="I686" s="4">
        <v>199.0</v>
      </c>
      <c r="J686" s="4" t="s">
        <v>1468</v>
      </c>
      <c r="K686" s="4">
        <v>9.19407111148E11</v>
      </c>
      <c r="L686" s="4" t="s">
        <v>67</v>
      </c>
      <c r="M686" s="4" t="b">
        <v>0</v>
      </c>
      <c r="N686" s="4" t="s">
        <v>68</v>
      </c>
      <c r="O686" s="4" t="s">
        <v>69</v>
      </c>
      <c r="P686" s="6">
        <v>44305.09690972222</v>
      </c>
      <c r="Q686" s="4" t="s">
        <v>83</v>
      </c>
      <c r="R686" s="4"/>
      <c r="S686" s="4"/>
      <c r="T686" s="4"/>
      <c r="U686" s="7"/>
      <c r="V686" s="4"/>
      <c r="W686" s="4"/>
      <c r="X686" s="4"/>
      <c r="Y686" s="4"/>
      <c r="Z686" s="4"/>
      <c r="AA686" s="5"/>
      <c r="AB686" s="5"/>
      <c r="AC686" s="5"/>
      <c r="AD686" s="5"/>
      <c r="AE686" s="5"/>
    </row>
    <row r="687">
      <c r="A687" s="4" t="s">
        <v>1469</v>
      </c>
      <c r="B687" s="4"/>
      <c r="C687" s="4" t="s">
        <v>1447</v>
      </c>
      <c r="D687" s="4">
        <v>50031.0</v>
      </c>
      <c r="E687" s="4"/>
      <c r="F687" s="4" t="s">
        <v>1442</v>
      </c>
      <c r="G687" s="4">
        <v>199.0</v>
      </c>
      <c r="H687" s="4"/>
      <c r="I687" s="4">
        <v>199.0</v>
      </c>
      <c r="J687" s="4" t="s">
        <v>1470</v>
      </c>
      <c r="K687" s="4">
        <v>9.19330424936E11</v>
      </c>
      <c r="L687" s="4" t="s">
        <v>67</v>
      </c>
      <c r="M687" s="4" t="b">
        <v>0</v>
      </c>
      <c r="N687" s="4" t="s">
        <v>68</v>
      </c>
      <c r="O687" s="4" t="s">
        <v>69</v>
      </c>
      <c r="P687" s="6">
        <v>44312.65211805556</v>
      </c>
      <c r="Q687" s="4">
        <v>17315.0</v>
      </c>
      <c r="R687" s="4"/>
      <c r="S687" s="4"/>
      <c r="T687" s="4"/>
      <c r="U687" s="7"/>
      <c r="V687" s="4"/>
      <c r="W687" s="4"/>
      <c r="X687" s="4"/>
      <c r="Y687" s="4"/>
      <c r="Z687" s="4"/>
      <c r="AA687" s="5"/>
      <c r="AB687" s="5"/>
      <c r="AC687" s="5"/>
      <c r="AD687" s="5"/>
      <c r="AE687" s="5"/>
    </row>
    <row r="688">
      <c r="A688" s="4" t="s">
        <v>1471</v>
      </c>
      <c r="B688" s="4"/>
      <c r="C688" s="4" t="s">
        <v>280</v>
      </c>
      <c r="D688" s="4">
        <v>49877.0</v>
      </c>
      <c r="E688" s="4"/>
      <c r="F688" s="4" t="s">
        <v>85</v>
      </c>
      <c r="G688" s="4">
        <v>99.0</v>
      </c>
      <c r="H688" s="4"/>
      <c r="I688" s="4">
        <v>99.0</v>
      </c>
      <c r="J688" s="4" t="s">
        <v>1472</v>
      </c>
      <c r="K688" s="4">
        <v>9.16395965986E11</v>
      </c>
      <c r="L688" s="4" t="s">
        <v>67</v>
      </c>
      <c r="M688" s="4" t="b">
        <v>0</v>
      </c>
      <c r="N688" s="4" t="s">
        <v>68</v>
      </c>
      <c r="O688" s="4" t="s">
        <v>69</v>
      </c>
      <c r="P688" s="6">
        <v>44305.14638888889</v>
      </c>
      <c r="Q688" s="4">
        <v>17127.0</v>
      </c>
      <c r="R688" s="4"/>
      <c r="S688" s="4"/>
      <c r="T688" s="4"/>
      <c r="U688" s="7"/>
      <c r="V688" s="4"/>
      <c r="W688" s="4"/>
      <c r="X688" s="4"/>
      <c r="Y688" s="4"/>
      <c r="Z688" s="4"/>
      <c r="AA688" s="5"/>
      <c r="AB688" s="5"/>
      <c r="AC688" s="5"/>
      <c r="AD688" s="5"/>
      <c r="AE688" s="5"/>
    </row>
    <row r="689">
      <c r="A689" s="4" t="s">
        <v>1473</v>
      </c>
      <c r="B689" s="4"/>
      <c r="C689" s="4" t="s">
        <v>1104</v>
      </c>
      <c r="D689" s="4">
        <v>49993.0</v>
      </c>
      <c r="E689" s="4"/>
      <c r="F689" s="4" t="s">
        <v>149</v>
      </c>
      <c r="G689" s="4">
        <v>99.0</v>
      </c>
      <c r="H689" s="4"/>
      <c r="I689" s="4">
        <v>99.0</v>
      </c>
      <c r="J689" s="4" t="s">
        <v>1474</v>
      </c>
      <c r="K689" s="4">
        <v>9.19403305439E11</v>
      </c>
      <c r="L689" s="4" t="s">
        <v>67</v>
      </c>
      <c r="M689" s="4" t="b">
        <v>0</v>
      </c>
      <c r="N689" s="4" t="s">
        <v>97</v>
      </c>
      <c r="O689" s="4" t="s">
        <v>69</v>
      </c>
      <c r="P689" s="6">
        <v>44305.33671296296</v>
      </c>
      <c r="Q689" s="4">
        <v>16990.0</v>
      </c>
      <c r="R689" s="4"/>
      <c r="S689" s="4"/>
      <c r="T689" s="4"/>
      <c r="U689" s="7"/>
      <c r="V689" s="4"/>
      <c r="W689" s="4"/>
      <c r="X689" s="4"/>
      <c r="Y689" s="4"/>
      <c r="Z689" s="4"/>
      <c r="AA689" s="5"/>
      <c r="AB689" s="5"/>
      <c r="AC689" s="5"/>
      <c r="AD689" s="5"/>
      <c r="AE689" s="5"/>
    </row>
    <row r="690">
      <c r="A690" s="4" t="s">
        <v>1475</v>
      </c>
      <c r="B690" s="4"/>
      <c r="C690" s="4" t="s">
        <v>1476</v>
      </c>
      <c r="D690" s="4">
        <v>50009.0</v>
      </c>
      <c r="E690" s="4"/>
      <c r="F690" s="4" t="s">
        <v>149</v>
      </c>
      <c r="G690" s="4">
        <v>99.0</v>
      </c>
      <c r="H690" s="4"/>
      <c r="I690" s="4">
        <v>99.0</v>
      </c>
      <c r="J690" s="4" t="s">
        <v>1477</v>
      </c>
      <c r="K690" s="4">
        <v>9.19466468842E11</v>
      </c>
      <c r="L690" s="4" t="s">
        <v>67</v>
      </c>
      <c r="M690" s="4" t="b">
        <v>0</v>
      </c>
      <c r="N690" s="4" t="s">
        <v>97</v>
      </c>
      <c r="O690" s="4" t="s">
        <v>69</v>
      </c>
      <c r="P690" s="6">
        <v>44305.37657407407</v>
      </c>
      <c r="Q690" s="4" t="s">
        <v>83</v>
      </c>
      <c r="R690" s="4"/>
      <c r="S690" s="4"/>
      <c r="T690" s="4"/>
      <c r="U690" s="7"/>
      <c r="V690" s="4"/>
      <c r="W690" s="4"/>
      <c r="X690" s="4"/>
      <c r="Y690" s="4"/>
      <c r="Z690" s="4"/>
      <c r="AA690" s="5"/>
      <c r="AB690" s="5"/>
      <c r="AC690" s="5"/>
      <c r="AD690" s="5"/>
      <c r="AE690" s="5"/>
    </row>
    <row r="691">
      <c r="A691" s="4" t="s">
        <v>1478</v>
      </c>
      <c r="B691" s="4"/>
      <c r="C691" s="4" t="s">
        <v>184</v>
      </c>
      <c r="D691" s="4">
        <v>49833.0</v>
      </c>
      <c r="E691" s="4"/>
      <c r="F691" s="4" t="s">
        <v>149</v>
      </c>
      <c r="G691" s="4">
        <v>199.0</v>
      </c>
      <c r="H691" s="4"/>
      <c r="I691" s="4">
        <v>199.0</v>
      </c>
      <c r="J691" s="4" t="s">
        <v>1479</v>
      </c>
      <c r="K691" s="4">
        <v>9.19380829018E11</v>
      </c>
      <c r="L691" s="4" t="s">
        <v>67</v>
      </c>
      <c r="M691" s="4" t="b">
        <v>0</v>
      </c>
      <c r="N691" s="4" t="s">
        <v>74</v>
      </c>
      <c r="O691" s="4" t="s">
        <v>69</v>
      </c>
      <c r="P691" s="6">
        <v>44305.37820601852</v>
      </c>
      <c r="Q691" s="4">
        <v>17105.0</v>
      </c>
      <c r="R691" s="4"/>
      <c r="S691" s="4"/>
      <c r="T691" s="4"/>
      <c r="U691" s="7"/>
      <c r="V691" s="4"/>
      <c r="W691" s="4"/>
      <c r="X691" s="4"/>
      <c r="Y691" s="4"/>
      <c r="Z691" s="4"/>
      <c r="AA691" s="5"/>
      <c r="AB691" s="5"/>
      <c r="AC691" s="5"/>
      <c r="AD691" s="5"/>
      <c r="AE691" s="5"/>
    </row>
    <row r="692">
      <c r="A692" s="4" t="s">
        <v>1480</v>
      </c>
      <c r="B692" s="4"/>
      <c r="C692" s="4" t="s">
        <v>1476</v>
      </c>
      <c r="D692" s="4">
        <v>50009.0</v>
      </c>
      <c r="E692" s="4"/>
      <c r="F692" s="4" t="s">
        <v>149</v>
      </c>
      <c r="G692" s="4">
        <v>99.0</v>
      </c>
      <c r="H692" s="4"/>
      <c r="I692" s="4">
        <v>99.0</v>
      </c>
      <c r="J692" s="4" t="s">
        <v>1481</v>
      </c>
      <c r="K692" s="4">
        <v>9.19689153344E11</v>
      </c>
      <c r="L692" s="4" t="s">
        <v>67</v>
      </c>
      <c r="M692" s="4" t="b">
        <v>0</v>
      </c>
      <c r="N692" s="4" t="s">
        <v>74</v>
      </c>
      <c r="O692" s="4" t="s">
        <v>69</v>
      </c>
      <c r="P692" s="6">
        <v>44305.384791666664</v>
      </c>
      <c r="Q692" s="4">
        <v>17037.0</v>
      </c>
      <c r="R692" s="4"/>
      <c r="S692" s="4"/>
      <c r="T692" s="4"/>
      <c r="U692" s="7"/>
      <c r="V692" s="4"/>
      <c r="W692" s="4"/>
      <c r="X692" s="4"/>
      <c r="Y692" s="4"/>
      <c r="Z692" s="4"/>
      <c r="AA692" s="5"/>
      <c r="AB692" s="5"/>
      <c r="AC692" s="5"/>
      <c r="AD692" s="5"/>
      <c r="AE692" s="5"/>
    </row>
    <row r="693">
      <c r="A693" s="4" t="s">
        <v>1482</v>
      </c>
      <c r="B693" s="4"/>
      <c r="C693" s="4" t="s">
        <v>1447</v>
      </c>
      <c r="D693" s="4">
        <v>50031.0</v>
      </c>
      <c r="E693" s="4"/>
      <c r="F693" s="4" t="s">
        <v>1437</v>
      </c>
      <c r="G693" s="4">
        <v>99.0</v>
      </c>
      <c r="H693" s="4"/>
      <c r="I693" s="4">
        <v>99.0</v>
      </c>
      <c r="J693" s="4" t="s">
        <v>1483</v>
      </c>
      <c r="K693" s="4">
        <v>9.19873012133E11</v>
      </c>
      <c r="L693" s="4" t="s">
        <v>67</v>
      </c>
      <c r="M693" s="4" t="b">
        <v>0</v>
      </c>
      <c r="N693" s="4" t="s">
        <v>151</v>
      </c>
      <c r="O693" s="4" t="s">
        <v>69</v>
      </c>
      <c r="P693" s="6">
        <v>44313.7762037037</v>
      </c>
      <c r="Q693" s="4">
        <v>17369.0</v>
      </c>
      <c r="R693" s="4"/>
      <c r="S693" s="4"/>
      <c r="T693" s="4"/>
      <c r="U693" s="7"/>
      <c r="V693" s="4"/>
      <c r="W693" s="4"/>
      <c r="X693" s="4"/>
      <c r="Y693" s="4"/>
      <c r="Z693" s="4"/>
      <c r="AA693" s="5"/>
      <c r="AB693" s="5"/>
      <c r="AC693" s="5"/>
      <c r="AD693" s="5"/>
      <c r="AE693" s="5"/>
    </row>
    <row r="694">
      <c r="A694" s="4" t="s">
        <v>1484</v>
      </c>
      <c r="B694" s="4"/>
      <c r="C694" s="4" t="s">
        <v>1059</v>
      </c>
      <c r="D694" s="4">
        <v>49997.0</v>
      </c>
      <c r="E694" s="4"/>
      <c r="F694" s="4" t="s">
        <v>149</v>
      </c>
      <c r="G694" s="4">
        <v>99.0</v>
      </c>
      <c r="H694" s="4"/>
      <c r="I694" s="4">
        <v>99.0</v>
      </c>
      <c r="J694" s="4" t="s">
        <v>1485</v>
      </c>
      <c r="K694" s="4">
        <v>9.18115014019E11</v>
      </c>
      <c r="L694" s="4" t="s">
        <v>67</v>
      </c>
      <c r="M694" s="4" t="b">
        <v>0</v>
      </c>
      <c r="N694" s="4" t="s">
        <v>68</v>
      </c>
      <c r="O694" s="4" t="s">
        <v>69</v>
      </c>
      <c r="P694" s="6">
        <v>44305.44354166667</v>
      </c>
      <c r="Q694" s="4">
        <v>17007.0</v>
      </c>
      <c r="R694" s="4"/>
      <c r="S694" s="4"/>
      <c r="T694" s="4"/>
      <c r="U694" s="7"/>
      <c r="V694" s="4"/>
      <c r="W694" s="4"/>
      <c r="X694" s="4"/>
      <c r="Y694" s="4"/>
      <c r="Z694" s="4"/>
      <c r="AA694" s="5"/>
      <c r="AB694" s="5"/>
      <c r="AC694" s="5"/>
      <c r="AD694" s="5"/>
      <c r="AE694" s="5"/>
    </row>
    <row r="695">
      <c r="A695" s="4" t="s">
        <v>1486</v>
      </c>
      <c r="B695" s="4"/>
      <c r="C695" s="4" t="s">
        <v>1476</v>
      </c>
      <c r="D695" s="4">
        <v>50009.0</v>
      </c>
      <c r="E695" s="4"/>
      <c r="F695" s="4" t="s">
        <v>149</v>
      </c>
      <c r="G695" s="4">
        <v>99.0</v>
      </c>
      <c r="H695" s="4"/>
      <c r="I695" s="4">
        <v>99.0</v>
      </c>
      <c r="J695" s="4" t="s">
        <v>1487</v>
      </c>
      <c r="K695" s="4">
        <v>9.19811256232E11</v>
      </c>
      <c r="L695" s="4" t="s">
        <v>67</v>
      </c>
      <c r="M695" s="4" t="b">
        <v>0</v>
      </c>
      <c r="N695" s="4" t="s">
        <v>68</v>
      </c>
      <c r="O695" s="4" t="s">
        <v>69</v>
      </c>
      <c r="P695" s="6">
        <v>44305.469513888886</v>
      </c>
      <c r="Q695" s="4">
        <v>17067.0</v>
      </c>
      <c r="R695" s="4"/>
      <c r="S695" s="4"/>
      <c r="T695" s="4"/>
      <c r="U695" s="7"/>
      <c r="V695" s="4"/>
      <c r="W695" s="4"/>
      <c r="X695" s="4"/>
      <c r="Y695" s="4"/>
      <c r="Z695" s="4"/>
      <c r="AA695" s="5"/>
      <c r="AB695" s="5"/>
      <c r="AC695" s="5"/>
      <c r="AD695" s="5"/>
      <c r="AE695" s="5"/>
    </row>
    <row r="696">
      <c r="A696" s="4" t="s">
        <v>1488</v>
      </c>
      <c r="B696" s="4"/>
      <c r="C696" s="4" t="s">
        <v>1476</v>
      </c>
      <c r="D696" s="4">
        <v>50009.0</v>
      </c>
      <c r="E696" s="4"/>
      <c r="F696" s="4" t="s">
        <v>149</v>
      </c>
      <c r="G696" s="4">
        <v>99.0</v>
      </c>
      <c r="H696" s="4"/>
      <c r="I696" s="4">
        <v>99.0</v>
      </c>
      <c r="J696" s="4" t="s">
        <v>1489</v>
      </c>
      <c r="K696" s="4">
        <v>9.19891376825E11</v>
      </c>
      <c r="L696" s="4" t="s">
        <v>67</v>
      </c>
      <c r="M696" s="4" t="b">
        <v>0</v>
      </c>
      <c r="N696" s="4" t="s">
        <v>68</v>
      </c>
      <c r="O696" s="4" t="s">
        <v>69</v>
      </c>
      <c r="P696" s="6">
        <v>44305.47111111111</v>
      </c>
      <c r="Q696" s="4">
        <v>17068.0</v>
      </c>
      <c r="R696" s="4"/>
      <c r="S696" s="4"/>
      <c r="T696" s="4"/>
      <c r="U696" s="7"/>
      <c r="V696" s="4"/>
      <c r="W696" s="4"/>
      <c r="X696" s="4"/>
      <c r="Y696" s="4"/>
      <c r="Z696" s="4"/>
      <c r="AA696" s="5"/>
      <c r="AB696" s="5"/>
      <c r="AC696" s="5"/>
      <c r="AD696" s="5"/>
      <c r="AE696" s="5"/>
    </row>
    <row r="697">
      <c r="A697" s="4" t="s">
        <v>1490</v>
      </c>
      <c r="B697" s="4"/>
      <c r="C697" s="4" t="s">
        <v>1104</v>
      </c>
      <c r="D697" s="4">
        <v>49993.0</v>
      </c>
      <c r="E697" s="4"/>
      <c r="F697" s="4" t="s">
        <v>149</v>
      </c>
      <c r="G697" s="4">
        <v>99.0</v>
      </c>
      <c r="H697" s="4"/>
      <c r="I697" s="4">
        <v>99.0</v>
      </c>
      <c r="J697" s="4" t="s">
        <v>1491</v>
      </c>
      <c r="K697" s="4">
        <v>9.1875611997E11</v>
      </c>
      <c r="L697" s="4" t="s">
        <v>67</v>
      </c>
      <c r="M697" s="4" t="b">
        <v>0</v>
      </c>
      <c r="N697" s="4" t="s">
        <v>68</v>
      </c>
      <c r="O697" s="4" t="s">
        <v>69</v>
      </c>
      <c r="P697" s="6">
        <v>44305.55837962963</v>
      </c>
      <c r="Q697" s="4">
        <v>16997.0</v>
      </c>
      <c r="R697" s="4"/>
      <c r="S697" s="4"/>
      <c r="T697" s="4"/>
      <c r="U697" s="7"/>
      <c r="V697" s="4"/>
      <c r="W697" s="4"/>
      <c r="X697" s="4"/>
      <c r="Y697" s="4"/>
      <c r="Z697" s="4"/>
      <c r="AA697" s="5"/>
      <c r="AB697" s="5"/>
      <c r="AC697" s="5"/>
      <c r="AD697" s="5"/>
      <c r="AE697" s="5"/>
    </row>
    <row r="698">
      <c r="A698" s="4" t="s">
        <v>1492</v>
      </c>
      <c r="B698" s="4"/>
      <c r="C698" s="4" t="s">
        <v>960</v>
      </c>
      <c r="D698" s="4">
        <v>49834.0</v>
      </c>
      <c r="E698" s="4"/>
      <c r="F698" s="4" t="s">
        <v>149</v>
      </c>
      <c r="G698" s="4">
        <v>99.0</v>
      </c>
      <c r="H698" s="4"/>
      <c r="I698" s="4">
        <v>99.0</v>
      </c>
      <c r="J698" s="4" t="s">
        <v>1493</v>
      </c>
      <c r="K698" s="4">
        <v>9.18591068412E11</v>
      </c>
      <c r="L698" s="4" t="s">
        <v>67</v>
      </c>
      <c r="M698" s="4" t="b">
        <v>0</v>
      </c>
      <c r="N698" s="4" t="s">
        <v>68</v>
      </c>
      <c r="O698" s="4" t="s">
        <v>69</v>
      </c>
      <c r="P698" s="6">
        <v>44305.63334490741</v>
      </c>
      <c r="Q698" s="4">
        <v>17048.0</v>
      </c>
      <c r="R698" s="4"/>
      <c r="S698" s="4"/>
      <c r="T698" s="4"/>
      <c r="U698" s="7"/>
      <c r="V698" s="4"/>
      <c r="W698" s="4"/>
      <c r="X698" s="4"/>
      <c r="Y698" s="4"/>
      <c r="Z698" s="4"/>
      <c r="AA698" s="5"/>
      <c r="AB698" s="5"/>
      <c r="AC698" s="5"/>
      <c r="AD698" s="5"/>
      <c r="AE698" s="5"/>
    </row>
    <row r="699">
      <c r="A699" s="4" t="s">
        <v>1494</v>
      </c>
      <c r="B699" s="4"/>
      <c r="C699" s="4" t="s">
        <v>1174</v>
      </c>
      <c r="D699" s="4">
        <v>49844.0</v>
      </c>
      <c r="E699" s="4"/>
      <c r="F699" s="4" t="s">
        <v>149</v>
      </c>
      <c r="G699" s="4">
        <v>99.0</v>
      </c>
      <c r="H699" s="4"/>
      <c r="I699" s="4">
        <v>99.0</v>
      </c>
      <c r="J699" s="4" t="s">
        <v>1495</v>
      </c>
      <c r="K699" s="4">
        <v>9.1882703087E11</v>
      </c>
      <c r="L699" s="4" t="s">
        <v>67</v>
      </c>
      <c r="M699" s="4" t="b">
        <v>0</v>
      </c>
      <c r="N699" s="4" t="s">
        <v>97</v>
      </c>
      <c r="O699" s="4" t="s">
        <v>69</v>
      </c>
      <c r="P699" s="6">
        <v>44305.66431712963</v>
      </c>
      <c r="Q699" s="4">
        <v>17025.0</v>
      </c>
      <c r="R699" s="4"/>
      <c r="S699" s="4"/>
      <c r="T699" s="4"/>
      <c r="U699" s="7"/>
      <c r="V699" s="4"/>
      <c r="W699" s="4"/>
      <c r="X699" s="4"/>
      <c r="Y699" s="4"/>
      <c r="Z699" s="4"/>
      <c r="AA699" s="5"/>
      <c r="AB699" s="5"/>
      <c r="AC699" s="5"/>
      <c r="AD699" s="5"/>
      <c r="AE699" s="5"/>
    </row>
    <row r="700">
      <c r="A700" s="4" t="s">
        <v>1496</v>
      </c>
      <c r="B700" s="4"/>
      <c r="C700" s="4" t="s">
        <v>1059</v>
      </c>
      <c r="D700" s="4">
        <v>49997.0</v>
      </c>
      <c r="E700" s="4"/>
      <c r="F700" s="4" t="s">
        <v>149</v>
      </c>
      <c r="G700" s="4">
        <v>99.0</v>
      </c>
      <c r="H700" s="4"/>
      <c r="I700" s="4">
        <v>99.0</v>
      </c>
      <c r="J700" s="4" t="s">
        <v>1497</v>
      </c>
      <c r="K700" s="4">
        <v>9.19860865423E11</v>
      </c>
      <c r="L700" s="4" t="s">
        <v>67</v>
      </c>
      <c r="M700" s="4" t="b">
        <v>0</v>
      </c>
      <c r="N700" s="4" t="s">
        <v>68</v>
      </c>
      <c r="O700" s="4" t="s">
        <v>69</v>
      </c>
      <c r="P700" s="6">
        <v>44305.69752314815</v>
      </c>
      <c r="Q700" s="4">
        <v>17004.0</v>
      </c>
      <c r="R700" s="4"/>
      <c r="S700" s="4"/>
      <c r="T700" s="4"/>
      <c r="U700" s="7"/>
      <c r="V700" s="4"/>
      <c r="W700" s="4"/>
      <c r="X700" s="4"/>
      <c r="Y700" s="4"/>
      <c r="Z700" s="4"/>
      <c r="AA700" s="5"/>
      <c r="AB700" s="5"/>
      <c r="AC700" s="5"/>
      <c r="AD700" s="5"/>
      <c r="AE700" s="5"/>
    </row>
    <row r="701">
      <c r="A701" s="4" t="s">
        <v>1498</v>
      </c>
      <c r="B701" s="4"/>
      <c r="C701" s="4" t="s">
        <v>1447</v>
      </c>
      <c r="D701" s="4">
        <v>50031.0</v>
      </c>
      <c r="E701" s="4"/>
      <c r="F701" s="4" t="s">
        <v>1437</v>
      </c>
      <c r="G701" s="4">
        <v>99.0</v>
      </c>
      <c r="H701" s="4"/>
      <c r="I701" s="4">
        <v>99.0</v>
      </c>
      <c r="J701" s="4" t="s">
        <v>1499</v>
      </c>
      <c r="K701" s="4">
        <v>9.1778062301E11</v>
      </c>
      <c r="L701" s="4" t="s">
        <v>67</v>
      </c>
      <c r="M701" s="4" t="b">
        <v>0</v>
      </c>
      <c r="N701" s="4" t="s">
        <v>68</v>
      </c>
      <c r="O701" s="4" t="s">
        <v>69</v>
      </c>
      <c r="P701" s="6">
        <v>44314.44417824074</v>
      </c>
      <c r="Q701" s="4" t="s">
        <v>83</v>
      </c>
      <c r="R701" s="4"/>
      <c r="S701" s="4"/>
      <c r="T701" s="4"/>
      <c r="U701" s="7"/>
      <c r="V701" s="4"/>
      <c r="W701" s="4"/>
      <c r="X701" s="4"/>
      <c r="Y701" s="4"/>
      <c r="Z701" s="4"/>
      <c r="AA701" s="5"/>
      <c r="AB701" s="5"/>
      <c r="AC701" s="5"/>
      <c r="AD701" s="5"/>
      <c r="AE701" s="5"/>
    </row>
    <row r="702">
      <c r="A702" s="4" t="s">
        <v>1500</v>
      </c>
      <c r="B702" s="4"/>
      <c r="C702" s="4" t="s">
        <v>184</v>
      </c>
      <c r="D702" s="4">
        <v>49833.0</v>
      </c>
      <c r="E702" s="4"/>
      <c r="F702" s="4" t="s">
        <v>85</v>
      </c>
      <c r="G702" s="4">
        <v>299.0</v>
      </c>
      <c r="H702" s="4"/>
      <c r="I702" s="4">
        <v>299.0</v>
      </c>
      <c r="J702" s="4" t="s">
        <v>1501</v>
      </c>
      <c r="K702" s="4">
        <v>9.19790745616E11</v>
      </c>
      <c r="L702" s="4" t="s">
        <v>67</v>
      </c>
      <c r="M702" s="4" t="b">
        <v>0</v>
      </c>
      <c r="N702" s="4" t="s">
        <v>97</v>
      </c>
      <c r="O702" s="4" t="s">
        <v>69</v>
      </c>
      <c r="P702" s="6">
        <v>44305.74936342592</v>
      </c>
      <c r="Q702" s="4">
        <v>17453.0</v>
      </c>
      <c r="R702" s="4"/>
      <c r="S702" s="4"/>
      <c r="T702" s="4"/>
      <c r="U702" s="7"/>
      <c r="V702" s="4"/>
      <c r="W702" s="4"/>
      <c r="X702" s="4"/>
      <c r="Y702" s="4"/>
      <c r="Z702" s="4"/>
      <c r="AA702" s="5"/>
      <c r="AB702" s="5"/>
      <c r="AC702" s="5"/>
      <c r="AD702" s="5"/>
      <c r="AE702" s="5"/>
    </row>
    <row r="703">
      <c r="A703" s="4" t="s">
        <v>1502</v>
      </c>
      <c r="B703" s="4"/>
      <c r="C703" s="4" t="s">
        <v>280</v>
      </c>
      <c r="D703" s="4">
        <v>49877.0</v>
      </c>
      <c r="E703" s="4"/>
      <c r="F703" s="4" t="s">
        <v>85</v>
      </c>
      <c r="G703" s="4">
        <v>99.0</v>
      </c>
      <c r="H703" s="4"/>
      <c r="I703" s="4">
        <v>99.0</v>
      </c>
      <c r="J703" s="4" t="s">
        <v>1503</v>
      </c>
      <c r="K703" s="4">
        <v>9.19619661368E11</v>
      </c>
      <c r="L703" s="4" t="s">
        <v>67</v>
      </c>
      <c r="M703" s="4" t="b">
        <v>0</v>
      </c>
      <c r="N703" s="4" t="s">
        <v>97</v>
      </c>
      <c r="O703" s="4" t="s">
        <v>69</v>
      </c>
      <c r="P703" s="6">
        <v>44305.77292824074</v>
      </c>
      <c r="Q703" s="4">
        <v>17431.0</v>
      </c>
      <c r="R703" s="4"/>
      <c r="S703" s="4"/>
      <c r="T703" s="4"/>
      <c r="U703" s="7"/>
      <c r="V703" s="4"/>
      <c r="W703" s="4"/>
      <c r="X703" s="4"/>
      <c r="Y703" s="4"/>
      <c r="Z703" s="4"/>
      <c r="AA703" s="5"/>
      <c r="AB703" s="5"/>
      <c r="AC703" s="5"/>
      <c r="AD703" s="5"/>
      <c r="AE703" s="5"/>
    </row>
    <row r="704">
      <c r="A704" s="4" t="s">
        <v>1504</v>
      </c>
      <c r="B704" s="4"/>
      <c r="C704" s="4" t="s">
        <v>1447</v>
      </c>
      <c r="D704" s="4">
        <v>50031.0</v>
      </c>
      <c r="E704" s="4"/>
      <c r="F704" s="4" t="s">
        <v>1437</v>
      </c>
      <c r="G704" s="4">
        <v>99.0</v>
      </c>
      <c r="H704" s="4"/>
      <c r="I704" s="4">
        <v>99.0</v>
      </c>
      <c r="J704" s="4" t="s">
        <v>1505</v>
      </c>
      <c r="K704" s="4">
        <v>9.17023004569E11</v>
      </c>
      <c r="L704" s="4" t="s">
        <v>67</v>
      </c>
      <c r="M704" s="4" t="b">
        <v>0</v>
      </c>
      <c r="N704" s="4" t="s">
        <v>261</v>
      </c>
      <c r="O704" s="4" t="s">
        <v>69</v>
      </c>
      <c r="P704" s="6">
        <v>44314.549629629626</v>
      </c>
      <c r="Q704" s="4">
        <v>17569.0</v>
      </c>
      <c r="R704" s="4"/>
      <c r="S704" s="4"/>
      <c r="T704" s="4"/>
      <c r="U704" s="7"/>
      <c r="V704" s="4"/>
      <c r="W704" s="4"/>
      <c r="X704" s="4"/>
      <c r="Y704" s="4"/>
      <c r="Z704" s="4"/>
      <c r="AA704" s="5"/>
      <c r="AB704" s="5"/>
      <c r="AC704" s="5"/>
      <c r="AD704" s="5"/>
      <c r="AE704" s="5"/>
    </row>
    <row r="705">
      <c r="A705" s="4" t="s">
        <v>1506</v>
      </c>
      <c r="B705" s="4"/>
      <c r="C705" s="4" t="s">
        <v>1507</v>
      </c>
      <c r="D705" s="4">
        <v>49859.0</v>
      </c>
      <c r="E705" s="4"/>
      <c r="F705" s="4" t="s">
        <v>77</v>
      </c>
      <c r="G705" s="4">
        <v>1000.0</v>
      </c>
      <c r="H705" s="4"/>
      <c r="I705" s="4">
        <v>1000.0</v>
      </c>
      <c r="J705" s="4" t="s">
        <v>1508</v>
      </c>
      <c r="K705" s="4">
        <v>9.18240417106E11</v>
      </c>
      <c r="L705" s="4" t="s">
        <v>67</v>
      </c>
      <c r="M705" s="4" t="b">
        <v>0</v>
      </c>
      <c r="N705" s="4" t="s">
        <v>74</v>
      </c>
      <c r="O705" s="4" t="s">
        <v>69</v>
      </c>
      <c r="P705" s="6">
        <v>44272.48355324074</v>
      </c>
      <c r="Q705" s="4">
        <v>15155.0</v>
      </c>
      <c r="R705" s="4"/>
      <c r="S705" s="4"/>
      <c r="T705" s="4"/>
      <c r="U705" s="7"/>
      <c r="V705" s="4"/>
      <c r="W705" s="4"/>
      <c r="X705" s="4"/>
      <c r="Y705" s="4"/>
      <c r="Z705" s="4"/>
      <c r="AA705" s="5"/>
      <c r="AB705" s="5"/>
      <c r="AC705" s="5"/>
      <c r="AD705" s="5"/>
      <c r="AE705" s="5"/>
    </row>
    <row r="706">
      <c r="A706" s="4" t="s">
        <v>1509</v>
      </c>
      <c r="B706" s="4"/>
      <c r="C706" s="4" t="s">
        <v>1507</v>
      </c>
      <c r="D706" s="4">
        <v>49859.0</v>
      </c>
      <c r="E706" s="4"/>
      <c r="F706" s="4" t="s">
        <v>77</v>
      </c>
      <c r="G706" s="4">
        <v>1000.0</v>
      </c>
      <c r="H706" s="4"/>
      <c r="I706" s="4">
        <v>1000.0</v>
      </c>
      <c r="J706" s="4" t="s">
        <v>1510</v>
      </c>
      <c r="K706" s="4">
        <v>9.17453802176E11</v>
      </c>
      <c r="L706" s="4" t="s">
        <v>67</v>
      </c>
      <c r="M706" s="4" t="b">
        <v>0</v>
      </c>
      <c r="N706" s="4" t="s">
        <v>68</v>
      </c>
      <c r="O706" s="4" t="s">
        <v>69</v>
      </c>
      <c r="P706" s="6">
        <v>44273.896157407406</v>
      </c>
      <c r="Q706" s="4" t="s">
        <v>83</v>
      </c>
      <c r="R706" s="4"/>
      <c r="S706" s="4"/>
      <c r="T706" s="4"/>
      <c r="U706" s="7"/>
      <c r="V706" s="4"/>
      <c r="W706" s="4"/>
      <c r="X706" s="4"/>
      <c r="Y706" s="4"/>
      <c r="Z706" s="4"/>
      <c r="AA706" s="5"/>
      <c r="AB706" s="5"/>
      <c r="AC706" s="5"/>
      <c r="AD706" s="5"/>
      <c r="AE706" s="5"/>
    </row>
    <row r="707">
      <c r="A707" s="4" t="s">
        <v>1511</v>
      </c>
      <c r="B707" s="4"/>
      <c r="C707" s="4" t="s">
        <v>1507</v>
      </c>
      <c r="D707" s="4">
        <v>49859.0</v>
      </c>
      <c r="E707" s="4"/>
      <c r="F707" s="4" t="s">
        <v>149</v>
      </c>
      <c r="G707" s="4">
        <v>99.0</v>
      </c>
      <c r="H707" s="4"/>
      <c r="I707" s="4">
        <v>99.0</v>
      </c>
      <c r="J707" s="4" t="s">
        <v>1512</v>
      </c>
      <c r="K707" s="4">
        <v>9.17387655461E11</v>
      </c>
      <c r="L707" s="4" t="s">
        <v>67</v>
      </c>
      <c r="M707" s="4" t="b">
        <v>0</v>
      </c>
      <c r="N707" s="4" t="s">
        <v>68</v>
      </c>
      <c r="O707" s="4" t="s">
        <v>69</v>
      </c>
      <c r="P707" s="6">
        <v>44297.59119212963</v>
      </c>
      <c r="Q707" s="4">
        <v>14990.0</v>
      </c>
      <c r="R707" s="4"/>
      <c r="S707" s="4"/>
      <c r="T707" s="4"/>
      <c r="U707" s="7"/>
      <c r="V707" s="4"/>
      <c r="W707" s="4"/>
      <c r="X707" s="4"/>
      <c r="Y707" s="4"/>
      <c r="Z707" s="4"/>
      <c r="AA707" s="5"/>
      <c r="AB707" s="5"/>
      <c r="AC707" s="5"/>
      <c r="AD707" s="5"/>
      <c r="AE707" s="5"/>
    </row>
    <row r="708">
      <c r="A708" s="4" t="s">
        <v>1513</v>
      </c>
      <c r="B708" s="4"/>
      <c r="C708" s="4" t="s">
        <v>1507</v>
      </c>
      <c r="D708" s="4">
        <v>49859.0</v>
      </c>
      <c r="E708" s="4"/>
      <c r="F708" s="4" t="s">
        <v>149</v>
      </c>
      <c r="G708" s="4">
        <v>99.0</v>
      </c>
      <c r="H708" s="4"/>
      <c r="I708" s="4">
        <v>99.0</v>
      </c>
      <c r="J708" s="4" t="s">
        <v>1514</v>
      </c>
      <c r="K708" s="4">
        <v>9.19061800676E11</v>
      </c>
      <c r="L708" s="4" t="s">
        <v>67</v>
      </c>
      <c r="M708" s="4" t="b">
        <v>0</v>
      </c>
      <c r="N708" s="4" t="s">
        <v>68</v>
      </c>
      <c r="O708" s="4" t="s">
        <v>69</v>
      </c>
      <c r="P708" s="6">
        <v>44304.63820601852</v>
      </c>
      <c r="Q708" s="4" t="s">
        <v>83</v>
      </c>
      <c r="R708" s="4"/>
      <c r="S708" s="4"/>
      <c r="T708" s="4"/>
      <c r="U708" s="7"/>
      <c r="V708" s="4"/>
      <c r="W708" s="4"/>
      <c r="X708" s="4"/>
      <c r="Y708" s="4"/>
      <c r="Z708" s="4"/>
      <c r="AA708" s="5"/>
      <c r="AB708" s="5"/>
      <c r="AC708" s="5"/>
      <c r="AD708" s="5"/>
      <c r="AE708" s="5"/>
    </row>
    <row r="709">
      <c r="A709" s="4" t="s">
        <v>1515</v>
      </c>
      <c r="B709" s="4"/>
      <c r="C709" s="4" t="s">
        <v>1516</v>
      </c>
      <c r="D709" s="4">
        <v>49996.0</v>
      </c>
      <c r="E709" s="4"/>
      <c r="F709" s="4" t="s">
        <v>149</v>
      </c>
      <c r="G709" s="4">
        <v>99.0</v>
      </c>
      <c r="H709" s="4"/>
      <c r="I709" s="4">
        <v>99.0</v>
      </c>
      <c r="J709" s="4" t="s">
        <v>1517</v>
      </c>
      <c r="K709" s="4">
        <v>9.1991682343E11</v>
      </c>
      <c r="L709" s="4" t="s">
        <v>67</v>
      </c>
      <c r="M709" s="4" t="b">
        <v>0</v>
      </c>
      <c r="N709" s="4" t="s">
        <v>68</v>
      </c>
      <c r="O709" s="4" t="s">
        <v>69</v>
      </c>
      <c r="P709" s="6">
        <v>44305.883101851854</v>
      </c>
      <c r="Q709" s="4">
        <v>4142.0</v>
      </c>
      <c r="R709" s="4"/>
      <c r="S709" s="4"/>
      <c r="T709" s="4"/>
      <c r="U709" s="7"/>
      <c r="V709" s="4"/>
      <c r="W709" s="4"/>
      <c r="X709" s="4"/>
      <c r="Y709" s="4"/>
      <c r="Z709" s="4"/>
      <c r="AA709" s="5"/>
      <c r="AB709" s="5"/>
      <c r="AC709" s="5"/>
      <c r="AD709" s="5"/>
      <c r="AE709" s="5"/>
    </row>
    <row r="710">
      <c r="A710" s="4" t="s">
        <v>1518</v>
      </c>
      <c r="B710" s="4"/>
      <c r="C710" s="4" t="s">
        <v>1476</v>
      </c>
      <c r="D710" s="4">
        <v>50009.0</v>
      </c>
      <c r="E710" s="4"/>
      <c r="F710" s="4" t="s">
        <v>149</v>
      </c>
      <c r="G710" s="4">
        <v>99.0</v>
      </c>
      <c r="H710" s="4"/>
      <c r="I710" s="4">
        <v>99.0</v>
      </c>
      <c r="J710" s="4" t="s">
        <v>1519</v>
      </c>
      <c r="K710" s="4">
        <v>9.17277999955E11</v>
      </c>
      <c r="L710" s="4" t="s">
        <v>67</v>
      </c>
      <c r="M710" s="4" t="b">
        <v>0</v>
      </c>
      <c r="N710" s="4" t="s">
        <v>68</v>
      </c>
      <c r="O710" s="4" t="s">
        <v>69</v>
      </c>
      <c r="P710" s="6">
        <v>44305.88449074074</v>
      </c>
      <c r="Q710" s="4">
        <v>17030.0</v>
      </c>
      <c r="R710" s="4"/>
      <c r="S710" s="4"/>
      <c r="T710" s="4"/>
      <c r="U710" s="7"/>
      <c r="V710" s="4"/>
      <c r="W710" s="4"/>
      <c r="X710" s="4"/>
      <c r="Y710" s="4"/>
      <c r="Z710" s="4"/>
      <c r="AA710" s="5"/>
      <c r="AB710" s="5"/>
      <c r="AC710" s="5"/>
      <c r="AD710" s="5"/>
      <c r="AE710" s="5"/>
    </row>
    <row r="711">
      <c r="A711" s="4" t="s">
        <v>1520</v>
      </c>
      <c r="B711" s="4"/>
      <c r="C711" s="4" t="s">
        <v>76</v>
      </c>
      <c r="D711" s="4">
        <v>49834.0</v>
      </c>
      <c r="E711" s="4"/>
      <c r="F711" s="4" t="s">
        <v>85</v>
      </c>
      <c r="G711" s="4">
        <v>199.0</v>
      </c>
      <c r="H711" s="4"/>
      <c r="I711" s="4">
        <v>199.0</v>
      </c>
      <c r="J711" s="4" t="s">
        <v>1521</v>
      </c>
      <c r="K711" s="4">
        <v>9.19611902719E11</v>
      </c>
      <c r="L711" s="4" t="s">
        <v>67</v>
      </c>
      <c r="M711" s="4" t="b">
        <v>0</v>
      </c>
      <c r="N711" s="4" t="s">
        <v>68</v>
      </c>
      <c r="O711" s="4" t="s">
        <v>69</v>
      </c>
      <c r="P711" s="6">
        <v>44305.88928240741</v>
      </c>
      <c r="Q711" s="4">
        <v>17041.0</v>
      </c>
      <c r="R711" s="4"/>
      <c r="S711" s="4"/>
      <c r="T711" s="4"/>
      <c r="U711" s="7"/>
      <c r="V711" s="4"/>
      <c r="W711" s="4"/>
      <c r="X711" s="4"/>
      <c r="Y711" s="4"/>
      <c r="Z711" s="4"/>
      <c r="AA711" s="5"/>
      <c r="AB711" s="5"/>
      <c r="AC711" s="5"/>
      <c r="AD711" s="5"/>
      <c r="AE711" s="5"/>
    </row>
    <row r="712">
      <c r="A712" s="4" t="s">
        <v>1522</v>
      </c>
      <c r="B712" s="4"/>
      <c r="C712" s="4" t="s">
        <v>1320</v>
      </c>
      <c r="D712" s="4">
        <v>50036.0</v>
      </c>
      <c r="E712" s="4"/>
      <c r="F712" s="4" t="s">
        <v>149</v>
      </c>
      <c r="G712" s="4">
        <v>149.0</v>
      </c>
      <c r="H712" s="4"/>
      <c r="I712" s="4">
        <v>149.0</v>
      </c>
      <c r="J712" s="4" t="s">
        <v>1523</v>
      </c>
      <c r="K712" s="4">
        <v>9.19873180625E11</v>
      </c>
      <c r="L712" s="4" t="s">
        <v>67</v>
      </c>
      <c r="M712" s="4" t="b">
        <v>0</v>
      </c>
      <c r="N712" s="4" t="s">
        <v>68</v>
      </c>
      <c r="O712" s="4" t="s">
        <v>69</v>
      </c>
      <c r="P712" s="6">
        <v>44305.89231481482</v>
      </c>
      <c r="Q712" s="4">
        <v>17011.0</v>
      </c>
      <c r="R712" s="4"/>
      <c r="S712" s="4"/>
      <c r="T712" s="4"/>
      <c r="U712" s="7"/>
      <c r="V712" s="4"/>
      <c r="W712" s="4"/>
      <c r="X712" s="4"/>
      <c r="Y712" s="4"/>
      <c r="Z712" s="4"/>
      <c r="AA712" s="5"/>
      <c r="AB712" s="5"/>
      <c r="AC712" s="5"/>
      <c r="AD712" s="5"/>
      <c r="AE712" s="5"/>
    </row>
    <row r="713">
      <c r="A713" s="4" t="s">
        <v>1524</v>
      </c>
      <c r="B713" s="4"/>
      <c r="C713" s="4" t="s">
        <v>1320</v>
      </c>
      <c r="D713" s="4">
        <v>50036.0</v>
      </c>
      <c r="E713" s="4"/>
      <c r="F713" s="4" t="s">
        <v>149</v>
      </c>
      <c r="G713" s="4">
        <v>149.0</v>
      </c>
      <c r="H713" s="4"/>
      <c r="I713" s="4">
        <v>149.0</v>
      </c>
      <c r="J713" s="4" t="s">
        <v>1525</v>
      </c>
      <c r="K713" s="4">
        <v>9.19815577304E11</v>
      </c>
      <c r="L713" s="4" t="s">
        <v>67</v>
      </c>
      <c r="M713" s="4" t="b">
        <v>0</v>
      </c>
      <c r="N713" s="4" t="s">
        <v>74</v>
      </c>
      <c r="O713" s="4" t="s">
        <v>69</v>
      </c>
      <c r="P713" s="6">
        <v>44305.9062962963</v>
      </c>
      <c r="Q713" s="4">
        <v>17013.0</v>
      </c>
      <c r="R713" s="4"/>
      <c r="S713" s="4"/>
      <c r="T713" s="4"/>
      <c r="U713" s="7"/>
      <c r="V713" s="4"/>
      <c r="W713" s="4"/>
      <c r="X713" s="4"/>
      <c r="Y713" s="4"/>
      <c r="Z713" s="4"/>
      <c r="AA713" s="5"/>
      <c r="AB713" s="5"/>
      <c r="AC713" s="5"/>
      <c r="AD713" s="5"/>
      <c r="AE713" s="5"/>
    </row>
    <row r="714">
      <c r="A714" s="4" t="s">
        <v>1526</v>
      </c>
      <c r="B714" s="4"/>
      <c r="C714" s="4" t="s">
        <v>1104</v>
      </c>
      <c r="D714" s="4">
        <v>49993.0</v>
      </c>
      <c r="E714" s="4"/>
      <c r="F714" s="4" t="s">
        <v>77</v>
      </c>
      <c r="G714" s="4">
        <v>349.0</v>
      </c>
      <c r="H714" s="4"/>
      <c r="I714" s="4">
        <v>349.0</v>
      </c>
      <c r="J714" s="4" t="s">
        <v>1527</v>
      </c>
      <c r="K714" s="4">
        <v>9.17870309702E11</v>
      </c>
      <c r="L714" s="4" t="s">
        <v>67</v>
      </c>
      <c r="M714" s="4" t="b">
        <v>0</v>
      </c>
      <c r="N714" s="4" t="s">
        <v>68</v>
      </c>
      <c r="O714" s="4" t="s">
        <v>69</v>
      </c>
      <c r="P714" s="6">
        <v>44305.92633101852</v>
      </c>
      <c r="Q714" s="4">
        <v>17023.0</v>
      </c>
      <c r="R714" s="4"/>
      <c r="S714" s="4"/>
      <c r="T714" s="4"/>
      <c r="U714" s="8"/>
      <c r="V714" s="4"/>
      <c r="W714" s="4"/>
      <c r="X714" s="4"/>
      <c r="Y714" s="4"/>
      <c r="Z714" s="4"/>
      <c r="AA714" s="5"/>
      <c r="AB714" s="5"/>
      <c r="AC714" s="5"/>
      <c r="AD714" s="5"/>
      <c r="AE714" s="5"/>
    </row>
    <row r="715">
      <c r="A715" s="4" t="s">
        <v>1528</v>
      </c>
      <c r="B715" s="4"/>
      <c r="C715" s="4" t="s">
        <v>1507</v>
      </c>
      <c r="D715" s="4">
        <v>49859.0</v>
      </c>
      <c r="E715" s="4"/>
      <c r="F715" s="4" t="s">
        <v>149</v>
      </c>
      <c r="G715" s="4">
        <v>99.0</v>
      </c>
      <c r="H715" s="4"/>
      <c r="I715" s="4">
        <v>99.0</v>
      </c>
      <c r="J715" s="4" t="s">
        <v>1529</v>
      </c>
      <c r="K715" s="4">
        <v>9.18369290188E11</v>
      </c>
      <c r="L715" s="4" t="s">
        <v>67</v>
      </c>
      <c r="M715" s="4" t="b">
        <v>0</v>
      </c>
      <c r="N715" s="4" t="s">
        <v>68</v>
      </c>
      <c r="O715" s="4" t="s">
        <v>69</v>
      </c>
      <c r="P715" s="6">
        <v>44305.10863425926</v>
      </c>
      <c r="Q715" s="4" t="s">
        <v>83</v>
      </c>
      <c r="R715" s="4"/>
      <c r="S715" s="4"/>
      <c r="T715" s="4"/>
      <c r="U715" s="7"/>
      <c r="V715" s="4"/>
      <c r="W715" s="4"/>
      <c r="X715" s="4"/>
      <c r="Y715" s="4"/>
      <c r="Z715" s="4"/>
      <c r="AA715" s="5"/>
      <c r="AB715" s="5"/>
      <c r="AC715" s="5"/>
      <c r="AD715" s="5"/>
      <c r="AE715" s="5"/>
    </row>
    <row r="716">
      <c r="A716" s="4" t="s">
        <v>1530</v>
      </c>
      <c r="B716" s="4"/>
      <c r="C716" s="4" t="s">
        <v>1507</v>
      </c>
      <c r="D716" s="4">
        <v>49859.0</v>
      </c>
      <c r="E716" s="4"/>
      <c r="F716" s="4" t="s">
        <v>149</v>
      </c>
      <c r="G716" s="4">
        <v>99.0</v>
      </c>
      <c r="H716" s="4"/>
      <c r="I716" s="4">
        <v>99.0</v>
      </c>
      <c r="J716" s="4" t="s">
        <v>1531</v>
      </c>
      <c r="K716" s="4">
        <v>9.17602770938E11</v>
      </c>
      <c r="L716" s="4" t="s">
        <v>67</v>
      </c>
      <c r="M716" s="4" t="b">
        <v>0</v>
      </c>
      <c r="N716" s="4" t="s">
        <v>74</v>
      </c>
      <c r="O716" s="4" t="s">
        <v>69</v>
      </c>
      <c r="P716" s="6">
        <v>44306.4703125</v>
      </c>
      <c r="Q716" s="4" t="s">
        <v>83</v>
      </c>
      <c r="R716" s="4"/>
      <c r="S716" s="4"/>
      <c r="T716" s="4"/>
      <c r="U716" s="7"/>
      <c r="V716" s="4"/>
      <c r="W716" s="4"/>
      <c r="X716" s="4"/>
      <c r="Y716" s="4"/>
      <c r="Z716" s="4"/>
      <c r="AA716" s="5"/>
      <c r="AB716" s="5"/>
      <c r="AC716" s="5"/>
      <c r="AD716" s="5"/>
      <c r="AE716" s="5"/>
    </row>
    <row r="717">
      <c r="A717" s="4" t="s">
        <v>1532</v>
      </c>
      <c r="B717" s="4"/>
      <c r="C717" s="4" t="s">
        <v>1104</v>
      </c>
      <c r="D717" s="4">
        <v>49993.0</v>
      </c>
      <c r="E717" s="4"/>
      <c r="F717" s="4" t="s">
        <v>149</v>
      </c>
      <c r="G717" s="4">
        <v>99.0</v>
      </c>
      <c r="H717" s="4"/>
      <c r="I717" s="4">
        <v>99.0</v>
      </c>
      <c r="J717" s="4" t="s">
        <v>1533</v>
      </c>
      <c r="K717" s="4">
        <v>9.19372692442E11</v>
      </c>
      <c r="L717" s="4" t="s">
        <v>67</v>
      </c>
      <c r="M717" s="4" t="b">
        <v>0</v>
      </c>
      <c r="N717" s="4" t="s">
        <v>68</v>
      </c>
      <c r="O717" s="4" t="s">
        <v>69</v>
      </c>
      <c r="P717" s="6">
        <v>44306.00457175926</v>
      </c>
      <c r="Q717" s="4">
        <v>17014.0</v>
      </c>
      <c r="R717" s="4"/>
      <c r="S717" s="4"/>
      <c r="T717" s="4"/>
      <c r="U717" s="7"/>
      <c r="V717" s="4"/>
      <c r="W717" s="4"/>
      <c r="X717" s="4"/>
      <c r="Y717" s="4"/>
      <c r="Z717" s="4"/>
      <c r="AA717" s="5"/>
      <c r="AB717" s="5"/>
      <c r="AC717" s="5"/>
      <c r="AD717" s="5"/>
      <c r="AE717" s="5"/>
    </row>
    <row r="718">
      <c r="A718" s="4" t="s">
        <v>1534</v>
      </c>
      <c r="B718" s="4"/>
      <c r="C718" s="4" t="s">
        <v>1104</v>
      </c>
      <c r="D718" s="4">
        <v>49993.0</v>
      </c>
      <c r="E718" s="4"/>
      <c r="F718" s="4" t="s">
        <v>149</v>
      </c>
      <c r="G718" s="4">
        <v>99.0</v>
      </c>
      <c r="H718" s="4"/>
      <c r="I718" s="4">
        <v>99.0</v>
      </c>
      <c r="J718" s="4" t="s">
        <v>1535</v>
      </c>
      <c r="K718" s="4">
        <v>9.18793497096E11</v>
      </c>
      <c r="L718" s="4" t="s">
        <v>67</v>
      </c>
      <c r="M718" s="4" t="b">
        <v>0</v>
      </c>
      <c r="N718" s="4" t="s">
        <v>68</v>
      </c>
      <c r="O718" s="4" t="s">
        <v>69</v>
      </c>
      <c r="P718" s="6">
        <v>44306.05243055556</v>
      </c>
      <c r="Q718" s="4">
        <v>17016.0</v>
      </c>
      <c r="R718" s="4"/>
      <c r="S718" s="4"/>
      <c r="T718" s="4"/>
      <c r="U718" s="7"/>
      <c r="V718" s="4"/>
      <c r="W718" s="4"/>
      <c r="X718" s="4"/>
      <c r="Y718" s="4"/>
      <c r="Z718" s="4"/>
      <c r="AA718" s="5"/>
      <c r="AB718" s="5"/>
      <c r="AC718" s="5"/>
      <c r="AD718" s="5"/>
      <c r="AE718" s="5"/>
    </row>
    <row r="719">
      <c r="A719" s="4" t="s">
        <v>1536</v>
      </c>
      <c r="B719" s="4"/>
      <c r="C719" s="4" t="s">
        <v>1059</v>
      </c>
      <c r="D719" s="4">
        <v>49997.0</v>
      </c>
      <c r="E719" s="4"/>
      <c r="F719" s="4" t="s">
        <v>149</v>
      </c>
      <c r="G719" s="4">
        <v>99.0</v>
      </c>
      <c r="H719" s="4"/>
      <c r="I719" s="4">
        <v>99.0</v>
      </c>
      <c r="J719" s="4" t="s">
        <v>1537</v>
      </c>
      <c r="K719" s="4">
        <v>9.19038757257E11</v>
      </c>
      <c r="L719" s="4" t="s">
        <v>67</v>
      </c>
      <c r="M719" s="4" t="b">
        <v>0</v>
      </c>
      <c r="N719" s="4" t="s">
        <v>68</v>
      </c>
      <c r="O719" s="4" t="s">
        <v>69</v>
      </c>
      <c r="P719" s="6">
        <v>44306.11314814815</v>
      </c>
      <c r="Q719" s="4" t="s">
        <v>83</v>
      </c>
      <c r="R719" s="4"/>
      <c r="S719" s="4"/>
      <c r="T719" s="4"/>
      <c r="U719" s="7"/>
      <c r="V719" s="4"/>
      <c r="W719" s="4"/>
      <c r="X719" s="4"/>
      <c r="Y719" s="4"/>
      <c r="Z719" s="4"/>
      <c r="AA719" s="5"/>
      <c r="AB719" s="5"/>
      <c r="AC719" s="5"/>
      <c r="AD719" s="5"/>
      <c r="AE719" s="5"/>
    </row>
    <row r="720">
      <c r="A720" s="4" t="s">
        <v>1538</v>
      </c>
      <c r="B720" s="4"/>
      <c r="C720" s="4" t="s">
        <v>1539</v>
      </c>
      <c r="D720" s="4">
        <v>50009.0</v>
      </c>
      <c r="E720" s="4"/>
      <c r="F720" s="4" t="s">
        <v>77</v>
      </c>
      <c r="G720" s="4">
        <v>349.0</v>
      </c>
      <c r="H720" s="4"/>
      <c r="I720" s="4">
        <v>349.0</v>
      </c>
      <c r="J720" s="4" t="s">
        <v>1540</v>
      </c>
      <c r="K720" s="4">
        <v>9.16360728523E11</v>
      </c>
      <c r="L720" s="4" t="s">
        <v>67</v>
      </c>
      <c r="M720" s="4" t="b">
        <v>0</v>
      </c>
      <c r="N720" s="4" t="s">
        <v>74</v>
      </c>
      <c r="O720" s="4" t="s">
        <v>69</v>
      </c>
      <c r="P720" s="6">
        <v>44306.2512037037</v>
      </c>
      <c r="Q720" s="4">
        <v>17097.0</v>
      </c>
      <c r="R720" s="4"/>
      <c r="S720" s="4"/>
      <c r="T720" s="4"/>
      <c r="U720" s="8"/>
      <c r="V720" s="4"/>
      <c r="W720" s="4"/>
      <c r="X720" s="4"/>
      <c r="Y720" s="4"/>
      <c r="Z720" s="4"/>
      <c r="AA720" s="5"/>
      <c r="AB720" s="5"/>
      <c r="AC720" s="5"/>
      <c r="AD720" s="5"/>
      <c r="AE720" s="5"/>
    </row>
    <row r="721">
      <c r="A721" s="4" t="s">
        <v>1541</v>
      </c>
      <c r="B721" s="4"/>
      <c r="C721" s="4" t="s">
        <v>1507</v>
      </c>
      <c r="D721" s="4">
        <v>49859.0</v>
      </c>
      <c r="E721" s="4"/>
      <c r="F721" s="4" t="s">
        <v>149</v>
      </c>
      <c r="G721" s="4">
        <v>99.0</v>
      </c>
      <c r="H721" s="4"/>
      <c r="I721" s="4">
        <v>99.0</v>
      </c>
      <c r="J721" s="4" t="s">
        <v>1542</v>
      </c>
      <c r="K721" s="4">
        <v>9.18002040324E11</v>
      </c>
      <c r="L721" s="4" t="s">
        <v>67</v>
      </c>
      <c r="M721" s="4" t="b">
        <v>0</v>
      </c>
      <c r="N721" s="4" t="s">
        <v>68</v>
      </c>
      <c r="O721" s="4" t="s">
        <v>69</v>
      </c>
      <c r="P721" s="6">
        <v>44309.46807870371</v>
      </c>
      <c r="Q721" s="4">
        <v>17169.0</v>
      </c>
      <c r="R721" s="4"/>
      <c r="S721" s="4"/>
      <c r="T721" s="4"/>
      <c r="U721" s="7"/>
      <c r="V721" s="4"/>
      <c r="W721" s="4"/>
      <c r="X721" s="4"/>
      <c r="Y721" s="4"/>
      <c r="Z721" s="4"/>
      <c r="AA721" s="5"/>
      <c r="AB721" s="5"/>
      <c r="AC721" s="5"/>
      <c r="AD721" s="5"/>
      <c r="AE721" s="5"/>
    </row>
    <row r="722">
      <c r="A722" s="4" t="s">
        <v>1543</v>
      </c>
      <c r="B722" s="4"/>
      <c r="C722" s="4" t="s">
        <v>1174</v>
      </c>
      <c r="D722" s="4">
        <v>49844.0</v>
      </c>
      <c r="E722" s="4"/>
      <c r="F722" s="4" t="s">
        <v>149</v>
      </c>
      <c r="G722" s="4">
        <v>99.0</v>
      </c>
      <c r="H722" s="4"/>
      <c r="I722" s="4">
        <v>99.0</v>
      </c>
      <c r="J722" s="4" t="s">
        <v>1544</v>
      </c>
      <c r="K722" s="4">
        <v>9.1821929617E11</v>
      </c>
      <c r="L722" s="4" t="s">
        <v>67</v>
      </c>
      <c r="M722" s="4" t="b">
        <v>0</v>
      </c>
      <c r="N722" s="4" t="s">
        <v>151</v>
      </c>
      <c r="O722" s="4" t="s">
        <v>69</v>
      </c>
      <c r="P722" s="6">
        <v>44306.27501157407</v>
      </c>
      <c r="Q722" s="4">
        <v>17039.0</v>
      </c>
      <c r="R722" s="4"/>
      <c r="S722" s="4"/>
      <c r="T722" s="4"/>
      <c r="U722" s="7"/>
      <c r="V722" s="4"/>
      <c r="W722" s="4"/>
      <c r="X722" s="4"/>
      <c r="Y722" s="4"/>
      <c r="Z722" s="4"/>
      <c r="AA722" s="5"/>
      <c r="AB722" s="5"/>
      <c r="AC722" s="5"/>
      <c r="AD722" s="5"/>
      <c r="AE722" s="5"/>
    </row>
    <row r="723">
      <c r="A723" s="4" t="s">
        <v>1545</v>
      </c>
      <c r="B723" s="4"/>
      <c r="C723" s="4" t="s">
        <v>1507</v>
      </c>
      <c r="D723" s="4">
        <v>49859.0</v>
      </c>
      <c r="E723" s="4"/>
      <c r="F723" s="4" t="s">
        <v>149</v>
      </c>
      <c r="G723" s="4">
        <v>99.0</v>
      </c>
      <c r="H723" s="4"/>
      <c r="I723" s="4">
        <v>99.0</v>
      </c>
      <c r="J723" s="4" t="s">
        <v>1546</v>
      </c>
      <c r="K723" s="4">
        <v>9.19011281209E11</v>
      </c>
      <c r="L723" s="4" t="s">
        <v>67</v>
      </c>
      <c r="M723" s="4" t="b">
        <v>0</v>
      </c>
      <c r="N723" s="4" t="s">
        <v>68</v>
      </c>
      <c r="O723" s="4" t="s">
        <v>69</v>
      </c>
      <c r="P723" s="6">
        <v>44311.369942129626</v>
      </c>
      <c r="Q723" s="4" t="s">
        <v>83</v>
      </c>
      <c r="R723" s="4"/>
      <c r="S723" s="4"/>
      <c r="T723" s="4"/>
      <c r="U723" s="7"/>
      <c r="V723" s="4"/>
      <c r="W723" s="4"/>
      <c r="X723" s="4"/>
      <c r="Y723" s="4"/>
      <c r="Z723" s="4"/>
      <c r="AA723" s="5"/>
      <c r="AB723" s="5"/>
      <c r="AC723" s="5"/>
      <c r="AD723" s="5"/>
      <c r="AE723" s="5"/>
    </row>
    <row r="724">
      <c r="A724" s="4" t="s">
        <v>1547</v>
      </c>
      <c r="B724" s="4"/>
      <c r="C724" s="4" t="s">
        <v>1059</v>
      </c>
      <c r="D724" s="4">
        <v>49997.0</v>
      </c>
      <c r="E724" s="4"/>
      <c r="F724" s="4" t="s">
        <v>149</v>
      </c>
      <c r="G724" s="4">
        <v>99.0</v>
      </c>
      <c r="H724" s="4"/>
      <c r="I724" s="4">
        <v>99.0</v>
      </c>
      <c r="J724" s="4" t="s">
        <v>1548</v>
      </c>
      <c r="K724" s="4">
        <v>9.19489565053E11</v>
      </c>
      <c r="L724" s="4" t="s">
        <v>67</v>
      </c>
      <c r="M724" s="4" t="b">
        <v>0</v>
      </c>
      <c r="N724" s="4" t="s">
        <v>151</v>
      </c>
      <c r="O724" s="4" t="s">
        <v>69</v>
      </c>
      <c r="P724" s="6">
        <v>44306.46166666667</v>
      </c>
      <c r="Q724" s="4">
        <v>14222.0</v>
      </c>
      <c r="R724" s="4"/>
      <c r="S724" s="4"/>
      <c r="T724" s="4"/>
      <c r="U724" s="7"/>
      <c r="V724" s="4"/>
      <c r="W724" s="4"/>
      <c r="X724" s="4"/>
      <c r="Y724" s="4"/>
      <c r="Z724" s="4"/>
      <c r="AA724" s="5"/>
      <c r="AB724" s="5"/>
      <c r="AC724" s="5"/>
      <c r="AD724" s="5"/>
      <c r="AE724" s="5"/>
    </row>
    <row r="725">
      <c r="A725" s="4" t="s">
        <v>1549</v>
      </c>
      <c r="B725" s="4"/>
      <c r="C725" s="4" t="s">
        <v>1507</v>
      </c>
      <c r="D725" s="4">
        <v>49859.0</v>
      </c>
      <c r="E725" s="4"/>
      <c r="F725" s="4" t="s">
        <v>149</v>
      </c>
      <c r="G725" s="4">
        <v>99.0</v>
      </c>
      <c r="H725" s="4"/>
      <c r="I725" s="4">
        <v>99.0</v>
      </c>
      <c r="J725" s="4" t="s">
        <v>1550</v>
      </c>
      <c r="K725" s="4">
        <v>9.18179076682E11</v>
      </c>
      <c r="L725" s="4" t="s">
        <v>67</v>
      </c>
      <c r="M725" s="4" t="b">
        <v>0</v>
      </c>
      <c r="N725" s="4" t="s">
        <v>97</v>
      </c>
      <c r="O725" s="4" t="s">
        <v>69</v>
      </c>
      <c r="P725" s="6">
        <v>44311.9356712963</v>
      </c>
      <c r="Q725" s="4">
        <v>17288.0</v>
      </c>
      <c r="R725" s="4"/>
      <c r="S725" s="4"/>
      <c r="T725" s="4"/>
      <c r="U725" s="7"/>
      <c r="V725" s="4"/>
      <c r="W725" s="4"/>
      <c r="X725" s="4"/>
      <c r="Y725" s="4"/>
      <c r="Z725" s="4"/>
      <c r="AA725" s="5"/>
      <c r="AB725" s="5"/>
      <c r="AC725" s="5"/>
      <c r="AD725" s="5"/>
      <c r="AE725" s="5"/>
    </row>
    <row r="726">
      <c r="A726" s="4" t="s">
        <v>1551</v>
      </c>
      <c r="B726" s="4"/>
      <c r="C726" s="4" t="s">
        <v>1320</v>
      </c>
      <c r="D726" s="4">
        <v>50036.0</v>
      </c>
      <c r="E726" s="4"/>
      <c r="F726" s="4" t="s">
        <v>85</v>
      </c>
      <c r="G726" s="4">
        <v>299.0</v>
      </c>
      <c r="H726" s="4"/>
      <c r="I726" s="4">
        <v>299.0</v>
      </c>
      <c r="J726" s="4" t="s">
        <v>1552</v>
      </c>
      <c r="K726" s="4">
        <v>9.19810522399E11</v>
      </c>
      <c r="L726" s="4" t="s">
        <v>67</v>
      </c>
      <c r="M726" s="4" t="b">
        <v>0</v>
      </c>
      <c r="N726" s="4" t="s">
        <v>74</v>
      </c>
      <c r="O726" s="4" t="s">
        <v>69</v>
      </c>
      <c r="P726" s="6">
        <v>44306.478425925925</v>
      </c>
      <c r="Q726" s="4">
        <v>17265.0</v>
      </c>
      <c r="R726" s="4"/>
      <c r="S726" s="4"/>
      <c r="T726" s="4"/>
      <c r="U726" s="7"/>
      <c r="V726" s="4"/>
      <c r="W726" s="4"/>
      <c r="X726" s="4"/>
      <c r="Y726" s="4"/>
      <c r="Z726" s="4"/>
      <c r="AA726" s="5"/>
      <c r="AB726" s="5"/>
      <c r="AC726" s="5"/>
      <c r="AD726" s="5"/>
      <c r="AE726" s="5"/>
    </row>
    <row r="727">
      <c r="A727" s="4" t="s">
        <v>1553</v>
      </c>
      <c r="B727" s="4"/>
      <c r="C727" s="4" t="s">
        <v>1507</v>
      </c>
      <c r="D727" s="4">
        <v>49859.0</v>
      </c>
      <c r="E727" s="4"/>
      <c r="F727" s="4" t="s">
        <v>149</v>
      </c>
      <c r="G727" s="4">
        <v>99.0</v>
      </c>
      <c r="H727" s="4"/>
      <c r="I727" s="4">
        <v>99.0</v>
      </c>
      <c r="J727" s="4" t="s">
        <v>1554</v>
      </c>
      <c r="K727" s="4">
        <v>9.18486842111E11</v>
      </c>
      <c r="L727" s="4" t="s">
        <v>67</v>
      </c>
      <c r="M727" s="4" t="b">
        <v>0</v>
      </c>
      <c r="N727" s="4" t="s">
        <v>68</v>
      </c>
      <c r="O727" s="4" t="s">
        <v>69</v>
      </c>
      <c r="P727" s="6">
        <v>44312.32915509259</v>
      </c>
      <c r="Q727" s="4">
        <v>17320.0</v>
      </c>
      <c r="R727" s="4"/>
      <c r="S727" s="4"/>
      <c r="T727" s="4"/>
      <c r="U727" s="7"/>
      <c r="V727" s="4"/>
      <c r="W727" s="4"/>
      <c r="X727" s="4"/>
      <c r="Y727" s="4"/>
      <c r="Z727" s="4"/>
      <c r="AA727" s="5"/>
      <c r="AB727" s="5"/>
      <c r="AC727" s="5"/>
      <c r="AD727" s="5"/>
      <c r="AE727" s="5"/>
    </row>
    <row r="728">
      <c r="A728" s="4" t="s">
        <v>1555</v>
      </c>
      <c r="B728" s="4"/>
      <c r="C728" s="4" t="s">
        <v>1507</v>
      </c>
      <c r="D728" s="4">
        <v>49859.0</v>
      </c>
      <c r="E728" s="4"/>
      <c r="F728" s="4" t="s">
        <v>149</v>
      </c>
      <c r="G728" s="4">
        <v>99.0</v>
      </c>
      <c r="H728" s="4"/>
      <c r="I728" s="4">
        <v>99.0</v>
      </c>
      <c r="J728" s="4" t="s">
        <v>1556</v>
      </c>
      <c r="K728" s="4">
        <v>9.19868482044E11</v>
      </c>
      <c r="L728" s="4" t="s">
        <v>67</v>
      </c>
      <c r="M728" s="4" t="b">
        <v>0</v>
      </c>
      <c r="N728" s="4" t="s">
        <v>68</v>
      </c>
      <c r="O728" s="4" t="s">
        <v>69</v>
      </c>
      <c r="P728" s="6">
        <v>44312.57954861111</v>
      </c>
      <c r="Q728" s="4">
        <v>17308.0</v>
      </c>
      <c r="R728" s="4"/>
      <c r="S728" s="4"/>
      <c r="T728" s="4"/>
      <c r="U728" s="7"/>
      <c r="V728" s="4"/>
      <c r="W728" s="4"/>
      <c r="X728" s="4"/>
      <c r="Y728" s="4"/>
      <c r="Z728" s="4"/>
      <c r="AA728" s="5"/>
      <c r="AB728" s="5"/>
      <c r="AC728" s="5"/>
      <c r="AD728" s="5"/>
      <c r="AE728" s="5"/>
    </row>
    <row r="729">
      <c r="A729" s="4" t="s">
        <v>1557</v>
      </c>
      <c r="B729" s="4"/>
      <c r="C729" s="4" t="s">
        <v>1104</v>
      </c>
      <c r="D729" s="4">
        <v>49993.0</v>
      </c>
      <c r="E729" s="4"/>
      <c r="F729" s="4" t="s">
        <v>149</v>
      </c>
      <c r="G729" s="4">
        <v>99.0</v>
      </c>
      <c r="H729" s="4"/>
      <c r="I729" s="4">
        <v>99.0</v>
      </c>
      <c r="J729" s="4" t="s">
        <v>1558</v>
      </c>
      <c r="K729" s="4">
        <v>9.19916468292E11</v>
      </c>
      <c r="L729" s="4" t="s">
        <v>67</v>
      </c>
      <c r="M729" s="4" t="b">
        <v>0</v>
      </c>
      <c r="N729" s="4" t="s">
        <v>97</v>
      </c>
      <c r="O729" s="4" t="s">
        <v>69</v>
      </c>
      <c r="P729" s="6">
        <v>44306.52112268518</v>
      </c>
      <c r="Q729" s="4">
        <v>17026.0</v>
      </c>
      <c r="R729" s="4"/>
      <c r="S729" s="4"/>
      <c r="T729" s="4"/>
      <c r="U729" s="7"/>
      <c r="V729" s="4"/>
      <c r="W729" s="4"/>
      <c r="X729" s="4"/>
      <c r="Y729" s="4"/>
      <c r="Z729" s="4"/>
      <c r="AA729" s="5"/>
      <c r="AB729" s="5"/>
      <c r="AC729" s="5"/>
      <c r="AD729" s="5"/>
      <c r="AE729" s="5"/>
    </row>
    <row r="730">
      <c r="A730" s="4" t="s">
        <v>1559</v>
      </c>
      <c r="B730" s="4"/>
      <c r="C730" s="4" t="s">
        <v>280</v>
      </c>
      <c r="D730" s="4">
        <v>49877.0</v>
      </c>
      <c r="E730" s="4"/>
      <c r="F730" s="4" t="s">
        <v>85</v>
      </c>
      <c r="G730" s="4">
        <v>99.0</v>
      </c>
      <c r="H730" s="4"/>
      <c r="I730" s="4">
        <v>99.0</v>
      </c>
      <c r="J730" s="4" t="s">
        <v>1560</v>
      </c>
      <c r="K730" s="4">
        <v>9.19337500982E11</v>
      </c>
      <c r="L730" s="4" t="s">
        <v>67</v>
      </c>
      <c r="M730" s="4" t="b">
        <v>0</v>
      </c>
      <c r="N730" s="4" t="s">
        <v>97</v>
      </c>
      <c r="O730" s="4" t="s">
        <v>69</v>
      </c>
      <c r="P730" s="6">
        <v>44306.52137731481</v>
      </c>
      <c r="Q730" s="4">
        <v>17064.0</v>
      </c>
      <c r="R730" s="4"/>
      <c r="S730" s="4"/>
      <c r="T730" s="4"/>
      <c r="U730" s="7"/>
      <c r="V730" s="4"/>
      <c r="W730" s="4"/>
      <c r="X730" s="4"/>
      <c r="Y730" s="4"/>
      <c r="Z730" s="4"/>
      <c r="AA730" s="5"/>
      <c r="AB730" s="5"/>
      <c r="AC730" s="5"/>
      <c r="AD730" s="5"/>
      <c r="AE730" s="5"/>
    </row>
    <row r="731">
      <c r="A731" s="4" t="s">
        <v>1561</v>
      </c>
      <c r="B731" s="4"/>
      <c r="C731" s="4" t="s">
        <v>1059</v>
      </c>
      <c r="D731" s="4">
        <v>49997.0</v>
      </c>
      <c r="E731" s="4"/>
      <c r="F731" s="4" t="s">
        <v>77</v>
      </c>
      <c r="G731" s="4">
        <v>349.0</v>
      </c>
      <c r="H731" s="4"/>
      <c r="I731" s="4">
        <v>349.0</v>
      </c>
      <c r="J731" s="4" t="s">
        <v>1562</v>
      </c>
      <c r="K731" s="4">
        <v>9.19654992285E11</v>
      </c>
      <c r="L731" s="4" t="s">
        <v>67</v>
      </c>
      <c r="M731" s="4" t="b">
        <v>0</v>
      </c>
      <c r="N731" s="4" t="s">
        <v>68</v>
      </c>
      <c r="O731" s="4" t="s">
        <v>69</v>
      </c>
      <c r="P731" s="6">
        <v>44306.53826388889</v>
      </c>
      <c r="Q731" s="4">
        <v>17082.0</v>
      </c>
      <c r="R731" s="4"/>
      <c r="S731" s="4"/>
      <c r="T731" s="4"/>
      <c r="U731" s="8"/>
      <c r="V731" s="4"/>
      <c r="W731" s="4"/>
      <c r="X731" s="4"/>
      <c r="Y731" s="4"/>
      <c r="Z731" s="4"/>
      <c r="AA731" s="5"/>
      <c r="AB731" s="5"/>
      <c r="AC731" s="5"/>
      <c r="AD731" s="5"/>
      <c r="AE731" s="5"/>
    </row>
    <row r="732">
      <c r="A732" s="4" t="s">
        <v>1563</v>
      </c>
      <c r="B732" s="4"/>
      <c r="C732" s="4" t="s">
        <v>1507</v>
      </c>
      <c r="D732" s="4">
        <v>49859.0</v>
      </c>
      <c r="E732" s="4"/>
      <c r="F732" s="4" t="s">
        <v>149</v>
      </c>
      <c r="G732" s="4">
        <v>99.0</v>
      </c>
      <c r="H732" s="4"/>
      <c r="I732" s="4">
        <v>99.0</v>
      </c>
      <c r="J732" s="4" t="s">
        <v>1564</v>
      </c>
      <c r="K732" s="4">
        <v>9.1691323368E11</v>
      </c>
      <c r="L732" s="4" t="s">
        <v>67</v>
      </c>
      <c r="M732" s="4" t="b">
        <v>0</v>
      </c>
      <c r="N732" s="4" t="s">
        <v>68</v>
      </c>
      <c r="O732" s="4" t="s">
        <v>69</v>
      </c>
      <c r="P732" s="6">
        <v>44313.73296296296</v>
      </c>
      <c r="Q732" s="4">
        <v>17366.0</v>
      </c>
      <c r="R732" s="4"/>
      <c r="S732" s="4"/>
      <c r="T732" s="4"/>
      <c r="U732" s="7"/>
      <c r="V732" s="4"/>
      <c r="W732" s="4"/>
      <c r="X732" s="4"/>
      <c r="Y732" s="4"/>
      <c r="Z732" s="4"/>
      <c r="AA732" s="5"/>
      <c r="AB732" s="5"/>
      <c r="AC732" s="5"/>
      <c r="AD732" s="5"/>
      <c r="AE732" s="5"/>
    </row>
    <row r="733">
      <c r="A733" s="4" t="s">
        <v>1565</v>
      </c>
      <c r="B733" s="4"/>
      <c r="C733" s="4" t="s">
        <v>184</v>
      </c>
      <c r="D733" s="4">
        <v>49833.0</v>
      </c>
      <c r="E733" s="4"/>
      <c r="F733" s="4" t="s">
        <v>85</v>
      </c>
      <c r="G733" s="4">
        <v>299.0</v>
      </c>
      <c r="H733" s="4"/>
      <c r="I733" s="4">
        <v>299.0</v>
      </c>
      <c r="J733" s="4" t="s">
        <v>1566</v>
      </c>
      <c r="K733" s="4">
        <v>9.18505811837E11</v>
      </c>
      <c r="L733" s="4" t="s">
        <v>67</v>
      </c>
      <c r="M733" s="4" t="b">
        <v>0</v>
      </c>
      <c r="N733" s="4" t="s">
        <v>151</v>
      </c>
      <c r="O733" s="4" t="s">
        <v>69</v>
      </c>
      <c r="P733" s="6">
        <v>44306.57277777778</v>
      </c>
      <c r="Q733" s="4">
        <v>17114.0</v>
      </c>
      <c r="R733" s="4"/>
      <c r="S733" s="4"/>
      <c r="T733" s="4"/>
      <c r="U733" s="7"/>
      <c r="V733" s="4"/>
      <c r="W733" s="4"/>
      <c r="X733" s="4"/>
      <c r="Y733" s="4"/>
      <c r="Z733" s="4"/>
      <c r="AA733" s="5"/>
      <c r="AB733" s="5"/>
      <c r="AC733" s="5"/>
      <c r="AD733" s="5"/>
      <c r="AE733" s="5"/>
    </row>
    <row r="734">
      <c r="A734" s="4" t="s">
        <v>1567</v>
      </c>
      <c r="B734" s="4"/>
      <c r="C734" s="4" t="s">
        <v>1436</v>
      </c>
      <c r="D734" s="4">
        <v>50048.0</v>
      </c>
      <c r="E734" s="4"/>
      <c r="F734" s="4" t="s">
        <v>1442</v>
      </c>
      <c r="G734" s="4">
        <v>299.0</v>
      </c>
      <c r="H734" s="4"/>
      <c r="I734" s="4">
        <v>299.0</v>
      </c>
      <c r="J734" s="4" t="s">
        <v>1568</v>
      </c>
      <c r="K734" s="4">
        <v>9.19769938077E11</v>
      </c>
      <c r="L734" s="4" t="s">
        <v>67</v>
      </c>
      <c r="M734" s="4" t="b">
        <v>0</v>
      </c>
      <c r="N734" s="4" t="s">
        <v>74</v>
      </c>
      <c r="O734" s="4" t="s">
        <v>69</v>
      </c>
      <c r="P734" s="6">
        <v>44306.57822916667</v>
      </c>
      <c r="Q734" s="4">
        <v>17375.0</v>
      </c>
      <c r="R734" s="4"/>
      <c r="S734" s="4"/>
      <c r="T734" s="4"/>
      <c r="U734" s="7"/>
      <c r="V734" s="4"/>
      <c r="W734" s="4"/>
      <c r="X734" s="4"/>
      <c r="Y734" s="4"/>
      <c r="Z734" s="4"/>
      <c r="AA734" s="5"/>
      <c r="AB734" s="5"/>
      <c r="AC734" s="5"/>
      <c r="AD734" s="5"/>
      <c r="AE734" s="5"/>
    </row>
    <row r="735">
      <c r="A735" s="4" t="s">
        <v>1569</v>
      </c>
      <c r="B735" s="4"/>
      <c r="C735" s="4" t="s">
        <v>960</v>
      </c>
      <c r="D735" s="4">
        <v>49834.0</v>
      </c>
      <c r="E735" s="4"/>
      <c r="F735" s="4" t="s">
        <v>149</v>
      </c>
      <c r="G735" s="4">
        <v>99.0</v>
      </c>
      <c r="H735" s="4"/>
      <c r="I735" s="4">
        <v>99.0</v>
      </c>
      <c r="J735" s="4" t="s">
        <v>1570</v>
      </c>
      <c r="K735" s="4">
        <v>9.19110725205E11</v>
      </c>
      <c r="L735" s="4" t="s">
        <v>67</v>
      </c>
      <c r="M735" s="4" t="b">
        <v>0</v>
      </c>
      <c r="N735" s="4" t="s">
        <v>68</v>
      </c>
      <c r="O735" s="4" t="s">
        <v>69</v>
      </c>
      <c r="P735" s="6">
        <v>44306.59743055556</v>
      </c>
      <c r="Q735" s="4">
        <v>17045.0</v>
      </c>
      <c r="R735" s="4"/>
      <c r="S735" s="4"/>
      <c r="T735" s="4"/>
      <c r="U735" s="7"/>
      <c r="V735" s="4"/>
      <c r="W735" s="4"/>
      <c r="X735" s="4"/>
      <c r="Y735" s="4"/>
      <c r="Z735" s="4"/>
      <c r="AA735" s="5"/>
      <c r="AB735" s="5"/>
      <c r="AC735" s="5"/>
      <c r="AD735" s="5"/>
      <c r="AE735" s="5"/>
    </row>
    <row r="736">
      <c r="A736" s="4" t="s">
        <v>1571</v>
      </c>
      <c r="B736" s="4"/>
      <c r="C736" s="4" t="s">
        <v>184</v>
      </c>
      <c r="D736" s="4">
        <v>49833.0</v>
      </c>
      <c r="E736" s="4"/>
      <c r="F736" s="4" t="s">
        <v>85</v>
      </c>
      <c r="G736" s="4">
        <v>299.0</v>
      </c>
      <c r="H736" s="4"/>
      <c r="I736" s="4">
        <v>299.0</v>
      </c>
      <c r="J736" s="4" t="s">
        <v>1572</v>
      </c>
      <c r="K736" s="4">
        <v>9.17358827186E11</v>
      </c>
      <c r="L736" s="4" t="s">
        <v>67</v>
      </c>
      <c r="M736" s="4" t="b">
        <v>0</v>
      </c>
      <c r="N736" s="4" t="s">
        <v>74</v>
      </c>
      <c r="O736" s="4" t="s">
        <v>69</v>
      </c>
      <c r="P736" s="6">
        <v>44306.63815972222</v>
      </c>
      <c r="Q736" s="4">
        <v>17119.0</v>
      </c>
      <c r="R736" s="4"/>
      <c r="S736" s="4"/>
      <c r="T736" s="4"/>
      <c r="U736" s="7"/>
      <c r="V736" s="4"/>
      <c r="W736" s="4"/>
      <c r="X736" s="4"/>
      <c r="Y736" s="4"/>
      <c r="Z736" s="4"/>
      <c r="AA736" s="5"/>
      <c r="AB736" s="5"/>
      <c r="AC736" s="5"/>
      <c r="AD736" s="5"/>
      <c r="AE736" s="5"/>
    </row>
    <row r="737">
      <c r="A737" s="4" t="s">
        <v>1573</v>
      </c>
      <c r="B737" s="4"/>
      <c r="C737" s="4" t="s">
        <v>885</v>
      </c>
      <c r="D737" s="4">
        <v>49844.0</v>
      </c>
      <c r="E737" s="4"/>
      <c r="F737" s="4" t="s">
        <v>77</v>
      </c>
      <c r="G737" s="4">
        <v>349.0</v>
      </c>
      <c r="H737" s="4"/>
      <c r="I737" s="4">
        <v>349.0</v>
      </c>
      <c r="J737" s="4" t="s">
        <v>1574</v>
      </c>
      <c r="K737" s="4">
        <v>9.19413669776E11</v>
      </c>
      <c r="L737" s="4" t="s">
        <v>67</v>
      </c>
      <c r="M737" s="4" t="b">
        <v>0</v>
      </c>
      <c r="N737" s="4" t="s">
        <v>151</v>
      </c>
      <c r="O737" s="4" t="s">
        <v>69</v>
      </c>
      <c r="P737" s="6">
        <v>44306.64061342592</v>
      </c>
      <c r="Q737" s="4">
        <v>17031.0</v>
      </c>
      <c r="R737" s="4"/>
      <c r="S737" s="4"/>
      <c r="T737" s="4"/>
      <c r="U737" s="8"/>
      <c r="V737" s="4"/>
      <c r="W737" s="4"/>
      <c r="X737" s="4"/>
      <c r="Y737" s="4"/>
      <c r="Z737" s="4"/>
      <c r="AA737" s="5"/>
      <c r="AB737" s="5"/>
      <c r="AC737" s="5"/>
      <c r="AD737" s="5"/>
      <c r="AE737" s="5"/>
    </row>
    <row r="738">
      <c r="A738" s="4" t="s">
        <v>1575</v>
      </c>
      <c r="B738" s="4"/>
      <c r="C738" s="4" t="s">
        <v>858</v>
      </c>
      <c r="D738" s="4">
        <v>49958.0</v>
      </c>
      <c r="E738" s="4"/>
      <c r="F738" s="4" t="s">
        <v>149</v>
      </c>
      <c r="G738" s="4">
        <v>99.0</v>
      </c>
      <c r="H738" s="4"/>
      <c r="I738" s="4">
        <v>99.0</v>
      </c>
      <c r="J738" s="4" t="s">
        <v>1576</v>
      </c>
      <c r="K738" s="4">
        <v>9.18800195227E11</v>
      </c>
      <c r="L738" s="4" t="s">
        <v>67</v>
      </c>
      <c r="M738" s="4" t="b">
        <v>0</v>
      </c>
      <c r="N738" s="4" t="s">
        <v>68</v>
      </c>
      <c r="O738" s="4" t="s">
        <v>69</v>
      </c>
      <c r="P738" s="6">
        <v>44306.653865740744</v>
      </c>
      <c r="Q738" s="4" t="s">
        <v>83</v>
      </c>
      <c r="R738" s="4"/>
      <c r="S738" s="4"/>
      <c r="T738" s="4"/>
      <c r="U738" s="7"/>
      <c r="V738" s="4"/>
      <c r="W738" s="4"/>
      <c r="X738" s="4"/>
      <c r="Y738" s="4"/>
      <c r="Z738" s="4"/>
      <c r="AA738" s="5"/>
      <c r="AB738" s="5"/>
      <c r="AC738" s="5"/>
      <c r="AD738" s="5"/>
      <c r="AE738" s="5"/>
    </row>
    <row r="739">
      <c r="A739" s="4" t="s">
        <v>1577</v>
      </c>
      <c r="B739" s="4"/>
      <c r="C739" s="4" t="s">
        <v>858</v>
      </c>
      <c r="D739" s="4">
        <v>49958.0</v>
      </c>
      <c r="E739" s="4"/>
      <c r="F739" s="4" t="s">
        <v>85</v>
      </c>
      <c r="G739" s="4">
        <v>199.0</v>
      </c>
      <c r="H739" s="4"/>
      <c r="I739" s="4">
        <v>199.0</v>
      </c>
      <c r="J739" s="4" t="s">
        <v>1578</v>
      </c>
      <c r="K739" s="4">
        <v>9.19769147859E11</v>
      </c>
      <c r="L739" s="4" t="s">
        <v>67</v>
      </c>
      <c r="M739" s="4" t="b">
        <v>0</v>
      </c>
      <c r="N739" s="4" t="s">
        <v>74</v>
      </c>
      <c r="O739" s="4" t="s">
        <v>69</v>
      </c>
      <c r="P739" s="6">
        <v>44306.712546296294</v>
      </c>
      <c r="Q739" s="4">
        <v>17234.0</v>
      </c>
      <c r="R739" s="4"/>
      <c r="S739" s="4"/>
      <c r="T739" s="4"/>
      <c r="U739" s="7"/>
      <c r="V739" s="4"/>
      <c r="W739" s="4"/>
      <c r="X739" s="4"/>
      <c r="Y739" s="4"/>
      <c r="Z739" s="4"/>
      <c r="AA739" s="5"/>
      <c r="AB739" s="5"/>
      <c r="AC739" s="5"/>
      <c r="AD739" s="5"/>
      <c r="AE739" s="5"/>
    </row>
    <row r="740">
      <c r="A740" s="4" t="s">
        <v>1579</v>
      </c>
      <c r="B740" s="4"/>
      <c r="C740" s="4" t="s">
        <v>1264</v>
      </c>
      <c r="D740" s="4">
        <v>49994.0</v>
      </c>
      <c r="E740" s="4"/>
      <c r="F740" s="4" t="s">
        <v>77</v>
      </c>
      <c r="G740" s="4">
        <v>349.0</v>
      </c>
      <c r="H740" s="4"/>
      <c r="I740" s="4">
        <v>349.0</v>
      </c>
      <c r="J740" s="4" t="s">
        <v>1580</v>
      </c>
      <c r="K740" s="4">
        <v>9.18850838382E11</v>
      </c>
      <c r="L740" s="4" t="s">
        <v>67</v>
      </c>
      <c r="M740" s="4" t="b">
        <v>0</v>
      </c>
      <c r="N740" s="4" t="s">
        <v>97</v>
      </c>
      <c r="O740" s="4" t="s">
        <v>69</v>
      </c>
      <c r="P740" s="6">
        <v>44306.74988425926</v>
      </c>
      <c r="Q740" s="4">
        <v>17034.0</v>
      </c>
      <c r="R740" s="4"/>
      <c r="S740" s="4"/>
      <c r="T740" s="4"/>
      <c r="U740" s="8"/>
      <c r="V740" s="4"/>
      <c r="W740" s="4"/>
      <c r="X740" s="4"/>
      <c r="Y740" s="4"/>
      <c r="Z740" s="4"/>
      <c r="AA740" s="5"/>
      <c r="AB740" s="5"/>
      <c r="AC740" s="5"/>
      <c r="AD740" s="5"/>
      <c r="AE740" s="5"/>
    </row>
    <row r="741">
      <c r="A741" s="4" t="s">
        <v>1581</v>
      </c>
      <c r="B741" s="4"/>
      <c r="C741" s="4" t="s">
        <v>1582</v>
      </c>
      <c r="D741" s="4">
        <v>50048.0</v>
      </c>
      <c r="E741" s="4"/>
      <c r="F741" s="4" t="s">
        <v>77</v>
      </c>
      <c r="G741" s="4">
        <v>599.0</v>
      </c>
      <c r="H741" s="4"/>
      <c r="I741" s="4">
        <v>599.0</v>
      </c>
      <c r="J741" s="4" t="s">
        <v>1583</v>
      </c>
      <c r="K741" s="4">
        <v>9.19833538989E11</v>
      </c>
      <c r="L741" s="4" t="s">
        <v>67</v>
      </c>
      <c r="M741" s="4" t="b">
        <v>0</v>
      </c>
      <c r="N741" s="4" t="s">
        <v>68</v>
      </c>
      <c r="O741" s="4" t="s">
        <v>69</v>
      </c>
      <c r="P741" s="6">
        <v>44306.75068287037</v>
      </c>
      <c r="Q741" s="4">
        <v>17141.0</v>
      </c>
      <c r="R741" s="4"/>
      <c r="S741" s="4"/>
      <c r="T741" s="4"/>
      <c r="U741" s="8"/>
      <c r="V741" s="4"/>
      <c r="W741" s="4"/>
      <c r="X741" s="4"/>
      <c r="Y741" s="4"/>
      <c r="Z741" s="4"/>
      <c r="AA741" s="5"/>
      <c r="AB741" s="5"/>
      <c r="AC741" s="5"/>
      <c r="AD741" s="5"/>
      <c r="AE741" s="5"/>
    </row>
    <row r="742">
      <c r="A742" s="4" t="s">
        <v>1584</v>
      </c>
      <c r="B742" s="4"/>
      <c r="C742" s="4" t="s">
        <v>1585</v>
      </c>
      <c r="D742" s="4">
        <v>50011.0</v>
      </c>
      <c r="E742" s="4"/>
      <c r="F742" s="4" t="s">
        <v>149</v>
      </c>
      <c r="G742" s="4">
        <v>99.0</v>
      </c>
      <c r="H742" s="4"/>
      <c r="I742" s="4">
        <v>99.0</v>
      </c>
      <c r="J742" s="4" t="s">
        <v>1586</v>
      </c>
      <c r="K742" s="4">
        <v>9.1995947111E11</v>
      </c>
      <c r="L742" s="4" t="s">
        <v>67</v>
      </c>
      <c r="M742" s="4" t="b">
        <v>0</v>
      </c>
      <c r="N742" s="4" t="s">
        <v>68</v>
      </c>
      <c r="O742" s="4" t="s">
        <v>69</v>
      </c>
      <c r="P742" s="6">
        <v>44313.01976851852</v>
      </c>
      <c r="Q742" s="4" t="s">
        <v>83</v>
      </c>
      <c r="R742" s="4"/>
      <c r="S742" s="4"/>
      <c r="T742" s="4"/>
      <c r="U742" s="7"/>
      <c r="V742" s="4"/>
      <c r="W742" s="4"/>
      <c r="X742" s="4"/>
      <c r="Y742" s="4"/>
      <c r="Z742" s="4"/>
      <c r="AA742" s="5"/>
      <c r="AB742" s="5"/>
      <c r="AC742" s="5"/>
      <c r="AD742" s="5"/>
      <c r="AE742" s="5"/>
    </row>
    <row r="743">
      <c r="A743" s="4" t="s">
        <v>1587</v>
      </c>
      <c r="B743" s="4"/>
      <c r="C743" s="4" t="s">
        <v>1585</v>
      </c>
      <c r="D743" s="4">
        <v>50011.0</v>
      </c>
      <c r="E743" s="4"/>
      <c r="F743" s="4" t="s">
        <v>149</v>
      </c>
      <c r="G743" s="4">
        <v>99.0</v>
      </c>
      <c r="H743" s="4"/>
      <c r="I743" s="4">
        <v>99.0</v>
      </c>
      <c r="J743" s="4" t="s">
        <v>1588</v>
      </c>
      <c r="K743" s="4">
        <v>9.17640967905E11</v>
      </c>
      <c r="L743" s="4" t="s">
        <v>67</v>
      </c>
      <c r="M743" s="4" t="b">
        <v>0</v>
      </c>
      <c r="N743" s="4" t="s">
        <v>74</v>
      </c>
      <c r="O743" s="4" t="s">
        <v>69</v>
      </c>
      <c r="P743" s="6">
        <v>44313.51</v>
      </c>
      <c r="Q743" s="4" t="s">
        <v>83</v>
      </c>
      <c r="R743" s="4"/>
      <c r="S743" s="4"/>
      <c r="T743" s="4"/>
      <c r="U743" s="7"/>
      <c r="V743" s="4"/>
      <c r="W743" s="4"/>
      <c r="X743" s="4"/>
      <c r="Y743" s="4"/>
      <c r="Z743" s="4"/>
      <c r="AA743" s="5"/>
      <c r="AB743" s="5"/>
      <c r="AC743" s="5"/>
      <c r="AD743" s="5"/>
      <c r="AE743" s="5"/>
    </row>
    <row r="744">
      <c r="A744" s="4" t="s">
        <v>1589</v>
      </c>
      <c r="B744" s="4"/>
      <c r="C744" s="4" t="s">
        <v>184</v>
      </c>
      <c r="D744" s="4">
        <v>49833.0</v>
      </c>
      <c r="E744" s="4"/>
      <c r="F744" s="4" t="s">
        <v>149</v>
      </c>
      <c r="G744" s="4">
        <v>199.0</v>
      </c>
      <c r="H744" s="4"/>
      <c r="I744" s="4">
        <v>199.0</v>
      </c>
      <c r="J744" s="4" t="s">
        <v>1590</v>
      </c>
      <c r="K744" s="4">
        <v>9.18238550858E11</v>
      </c>
      <c r="L744" s="4" t="s">
        <v>67</v>
      </c>
      <c r="M744" s="4" t="b">
        <v>0</v>
      </c>
      <c r="N744" s="4" t="s">
        <v>68</v>
      </c>
      <c r="O744" s="4" t="s">
        <v>69</v>
      </c>
      <c r="P744" s="6">
        <v>44306.82928240741</v>
      </c>
      <c r="Q744" s="4">
        <v>17120.0</v>
      </c>
      <c r="R744" s="4"/>
      <c r="S744" s="4"/>
      <c r="T744" s="4"/>
      <c r="U744" s="7"/>
      <c r="V744" s="4"/>
      <c r="W744" s="4"/>
      <c r="X744" s="4"/>
      <c r="Y744" s="4"/>
      <c r="Z744" s="4"/>
      <c r="AA744" s="5"/>
      <c r="AB744" s="5"/>
      <c r="AC744" s="5"/>
      <c r="AD744" s="5"/>
      <c r="AE744" s="5"/>
    </row>
    <row r="745">
      <c r="A745" s="4" t="s">
        <v>1591</v>
      </c>
      <c r="B745" s="4"/>
      <c r="C745" s="4" t="s">
        <v>1592</v>
      </c>
      <c r="D745" s="4">
        <v>49813.0</v>
      </c>
      <c r="E745" s="4"/>
      <c r="F745" s="4" t="s">
        <v>85</v>
      </c>
      <c r="G745" s="4">
        <v>299.0</v>
      </c>
      <c r="H745" s="4"/>
      <c r="I745" s="4">
        <v>299.0</v>
      </c>
      <c r="J745" s="4" t="s">
        <v>1593</v>
      </c>
      <c r="K745" s="4">
        <v>9.18527986928E11</v>
      </c>
      <c r="L745" s="4" t="s">
        <v>67</v>
      </c>
      <c r="M745" s="4" t="b">
        <v>0</v>
      </c>
      <c r="N745" s="4" t="s">
        <v>74</v>
      </c>
      <c r="O745" s="4" t="s">
        <v>69</v>
      </c>
      <c r="P745" s="6">
        <v>44295.05244212963</v>
      </c>
      <c r="Q745" s="4">
        <v>16862.0</v>
      </c>
      <c r="R745" s="4"/>
      <c r="S745" s="4"/>
      <c r="T745" s="4"/>
      <c r="U745" s="7"/>
      <c r="V745" s="4"/>
      <c r="W745" s="4"/>
      <c r="X745" s="4"/>
      <c r="Y745" s="4"/>
      <c r="Z745" s="4"/>
      <c r="AA745" s="5"/>
      <c r="AB745" s="5"/>
      <c r="AC745" s="5"/>
      <c r="AD745" s="5"/>
      <c r="AE745" s="5"/>
    </row>
    <row r="746">
      <c r="A746" s="4" t="s">
        <v>1594</v>
      </c>
      <c r="B746" s="4"/>
      <c r="C746" s="4" t="s">
        <v>1592</v>
      </c>
      <c r="D746" s="4">
        <v>49813.0</v>
      </c>
      <c r="E746" s="4"/>
      <c r="F746" s="4" t="s">
        <v>149</v>
      </c>
      <c r="G746" s="4">
        <v>149.0</v>
      </c>
      <c r="H746" s="4"/>
      <c r="I746" s="4">
        <v>149.0</v>
      </c>
      <c r="J746" s="4" t="s">
        <v>1595</v>
      </c>
      <c r="K746" s="4">
        <v>9.19818448372E11</v>
      </c>
      <c r="L746" s="4" t="s">
        <v>67</v>
      </c>
      <c r="M746" s="4" t="b">
        <v>0</v>
      </c>
      <c r="N746" s="4" t="s">
        <v>74</v>
      </c>
      <c r="O746" s="4" t="s">
        <v>69</v>
      </c>
      <c r="P746" s="6">
        <v>44293.79184027778</v>
      </c>
      <c r="Q746" s="4" t="s">
        <v>83</v>
      </c>
      <c r="R746" s="4"/>
      <c r="S746" s="4"/>
      <c r="T746" s="4"/>
      <c r="U746" s="7"/>
      <c r="V746" s="4"/>
      <c r="W746" s="4"/>
      <c r="X746" s="4"/>
      <c r="Y746" s="4"/>
      <c r="Z746" s="4"/>
      <c r="AA746" s="5"/>
      <c r="AB746" s="5"/>
      <c r="AC746" s="5"/>
      <c r="AD746" s="5"/>
      <c r="AE746" s="5"/>
    </row>
    <row r="747">
      <c r="A747" s="4" t="s">
        <v>1596</v>
      </c>
      <c r="B747" s="4"/>
      <c r="C747" s="4" t="s">
        <v>1592</v>
      </c>
      <c r="D747" s="4">
        <v>49813.0</v>
      </c>
      <c r="E747" s="4"/>
      <c r="F747" s="4" t="s">
        <v>149</v>
      </c>
      <c r="G747" s="4">
        <v>149.0</v>
      </c>
      <c r="H747" s="4"/>
      <c r="I747" s="4">
        <v>149.0</v>
      </c>
      <c r="J747" s="4" t="s">
        <v>1597</v>
      </c>
      <c r="K747" s="4">
        <v>9.19769710324E11</v>
      </c>
      <c r="L747" s="4" t="s">
        <v>67</v>
      </c>
      <c r="M747" s="4" t="b">
        <v>0</v>
      </c>
      <c r="N747" s="4" t="s">
        <v>97</v>
      </c>
      <c r="O747" s="4" t="s">
        <v>69</v>
      </c>
      <c r="P747" s="6">
        <v>44294.742256944446</v>
      </c>
      <c r="Q747" s="4">
        <v>16755.0</v>
      </c>
      <c r="R747" s="4"/>
      <c r="S747" s="4"/>
      <c r="T747" s="4"/>
      <c r="U747" s="7"/>
      <c r="V747" s="4"/>
      <c r="W747" s="4"/>
      <c r="X747" s="4"/>
      <c r="Y747" s="4"/>
      <c r="Z747" s="4"/>
      <c r="AA747" s="5"/>
      <c r="AB747" s="5"/>
      <c r="AC747" s="5"/>
      <c r="AD747" s="5"/>
      <c r="AE747" s="5"/>
    </row>
    <row r="748">
      <c r="A748" s="4" t="s">
        <v>1598</v>
      </c>
      <c r="B748" s="4"/>
      <c r="C748" s="4" t="s">
        <v>1592</v>
      </c>
      <c r="D748" s="4">
        <v>49813.0</v>
      </c>
      <c r="E748" s="4"/>
      <c r="F748" s="4" t="s">
        <v>149</v>
      </c>
      <c r="G748" s="4">
        <v>149.0</v>
      </c>
      <c r="H748" s="4"/>
      <c r="I748" s="4">
        <v>149.0</v>
      </c>
      <c r="J748" s="4" t="s">
        <v>1599</v>
      </c>
      <c r="K748" s="4">
        <v>9.18879400445E11</v>
      </c>
      <c r="L748" s="4" t="s">
        <v>67</v>
      </c>
      <c r="M748" s="4" t="b">
        <v>0</v>
      </c>
      <c r="N748" s="4" t="s">
        <v>74</v>
      </c>
      <c r="O748" s="4" t="s">
        <v>69</v>
      </c>
      <c r="P748" s="6">
        <v>44294.77798611111</v>
      </c>
      <c r="Q748" s="4">
        <v>6069.0</v>
      </c>
      <c r="R748" s="4"/>
      <c r="S748" s="4"/>
      <c r="T748" s="4"/>
      <c r="U748" s="7"/>
      <c r="V748" s="4"/>
      <c r="W748" s="4"/>
      <c r="X748" s="4"/>
      <c r="Y748" s="4"/>
      <c r="Z748" s="4"/>
      <c r="AA748" s="5"/>
      <c r="AB748" s="5"/>
      <c r="AC748" s="5"/>
      <c r="AD748" s="5"/>
      <c r="AE748" s="5"/>
    </row>
    <row r="749">
      <c r="A749" s="4" t="s">
        <v>1600</v>
      </c>
      <c r="B749" s="4"/>
      <c r="C749" s="4" t="s">
        <v>1436</v>
      </c>
      <c r="D749" s="4">
        <v>50048.0</v>
      </c>
      <c r="E749" s="4"/>
      <c r="F749" s="4" t="s">
        <v>1437</v>
      </c>
      <c r="G749" s="4">
        <v>149.0</v>
      </c>
      <c r="H749" s="4"/>
      <c r="I749" s="4">
        <v>149.0</v>
      </c>
      <c r="J749" s="4" t="s">
        <v>1601</v>
      </c>
      <c r="K749" s="4">
        <v>9.18828299503E11</v>
      </c>
      <c r="L749" s="4" t="s">
        <v>67</v>
      </c>
      <c r="M749" s="4" t="b">
        <v>0</v>
      </c>
      <c r="N749" s="4" t="s">
        <v>68</v>
      </c>
      <c r="O749" s="4" t="s">
        <v>69</v>
      </c>
      <c r="P749" s="6">
        <v>44306.87525462963</v>
      </c>
      <c r="Q749" s="4">
        <v>17167.0</v>
      </c>
      <c r="R749" s="4"/>
      <c r="S749" s="4"/>
      <c r="T749" s="4"/>
      <c r="U749" s="7"/>
      <c r="V749" s="4"/>
      <c r="W749" s="4"/>
      <c r="X749" s="4"/>
      <c r="Y749" s="4"/>
      <c r="Z749" s="4"/>
      <c r="AA749" s="5"/>
      <c r="AB749" s="5"/>
      <c r="AC749" s="5"/>
      <c r="AD749" s="5"/>
      <c r="AE749" s="5"/>
    </row>
    <row r="750">
      <c r="A750" s="4" t="s">
        <v>1602</v>
      </c>
      <c r="B750" s="4"/>
      <c r="C750" s="4" t="s">
        <v>1592</v>
      </c>
      <c r="D750" s="4">
        <v>49813.0</v>
      </c>
      <c r="E750" s="4"/>
      <c r="F750" s="4" t="s">
        <v>149</v>
      </c>
      <c r="G750" s="4">
        <v>149.0</v>
      </c>
      <c r="H750" s="4"/>
      <c r="I750" s="4">
        <v>149.0</v>
      </c>
      <c r="J750" s="4" t="s">
        <v>1603</v>
      </c>
      <c r="K750" s="4">
        <v>9.18008670621E11</v>
      </c>
      <c r="L750" s="4" t="s">
        <v>67</v>
      </c>
      <c r="M750" s="4" t="b">
        <v>0</v>
      </c>
      <c r="N750" s="4" t="s">
        <v>68</v>
      </c>
      <c r="O750" s="4" t="s">
        <v>69</v>
      </c>
      <c r="P750" s="6">
        <v>44295.91394675926</v>
      </c>
      <c r="Q750" s="4">
        <v>16797.0</v>
      </c>
      <c r="R750" s="4"/>
      <c r="S750" s="4"/>
      <c r="T750" s="4"/>
      <c r="U750" s="7"/>
      <c r="V750" s="4"/>
      <c r="W750" s="4"/>
      <c r="X750" s="4"/>
      <c r="Y750" s="4"/>
      <c r="Z750" s="4"/>
      <c r="AA750" s="5"/>
      <c r="AB750" s="5"/>
      <c r="AC750" s="5"/>
      <c r="AD750" s="5"/>
      <c r="AE750" s="5"/>
    </row>
    <row r="751">
      <c r="A751" s="4" t="s">
        <v>1604</v>
      </c>
      <c r="B751" s="4"/>
      <c r="C751" s="4" t="s">
        <v>1436</v>
      </c>
      <c r="D751" s="4">
        <v>50048.0</v>
      </c>
      <c r="E751" s="4"/>
      <c r="F751" s="4" t="s">
        <v>1437</v>
      </c>
      <c r="G751" s="4">
        <v>149.0</v>
      </c>
      <c r="H751" s="4"/>
      <c r="I751" s="4">
        <v>149.0</v>
      </c>
      <c r="J751" s="4" t="s">
        <v>1605</v>
      </c>
      <c r="K751" s="4">
        <v>9.19820167851E11</v>
      </c>
      <c r="L751" s="4" t="s">
        <v>67</v>
      </c>
      <c r="M751" s="4" t="b">
        <v>0</v>
      </c>
      <c r="N751" s="4" t="s">
        <v>68</v>
      </c>
      <c r="O751" s="4" t="s">
        <v>69</v>
      </c>
      <c r="P751" s="6">
        <v>44306.90280092593</v>
      </c>
      <c r="Q751" s="4">
        <v>17139.0</v>
      </c>
      <c r="R751" s="4"/>
      <c r="S751" s="4"/>
      <c r="T751" s="4"/>
      <c r="U751" s="7"/>
      <c r="V751" s="4"/>
      <c r="W751" s="4"/>
      <c r="X751" s="4"/>
      <c r="Y751" s="4"/>
      <c r="Z751" s="4"/>
      <c r="AA751" s="5"/>
      <c r="AB751" s="5"/>
      <c r="AC751" s="5"/>
      <c r="AD751" s="5"/>
      <c r="AE751" s="5"/>
    </row>
    <row r="752">
      <c r="A752" s="4" t="s">
        <v>1606</v>
      </c>
      <c r="B752" s="4"/>
      <c r="C752" s="4" t="s">
        <v>1264</v>
      </c>
      <c r="D752" s="4">
        <v>49994.0</v>
      </c>
      <c r="E752" s="4"/>
      <c r="F752" s="4" t="s">
        <v>85</v>
      </c>
      <c r="G752" s="4">
        <v>199.0</v>
      </c>
      <c r="H752" s="4"/>
      <c r="I752" s="4">
        <v>199.0</v>
      </c>
      <c r="J752" s="4" t="s">
        <v>1607</v>
      </c>
      <c r="K752" s="4">
        <v>9.19811238689E11</v>
      </c>
      <c r="L752" s="4" t="s">
        <v>67</v>
      </c>
      <c r="M752" s="4" t="b">
        <v>0</v>
      </c>
      <c r="N752" s="4" t="s">
        <v>68</v>
      </c>
      <c r="O752" s="4" t="s">
        <v>69</v>
      </c>
      <c r="P752" s="6">
        <v>44306.903645833336</v>
      </c>
      <c r="Q752" s="4">
        <v>17047.0</v>
      </c>
      <c r="R752" s="4"/>
      <c r="S752" s="4"/>
      <c r="T752" s="4"/>
      <c r="U752" s="7"/>
      <c r="V752" s="4"/>
      <c r="W752" s="4"/>
      <c r="X752" s="4"/>
      <c r="Y752" s="4"/>
      <c r="Z752" s="4"/>
      <c r="AA752" s="5"/>
      <c r="AB752" s="5"/>
      <c r="AC752" s="5"/>
      <c r="AD752" s="5"/>
      <c r="AE752" s="5"/>
    </row>
    <row r="753">
      <c r="A753" s="4" t="s">
        <v>1608</v>
      </c>
      <c r="B753" s="4"/>
      <c r="C753" s="4" t="s">
        <v>1592</v>
      </c>
      <c r="D753" s="4">
        <v>49813.0</v>
      </c>
      <c r="E753" s="4"/>
      <c r="F753" s="4" t="s">
        <v>77</v>
      </c>
      <c r="G753" s="4">
        <v>499.0</v>
      </c>
      <c r="H753" s="4"/>
      <c r="I753" s="4">
        <v>499.0</v>
      </c>
      <c r="J753" s="4" t="s">
        <v>1609</v>
      </c>
      <c r="K753" s="4">
        <v>9.1990383959E11</v>
      </c>
      <c r="L753" s="4" t="s">
        <v>67</v>
      </c>
      <c r="M753" s="4" t="b">
        <v>0</v>
      </c>
      <c r="N753" s="4" t="s">
        <v>74</v>
      </c>
      <c r="O753" s="4" t="s">
        <v>69</v>
      </c>
      <c r="P753" s="6">
        <v>44298.62137731481</v>
      </c>
      <c r="Q753" s="4">
        <v>16809.0</v>
      </c>
      <c r="R753" s="4"/>
      <c r="S753" s="4"/>
      <c r="T753" s="4"/>
      <c r="U753" s="8"/>
      <c r="V753" s="4"/>
      <c r="W753" s="4"/>
      <c r="X753" s="4"/>
      <c r="Y753" s="4"/>
      <c r="Z753" s="4"/>
      <c r="AA753" s="5"/>
      <c r="AB753" s="5"/>
      <c r="AC753" s="5"/>
      <c r="AD753" s="5"/>
      <c r="AE753" s="5"/>
    </row>
    <row r="754">
      <c r="A754" s="4" t="s">
        <v>1610</v>
      </c>
      <c r="B754" s="4"/>
      <c r="C754" s="4" t="s">
        <v>1592</v>
      </c>
      <c r="D754" s="4">
        <v>49813.0</v>
      </c>
      <c r="E754" s="4"/>
      <c r="F754" s="4" t="s">
        <v>149</v>
      </c>
      <c r="G754" s="4">
        <v>149.0</v>
      </c>
      <c r="H754" s="4"/>
      <c r="I754" s="4">
        <v>149.0</v>
      </c>
      <c r="J754" s="4" t="s">
        <v>1611</v>
      </c>
      <c r="K754" s="4">
        <v>9.19527398831E11</v>
      </c>
      <c r="L754" s="4" t="s">
        <v>67</v>
      </c>
      <c r="M754" s="4" t="b">
        <v>0</v>
      </c>
      <c r="N754" s="4" t="s">
        <v>68</v>
      </c>
      <c r="O754" s="4" t="s">
        <v>69</v>
      </c>
      <c r="P754" s="6">
        <v>44297.952893518515</v>
      </c>
      <c r="Q754" s="4">
        <v>16804.0</v>
      </c>
      <c r="R754" s="4"/>
      <c r="S754" s="4"/>
      <c r="T754" s="4"/>
      <c r="U754" s="7"/>
      <c r="V754" s="4"/>
      <c r="W754" s="4"/>
      <c r="X754" s="4"/>
      <c r="Y754" s="4"/>
      <c r="Z754" s="4"/>
      <c r="AA754" s="5"/>
      <c r="AB754" s="5"/>
      <c r="AC754" s="5"/>
      <c r="AD754" s="5"/>
      <c r="AE754" s="5"/>
    </row>
    <row r="755">
      <c r="A755" s="4" t="s">
        <v>1612</v>
      </c>
      <c r="B755" s="4"/>
      <c r="C755" s="4" t="s">
        <v>1592</v>
      </c>
      <c r="D755" s="4">
        <v>49813.0</v>
      </c>
      <c r="E755" s="4"/>
      <c r="F755" s="4" t="s">
        <v>149</v>
      </c>
      <c r="G755" s="4">
        <v>149.0</v>
      </c>
      <c r="H755" s="4"/>
      <c r="I755" s="4">
        <v>149.0</v>
      </c>
      <c r="J755" s="4" t="s">
        <v>1613</v>
      </c>
      <c r="K755" s="4">
        <v>9.19901362862E11</v>
      </c>
      <c r="L755" s="4" t="s">
        <v>67</v>
      </c>
      <c r="M755" s="4" t="b">
        <v>0</v>
      </c>
      <c r="N755" s="4" t="s">
        <v>97</v>
      </c>
      <c r="O755" s="4" t="s">
        <v>69</v>
      </c>
      <c r="P755" s="6">
        <v>44298.27909722222</v>
      </c>
      <c r="Q755" s="4">
        <v>17201.0</v>
      </c>
      <c r="R755" s="4"/>
      <c r="S755" s="4"/>
      <c r="T755" s="4"/>
      <c r="U755" s="7"/>
      <c r="V755" s="4"/>
      <c r="W755" s="4"/>
      <c r="X755" s="4"/>
      <c r="Y755" s="4"/>
      <c r="Z755" s="4"/>
      <c r="AA755" s="5"/>
      <c r="AB755" s="5"/>
      <c r="AC755" s="5"/>
      <c r="AD755" s="5"/>
      <c r="AE755" s="5"/>
    </row>
    <row r="756">
      <c r="A756" s="4" t="s">
        <v>1614</v>
      </c>
      <c r="B756" s="4"/>
      <c r="C756" s="4" t="s">
        <v>1592</v>
      </c>
      <c r="D756" s="4">
        <v>49813.0</v>
      </c>
      <c r="E756" s="4"/>
      <c r="F756" s="4" t="s">
        <v>149</v>
      </c>
      <c r="G756" s="4">
        <v>149.0</v>
      </c>
      <c r="H756" s="4"/>
      <c r="I756" s="4">
        <v>149.0</v>
      </c>
      <c r="J756" s="4" t="s">
        <v>1615</v>
      </c>
      <c r="K756" s="4">
        <v>9.1968041459E11</v>
      </c>
      <c r="L756" s="4" t="s">
        <v>67</v>
      </c>
      <c r="M756" s="4" t="b">
        <v>0</v>
      </c>
      <c r="N756" s="4" t="s">
        <v>74</v>
      </c>
      <c r="O756" s="4" t="s">
        <v>69</v>
      </c>
      <c r="P756" s="6">
        <v>44298.35155092592</v>
      </c>
      <c r="Q756" s="4">
        <v>16842.0</v>
      </c>
      <c r="R756" s="4"/>
      <c r="S756" s="4"/>
      <c r="T756" s="4"/>
      <c r="U756" s="7"/>
      <c r="V756" s="4"/>
      <c r="W756" s="4"/>
      <c r="X756" s="4"/>
      <c r="Y756" s="4"/>
      <c r="Z756" s="4"/>
      <c r="AA756" s="5"/>
      <c r="AB756" s="5"/>
      <c r="AC756" s="5"/>
      <c r="AD756" s="5"/>
      <c r="AE756" s="5"/>
    </row>
    <row r="757">
      <c r="A757" s="4" t="s">
        <v>1616</v>
      </c>
      <c r="B757" s="4"/>
      <c r="C757" s="4" t="s">
        <v>1592</v>
      </c>
      <c r="D757" s="4">
        <v>49813.0</v>
      </c>
      <c r="E757" s="4"/>
      <c r="F757" s="4" t="s">
        <v>85</v>
      </c>
      <c r="G757" s="4">
        <v>299.0</v>
      </c>
      <c r="H757" s="4"/>
      <c r="I757" s="4">
        <v>299.0</v>
      </c>
      <c r="J757" s="4" t="s">
        <v>1617</v>
      </c>
      <c r="K757" s="4">
        <v>9.18017771061E11</v>
      </c>
      <c r="L757" s="4" t="s">
        <v>67</v>
      </c>
      <c r="M757" s="4" t="b">
        <v>0</v>
      </c>
      <c r="N757" s="4" t="s">
        <v>68</v>
      </c>
      <c r="O757" s="4" t="s">
        <v>69</v>
      </c>
      <c r="P757" s="6">
        <v>44299.936747685184</v>
      </c>
      <c r="Q757" s="4">
        <v>16850.0</v>
      </c>
      <c r="R757" s="4"/>
      <c r="S757" s="4"/>
      <c r="T757" s="4"/>
      <c r="U757" s="7"/>
      <c r="V757" s="4"/>
      <c r="W757" s="4"/>
      <c r="X757" s="4"/>
      <c r="Y757" s="4"/>
      <c r="Z757" s="4"/>
      <c r="AA757" s="5"/>
      <c r="AB757" s="5"/>
      <c r="AC757" s="5"/>
      <c r="AD757" s="5"/>
      <c r="AE757" s="5"/>
    </row>
    <row r="758">
      <c r="A758" s="4" t="s">
        <v>1618</v>
      </c>
      <c r="B758" s="4"/>
      <c r="C758" s="4" t="s">
        <v>1320</v>
      </c>
      <c r="D758" s="4">
        <v>50036.0</v>
      </c>
      <c r="E758" s="4"/>
      <c r="F758" s="4" t="s">
        <v>77</v>
      </c>
      <c r="G758" s="4">
        <v>599.0</v>
      </c>
      <c r="H758" s="4"/>
      <c r="I758" s="4">
        <v>599.0</v>
      </c>
      <c r="J758" s="4" t="s">
        <v>1619</v>
      </c>
      <c r="K758" s="4">
        <v>9.19810009977E11</v>
      </c>
      <c r="L758" s="4" t="s">
        <v>67</v>
      </c>
      <c r="M758" s="4" t="b">
        <v>0</v>
      </c>
      <c r="N758" s="4" t="s">
        <v>74</v>
      </c>
      <c r="O758" s="4" t="s">
        <v>69</v>
      </c>
      <c r="P758" s="6">
        <v>44307.396875</v>
      </c>
      <c r="Q758" s="4">
        <v>17209.0</v>
      </c>
      <c r="R758" s="4"/>
      <c r="S758" s="4"/>
      <c r="T758" s="4"/>
      <c r="U758" s="8"/>
      <c r="V758" s="4"/>
      <c r="W758" s="4"/>
      <c r="X758" s="4"/>
      <c r="Y758" s="4"/>
      <c r="Z758" s="4"/>
      <c r="AA758" s="5"/>
      <c r="AB758" s="5"/>
      <c r="AC758" s="5"/>
      <c r="AD758" s="5"/>
      <c r="AE758" s="5"/>
    </row>
    <row r="759">
      <c r="A759" s="4" t="s">
        <v>1620</v>
      </c>
      <c r="B759" s="4"/>
      <c r="C759" s="4" t="s">
        <v>1320</v>
      </c>
      <c r="D759" s="4">
        <v>50036.0</v>
      </c>
      <c r="E759" s="4"/>
      <c r="F759" s="4" t="s">
        <v>149</v>
      </c>
      <c r="G759" s="4">
        <v>149.0</v>
      </c>
      <c r="H759" s="4"/>
      <c r="I759" s="4">
        <v>149.0</v>
      </c>
      <c r="J759" s="4" t="s">
        <v>1621</v>
      </c>
      <c r="K759" s="4">
        <v>9.19619066559E11</v>
      </c>
      <c r="L759" s="4" t="s">
        <v>67</v>
      </c>
      <c r="M759" s="4" t="b">
        <v>0</v>
      </c>
      <c r="N759" s="4" t="s">
        <v>68</v>
      </c>
      <c r="O759" s="4" t="s">
        <v>69</v>
      </c>
      <c r="P759" s="6">
        <v>44307.41229166667</v>
      </c>
      <c r="Q759" s="4">
        <v>17058.0</v>
      </c>
      <c r="R759" s="4"/>
      <c r="S759" s="4"/>
      <c r="T759" s="4"/>
      <c r="U759" s="7"/>
      <c r="V759" s="4"/>
      <c r="W759" s="4"/>
      <c r="X759" s="4"/>
      <c r="Y759" s="4"/>
      <c r="Z759" s="4"/>
      <c r="AA759" s="5"/>
      <c r="AB759" s="5"/>
      <c r="AC759" s="5"/>
      <c r="AD759" s="5"/>
      <c r="AE759" s="5"/>
    </row>
    <row r="760">
      <c r="A760" s="4" t="s">
        <v>1622</v>
      </c>
      <c r="B760" s="4"/>
      <c r="C760" s="4" t="s">
        <v>1320</v>
      </c>
      <c r="D760" s="4">
        <v>50036.0</v>
      </c>
      <c r="E760" s="4"/>
      <c r="F760" s="4" t="s">
        <v>149</v>
      </c>
      <c r="G760" s="4">
        <v>149.0</v>
      </c>
      <c r="H760" s="4"/>
      <c r="I760" s="4">
        <v>149.0</v>
      </c>
      <c r="J760" s="4" t="s">
        <v>1623</v>
      </c>
      <c r="K760" s="4">
        <v>9.19899993279E11</v>
      </c>
      <c r="L760" s="4" t="s">
        <v>67</v>
      </c>
      <c r="M760" s="4" t="b">
        <v>0</v>
      </c>
      <c r="N760" s="4" t="s">
        <v>74</v>
      </c>
      <c r="O760" s="4" t="s">
        <v>69</v>
      </c>
      <c r="P760" s="6">
        <v>44307.43800925926</v>
      </c>
      <c r="Q760" s="4">
        <v>17266.0</v>
      </c>
      <c r="R760" s="4"/>
      <c r="S760" s="4"/>
      <c r="T760" s="4"/>
      <c r="U760" s="7"/>
      <c r="V760" s="4"/>
      <c r="W760" s="4"/>
      <c r="X760" s="4"/>
      <c r="Y760" s="4"/>
      <c r="Z760" s="4"/>
      <c r="AA760" s="5"/>
      <c r="AB760" s="5"/>
      <c r="AC760" s="5"/>
      <c r="AD760" s="5"/>
      <c r="AE760" s="5"/>
    </row>
    <row r="761">
      <c r="A761" s="4" t="s">
        <v>1624</v>
      </c>
      <c r="B761" s="4"/>
      <c r="C761" s="4" t="s">
        <v>184</v>
      </c>
      <c r="D761" s="4">
        <v>49833.0</v>
      </c>
      <c r="E761" s="4"/>
      <c r="F761" s="4" t="s">
        <v>149</v>
      </c>
      <c r="G761" s="4">
        <v>199.0</v>
      </c>
      <c r="H761" s="4"/>
      <c r="I761" s="4">
        <v>199.0</v>
      </c>
      <c r="J761" s="4" t="s">
        <v>1625</v>
      </c>
      <c r="K761" s="4">
        <v>9.19910661215E11</v>
      </c>
      <c r="L761" s="4" t="s">
        <v>67</v>
      </c>
      <c r="M761" s="4" t="b">
        <v>0</v>
      </c>
      <c r="N761" s="4" t="s">
        <v>68</v>
      </c>
      <c r="O761" s="4" t="s">
        <v>69</v>
      </c>
      <c r="P761" s="6">
        <v>44307.44737268519</v>
      </c>
      <c r="Q761" s="4">
        <v>17061.0</v>
      </c>
      <c r="R761" s="4"/>
      <c r="S761" s="4"/>
      <c r="T761" s="4"/>
      <c r="U761" s="7"/>
      <c r="V761" s="4"/>
      <c r="W761" s="4"/>
      <c r="X761" s="4"/>
      <c r="Y761" s="4"/>
      <c r="Z761" s="4"/>
      <c r="AA761" s="5"/>
      <c r="AB761" s="5"/>
      <c r="AC761" s="5"/>
      <c r="AD761" s="5"/>
      <c r="AE761" s="5"/>
    </row>
    <row r="762">
      <c r="A762" s="4" t="s">
        <v>1626</v>
      </c>
      <c r="B762" s="4"/>
      <c r="C762" s="4" t="s">
        <v>1320</v>
      </c>
      <c r="D762" s="4">
        <v>50036.0</v>
      </c>
      <c r="E762" s="4"/>
      <c r="F762" s="4" t="s">
        <v>85</v>
      </c>
      <c r="G762" s="4">
        <v>299.0</v>
      </c>
      <c r="H762" s="4"/>
      <c r="I762" s="4">
        <v>299.0</v>
      </c>
      <c r="J762" s="4" t="s">
        <v>1627</v>
      </c>
      <c r="K762" s="4">
        <v>9.19004601048E11</v>
      </c>
      <c r="L762" s="4" t="s">
        <v>67</v>
      </c>
      <c r="M762" s="4" t="b">
        <v>0</v>
      </c>
      <c r="N762" s="4" t="s">
        <v>74</v>
      </c>
      <c r="O762" s="4" t="s">
        <v>69</v>
      </c>
      <c r="P762" s="6">
        <v>44307.46288194445</v>
      </c>
      <c r="Q762" s="4">
        <v>17149.0</v>
      </c>
      <c r="R762" s="4"/>
      <c r="S762" s="4"/>
      <c r="T762" s="4"/>
      <c r="U762" s="7"/>
      <c r="V762" s="4"/>
      <c r="W762" s="4"/>
      <c r="X762" s="4"/>
      <c r="Y762" s="4"/>
      <c r="Z762" s="4"/>
      <c r="AA762" s="5"/>
      <c r="AB762" s="5"/>
      <c r="AC762" s="5"/>
      <c r="AD762" s="5"/>
      <c r="AE762" s="5"/>
    </row>
    <row r="763">
      <c r="A763" s="4" t="s">
        <v>1628</v>
      </c>
      <c r="B763" s="4"/>
      <c r="C763" s="4" t="s">
        <v>1320</v>
      </c>
      <c r="D763" s="4">
        <v>50036.0</v>
      </c>
      <c r="E763" s="4"/>
      <c r="F763" s="4" t="s">
        <v>149</v>
      </c>
      <c r="G763" s="4">
        <v>149.0</v>
      </c>
      <c r="H763" s="4"/>
      <c r="I763" s="4">
        <v>149.0</v>
      </c>
      <c r="J763" s="4" t="s">
        <v>1629</v>
      </c>
      <c r="K763" s="4">
        <v>9.18369142854E11</v>
      </c>
      <c r="L763" s="4" t="s">
        <v>67</v>
      </c>
      <c r="M763" s="4" t="b">
        <v>0</v>
      </c>
      <c r="N763" s="4" t="s">
        <v>68</v>
      </c>
      <c r="O763" s="4" t="s">
        <v>69</v>
      </c>
      <c r="P763" s="6">
        <v>44307.472280092596</v>
      </c>
      <c r="Q763" s="4">
        <v>17242.0</v>
      </c>
      <c r="R763" s="4"/>
      <c r="S763" s="4"/>
      <c r="T763" s="4"/>
      <c r="U763" s="7"/>
      <c r="V763" s="4"/>
      <c r="W763" s="4"/>
      <c r="X763" s="4"/>
      <c r="Y763" s="4"/>
      <c r="Z763" s="4"/>
      <c r="AA763" s="5"/>
      <c r="AB763" s="5"/>
      <c r="AC763" s="5"/>
      <c r="AD763" s="5"/>
      <c r="AE763" s="5"/>
    </row>
    <row r="764">
      <c r="A764" s="4" t="s">
        <v>1630</v>
      </c>
      <c r="B764" s="4"/>
      <c r="C764" s="4" t="s">
        <v>1320</v>
      </c>
      <c r="D764" s="4">
        <v>50036.0</v>
      </c>
      <c r="E764" s="4"/>
      <c r="F764" s="4" t="s">
        <v>149</v>
      </c>
      <c r="G764" s="4">
        <v>149.0</v>
      </c>
      <c r="H764" s="4"/>
      <c r="I764" s="4">
        <v>149.0</v>
      </c>
      <c r="J764" s="4" t="s">
        <v>1631</v>
      </c>
      <c r="K764" s="4">
        <v>9.19611907348E11</v>
      </c>
      <c r="L764" s="4" t="s">
        <v>67</v>
      </c>
      <c r="M764" s="4" t="b">
        <v>0</v>
      </c>
      <c r="N764" s="4" t="s">
        <v>74</v>
      </c>
      <c r="O764" s="4" t="s">
        <v>69</v>
      </c>
      <c r="P764" s="6">
        <v>44307.48388888889</v>
      </c>
      <c r="Q764" s="4">
        <v>17153.0</v>
      </c>
      <c r="R764" s="4"/>
      <c r="S764" s="4"/>
      <c r="T764" s="4"/>
      <c r="U764" s="7"/>
      <c r="V764" s="4"/>
      <c r="W764" s="4"/>
      <c r="X764" s="4"/>
      <c r="Y764" s="4"/>
      <c r="Z764" s="4"/>
      <c r="AA764" s="5"/>
      <c r="AB764" s="5"/>
      <c r="AC764" s="5"/>
      <c r="AD764" s="5"/>
      <c r="AE764" s="5"/>
    </row>
    <row r="765">
      <c r="A765" s="4" t="s">
        <v>1632</v>
      </c>
      <c r="B765" s="4"/>
      <c r="C765" s="4" t="s">
        <v>885</v>
      </c>
      <c r="D765" s="4">
        <v>49844.0</v>
      </c>
      <c r="E765" s="4"/>
      <c r="F765" s="4" t="s">
        <v>85</v>
      </c>
      <c r="G765" s="4">
        <v>199.0</v>
      </c>
      <c r="H765" s="4"/>
      <c r="I765" s="4">
        <v>199.0</v>
      </c>
      <c r="J765" s="4" t="s">
        <v>1633</v>
      </c>
      <c r="K765" s="4">
        <v>9.18077081384E11</v>
      </c>
      <c r="L765" s="4" t="s">
        <v>67</v>
      </c>
      <c r="M765" s="4" t="b">
        <v>0</v>
      </c>
      <c r="N765" s="4" t="s">
        <v>68</v>
      </c>
      <c r="O765" s="4" t="s">
        <v>69</v>
      </c>
      <c r="P765" s="6">
        <v>44307.49733796297</v>
      </c>
      <c r="Q765" s="4">
        <v>17409.0</v>
      </c>
      <c r="R765" s="4"/>
      <c r="S765" s="4"/>
      <c r="T765" s="4"/>
      <c r="U765" s="7"/>
      <c r="V765" s="4"/>
      <c r="W765" s="4"/>
      <c r="X765" s="4"/>
      <c r="Y765" s="4"/>
      <c r="Z765" s="4"/>
      <c r="AA765" s="5"/>
      <c r="AB765" s="5"/>
      <c r="AC765" s="5"/>
      <c r="AD765" s="5"/>
      <c r="AE765" s="5"/>
    </row>
    <row r="766">
      <c r="A766" s="4" t="s">
        <v>1634</v>
      </c>
      <c r="B766" s="4"/>
      <c r="C766" s="4" t="s">
        <v>1320</v>
      </c>
      <c r="D766" s="4">
        <v>50036.0</v>
      </c>
      <c r="E766" s="4"/>
      <c r="F766" s="4" t="s">
        <v>149</v>
      </c>
      <c r="G766" s="4">
        <v>149.0</v>
      </c>
      <c r="H766" s="4"/>
      <c r="I766" s="4">
        <v>149.0</v>
      </c>
      <c r="J766" s="4" t="s">
        <v>1635</v>
      </c>
      <c r="K766" s="4">
        <v>9.19880537357E11</v>
      </c>
      <c r="L766" s="4" t="s">
        <v>67</v>
      </c>
      <c r="M766" s="4" t="b">
        <v>0</v>
      </c>
      <c r="N766" s="4" t="s">
        <v>74</v>
      </c>
      <c r="O766" s="4" t="s">
        <v>69</v>
      </c>
      <c r="P766" s="6">
        <v>44307.51766203704</v>
      </c>
      <c r="Q766" s="4">
        <v>17245.0</v>
      </c>
      <c r="R766" s="4"/>
      <c r="S766" s="4"/>
      <c r="T766" s="4"/>
      <c r="U766" s="7"/>
      <c r="V766" s="4"/>
      <c r="W766" s="4"/>
      <c r="X766" s="4"/>
      <c r="Y766" s="4"/>
      <c r="Z766" s="4"/>
      <c r="AA766" s="5"/>
      <c r="AB766" s="5"/>
      <c r="AC766" s="5"/>
      <c r="AD766" s="5"/>
      <c r="AE766" s="5"/>
    </row>
    <row r="767">
      <c r="A767" s="4" t="s">
        <v>1636</v>
      </c>
      <c r="B767" s="4"/>
      <c r="C767" s="4" t="s">
        <v>280</v>
      </c>
      <c r="D767" s="4">
        <v>49877.0</v>
      </c>
      <c r="E767" s="4"/>
      <c r="F767" s="4" t="s">
        <v>85</v>
      </c>
      <c r="G767" s="4">
        <v>99.0</v>
      </c>
      <c r="H767" s="4"/>
      <c r="I767" s="4">
        <v>99.0</v>
      </c>
      <c r="J767" s="4" t="s">
        <v>1637</v>
      </c>
      <c r="K767" s="4">
        <v>9.19906944569E11</v>
      </c>
      <c r="L767" s="4" t="s">
        <v>67</v>
      </c>
      <c r="M767" s="4" t="b">
        <v>0</v>
      </c>
      <c r="N767" s="4" t="s">
        <v>74</v>
      </c>
      <c r="O767" s="4" t="s">
        <v>69</v>
      </c>
      <c r="P767" s="6">
        <v>44307.53653935185</v>
      </c>
      <c r="Q767" s="4">
        <v>17065.0</v>
      </c>
      <c r="R767" s="4"/>
      <c r="S767" s="4"/>
      <c r="T767" s="4"/>
      <c r="U767" s="7"/>
      <c r="V767" s="4"/>
      <c r="W767" s="4"/>
      <c r="X767" s="4"/>
      <c r="Y767" s="4"/>
      <c r="Z767" s="4"/>
      <c r="AA767" s="5"/>
      <c r="AB767" s="5"/>
      <c r="AC767" s="5"/>
      <c r="AD767" s="5"/>
      <c r="AE767" s="5"/>
    </row>
    <row r="768">
      <c r="A768" s="4" t="s">
        <v>1638</v>
      </c>
      <c r="B768" s="4"/>
      <c r="C768" s="4" t="s">
        <v>1320</v>
      </c>
      <c r="D768" s="4">
        <v>50036.0</v>
      </c>
      <c r="E768" s="4"/>
      <c r="F768" s="4" t="s">
        <v>77</v>
      </c>
      <c r="G768" s="4">
        <v>599.0</v>
      </c>
      <c r="H768" s="4"/>
      <c r="I768" s="4">
        <v>599.0</v>
      </c>
      <c r="J768" s="4" t="s">
        <v>1639</v>
      </c>
      <c r="K768" s="4">
        <v>9.19962028061E11</v>
      </c>
      <c r="L768" s="4" t="s">
        <v>67</v>
      </c>
      <c r="M768" s="4" t="b">
        <v>0</v>
      </c>
      <c r="N768" s="4" t="s">
        <v>97</v>
      </c>
      <c r="O768" s="4" t="s">
        <v>69</v>
      </c>
      <c r="P768" s="6">
        <v>44307.54677083333</v>
      </c>
      <c r="Q768" s="4">
        <v>17154.0</v>
      </c>
      <c r="R768" s="4"/>
      <c r="S768" s="4"/>
      <c r="T768" s="4"/>
      <c r="U768" s="8"/>
      <c r="V768" s="4"/>
      <c r="W768" s="4"/>
      <c r="X768" s="4"/>
      <c r="Y768" s="4"/>
      <c r="Z768" s="4"/>
      <c r="AA768" s="5"/>
      <c r="AB768" s="5"/>
      <c r="AC768" s="5"/>
      <c r="AD768" s="5"/>
      <c r="AE768" s="5"/>
    </row>
    <row r="769">
      <c r="A769" s="4" t="s">
        <v>1640</v>
      </c>
      <c r="B769" s="4"/>
      <c r="C769" s="4" t="s">
        <v>1592</v>
      </c>
      <c r="D769" s="4">
        <v>49813.0</v>
      </c>
      <c r="E769" s="4"/>
      <c r="F769" s="4" t="s">
        <v>149</v>
      </c>
      <c r="G769" s="4">
        <v>149.0</v>
      </c>
      <c r="H769" s="4"/>
      <c r="I769" s="4">
        <v>149.0</v>
      </c>
      <c r="J769" s="4" t="s">
        <v>1641</v>
      </c>
      <c r="K769" s="4">
        <v>9.19664653672E11</v>
      </c>
      <c r="L769" s="4" t="s">
        <v>67</v>
      </c>
      <c r="M769" s="4" t="b">
        <v>0</v>
      </c>
      <c r="N769" s="4" t="s">
        <v>68</v>
      </c>
      <c r="O769" s="4" t="s">
        <v>69</v>
      </c>
      <c r="P769" s="6">
        <v>44299.71988425926</v>
      </c>
      <c r="Q769" s="4">
        <v>16827.0</v>
      </c>
      <c r="R769" s="4"/>
      <c r="S769" s="4"/>
      <c r="T769" s="4"/>
      <c r="U769" s="7"/>
      <c r="V769" s="4"/>
      <c r="W769" s="4"/>
      <c r="X769" s="4"/>
      <c r="Y769" s="4"/>
      <c r="Z769" s="4"/>
      <c r="AA769" s="5"/>
      <c r="AB769" s="5"/>
      <c r="AC769" s="5"/>
      <c r="AD769" s="5"/>
      <c r="AE769" s="5"/>
    </row>
    <row r="770">
      <c r="A770" s="4" t="s">
        <v>1642</v>
      </c>
      <c r="B770" s="4"/>
      <c r="C770" s="4" t="s">
        <v>1592</v>
      </c>
      <c r="D770" s="4">
        <v>49813.0</v>
      </c>
      <c r="E770" s="4"/>
      <c r="F770" s="4" t="s">
        <v>149</v>
      </c>
      <c r="G770" s="4">
        <v>149.0</v>
      </c>
      <c r="H770" s="4"/>
      <c r="I770" s="4">
        <v>149.0</v>
      </c>
      <c r="J770" s="4" t="s">
        <v>1643</v>
      </c>
      <c r="K770" s="4">
        <v>9.19870101303E11</v>
      </c>
      <c r="L770" s="4" t="s">
        <v>67</v>
      </c>
      <c r="M770" s="4" t="b">
        <v>0</v>
      </c>
      <c r="N770" s="4" t="s">
        <v>97</v>
      </c>
      <c r="O770" s="4" t="s">
        <v>69</v>
      </c>
      <c r="P770" s="6">
        <v>44300.09396990741</v>
      </c>
      <c r="Q770" s="4" t="s">
        <v>83</v>
      </c>
      <c r="R770" s="4"/>
      <c r="S770" s="4"/>
      <c r="T770" s="4"/>
      <c r="U770" s="7"/>
      <c r="V770" s="4"/>
      <c r="W770" s="4"/>
      <c r="X770" s="4"/>
      <c r="Y770" s="4"/>
      <c r="Z770" s="4"/>
      <c r="AA770" s="5"/>
      <c r="AB770" s="5"/>
      <c r="AC770" s="5"/>
      <c r="AD770" s="5"/>
      <c r="AE770" s="5"/>
    </row>
    <row r="771">
      <c r="A771" s="4" t="s">
        <v>1644</v>
      </c>
      <c r="B771" s="4"/>
      <c r="C771" s="4" t="s">
        <v>1264</v>
      </c>
      <c r="D771" s="4">
        <v>49994.0</v>
      </c>
      <c r="E771" s="4"/>
      <c r="F771" s="4" t="s">
        <v>149</v>
      </c>
      <c r="G771" s="4">
        <v>99.0</v>
      </c>
      <c r="H771" s="4"/>
      <c r="I771" s="4">
        <v>99.0</v>
      </c>
      <c r="J771" s="4" t="s">
        <v>1645</v>
      </c>
      <c r="K771" s="4">
        <v>9.19552537534E11</v>
      </c>
      <c r="L771" s="4" t="s">
        <v>67</v>
      </c>
      <c r="M771" s="4" t="b">
        <v>0</v>
      </c>
      <c r="N771" s="4" t="s">
        <v>68</v>
      </c>
      <c r="O771" s="4" t="s">
        <v>69</v>
      </c>
      <c r="P771" s="6">
        <v>44307.61800925926</v>
      </c>
      <c r="Q771" s="4">
        <v>17075.0</v>
      </c>
      <c r="R771" s="4"/>
      <c r="S771" s="4"/>
      <c r="T771" s="4"/>
      <c r="U771" s="7"/>
      <c r="V771" s="4"/>
      <c r="W771" s="4"/>
      <c r="X771" s="4"/>
      <c r="Y771" s="4"/>
      <c r="Z771" s="4"/>
      <c r="AA771" s="5"/>
      <c r="AB771" s="5"/>
      <c r="AC771" s="5"/>
      <c r="AD771" s="5"/>
      <c r="AE771" s="5"/>
    </row>
    <row r="772">
      <c r="A772" s="4" t="s">
        <v>1646</v>
      </c>
      <c r="B772" s="4"/>
      <c r="C772" s="4" t="s">
        <v>184</v>
      </c>
      <c r="D772" s="4">
        <v>49833.0</v>
      </c>
      <c r="E772" s="4"/>
      <c r="F772" s="4" t="s">
        <v>149</v>
      </c>
      <c r="G772" s="4">
        <v>199.0</v>
      </c>
      <c r="H772" s="4"/>
      <c r="I772" s="4">
        <v>199.0</v>
      </c>
      <c r="J772" s="4" t="s">
        <v>1647</v>
      </c>
      <c r="K772" s="4">
        <v>9.1907600124E11</v>
      </c>
      <c r="L772" s="4" t="s">
        <v>67</v>
      </c>
      <c r="M772" s="4" t="b">
        <v>0</v>
      </c>
      <c r="N772" s="4" t="s">
        <v>97</v>
      </c>
      <c r="O772" s="4" t="s">
        <v>69</v>
      </c>
      <c r="P772" s="6">
        <v>44307.62155092593</v>
      </c>
      <c r="Q772" s="4" t="s">
        <v>83</v>
      </c>
      <c r="R772" s="4"/>
      <c r="S772" s="4"/>
      <c r="T772" s="4"/>
      <c r="U772" s="7"/>
      <c r="V772" s="4"/>
      <c r="W772" s="4"/>
      <c r="X772" s="4"/>
      <c r="Y772" s="4"/>
      <c r="Z772" s="4"/>
      <c r="AA772" s="5"/>
      <c r="AB772" s="5"/>
      <c r="AC772" s="5"/>
      <c r="AD772" s="5"/>
      <c r="AE772" s="5"/>
    </row>
    <row r="773">
      <c r="A773" s="4" t="s">
        <v>1648</v>
      </c>
      <c r="B773" s="4"/>
      <c r="C773" s="4" t="s">
        <v>1592</v>
      </c>
      <c r="D773" s="4">
        <v>49813.0</v>
      </c>
      <c r="E773" s="4"/>
      <c r="F773" s="4" t="s">
        <v>149</v>
      </c>
      <c r="G773" s="4">
        <v>149.0</v>
      </c>
      <c r="H773" s="4"/>
      <c r="I773" s="4">
        <v>149.0</v>
      </c>
      <c r="J773" s="4" t="s">
        <v>1649</v>
      </c>
      <c r="K773" s="4">
        <v>9.18882217169E11</v>
      </c>
      <c r="L773" s="4" t="s">
        <v>67</v>
      </c>
      <c r="M773" s="4" t="b">
        <v>0</v>
      </c>
      <c r="N773" s="4" t="s">
        <v>68</v>
      </c>
      <c r="O773" s="4" t="s">
        <v>69</v>
      </c>
      <c r="P773" s="6">
        <v>44300.38497685185</v>
      </c>
      <c r="Q773" s="4">
        <v>16843.0</v>
      </c>
      <c r="R773" s="4"/>
      <c r="S773" s="4"/>
      <c r="T773" s="4"/>
      <c r="U773" s="7"/>
      <c r="V773" s="4"/>
      <c r="W773" s="4"/>
      <c r="X773" s="4"/>
      <c r="Y773" s="4"/>
      <c r="Z773" s="4"/>
      <c r="AA773" s="5"/>
      <c r="AB773" s="5"/>
      <c r="AC773" s="5"/>
      <c r="AD773" s="5"/>
      <c r="AE773" s="5"/>
    </row>
    <row r="774">
      <c r="A774" s="4" t="s">
        <v>1650</v>
      </c>
      <c r="B774" s="4"/>
      <c r="C774" s="4" t="s">
        <v>960</v>
      </c>
      <c r="D774" s="4">
        <v>49834.0</v>
      </c>
      <c r="E774" s="4"/>
      <c r="F774" s="4" t="s">
        <v>149</v>
      </c>
      <c r="G774" s="4">
        <v>99.0</v>
      </c>
      <c r="H774" s="4"/>
      <c r="I774" s="4">
        <v>99.0</v>
      </c>
      <c r="J774" s="4" t="s">
        <v>1651</v>
      </c>
      <c r="K774" s="4">
        <v>9.18369522168E11</v>
      </c>
      <c r="L774" s="4" t="s">
        <v>67</v>
      </c>
      <c r="M774" s="4" t="b">
        <v>0</v>
      </c>
      <c r="N774" s="4" t="s">
        <v>97</v>
      </c>
      <c r="O774" s="4" t="s">
        <v>69</v>
      </c>
      <c r="P774" s="6">
        <v>44307.66274305555</v>
      </c>
      <c r="Q774" s="4">
        <v>17077.0</v>
      </c>
      <c r="R774" s="4"/>
      <c r="S774" s="4"/>
      <c r="T774" s="4"/>
      <c r="U774" s="7"/>
      <c r="V774" s="4"/>
      <c r="W774" s="4"/>
      <c r="X774" s="4"/>
      <c r="Y774" s="4"/>
      <c r="Z774" s="4"/>
      <c r="AA774" s="5"/>
      <c r="AB774" s="5"/>
      <c r="AC774" s="5"/>
      <c r="AD774" s="5"/>
      <c r="AE774" s="5"/>
    </row>
    <row r="775">
      <c r="A775" s="4" t="s">
        <v>1652</v>
      </c>
      <c r="B775" s="4"/>
      <c r="C775" s="4" t="s">
        <v>1592</v>
      </c>
      <c r="D775" s="4">
        <v>49813.0</v>
      </c>
      <c r="E775" s="4"/>
      <c r="F775" s="4" t="s">
        <v>149</v>
      </c>
      <c r="G775" s="4">
        <v>149.0</v>
      </c>
      <c r="H775" s="4"/>
      <c r="I775" s="4">
        <v>149.0</v>
      </c>
      <c r="J775" s="4" t="s">
        <v>1653</v>
      </c>
      <c r="K775" s="4">
        <v>9.19971037565E11</v>
      </c>
      <c r="L775" s="4" t="s">
        <v>67</v>
      </c>
      <c r="M775" s="4" t="b">
        <v>0</v>
      </c>
      <c r="N775" s="4" t="s">
        <v>97</v>
      </c>
      <c r="O775" s="4" t="s">
        <v>69</v>
      </c>
      <c r="P775" s="6">
        <v>44300.6084837963</v>
      </c>
      <c r="Q775" s="4">
        <v>17290.0</v>
      </c>
      <c r="R775" s="4"/>
      <c r="S775" s="4"/>
      <c r="T775" s="4"/>
      <c r="U775" s="7"/>
      <c r="V775" s="4"/>
      <c r="W775" s="4"/>
      <c r="X775" s="4"/>
      <c r="Y775" s="4"/>
      <c r="Z775" s="4"/>
      <c r="AA775" s="5"/>
      <c r="AB775" s="5"/>
      <c r="AC775" s="5"/>
      <c r="AD775" s="5"/>
      <c r="AE775" s="5"/>
    </row>
    <row r="776">
      <c r="A776" s="4" t="s">
        <v>1654</v>
      </c>
      <c r="B776" s="4"/>
      <c r="C776" s="4" t="s">
        <v>1059</v>
      </c>
      <c r="D776" s="4">
        <v>49997.0</v>
      </c>
      <c r="E776" s="4"/>
      <c r="F776" s="4" t="s">
        <v>149</v>
      </c>
      <c r="G776" s="4">
        <v>99.0</v>
      </c>
      <c r="H776" s="4"/>
      <c r="I776" s="4">
        <v>99.0</v>
      </c>
      <c r="J776" s="4" t="s">
        <v>1655</v>
      </c>
      <c r="K776" s="4">
        <v>9.18887837198E11</v>
      </c>
      <c r="L776" s="4" t="s">
        <v>67</v>
      </c>
      <c r="M776" s="4" t="b">
        <v>0</v>
      </c>
      <c r="N776" s="4" t="s">
        <v>68</v>
      </c>
      <c r="O776" s="4" t="s">
        <v>69</v>
      </c>
      <c r="P776" s="6">
        <v>44307.73701388889</v>
      </c>
      <c r="Q776" s="4">
        <v>17473.0</v>
      </c>
      <c r="R776" s="4"/>
      <c r="S776" s="4"/>
      <c r="T776" s="4"/>
      <c r="U776" s="7"/>
      <c r="V776" s="4"/>
      <c r="W776" s="4"/>
      <c r="X776" s="4"/>
      <c r="Y776" s="4"/>
      <c r="Z776" s="4"/>
      <c r="AA776" s="5"/>
      <c r="AB776" s="5"/>
      <c r="AC776" s="5"/>
      <c r="AD776" s="5"/>
      <c r="AE776" s="5"/>
    </row>
    <row r="777">
      <c r="A777" s="4" t="s">
        <v>1656</v>
      </c>
      <c r="B777" s="4"/>
      <c r="C777" s="4" t="s">
        <v>1592</v>
      </c>
      <c r="D777" s="4">
        <v>49813.0</v>
      </c>
      <c r="E777" s="4"/>
      <c r="F777" s="4" t="s">
        <v>85</v>
      </c>
      <c r="G777" s="4">
        <v>299.0</v>
      </c>
      <c r="H777" s="4"/>
      <c r="I777" s="4">
        <v>299.0</v>
      </c>
      <c r="J777" s="4" t="s">
        <v>1657</v>
      </c>
      <c r="K777" s="4">
        <v>9.19884044335E11</v>
      </c>
      <c r="L777" s="4" t="s">
        <v>67</v>
      </c>
      <c r="M777" s="4" t="b">
        <v>0</v>
      </c>
      <c r="N777" s="4" t="s">
        <v>97</v>
      </c>
      <c r="O777" s="4" t="s">
        <v>69</v>
      </c>
      <c r="P777" s="6">
        <v>44301.653958333336</v>
      </c>
      <c r="Q777" s="4">
        <v>16886.0</v>
      </c>
      <c r="R777" s="4"/>
      <c r="S777" s="4"/>
      <c r="T777" s="4"/>
      <c r="U777" s="7"/>
      <c r="V777" s="4"/>
      <c r="W777" s="4"/>
      <c r="X777" s="4"/>
      <c r="Y777" s="4"/>
      <c r="Z777" s="4"/>
      <c r="AA777" s="5"/>
      <c r="AB777" s="5"/>
      <c r="AC777" s="5"/>
      <c r="AD777" s="5"/>
      <c r="AE777" s="5"/>
    </row>
    <row r="778">
      <c r="A778" s="4" t="s">
        <v>1658</v>
      </c>
      <c r="B778" s="4"/>
      <c r="C778" s="4" t="s">
        <v>184</v>
      </c>
      <c r="D778" s="4">
        <v>49833.0</v>
      </c>
      <c r="E778" s="4"/>
      <c r="F778" s="4" t="s">
        <v>85</v>
      </c>
      <c r="G778" s="4">
        <v>299.0</v>
      </c>
      <c r="H778" s="4"/>
      <c r="I778" s="4">
        <v>299.0</v>
      </c>
      <c r="J778" s="4" t="s">
        <v>1659</v>
      </c>
      <c r="K778" s="4">
        <v>9.16206785647E11</v>
      </c>
      <c r="L778" s="4" t="s">
        <v>67</v>
      </c>
      <c r="M778" s="4" t="b">
        <v>0</v>
      </c>
      <c r="N778" s="4" t="s">
        <v>68</v>
      </c>
      <c r="O778" s="4" t="s">
        <v>69</v>
      </c>
      <c r="P778" s="6">
        <v>44307.812048611115</v>
      </c>
      <c r="Q778" s="4" t="s">
        <v>83</v>
      </c>
      <c r="R778" s="4"/>
      <c r="S778" s="4"/>
      <c r="T778" s="4"/>
      <c r="U778" s="7"/>
      <c r="V778" s="4"/>
      <c r="W778" s="4"/>
      <c r="X778" s="4"/>
      <c r="Y778" s="4"/>
      <c r="Z778" s="4"/>
      <c r="AA778" s="5"/>
      <c r="AB778" s="5"/>
      <c r="AC778" s="5"/>
      <c r="AD778" s="5"/>
      <c r="AE778" s="5"/>
    </row>
    <row r="779">
      <c r="A779" s="4" t="s">
        <v>1660</v>
      </c>
      <c r="B779" s="4"/>
      <c r="C779" s="4" t="s">
        <v>184</v>
      </c>
      <c r="D779" s="4">
        <v>49833.0</v>
      </c>
      <c r="E779" s="4"/>
      <c r="F779" s="4" t="s">
        <v>85</v>
      </c>
      <c r="G779" s="4">
        <v>299.0</v>
      </c>
      <c r="H779" s="4"/>
      <c r="I779" s="4">
        <v>299.0</v>
      </c>
      <c r="J779" s="4" t="s">
        <v>1661</v>
      </c>
      <c r="K779" s="4">
        <v>9.19176680291E11</v>
      </c>
      <c r="L779" s="4" t="s">
        <v>67</v>
      </c>
      <c r="M779" s="4" t="b">
        <v>0</v>
      </c>
      <c r="N779" s="4" t="s">
        <v>151</v>
      </c>
      <c r="O779" s="4" t="s">
        <v>69</v>
      </c>
      <c r="P779" s="6">
        <v>44307.82251157407</v>
      </c>
      <c r="Q779" s="4">
        <v>17314.0</v>
      </c>
      <c r="R779" s="4"/>
      <c r="S779" s="4"/>
      <c r="T779" s="4"/>
      <c r="U779" s="7"/>
      <c r="V779" s="4"/>
      <c r="W779" s="4"/>
      <c r="X779" s="4"/>
      <c r="Y779" s="4"/>
      <c r="Z779" s="4"/>
      <c r="AA779" s="5"/>
      <c r="AB779" s="5"/>
      <c r="AC779" s="5"/>
      <c r="AD779" s="5"/>
      <c r="AE779" s="5"/>
    </row>
    <row r="780">
      <c r="A780" s="4" t="s">
        <v>1662</v>
      </c>
      <c r="B780" s="4"/>
      <c r="C780" s="4" t="s">
        <v>76</v>
      </c>
      <c r="D780" s="4">
        <v>49834.0</v>
      </c>
      <c r="E780" s="4"/>
      <c r="F780" s="4" t="s">
        <v>77</v>
      </c>
      <c r="G780" s="4">
        <v>349.0</v>
      </c>
      <c r="H780" s="4"/>
      <c r="I780" s="4">
        <v>349.0</v>
      </c>
      <c r="J780" s="4" t="s">
        <v>1663</v>
      </c>
      <c r="K780" s="4">
        <v>9.19836164487E11</v>
      </c>
      <c r="L780" s="4" t="s">
        <v>67</v>
      </c>
      <c r="M780" s="4" t="b">
        <v>0</v>
      </c>
      <c r="N780" s="4" t="s">
        <v>68</v>
      </c>
      <c r="O780" s="4" t="s">
        <v>69</v>
      </c>
      <c r="P780" s="6">
        <v>44307.840729166666</v>
      </c>
      <c r="Q780" s="4">
        <v>17088.0</v>
      </c>
      <c r="R780" s="4"/>
      <c r="S780" s="4"/>
      <c r="T780" s="4"/>
      <c r="U780" s="8"/>
      <c r="V780" s="4"/>
      <c r="W780" s="4"/>
      <c r="X780" s="4"/>
      <c r="Y780" s="4"/>
      <c r="Z780" s="4"/>
      <c r="AA780" s="5"/>
      <c r="AB780" s="5"/>
      <c r="AC780" s="5"/>
      <c r="AD780" s="5"/>
      <c r="AE780" s="5"/>
    </row>
    <row r="781">
      <c r="A781" s="4" t="s">
        <v>1664</v>
      </c>
      <c r="B781" s="4"/>
      <c r="C781" s="4" t="s">
        <v>1476</v>
      </c>
      <c r="D781" s="4">
        <v>50009.0</v>
      </c>
      <c r="E781" s="4"/>
      <c r="F781" s="4" t="s">
        <v>149</v>
      </c>
      <c r="G781" s="4">
        <v>99.0</v>
      </c>
      <c r="H781" s="4"/>
      <c r="I781" s="4">
        <v>99.0</v>
      </c>
      <c r="J781" s="4" t="s">
        <v>1665</v>
      </c>
      <c r="K781" s="4">
        <v>9.17718926285E11</v>
      </c>
      <c r="L781" s="4" t="s">
        <v>67</v>
      </c>
      <c r="M781" s="4" t="b">
        <v>0</v>
      </c>
      <c r="N781" s="4" t="s">
        <v>68</v>
      </c>
      <c r="O781" s="4" t="s">
        <v>69</v>
      </c>
      <c r="P781" s="6">
        <v>44307.85959490741</v>
      </c>
      <c r="Q781" s="4">
        <v>17117.0</v>
      </c>
      <c r="R781" s="4"/>
      <c r="S781" s="4"/>
      <c r="T781" s="4"/>
      <c r="U781" s="7"/>
      <c r="V781" s="4"/>
      <c r="W781" s="4"/>
      <c r="X781" s="4"/>
      <c r="Y781" s="4"/>
      <c r="Z781" s="4"/>
      <c r="AA781" s="5"/>
      <c r="AB781" s="5"/>
      <c r="AC781" s="5"/>
      <c r="AD781" s="5"/>
      <c r="AE781" s="5"/>
    </row>
    <row r="782">
      <c r="A782" s="4" t="s">
        <v>1666</v>
      </c>
      <c r="B782" s="4"/>
      <c r="C782" s="4" t="s">
        <v>1592</v>
      </c>
      <c r="D782" s="4">
        <v>49813.0</v>
      </c>
      <c r="E782" s="4"/>
      <c r="F782" s="4" t="s">
        <v>85</v>
      </c>
      <c r="G782" s="4">
        <v>299.0</v>
      </c>
      <c r="H782" s="4"/>
      <c r="I782" s="4">
        <v>299.0</v>
      </c>
      <c r="J782" s="4" t="s">
        <v>1667</v>
      </c>
      <c r="K782" s="4">
        <v>9.19913111744E11</v>
      </c>
      <c r="L782" s="4" t="s">
        <v>67</v>
      </c>
      <c r="M782" s="4" t="b">
        <v>0</v>
      </c>
      <c r="N782" s="4" t="s">
        <v>261</v>
      </c>
      <c r="O782" s="4" t="s">
        <v>69</v>
      </c>
      <c r="P782" s="6">
        <v>44301.66395833333</v>
      </c>
      <c r="Q782" s="4">
        <v>16892.0</v>
      </c>
      <c r="R782" s="4"/>
      <c r="S782" s="4"/>
      <c r="T782" s="4"/>
      <c r="U782" s="7"/>
      <c r="V782" s="4"/>
      <c r="W782" s="4"/>
      <c r="X782" s="4"/>
      <c r="Y782" s="4"/>
      <c r="Z782" s="4"/>
      <c r="AA782" s="5"/>
      <c r="AB782" s="5"/>
      <c r="AC782" s="5"/>
      <c r="AD782" s="5"/>
      <c r="AE782" s="5"/>
    </row>
    <row r="783">
      <c r="A783" s="4" t="s">
        <v>1668</v>
      </c>
      <c r="B783" s="4"/>
      <c r="C783" s="4" t="s">
        <v>1059</v>
      </c>
      <c r="D783" s="4">
        <v>49997.0</v>
      </c>
      <c r="E783" s="4"/>
      <c r="F783" s="4" t="s">
        <v>149</v>
      </c>
      <c r="G783" s="4">
        <v>99.0</v>
      </c>
      <c r="H783" s="4"/>
      <c r="I783" s="4">
        <v>99.0</v>
      </c>
      <c r="J783" s="4" t="s">
        <v>1669</v>
      </c>
      <c r="K783" s="4">
        <v>9.19527031113E11</v>
      </c>
      <c r="L783" s="4" t="s">
        <v>67</v>
      </c>
      <c r="M783" s="4" t="b">
        <v>0</v>
      </c>
      <c r="N783" s="4" t="s">
        <v>97</v>
      </c>
      <c r="O783" s="4" t="s">
        <v>69</v>
      </c>
      <c r="P783" s="6">
        <v>44307.87417824074</v>
      </c>
      <c r="Q783" s="4">
        <v>17146.0</v>
      </c>
      <c r="R783" s="4"/>
      <c r="S783" s="4"/>
      <c r="T783" s="4"/>
      <c r="U783" s="7"/>
      <c r="V783" s="4"/>
      <c r="W783" s="4"/>
      <c r="X783" s="4"/>
      <c r="Y783" s="4"/>
      <c r="Z783" s="4"/>
      <c r="AA783" s="5"/>
      <c r="AB783" s="5"/>
      <c r="AC783" s="5"/>
      <c r="AD783" s="5"/>
      <c r="AE783" s="5"/>
    </row>
    <row r="784">
      <c r="A784" s="4" t="s">
        <v>1670</v>
      </c>
      <c r="B784" s="4"/>
      <c r="C784" s="4" t="s">
        <v>1025</v>
      </c>
      <c r="D784" s="4">
        <v>49948.0</v>
      </c>
      <c r="E784" s="4"/>
      <c r="F784" s="4" t="s">
        <v>85</v>
      </c>
      <c r="G784" s="4">
        <v>199.0</v>
      </c>
      <c r="H784" s="4"/>
      <c r="I784" s="4">
        <v>199.0</v>
      </c>
      <c r="J784" s="4" t="s">
        <v>1671</v>
      </c>
      <c r="K784" s="4">
        <v>9.19846468484E11</v>
      </c>
      <c r="L784" s="4" t="s">
        <v>67</v>
      </c>
      <c r="M784" s="4" t="b">
        <v>0</v>
      </c>
      <c r="N784" s="4" t="s">
        <v>68</v>
      </c>
      <c r="O784" s="4" t="s">
        <v>69</v>
      </c>
      <c r="P784" s="6">
        <v>44307.87721064815</v>
      </c>
      <c r="Q784" s="4">
        <v>17089.0</v>
      </c>
      <c r="R784" s="4"/>
      <c r="S784" s="4"/>
      <c r="T784" s="4"/>
      <c r="U784" s="7"/>
      <c r="V784" s="4"/>
      <c r="W784" s="4"/>
      <c r="X784" s="4"/>
      <c r="Y784" s="4"/>
      <c r="Z784" s="4"/>
      <c r="AA784" s="5"/>
      <c r="AB784" s="5"/>
      <c r="AC784" s="5"/>
      <c r="AD784" s="5"/>
      <c r="AE784" s="5"/>
    </row>
    <row r="785">
      <c r="A785" s="4" t="s">
        <v>1672</v>
      </c>
      <c r="B785" s="4"/>
      <c r="C785" s="4" t="s">
        <v>280</v>
      </c>
      <c r="D785" s="4">
        <v>49877.0</v>
      </c>
      <c r="E785" s="4"/>
      <c r="F785" s="4" t="s">
        <v>85</v>
      </c>
      <c r="G785" s="4">
        <v>99.0</v>
      </c>
      <c r="H785" s="4"/>
      <c r="I785" s="4">
        <v>99.0</v>
      </c>
      <c r="J785" s="4" t="s">
        <v>1673</v>
      </c>
      <c r="K785" s="4">
        <v>9.19599667937E11</v>
      </c>
      <c r="L785" s="4" t="s">
        <v>67</v>
      </c>
      <c r="M785" s="4" t="b">
        <v>0</v>
      </c>
      <c r="N785" s="4" t="s">
        <v>68</v>
      </c>
      <c r="O785" s="4" t="s">
        <v>69</v>
      </c>
      <c r="P785" s="6">
        <v>44307.88245370371</v>
      </c>
      <c r="Q785" s="4">
        <v>17091.0</v>
      </c>
      <c r="R785" s="4"/>
      <c r="S785" s="4"/>
      <c r="T785" s="4"/>
      <c r="U785" s="7"/>
      <c r="V785" s="4"/>
      <c r="W785" s="4"/>
      <c r="X785" s="4"/>
      <c r="Y785" s="4"/>
      <c r="Z785" s="4"/>
      <c r="AA785" s="5"/>
      <c r="AB785" s="5"/>
      <c r="AC785" s="5"/>
      <c r="AD785" s="5"/>
      <c r="AE785" s="5"/>
    </row>
    <row r="786">
      <c r="A786" s="4" t="s">
        <v>1674</v>
      </c>
      <c r="B786" s="4"/>
      <c r="C786" s="4" t="s">
        <v>960</v>
      </c>
      <c r="D786" s="4">
        <v>49834.0</v>
      </c>
      <c r="E786" s="4"/>
      <c r="F786" s="4" t="s">
        <v>149</v>
      </c>
      <c r="G786" s="4">
        <v>99.0</v>
      </c>
      <c r="H786" s="4"/>
      <c r="I786" s="4">
        <v>99.0</v>
      </c>
      <c r="J786" s="4" t="s">
        <v>1675</v>
      </c>
      <c r="K786" s="4">
        <v>9.1877736462E11</v>
      </c>
      <c r="L786" s="4" t="s">
        <v>67</v>
      </c>
      <c r="M786" s="4" t="b">
        <v>0</v>
      </c>
      <c r="N786" s="4" t="s">
        <v>74</v>
      </c>
      <c r="O786" s="4" t="s">
        <v>69</v>
      </c>
      <c r="P786" s="6">
        <v>44307.89010416667</v>
      </c>
      <c r="Q786" s="4">
        <v>17094.0</v>
      </c>
      <c r="R786" s="4"/>
      <c r="S786" s="4"/>
      <c r="T786" s="4"/>
      <c r="U786" s="7"/>
      <c r="V786" s="4"/>
      <c r="W786" s="4"/>
      <c r="X786" s="4"/>
      <c r="Y786" s="4"/>
      <c r="Z786" s="4"/>
      <c r="AA786" s="5"/>
      <c r="AB786" s="5"/>
      <c r="AC786" s="5"/>
      <c r="AD786" s="5"/>
      <c r="AE786" s="5"/>
    </row>
    <row r="787">
      <c r="A787" s="4" t="s">
        <v>1676</v>
      </c>
      <c r="B787" s="4"/>
      <c r="C787" s="4" t="s">
        <v>280</v>
      </c>
      <c r="D787" s="4">
        <v>49877.0</v>
      </c>
      <c r="E787" s="4"/>
      <c r="F787" s="4" t="s">
        <v>85</v>
      </c>
      <c r="G787" s="4">
        <v>99.0</v>
      </c>
      <c r="H787" s="4"/>
      <c r="I787" s="4">
        <v>99.0</v>
      </c>
      <c r="J787" s="4" t="s">
        <v>1677</v>
      </c>
      <c r="K787" s="4">
        <v>9.18555853336E11</v>
      </c>
      <c r="L787" s="4" t="s">
        <v>67</v>
      </c>
      <c r="M787" s="4" t="b">
        <v>0</v>
      </c>
      <c r="N787" s="4" t="s">
        <v>68</v>
      </c>
      <c r="O787" s="4" t="s">
        <v>69</v>
      </c>
      <c r="P787" s="6">
        <v>44307.936423611114</v>
      </c>
      <c r="Q787" s="4" t="s">
        <v>83</v>
      </c>
      <c r="R787" s="4"/>
      <c r="S787" s="4"/>
      <c r="T787" s="4"/>
      <c r="U787" s="7"/>
      <c r="V787" s="4"/>
      <c r="W787" s="4"/>
      <c r="X787" s="4"/>
      <c r="Y787" s="4"/>
      <c r="Z787" s="4"/>
      <c r="AA787" s="5"/>
      <c r="AB787" s="5"/>
      <c r="AC787" s="5"/>
      <c r="AD787" s="5"/>
      <c r="AE787" s="5"/>
    </row>
    <row r="788">
      <c r="A788" s="4" t="s">
        <v>1678</v>
      </c>
      <c r="B788" s="4"/>
      <c r="C788" s="4" t="s">
        <v>1592</v>
      </c>
      <c r="D788" s="4">
        <v>49813.0</v>
      </c>
      <c r="E788" s="4"/>
      <c r="F788" s="4" t="s">
        <v>149</v>
      </c>
      <c r="G788" s="4">
        <v>149.0</v>
      </c>
      <c r="H788" s="4"/>
      <c r="I788" s="4">
        <v>149.0</v>
      </c>
      <c r="J788" s="4" t="s">
        <v>1679</v>
      </c>
      <c r="K788" s="4">
        <v>9.19480603434E11</v>
      </c>
      <c r="L788" s="4" t="s">
        <v>67</v>
      </c>
      <c r="M788" s="4" t="b">
        <v>0</v>
      </c>
      <c r="N788" s="4" t="s">
        <v>68</v>
      </c>
      <c r="O788" s="4" t="s">
        <v>69</v>
      </c>
      <c r="P788" s="6">
        <v>44301.920902777776</v>
      </c>
      <c r="Q788" s="4">
        <v>16918.0</v>
      </c>
      <c r="R788" s="4"/>
      <c r="S788" s="4"/>
      <c r="T788" s="4"/>
      <c r="U788" s="7"/>
      <c r="V788" s="4"/>
      <c r="W788" s="4"/>
      <c r="X788" s="4"/>
      <c r="Y788" s="4"/>
      <c r="Z788" s="4"/>
      <c r="AA788" s="5"/>
      <c r="AB788" s="5"/>
      <c r="AC788" s="5"/>
      <c r="AD788" s="5"/>
      <c r="AE788" s="5"/>
    </row>
    <row r="789">
      <c r="A789" s="4" t="s">
        <v>1680</v>
      </c>
      <c r="B789" s="4"/>
      <c r="C789" s="4" t="s">
        <v>1592</v>
      </c>
      <c r="D789" s="4">
        <v>49813.0</v>
      </c>
      <c r="E789" s="4"/>
      <c r="F789" s="4" t="s">
        <v>149</v>
      </c>
      <c r="G789" s="4">
        <v>149.0</v>
      </c>
      <c r="H789" s="4"/>
      <c r="I789" s="4">
        <v>149.0</v>
      </c>
      <c r="J789" s="4" t="s">
        <v>1681</v>
      </c>
      <c r="K789" s="4">
        <v>9.18130146021E11</v>
      </c>
      <c r="L789" s="4" t="s">
        <v>67</v>
      </c>
      <c r="M789" s="4" t="b">
        <v>0</v>
      </c>
      <c r="N789" s="4" t="s">
        <v>74</v>
      </c>
      <c r="O789" s="4" t="s">
        <v>69</v>
      </c>
      <c r="P789" s="6">
        <v>44302.399560185186</v>
      </c>
      <c r="Q789" s="4">
        <v>16911.0</v>
      </c>
      <c r="R789" s="4"/>
      <c r="S789" s="4"/>
      <c r="T789" s="4"/>
      <c r="U789" s="7"/>
      <c r="V789" s="4"/>
      <c r="W789" s="4"/>
      <c r="X789" s="4"/>
      <c r="Y789" s="4"/>
      <c r="Z789" s="4"/>
      <c r="AA789" s="5"/>
      <c r="AB789" s="5"/>
      <c r="AC789" s="5"/>
      <c r="AD789" s="5"/>
      <c r="AE789" s="5"/>
    </row>
    <row r="790">
      <c r="A790" s="4" t="s">
        <v>1682</v>
      </c>
      <c r="B790" s="4"/>
      <c r="C790" s="4" t="s">
        <v>1592</v>
      </c>
      <c r="D790" s="4">
        <v>49813.0</v>
      </c>
      <c r="E790" s="4"/>
      <c r="F790" s="4" t="s">
        <v>85</v>
      </c>
      <c r="G790" s="4">
        <v>299.0</v>
      </c>
      <c r="H790" s="4"/>
      <c r="I790" s="4">
        <v>299.0</v>
      </c>
      <c r="J790" s="4" t="s">
        <v>1683</v>
      </c>
      <c r="K790" s="4">
        <v>9.19920052086E11</v>
      </c>
      <c r="L790" s="4" t="s">
        <v>67</v>
      </c>
      <c r="M790" s="4" t="b">
        <v>0</v>
      </c>
      <c r="N790" s="4" t="s">
        <v>97</v>
      </c>
      <c r="O790" s="4" t="s">
        <v>69</v>
      </c>
      <c r="P790" s="6">
        <v>44302.546331018515</v>
      </c>
      <c r="Q790" s="4">
        <v>16960.0</v>
      </c>
      <c r="R790" s="4"/>
      <c r="S790" s="4"/>
      <c r="T790" s="4"/>
      <c r="U790" s="7"/>
      <c r="V790" s="4"/>
      <c r="W790" s="4"/>
      <c r="X790" s="4"/>
      <c r="Y790" s="4"/>
      <c r="Z790" s="4"/>
      <c r="AA790" s="5"/>
      <c r="AB790" s="5"/>
      <c r="AC790" s="5"/>
      <c r="AD790" s="5"/>
      <c r="AE790" s="5"/>
    </row>
    <row r="791">
      <c r="A791" s="4" t="s">
        <v>1684</v>
      </c>
      <c r="B791" s="4"/>
      <c r="C791" s="4" t="s">
        <v>280</v>
      </c>
      <c r="D791" s="4">
        <v>49877.0</v>
      </c>
      <c r="E791" s="4"/>
      <c r="F791" s="4" t="s">
        <v>85</v>
      </c>
      <c r="G791" s="4">
        <v>99.0</v>
      </c>
      <c r="H791" s="4"/>
      <c r="I791" s="4">
        <v>99.0</v>
      </c>
      <c r="J791" s="4" t="s">
        <v>1685</v>
      </c>
      <c r="K791" s="4">
        <v>9.19483360077E11</v>
      </c>
      <c r="L791" s="4" t="s">
        <v>67</v>
      </c>
      <c r="M791" s="4" t="b">
        <v>0</v>
      </c>
      <c r="N791" s="4" t="s">
        <v>74</v>
      </c>
      <c r="O791" s="4" t="s">
        <v>69</v>
      </c>
      <c r="P791" s="6">
        <v>44308.00436342593</v>
      </c>
      <c r="Q791" s="4">
        <v>17106.0</v>
      </c>
      <c r="R791" s="4"/>
      <c r="S791" s="4"/>
      <c r="T791" s="4"/>
      <c r="U791" s="7"/>
      <c r="V791" s="4"/>
      <c r="W791" s="4"/>
      <c r="X791" s="4"/>
      <c r="Y791" s="4"/>
      <c r="Z791" s="4"/>
      <c r="AA791" s="5"/>
      <c r="AB791" s="5"/>
      <c r="AC791" s="5"/>
      <c r="AD791" s="5"/>
      <c r="AE791" s="5"/>
    </row>
    <row r="792">
      <c r="A792" s="4" t="s">
        <v>1686</v>
      </c>
      <c r="B792" s="4"/>
      <c r="C792" s="4" t="s">
        <v>1592</v>
      </c>
      <c r="D792" s="4">
        <v>49813.0</v>
      </c>
      <c r="E792" s="4"/>
      <c r="F792" s="4" t="s">
        <v>149</v>
      </c>
      <c r="G792" s="4">
        <v>149.0</v>
      </c>
      <c r="H792" s="4"/>
      <c r="I792" s="4">
        <v>149.0</v>
      </c>
      <c r="J792" s="4" t="s">
        <v>1687</v>
      </c>
      <c r="K792" s="4">
        <v>9.18850267427E11</v>
      </c>
      <c r="L792" s="4" t="s">
        <v>67</v>
      </c>
      <c r="M792" s="4" t="b">
        <v>0</v>
      </c>
      <c r="N792" s="4" t="s">
        <v>68</v>
      </c>
      <c r="O792" s="4" t="s">
        <v>69</v>
      </c>
      <c r="P792" s="6">
        <v>44302.568240740744</v>
      </c>
      <c r="Q792" s="4">
        <v>16910.0</v>
      </c>
      <c r="R792" s="4"/>
      <c r="S792" s="4"/>
      <c r="T792" s="4"/>
      <c r="U792" s="7"/>
      <c r="V792" s="4"/>
      <c r="W792" s="4"/>
      <c r="X792" s="4"/>
      <c r="Y792" s="4"/>
      <c r="Z792" s="4"/>
      <c r="AA792" s="5"/>
      <c r="AB792" s="5"/>
      <c r="AC792" s="5"/>
      <c r="AD792" s="5"/>
      <c r="AE792" s="5"/>
    </row>
    <row r="793">
      <c r="A793" s="4" t="s">
        <v>1688</v>
      </c>
      <c r="B793" s="4"/>
      <c r="C793" s="4" t="s">
        <v>960</v>
      </c>
      <c r="D793" s="4">
        <v>49834.0</v>
      </c>
      <c r="E793" s="4"/>
      <c r="F793" s="4" t="s">
        <v>149</v>
      </c>
      <c r="G793" s="4">
        <v>99.0</v>
      </c>
      <c r="H793" s="4"/>
      <c r="I793" s="4">
        <v>99.0</v>
      </c>
      <c r="J793" s="4" t="s">
        <v>1689</v>
      </c>
      <c r="K793" s="4">
        <v>9.19999025369E11</v>
      </c>
      <c r="L793" s="4" t="s">
        <v>67</v>
      </c>
      <c r="M793" s="4" t="b">
        <v>0</v>
      </c>
      <c r="N793" s="4" t="s">
        <v>68</v>
      </c>
      <c r="O793" s="4" t="s">
        <v>69</v>
      </c>
      <c r="P793" s="6">
        <v>44308.245775462965</v>
      </c>
      <c r="Q793" s="4">
        <v>17111.0</v>
      </c>
      <c r="R793" s="4"/>
      <c r="S793" s="4"/>
      <c r="T793" s="4"/>
      <c r="U793" s="7"/>
      <c r="V793" s="4"/>
      <c r="W793" s="4"/>
      <c r="X793" s="4"/>
      <c r="Y793" s="4"/>
      <c r="Z793" s="4"/>
      <c r="AA793" s="5"/>
      <c r="AB793" s="5"/>
      <c r="AC793" s="5"/>
      <c r="AD793" s="5"/>
      <c r="AE793" s="5"/>
    </row>
    <row r="794">
      <c r="A794" s="4" t="s">
        <v>1690</v>
      </c>
      <c r="B794" s="4"/>
      <c r="C794" s="4" t="s">
        <v>1592</v>
      </c>
      <c r="D794" s="4">
        <v>49813.0</v>
      </c>
      <c r="E794" s="4"/>
      <c r="F794" s="4" t="s">
        <v>85</v>
      </c>
      <c r="G794" s="4">
        <v>299.0</v>
      </c>
      <c r="H794" s="4"/>
      <c r="I794" s="4">
        <v>299.0</v>
      </c>
      <c r="J794" s="4" t="s">
        <v>1691</v>
      </c>
      <c r="K794" s="4">
        <v>9.17798397861E11</v>
      </c>
      <c r="L794" s="4" t="s">
        <v>67</v>
      </c>
      <c r="M794" s="4" t="b">
        <v>0</v>
      </c>
      <c r="N794" s="4" t="s">
        <v>97</v>
      </c>
      <c r="O794" s="4" t="s">
        <v>69</v>
      </c>
      <c r="P794" s="6">
        <v>44302.805925925924</v>
      </c>
      <c r="Q794" s="4">
        <v>16940.0</v>
      </c>
      <c r="R794" s="4"/>
      <c r="S794" s="4"/>
      <c r="T794" s="4"/>
      <c r="U794" s="7"/>
      <c r="V794" s="4"/>
      <c r="W794" s="4"/>
      <c r="X794" s="4"/>
      <c r="Y794" s="4"/>
      <c r="Z794" s="4"/>
      <c r="AA794" s="5"/>
      <c r="AB794" s="5"/>
      <c r="AC794" s="5"/>
      <c r="AD794" s="5"/>
      <c r="AE794" s="5"/>
    </row>
    <row r="795">
      <c r="A795" s="4" t="s">
        <v>1692</v>
      </c>
      <c r="B795" s="4"/>
      <c r="C795" s="4" t="s">
        <v>1476</v>
      </c>
      <c r="D795" s="4">
        <v>50009.0</v>
      </c>
      <c r="E795" s="4"/>
      <c r="F795" s="4" t="s">
        <v>149</v>
      </c>
      <c r="G795" s="4">
        <v>99.0</v>
      </c>
      <c r="H795" s="4"/>
      <c r="I795" s="4">
        <v>99.0</v>
      </c>
      <c r="J795" s="4" t="s">
        <v>1693</v>
      </c>
      <c r="K795" s="4">
        <v>9.176880053E11</v>
      </c>
      <c r="L795" s="4" t="s">
        <v>67</v>
      </c>
      <c r="M795" s="4" t="b">
        <v>0</v>
      </c>
      <c r="N795" s="4" t="s">
        <v>68</v>
      </c>
      <c r="O795" s="4" t="s">
        <v>69</v>
      </c>
      <c r="P795" s="6">
        <v>44308.307337962964</v>
      </c>
      <c r="Q795" s="4">
        <v>17113.0</v>
      </c>
      <c r="R795" s="4"/>
      <c r="S795" s="4"/>
      <c r="T795" s="4"/>
      <c r="U795" s="7"/>
      <c r="V795" s="4"/>
      <c r="W795" s="4"/>
      <c r="X795" s="4"/>
      <c r="Y795" s="4"/>
      <c r="Z795" s="4"/>
      <c r="AA795" s="5"/>
      <c r="AB795" s="5"/>
      <c r="AC795" s="5"/>
      <c r="AD795" s="5"/>
      <c r="AE795" s="5"/>
    </row>
    <row r="796">
      <c r="A796" s="4" t="s">
        <v>1694</v>
      </c>
      <c r="B796" s="4"/>
      <c r="C796" s="4" t="s">
        <v>960</v>
      </c>
      <c r="D796" s="4">
        <v>49834.0</v>
      </c>
      <c r="E796" s="4"/>
      <c r="F796" s="4" t="s">
        <v>149</v>
      </c>
      <c r="G796" s="4">
        <v>99.0</v>
      </c>
      <c r="H796" s="4"/>
      <c r="I796" s="4">
        <v>99.0</v>
      </c>
      <c r="J796" s="4" t="s">
        <v>1695</v>
      </c>
      <c r="K796" s="4">
        <v>9.17000080952E11</v>
      </c>
      <c r="L796" s="4" t="s">
        <v>67</v>
      </c>
      <c r="M796" s="4" t="b">
        <v>0</v>
      </c>
      <c r="N796" s="4" t="s">
        <v>97</v>
      </c>
      <c r="O796" s="4" t="s">
        <v>69</v>
      </c>
      <c r="P796" s="6">
        <v>44308.389502314814</v>
      </c>
      <c r="Q796" s="4">
        <v>17118.0</v>
      </c>
      <c r="R796" s="4"/>
      <c r="S796" s="4"/>
      <c r="T796" s="4"/>
      <c r="U796" s="7"/>
      <c r="V796" s="4"/>
      <c r="W796" s="4"/>
      <c r="X796" s="4"/>
      <c r="Y796" s="4"/>
      <c r="Z796" s="4"/>
      <c r="AA796" s="5"/>
      <c r="AB796" s="5"/>
      <c r="AC796" s="5"/>
      <c r="AD796" s="5"/>
      <c r="AE796" s="5"/>
    </row>
    <row r="797">
      <c r="A797" s="4" t="s">
        <v>1696</v>
      </c>
      <c r="B797" s="4"/>
      <c r="C797" s="4" t="s">
        <v>184</v>
      </c>
      <c r="D797" s="4">
        <v>49833.0</v>
      </c>
      <c r="E797" s="4"/>
      <c r="F797" s="4" t="s">
        <v>149</v>
      </c>
      <c r="G797" s="4">
        <v>199.0</v>
      </c>
      <c r="H797" s="4"/>
      <c r="I797" s="4">
        <v>199.0</v>
      </c>
      <c r="J797" s="4" t="s">
        <v>1697</v>
      </c>
      <c r="K797" s="4">
        <v>9.17892423455E11</v>
      </c>
      <c r="L797" s="4" t="s">
        <v>67</v>
      </c>
      <c r="M797" s="4" t="b">
        <v>0</v>
      </c>
      <c r="N797" s="4" t="s">
        <v>68</v>
      </c>
      <c r="O797" s="4" t="s">
        <v>69</v>
      </c>
      <c r="P797" s="6">
        <v>44308.40783564815</v>
      </c>
      <c r="Q797" s="4" t="s">
        <v>83</v>
      </c>
      <c r="R797" s="4"/>
      <c r="S797" s="4"/>
      <c r="T797" s="4"/>
      <c r="U797" s="7"/>
      <c r="V797" s="4"/>
      <c r="W797" s="4"/>
      <c r="X797" s="4"/>
      <c r="Y797" s="4"/>
      <c r="Z797" s="4"/>
      <c r="AA797" s="5"/>
      <c r="AB797" s="5"/>
      <c r="AC797" s="5"/>
      <c r="AD797" s="5"/>
      <c r="AE797" s="5"/>
    </row>
    <row r="798">
      <c r="A798" s="4" t="s">
        <v>1698</v>
      </c>
      <c r="B798" s="4"/>
      <c r="C798" s="4" t="s">
        <v>791</v>
      </c>
      <c r="D798" s="4">
        <v>49948.0</v>
      </c>
      <c r="E798" s="4"/>
      <c r="F798" s="4" t="s">
        <v>149</v>
      </c>
      <c r="G798" s="4">
        <v>99.0</v>
      </c>
      <c r="H798" s="4"/>
      <c r="I798" s="4">
        <v>99.0</v>
      </c>
      <c r="J798" s="4" t="s">
        <v>1699</v>
      </c>
      <c r="K798" s="4">
        <v>9.19422350592E11</v>
      </c>
      <c r="L798" s="4" t="s">
        <v>67</v>
      </c>
      <c r="M798" s="4" t="b">
        <v>0</v>
      </c>
      <c r="N798" s="4" t="s">
        <v>68</v>
      </c>
      <c r="O798" s="4" t="s">
        <v>69</v>
      </c>
      <c r="P798" s="6">
        <v>44308.41984953704</v>
      </c>
      <c r="Q798" s="4">
        <v>17122.0</v>
      </c>
      <c r="R798" s="4"/>
      <c r="S798" s="4"/>
      <c r="T798" s="4"/>
      <c r="U798" s="7"/>
      <c r="V798" s="4"/>
      <c r="W798" s="4"/>
      <c r="X798" s="4"/>
      <c r="Y798" s="4"/>
      <c r="Z798" s="4"/>
      <c r="AA798" s="5"/>
      <c r="AB798" s="5"/>
      <c r="AC798" s="5"/>
      <c r="AD798" s="5"/>
      <c r="AE798" s="5"/>
    </row>
    <row r="799">
      <c r="A799" s="4" t="s">
        <v>1700</v>
      </c>
      <c r="B799" s="4"/>
      <c r="C799" s="4" t="s">
        <v>1476</v>
      </c>
      <c r="D799" s="4">
        <v>50009.0</v>
      </c>
      <c r="E799" s="4"/>
      <c r="F799" s="4" t="s">
        <v>149</v>
      </c>
      <c r="G799" s="4">
        <v>99.0</v>
      </c>
      <c r="H799" s="4"/>
      <c r="I799" s="4">
        <v>99.0</v>
      </c>
      <c r="J799" s="4" t="s">
        <v>1701</v>
      </c>
      <c r="K799" s="4">
        <v>9.19032882618E11</v>
      </c>
      <c r="L799" s="4" t="s">
        <v>67</v>
      </c>
      <c r="M799" s="4" t="b">
        <v>0</v>
      </c>
      <c r="N799" s="4" t="s">
        <v>97</v>
      </c>
      <c r="O799" s="4" t="s">
        <v>69</v>
      </c>
      <c r="P799" s="6">
        <v>44308.4575462963</v>
      </c>
      <c r="Q799" s="4" t="s">
        <v>83</v>
      </c>
      <c r="R799" s="4"/>
      <c r="S799" s="4"/>
      <c r="T799" s="4"/>
      <c r="U799" s="7"/>
      <c r="V799" s="4"/>
      <c r="W799" s="4"/>
      <c r="X799" s="4"/>
      <c r="Y799" s="4"/>
      <c r="Z799" s="4"/>
      <c r="AA799" s="5"/>
      <c r="AB799" s="5"/>
      <c r="AC799" s="5"/>
      <c r="AD799" s="5"/>
      <c r="AE799" s="5"/>
    </row>
    <row r="800">
      <c r="A800" s="4" t="s">
        <v>1702</v>
      </c>
      <c r="B800" s="4"/>
      <c r="C800" s="4" t="s">
        <v>1476</v>
      </c>
      <c r="D800" s="4">
        <v>50009.0</v>
      </c>
      <c r="E800" s="4"/>
      <c r="F800" s="4" t="s">
        <v>149</v>
      </c>
      <c r="G800" s="4">
        <v>99.0</v>
      </c>
      <c r="H800" s="4"/>
      <c r="I800" s="4">
        <v>99.0</v>
      </c>
      <c r="J800" s="4" t="s">
        <v>1703</v>
      </c>
      <c r="K800" s="4">
        <v>9.19828143243E11</v>
      </c>
      <c r="L800" s="4" t="s">
        <v>67</v>
      </c>
      <c r="M800" s="4" t="b">
        <v>0</v>
      </c>
      <c r="N800" s="4" t="s">
        <v>74</v>
      </c>
      <c r="O800" s="4" t="s">
        <v>69</v>
      </c>
      <c r="P800" s="6">
        <v>44308.46592592593</v>
      </c>
      <c r="Q800" s="4">
        <v>17123.0</v>
      </c>
      <c r="R800" s="4"/>
      <c r="S800" s="4"/>
      <c r="T800" s="4"/>
      <c r="U800" s="7"/>
      <c r="V800" s="4"/>
      <c r="W800" s="4"/>
      <c r="X800" s="4"/>
      <c r="Y800" s="4"/>
      <c r="Z800" s="4"/>
      <c r="AA800" s="5"/>
      <c r="AB800" s="5"/>
      <c r="AC800" s="5"/>
      <c r="AD800" s="5"/>
      <c r="AE800" s="5"/>
    </row>
    <row r="801">
      <c r="A801" s="4" t="s">
        <v>1704</v>
      </c>
      <c r="B801" s="4"/>
      <c r="C801" s="4" t="s">
        <v>1592</v>
      </c>
      <c r="D801" s="4">
        <v>49813.0</v>
      </c>
      <c r="E801" s="4"/>
      <c r="F801" s="4" t="s">
        <v>149</v>
      </c>
      <c r="G801" s="4">
        <v>149.0</v>
      </c>
      <c r="H801" s="4"/>
      <c r="I801" s="4">
        <v>149.0</v>
      </c>
      <c r="J801" s="4" t="s">
        <v>1705</v>
      </c>
      <c r="K801" s="4">
        <v>9.19920020911E11</v>
      </c>
      <c r="L801" s="4" t="s">
        <v>67</v>
      </c>
      <c r="M801" s="4" t="b">
        <v>0</v>
      </c>
      <c r="N801" s="4" t="s">
        <v>68</v>
      </c>
      <c r="O801" s="4" t="s">
        <v>69</v>
      </c>
      <c r="P801" s="6">
        <v>44302.59585648148</v>
      </c>
      <c r="Q801" s="4">
        <v>16920.0</v>
      </c>
      <c r="R801" s="4"/>
      <c r="S801" s="4"/>
      <c r="T801" s="4"/>
      <c r="U801" s="7"/>
      <c r="V801" s="4"/>
      <c r="W801" s="4"/>
      <c r="X801" s="4"/>
      <c r="Y801" s="4"/>
      <c r="Z801" s="4"/>
      <c r="AA801" s="5"/>
      <c r="AB801" s="5"/>
      <c r="AC801" s="5"/>
      <c r="AD801" s="5"/>
      <c r="AE801" s="5"/>
    </row>
    <row r="802">
      <c r="A802" s="4" t="s">
        <v>1706</v>
      </c>
      <c r="B802" s="4"/>
      <c r="C802" s="4" t="s">
        <v>1436</v>
      </c>
      <c r="D802" s="4">
        <v>50048.0</v>
      </c>
      <c r="E802" s="4"/>
      <c r="F802" s="4" t="s">
        <v>1437</v>
      </c>
      <c r="G802" s="4">
        <v>149.0</v>
      </c>
      <c r="H802" s="4"/>
      <c r="I802" s="4">
        <v>149.0</v>
      </c>
      <c r="J802" s="4" t="s">
        <v>1707</v>
      </c>
      <c r="K802" s="4">
        <v>9.18655080738E11</v>
      </c>
      <c r="L802" s="4" t="s">
        <v>67</v>
      </c>
      <c r="M802" s="4" t="b">
        <v>0</v>
      </c>
      <c r="N802" s="4" t="s">
        <v>68</v>
      </c>
      <c r="O802" s="4" t="s">
        <v>69</v>
      </c>
      <c r="P802" s="6">
        <v>44308.565046296295</v>
      </c>
      <c r="Q802" s="4">
        <v>17425.0</v>
      </c>
      <c r="R802" s="4"/>
      <c r="S802" s="4"/>
      <c r="T802" s="4"/>
      <c r="U802" s="7"/>
      <c r="V802" s="4"/>
      <c r="W802" s="4"/>
      <c r="X802" s="4"/>
      <c r="Y802" s="4"/>
      <c r="Z802" s="4"/>
      <c r="AA802" s="5"/>
      <c r="AB802" s="5"/>
      <c r="AC802" s="5"/>
      <c r="AD802" s="5"/>
      <c r="AE802" s="5"/>
    </row>
    <row r="803">
      <c r="A803" s="4" t="s">
        <v>1708</v>
      </c>
      <c r="B803" s="4"/>
      <c r="C803" s="4" t="s">
        <v>1592</v>
      </c>
      <c r="D803" s="4">
        <v>49813.0</v>
      </c>
      <c r="E803" s="4"/>
      <c r="F803" s="4" t="s">
        <v>85</v>
      </c>
      <c r="G803" s="4">
        <v>299.0</v>
      </c>
      <c r="H803" s="4"/>
      <c r="I803" s="4">
        <v>299.0</v>
      </c>
      <c r="J803" s="4" t="s">
        <v>1709</v>
      </c>
      <c r="K803" s="4">
        <v>9.1983315201E11</v>
      </c>
      <c r="L803" s="4" t="s">
        <v>67</v>
      </c>
      <c r="M803" s="4" t="b">
        <v>0</v>
      </c>
      <c r="N803" s="4" t="s">
        <v>97</v>
      </c>
      <c r="O803" s="4" t="s">
        <v>69</v>
      </c>
      <c r="P803" s="6">
        <v>44303.676666666666</v>
      </c>
      <c r="Q803" s="4">
        <v>17051.0</v>
      </c>
      <c r="R803" s="4"/>
      <c r="S803" s="4"/>
      <c r="T803" s="4"/>
      <c r="U803" s="7"/>
      <c r="V803" s="4"/>
      <c r="W803" s="4"/>
      <c r="X803" s="4"/>
      <c r="Y803" s="4"/>
      <c r="Z803" s="4"/>
      <c r="AA803" s="5"/>
      <c r="AB803" s="5"/>
      <c r="AC803" s="5"/>
      <c r="AD803" s="5"/>
      <c r="AE803" s="5"/>
    </row>
    <row r="804">
      <c r="A804" s="4" t="s">
        <v>1710</v>
      </c>
      <c r="B804" s="4"/>
      <c r="C804" s="4" t="s">
        <v>1320</v>
      </c>
      <c r="D804" s="4">
        <v>50036.0</v>
      </c>
      <c r="E804" s="4"/>
      <c r="F804" s="4" t="s">
        <v>77</v>
      </c>
      <c r="G804" s="4">
        <v>599.0</v>
      </c>
      <c r="H804" s="4"/>
      <c r="I804" s="4">
        <v>599.0</v>
      </c>
      <c r="J804" s="4" t="s">
        <v>1711</v>
      </c>
      <c r="K804" s="4">
        <v>9.17303444877E11</v>
      </c>
      <c r="L804" s="4" t="s">
        <v>67</v>
      </c>
      <c r="M804" s="4" t="b">
        <v>0</v>
      </c>
      <c r="N804" s="4" t="s">
        <v>97</v>
      </c>
      <c r="O804" s="4" t="s">
        <v>69</v>
      </c>
      <c r="P804" s="6">
        <v>44308.591412037036</v>
      </c>
      <c r="Q804" s="4">
        <v>17150.0</v>
      </c>
      <c r="R804" s="4"/>
      <c r="S804" s="4"/>
      <c r="T804" s="4"/>
      <c r="U804" s="8"/>
      <c r="V804" s="4"/>
      <c r="W804" s="4"/>
      <c r="X804" s="4"/>
      <c r="Y804" s="4"/>
      <c r="Z804" s="4"/>
      <c r="AA804" s="5"/>
      <c r="AB804" s="5"/>
      <c r="AC804" s="5"/>
      <c r="AD804" s="5"/>
      <c r="AE804" s="5"/>
    </row>
    <row r="805">
      <c r="A805" s="4" t="s">
        <v>1712</v>
      </c>
      <c r="B805" s="4"/>
      <c r="C805" s="4" t="s">
        <v>1436</v>
      </c>
      <c r="D805" s="4">
        <v>50048.0</v>
      </c>
      <c r="E805" s="4"/>
      <c r="F805" s="4" t="s">
        <v>1437</v>
      </c>
      <c r="G805" s="4">
        <v>149.0</v>
      </c>
      <c r="H805" s="4"/>
      <c r="I805" s="4">
        <v>149.0</v>
      </c>
      <c r="J805" s="4" t="s">
        <v>1713</v>
      </c>
      <c r="K805" s="4">
        <v>9.19970244333E11</v>
      </c>
      <c r="L805" s="4" t="s">
        <v>67</v>
      </c>
      <c r="M805" s="4" t="b">
        <v>0</v>
      </c>
      <c r="N805" s="4" t="s">
        <v>74</v>
      </c>
      <c r="O805" s="4" t="s">
        <v>69</v>
      </c>
      <c r="P805" s="6">
        <v>44308.5934375</v>
      </c>
      <c r="Q805" s="4" t="s">
        <v>83</v>
      </c>
      <c r="R805" s="4"/>
      <c r="S805" s="4"/>
      <c r="T805" s="4"/>
      <c r="U805" s="7"/>
      <c r="V805" s="4"/>
      <c r="W805" s="4"/>
      <c r="X805" s="4"/>
      <c r="Y805" s="4"/>
      <c r="Z805" s="4"/>
      <c r="AA805" s="5"/>
      <c r="AB805" s="5"/>
      <c r="AC805" s="5"/>
      <c r="AD805" s="5"/>
      <c r="AE805" s="5"/>
    </row>
    <row r="806">
      <c r="A806" s="4" t="s">
        <v>1714</v>
      </c>
      <c r="B806" s="4"/>
      <c r="C806" s="4" t="s">
        <v>1436</v>
      </c>
      <c r="D806" s="4">
        <v>50048.0</v>
      </c>
      <c r="E806" s="4"/>
      <c r="F806" s="4" t="s">
        <v>1437</v>
      </c>
      <c r="G806" s="4">
        <v>149.0</v>
      </c>
      <c r="H806" s="4"/>
      <c r="I806" s="4">
        <v>149.0</v>
      </c>
      <c r="J806" s="4" t="s">
        <v>1715</v>
      </c>
      <c r="K806" s="4">
        <v>9.17697772999E11</v>
      </c>
      <c r="L806" s="4" t="s">
        <v>67</v>
      </c>
      <c r="M806" s="4" t="b">
        <v>0</v>
      </c>
      <c r="N806" s="4" t="s">
        <v>74</v>
      </c>
      <c r="O806" s="4" t="s">
        <v>69</v>
      </c>
      <c r="P806" s="6">
        <v>44308.64925925926</v>
      </c>
      <c r="Q806" s="4">
        <v>17151.0</v>
      </c>
      <c r="R806" s="4"/>
      <c r="S806" s="4"/>
      <c r="T806" s="4"/>
      <c r="U806" s="7"/>
      <c r="V806" s="4"/>
      <c r="W806" s="4"/>
      <c r="X806" s="4"/>
      <c r="Y806" s="4"/>
      <c r="Z806" s="4"/>
      <c r="AA806" s="5"/>
      <c r="AB806" s="5"/>
      <c r="AC806" s="5"/>
      <c r="AD806" s="5"/>
      <c r="AE806" s="5"/>
    </row>
    <row r="807">
      <c r="A807" s="4" t="s">
        <v>1716</v>
      </c>
      <c r="B807" s="4"/>
      <c r="C807" s="4" t="s">
        <v>184</v>
      </c>
      <c r="D807" s="4">
        <v>49833.0</v>
      </c>
      <c r="E807" s="4"/>
      <c r="F807" s="4" t="s">
        <v>149</v>
      </c>
      <c r="G807" s="4">
        <v>199.0</v>
      </c>
      <c r="H807" s="4"/>
      <c r="I807" s="4">
        <v>199.0</v>
      </c>
      <c r="J807" s="4" t="s">
        <v>1717</v>
      </c>
      <c r="K807" s="4">
        <v>9.19676592917E11</v>
      </c>
      <c r="L807" s="4" t="s">
        <v>67</v>
      </c>
      <c r="M807" s="4" t="b">
        <v>0</v>
      </c>
      <c r="N807" s="4" t="s">
        <v>151</v>
      </c>
      <c r="O807" s="4" t="s">
        <v>69</v>
      </c>
      <c r="P807" s="6">
        <v>44308.67736111111</v>
      </c>
      <c r="Q807" s="4">
        <v>17134.0</v>
      </c>
      <c r="R807" s="4"/>
      <c r="S807" s="4"/>
      <c r="T807" s="4"/>
      <c r="U807" s="7"/>
      <c r="V807" s="4"/>
      <c r="W807" s="4"/>
      <c r="X807" s="4"/>
      <c r="Y807" s="4"/>
      <c r="Z807" s="4"/>
      <c r="AA807" s="5"/>
      <c r="AB807" s="5"/>
      <c r="AC807" s="5"/>
      <c r="AD807" s="5"/>
      <c r="AE807" s="5"/>
    </row>
    <row r="808">
      <c r="A808" s="4" t="s">
        <v>1718</v>
      </c>
      <c r="B808" s="4"/>
      <c r="C808" s="4" t="s">
        <v>1592</v>
      </c>
      <c r="D808" s="4">
        <v>49813.0</v>
      </c>
      <c r="E808" s="4"/>
      <c r="F808" s="4" t="s">
        <v>149</v>
      </c>
      <c r="G808" s="4">
        <v>149.0</v>
      </c>
      <c r="H808" s="4"/>
      <c r="I808" s="4">
        <v>149.0</v>
      </c>
      <c r="J808" s="4" t="s">
        <v>1719</v>
      </c>
      <c r="K808" s="4">
        <v>9.1968171234E11</v>
      </c>
      <c r="L808" s="4" t="s">
        <v>67</v>
      </c>
      <c r="M808" s="4" t="b">
        <v>0</v>
      </c>
      <c r="N808" s="4" t="s">
        <v>97</v>
      </c>
      <c r="O808" s="4" t="s">
        <v>69</v>
      </c>
      <c r="P808" s="6">
        <v>44304.06364583333</v>
      </c>
      <c r="Q808" s="4">
        <v>17155.0</v>
      </c>
      <c r="R808" s="4"/>
      <c r="S808" s="4"/>
      <c r="T808" s="4"/>
      <c r="U808" s="7"/>
      <c r="V808" s="4"/>
      <c r="W808" s="4"/>
      <c r="X808" s="4"/>
      <c r="Y808" s="4"/>
      <c r="Z808" s="4"/>
      <c r="AA808" s="5"/>
      <c r="AB808" s="5"/>
      <c r="AC808" s="5"/>
      <c r="AD808" s="5"/>
      <c r="AE808" s="5"/>
    </row>
    <row r="809">
      <c r="A809" s="4" t="s">
        <v>1720</v>
      </c>
      <c r="B809" s="4"/>
      <c r="C809" s="4" t="s">
        <v>184</v>
      </c>
      <c r="D809" s="4">
        <v>49833.0</v>
      </c>
      <c r="E809" s="4"/>
      <c r="F809" s="4" t="s">
        <v>149</v>
      </c>
      <c r="G809" s="4">
        <v>199.0</v>
      </c>
      <c r="H809" s="4"/>
      <c r="I809" s="4">
        <v>199.0</v>
      </c>
      <c r="J809" s="4" t="s">
        <v>1721</v>
      </c>
      <c r="K809" s="4">
        <v>9.1901037932E11</v>
      </c>
      <c r="L809" s="4" t="s">
        <v>67</v>
      </c>
      <c r="M809" s="4" t="b">
        <v>0</v>
      </c>
      <c r="N809" s="4" t="s">
        <v>68</v>
      </c>
      <c r="O809" s="4" t="s">
        <v>69</v>
      </c>
      <c r="P809" s="6">
        <v>44308.73894675926</v>
      </c>
      <c r="Q809" s="4">
        <v>17135.0</v>
      </c>
      <c r="R809" s="4"/>
      <c r="S809" s="4"/>
      <c r="T809" s="4"/>
      <c r="U809" s="7"/>
      <c r="V809" s="4"/>
      <c r="W809" s="4"/>
      <c r="X809" s="4"/>
      <c r="Y809" s="4"/>
      <c r="Z809" s="4"/>
      <c r="AA809" s="5"/>
      <c r="AB809" s="5"/>
      <c r="AC809" s="5"/>
      <c r="AD809" s="5"/>
      <c r="AE809" s="5"/>
    </row>
    <row r="810">
      <c r="A810" s="4" t="s">
        <v>1722</v>
      </c>
      <c r="B810" s="4"/>
      <c r="C810" s="4" t="s">
        <v>1059</v>
      </c>
      <c r="D810" s="4">
        <v>49997.0</v>
      </c>
      <c r="E810" s="4"/>
      <c r="F810" s="4" t="s">
        <v>149</v>
      </c>
      <c r="G810" s="4">
        <v>99.0</v>
      </c>
      <c r="H810" s="4"/>
      <c r="I810" s="4">
        <v>99.0</v>
      </c>
      <c r="J810" s="4" t="s">
        <v>1723</v>
      </c>
      <c r="K810" s="4">
        <v>9.16289013189E11</v>
      </c>
      <c r="L810" s="4" t="s">
        <v>67</v>
      </c>
      <c r="M810" s="4" t="b">
        <v>0</v>
      </c>
      <c r="N810" s="4" t="s">
        <v>74</v>
      </c>
      <c r="O810" s="4" t="s">
        <v>69</v>
      </c>
      <c r="P810" s="6">
        <v>44308.771145833336</v>
      </c>
      <c r="Q810" s="4">
        <v>17180.0</v>
      </c>
      <c r="R810" s="4"/>
      <c r="S810" s="4"/>
      <c r="T810" s="4"/>
      <c r="U810" s="7"/>
      <c r="V810" s="4"/>
      <c r="W810" s="4"/>
      <c r="X810" s="4"/>
      <c r="Y810" s="4"/>
      <c r="Z810" s="4"/>
      <c r="AA810" s="5"/>
      <c r="AB810" s="5"/>
      <c r="AC810" s="5"/>
      <c r="AD810" s="5"/>
      <c r="AE810" s="5"/>
    </row>
    <row r="811">
      <c r="A811" s="4" t="s">
        <v>1724</v>
      </c>
      <c r="B811" s="4"/>
      <c r="C811" s="4" t="s">
        <v>1104</v>
      </c>
      <c r="D811" s="4">
        <v>49993.0</v>
      </c>
      <c r="E811" s="4"/>
      <c r="F811" s="4" t="s">
        <v>149</v>
      </c>
      <c r="G811" s="4">
        <v>199.0</v>
      </c>
      <c r="H811" s="4"/>
      <c r="I811" s="4">
        <v>199.0</v>
      </c>
      <c r="J811" s="4" t="s">
        <v>1725</v>
      </c>
      <c r="K811" s="4">
        <v>9.18452844348E11</v>
      </c>
      <c r="L811" s="4" t="s">
        <v>67</v>
      </c>
      <c r="M811" s="4" t="b">
        <v>0</v>
      </c>
      <c r="N811" s="4" t="s">
        <v>74</v>
      </c>
      <c r="O811" s="4" t="s">
        <v>69</v>
      </c>
      <c r="P811" s="6">
        <v>44308.787465277775</v>
      </c>
      <c r="Q811" s="4" t="s">
        <v>83</v>
      </c>
      <c r="R811" s="4"/>
      <c r="S811" s="4"/>
      <c r="T811" s="4"/>
      <c r="U811" s="7"/>
      <c r="V811" s="4"/>
      <c r="W811" s="4"/>
      <c r="X811" s="4"/>
      <c r="Y811" s="4"/>
      <c r="Z811" s="4"/>
      <c r="AA811" s="5"/>
      <c r="AB811" s="5"/>
      <c r="AC811" s="5"/>
      <c r="AD811" s="5"/>
      <c r="AE811" s="5"/>
    </row>
    <row r="812">
      <c r="A812" s="4" t="s">
        <v>1726</v>
      </c>
      <c r="B812" s="4"/>
      <c r="C812" s="4" t="s">
        <v>1727</v>
      </c>
      <c r="D812" s="4">
        <v>50033.0</v>
      </c>
      <c r="E812" s="4"/>
      <c r="F812" s="4" t="s">
        <v>1442</v>
      </c>
      <c r="G812" s="4">
        <v>199.0</v>
      </c>
      <c r="H812" s="4"/>
      <c r="I812" s="4">
        <v>199.0</v>
      </c>
      <c r="J812" s="4" t="s">
        <v>1728</v>
      </c>
      <c r="K812" s="4">
        <v>9.179814479E11</v>
      </c>
      <c r="L812" s="4" t="s">
        <v>67</v>
      </c>
      <c r="M812" s="4" t="b">
        <v>0</v>
      </c>
      <c r="N812" s="4" t="s">
        <v>68</v>
      </c>
      <c r="O812" s="4" t="s">
        <v>69</v>
      </c>
      <c r="P812" s="6">
        <v>44308.805393518516</v>
      </c>
      <c r="Q812" s="4">
        <v>17188.0</v>
      </c>
      <c r="R812" s="4"/>
      <c r="S812" s="4"/>
      <c r="T812" s="4"/>
      <c r="U812" s="7"/>
      <c r="V812" s="4"/>
      <c r="W812" s="4"/>
      <c r="X812" s="4"/>
      <c r="Y812" s="4"/>
      <c r="Z812" s="4"/>
      <c r="AA812" s="5"/>
      <c r="AB812" s="5"/>
      <c r="AC812" s="5"/>
      <c r="AD812" s="5"/>
      <c r="AE812" s="5"/>
    </row>
    <row r="813">
      <c r="A813" s="4" t="s">
        <v>1729</v>
      </c>
      <c r="B813" s="4"/>
      <c r="C813" s="4" t="s">
        <v>1059</v>
      </c>
      <c r="D813" s="4">
        <v>49997.0</v>
      </c>
      <c r="E813" s="4"/>
      <c r="F813" s="4" t="s">
        <v>149</v>
      </c>
      <c r="G813" s="4">
        <v>99.0</v>
      </c>
      <c r="H813" s="4"/>
      <c r="I813" s="4">
        <v>99.0</v>
      </c>
      <c r="J813" s="4" t="s">
        <v>1730</v>
      </c>
      <c r="K813" s="4">
        <v>9.19997428605E11</v>
      </c>
      <c r="L813" s="4" t="s">
        <v>67</v>
      </c>
      <c r="M813" s="4" t="b">
        <v>0</v>
      </c>
      <c r="N813" s="4" t="s">
        <v>68</v>
      </c>
      <c r="O813" s="4" t="s">
        <v>69</v>
      </c>
      <c r="P813" s="6">
        <v>44308.81851851852</v>
      </c>
      <c r="Q813" s="4">
        <v>17241.0</v>
      </c>
      <c r="R813" s="4"/>
      <c r="S813" s="4"/>
      <c r="T813" s="4"/>
      <c r="U813" s="7"/>
      <c r="V813" s="4"/>
      <c r="W813" s="4"/>
      <c r="X813" s="4"/>
      <c r="Y813" s="4"/>
      <c r="Z813" s="4"/>
      <c r="AA813" s="5"/>
      <c r="AB813" s="5"/>
      <c r="AC813" s="5"/>
      <c r="AD813" s="5"/>
      <c r="AE813" s="5"/>
    </row>
    <row r="814">
      <c r="A814" s="4" t="s">
        <v>1731</v>
      </c>
      <c r="B814" s="4"/>
      <c r="C814" s="4" t="s">
        <v>1582</v>
      </c>
      <c r="D814" s="4">
        <v>50048.0</v>
      </c>
      <c r="E814" s="4"/>
      <c r="F814" s="4" t="s">
        <v>77</v>
      </c>
      <c r="G814" s="4">
        <v>599.0</v>
      </c>
      <c r="H814" s="4"/>
      <c r="I814" s="4">
        <v>599.0</v>
      </c>
      <c r="J814" s="4" t="s">
        <v>1732</v>
      </c>
      <c r="K814" s="4">
        <v>9.19820988059E11</v>
      </c>
      <c r="L814" s="4" t="s">
        <v>67</v>
      </c>
      <c r="M814" s="4" t="b">
        <v>0</v>
      </c>
      <c r="N814" s="4" t="s">
        <v>68</v>
      </c>
      <c r="O814" s="4" t="s">
        <v>69</v>
      </c>
      <c r="P814" s="6">
        <v>44308.828680555554</v>
      </c>
      <c r="Q814" s="4">
        <v>17172.0</v>
      </c>
      <c r="R814" s="4"/>
      <c r="S814" s="4"/>
      <c r="T814" s="4"/>
      <c r="U814" s="8"/>
      <c r="V814" s="4"/>
      <c r="W814" s="4"/>
      <c r="X814" s="4"/>
      <c r="Y814" s="4"/>
      <c r="Z814" s="4"/>
      <c r="AA814" s="5"/>
      <c r="AB814" s="5"/>
      <c r="AC814" s="5"/>
      <c r="AD814" s="5"/>
      <c r="AE814" s="5"/>
    </row>
    <row r="815">
      <c r="A815" s="4" t="s">
        <v>1733</v>
      </c>
      <c r="B815" s="4"/>
      <c r="C815" s="4" t="s">
        <v>1436</v>
      </c>
      <c r="D815" s="4">
        <v>50048.0</v>
      </c>
      <c r="E815" s="4"/>
      <c r="F815" s="4" t="s">
        <v>1442</v>
      </c>
      <c r="G815" s="4">
        <v>299.0</v>
      </c>
      <c r="H815" s="4"/>
      <c r="I815" s="4">
        <v>299.0</v>
      </c>
      <c r="J815" s="4" t="s">
        <v>1734</v>
      </c>
      <c r="K815" s="4">
        <v>9.18655796266E11</v>
      </c>
      <c r="L815" s="4" t="s">
        <v>67</v>
      </c>
      <c r="M815" s="4" t="b">
        <v>0</v>
      </c>
      <c r="N815" s="4" t="s">
        <v>68</v>
      </c>
      <c r="O815" s="4" t="s">
        <v>69</v>
      </c>
      <c r="P815" s="6">
        <v>44308.83524305555</v>
      </c>
      <c r="Q815" s="4" t="s">
        <v>83</v>
      </c>
      <c r="R815" s="4"/>
      <c r="S815" s="4"/>
      <c r="T815" s="4"/>
      <c r="U815" s="7"/>
      <c r="V815" s="4"/>
      <c r="W815" s="4"/>
      <c r="X815" s="4"/>
      <c r="Y815" s="4"/>
      <c r="Z815" s="4"/>
      <c r="AA815" s="5"/>
      <c r="AB815" s="5"/>
      <c r="AC815" s="5"/>
      <c r="AD815" s="5"/>
      <c r="AE815" s="5"/>
    </row>
    <row r="816">
      <c r="A816" s="4" t="s">
        <v>1735</v>
      </c>
      <c r="B816" s="4"/>
      <c r="C816" s="4" t="s">
        <v>1436</v>
      </c>
      <c r="D816" s="4">
        <v>50048.0</v>
      </c>
      <c r="E816" s="4"/>
      <c r="F816" s="4" t="s">
        <v>1437</v>
      </c>
      <c r="G816" s="4">
        <v>149.0</v>
      </c>
      <c r="H816" s="4"/>
      <c r="I816" s="4">
        <v>149.0</v>
      </c>
      <c r="J816" s="4" t="s">
        <v>1736</v>
      </c>
      <c r="K816" s="4">
        <v>9.18655848297E11</v>
      </c>
      <c r="L816" s="4" t="s">
        <v>67</v>
      </c>
      <c r="M816" s="4" t="b">
        <v>0</v>
      </c>
      <c r="N816" s="4" t="s">
        <v>97</v>
      </c>
      <c r="O816" s="4" t="s">
        <v>69</v>
      </c>
      <c r="P816" s="6">
        <v>44308.844513888886</v>
      </c>
      <c r="Q816" s="4">
        <v>17147.0</v>
      </c>
      <c r="R816" s="4"/>
      <c r="S816" s="4"/>
      <c r="T816" s="4"/>
      <c r="U816" s="7"/>
      <c r="V816" s="4"/>
      <c r="W816" s="4"/>
      <c r="X816" s="4"/>
      <c r="Y816" s="4"/>
      <c r="Z816" s="4"/>
      <c r="AA816" s="5"/>
      <c r="AB816" s="5"/>
      <c r="AC816" s="5"/>
      <c r="AD816" s="5"/>
      <c r="AE816" s="5"/>
    </row>
    <row r="817">
      <c r="A817" s="4" t="s">
        <v>1737</v>
      </c>
      <c r="B817" s="4"/>
      <c r="C817" s="4" t="s">
        <v>1592</v>
      </c>
      <c r="D817" s="4">
        <v>49813.0</v>
      </c>
      <c r="E817" s="4"/>
      <c r="F817" s="4" t="s">
        <v>85</v>
      </c>
      <c r="G817" s="4">
        <v>299.0</v>
      </c>
      <c r="H817" s="4"/>
      <c r="I817" s="4">
        <v>299.0</v>
      </c>
      <c r="J817" s="4" t="s">
        <v>1738</v>
      </c>
      <c r="K817" s="4">
        <v>9.18130990703E11</v>
      </c>
      <c r="L817" s="4" t="s">
        <v>67</v>
      </c>
      <c r="M817" s="4" t="b">
        <v>0</v>
      </c>
      <c r="N817" s="4" t="s">
        <v>68</v>
      </c>
      <c r="O817" s="4" t="s">
        <v>69</v>
      </c>
      <c r="P817" s="6">
        <v>44304.574212962965</v>
      </c>
      <c r="Q817" s="4">
        <v>17203.0</v>
      </c>
      <c r="R817" s="4"/>
      <c r="S817" s="4"/>
      <c r="T817" s="4"/>
      <c r="U817" s="7"/>
      <c r="V817" s="4"/>
      <c r="W817" s="4"/>
      <c r="X817" s="4"/>
      <c r="Y817" s="4"/>
      <c r="Z817" s="4"/>
      <c r="AA817" s="5"/>
      <c r="AB817" s="5"/>
      <c r="AC817" s="5"/>
      <c r="AD817" s="5"/>
      <c r="AE817" s="5"/>
    </row>
    <row r="818">
      <c r="A818" s="4" t="s">
        <v>1739</v>
      </c>
      <c r="B818" s="4"/>
      <c r="C818" s="4" t="s">
        <v>885</v>
      </c>
      <c r="D818" s="4">
        <v>49844.0</v>
      </c>
      <c r="E818" s="4"/>
      <c r="F818" s="4" t="s">
        <v>85</v>
      </c>
      <c r="G818" s="4">
        <v>199.0</v>
      </c>
      <c r="H818" s="4"/>
      <c r="I818" s="4">
        <v>199.0</v>
      </c>
      <c r="J818" s="4" t="s">
        <v>1740</v>
      </c>
      <c r="K818" s="4">
        <v>9.19790044031E11</v>
      </c>
      <c r="L818" s="4" t="s">
        <v>67</v>
      </c>
      <c r="M818" s="4" t="b">
        <v>0</v>
      </c>
      <c r="N818" s="4" t="s">
        <v>74</v>
      </c>
      <c r="O818" s="4" t="s">
        <v>69</v>
      </c>
      <c r="P818" s="6">
        <v>44308.869409722225</v>
      </c>
      <c r="Q818" s="4">
        <v>17173.0</v>
      </c>
      <c r="R818" s="4"/>
      <c r="S818" s="4"/>
      <c r="T818" s="4"/>
      <c r="U818" s="7"/>
      <c r="V818" s="4"/>
      <c r="W818" s="4"/>
      <c r="X818" s="4"/>
      <c r="Y818" s="4"/>
      <c r="Z818" s="4"/>
      <c r="AA818" s="5"/>
      <c r="AB818" s="5"/>
      <c r="AC818" s="5"/>
      <c r="AD818" s="5"/>
      <c r="AE818" s="5"/>
    </row>
    <row r="819">
      <c r="A819" s="4" t="s">
        <v>1741</v>
      </c>
      <c r="B819" s="4"/>
      <c r="C819" s="4" t="s">
        <v>1436</v>
      </c>
      <c r="D819" s="4">
        <v>50048.0</v>
      </c>
      <c r="E819" s="4"/>
      <c r="F819" s="4" t="s">
        <v>1437</v>
      </c>
      <c r="G819" s="4">
        <v>149.0</v>
      </c>
      <c r="H819" s="4"/>
      <c r="I819" s="4">
        <v>149.0</v>
      </c>
      <c r="J819" s="4" t="s">
        <v>1742</v>
      </c>
      <c r="K819" s="4">
        <v>9.1773879026E11</v>
      </c>
      <c r="L819" s="4" t="s">
        <v>67</v>
      </c>
      <c r="M819" s="4" t="b">
        <v>0</v>
      </c>
      <c r="N819" s="4" t="s">
        <v>151</v>
      </c>
      <c r="O819" s="4" t="s">
        <v>69</v>
      </c>
      <c r="P819" s="6">
        <v>44308.94111111111</v>
      </c>
      <c r="Q819" s="4">
        <v>17166.0</v>
      </c>
      <c r="R819" s="4"/>
      <c r="S819" s="4"/>
      <c r="T819" s="4"/>
      <c r="U819" s="7"/>
      <c r="V819" s="4"/>
      <c r="W819" s="4"/>
      <c r="X819" s="4"/>
      <c r="Y819" s="4"/>
      <c r="Z819" s="4"/>
      <c r="AA819" s="5"/>
      <c r="AB819" s="5"/>
      <c r="AC819" s="5"/>
      <c r="AD819" s="5"/>
      <c r="AE819" s="5"/>
    </row>
    <row r="820">
      <c r="A820" s="4" t="s">
        <v>1743</v>
      </c>
      <c r="B820" s="4"/>
      <c r="C820" s="4" t="s">
        <v>1727</v>
      </c>
      <c r="D820" s="4">
        <v>50033.0</v>
      </c>
      <c r="E820" s="4"/>
      <c r="F820" s="4" t="s">
        <v>1437</v>
      </c>
      <c r="G820" s="4">
        <v>99.0</v>
      </c>
      <c r="H820" s="4"/>
      <c r="I820" s="4">
        <v>99.0</v>
      </c>
      <c r="J820" s="4" t="s">
        <v>1744</v>
      </c>
      <c r="K820" s="4">
        <v>9.19952262937E11</v>
      </c>
      <c r="L820" s="4" t="s">
        <v>67</v>
      </c>
      <c r="M820" s="4" t="b">
        <v>0</v>
      </c>
      <c r="N820" s="4" t="s">
        <v>74</v>
      </c>
      <c r="O820" s="4" t="s">
        <v>69</v>
      </c>
      <c r="P820" s="6">
        <v>44308.965682870374</v>
      </c>
      <c r="Q820" s="4">
        <v>17179.0</v>
      </c>
      <c r="R820" s="4"/>
      <c r="S820" s="4"/>
      <c r="T820" s="4"/>
      <c r="U820" s="7"/>
      <c r="V820" s="4"/>
      <c r="W820" s="4"/>
      <c r="X820" s="4"/>
      <c r="Y820" s="4"/>
      <c r="Z820" s="4"/>
      <c r="AA820" s="5"/>
      <c r="AB820" s="5"/>
      <c r="AC820" s="5"/>
      <c r="AD820" s="5"/>
      <c r="AE820" s="5"/>
    </row>
    <row r="821">
      <c r="A821" s="4" t="s">
        <v>1745</v>
      </c>
      <c r="B821" s="4"/>
      <c r="C821" s="4" t="s">
        <v>76</v>
      </c>
      <c r="D821" s="4">
        <v>49834.0</v>
      </c>
      <c r="E821" s="4"/>
      <c r="F821" s="4" t="s">
        <v>85</v>
      </c>
      <c r="G821" s="4">
        <v>199.0</v>
      </c>
      <c r="H821" s="4"/>
      <c r="I821" s="4">
        <v>199.0</v>
      </c>
      <c r="J821" s="4" t="s">
        <v>1746</v>
      </c>
      <c r="K821" s="4">
        <v>9.19209952589E11</v>
      </c>
      <c r="L821" s="4" t="s">
        <v>67</v>
      </c>
      <c r="M821" s="4" t="b">
        <v>0</v>
      </c>
      <c r="N821" s="4" t="s">
        <v>151</v>
      </c>
      <c r="O821" s="4" t="s">
        <v>69</v>
      </c>
      <c r="P821" s="6">
        <v>44309.024375</v>
      </c>
      <c r="Q821" s="4">
        <v>17229.0</v>
      </c>
      <c r="R821" s="4"/>
      <c r="S821" s="4"/>
      <c r="T821" s="4"/>
      <c r="U821" s="7"/>
      <c r="V821" s="4"/>
      <c r="W821" s="4"/>
      <c r="X821" s="4"/>
      <c r="Y821" s="4"/>
      <c r="Z821" s="4"/>
      <c r="AA821" s="5"/>
      <c r="AB821" s="5"/>
      <c r="AC821" s="5"/>
      <c r="AD821" s="5"/>
      <c r="AE821" s="5"/>
    </row>
    <row r="822">
      <c r="A822" s="4" t="s">
        <v>1747</v>
      </c>
      <c r="B822" s="4"/>
      <c r="C822" s="4" t="s">
        <v>76</v>
      </c>
      <c r="D822" s="4">
        <v>49834.0</v>
      </c>
      <c r="E822" s="4"/>
      <c r="F822" s="4" t="s">
        <v>77</v>
      </c>
      <c r="G822" s="4">
        <v>349.0</v>
      </c>
      <c r="H822" s="4"/>
      <c r="I822" s="4">
        <v>349.0</v>
      </c>
      <c r="J822" s="4" t="s">
        <v>1748</v>
      </c>
      <c r="K822" s="4">
        <v>9.18074878937E11</v>
      </c>
      <c r="L822" s="4" t="s">
        <v>67</v>
      </c>
      <c r="M822" s="4" t="b">
        <v>0</v>
      </c>
      <c r="N822" s="4" t="s">
        <v>74</v>
      </c>
      <c r="O822" s="4" t="s">
        <v>69</v>
      </c>
      <c r="P822" s="6">
        <v>44309.10015046296</v>
      </c>
      <c r="Q822" s="4">
        <v>17152.0</v>
      </c>
      <c r="R822" s="4"/>
      <c r="S822" s="4"/>
      <c r="T822" s="4"/>
      <c r="U822" s="8"/>
      <c r="V822" s="4"/>
      <c r="W822" s="4"/>
      <c r="X822" s="4"/>
      <c r="Y822" s="4"/>
      <c r="Z822" s="4"/>
      <c r="AA822" s="5"/>
      <c r="AB822" s="5"/>
      <c r="AC822" s="5"/>
      <c r="AD822" s="5"/>
      <c r="AE822" s="5"/>
    </row>
    <row r="823">
      <c r="A823" s="4" t="s">
        <v>1749</v>
      </c>
      <c r="B823" s="4"/>
      <c r="C823" s="4" t="s">
        <v>1436</v>
      </c>
      <c r="D823" s="4">
        <v>50048.0</v>
      </c>
      <c r="E823" s="4"/>
      <c r="F823" s="4" t="s">
        <v>1437</v>
      </c>
      <c r="G823" s="4">
        <v>149.0</v>
      </c>
      <c r="H823" s="4"/>
      <c r="I823" s="4">
        <v>149.0</v>
      </c>
      <c r="J823" s="4" t="s">
        <v>1750</v>
      </c>
      <c r="K823" s="4">
        <v>9.19820162865E11</v>
      </c>
      <c r="L823" s="4" t="s">
        <v>67</v>
      </c>
      <c r="M823" s="4" t="b">
        <v>0</v>
      </c>
      <c r="N823" s="4" t="s">
        <v>68</v>
      </c>
      <c r="O823" s="4" t="s">
        <v>69</v>
      </c>
      <c r="P823" s="6">
        <v>44309.33537037037</v>
      </c>
      <c r="Q823" s="4">
        <v>17163.0</v>
      </c>
      <c r="R823" s="4"/>
      <c r="S823" s="4"/>
      <c r="T823" s="4"/>
      <c r="U823" s="7"/>
      <c r="V823" s="4"/>
      <c r="W823" s="4"/>
      <c r="X823" s="4"/>
      <c r="Y823" s="4"/>
      <c r="Z823" s="4"/>
      <c r="AA823" s="5"/>
      <c r="AB823" s="5"/>
      <c r="AC823" s="5"/>
      <c r="AD823" s="5"/>
      <c r="AE823" s="5"/>
    </row>
    <row r="824">
      <c r="A824" s="4" t="s">
        <v>1751</v>
      </c>
      <c r="B824" s="4"/>
      <c r="C824" s="4" t="s">
        <v>1592</v>
      </c>
      <c r="D824" s="4">
        <v>49813.0</v>
      </c>
      <c r="E824" s="4"/>
      <c r="F824" s="4" t="s">
        <v>85</v>
      </c>
      <c r="G824" s="4">
        <v>299.0</v>
      </c>
      <c r="H824" s="4"/>
      <c r="I824" s="4">
        <v>299.0</v>
      </c>
      <c r="J824" s="4" t="s">
        <v>1752</v>
      </c>
      <c r="K824" s="4">
        <v>9.19867016953E11</v>
      </c>
      <c r="L824" s="4" t="s">
        <v>67</v>
      </c>
      <c r="M824" s="4" t="b">
        <v>0</v>
      </c>
      <c r="N824" s="4" t="s">
        <v>68</v>
      </c>
      <c r="O824" s="4" t="s">
        <v>69</v>
      </c>
      <c r="P824" s="6">
        <v>44304.85461805556</v>
      </c>
      <c r="Q824" s="4">
        <v>16993.0</v>
      </c>
      <c r="R824" s="4"/>
      <c r="S824" s="4"/>
      <c r="T824" s="4"/>
      <c r="U824" s="7"/>
      <c r="V824" s="4"/>
      <c r="W824" s="4"/>
      <c r="X824" s="4"/>
      <c r="Y824" s="4"/>
      <c r="Z824" s="4"/>
      <c r="AA824" s="5"/>
      <c r="AB824" s="5"/>
      <c r="AC824" s="5"/>
      <c r="AD824" s="5"/>
      <c r="AE824" s="5"/>
    </row>
    <row r="825">
      <c r="A825" s="4" t="s">
        <v>1753</v>
      </c>
      <c r="B825" s="4"/>
      <c r="C825" s="4" t="s">
        <v>184</v>
      </c>
      <c r="D825" s="4">
        <v>49833.0</v>
      </c>
      <c r="E825" s="4"/>
      <c r="F825" s="4" t="s">
        <v>149</v>
      </c>
      <c r="G825" s="4">
        <v>199.0</v>
      </c>
      <c r="H825" s="4"/>
      <c r="I825" s="4">
        <v>199.0</v>
      </c>
      <c r="J825" s="4" t="s">
        <v>1754</v>
      </c>
      <c r="K825" s="4">
        <v>9.18879569863E11</v>
      </c>
      <c r="L825" s="4" t="s">
        <v>67</v>
      </c>
      <c r="M825" s="4" t="b">
        <v>0</v>
      </c>
      <c r="N825" s="4" t="s">
        <v>74</v>
      </c>
      <c r="O825" s="4" t="s">
        <v>69</v>
      </c>
      <c r="P825" s="6">
        <v>44309.41916666667</v>
      </c>
      <c r="Q825" s="4">
        <v>17157.0</v>
      </c>
      <c r="R825" s="4"/>
      <c r="S825" s="4"/>
      <c r="T825" s="4"/>
      <c r="U825" s="7"/>
      <c r="V825" s="4"/>
      <c r="W825" s="4"/>
      <c r="X825" s="4"/>
      <c r="Y825" s="4"/>
      <c r="Z825" s="4"/>
      <c r="AA825" s="5"/>
      <c r="AB825" s="5"/>
      <c r="AC825" s="5"/>
      <c r="AD825" s="5"/>
      <c r="AE825" s="5"/>
    </row>
    <row r="826">
      <c r="A826" s="4" t="s">
        <v>1755</v>
      </c>
      <c r="B826" s="4"/>
      <c r="C826" s="4" t="s">
        <v>184</v>
      </c>
      <c r="D826" s="4">
        <v>49833.0</v>
      </c>
      <c r="E826" s="4"/>
      <c r="F826" s="4" t="s">
        <v>77</v>
      </c>
      <c r="G826" s="4">
        <v>499.0</v>
      </c>
      <c r="H826" s="4"/>
      <c r="I826" s="4">
        <v>499.0</v>
      </c>
      <c r="J826" s="4" t="s">
        <v>1756</v>
      </c>
      <c r="K826" s="4">
        <v>9.18104959619E11</v>
      </c>
      <c r="L826" s="4" t="s">
        <v>67</v>
      </c>
      <c r="M826" s="4" t="b">
        <v>0</v>
      </c>
      <c r="N826" s="4" t="s">
        <v>74</v>
      </c>
      <c r="O826" s="4" t="s">
        <v>69</v>
      </c>
      <c r="P826" s="6">
        <v>44309.42675925926</v>
      </c>
      <c r="Q826" s="4">
        <v>17160.0</v>
      </c>
      <c r="R826" s="4"/>
      <c r="S826" s="4"/>
      <c r="T826" s="4"/>
      <c r="U826" s="8"/>
      <c r="V826" s="4"/>
      <c r="W826" s="4"/>
      <c r="X826" s="4"/>
      <c r="Y826" s="4"/>
      <c r="Z826" s="4"/>
      <c r="AA826" s="5"/>
      <c r="AB826" s="5"/>
      <c r="AC826" s="5"/>
      <c r="AD826" s="5"/>
      <c r="AE826" s="5"/>
    </row>
    <row r="827">
      <c r="A827" s="4" t="s">
        <v>1757</v>
      </c>
      <c r="B827" s="4"/>
      <c r="C827" s="4" t="s">
        <v>1059</v>
      </c>
      <c r="D827" s="4">
        <v>49997.0</v>
      </c>
      <c r="E827" s="4"/>
      <c r="F827" s="4" t="s">
        <v>149</v>
      </c>
      <c r="G827" s="4">
        <v>99.0</v>
      </c>
      <c r="H827" s="4"/>
      <c r="I827" s="4">
        <v>99.0</v>
      </c>
      <c r="J827" s="4" t="s">
        <v>1758</v>
      </c>
      <c r="K827" s="4">
        <v>9.19967826565E11</v>
      </c>
      <c r="L827" s="4" t="s">
        <v>67</v>
      </c>
      <c r="M827" s="4" t="b">
        <v>0</v>
      </c>
      <c r="N827" s="4" t="s">
        <v>68</v>
      </c>
      <c r="O827" s="4" t="s">
        <v>69</v>
      </c>
      <c r="P827" s="6">
        <v>44309.43916666666</v>
      </c>
      <c r="Q827" s="4">
        <v>17177.0</v>
      </c>
      <c r="R827" s="4"/>
      <c r="S827" s="4"/>
      <c r="T827" s="4"/>
      <c r="U827" s="7"/>
      <c r="V827" s="4"/>
      <c r="W827" s="4"/>
      <c r="X827" s="4"/>
      <c r="Y827" s="4"/>
      <c r="Z827" s="4"/>
      <c r="AA827" s="5"/>
      <c r="AB827" s="5"/>
      <c r="AC827" s="5"/>
      <c r="AD827" s="5"/>
      <c r="AE827" s="5"/>
    </row>
    <row r="828">
      <c r="A828" s="4" t="s">
        <v>1759</v>
      </c>
      <c r="B828" s="4"/>
      <c r="C828" s="4" t="s">
        <v>1592</v>
      </c>
      <c r="D828" s="4">
        <v>49813.0</v>
      </c>
      <c r="E828" s="4"/>
      <c r="F828" s="4" t="s">
        <v>149</v>
      </c>
      <c r="G828" s="4">
        <v>149.0</v>
      </c>
      <c r="H828" s="4"/>
      <c r="I828" s="4">
        <v>149.0</v>
      </c>
      <c r="J828" s="4" t="s">
        <v>1760</v>
      </c>
      <c r="K828" s="4">
        <v>9.19619828227E11</v>
      </c>
      <c r="L828" s="4" t="s">
        <v>67</v>
      </c>
      <c r="M828" s="4" t="b">
        <v>0</v>
      </c>
      <c r="N828" s="4" t="s">
        <v>97</v>
      </c>
      <c r="O828" s="4" t="s">
        <v>69</v>
      </c>
      <c r="P828" s="6">
        <v>44304.94917824074</v>
      </c>
      <c r="Q828" s="4">
        <v>16991.0</v>
      </c>
      <c r="R828" s="4"/>
      <c r="S828" s="4"/>
      <c r="T828" s="4"/>
      <c r="U828" s="7"/>
      <c r="V828" s="4"/>
      <c r="W828" s="4"/>
      <c r="X828" s="4"/>
      <c r="Y828" s="4"/>
      <c r="Z828" s="4"/>
      <c r="AA828" s="5"/>
      <c r="AB828" s="5"/>
      <c r="AC828" s="5"/>
      <c r="AD828" s="5"/>
      <c r="AE828" s="5"/>
    </row>
    <row r="829">
      <c r="A829" s="4" t="s">
        <v>1761</v>
      </c>
      <c r="B829" s="4"/>
      <c r="C829" s="4" t="s">
        <v>1592</v>
      </c>
      <c r="D829" s="4">
        <v>49813.0</v>
      </c>
      <c r="E829" s="4"/>
      <c r="F829" s="4" t="s">
        <v>85</v>
      </c>
      <c r="G829" s="4">
        <v>299.0</v>
      </c>
      <c r="H829" s="4"/>
      <c r="I829" s="4">
        <v>299.0</v>
      </c>
      <c r="J829" s="4" t="s">
        <v>1762</v>
      </c>
      <c r="K829" s="4">
        <v>9.19717076654E11</v>
      </c>
      <c r="L829" s="4" t="s">
        <v>67</v>
      </c>
      <c r="M829" s="4" t="b">
        <v>0</v>
      </c>
      <c r="N829" s="4" t="s">
        <v>151</v>
      </c>
      <c r="O829" s="4" t="s">
        <v>69</v>
      </c>
      <c r="P829" s="6">
        <v>44305.74673611111</v>
      </c>
      <c r="Q829" s="4">
        <v>17142.0</v>
      </c>
      <c r="R829" s="4"/>
      <c r="S829" s="4"/>
      <c r="T829" s="4"/>
      <c r="U829" s="7"/>
      <c r="V829" s="4"/>
      <c r="W829" s="4"/>
      <c r="X829" s="4"/>
      <c r="Y829" s="4"/>
      <c r="Z829" s="4"/>
      <c r="AA829" s="5"/>
      <c r="AB829" s="5"/>
      <c r="AC829" s="5"/>
      <c r="AD829" s="5"/>
      <c r="AE829" s="5"/>
    </row>
    <row r="830">
      <c r="A830" s="4" t="s">
        <v>1763</v>
      </c>
      <c r="B830" s="4"/>
      <c r="C830" s="4" t="s">
        <v>184</v>
      </c>
      <c r="D830" s="4">
        <v>49833.0</v>
      </c>
      <c r="E830" s="4"/>
      <c r="F830" s="4" t="s">
        <v>85</v>
      </c>
      <c r="G830" s="4">
        <v>299.0</v>
      </c>
      <c r="H830" s="4"/>
      <c r="I830" s="4">
        <v>299.0</v>
      </c>
      <c r="J830" s="4" t="s">
        <v>1764</v>
      </c>
      <c r="K830" s="4">
        <v>9.18118867422E11</v>
      </c>
      <c r="L830" s="4" t="s">
        <v>67</v>
      </c>
      <c r="M830" s="4" t="b">
        <v>0</v>
      </c>
      <c r="N830" s="4" t="s">
        <v>74</v>
      </c>
      <c r="O830" s="4" t="s">
        <v>69</v>
      </c>
      <c r="P830" s="6">
        <v>44309.488958333335</v>
      </c>
      <c r="Q830" s="4">
        <v>17170.0</v>
      </c>
      <c r="R830" s="4"/>
      <c r="S830" s="4"/>
      <c r="T830" s="4"/>
      <c r="U830" s="7"/>
      <c r="V830" s="4"/>
      <c r="W830" s="4"/>
      <c r="X830" s="4"/>
      <c r="Y830" s="4"/>
      <c r="Z830" s="4"/>
      <c r="AA830" s="5"/>
      <c r="AB830" s="5"/>
      <c r="AC830" s="5"/>
      <c r="AD830" s="5"/>
      <c r="AE830" s="5"/>
    </row>
    <row r="831">
      <c r="A831" s="4" t="s">
        <v>1765</v>
      </c>
      <c r="B831" s="4"/>
      <c r="C831" s="4" t="s">
        <v>960</v>
      </c>
      <c r="D831" s="4">
        <v>49834.0</v>
      </c>
      <c r="E831" s="4"/>
      <c r="F831" s="4" t="s">
        <v>149</v>
      </c>
      <c r="G831" s="4">
        <v>99.0</v>
      </c>
      <c r="H831" s="4"/>
      <c r="I831" s="4">
        <v>99.0</v>
      </c>
      <c r="J831" s="4" t="s">
        <v>1766</v>
      </c>
      <c r="K831" s="4">
        <v>9.19804001369E11</v>
      </c>
      <c r="L831" s="4" t="s">
        <v>67</v>
      </c>
      <c r="M831" s="4" t="b">
        <v>0</v>
      </c>
      <c r="N831" s="4" t="s">
        <v>68</v>
      </c>
      <c r="O831" s="4" t="s">
        <v>69</v>
      </c>
      <c r="P831" s="6">
        <v>44309.49351851852</v>
      </c>
      <c r="Q831" s="4">
        <v>17171.0</v>
      </c>
      <c r="R831" s="4"/>
      <c r="S831" s="4"/>
      <c r="T831" s="4"/>
      <c r="U831" s="7"/>
      <c r="V831" s="4"/>
      <c r="W831" s="4"/>
      <c r="X831" s="4"/>
      <c r="Y831" s="4"/>
      <c r="Z831" s="4"/>
      <c r="AA831" s="5"/>
      <c r="AB831" s="5"/>
      <c r="AC831" s="5"/>
      <c r="AD831" s="5"/>
      <c r="AE831" s="5"/>
    </row>
    <row r="832">
      <c r="A832" s="4" t="s">
        <v>1767</v>
      </c>
      <c r="B832" s="4"/>
      <c r="C832" s="4" t="s">
        <v>1320</v>
      </c>
      <c r="D832" s="4">
        <v>50036.0</v>
      </c>
      <c r="E832" s="4"/>
      <c r="F832" s="4" t="s">
        <v>85</v>
      </c>
      <c r="G832" s="4">
        <v>299.0</v>
      </c>
      <c r="H832" s="4"/>
      <c r="I832" s="4">
        <v>299.0</v>
      </c>
      <c r="J832" s="4" t="s">
        <v>1768</v>
      </c>
      <c r="K832" s="4">
        <v>9.17738435E11</v>
      </c>
      <c r="L832" s="4" t="s">
        <v>67</v>
      </c>
      <c r="M832" s="4" t="b">
        <v>0</v>
      </c>
      <c r="N832" s="4" t="s">
        <v>68</v>
      </c>
      <c r="O832" s="4" t="s">
        <v>69</v>
      </c>
      <c r="P832" s="6">
        <v>44309.53472222222</v>
      </c>
      <c r="Q832" s="4">
        <v>17195.0</v>
      </c>
      <c r="R832" s="4"/>
      <c r="S832" s="4"/>
      <c r="T832" s="4"/>
      <c r="U832" s="7"/>
      <c r="V832" s="4"/>
      <c r="W832" s="4"/>
      <c r="X832" s="4"/>
      <c r="Y832" s="4"/>
      <c r="Z832" s="4"/>
      <c r="AA832" s="5"/>
      <c r="AB832" s="5"/>
      <c r="AC832" s="5"/>
      <c r="AD832" s="5"/>
      <c r="AE832" s="5"/>
    </row>
    <row r="833">
      <c r="A833" s="4" t="s">
        <v>1769</v>
      </c>
      <c r="B833" s="4"/>
      <c r="C833" s="4" t="s">
        <v>1592</v>
      </c>
      <c r="D833" s="4">
        <v>49813.0</v>
      </c>
      <c r="E833" s="4"/>
      <c r="F833" s="4" t="s">
        <v>77</v>
      </c>
      <c r="G833" s="4">
        <v>499.0</v>
      </c>
      <c r="H833" s="4"/>
      <c r="I833" s="4">
        <v>499.0</v>
      </c>
      <c r="J833" s="4" t="s">
        <v>1770</v>
      </c>
      <c r="K833" s="4">
        <v>9.19819748033E11</v>
      </c>
      <c r="L833" s="4" t="s">
        <v>67</v>
      </c>
      <c r="M833" s="4" t="b">
        <v>0</v>
      </c>
      <c r="N833" s="4" t="s">
        <v>74</v>
      </c>
      <c r="O833" s="4" t="s">
        <v>69</v>
      </c>
      <c r="P833" s="6">
        <v>44305.78034722222</v>
      </c>
      <c r="Q833" s="4" t="s">
        <v>83</v>
      </c>
      <c r="R833" s="4"/>
      <c r="S833" s="4"/>
      <c r="T833" s="4"/>
      <c r="U833" s="8"/>
      <c r="V833" s="4"/>
      <c r="W833" s="4"/>
      <c r="X833" s="4"/>
      <c r="Y833" s="4"/>
      <c r="Z833" s="4"/>
      <c r="AA833" s="5"/>
      <c r="AB833" s="5"/>
      <c r="AC833" s="5"/>
      <c r="AD833" s="5"/>
      <c r="AE833" s="5"/>
    </row>
    <row r="834">
      <c r="A834" s="4" t="s">
        <v>1771</v>
      </c>
      <c r="B834" s="4"/>
      <c r="C834" s="4" t="s">
        <v>1104</v>
      </c>
      <c r="D834" s="4">
        <v>49993.0</v>
      </c>
      <c r="E834" s="4"/>
      <c r="F834" s="4" t="s">
        <v>149</v>
      </c>
      <c r="G834" s="4">
        <v>199.0</v>
      </c>
      <c r="H834" s="4"/>
      <c r="I834" s="4">
        <v>199.0</v>
      </c>
      <c r="J834" s="4" t="s">
        <v>1772</v>
      </c>
      <c r="K834" s="4">
        <v>9.19999036398E11</v>
      </c>
      <c r="L834" s="4" t="s">
        <v>67</v>
      </c>
      <c r="M834" s="4" t="b">
        <v>0</v>
      </c>
      <c r="N834" s="4" t="s">
        <v>68</v>
      </c>
      <c r="O834" s="4" t="s">
        <v>69</v>
      </c>
      <c r="P834" s="6">
        <v>44309.55030092593</v>
      </c>
      <c r="Q834" s="4">
        <v>17230.0</v>
      </c>
      <c r="R834" s="4"/>
      <c r="S834" s="4"/>
      <c r="T834" s="4"/>
      <c r="U834" s="7"/>
      <c r="V834" s="4"/>
      <c r="W834" s="4"/>
      <c r="X834" s="4"/>
      <c r="Y834" s="4"/>
      <c r="Z834" s="4"/>
      <c r="AA834" s="5"/>
      <c r="AB834" s="5"/>
      <c r="AC834" s="5"/>
      <c r="AD834" s="5"/>
      <c r="AE834" s="5"/>
    </row>
    <row r="835">
      <c r="A835" s="4" t="s">
        <v>1773</v>
      </c>
      <c r="B835" s="4"/>
      <c r="C835" s="4" t="s">
        <v>1539</v>
      </c>
      <c r="D835" s="4">
        <v>50009.0</v>
      </c>
      <c r="E835" s="4"/>
      <c r="F835" s="4" t="s">
        <v>77</v>
      </c>
      <c r="G835" s="4">
        <v>349.0</v>
      </c>
      <c r="H835" s="4"/>
      <c r="I835" s="4">
        <v>349.0</v>
      </c>
      <c r="J835" s="4" t="s">
        <v>1774</v>
      </c>
      <c r="K835" s="4">
        <v>9.194228474E11</v>
      </c>
      <c r="L835" s="4" t="s">
        <v>67</v>
      </c>
      <c r="M835" s="4" t="b">
        <v>0</v>
      </c>
      <c r="N835" s="4" t="s">
        <v>68</v>
      </c>
      <c r="O835" s="4" t="s">
        <v>69</v>
      </c>
      <c r="P835" s="6">
        <v>44309.57671296296</v>
      </c>
      <c r="Q835" s="4">
        <v>17175.0</v>
      </c>
      <c r="R835" s="4"/>
      <c r="S835" s="4"/>
      <c r="T835" s="4"/>
      <c r="U835" s="8"/>
      <c r="V835" s="4"/>
      <c r="W835" s="4"/>
      <c r="X835" s="4"/>
      <c r="Y835" s="4"/>
      <c r="Z835" s="4"/>
      <c r="AA835" s="5"/>
      <c r="AB835" s="5"/>
      <c r="AC835" s="5"/>
      <c r="AD835" s="5"/>
      <c r="AE835" s="5"/>
    </row>
    <row r="836">
      <c r="A836" s="4" t="s">
        <v>1775</v>
      </c>
      <c r="B836" s="4"/>
      <c r="C836" s="4" t="s">
        <v>1059</v>
      </c>
      <c r="D836" s="4">
        <v>49997.0</v>
      </c>
      <c r="E836" s="4"/>
      <c r="F836" s="4" t="s">
        <v>149</v>
      </c>
      <c r="G836" s="4">
        <v>99.0</v>
      </c>
      <c r="H836" s="4"/>
      <c r="I836" s="4">
        <v>99.0</v>
      </c>
      <c r="J836" s="4" t="s">
        <v>1776</v>
      </c>
      <c r="K836" s="4">
        <v>9.17506839281E11</v>
      </c>
      <c r="L836" s="4" t="s">
        <v>67</v>
      </c>
      <c r="M836" s="4" t="b">
        <v>0</v>
      </c>
      <c r="N836" s="4" t="s">
        <v>74</v>
      </c>
      <c r="O836" s="4" t="s">
        <v>69</v>
      </c>
      <c r="P836" s="6">
        <v>44309.57996527778</v>
      </c>
      <c r="Q836" s="4">
        <v>17176.0</v>
      </c>
      <c r="R836" s="4"/>
      <c r="S836" s="4"/>
      <c r="T836" s="4"/>
      <c r="U836" s="7"/>
      <c r="V836" s="4"/>
      <c r="W836" s="4"/>
      <c r="X836" s="4"/>
      <c r="Y836" s="4"/>
      <c r="Z836" s="4"/>
      <c r="AA836" s="5"/>
      <c r="AB836" s="5"/>
      <c r="AC836" s="5"/>
      <c r="AD836" s="5"/>
      <c r="AE836" s="5"/>
    </row>
    <row r="837">
      <c r="A837" s="4" t="s">
        <v>1777</v>
      </c>
      <c r="B837" s="4"/>
      <c r="C837" s="4" t="s">
        <v>1592</v>
      </c>
      <c r="D837" s="4">
        <v>49813.0</v>
      </c>
      <c r="E837" s="4"/>
      <c r="F837" s="4" t="s">
        <v>149</v>
      </c>
      <c r="G837" s="4">
        <v>149.0</v>
      </c>
      <c r="H837" s="4"/>
      <c r="I837" s="4">
        <v>149.0</v>
      </c>
      <c r="J837" s="4" t="s">
        <v>1778</v>
      </c>
      <c r="K837" s="4">
        <v>9.19970298214E11</v>
      </c>
      <c r="L837" s="4" t="s">
        <v>67</v>
      </c>
      <c r="M837" s="4" t="b">
        <v>0</v>
      </c>
      <c r="N837" s="4" t="s">
        <v>97</v>
      </c>
      <c r="O837" s="4" t="s">
        <v>69</v>
      </c>
      <c r="P837" s="6">
        <v>44305.82289351852</v>
      </c>
      <c r="Q837" s="4">
        <v>17046.0</v>
      </c>
      <c r="R837" s="4"/>
      <c r="S837" s="4"/>
      <c r="T837" s="4"/>
      <c r="U837" s="7"/>
      <c r="V837" s="4"/>
      <c r="W837" s="4"/>
      <c r="X837" s="4"/>
      <c r="Y837" s="4"/>
      <c r="Z837" s="4"/>
      <c r="AA837" s="5"/>
      <c r="AB837" s="5"/>
      <c r="AC837" s="5"/>
      <c r="AD837" s="5"/>
      <c r="AE837" s="5"/>
    </row>
    <row r="838">
      <c r="A838" s="4" t="s">
        <v>1779</v>
      </c>
      <c r="B838" s="4"/>
      <c r="C838" s="4" t="s">
        <v>1104</v>
      </c>
      <c r="D838" s="4">
        <v>49993.0</v>
      </c>
      <c r="E838" s="4"/>
      <c r="F838" s="4" t="s">
        <v>149</v>
      </c>
      <c r="G838" s="4">
        <v>199.0</v>
      </c>
      <c r="H838" s="4"/>
      <c r="I838" s="4">
        <v>199.0</v>
      </c>
      <c r="J838" s="4" t="s">
        <v>1780</v>
      </c>
      <c r="K838" s="4">
        <v>9.17710892457E11</v>
      </c>
      <c r="L838" s="4" t="s">
        <v>67</v>
      </c>
      <c r="M838" s="4" t="b">
        <v>0</v>
      </c>
      <c r="N838" s="4" t="s">
        <v>97</v>
      </c>
      <c r="O838" s="4" t="s">
        <v>69</v>
      </c>
      <c r="P838" s="6">
        <v>44309.63177083333</v>
      </c>
      <c r="Q838" s="4">
        <v>17198.0</v>
      </c>
      <c r="R838" s="4"/>
      <c r="S838" s="4"/>
      <c r="T838" s="4"/>
      <c r="U838" s="7"/>
      <c r="V838" s="4"/>
      <c r="W838" s="4"/>
      <c r="X838" s="4"/>
      <c r="Y838" s="4"/>
      <c r="Z838" s="4"/>
      <c r="AA838" s="5"/>
      <c r="AB838" s="5"/>
      <c r="AC838" s="5"/>
      <c r="AD838" s="5"/>
      <c r="AE838" s="5"/>
    </row>
    <row r="839">
      <c r="A839" s="4" t="s">
        <v>1781</v>
      </c>
      <c r="B839" s="4"/>
      <c r="C839" s="4" t="s">
        <v>960</v>
      </c>
      <c r="D839" s="4">
        <v>49834.0</v>
      </c>
      <c r="E839" s="4"/>
      <c r="F839" s="4" t="s">
        <v>149</v>
      </c>
      <c r="G839" s="4">
        <v>99.0</v>
      </c>
      <c r="H839" s="4"/>
      <c r="I839" s="4">
        <v>99.0</v>
      </c>
      <c r="J839" s="4" t="s">
        <v>1782</v>
      </c>
      <c r="K839" s="4">
        <v>9.19922107E11</v>
      </c>
      <c r="L839" s="4" t="s">
        <v>67</v>
      </c>
      <c r="M839" s="4" t="b">
        <v>0</v>
      </c>
      <c r="N839" s="4" t="s">
        <v>97</v>
      </c>
      <c r="O839" s="4" t="s">
        <v>69</v>
      </c>
      <c r="P839" s="6">
        <v>44309.63230324074</v>
      </c>
      <c r="Q839" s="4">
        <v>17183.0</v>
      </c>
      <c r="R839" s="4"/>
      <c r="S839" s="4"/>
      <c r="T839" s="4"/>
      <c r="U839" s="7"/>
      <c r="V839" s="4"/>
      <c r="W839" s="4"/>
      <c r="X839" s="4"/>
      <c r="Y839" s="4"/>
      <c r="Z839" s="4"/>
      <c r="AA839" s="5"/>
      <c r="AB839" s="5"/>
      <c r="AC839" s="5"/>
      <c r="AD839" s="5"/>
      <c r="AE839" s="5"/>
    </row>
    <row r="840">
      <c r="A840" s="4" t="s">
        <v>1783</v>
      </c>
      <c r="B840" s="4"/>
      <c r="C840" s="4" t="s">
        <v>1264</v>
      </c>
      <c r="D840" s="4">
        <v>49994.0</v>
      </c>
      <c r="E840" s="4"/>
      <c r="F840" s="4" t="s">
        <v>77</v>
      </c>
      <c r="G840" s="4">
        <v>349.0</v>
      </c>
      <c r="H840" s="4"/>
      <c r="I840" s="4">
        <v>349.0</v>
      </c>
      <c r="J840" s="4" t="s">
        <v>1784</v>
      </c>
      <c r="K840" s="4">
        <v>9.190226244E11</v>
      </c>
      <c r="L840" s="4" t="s">
        <v>67</v>
      </c>
      <c r="M840" s="4" t="b">
        <v>0</v>
      </c>
      <c r="N840" s="4" t="s">
        <v>74</v>
      </c>
      <c r="O840" s="4" t="s">
        <v>69</v>
      </c>
      <c r="P840" s="6">
        <v>44309.65526620371</v>
      </c>
      <c r="Q840" s="4">
        <v>17185.0</v>
      </c>
      <c r="R840" s="4"/>
      <c r="S840" s="4"/>
      <c r="T840" s="4"/>
      <c r="U840" s="8"/>
      <c r="V840" s="4"/>
      <c r="W840" s="4"/>
      <c r="X840" s="4"/>
      <c r="Y840" s="4"/>
      <c r="Z840" s="4"/>
      <c r="AA840" s="5"/>
      <c r="AB840" s="5"/>
      <c r="AC840" s="5"/>
      <c r="AD840" s="5"/>
      <c r="AE840" s="5"/>
    </row>
    <row r="841">
      <c r="A841" s="4" t="s">
        <v>1785</v>
      </c>
      <c r="B841" s="4"/>
      <c r="C841" s="4" t="s">
        <v>1436</v>
      </c>
      <c r="D841" s="4">
        <v>50048.0</v>
      </c>
      <c r="E841" s="4"/>
      <c r="F841" s="4" t="s">
        <v>1437</v>
      </c>
      <c r="G841" s="4">
        <v>149.0</v>
      </c>
      <c r="H841" s="4"/>
      <c r="I841" s="4">
        <v>149.0</v>
      </c>
      <c r="J841" s="4" t="s">
        <v>1786</v>
      </c>
      <c r="K841" s="4">
        <v>9.19321444763E11</v>
      </c>
      <c r="L841" s="4" t="s">
        <v>67</v>
      </c>
      <c r="M841" s="4" t="b">
        <v>0</v>
      </c>
      <c r="N841" s="4" t="s">
        <v>74</v>
      </c>
      <c r="O841" s="4" t="s">
        <v>69</v>
      </c>
      <c r="P841" s="6">
        <v>44309.662986111114</v>
      </c>
      <c r="Q841" s="4">
        <v>17197.0</v>
      </c>
      <c r="R841" s="4"/>
      <c r="S841" s="4"/>
      <c r="T841" s="4"/>
      <c r="U841" s="7"/>
      <c r="V841" s="4"/>
      <c r="W841" s="4"/>
      <c r="X841" s="4"/>
      <c r="Y841" s="4"/>
      <c r="Z841" s="4"/>
      <c r="AA841" s="5"/>
      <c r="AB841" s="5"/>
      <c r="AC841" s="5"/>
      <c r="AD841" s="5"/>
      <c r="AE841" s="5"/>
    </row>
    <row r="842">
      <c r="A842" s="4" t="s">
        <v>1787</v>
      </c>
      <c r="B842" s="4"/>
      <c r="C842" s="4" t="s">
        <v>184</v>
      </c>
      <c r="D842" s="4">
        <v>49833.0</v>
      </c>
      <c r="E842" s="4"/>
      <c r="F842" s="4" t="s">
        <v>149</v>
      </c>
      <c r="G842" s="4">
        <v>199.0</v>
      </c>
      <c r="H842" s="4"/>
      <c r="I842" s="4">
        <v>199.0</v>
      </c>
      <c r="J842" s="4" t="s">
        <v>1788</v>
      </c>
      <c r="K842" s="4">
        <v>9.18077580221E11</v>
      </c>
      <c r="L842" s="4" t="s">
        <v>67</v>
      </c>
      <c r="M842" s="4" t="b">
        <v>0</v>
      </c>
      <c r="N842" s="4" t="s">
        <v>151</v>
      </c>
      <c r="O842" s="4" t="s">
        <v>69</v>
      </c>
      <c r="P842" s="6">
        <v>44309.67863425926</v>
      </c>
      <c r="Q842" s="4">
        <v>17186.0</v>
      </c>
      <c r="R842" s="4"/>
      <c r="S842" s="4"/>
      <c r="T842" s="4"/>
      <c r="U842" s="7"/>
      <c r="V842" s="4"/>
      <c r="W842" s="4"/>
      <c r="X842" s="4"/>
      <c r="Y842" s="4"/>
      <c r="Z842" s="4"/>
      <c r="AA842" s="5"/>
      <c r="AB842" s="5"/>
      <c r="AC842" s="5"/>
      <c r="AD842" s="5"/>
      <c r="AE842" s="5"/>
    </row>
    <row r="843">
      <c r="A843" s="4" t="s">
        <v>1789</v>
      </c>
      <c r="B843" s="4"/>
      <c r="C843" s="4" t="s">
        <v>858</v>
      </c>
      <c r="D843" s="4">
        <v>49958.0</v>
      </c>
      <c r="E843" s="4"/>
      <c r="F843" s="4" t="s">
        <v>85</v>
      </c>
      <c r="G843" s="4">
        <v>199.0</v>
      </c>
      <c r="H843" s="4"/>
      <c r="I843" s="4">
        <v>199.0</v>
      </c>
      <c r="J843" s="4" t="s">
        <v>1790</v>
      </c>
      <c r="K843" s="4">
        <v>9.18169103781E11</v>
      </c>
      <c r="L843" s="4" t="s">
        <v>67</v>
      </c>
      <c r="M843" s="4" t="b">
        <v>0</v>
      </c>
      <c r="N843" s="4" t="s">
        <v>68</v>
      </c>
      <c r="O843" s="4" t="s">
        <v>69</v>
      </c>
      <c r="P843" s="6">
        <v>44309.68952546296</v>
      </c>
      <c r="Q843" s="4">
        <v>17187.0</v>
      </c>
      <c r="R843" s="4"/>
      <c r="S843" s="4"/>
      <c r="T843" s="4"/>
      <c r="U843" s="7"/>
      <c r="V843" s="4"/>
      <c r="W843" s="4"/>
      <c r="X843" s="4"/>
      <c r="Y843" s="4"/>
      <c r="Z843" s="4"/>
      <c r="AA843" s="5"/>
      <c r="AB843" s="5"/>
      <c r="AC843" s="5"/>
      <c r="AD843" s="5"/>
      <c r="AE843" s="5"/>
    </row>
    <row r="844">
      <c r="A844" s="4" t="s">
        <v>1791</v>
      </c>
      <c r="B844" s="4"/>
      <c r="C844" s="4" t="s">
        <v>1592</v>
      </c>
      <c r="D844" s="4">
        <v>49813.0</v>
      </c>
      <c r="E844" s="4"/>
      <c r="F844" s="4" t="s">
        <v>149</v>
      </c>
      <c r="G844" s="4">
        <v>149.0</v>
      </c>
      <c r="H844" s="4"/>
      <c r="I844" s="4">
        <v>149.0</v>
      </c>
      <c r="J844" s="4" t="s">
        <v>1792</v>
      </c>
      <c r="K844" s="4">
        <v>9.19711351917E11</v>
      </c>
      <c r="L844" s="4" t="s">
        <v>67</v>
      </c>
      <c r="M844" s="4" t="b">
        <v>0</v>
      </c>
      <c r="N844" s="4" t="s">
        <v>74</v>
      </c>
      <c r="O844" s="4" t="s">
        <v>69</v>
      </c>
      <c r="P844" s="6">
        <v>44305.883101851854</v>
      </c>
      <c r="Q844" s="4">
        <v>17124.0</v>
      </c>
      <c r="R844" s="4"/>
      <c r="S844" s="4"/>
      <c r="T844" s="4"/>
      <c r="U844" s="7"/>
      <c r="V844" s="4"/>
      <c r="W844" s="4"/>
      <c r="X844" s="4"/>
      <c r="Y844" s="4"/>
      <c r="Z844" s="4"/>
      <c r="AA844" s="5"/>
      <c r="AB844" s="5"/>
      <c r="AC844" s="5"/>
      <c r="AD844" s="5"/>
      <c r="AE844" s="5"/>
    </row>
    <row r="845">
      <c r="A845" s="4" t="s">
        <v>1793</v>
      </c>
      <c r="B845" s="4"/>
      <c r="C845" s="4" t="s">
        <v>1264</v>
      </c>
      <c r="D845" s="4">
        <v>49994.0</v>
      </c>
      <c r="E845" s="4"/>
      <c r="F845" s="4" t="s">
        <v>149</v>
      </c>
      <c r="G845" s="4">
        <v>99.0</v>
      </c>
      <c r="H845" s="4"/>
      <c r="I845" s="4">
        <v>99.0</v>
      </c>
      <c r="J845" s="4" t="s">
        <v>1794</v>
      </c>
      <c r="K845" s="4">
        <v>9.17008656041E11</v>
      </c>
      <c r="L845" s="4" t="s">
        <v>67</v>
      </c>
      <c r="M845" s="4" t="b">
        <v>0</v>
      </c>
      <c r="N845" s="4" t="s">
        <v>68</v>
      </c>
      <c r="O845" s="4" t="s">
        <v>69</v>
      </c>
      <c r="P845" s="6">
        <v>44309.7159837963</v>
      </c>
      <c r="Q845" s="4">
        <v>17192.0</v>
      </c>
      <c r="R845" s="4"/>
      <c r="S845" s="4"/>
      <c r="T845" s="4"/>
      <c r="U845" s="7"/>
      <c r="V845" s="4"/>
      <c r="W845" s="4"/>
      <c r="X845" s="4"/>
      <c r="Y845" s="4"/>
      <c r="Z845" s="4"/>
      <c r="AA845" s="5"/>
      <c r="AB845" s="5"/>
      <c r="AC845" s="5"/>
      <c r="AD845" s="5"/>
      <c r="AE845" s="5"/>
    </row>
    <row r="846">
      <c r="A846" s="4" t="s">
        <v>1795</v>
      </c>
      <c r="B846" s="4"/>
      <c r="C846" s="4" t="s">
        <v>1592</v>
      </c>
      <c r="D846" s="4">
        <v>49813.0</v>
      </c>
      <c r="E846" s="4"/>
      <c r="F846" s="4" t="s">
        <v>85</v>
      </c>
      <c r="G846" s="4">
        <v>299.0</v>
      </c>
      <c r="H846" s="4"/>
      <c r="I846" s="4">
        <v>299.0</v>
      </c>
      <c r="J846" s="4" t="s">
        <v>1796</v>
      </c>
      <c r="K846" s="4">
        <v>9.19555999998E11</v>
      </c>
      <c r="L846" s="4" t="s">
        <v>67</v>
      </c>
      <c r="M846" s="4" t="b">
        <v>0</v>
      </c>
      <c r="N846" s="4" t="s">
        <v>74</v>
      </c>
      <c r="O846" s="4" t="s">
        <v>69</v>
      </c>
      <c r="P846" s="6">
        <v>44306.50950231482</v>
      </c>
      <c r="Q846" s="4">
        <v>17021.0</v>
      </c>
      <c r="R846" s="4"/>
      <c r="S846" s="4"/>
      <c r="T846" s="4"/>
      <c r="U846" s="7"/>
      <c r="V846" s="4"/>
      <c r="W846" s="4"/>
      <c r="X846" s="4"/>
      <c r="Y846" s="4"/>
      <c r="Z846" s="4"/>
      <c r="AA846" s="5"/>
      <c r="AB846" s="5"/>
      <c r="AC846" s="5"/>
      <c r="AD846" s="5"/>
      <c r="AE846" s="5"/>
    </row>
    <row r="847">
      <c r="A847" s="4" t="s">
        <v>1797</v>
      </c>
      <c r="B847" s="4"/>
      <c r="C847" s="4" t="s">
        <v>1516</v>
      </c>
      <c r="D847" s="4">
        <v>49996.0</v>
      </c>
      <c r="E847" s="4"/>
      <c r="F847" s="4" t="s">
        <v>149</v>
      </c>
      <c r="G847" s="4">
        <v>99.0</v>
      </c>
      <c r="H847" s="4"/>
      <c r="I847" s="4">
        <v>99.0</v>
      </c>
      <c r="J847" s="4" t="s">
        <v>1798</v>
      </c>
      <c r="K847" s="4">
        <v>9.19967869244E11</v>
      </c>
      <c r="L847" s="4" t="s">
        <v>67</v>
      </c>
      <c r="M847" s="4" t="b">
        <v>0</v>
      </c>
      <c r="N847" s="4" t="s">
        <v>97</v>
      </c>
      <c r="O847" s="4" t="s">
        <v>69</v>
      </c>
      <c r="P847" s="6">
        <v>44309.726875</v>
      </c>
      <c r="Q847" s="4" t="s">
        <v>83</v>
      </c>
      <c r="R847" s="4"/>
      <c r="S847" s="4"/>
      <c r="T847" s="4"/>
      <c r="U847" s="7"/>
      <c r="V847" s="4"/>
      <c r="W847" s="4"/>
      <c r="X847" s="4"/>
      <c r="Y847" s="4"/>
      <c r="Z847" s="4"/>
      <c r="AA847" s="5"/>
      <c r="AB847" s="5"/>
      <c r="AC847" s="5"/>
      <c r="AD847" s="5"/>
      <c r="AE847" s="5"/>
    </row>
    <row r="848">
      <c r="A848" s="4" t="s">
        <v>1799</v>
      </c>
      <c r="B848" s="4"/>
      <c r="C848" s="4" t="s">
        <v>1320</v>
      </c>
      <c r="D848" s="4">
        <v>50036.0</v>
      </c>
      <c r="E848" s="4"/>
      <c r="F848" s="4" t="s">
        <v>149</v>
      </c>
      <c r="G848" s="4">
        <v>149.0</v>
      </c>
      <c r="H848" s="4"/>
      <c r="I848" s="4">
        <v>149.0</v>
      </c>
      <c r="J848" s="4" t="s">
        <v>1800</v>
      </c>
      <c r="K848" s="4">
        <v>9.19622220462E11</v>
      </c>
      <c r="L848" s="4" t="s">
        <v>67</v>
      </c>
      <c r="M848" s="4" t="b">
        <v>0</v>
      </c>
      <c r="N848" s="4" t="s">
        <v>151</v>
      </c>
      <c r="O848" s="4" t="s">
        <v>69</v>
      </c>
      <c r="P848" s="6">
        <v>44309.75318287037</v>
      </c>
      <c r="Q848" s="4">
        <v>17221.0</v>
      </c>
      <c r="R848" s="4"/>
      <c r="S848" s="4"/>
      <c r="T848" s="4"/>
      <c r="U848" s="7"/>
      <c r="V848" s="4"/>
      <c r="W848" s="4"/>
      <c r="X848" s="4"/>
      <c r="Y848" s="4"/>
      <c r="Z848" s="4"/>
      <c r="AA848" s="5"/>
      <c r="AB848" s="5"/>
      <c r="AC848" s="5"/>
      <c r="AD848" s="5"/>
      <c r="AE848" s="5"/>
    </row>
    <row r="849">
      <c r="A849" s="4" t="s">
        <v>1801</v>
      </c>
      <c r="B849" s="4"/>
      <c r="C849" s="4" t="s">
        <v>885</v>
      </c>
      <c r="D849" s="4">
        <v>49844.0</v>
      </c>
      <c r="E849" s="4"/>
      <c r="F849" s="4" t="s">
        <v>85</v>
      </c>
      <c r="G849" s="4">
        <v>199.0</v>
      </c>
      <c r="H849" s="4"/>
      <c r="I849" s="4">
        <v>199.0</v>
      </c>
      <c r="J849" s="4" t="s">
        <v>1802</v>
      </c>
      <c r="K849" s="4">
        <v>9.19833923325E11</v>
      </c>
      <c r="L849" s="4" t="s">
        <v>67</v>
      </c>
      <c r="M849" s="4" t="b">
        <v>0</v>
      </c>
      <c r="N849" s="4" t="s">
        <v>74</v>
      </c>
      <c r="O849" s="4" t="s">
        <v>69</v>
      </c>
      <c r="P849" s="6">
        <v>44309.784363425926</v>
      </c>
      <c r="Q849" s="4">
        <v>17413.0</v>
      </c>
      <c r="R849" s="4"/>
      <c r="S849" s="4"/>
      <c r="T849" s="4"/>
      <c r="U849" s="7"/>
      <c r="V849" s="4"/>
      <c r="W849" s="4"/>
      <c r="X849" s="4"/>
      <c r="Y849" s="4"/>
      <c r="Z849" s="4"/>
      <c r="AA849" s="5"/>
      <c r="AB849" s="5"/>
      <c r="AC849" s="5"/>
      <c r="AD849" s="5"/>
      <c r="AE849" s="5"/>
    </row>
    <row r="850">
      <c r="A850" s="4" t="s">
        <v>1803</v>
      </c>
      <c r="B850" s="4"/>
      <c r="C850" s="4" t="s">
        <v>1592</v>
      </c>
      <c r="D850" s="4">
        <v>49813.0</v>
      </c>
      <c r="E850" s="4"/>
      <c r="F850" s="4" t="s">
        <v>149</v>
      </c>
      <c r="G850" s="4">
        <v>149.0</v>
      </c>
      <c r="H850" s="4"/>
      <c r="I850" s="4">
        <v>149.0</v>
      </c>
      <c r="J850" s="4" t="s">
        <v>1804</v>
      </c>
      <c r="K850" s="4">
        <v>9.19871634858E11</v>
      </c>
      <c r="L850" s="4" t="s">
        <v>67</v>
      </c>
      <c r="M850" s="4" t="b">
        <v>0</v>
      </c>
      <c r="N850" s="4" t="s">
        <v>151</v>
      </c>
      <c r="O850" s="4" t="s">
        <v>69</v>
      </c>
      <c r="P850" s="6">
        <v>44306.57175925926</v>
      </c>
      <c r="Q850" s="4" t="s">
        <v>83</v>
      </c>
      <c r="R850" s="4"/>
      <c r="S850" s="4"/>
      <c r="T850" s="4"/>
      <c r="U850" s="7"/>
      <c r="V850" s="4"/>
      <c r="W850" s="4"/>
      <c r="X850" s="4"/>
      <c r="Y850" s="4"/>
      <c r="Z850" s="4"/>
      <c r="AA850" s="5"/>
      <c r="AB850" s="5"/>
      <c r="AC850" s="5"/>
      <c r="AD850" s="5"/>
      <c r="AE850" s="5"/>
    </row>
    <row r="851">
      <c r="A851" s="4" t="s">
        <v>1805</v>
      </c>
      <c r="B851" s="4"/>
      <c r="C851" s="4" t="s">
        <v>1436</v>
      </c>
      <c r="D851" s="4">
        <v>50048.0</v>
      </c>
      <c r="E851" s="4"/>
      <c r="F851" s="4" t="s">
        <v>1437</v>
      </c>
      <c r="G851" s="4">
        <v>149.0</v>
      </c>
      <c r="H851" s="4"/>
      <c r="I851" s="4">
        <v>149.0</v>
      </c>
      <c r="J851" s="4" t="s">
        <v>1806</v>
      </c>
      <c r="K851" s="4">
        <v>9.19167677843E11</v>
      </c>
      <c r="L851" s="4" t="s">
        <v>67</v>
      </c>
      <c r="M851" s="4" t="b">
        <v>0</v>
      </c>
      <c r="N851" s="4" t="s">
        <v>68</v>
      </c>
      <c r="O851" s="4" t="s">
        <v>69</v>
      </c>
      <c r="P851" s="6">
        <v>44309.818506944444</v>
      </c>
      <c r="Q851" s="4">
        <v>17426.0</v>
      </c>
      <c r="R851" s="4"/>
      <c r="S851" s="4"/>
      <c r="T851" s="4"/>
      <c r="U851" s="7"/>
      <c r="V851" s="4"/>
      <c r="W851" s="4"/>
      <c r="X851" s="4"/>
      <c r="Y851" s="4"/>
      <c r="Z851" s="4"/>
      <c r="AA851" s="5"/>
      <c r="AB851" s="5"/>
      <c r="AC851" s="5"/>
      <c r="AD851" s="5"/>
      <c r="AE851" s="5"/>
    </row>
    <row r="852">
      <c r="A852" s="4" t="s">
        <v>1807</v>
      </c>
      <c r="B852" s="4"/>
      <c r="C852" s="4" t="s">
        <v>1059</v>
      </c>
      <c r="D852" s="4">
        <v>49997.0</v>
      </c>
      <c r="E852" s="4"/>
      <c r="F852" s="4" t="s">
        <v>149</v>
      </c>
      <c r="G852" s="4">
        <v>99.0</v>
      </c>
      <c r="H852" s="4"/>
      <c r="I852" s="4">
        <v>99.0</v>
      </c>
      <c r="J852" s="4" t="s">
        <v>1808</v>
      </c>
      <c r="K852" s="4">
        <v>9.18564000084E11</v>
      </c>
      <c r="L852" s="4" t="s">
        <v>67</v>
      </c>
      <c r="M852" s="4" t="b">
        <v>0</v>
      </c>
      <c r="N852" s="4" t="s">
        <v>97</v>
      </c>
      <c r="O852" s="4" t="s">
        <v>69</v>
      </c>
      <c r="P852" s="6">
        <v>44309.819768518515</v>
      </c>
      <c r="Q852" s="4">
        <v>17286.0</v>
      </c>
      <c r="R852" s="4"/>
      <c r="S852" s="4"/>
      <c r="T852" s="4"/>
      <c r="U852" s="7"/>
      <c r="V852" s="4"/>
      <c r="W852" s="4"/>
      <c r="X852" s="4"/>
      <c r="Y852" s="4"/>
      <c r="Z852" s="4"/>
      <c r="AA852" s="5"/>
      <c r="AB852" s="5"/>
      <c r="AC852" s="5"/>
      <c r="AD852" s="5"/>
      <c r="AE852" s="5"/>
    </row>
    <row r="853">
      <c r="A853" s="4" t="s">
        <v>1809</v>
      </c>
      <c r="B853" s="4"/>
      <c r="C853" s="4" t="s">
        <v>1476</v>
      </c>
      <c r="D853" s="4">
        <v>50009.0</v>
      </c>
      <c r="E853" s="4"/>
      <c r="F853" s="4" t="s">
        <v>149</v>
      </c>
      <c r="G853" s="4">
        <v>99.0</v>
      </c>
      <c r="H853" s="4"/>
      <c r="I853" s="4">
        <v>99.0</v>
      </c>
      <c r="J853" s="4" t="s">
        <v>1810</v>
      </c>
      <c r="K853" s="4">
        <v>9.19990603501E11</v>
      </c>
      <c r="L853" s="4" t="s">
        <v>67</v>
      </c>
      <c r="M853" s="4" t="b">
        <v>0</v>
      </c>
      <c r="N853" s="4" t="s">
        <v>97</v>
      </c>
      <c r="O853" s="4" t="s">
        <v>69</v>
      </c>
      <c r="P853" s="6">
        <v>44309.82313657407</v>
      </c>
      <c r="Q853" s="4" t="s">
        <v>83</v>
      </c>
      <c r="R853" s="4"/>
      <c r="S853" s="4"/>
      <c r="T853" s="4"/>
      <c r="U853" s="7"/>
      <c r="V853" s="4"/>
      <c r="W853" s="4"/>
      <c r="X853" s="4"/>
      <c r="Y853" s="4"/>
      <c r="Z853" s="4"/>
      <c r="AA853" s="5"/>
      <c r="AB853" s="5"/>
      <c r="AC853" s="5"/>
      <c r="AD853" s="5"/>
      <c r="AE853" s="5"/>
    </row>
    <row r="854">
      <c r="A854" s="4" t="s">
        <v>1811</v>
      </c>
      <c r="B854" s="4"/>
      <c r="C854" s="4" t="s">
        <v>1059</v>
      </c>
      <c r="D854" s="4">
        <v>49997.0</v>
      </c>
      <c r="E854" s="4"/>
      <c r="F854" s="4" t="s">
        <v>149</v>
      </c>
      <c r="G854" s="4">
        <v>99.0</v>
      </c>
      <c r="H854" s="4"/>
      <c r="I854" s="4">
        <v>99.0</v>
      </c>
      <c r="J854" s="4" t="s">
        <v>1812</v>
      </c>
      <c r="K854" s="4">
        <v>9.19997043918E11</v>
      </c>
      <c r="L854" s="4" t="s">
        <v>67</v>
      </c>
      <c r="M854" s="4" t="b">
        <v>0</v>
      </c>
      <c r="N854" s="4" t="s">
        <v>68</v>
      </c>
      <c r="O854" s="4" t="s">
        <v>69</v>
      </c>
      <c r="P854" s="6">
        <v>44309.8371875</v>
      </c>
      <c r="Q854" s="4">
        <v>17257.0</v>
      </c>
      <c r="R854" s="4"/>
      <c r="S854" s="4"/>
      <c r="T854" s="4"/>
      <c r="U854" s="7"/>
      <c r="V854" s="4"/>
      <c r="W854" s="4"/>
      <c r="X854" s="4"/>
      <c r="Y854" s="4"/>
      <c r="Z854" s="4"/>
      <c r="AA854" s="5"/>
      <c r="AB854" s="5"/>
      <c r="AC854" s="5"/>
      <c r="AD854" s="5"/>
      <c r="AE854" s="5"/>
    </row>
    <row r="855">
      <c r="A855" s="4" t="s">
        <v>1813</v>
      </c>
      <c r="B855" s="4"/>
      <c r="C855" s="4" t="s">
        <v>1592</v>
      </c>
      <c r="D855" s="4">
        <v>49813.0</v>
      </c>
      <c r="E855" s="4"/>
      <c r="F855" s="4" t="s">
        <v>77</v>
      </c>
      <c r="G855" s="4">
        <v>499.0</v>
      </c>
      <c r="H855" s="4"/>
      <c r="I855" s="4">
        <v>499.0</v>
      </c>
      <c r="J855" s="4" t="s">
        <v>1814</v>
      </c>
      <c r="K855" s="4">
        <v>9.19819674613E11</v>
      </c>
      <c r="L855" s="4" t="s">
        <v>67</v>
      </c>
      <c r="M855" s="4" t="b">
        <v>0</v>
      </c>
      <c r="N855" s="4" t="s">
        <v>68</v>
      </c>
      <c r="O855" s="4" t="s">
        <v>69</v>
      </c>
      <c r="P855" s="6">
        <v>44306.84203703704</v>
      </c>
      <c r="Q855" s="4">
        <v>17073.0</v>
      </c>
      <c r="R855" s="4"/>
      <c r="S855" s="4"/>
      <c r="T855" s="4"/>
      <c r="U855" s="8"/>
      <c r="V855" s="4"/>
      <c r="W855" s="4"/>
      <c r="X855" s="4"/>
      <c r="Y855" s="4"/>
      <c r="Z855" s="4"/>
      <c r="AA855" s="5"/>
      <c r="AB855" s="5"/>
      <c r="AC855" s="5"/>
      <c r="AD855" s="5"/>
      <c r="AE855" s="5"/>
    </row>
    <row r="856">
      <c r="A856" s="4" t="s">
        <v>1815</v>
      </c>
      <c r="B856" s="4"/>
      <c r="C856" s="4" t="s">
        <v>1592</v>
      </c>
      <c r="D856" s="4">
        <v>49813.0</v>
      </c>
      <c r="E856" s="4"/>
      <c r="F856" s="4" t="s">
        <v>149</v>
      </c>
      <c r="G856" s="4">
        <v>149.0</v>
      </c>
      <c r="H856" s="4"/>
      <c r="I856" s="4">
        <v>149.0</v>
      </c>
      <c r="J856" s="4" t="s">
        <v>1816</v>
      </c>
      <c r="K856" s="4">
        <v>9.18884404436E11</v>
      </c>
      <c r="L856" s="4" t="s">
        <v>67</v>
      </c>
      <c r="M856" s="4" t="b">
        <v>0</v>
      </c>
      <c r="N856" s="4" t="s">
        <v>68</v>
      </c>
      <c r="O856" s="4" t="s">
        <v>69</v>
      </c>
      <c r="P856" s="6">
        <v>44307.14375</v>
      </c>
      <c r="Q856" s="4">
        <v>17054.0</v>
      </c>
      <c r="R856" s="4"/>
      <c r="S856" s="4"/>
      <c r="T856" s="4"/>
      <c r="U856" s="7"/>
      <c r="V856" s="4"/>
      <c r="W856" s="4"/>
      <c r="X856" s="4"/>
      <c r="Y856" s="4"/>
      <c r="Z856" s="4"/>
      <c r="AA856" s="5"/>
      <c r="AB856" s="5"/>
      <c r="AC856" s="5"/>
      <c r="AD856" s="5"/>
      <c r="AE856" s="5"/>
    </row>
    <row r="857">
      <c r="A857" s="4" t="s">
        <v>1817</v>
      </c>
      <c r="B857" s="4"/>
      <c r="C857" s="4" t="s">
        <v>1476</v>
      </c>
      <c r="D857" s="4">
        <v>50009.0</v>
      </c>
      <c r="E857" s="4"/>
      <c r="F857" s="4" t="s">
        <v>149</v>
      </c>
      <c r="G857" s="4">
        <v>99.0</v>
      </c>
      <c r="H857" s="4"/>
      <c r="I857" s="4">
        <v>99.0</v>
      </c>
      <c r="J857" s="4" t="s">
        <v>1818</v>
      </c>
      <c r="K857" s="4">
        <v>9.18287037016E11</v>
      </c>
      <c r="L857" s="4" t="s">
        <v>67</v>
      </c>
      <c r="M857" s="4" t="b">
        <v>0</v>
      </c>
      <c r="N857" s="4" t="s">
        <v>68</v>
      </c>
      <c r="O857" s="4" t="s">
        <v>69</v>
      </c>
      <c r="P857" s="6">
        <v>44309.85653935185</v>
      </c>
      <c r="Q857" s="4">
        <v>17446.0</v>
      </c>
      <c r="R857" s="4"/>
      <c r="S857" s="4"/>
      <c r="T857" s="4"/>
      <c r="U857" s="7"/>
      <c r="V857" s="4"/>
      <c r="W857" s="4"/>
      <c r="X857" s="4"/>
      <c r="Y857" s="4"/>
      <c r="Z857" s="4"/>
      <c r="AA857" s="5"/>
      <c r="AB857" s="5"/>
      <c r="AC857" s="5"/>
      <c r="AD857" s="5"/>
      <c r="AE857" s="5"/>
    </row>
    <row r="858">
      <c r="A858" s="4" t="s">
        <v>1819</v>
      </c>
      <c r="B858" s="4"/>
      <c r="C858" s="4" t="s">
        <v>1592</v>
      </c>
      <c r="D858" s="4">
        <v>49813.0</v>
      </c>
      <c r="E858" s="4"/>
      <c r="F858" s="4" t="s">
        <v>149</v>
      </c>
      <c r="G858" s="4">
        <v>149.0</v>
      </c>
      <c r="H858" s="4"/>
      <c r="I858" s="4">
        <v>149.0</v>
      </c>
      <c r="J858" s="4" t="s">
        <v>1820</v>
      </c>
      <c r="K858" s="4">
        <v>9.18830865246E11</v>
      </c>
      <c r="L858" s="4" t="s">
        <v>67</v>
      </c>
      <c r="M858" s="4" t="b">
        <v>0</v>
      </c>
      <c r="N858" s="4" t="s">
        <v>68</v>
      </c>
      <c r="O858" s="4" t="s">
        <v>69</v>
      </c>
      <c r="P858" s="6">
        <v>44307.633356481485</v>
      </c>
      <c r="Q858" s="4">
        <v>17076.0</v>
      </c>
      <c r="R858" s="4"/>
      <c r="S858" s="4"/>
      <c r="T858" s="4"/>
      <c r="U858" s="7"/>
      <c r="V858" s="4"/>
      <c r="W858" s="4"/>
      <c r="X858" s="4"/>
      <c r="Y858" s="4"/>
      <c r="Z858" s="4"/>
      <c r="AA858" s="5"/>
      <c r="AB858" s="5"/>
      <c r="AC858" s="5"/>
      <c r="AD858" s="5"/>
      <c r="AE858" s="5"/>
    </row>
    <row r="859">
      <c r="A859" s="4" t="s">
        <v>1821</v>
      </c>
      <c r="B859" s="4"/>
      <c r="C859" s="4" t="s">
        <v>1059</v>
      </c>
      <c r="D859" s="4">
        <v>49997.0</v>
      </c>
      <c r="E859" s="4"/>
      <c r="F859" s="4" t="s">
        <v>77</v>
      </c>
      <c r="G859" s="4">
        <v>349.0</v>
      </c>
      <c r="H859" s="4"/>
      <c r="I859" s="4">
        <v>349.0</v>
      </c>
      <c r="J859" s="4" t="s">
        <v>1822</v>
      </c>
      <c r="K859" s="4">
        <v>9.18452872241E11</v>
      </c>
      <c r="L859" s="4" t="s">
        <v>67</v>
      </c>
      <c r="M859" s="4" t="b">
        <v>0</v>
      </c>
      <c r="N859" s="4" t="s">
        <v>74</v>
      </c>
      <c r="O859" s="4" t="s">
        <v>69</v>
      </c>
      <c r="P859" s="6">
        <v>44309.860763888886</v>
      </c>
      <c r="Q859" s="4" t="s">
        <v>83</v>
      </c>
      <c r="R859" s="4"/>
      <c r="S859" s="4"/>
      <c r="T859" s="4"/>
      <c r="U859" s="8"/>
      <c r="V859" s="4"/>
      <c r="W859" s="4"/>
      <c r="X859" s="4"/>
      <c r="Y859" s="4"/>
      <c r="Z859" s="4"/>
      <c r="AA859" s="5"/>
      <c r="AB859" s="5"/>
      <c r="AC859" s="5"/>
      <c r="AD859" s="5"/>
      <c r="AE859" s="5"/>
    </row>
    <row r="860">
      <c r="A860" s="4" t="s">
        <v>1823</v>
      </c>
      <c r="B860" s="4"/>
      <c r="C860" s="4" t="s">
        <v>1592</v>
      </c>
      <c r="D860" s="4">
        <v>49813.0</v>
      </c>
      <c r="E860" s="4"/>
      <c r="F860" s="4" t="s">
        <v>85</v>
      </c>
      <c r="G860" s="4">
        <v>299.0</v>
      </c>
      <c r="H860" s="4"/>
      <c r="I860" s="4">
        <v>299.0</v>
      </c>
      <c r="J860" s="4" t="s">
        <v>1824</v>
      </c>
      <c r="K860" s="4">
        <v>9.19945466644E11</v>
      </c>
      <c r="L860" s="4" t="s">
        <v>67</v>
      </c>
      <c r="M860" s="4" t="b">
        <v>0</v>
      </c>
      <c r="N860" s="4" t="s">
        <v>68</v>
      </c>
      <c r="O860" s="4" t="s">
        <v>69</v>
      </c>
      <c r="P860" s="6">
        <v>44308.020324074074</v>
      </c>
      <c r="Q860" s="4">
        <v>17385.0</v>
      </c>
      <c r="R860" s="4"/>
      <c r="S860" s="4"/>
      <c r="T860" s="4"/>
      <c r="U860" s="7"/>
      <c r="V860" s="4"/>
      <c r="W860" s="4"/>
      <c r="X860" s="4"/>
      <c r="Y860" s="4"/>
      <c r="Z860" s="4"/>
      <c r="AA860" s="5"/>
      <c r="AB860" s="5"/>
      <c r="AC860" s="5"/>
      <c r="AD860" s="5"/>
      <c r="AE860" s="5"/>
    </row>
    <row r="861">
      <c r="A861" s="4" t="s">
        <v>1825</v>
      </c>
      <c r="B861" s="4"/>
      <c r="C861" s="4" t="s">
        <v>858</v>
      </c>
      <c r="D861" s="4">
        <v>49958.0</v>
      </c>
      <c r="E861" s="4"/>
      <c r="F861" s="4" t="s">
        <v>85</v>
      </c>
      <c r="G861" s="4">
        <v>199.0</v>
      </c>
      <c r="H861" s="4"/>
      <c r="I861" s="4">
        <v>199.0</v>
      </c>
      <c r="J861" s="4" t="s">
        <v>1826</v>
      </c>
      <c r="K861" s="4">
        <v>9.19302306376E11</v>
      </c>
      <c r="L861" s="4" t="s">
        <v>67</v>
      </c>
      <c r="M861" s="4" t="b">
        <v>0</v>
      </c>
      <c r="N861" s="4" t="s">
        <v>68</v>
      </c>
      <c r="O861" s="4" t="s">
        <v>69</v>
      </c>
      <c r="P861" s="6">
        <v>44309.88615740741</v>
      </c>
      <c r="Q861" s="4">
        <v>17461.0</v>
      </c>
      <c r="R861" s="4"/>
      <c r="S861" s="4"/>
      <c r="T861" s="4"/>
      <c r="U861" s="7"/>
      <c r="V861" s="4"/>
      <c r="W861" s="4"/>
      <c r="X861" s="4"/>
      <c r="Y861" s="4"/>
      <c r="Z861" s="4"/>
      <c r="AA861" s="5"/>
      <c r="AB861" s="5"/>
      <c r="AC861" s="5"/>
      <c r="AD861" s="5"/>
      <c r="AE861" s="5"/>
    </row>
    <row r="862">
      <c r="A862" s="4" t="s">
        <v>1827</v>
      </c>
      <c r="B862" s="4"/>
      <c r="C862" s="4" t="s">
        <v>1727</v>
      </c>
      <c r="D862" s="4">
        <v>50033.0</v>
      </c>
      <c r="E862" s="4"/>
      <c r="F862" s="4" t="s">
        <v>77</v>
      </c>
      <c r="G862" s="4">
        <v>349.0</v>
      </c>
      <c r="H862" s="4"/>
      <c r="I862" s="4">
        <v>349.0</v>
      </c>
      <c r="J862" s="4" t="s">
        <v>1828</v>
      </c>
      <c r="K862" s="4">
        <v>9.19035163393E11</v>
      </c>
      <c r="L862" s="4" t="s">
        <v>67</v>
      </c>
      <c r="M862" s="4" t="b">
        <v>0</v>
      </c>
      <c r="N862" s="4" t="s">
        <v>68</v>
      </c>
      <c r="O862" s="4" t="s">
        <v>69</v>
      </c>
      <c r="P862" s="6">
        <v>44309.8878125</v>
      </c>
      <c r="Q862" s="4">
        <v>17216.0</v>
      </c>
      <c r="R862" s="4"/>
      <c r="S862" s="4"/>
      <c r="T862" s="4"/>
      <c r="U862" s="8"/>
      <c r="V862" s="4"/>
      <c r="W862" s="4"/>
      <c r="X862" s="4"/>
      <c r="Y862" s="4"/>
      <c r="Z862" s="4"/>
      <c r="AA862" s="5"/>
      <c r="AB862" s="5"/>
      <c r="AC862" s="5"/>
      <c r="AD862" s="5"/>
      <c r="AE862" s="5"/>
    </row>
    <row r="863">
      <c r="A863" s="4" t="s">
        <v>1829</v>
      </c>
      <c r="B863" s="4"/>
      <c r="C863" s="4" t="s">
        <v>184</v>
      </c>
      <c r="D863" s="4">
        <v>49833.0</v>
      </c>
      <c r="E863" s="4"/>
      <c r="F863" s="4" t="s">
        <v>149</v>
      </c>
      <c r="G863" s="4">
        <v>199.0</v>
      </c>
      <c r="H863" s="4"/>
      <c r="I863" s="4">
        <v>199.0</v>
      </c>
      <c r="J863" s="4" t="s">
        <v>1830</v>
      </c>
      <c r="K863" s="4">
        <v>9.19769288349E11</v>
      </c>
      <c r="L863" s="4" t="s">
        <v>67</v>
      </c>
      <c r="M863" s="4" t="b">
        <v>0</v>
      </c>
      <c r="N863" s="4" t="s">
        <v>74</v>
      </c>
      <c r="O863" s="4" t="s">
        <v>69</v>
      </c>
      <c r="P863" s="6">
        <v>44309.90164351852</v>
      </c>
      <c r="Q863" s="4">
        <v>17205.0</v>
      </c>
      <c r="R863" s="4"/>
      <c r="S863" s="4"/>
      <c r="T863" s="4"/>
      <c r="U863" s="7"/>
      <c r="V863" s="4"/>
      <c r="W863" s="4"/>
      <c r="X863" s="4"/>
      <c r="Y863" s="4"/>
      <c r="Z863" s="4"/>
      <c r="AA863" s="5"/>
      <c r="AB863" s="5"/>
      <c r="AC863" s="5"/>
      <c r="AD863" s="5"/>
      <c r="AE863" s="5"/>
    </row>
    <row r="864">
      <c r="A864" s="4" t="s">
        <v>1831</v>
      </c>
      <c r="B864" s="4"/>
      <c r="C864" s="4" t="s">
        <v>184</v>
      </c>
      <c r="D864" s="4">
        <v>49833.0</v>
      </c>
      <c r="E864" s="4"/>
      <c r="F864" s="4" t="s">
        <v>77</v>
      </c>
      <c r="G864" s="4">
        <v>499.0</v>
      </c>
      <c r="H864" s="4"/>
      <c r="I864" s="4">
        <v>499.0</v>
      </c>
      <c r="J864" s="4" t="s">
        <v>1832</v>
      </c>
      <c r="K864" s="4">
        <v>9.16395848433E11</v>
      </c>
      <c r="L864" s="4" t="s">
        <v>67</v>
      </c>
      <c r="M864" s="4" t="b">
        <v>0</v>
      </c>
      <c r="N864" s="4" t="s">
        <v>151</v>
      </c>
      <c r="O864" s="4" t="s">
        <v>69</v>
      </c>
      <c r="P864" s="6">
        <v>44309.932916666665</v>
      </c>
      <c r="Q864" s="4" t="s">
        <v>83</v>
      </c>
      <c r="R864" s="4"/>
      <c r="S864" s="4"/>
      <c r="T864" s="4"/>
      <c r="U864" s="8"/>
      <c r="V864" s="4"/>
      <c r="W864" s="4"/>
      <c r="X864" s="4"/>
      <c r="Y864" s="4"/>
      <c r="Z864" s="4"/>
      <c r="AA864" s="5"/>
      <c r="AB864" s="5"/>
      <c r="AC864" s="5"/>
      <c r="AD864" s="5"/>
      <c r="AE864" s="5"/>
    </row>
    <row r="865">
      <c r="A865" s="4" t="s">
        <v>1833</v>
      </c>
      <c r="B865" s="4"/>
      <c r="C865" s="4" t="s">
        <v>1059</v>
      </c>
      <c r="D865" s="4">
        <v>49997.0</v>
      </c>
      <c r="E865" s="4"/>
      <c r="F865" s="4" t="s">
        <v>149</v>
      </c>
      <c r="G865" s="4">
        <v>99.0</v>
      </c>
      <c r="H865" s="4"/>
      <c r="I865" s="4">
        <v>99.0</v>
      </c>
      <c r="J865" s="4" t="s">
        <v>1834</v>
      </c>
      <c r="K865" s="4">
        <v>9.19884803252E11</v>
      </c>
      <c r="L865" s="4" t="s">
        <v>67</v>
      </c>
      <c r="M865" s="4" t="b">
        <v>0</v>
      </c>
      <c r="N865" s="4" t="s">
        <v>97</v>
      </c>
      <c r="O865" s="4" t="s">
        <v>69</v>
      </c>
      <c r="P865" s="6">
        <v>44309.95927083334</v>
      </c>
      <c r="Q865" s="4" t="s">
        <v>83</v>
      </c>
      <c r="R865" s="4"/>
      <c r="S865" s="4"/>
      <c r="T865" s="4"/>
      <c r="U865" s="7"/>
      <c r="V865" s="4"/>
      <c r="W865" s="4"/>
      <c r="X865" s="4"/>
      <c r="Y865" s="4"/>
      <c r="Z865" s="4"/>
      <c r="AA865" s="5"/>
      <c r="AB865" s="5"/>
      <c r="AC865" s="5"/>
      <c r="AD865" s="5"/>
      <c r="AE865" s="5"/>
    </row>
    <row r="866">
      <c r="A866" s="4" t="s">
        <v>1835</v>
      </c>
      <c r="B866" s="4"/>
      <c r="C866" s="4" t="s">
        <v>1592</v>
      </c>
      <c r="D866" s="4">
        <v>49813.0</v>
      </c>
      <c r="E866" s="4"/>
      <c r="F866" s="4" t="s">
        <v>149</v>
      </c>
      <c r="G866" s="4">
        <v>149.0</v>
      </c>
      <c r="H866" s="4"/>
      <c r="I866" s="4">
        <v>149.0</v>
      </c>
      <c r="J866" s="4" t="s">
        <v>1836</v>
      </c>
      <c r="K866" s="4">
        <v>9.19920395854E11</v>
      </c>
      <c r="L866" s="4" t="s">
        <v>67</v>
      </c>
      <c r="M866" s="4" t="b">
        <v>0</v>
      </c>
      <c r="N866" s="4" t="s">
        <v>97</v>
      </c>
      <c r="O866" s="4" t="s">
        <v>69</v>
      </c>
      <c r="P866" s="6">
        <v>44308.58293981481</v>
      </c>
      <c r="Q866" s="4">
        <v>17133.0</v>
      </c>
      <c r="R866" s="4"/>
      <c r="S866" s="4"/>
      <c r="T866" s="4"/>
      <c r="U866" s="7"/>
      <c r="V866" s="4"/>
      <c r="W866" s="4"/>
      <c r="X866" s="4"/>
      <c r="Y866" s="4"/>
      <c r="Z866" s="4"/>
      <c r="AA866" s="5"/>
      <c r="AB866" s="5"/>
      <c r="AC866" s="5"/>
      <c r="AD866" s="5"/>
      <c r="AE866" s="5"/>
    </row>
    <row r="867">
      <c r="A867" s="4" t="s">
        <v>1837</v>
      </c>
      <c r="B867" s="4"/>
      <c r="C867" s="4" t="s">
        <v>1592</v>
      </c>
      <c r="D867" s="4">
        <v>49813.0</v>
      </c>
      <c r="E867" s="4"/>
      <c r="F867" s="4" t="s">
        <v>85</v>
      </c>
      <c r="G867" s="4">
        <v>299.0</v>
      </c>
      <c r="H867" s="4"/>
      <c r="I867" s="4">
        <v>299.0</v>
      </c>
      <c r="J867" s="4" t="s">
        <v>1838</v>
      </c>
      <c r="K867" s="4">
        <v>9.19582397824E11</v>
      </c>
      <c r="L867" s="4" t="s">
        <v>67</v>
      </c>
      <c r="M867" s="4" t="b">
        <v>0</v>
      </c>
      <c r="N867" s="4" t="s">
        <v>68</v>
      </c>
      <c r="O867" s="4" t="s">
        <v>69</v>
      </c>
      <c r="P867" s="6">
        <v>44309.542708333334</v>
      </c>
      <c r="Q867" s="4" t="s">
        <v>83</v>
      </c>
      <c r="R867" s="4"/>
      <c r="S867" s="4"/>
      <c r="T867" s="4"/>
      <c r="U867" s="7"/>
      <c r="V867" s="4"/>
      <c r="W867" s="4"/>
      <c r="X867" s="4"/>
      <c r="Y867" s="4"/>
      <c r="Z867" s="4"/>
      <c r="AA867" s="5"/>
      <c r="AB867" s="5"/>
      <c r="AC867" s="5"/>
      <c r="AD867" s="5"/>
      <c r="AE867" s="5"/>
    </row>
    <row r="868">
      <c r="A868" s="4" t="s">
        <v>1839</v>
      </c>
      <c r="B868" s="4"/>
      <c r="C868" s="4" t="s">
        <v>1592</v>
      </c>
      <c r="D868" s="4">
        <v>49813.0</v>
      </c>
      <c r="E868" s="4"/>
      <c r="F868" s="4" t="s">
        <v>77</v>
      </c>
      <c r="G868" s="4">
        <v>499.0</v>
      </c>
      <c r="H868" s="4"/>
      <c r="I868" s="4">
        <v>499.0</v>
      </c>
      <c r="J868" s="4" t="s">
        <v>1840</v>
      </c>
      <c r="K868" s="4">
        <v>9.19870255235E11</v>
      </c>
      <c r="L868" s="4" t="s">
        <v>67</v>
      </c>
      <c r="M868" s="4" t="b">
        <v>0</v>
      </c>
      <c r="N868" s="4" t="s">
        <v>74</v>
      </c>
      <c r="O868" s="4" t="s">
        <v>69</v>
      </c>
      <c r="P868" s="6">
        <v>44309.70788194444</v>
      </c>
      <c r="Q868" s="4">
        <v>17189.0</v>
      </c>
      <c r="R868" s="4"/>
      <c r="S868" s="4"/>
      <c r="T868" s="4"/>
      <c r="U868" s="8"/>
      <c r="V868" s="4"/>
      <c r="W868" s="4"/>
      <c r="X868" s="4"/>
      <c r="Y868" s="4"/>
      <c r="Z868" s="4"/>
      <c r="AA868" s="5"/>
      <c r="AB868" s="5"/>
      <c r="AC868" s="5"/>
      <c r="AD868" s="5"/>
      <c r="AE868" s="5"/>
    </row>
    <row r="869">
      <c r="A869" s="4" t="s">
        <v>1841</v>
      </c>
      <c r="B869" s="4"/>
      <c r="C869" s="4" t="s">
        <v>1436</v>
      </c>
      <c r="D869" s="4">
        <v>50048.0</v>
      </c>
      <c r="E869" s="4"/>
      <c r="F869" s="4" t="s">
        <v>1442</v>
      </c>
      <c r="G869" s="4">
        <v>299.0</v>
      </c>
      <c r="H869" s="4"/>
      <c r="I869" s="4">
        <v>299.0</v>
      </c>
      <c r="J869" s="4" t="s">
        <v>1842</v>
      </c>
      <c r="K869" s="4">
        <v>9.19967838851E11</v>
      </c>
      <c r="L869" s="4" t="s">
        <v>67</v>
      </c>
      <c r="M869" s="4" t="b">
        <v>0</v>
      </c>
      <c r="N869" s="4" t="s">
        <v>74</v>
      </c>
      <c r="O869" s="4" t="s">
        <v>69</v>
      </c>
      <c r="P869" s="6">
        <v>44310.0140625</v>
      </c>
      <c r="Q869" s="4">
        <v>17954.0</v>
      </c>
      <c r="R869" s="4"/>
      <c r="S869" s="4"/>
      <c r="T869" s="4"/>
      <c r="U869" s="7"/>
      <c r="V869" s="4"/>
      <c r="W869" s="4"/>
      <c r="X869" s="4"/>
      <c r="Y869" s="4"/>
      <c r="Z869" s="4"/>
      <c r="AA869" s="5"/>
      <c r="AB869" s="5"/>
      <c r="AC869" s="5"/>
      <c r="AD869" s="5"/>
      <c r="AE869" s="5"/>
    </row>
    <row r="870">
      <c r="A870" s="4" t="s">
        <v>1843</v>
      </c>
      <c r="B870" s="4"/>
      <c r="C870" s="4" t="s">
        <v>1436</v>
      </c>
      <c r="D870" s="4">
        <v>50048.0</v>
      </c>
      <c r="E870" s="4"/>
      <c r="F870" s="4" t="s">
        <v>1442</v>
      </c>
      <c r="G870" s="4">
        <v>299.0</v>
      </c>
      <c r="H870" s="4"/>
      <c r="I870" s="4">
        <v>299.0</v>
      </c>
      <c r="J870" s="4" t="s">
        <v>1844</v>
      </c>
      <c r="K870" s="4">
        <v>9.19320673184E11</v>
      </c>
      <c r="L870" s="4" t="s">
        <v>67</v>
      </c>
      <c r="M870" s="4" t="b">
        <v>0</v>
      </c>
      <c r="N870" s="4" t="s">
        <v>68</v>
      </c>
      <c r="O870" s="4" t="s">
        <v>69</v>
      </c>
      <c r="P870" s="6">
        <v>44310.030324074076</v>
      </c>
      <c r="Q870" s="4">
        <v>17454.0</v>
      </c>
      <c r="R870" s="4"/>
      <c r="S870" s="4"/>
      <c r="T870" s="4"/>
      <c r="U870" s="7"/>
      <c r="V870" s="4"/>
      <c r="W870" s="4"/>
      <c r="X870" s="4"/>
      <c r="Y870" s="4"/>
      <c r="Z870" s="4"/>
      <c r="AA870" s="5"/>
      <c r="AB870" s="5"/>
      <c r="AC870" s="5"/>
      <c r="AD870" s="5"/>
      <c r="AE870" s="5"/>
    </row>
    <row r="871">
      <c r="A871" s="4" t="s">
        <v>1845</v>
      </c>
      <c r="B871" s="4"/>
      <c r="C871" s="4" t="s">
        <v>1592</v>
      </c>
      <c r="D871" s="4">
        <v>49813.0</v>
      </c>
      <c r="E871" s="4"/>
      <c r="F871" s="4" t="s">
        <v>77</v>
      </c>
      <c r="G871" s="4">
        <v>499.0</v>
      </c>
      <c r="H871" s="4"/>
      <c r="I871" s="4">
        <v>499.0</v>
      </c>
      <c r="J871" s="4" t="s">
        <v>1846</v>
      </c>
      <c r="K871" s="4">
        <v>9.18789894694E11</v>
      </c>
      <c r="L871" s="4" t="s">
        <v>67</v>
      </c>
      <c r="M871" s="4" t="b">
        <v>0</v>
      </c>
      <c r="N871" s="4" t="s">
        <v>68</v>
      </c>
      <c r="O871" s="4" t="s">
        <v>69</v>
      </c>
      <c r="P871" s="6">
        <v>44309.78575231481</v>
      </c>
      <c r="Q871" s="4">
        <v>17219.0</v>
      </c>
      <c r="R871" s="4"/>
      <c r="S871" s="4"/>
      <c r="T871" s="4"/>
      <c r="U871" s="8"/>
      <c r="V871" s="4"/>
      <c r="W871" s="4"/>
      <c r="X871" s="4"/>
      <c r="Y871" s="4"/>
      <c r="Z871" s="4"/>
      <c r="AA871" s="5"/>
      <c r="AB871" s="5"/>
      <c r="AC871" s="5"/>
      <c r="AD871" s="5"/>
      <c r="AE871" s="5"/>
    </row>
    <row r="872">
      <c r="A872" s="4" t="s">
        <v>1847</v>
      </c>
      <c r="B872" s="4"/>
      <c r="C872" s="4" t="s">
        <v>1476</v>
      </c>
      <c r="D872" s="4">
        <v>50009.0</v>
      </c>
      <c r="E872" s="4"/>
      <c r="F872" s="4" t="s">
        <v>149</v>
      </c>
      <c r="G872" s="4">
        <v>99.0</v>
      </c>
      <c r="H872" s="4"/>
      <c r="I872" s="4">
        <v>99.0</v>
      </c>
      <c r="J872" s="4" t="s">
        <v>1848</v>
      </c>
      <c r="K872" s="4">
        <v>9.18870586732E11</v>
      </c>
      <c r="L872" s="4" t="s">
        <v>67</v>
      </c>
      <c r="M872" s="4" t="b">
        <v>0</v>
      </c>
      <c r="N872" s="4" t="s">
        <v>151</v>
      </c>
      <c r="O872" s="4" t="s">
        <v>69</v>
      </c>
      <c r="P872" s="6">
        <v>44310.0428125</v>
      </c>
      <c r="Q872" s="4">
        <v>17212.0</v>
      </c>
      <c r="R872" s="4"/>
      <c r="S872" s="4"/>
      <c r="T872" s="4"/>
      <c r="U872" s="7"/>
      <c r="V872" s="4"/>
      <c r="W872" s="4"/>
      <c r="X872" s="4"/>
      <c r="Y872" s="4"/>
      <c r="Z872" s="4"/>
      <c r="AA872" s="5"/>
      <c r="AB872" s="5"/>
      <c r="AC872" s="5"/>
      <c r="AD872" s="5"/>
      <c r="AE872" s="5"/>
    </row>
    <row r="873">
      <c r="A873" s="4" t="s">
        <v>1849</v>
      </c>
      <c r="B873" s="4"/>
      <c r="C873" s="4" t="s">
        <v>1592</v>
      </c>
      <c r="D873" s="4">
        <v>49813.0</v>
      </c>
      <c r="E873" s="4"/>
      <c r="F873" s="4" t="s">
        <v>85</v>
      </c>
      <c r="G873" s="4">
        <v>499.0</v>
      </c>
      <c r="H873" s="4"/>
      <c r="I873" s="4">
        <v>499.0</v>
      </c>
      <c r="J873" s="4" t="s">
        <v>1850</v>
      </c>
      <c r="K873" s="4">
        <v>9.19654914415E11</v>
      </c>
      <c r="L873" s="4" t="s">
        <v>67</v>
      </c>
      <c r="M873" s="4" t="b">
        <v>0</v>
      </c>
      <c r="N873" s="4" t="s">
        <v>74</v>
      </c>
      <c r="O873" s="4" t="s">
        <v>69</v>
      </c>
      <c r="P873" s="6">
        <v>44309.844618055555</v>
      </c>
      <c r="Q873" s="4">
        <v>17200.0</v>
      </c>
      <c r="R873" s="4"/>
      <c r="S873" s="4"/>
      <c r="T873" s="4"/>
      <c r="U873" s="7"/>
      <c r="V873" s="4"/>
      <c r="W873" s="4"/>
      <c r="X873" s="4"/>
      <c r="Y873" s="4"/>
      <c r="Z873" s="4"/>
      <c r="AA873" s="5"/>
      <c r="AB873" s="5"/>
      <c r="AC873" s="5"/>
      <c r="AD873" s="5"/>
      <c r="AE873" s="5"/>
    </row>
    <row r="874">
      <c r="A874" s="4" t="s">
        <v>1851</v>
      </c>
      <c r="B874" s="4"/>
      <c r="C874" s="4" t="s">
        <v>858</v>
      </c>
      <c r="D874" s="4">
        <v>49958.0</v>
      </c>
      <c r="E874" s="4"/>
      <c r="F874" s="4" t="s">
        <v>77</v>
      </c>
      <c r="G874" s="4">
        <v>349.0</v>
      </c>
      <c r="H874" s="4"/>
      <c r="I874" s="4">
        <v>349.0</v>
      </c>
      <c r="J874" s="4" t="s">
        <v>1852</v>
      </c>
      <c r="K874" s="4">
        <v>9.19769935791E11</v>
      </c>
      <c r="L874" s="4" t="s">
        <v>67</v>
      </c>
      <c r="M874" s="4" t="b">
        <v>0</v>
      </c>
      <c r="N874" s="4" t="s">
        <v>68</v>
      </c>
      <c r="O874" s="4" t="s">
        <v>69</v>
      </c>
      <c r="P874" s="6">
        <v>44310.3734837963</v>
      </c>
      <c r="Q874" s="4">
        <v>17486.0</v>
      </c>
      <c r="R874" s="4"/>
      <c r="S874" s="4"/>
      <c r="T874" s="4"/>
      <c r="U874" s="8"/>
      <c r="V874" s="4"/>
      <c r="W874" s="4"/>
      <c r="X874" s="4"/>
      <c r="Y874" s="4"/>
      <c r="Z874" s="4"/>
      <c r="AA874" s="5"/>
      <c r="AB874" s="5"/>
      <c r="AC874" s="5"/>
      <c r="AD874" s="5"/>
      <c r="AE874" s="5"/>
    </row>
    <row r="875">
      <c r="A875" s="4" t="s">
        <v>1853</v>
      </c>
      <c r="B875" s="4"/>
      <c r="C875" s="4" t="s">
        <v>1104</v>
      </c>
      <c r="D875" s="4">
        <v>49993.0</v>
      </c>
      <c r="E875" s="4"/>
      <c r="F875" s="4" t="s">
        <v>149</v>
      </c>
      <c r="G875" s="4">
        <v>199.0</v>
      </c>
      <c r="H875" s="4"/>
      <c r="I875" s="4">
        <v>199.0</v>
      </c>
      <c r="J875" s="4" t="s">
        <v>1854</v>
      </c>
      <c r="K875" s="4">
        <v>9.19910337913E11</v>
      </c>
      <c r="L875" s="4" t="s">
        <v>67</v>
      </c>
      <c r="M875" s="4" t="b">
        <v>0</v>
      </c>
      <c r="N875" s="4" t="s">
        <v>74</v>
      </c>
      <c r="O875" s="4" t="s">
        <v>69</v>
      </c>
      <c r="P875" s="6">
        <v>44310.38248842592</v>
      </c>
      <c r="Q875" s="4">
        <v>17235.0</v>
      </c>
      <c r="R875" s="4"/>
      <c r="S875" s="4"/>
      <c r="T875" s="4"/>
      <c r="U875" s="7"/>
      <c r="V875" s="4"/>
      <c r="W875" s="4"/>
      <c r="X875" s="4"/>
      <c r="Y875" s="4"/>
      <c r="Z875" s="4"/>
      <c r="AA875" s="5"/>
      <c r="AB875" s="5"/>
      <c r="AC875" s="5"/>
      <c r="AD875" s="5"/>
      <c r="AE875" s="5"/>
    </row>
    <row r="876">
      <c r="A876" s="4" t="s">
        <v>1855</v>
      </c>
      <c r="B876" s="4"/>
      <c r="C876" s="4" t="s">
        <v>1264</v>
      </c>
      <c r="D876" s="4">
        <v>49994.0</v>
      </c>
      <c r="E876" s="4"/>
      <c r="F876" s="4" t="s">
        <v>149</v>
      </c>
      <c r="G876" s="4">
        <v>99.0</v>
      </c>
      <c r="H876" s="4"/>
      <c r="I876" s="4">
        <v>99.0</v>
      </c>
      <c r="J876" s="4" t="s">
        <v>1856</v>
      </c>
      <c r="K876" s="4">
        <v>9.19850508944E11</v>
      </c>
      <c r="L876" s="4" t="s">
        <v>67</v>
      </c>
      <c r="M876" s="4" t="b">
        <v>0</v>
      </c>
      <c r="N876" s="4" t="s">
        <v>68</v>
      </c>
      <c r="O876" s="4" t="s">
        <v>69</v>
      </c>
      <c r="P876" s="6">
        <v>44310.38758101852</v>
      </c>
      <c r="Q876" s="4">
        <v>17231.0</v>
      </c>
      <c r="R876" s="4"/>
      <c r="S876" s="4"/>
      <c r="T876" s="4"/>
      <c r="U876" s="7"/>
      <c r="V876" s="4"/>
      <c r="W876" s="4"/>
      <c r="X876" s="4"/>
      <c r="Y876" s="4"/>
      <c r="Z876" s="4"/>
      <c r="AA876" s="5"/>
      <c r="AB876" s="5"/>
      <c r="AC876" s="5"/>
      <c r="AD876" s="5"/>
      <c r="AE876" s="5"/>
    </row>
    <row r="877">
      <c r="A877" s="4" t="s">
        <v>1857</v>
      </c>
      <c r="B877" s="4"/>
      <c r="C877" s="4" t="s">
        <v>1476</v>
      </c>
      <c r="D877" s="4">
        <v>50009.0</v>
      </c>
      <c r="E877" s="4"/>
      <c r="F877" s="4" t="s">
        <v>149</v>
      </c>
      <c r="G877" s="4">
        <v>99.0</v>
      </c>
      <c r="H877" s="4"/>
      <c r="I877" s="4">
        <v>99.0</v>
      </c>
      <c r="J877" s="4" t="s">
        <v>1858</v>
      </c>
      <c r="K877" s="4">
        <v>9.19947720403E11</v>
      </c>
      <c r="L877" s="4" t="s">
        <v>67</v>
      </c>
      <c r="M877" s="4" t="b">
        <v>0</v>
      </c>
      <c r="N877" s="4" t="s">
        <v>68</v>
      </c>
      <c r="O877" s="4" t="s">
        <v>69</v>
      </c>
      <c r="P877" s="6">
        <v>44310.41844907407</v>
      </c>
      <c r="Q877" s="4">
        <v>17217.0</v>
      </c>
      <c r="R877" s="4"/>
      <c r="S877" s="4"/>
      <c r="T877" s="4"/>
      <c r="U877" s="7"/>
      <c r="V877" s="4"/>
      <c r="W877" s="4"/>
      <c r="X877" s="4"/>
      <c r="Y877" s="4"/>
      <c r="Z877" s="4"/>
      <c r="AA877" s="5"/>
      <c r="AB877" s="5"/>
      <c r="AC877" s="5"/>
      <c r="AD877" s="5"/>
      <c r="AE877" s="5"/>
    </row>
    <row r="878">
      <c r="A878" s="4" t="s">
        <v>1859</v>
      </c>
      <c r="B878" s="4"/>
      <c r="C878" s="4" t="s">
        <v>1592</v>
      </c>
      <c r="D878" s="4">
        <v>49813.0</v>
      </c>
      <c r="E878" s="4"/>
      <c r="F878" s="4" t="s">
        <v>149</v>
      </c>
      <c r="G878" s="4">
        <v>299.0</v>
      </c>
      <c r="H878" s="4"/>
      <c r="I878" s="4">
        <v>299.0</v>
      </c>
      <c r="J878" s="4" t="s">
        <v>1860</v>
      </c>
      <c r="K878" s="4">
        <v>9.19654492313E11</v>
      </c>
      <c r="L878" s="4" t="s">
        <v>67</v>
      </c>
      <c r="M878" s="4" t="b">
        <v>0</v>
      </c>
      <c r="N878" s="4" t="s">
        <v>68</v>
      </c>
      <c r="O878" s="4" t="s">
        <v>69</v>
      </c>
      <c r="P878" s="6">
        <v>44309.849490740744</v>
      </c>
      <c r="Q878" s="4">
        <v>17199.0</v>
      </c>
      <c r="R878" s="4"/>
      <c r="S878" s="4"/>
      <c r="T878" s="4"/>
      <c r="U878" s="7"/>
      <c r="V878" s="4"/>
      <c r="W878" s="4"/>
      <c r="X878" s="4"/>
      <c r="Y878" s="4"/>
      <c r="Z878" s="4"/>
      <c r="AA878" s="5"/>
      <c r="AB878" s="5"/>
      <c r="AC878" s="5"/>
      <c r="AD878" s="5"/>
      <c r="AE878" s="5"/>
    </row>
    <row r="879">
      <c r="A879" s="4" t="s">
        <v>1861</v>
      </c>
      <c r="B879" s="4"/>
      <c r="C879" s="4" t="s">
        <v>1516</v>
      </c>
      <c r="D879" s="4">
        <v>49996.0</v>
      </c>
      <c r="E879" s="4"/>
      <c r="F879" s="4" t="s">
        <v>77</v>
      </c>
      <c r="G879" s="4">
        <v>349.0</v>
      </c>
      <c r="H879" s="4"/>
      <c r="I879" s="4">
        <v>349.0</v>
      </c>
      <c r="J879" s="4" t="s">
        <v>1862</v>
      </c>
      <c r="K879" s="4">
        <v>9.19946371347E11</v>
      </c>
      <c r="L879" s="4" t="s">
        <v>67</v>
      </c>
      <c r="M879" s="4" t="b">
        <v>0</v>
      </c>
      <c r="N879" s="4" t="s">
        <v>97</v>
      </c>
      <c r="O879" s="4" t="s">
        <v>69</v>
      </c>
      <c r="P879" s="6">
        <v>44310.507997685185</v>
      </c>
      <c r="Q879" s="4">
        <v>17240.0</v>
      </c>
      <c r="R879" s="4"/>
      <c r="S879" s="4"/>
      <c r="T879" s="4"/>
      <c r="U879" s="8"/>
      <c r="V879" s="4"/>
      <c r="W879" s="4"/>
      <c r="X879" s="4"/>
      <c r="Y879" s="4"/>
      <c r="Z879" s="4"/>
      <c r="AA879" s="5"/>
      <c r="AB879" s="5"/>
      <c r="AC879" s="5"/>
      <c r="AD879" s="5"/>
      <c r="AE879" s="5"/>
    </row>
    <row r="880">
      <c r="A880" s="4" t="s">
        <v>1863</v>
      </c>
      <c r="B880" s="4"/>
      <c r="C880" s="4" t="s">
        <v>1592</v>
      </c>
      <c r="D880" s="4">
        <v>49813.0</v>
      </c>
      <c r="E880" s="4"/>
      <c r="F880" s="4" t="s">
        <v>85</v>
      </c>
      <c r="G880" s="4">
        <v>499.0</v>
      </c>
      <c r="H880" s="4"/>
      <c r="I880" s="4">
        <v>499.0</v>
      </c>
      <c r="J880" s="4" t="s">
        <v>1864</v>
      </c>
      <c r="K880" s="4">
        <v>9.19328077756E11</v>
      </c>
      <c r="L880" s="4" t="s">
        <v>67</v>
      </c>
      <c r="M880" s="4" t="b">
        <v>0</v>
      </c>
      <c r="N880" s="4" t="s">
        <v>68</v>
      </c>
      <c r="O880" s="4" t="s">
        <v>69</v>
      </c>
      <c r="P880" s="6">
        <v>44309.88266203704</v>
      </c>
      <c r="Q880" s="4">
        <v>17204.0</v>
      </c>
      <c r="R880" s="4"/>
      <c r="S880" s="4"/>
      <c r="T880" s="4"/>
      <c r="U880" s="7"/>
      <c r="V880" s="4"/>
      <c r="W880" s="4"/>
      <c r="X880" s="4"/>
      <c r="Y880" s="4"/>
      <c r="Z880" s="4"/>
      <c r="AA880" s="5"/>
      <c r="AB880" s="5"/>
      <c r="AC880" s="5"/>
      <c r="AD880" s="5"/>
      <c r="AE880" s="5"/>
    </row>
    <row r="881">
      <c r="A881" s="4" t="s">
        <v>1865</v>
      </c>
      <c r="B881" s="4"/>
      <c r="C881" s="4" t="s">
        <v>184</v>
      </c>
      <c r="D881" s="4">
        <v>49833.0</v>
      </c>
      <c r="E881" s="4"/>
      <c r="F881" s="4" t="s">
        <v>85</v>
      </c>
      <c r="G881" s="4">
        <v>299.0</v>
      </c>
      <c r="H881" s="4"/>
      <c r="I881" s="4">
        <v>299.0</v>
      </c>
      <c r="J881" s="4" t="s">
        <v>1866</v>
      </c>
      <c r="K881" s="4">
        <v>9.19503380918E11</v>
      </c>
      <c r="L881" s="4" t="s">
        <v>67</v>
      </c>
      <c r="M881" s="4" t="b">
        <v>0</v>
      </c>
      <c r="N881" s="4" t="s">
        <v>151</v>
      </c>
      <c r="O881" s="4" t="s">
        <v>69</v>
      </c>
      <c r="P881" s="6">
        <v>44310.519282407404</v>
      </c>
      <c r="Q881" s="4">
        <v>17224.0</v>
      </c>
      <c r="R881" s="4"/>
      <c r="S881" s="4"/>
      <c r="T881" s="4"/>
      <c r="U881" s="7"/>
      <c r="V881" s="4"/>
      <c r="W881" s="4"/>
      <c r="X881" s="4"/>
      <c r="Y881" s="4"/>
      <c r="Z881" s="4"/>
      <c r="AA881" s="5"/>
      <c r="AB881" s="5"/>
      <c r="AC881" s="5"/>
      <c r="AD881" s="5"/>
      <c r="AE881" s="5"/>
    </row>
    <row r="882">
      <c r="A882" s="4" t="s">
        <v>1867</v>
      </c>
      <c r="B882" s="4"/>
      <c r="C882" s="4" t="s">
        <v>1592</v>
      </c>
      <c r="D882" s="4">
        <v>49813.0</v>
      </c>
      <c r="E882" s="4"/>
      <c r="F882" s="4" t="s">
        <v>149</v>
      </c>
      <c r="G882" s="4">
        <v>299.0</v>
      </c>
      <c r="H882" s="4"/>
      <c r="I882" s="4">
        <v>299.0</v>
      </c>
      <c r="J882" s="4" t="s">
        <v>1868</v>
      </c>
      <c r="K882" s="4">
        <v>9.19819472243E11</v>
      </c>
      <c r="L882" s="4" t="s">
        <v>67</v>
      </c>
      <c r="M882" s="4" t="b">
        <v>0</v>
      </c>
      <c r="N882" s="4" t="s">
        <v>74</v>
      </c>
      <c r="O882" s="4" t="s">
        <v>69</v>
      </c>
      <c r="P882" s="6">
        <v>44310.0346412037</v>
      </c>
      <c r="Q882" s="4">
        <v>17211.0</v>
      </c>
      <c r="R882" s="4"/>
      <c r="S882" s="4"/>
      <c r="T882" s="4"/>
      <c r="U882" s="7"/>
      <c r="V882" s="4"/>
      <c r="W882" s="4"/>
      <c r="X882" s="4"/>
      <c r="Y882" s="4"/>
      <c r="Z882" s="4"/>
      <c r="AA882" s="5"/>
      <c r="AB882" s="5"/>
      <c r="AC882" s="5"/>
      <c r="AD882" s="5"/>
      <c r="AE882" s="5"/>
    </row>
    <row r="883">
      <c r="A883" s="4" t="s">
        <v>1869</v>
      </c>
      <c r="B883" s="4"/>
      <c r="C883" s="4" t="s">
        <v>858</v>
      </c>
      <c r="D883" s="4">
        <v>49958.0</v>
      </c>
      <c r="E883" s="4"/>
      <c r="F883" s="4" t="s">
        <v>77</v>
      </c>
      <c r="G883" s="4">
        <v>349.0</v>
      </c>
      <c r="H883" s="4"/>
      <c r="I883" s="4">
        <v>349.0</v>
      </c>
      <c r="J883" s="4" t="s">
        <v>1870</v>
      </c>
      <c r="K883" s="4">
        <v>9.19811885722E11</v>
      </c>
      <c r="L883" s="4" t="s">
        <v>67</v>
      </c>
      <c r="M883" s="4" t="b">
        <v>0</v>
      </c>
      <c r="N883" s="4" t="s">
        <v>68</v>
      </c>
      <c r="O883" s="4" t="s">
        <v>69</v>
      </c>
      <c r="P883" s="6">
        <v>44310.58741898148</v>
      </c>
      <c r="Q883" s="4">
        <v>17232.0</v>
      </c>
      <c r="R883" s="4"/>
      <c r="S883" s="4"/>
      <c r="T883" s="4"/>
      <c r="U883" s="8"/>
      <c r="V883" s="4"/>
      <c r="W883" s="4"/>
      <c r="X883" s="4"/>
      <c r="Y883" s="4"/>
      <c r="Z883" s="4"/>
      <c r="AA883" s="5"/>
      <c r="AB883" s="5"/>
      <c r="AC883" s="5"/>
      <c r="AD883" s="5"/>
      <c r="AE883" s="5"/>
    </row>
    <row r="884">
      <c r="A884" s="4" t="s">
        <v>1871</v>
      </c>
      <c r="B884" s="4"/>
      <c r="C884" s="4" t="s">
        <v>1592</v>
      </c>
      <c r="D884" s="4">
        <v>49813.0</v>
      </c>
      <c r="E884" s="4"/>
      <c r="F884" s="4" t="s">
        <v>77</v>
      </c>
      <c r="G884" s="4">
        <v>799.0</v>
      </c>
      <c r="H884" s="4"/>
      <c r="I884" s="4">
        <v>799.0</v>
      </c>
      <c r="J884" s="4" t="s">
        <v>1872</v>
      </c>
      <c r="K884" s="4">
        <v>9.17875438308E11</v>
      </c>
      <c r="L884" s="4" t="s">
        <v>67</v>
      </c>
      <c r="M884" s="4" t="b">
        <v>0</v>
      </c>
      <c r="N884" s="4" t="s">
        <v>68</v>
      </c>
      <c r="O884" s="4" t="s">
        <v>69</v>
      </c>
      <c r="P884" s="6">
        <v>44310.36651620371</v>
      </c>
      <c r="Q884" s="4">
        <v>17215.0</v>
      </c>
      <c r="R884" s="4"/>
      <c r="S884" s="4"/>
      <c r="T884" s="4"/>
      <c r="U884" s="8"/>
      <c r="V884" s="4"/>
      <c r="W884" s="4"/>
      <c r="X884" s="4"/>
      <c r="Y884" s="4"/>
      <c r="Z884" s="4"/>
      <c r="AA884" s="5"/>
      <c r="AB884" s="5"/>
      <c r="AC884" s="5"/>
      <c r="AD884" s="5"/>
      <c r="AE884" s="5"/>
    </row>
    <row r="885">
      <c r="A885" s="4" t="s">
        <v>1873</v>
      </c>
      <c r="B885" s="4"/>
      <c r="C885" s="4" t="s">
        <v>1059</v>
      </c>
      <c r="D885" s="4">
        <v>49997.0</v>
      </c>
      <c r="E885" s="4"/>
      <c r="F885" s="4" t="s">
        <v>149</v>
      </c>
      <c r="G885" s="4">
        <v>99.0</v>
      </c>
      <c r="H885" s="4"/>
      <c r="I885" s="4">
        <v>99.0</v>
      </c>
      <c r="J885" s="4" t="s">
        <v>1874</v>
      </c>
      <c r="K885" s="4">
        <v>9.19579795121E11</v>
      </c>
      <c r="L885" s="4" t="s">
        <v>67</v>
      </c>
      <c r="M885" s="4" t="b">
        <v>0</v>
      </c>
      <c r="N885" s="4" t="s">
        <v>68</v>
      </c>
      <c r="O885" s="4" t="s">
        <v>69</v>
      </c>
      <c r="P885" s="6">
        <v>44310.646875</v>
      </c>
      <c r="Q885" s="4">
        <v>17243.0</v>
      </c>
      <c r="R885" s="4"/>
      <c r="S885" s="4"/>
      <c r="T885" s="4"/>
      <c r="U885" s="7"/>
      <c r="V885" s="4"/>
      <c r="W885" s="4"/>
      <c r="X885" s="4"/>
      <c r="Y885" s="4"/>
      <c r="Z885" s="4"/>
      <c r="AA885" s="5"/>
      <c r="AB885" s="5"/>
      <c r="AC885" s="5"/>
      <c r="AD885" s="5"/>
      <c r="AE885" s="5"/>
    </row>
    <row r="886">
      <c r="A886" s="4" t="s">
        <v>1875</v>
      </c>
      <c r="B886" s="4"/>
      <c r="C886" s="4" t="s">
        <v>1320</v>
      </c>
      <c r="D886" s="4">
        <v>50036.0</v>
      </c>
      <c r="E886" s="4"/>
      <c r="F886" s="4" t="s">
        <v>149</v>
      </c>
      <c r="G886" s="4">
        <v>149.0</v>
      </c>
      <c r="H886" s="4"/>
      <c r="I886" s="4">
        <v>149.0</v>
      </c>
      <c r="J886" s="4" t="s">
        <v>1876</v>
      </c>
      <c r="K886" s="4">
        <v>9.19654240109E11</v>
      </c>
      <c r="L886" s="4" t="s">
        <v>67</v>
      </c>
      <c r="M886" s="4" t="b">
        <v>0</v>
      </c>
      <c r="N886" s="4" t="s">
        <v>97</v>
      </c>
      <c r="O886" s="4" t="s">
        <v>69</v>
      </c>
      <c r="P886" s="6">
        <v>44310.67668981481</v>
      </c>
      <c r="Q886" s="4">
        <v>17237.0</v>
      </c>
      <c r="R886" s="4"/>
      <c r="S886" s="4"/>
      <c r="T886" s="4"/>
      <c r="U886" s="7"/>
      <c r="V886" s="4"/>
      <c r="W886" s="4"/>
      <c r="X886" s="4"/>
      <c r="Y886" s="4"/>
      <c r="Z886" s="4"/>
      <c r="AA886" s="5"/>
      <c r="AB886" s="5"/>
      <c r="AC886" s="5"/>
      <c r="AD886" s="5"/>
      <c r="AE886" s="5"/>
    </row>
    <row r="887">
      <c r="A887" s="4" t="s">
        <v>1877</v>
      </c>
      <c r="B887" s="4"/>
      <c r="C887" s="4" t="s">
        <v>1516</v>
      </c>
      <c r="D887" s="4">
        <v>49996.0</v>
      </c>
      <c r="E887" s="4"/>
      <c r="F887" s="4" t="s">
        <v>149</v>
      </c>
      <c r="G887" s="4">
        <v>99.0</v>
      </c>
      <c r="H887" s="4"/>
      <c r="I887" s="4">
        <v>99.0</v>
      </c>
      <c r="J887" s="4" t="s">
        <v>1878</v>
      </c>
      <c r="K887" s="4">
        <v>9.19763358291E11</v>
      </c>
      <c r="L887" s="4" t="s">
        <v>67</v>
      </c>
      <c r="M887" s="4" t="b">
        <v>0</v>
      </c>
      <c r="N887" s="4" t="s">
        <v>74</v>
      </c>
      <c r="O887" s="4" t="s">
        <v>69</v>
      </c>
      <c r="P887" s="6">
        <v>44310.72119212963</v>
      </c>
      <c r="Q887" s="4">
        <v>17248.0</v>
      </c>
      <c r="R887" s="4"/>
      <c r="S887" s="4"/>
      <c r="T887" s="4"/>
      <c r="U887" s="7"/>
      <c r="V887" s="4"/>
      <c r="W887" s="4"/>
      <c r="X887" s="4"/>
      <c r="Y887" s="4"/>
      <c r="Z887" s="4"/>
      <c r="AA887" s="5"/>
      <c r="AB887" s="5"/>
      <c r="AC887" s="5"/>
      <c r="AD887" s="5"/>
      <c r="AE887" s="5"/>
    </row>
    <row r="888">
      <c r="A888" s="4" t="s">
        <v>1879</v>
      </c>
      <c r="B888" s="4"/>
      <c r="C888" s="4" t="s">
        <v>184</v>
      </c>
      <c r="D888" s="4">
        <v>49833.0</v>
      </c>
      <c r="E888" s="4"/>
      <c r="F888" s="4" t="s">
        <v>85</v>
      </c>
      <c r="G888" s="4">
        <v>299.0</v>
      </c>
      <c r="H888" s="4"/>
      <c r="I888" s="4">
        <v>299.0</v>
      </c>
      <c r="J888" s="4" t="s">
        <v>1880</v>
      </c>
      <c r="K888" s="4">
        <v>9.18286930083E11</v>
      </c>
      <c r="L888" s="4" t="s">
        <v>67</v>
      </c>
      <c r="M888" s="4" t="b">
        <v>0</v>
      </c>
      <c r="N888" s="4" t="s">
        <v>68</v>
      </c>
      <c r="O888" s="4" t="s">
        <v>69</v>
      </c>
      <c r="P888" s="6">
        <v>44310.72900462963</v>
      </c>
      <c r="Q888" s="4">
        <v>17238.0</v>
      </c>
      <c r="R888" s="4"/>
      <c r="S888" s="4"/>
      <c r="T888" s="4"/>
      <c r="U888" s="7"/>
      <c r="V888" s="4"/>
      <c r="W888" s="4"/>
      <c r="X888" s="4"/>
      <c r="Y888" s="4"/>
      <c r="Z888" s="4"/>
      <c r="AA888" s="5"/>
      <c r="AB888" s="5"/>
      <c r="AC888" s="5"/>
      <c r="AD888" s="5"/>
      <c r="AE888" s="5"/>
    </row>
    <row r="889">
      <c r="A889" s="4" t="s">
        <v>1881</v>
      </c>
      <c r="B889" s="4"/>
      <c r="C889" s="4" t="s">
        <v>76</v>
      </c>
      <c r="D889" s="4">
        <v>49834.0</v>
      </c>
      <c r="E889" s="4"/>
      <c r="F889" s="4" t="s">
        <v>77</v>
      </c>
      <c r="G889" s="4">
        <v>349.0</v>
      </c>
      <c r="H889" s="4"/>
      <c r="I889" s="4">
        <v>349.0</v>
      </c>
      <c r="J889" s="4" t="s">
        <v>1882</v>
      </c>
      <c r="K889" s="4">
        <v>9.1986044448E11</v>
      </c>
      <c r="L889" s="4" t="s">
        <v>67</v>
      </c>
      <c r="M889" s="4" t="b">
        <v>0</v>
      </c>
      <c r="N889" s="4" t="s">
        <v>68</v>
      </c>
      <c r="O889" s="4" t="s">
        <v>69</v>
      </c>
      <c r="P889" s="6">
        <v>44310.73825231481</v>
      </c>
      <c r="Q889" s="4">
        <v>17239.0</v>
      </c>
      <c r="R889" s="4"/>
      <c r="S889" s="4"/>
      <c r="T889" s="4"/>
      <c r="U889" s="8"/>
      <c r="V889" s="4"/>
      <c r="W889" s="4"/>
      <c r="X889" s="4"/>
      <c r="Y889" s="4"/>
      <c r="Z889" s="4"/>
      <c r="AA889" s="5"/>
      <c r="AB889" s="5"/>
      <c r="AC889" s="5"/>
      <c r="AD889" s="5"/>
      <c r="AE889" s="5"/>
    </row>
    <row r="890">
      <c r="A890" s="4" t="s">
        <v>1883</v>
      </c>
      <c r="B890" s="4"/>
      <c r="C890" s="4" t="s">
        <v>1476</v>
      </c>
      <c r="D890" s="4">
        <v>50009.0</v>
      </c>
      <c r="E890" s="4"/>
      <c r="F890" s="4" t="s">
        <v>149</v>
      </c>
      <c r="G890" s="4">
        <v>99.0</v>
      </c>
      <c r="H890" s="4"/>
      <c r="I890" s="4">
        <v>99.0</v>
      </c>
      <c r="J890" s="4" t="s">
        <v>1884</v>
      </c>
      <c r="K890" s="4">
        <v>9.19980004875E11</v>
      </c>
      <c r="L890" s="4" t="s">
        <v>67</v>
      </c>
      <c r="M890" s="4" t="b">
        <v>0</v>
      </c>
      <c r="N890" s="4" t="s">
        <v>151</v>
      </c>
      <c r="O890" s="4" t="s">
        <v>69</v>
      </c>
      <c r="P890" s="6">
        <v>44310.75115740741</v>
      </c>
      <c r="Q890" s="4">
        <v>17244.0</v>
      </c>
      <c r="R890" s="4"/>
      <c r="S890" s="4"/>
      <c r="T890" s="4"/>
      <c r="U890" s="7"/>
      <c r="V890" s="4"/>
      <c r="W890" s="4"/>
      <c r="X890" s="4"/>
      <c r="Y890" s="4"/>
      <c r="Z890" s="4"/>
      <c r="AA890" s="5"/>
      <c r="AB890" s="5"/>
      <c r="AC890" s="5"/>
      <c r="AD890" s="5"/>
      <c r="AE890" s="5"/>
    </row>
    <row r="891">
      <c r="A891" s="4" t="s">
        <v>1885</v>
      </c>
      <c r="B891" s="4"/>
      <c r="C891" s="4" t="s">
        <v>1516</v>
      </c>
      <c r="D891" s="4">
        <v>49996.0</v>
      </c>
      <c r="E891" s="4"/>
      <c r="F891" s="4" t="s">
        <v>149</v>
      </c>
      <c r="G891" s="4">
        <v>99.0</v>
      </c>
      <c r="H891" s="4"/>
      <c r="I891" s="4">
        <v>99.0</v>
      </c>
      <c r="J891" s="4" t="s">
        <v>1886</v>
      </c>
      <c r="K891" s="4">
        <v>9.1981966579E11</v>
      </c>
      <c r="L891" s="4" t="s">
        <v>67</v>
      </c>
      <c r="M891" s="4" t="b">
        <v>0</v>
      </c>
      <c r="N891" s="4" t="s">
        <v>68</v>
      </c>
      <c r="O891" s="4" t="s">
        <v>69</v>
      </c>
      <c r="P891" s="6">
        <v>44310.771319444444</v>
      </c>
      <c r="Q891" s="4">
        <v>17253.0</v>
      </c>
      <c r="R891" s="4"/>
      <c r="S891" s="4"/>
      <c r="T891" s="4"/>
      <c r="U891" s="7"/>
      <c r="V891" s="4"/>
      <c r="W891" s="4"/>
      <c r="X891" s="4"/>
      <c r="Y891" s="4"/>
      <c r="Z891" s="4"/>
      <c r="AA891" s="5"/>
      <c r="AB891" s="5"/>
      <c r="AC891" s="5"/>
      <c r="AD891" s="5"/>
      <c r="AE891" s="5"/>
    </row>
    <row r="892">
      <c r="A892" s="4" t="s">
        <v>1887</v>
      </c>
      <c r="B892" s="4"/>
      <c r="C892" s="4" t="s">
        <v>1592</v>
      </c>
      <c r="D892" s="4">
        <v>49813.0</v>
      </c>
      <c r="E892" s="4"/>
      <c r="F892" s="4" t="s">
        <v>149</v>
      </c>
      <c r="G892" s="4">
        <v>299.0</v>
      </c>
      <c r="H892" s="4"/>
      <c r="I892" s="4">
        <v>299.0</v>
      </c>
      <c r="J892" s="4" t="s">
        <v>1888</v>
      </c>
      <c r="K892" s="4">
        <v>9.19820903058E11</v>
      </c>
      <c r="L892" s="4" t="s">
        <v>67</v>
      </c>
      <c r="M892" s="4" t="b">
        <v>0</v>
      </c>
      <c r="N892" s="4" t="s">
        <v>68</v>
      </c>
      <c r="O892" s="4" t="s">
        <v>69</v>
      </c>
      <c r="P892" s="6">
        <v>44310.64454861111</v>
      </c>
      <c r="Q892" s="4">
        <v>17268.0</v>
      </c>
      <c r="R892" s="4"/>
      <c r="S892" s="4"/>
      <c r="T892" s="4"/>
      <c r="U892" s="7"/>
      <c r="V892" s="4"/>
      <c r="W892" s="4"/>
      <c r="X892" s="4"/>
      <c r="Y892" s="4"/>
      <c r="Z892" s="4"/>
      <c r="AA892" s="5"/>
      <c r="AB892" s="5"/>
      <c r="AC892" s="5"/>
      <c r="AD892" s="5"/>
      <c r="AE892" s="5"/>
    </row>
    <row r="893">
      <c r="A893" s="4" t="s">
        <v>1889</v>
      </c>
      <c r="B893" s="4"/>
      <c r="C893" s="4" t="s">
        <v>885</v>
      </c>
      <c r="D893" s="4">
        <v>49844.0</v>
      </c>
      <c r="E893" s="4"/>
      <c r="F893" s="4" t="s">
        <v>85</v>
      </c>
      <c r="G893" s="4">
        <v>199.0</v>
      </c>
      <c r="H893" s="4"/>
      <c r="I893" s="4">
        <v>199.0</v>
      </c>
      <c r="J893" s="4" t="s">
        <v>1890</v>
      </c>
      <c r="K893" s="4">
        <v>9.19916134854E11</v>
      </c>
      <c r="L893" s="4" t="s">
        <v>67</v>
      </c>
      <c r="M893" s="4" t="b">
        <v>0</v>
      </c>
      <c r="N893" s="4" t="s">
        <v>151</v>
      </c>
      <c r="O893" s="4" t="s">
        <v>69</v>
      </c>
      <c r="P893" s="6">
        <v>44310.801041666666</v>
      </c>
      <c r="Q893" s="4">
        <v>12778.0</v>
      </c>
      <c r="R893" s="4"/>
      <c r="S893" s="4"/>
      <c r="T893" s="4"/>
      <c r="U893" s="7"/>
      <c r="V893" s="4"/>
      <c r="W893" s="4"/>
      <c r="X893" s="4"/>
      <c r="Y893" s="4"/>
      <c r="Z893" s="4"/>
      <c r="AA893" s="5"/>
      <c r="AB893" s="5"/>
      <c r="AC893" s="5"/>
      <c r="AD893" s="5"/>
      <c r="AE893" s="5"/>
    </row>
    <row r="894">
      <c r="A894" s="4" t="s">
        <v>1891</v>
      </c>
      <c r="B894" s="4"/>
      <c r="C894" s="4" t="s">
        <v>1592</v>
      </c>
      <c r="D894" s="4">
        <v>49813.0</v>
      </c>
      <c r="E894" s="4"/>
      <c r="F894" s="4" t="s">
        <v>77</v>
      </c>
      <c r="G894" s="4">
        <v>799.0</v>
      </c>
      <c r="H894" s="4"/>
      <c r="I894" s="4">
        <v>799.0</v>
      </c>
      <c r="J894" s="4" t="s">
        <v>1892</v>
      </c>
      <c r="K894" s="4">
        <v>9.178992233E11</v>
      </c>
      <c r="L894" s="4" t="s">
        <v>67</v>
      </c>
      <c r="M894" s="4" t="b">
        <v>0</v>
      </c>
      <c r="N894" s="4" t="s">
        <v>68</v>
      </c>
      <c r="O894" s="4" t="s">
        <v>69</v>
      </c>
      <c r="P894" s="6">
        <v>44311.26671296296</v>
      </c>
      <c r="Q894" s="4" t="s">
        <v>83</v>
      </c>
      <c r="R894" s="4"/>
      <c r="S894" s="4"/>
      <c r="T894" s="4"/>
      <c r="U894" s="8"/>
      <c r="V894" s="4"/>
      <c r="W894" s="4"/>
      <c r="X894" s="4"/>
      <c r="Y894" s="4"/>
      <c r="Z894" s="4"/>
      <c r="AA894" s="5"/>
      <c r="AB894" s="5"/>
      <c r="AC894" s="5"/>
      <c r="AD894" s="5"/>
      <c r="AE894" s="5"/>
    </row>
    <row r="895">
      <c r="A895" s="4" t="s">
        <v>1893</v>
      </c>
      <c r="B895" s="4"/>
      <c r="C895" s="4" t="s">
        <v>960</v>
      </c>
      <c r="D895" s="4">
        <v>49834.0</v>
      </c>
      <c r="E895" s="4"/>
      <c r="F895" s="4" t="s">
        <v>149</v>
      </c>
      <c r="G895" s="4">
        <v>99.0</v>
      </c>
      <c r="H895" s="4"/>
      <c r="I895" s="4">
        <v>99.0</v>
      </c>
      <c r="J895" s="4" t="s">
        <v>1894</v>
      </c>
      <c r="K895" s="4">
        <v>9.19717873679E11</v>
      </c>
      <c r="L895" s="4" t="s">
        <v>67</v>
      </c>
      <c r="M895" s="4" t="b">
        <v>0</v>
      </c>
      <c r="N895" s="4" t="s">
        <v>68</v>
      </c>
      <c r="O895" s="4" t="s">
        <v>69</v>
      </c>
      <c r="P895" s="6">
        <v>44310.82356481482</v>
      </c>
      <c r="Q895" s="4" t="s">
        <v>83</v>
      </c>
      <c r="R895" s="4"/>
      <c r="S895" s="4"/>
      <c r="T895" s="4"/>
      <c r="U895" s="7"/>
      <c r="V895" s="4"/>
      <c r="W895" s="4"/>
      <c r="X895" s="4"/>
      <c r="Y895" s="4"/>
      <c r="Z895" s="4"/>
      <c r="AA895" s="5"/>
      <c r="AB895" s="5"/>
      <c r="AC895" s="5"/>
      <c r="AD895" s="5"/>
      <c r="AE895" s="5"/>
    </row>
    <row r="896">
      <c r="A896" s="4" t="s">
        <v>1895</v>
      </c>
      <c r="B896" s="4"/>
      <c r="C896" s="4" t="s">
        <v>1592</v>
      </c>
      <c r="D896" s="4">
        <v>49813.0</v>
      </c>
      <c r="E896" s="4"/>
      <c r="F896" s="4" t="s">
        <v>149</v>
      </c>
      <c r="G896" s="4">
        <v>299.0</v>
      </c>
      <c r="H896" s="4"/>
      <c r="I896" s="4">
        <v>299.0</v>
      </c>
      <c r="J896" s="4" t="s">
        <v>1896</v>
      </c>
      <c r="K896" s="4">
        <v>9.19840210315E11</v>
      </c>
      <c r="L896" s="4" t="s">
        <v>67</v>
      </c>
      <c r="M896" s="4" t="b">
        <v>0</v>
      </c>
      <c r="N896" s="4" t="s">
        <v>97</v>
      </c>
      <c r="O896" s="4" t="s">
        <v>69</v>
      </c>
      <c r="P896" s="6">
        <v>44311.646631944444</v>
      </c>
      <c r="Q896" s="4" t="s">
        <v>83</v>
      </c>
      <c r="R896" s="4"/>
      <c r="S896" s="4"/>
      <c r="T896" s="4"/>
      <c r="U896" s="7"/>
      <c r="V896" s="4"/>
      <c r="W896" s="4"/>
      <c r="X896" s="4"/>
      <c r="Y896" s="4"/>
      <c r="Z896" s="4"/>
      <c r="AA896" s="5"/>
      <c r="AB896" s="5"/>
      <c r="AC896" s="5"/>
      <c r="AD896" s="5"/>
      <c r="AE896" s="5"/>
    </row>
    <row r="897">
      <c r="A897" s="4" t="s">
        <v>1897</v>
      </c>
      <c r="B897" s="4"/>
      <c r="C897" s="4" t="s">
        <v>1592</v>
      </c>
      <c r="D897" s="4">
        <v>49813.0</v>
      </c>
      <c r="E897" s="4"/>
      <c r="F897" s="4" t="s">
        <v>149</v>
      </c>
      <c r="G897" s="4">
        <v>299.0</v>
      </c>
      <c r="H897" s="4"/>
      <c r="I897" s="4">
        <v>299.0</v>
      </c>
      <c r="J897" s="4" t="s">
        <v>1898</v>
      </c>
      <c r="K897" s="4">
        <v>9.19766712546E11</v>
      </c>
      <c r="L897" s="4" t="s">
        <v>67</v>
      </c>
      <c r="M897" s="4" t="b">
        <v>0</v>
      </c>
      <c r="N897" s="4" t="s">
        <v>97</v>
      </c>
      <c r="O897" s="4" t="s">
        <v>69</v>
      </c>
      <c r="P897" s="6">
        <v>44311.709178240744</v>
      </c>
      <c r="Q897" s="4">
        <v>17287.0</v>
      </c>
      <c r="R897" s="4"/>
      <c r="S897" s="4"/>
      <c r="T897" s="4"/>
      <c r="U897" s="7"/>
      <c r="V897" s="4"/>
      <c r="W897" s="4"/>
      <c r="X897" s="4"/>
      <c r="Y897" s="4"/>
      <c r="Z897" s="4"/>
      <c r="AA897" s="5"/>
      <c r="AB897" s="5"/>
      <c r="AC897" s="5"/>
      <c r="AD897" s="5"/>
      <c r="AE897" s="5"/>
    </row>
    <row r="898">
      <c r="A898" s="4" t="s">
        <v>1899</v>
      </c>
      <c r="B898" s="4"/>
      <c r="C898" s="4" t="s">
        <v>1476</v>
      </c>
      <c r="D898" s="4">
        <v>50009.0</v>
      </c>
      <c r="E898" s="4"/>
      <c r="F898" s="4" t="s">
        <v>149</v>
      </c>
      <c r="G898" s="4">
        <v>99.0</v>
      </c>
      <c r="H898" s="4"/>
      <c r="I898" s="4">
        <v>99.0</v>
      </c>
      <c r="J898" s="4" t="s">
        <v>1900</v>
      </c>
      <c r="K898" s="4">
        <v>9.18700450509E11</v>
      </c>
      <c r="L898" s="4" t="s">
        <v>67</v>
      </c>
      <c r="M898" s="4" t="b">
        <v>0</v>
      </c>
      <c r="N898" s="4" t="s">
        <v>68</v>
      </c>
      <c r="O898" s="4" t="s">
        <v>69</v>
      </c>
      <c r="P898" s="6">
        <v>44310.854409722226</v>
      </c>
      <c r="Q898" s="4" t="s">
        <v>83</v>
      </c>
      <c r="R898" s="4"/>
      <c r="S898" s="4"/>
      <c r="T898" s="4"/>
      <c r="U898" s="7"/>
      <c r="V898" s="4"/>
      <c r="W898" s="4"/>
      <c r="X898" s="4"/>
      <c r="Y898" s="4"/>
      <c r="Z898" s="4"/>
      <c r="AA898" s="5"/>
      <c r="AB898" s="5"/>
      <c r="AC898" s="5"/>
      <c r="AD898" s="5"/>
      <c r="AE898" s="5"/>
    </row>
    <row r="899">
      <c r="A899" s="4" t="s">
        <v>1901</v>
      </c>
      <c r="B899" s="4"/>
      <c r="C899" s="4" t="s">
        <v>184</v>
      </c>
      <c r="D899" s="4">
        <v>49833.0</v>
      </c>
      <c r="E899" s="4"/>
      <c r="F899" s="4" t="s">
        <v>77</v>
      </c>
      <c r="G899" s="4">
        <v>499.0</v>
      </c>
      <c r="H899" s="4"/>
      <c r="I899" s="4">
        <v>499.0</v>
      </c>
      <c r="J899" s="4" t="s">
        <v>1902</v>
      </c>
      <c r="K899" s="4">
        <v>9.19373166526E11</v>
      </c>
      <c r="L899" s="4" t="s">
        <v>67</v>
      </c>
      <c r="M899" s="4" t="b">
        <v>0</v>
      </c>
      <c r="N899" s="4" t="s">
        <v>68</v>
      </c>
      <c r="O899" s="4" t="s">
        <v>69</v>
      </c>
      <c r="P899" s="6">
        <v>44310.86576388889</v>
      </c>
      <c r="Q899" s="4">
        <v>17250.0</v>
      </c>
      <c r="R899" s="4"/>
      <c r="S899" s="4"/>
      <c r="T899" s="4"/>
      <c r="U899" s="8"/>
      <c r="V899" s="4"/>
      <c r="W899" s="4"/>
      <c r="X899" s="4"/>
      <c r="Y899" s="4"/>
      <c r="Z899" s="4"/>
      <c r="AA899" s="5"/>
      <c r="AB899" s="5"/>
      <c r="AC899" s="5"/>
      <c r="AD899" s="5"/>
      <c r="AE899" s="5"/>
    </row>
    <row r="900">
      <c r="A900" s="4" t="s">
        <v>1903</v>
      </c>
      <c r="B900" s="4"/>
      <c r="C900" s="4" t="s">
        <v>1592</v>
      </c>
      <c r="D900" s="4">
        <v>49813.0</v>
      </c>
      <c r="E900" s="4"/>
      <c r="F900" s="4" t="s">
        <v>149</v>
      </c>
      <c r="G900" s="4">
        <v>299.0</v>
      </c>
      <c r="H900" s="4"/>
      <c r="I900" s="4">
        <v>299.0</v>
      </c>
      <c r="J900" s="4" t="s">
        <v>1904</v>
      </c>
      <c r="K900" s="4">
        <v>9.19986777712E11</v>
      </c>
      <c r="L900" s="4" t="s">
        <v>67</v>
      </c>
      <c r="M900" s="4" t="b">
        <v>0</v>
      </c>
      <c r="N900" s="4" t="s">
        <v>68</v>
      </c>
      <c r="O900" s="4" t="s">
        <v>69</v>
      </c>
      <c r="P900" s="6">
        <v>44312.5949537037</v>
      </c>
      <c r="Q900" s="4" t="s">
        <v>83</v>
      </c>
      <c r="R900" s="4"/>
      <c r="S900" s="4"/>
      <c r="T900" s="4"/>
      <c r="U900" s="7"/>
      <c r="V900" s="4"/>
      <c r="W900" s="4"/>
      <c r="X900" s="4"/>
      <c r="Y900" s="4"/>
      <c r="Z900" s="4"/>
      <c r="AA900" s="5"/>
      <c r="AB900" s="5"/>
      <c r="AC900" s="5"/>
      <c r="AD900" s="5"/>
      <c r="AE900" s="5"/>
    </row>
    <row r="901">
      <c r="A901" s="4" t="s">
        <v>1905</v>
      </c>
      <c r="B901" s="4"/>
      <c r="C901" s="4" t="s">
        <v>1592</v>
      </c>
      <c r="D901" s="4">
        <v>49813.0</v>
      </c>
      <c r="E901" s="4"/>
      <c r="F901" s="4" t="s">
        <v>149</v>
      </c>
      <c r="G901" s="4">
        <v>299.0</v>
      </c>
      <c r="H901" s="4"/>
      <c r="I901" s="4">
        <v>299.0</v>
      </c>
      <c r="J901" s="4" t="s">
        <v>1906</v>
      </c>
      <c r="K901" s="4">
        <v>9.19717044153E11</v>
      </c>
      <c r="L901" s="4" t="s">
        <v>67</v>
      </c>
      <c r="M901" s="4" t="b">
        <v>0</v>
      </c>
      <c r="N901" s="4" t="s">
        <v>68</v>
      </c>
      <c r="O901" s="4" t="s">
        <v>69</v>
      </c>
      <c r="P901" s="6">
        <v>44312.71225694445</v>
      </c>
      <c r="Q901" s="4">
        <v>17317.0</v>
      </c>
      <c r="R901" s="4"/>
      <c r="S901" s="4"/>
      <c r="T901" s="4"/>
      <c r="U901" s="7"/>
      <c r="V901" s="4"/>
      <c r="W901" s="4"/>
      <c r="X901" s="4"/>
      <c r="Y901" s="4"/>
      <c r="Z901" s="4"/>
      <c r="AA901" s="5"/>
      <c r="AB901" s="5"/>
      <c r="AC901" s="5"/>
      <c r="AD901" s="5"/>
      <c r="AE901" s="5"/>
    </row>
    <row r="902">
      <c r="A902" s="4" t="s">
        <v>1907</v>
      </c>
      <c r="B902" s="4"/>
      <c r="C902" s="4" t="s">
        <v>1592</v>
      </c>
      <c r="D902" s="4">
        <v>49813.0</v>
      </c>
      <c r="E902" s="4"/>
      <c r="F902" s="4" t="s">
        <v>149</v>
      </c>
      <c r="G902" s="4">
        <v>299.0</v>
      </c>
      <c r="H902" s="4"/>
      <c r="I902" s="4">
        <v>299.0</v>
      </c>
      <c r="J902" s="4" t="s">
        <v>1908</v>
      </c>
      <c r="K902" s="4">
        <v>9.19167745588E11</v>
      </c>
      <c r="L902" s="4" t="s">
        <v>67</v>
      </c>
      <c r="M902" s="4" t="b">
        <v>0</v>
      </c>
      <c r="N902" s="4" t="s">
        <v>74</v>
      </c>
      <c r="O902" s="4" t="s">
        <v>69</v>
      </c>
      <c r="P902" s="6">
        <v>44312.753900462965</v>
      </c>
      <c r="Q902" s="4">
        <v>17319.0</v>
      </c>
      <c r="R902" s="4"/>
      <c r="S902" s="4"/>
      <c r="T902" s="4"/>
      <c r="U902" s="7"/>
      <c r="V902" s="4"/>
      <c r="W902" s="4"/>
      <c r="X902" s="4"/>
      <c r="Y902" s="4"/>
      <c r="Z902" s="4"/>
      <c r="AA902" s="5"/>
      <c r="AB902" s="5"/>
      <c r="AC902" s="5"/>
      <c r="AD902" s="5"/>
      <c r="AE902" s="5"/>
    </row>
    <row r="903">
      <c r="A903" s="4" t="s">
        <v>1909</v>
      </c>
      <c r="B903" s="4"/>
      <c r="C903" s="4" t="s">
        <v>1727</v>
      </c>
      <c r="D903" s="4">
        <v>50033.0</v>
      </c>
      <c r="E903" s="4"/>
      <c r="F903" s="4" t="s">
        <v>1437</v>
      </c>
      <c r="G903" s="4">
        <v>99.0</v>
      </c>
      <c r="H903" s="4"/>
      <c r="I903" s="4">
        <v>99.0</v>
      </c>
      <c r="J903" s="4" t="s">
        <v>1910</v>
      </c>
      <c r="K903" s="4">
        <v>9.19731120535E11</v>
      </c>
      <c r="L903" s="4" t="s">
        <v>67</v>
      </c>
      <c r="M903" s="4" t="b">
        <v>0</v>
      </c>
      <c r="N903" s="4" t="s">
        <v>68</v>
      </c>
      <c r="O903" s="4" t="s">
        <v>69</v>
      </c>
      <c r="P903" s="6">
        <v>44311.01142361111</v>
      </c>
      <c r="Q903" s="4">
        <v>17364.0</v>
      </c>
      <c r="R903" s="4"/>
      <c r="S903" s="4"/>
      <c r="T903" s="4"/>
      <c r="U903" s="7"/>
      <c r="V903" s="4"/>
      <c r="W903" s="4"/>
      <c r="X903" s="4"/>
      <c r="Y903" s="4"/>
      <c r="Z903" s="4"/>
      <c r="AA903" s="5"/>
      <c r="AB903" s="5"/>
      <c r="AC903" s="5"/>
      <c r="AD903" s="5"/>
      <c r="AE903" s="5"/>
    </row>
    <row r="904">
      <c r="A904" s="4" t="s">
        <v>1911</v>
      </c>
      <c r="B904" s="4"/>
      <c r="C904" s="4" t="s">
        <v>960</v>
      </c>
      <c r="D904" s="4">
        <v>49834.0</v>
      </c>
      <c r="E904" s="4"/>
      <c r="F904" s="4" t="s">
        <v>149</v>
      </c>
      <c r="G904" s="4">
        <v>99.0</v>
      </c>
      <c r="H904" s="4"/>
      <c r="I904" s="4">
        <v>99.0</v>
      </c>
      <c r="J904" s="4" t="s">
        <v>1912</v>
      </c>
      <c r="K904" s="4">
        <v>9.1981165092E11</v>
      </c>
      <c r="L904" s="4" t="s">
        <v>67</v>
      </c>
      <c r="M904" s="4" t="b">
        <v>0</v>
      </c>
      <c r="N904" s="4" t="s">
        <v>68</v>
      </c>
      <c r="O904" s="4" t="s">
        <v>69</v>
      </c>
      <c r="P904" s="6">
        <v>44311.04248842593</v>
      </c>
      <c r="Q904" s="4">
        <v>17256.0</v>
      </c>
      <c r="R904" s="4"/>
      <c r="S904" s="4"/>
      <c r="T904" s="4"/>
      <c r="U904" s="7"/>
      <c r="V904" s="4"/>
      <c r="W904" s="4"/>
      <c r="X904" s="4"/>
      <c r="Y904" s="4"/>
      <c r="Z904" s="4"/>
      <c r="AA904" s="5"/>
      <c r="AB904" s="5"/>
      <c r="AC904" s="5"/>
      <c r="AD904" s="5"/>
      <c r="AE904" s="5"/>
    </row>
    <row r="905">
      <c r="A905" s="4" t="s">
        <v>1913</v>
      </c>
      <c r="B905" s="4"/>
      <c r="C905" s="4" t="s">
        <v>1059</v>
      </c>
      <c r="D905" s="4">
        <v>49997.0</v>
      </c>
      <c r="E905" s="4"/>
      <c r="F905" s="4" t="s">
        <v>149</v>
      </c>
      <c r="G905" s="4">
        <v>99.0</v>
      </c>
      <c r="H905" s="4"/>
      <c r="I905" s="4">
        <v>99.0</v>
      </c>
      <c r="J905" s="4" t="s">
        <v>1914</v>
      </c>
      <c r="K905" s="4">
        <v>9.19826525285E11</v>
      </c>
      <c r="L905" s="4" t="s">
        <v>67</v>
      </c>
      <c r="M905" s="4" t="b">
        <v>0</v>
      </c>
      <c r="N905" s="4" t="s">
        <v>68</v>
      </c>
      <c r="O905" s="4" t="s">
        <v>69</v>
      </c>
      <c r="P905" s="6">
        <v>44311.06103009259</v>
      </c>
      <c r="Q905" s="4" t="s">
        <v>83</v>
      </c>
      <c r="R905" s="4"/>
      <c r="S905" s="4"/>
      <c r="T905" s="4"/>
      <c r="U905" s="7"/>
      <c r="V905" s="4"/>
      <c r="W905" s="4"/>
      <c r="X905" s="4"/>
      <c r="Y905" s="4"/>
      <c r="Z905" s="4"/>
      <c r="AA905" s="5"/>
      <c r="AB905" s="5"/>
      <c r="AC905" s="5"/>
      <c r="AD905" s="5"/>
      <c r="AE905" s="5"/>
    </row>
    <row r="906">
      <c r="A906" s="4" t="s">
        <v>1915</v>
      </c>
      <c r="B906" s="4"/>
      <c r="C906" s="4" t="s">
        <v>184</v>
      </c>
      <c r="D906" s="4">
        <v>49833.0</v>
      </c>
      <c r="E906" s="4"/>
      <c r="F906" s="4" t="s">
        <v>85</v>
      </c>
      <c r="G906" s="4">
        <v>299.0</v>
      </c>
      <c r="H906" s="4"/>
      <c r="I906" s="4">
        <v>299.0</v>
      </c>
      <c r="J906" s="4" t="s">
        <v>1916</v>
      </c>
      <c r="K906" s="4">
        <v>9.19818040861E11</v>
      </c>
      <c r="L906" s="4" t="s">
        <v>67</v>
      </c>
      <c r="M906" s="4" t="b">
        <v>0</v>
      </c>
      <c r="N906" s="4" t="s">
        <v>74</v>
      </c>
      <c r="O906" s="4" t="s">
        <v>69</v>
      </c>
      <c r="P906" s="6">
        <v>44311.104849537034</v>
      </c>
      <c r="Q906" s="4">
        <v>17259.0</v>
      </c>
      <c r="R906" s="4"/>
      <c r="S906" s="4"/>
      <c r="T906" s="4"/>
      <c r="U906" s="7"/>
      <c r="V906" s="4"/>
      <c r="W906" s="4"/>
      <c r="X906" s="4"/>
      <c r="Y906" s="4"/>
      <c r="Z906" s="4"/>
      <c r="AA906" s="5"/>
      <c r="AB906" s="5"/>
      <c r="AC906" s="5"/>
      <c r="AD906" s="5"/>
      <c r="AE906" s="5"/>
    </row>
    <row r="907">
      <c r="A907" s="4" t="s">
        <v>1917</v>
      </c>
      <c r="B907" s="4"/>
      <c r="C907" s="4" t="s">
        <v>1592</v>
      </c>
      <c r="D907" s="4">
        <v>49813.0</v>
      </c>
      <c r="E907" s="4"/>
      <c r="F907" s="4" t="s">
        <v>85</v>
      </c>
      <c r="G907" s="4">
        <v>499.0</v>
      </c>
      <c r="H907" s="4"/>
      <c r="I907" s="4">
        <v>499.0</v>
      </c>
      <c r="J907" s="4" t="s">
        <v>1918</v>
      </c>
      <c r="K907" s="4">
        <v>9.17702322996E11</v>
      </c>
      <c r="L907" s="4" t="s">
        <v>67</v>
      </c>
      <c r="M907" s="4" t="b">
        <v>0</v>
      </c>
      <c r="N907" s="4" t="s">
        <v>74</v>
      </c>
      <c r="O907" s="4" t="s">
        <v>69</v>
      </c>
      <c r="P907" s="6">
        <v>44312.75523148148</v>
      </c>
      <c r="Q907" s="4">
        <v>17323.0</v>
      </c>
      <c r="R907" s="4"/>
      <c r="S907" s="4"/>
      <c r="T907" s="4"/>
      <c r="U907" s="7"/>
      <c r="V907" s="4"/>
      <c r="W907" s="4"/>
      <c r="X907" s="4"/>
      <c r="Y907" s="4"/>
      <c r="Z907" s="4"/>
      <c r="AA907" s="5"/>
      <c r="AB907" s="5"/>
      <c r="AC907" s="5"/>
      <c r="AD907" s="5"/>
      <c r="AE907" s="5"/>
    </row>
    <row r="908">
      <c r="A908" s="4" t="s">
        <v>1919</v>
      </c>
      <c r="B908" s="4"/>
      <c r="C908" s="4" t="s">
        <v>1476</v>
      </c>
      <c r="D908" s="4">
        <v>50009.0</v>
      </c>
      <c r="E908" s="4"/>
      <c r="F908" s="4" t="s">
        <v>149</v>
      </c>
      <c r="G908" s="4">
        <v>99.0</v>
      </c>
      <c r="H908" s="4"/>
      <c r="I908" s="4">
        <v>99.0</v>
      </c>
      <c r="J908" s="4" t="s">
        <v>1920</v>
      </c>
      <c r="K908" s="4">
        <v>9.19819991208E11</v>
      </c>
      <c r="L908" s="4" t="s">
        <v>67</v>
      </c>
      <c r="M908" s="4" t="b">
        <v>0</v>
      </c>
      <c r="N908" s="4" t="s">
        <v>97</v>
      </c>
      <c r="O908" s="4" t="s">
        <v>69</v>
      </c>
      <c r="P908" s="6">
        <v>44311.13255787037</v>
      </c>
      <c r="Q908" s="4">
        <v>17260.0</v>
      </c>
      <c r="R908" s="4"/>
      <c r="S908" s="4"/>
      <c r="T908" s="4"/>
      <c r="U908" s="7"/>
      <c r="V908" s="4"/>
      <c r="W908" s="4"/>
      <c r="X908" s="4"/>
      <c r="Y908" s="4"/>
      <c r="Z908" s="4"/>
      <c r="AA908" s="5"/>
      <c r="AB908" s="5"/>
      <c r="AC908" s="5"/>
      <c r="AD908" s="5"/>
      <c r="AE908" s="5"/>
    </row>
    <row r="909">
      <c r="A909" s="4" t="s">
        <v>1921</v>
      </c>
      <c r="B909" s="4"/>
      <c r="C909" s="4" t="s">
        <v>1592</v>
      </c>
      <c r="D909" s="4">
        <v>49813.0</v>
      </c>
      <c r="E909" s="4"/>
      <c r="F909" s="4" t="s">
        <v>149</v>
      </c>
      <c r="G909" s="4">
        <v>299.0</v>
      </c>
      <c r="H909" s="4"/>
      <c r="I909" s="4">
        <v>299.0</v>
      </c>
      <c r="J909" s="4" t="s">
        <v>1922</v>
      </c>
      <c r="K909" s="4">
        <v>9.19971148717E11</v>
      </c>
      <c r="L909" s="4" t="s">
        <v>67</v>
      </c>
      <c r="M909" s="4" t="b">
        <v>0</v>
      </c>
      <c r="N909" s="4" t="s">
        <v>151</v>
      </c>
      <c r="O909" s="4" t="s">
        <v>69</v>
      </c>
      <c r="P909" s="6">
        <v>44313.47655092592</v>
      </c>
      <c r="Q909" s="4">
        <v>17344.0</v>
      </c>
      <c r="R909" s="4"/>
      <c r="S909" s="4"/>
      <c r="T909" s="4"/>
      <c r="U909" s="7"/>
      <c r="V909" s="4"/>
      <c r="W909" s="4"/>
      <c r="X909" s="4"/>
      <c r="Y909" s="4"/>
      <c r="Z909" s="4"/>
      <c r="AA909" s="5"/>
      <c r="AB909" s="5"/>
      <c r="AC909" s="5"/>
      <c r="AD909" s="5"/>
      <c r="AE909" s="5"/>
    </row>
    <row r="910">
      <c r="A910" s="4" t="s">
        <v>1923</v>
      </c>
      <c r="B910" s="4"/>
      <c r="C910" s="4" t="s">
        <v>960</v>
      </c>
      <c r="D910" s="4">
        <v>49834.0</v>
      </c>
      <c r="E910" s="4"/>
      <c r="F910" s="4" t="s">
        <v>149</v>
      </c>
      <c r="G910" s="4">
        <v>99.0</v>
      </c>
      <c r="H910" s="4"/>
      <c r="I910" s="4">
        <v>99.0</v>
      </c>
      <c r="J910" s="4" t="s">
        <v>1924</v>
      </c>
      <c r="K910" s="4">
        <v>9.19923124431E11</v>
      </c>
      <c r="L910" s="4" t="s">
        <v>67</v>
      </c>
      <c r="M910" s="4" t="b">
        <v>0</v>
      </c>
      <c r="N910" s="4" t="s">
        <v>68</v>
      </c>
      <c r="O910" s="4" t="s">
        <v>69</v>
      </c>
      <c r="P910" s="6">
        <v>44311.32634259259</v>
      </c>
      <c r="Q910" s="4">
        <v>17264.0</v>
      </c>
      <c r="R910" s="4"/>
      <c r="S910" s="4"/>
      <c r="T910" s="4"/>
      <c r="U910" s="7"/>
      <c r="V910" s="4"/>
      <c r="W910" s="4"/>
      <c r="X910" s="4"/>
      <c r="Y910" s="4"/>
      <c r="Z910" s="4"/>
      <c r="AA910" s="5"/>
      <c r="AB910" s="5"/>
      <c r="AC910" s="5"/>
      <c r="AD910" s="5"/>
      <c r="AE910" s="5"/>
    </row>
    <row r="911">
      <c r="A911" s="4" t="s">
        <v>1925</v>
      </c>
      <c r="B911" s="4"/>
      <c r="C911" s="4" t="s">
        <v>184</v>
      </c>
      <c r="D911" s="4">
        <v>49833.0</v>
      </c>
      <c r="E911" s="4"/>
      <c r="F911" s="4" t="s">
        <v>85</v>
      </c>
      <c r="G911" s="4">
        <v>299.0</v>
      </c>
      <c r="H911" s="4"/>
      <c r="I911" s="4">
        <v>299.0</v>
      </c>
      <c r="J911" s="4" t="s">
        <v>1926</v>
      </c>
      <c r="K911" s="4">
        <v>9.19810392887E11</v>
      </c>
      <c r="L911" s="4" t="s">
        <v>67</v>
      </c>
      <c r="M911" s="4" t="b">
        <v>0</v>
      </c>
      <c r="N911" s="4" t="s">
        <v>74</v>
      </c>
      <c r="O911" s="4" t="s">
        <v>69</v>
      </c>
      <c r="P911" s="6">
        <v>44311.342199074075</v>
      </c>
      <c r="Q911" s="4" t="s">
        <v>83</v>
      </c>
      <c r="R911" s="4"/>
      <c r="S911" s="4"/>
      <c r="T911" s="4"/>
      <c r="U911" s="7"/>
      <c r="V911" s="4"/>
      <c r="W911" s="4"/>
      <c r="X911" s="4"/>
      <c r="Y911" s="4"/>
      <c r="Z911" s="4"/>
      <c r="AA911" s="5"/>
      <c r="AB911" s="5"/>
      <c r="AC911" s="5"/>
      <c r="AD911" s="5"/>
      <c r="AE911" s="5"/>
    </row>
    <row r="912">
      <c r="A912" s="4" t="s">
        <v>1927</v>
      </c>
      <c r="B912" s="4"/>
      <c r="C912" s="4" t="s">
        <v>1592</v>
      </c>
      <c r="D912" s="4">
        <v>49813.0</v>
      </c>
      <c r="E912" s="4"/>
      <c r="F912" s="4" t="s">
        <v>85</v>
      </c>
      <c r="G912" s="4">
        <v>499.0</v>
      </c>
      <c r="H912" s="4"/>
      <c r="I912" s="4">
        <v>499.0</v>
      </c>
      <c r="J912" s="4" t="s">
        <v>1928</v>
      </c>
      <c r="K912" s="4">
        <v>9.19820042502E11</v>
      </c>
      <c r="L912" s="4" t="s">
        <v>67</v>
      </c>
      <c r="M912" s="4" t="b">
        <v>0</v>
      </c>
      <c r="N912" s="4" t="s">
        <v>151</v>
      </c>
      <c r="O912" s="4" t="s">
        <v>69</v>
      </c>
      <c r="P912" s="6">
        <v>44313.6880787037</v>
      </c>
      <c r="Q912" s="4" t="s">
        <v>83</v>
      </c>
      <c r="R912" s="4"/>
      <c r="S912" s="4"/>
      <c r="T912" s="4"/>
      <c r="U912" s="7"/>
      <c r="V912" s="4"/>
      <c r="W912" s="4"/>
      <c r="X912" s="4"/>
      <c r="Y912" s="4"/>
      <c r="Z912" s="4"/>
      <c r="AA912" s="5"/>
      <c r="AB912" s="5"/>
      <c r="AC912" s="5"/>
      <c r="AD912" s="5"/>
      <c r="AE912" s="5"/>
    </row>
    <row r="913">
      <c r="A913" s="4" t="s">
        <v>1929</v>
      </c>
      <c r="B913" s="4"/>
      <c r="C913" s="4" t="s">
        <v>858</v>
      </c>
      <c r="D913" s="4">
        <v>49958.0</v>
      </c>
      <c r="E913" s="4"/>
      <c r="F913" s="4" t="s">
        <v>85</v>
      </c>
      <c r="G913" s="4">
        <v>199.0</v>
      </c>
      <c r="H913" s="4"/>
      <c r="I913" s="4">
        <v>199.0</v>
      </c>
      <c r="J913" s="4" t="s">
        <v>1930</v>
      </c>
      <c r="K913" s="4">
        <v>9.18015270025E11</v>
      </c>
      <c r="L913" s="4" t="s">
        <v>67</v>
      </c>
      <c r="M913" s="4" t="b">
        <v>0</v>
      </c>
      <c r="N913" s="4" t="s">
        <v>68</v>
      </c>
      <c r="O913" s="4" t="s">
        <v>69</v>
      </c>
      <c r="P913" s="6">
        <v>44311.384409722225</v>
      </c>
      <c r="Q913" s="4" t="s">
        <v>83</v>
      </c>
      <c r="R913" s="4"/>
      <c r="S913" s="4"/>
      <c r="T913" s="4"/>
      <c r="U913" s="7"/>
      <c r="V913" s="4"/>
      <c r="W913" s="4"/>
      <c r="X913" s="4"/>
      <c r="Y913" s="4"/>
      <c r="Z913" s="4"/>
      <c r="AA913" s="5"/>
      <c r="AB913" s="5"/>
      <c r="AC913" s="5"/>
      <c r="AD913" s="5"/>
      <c r="AE913" s="5"/>
    </row>
    <row r="914">
      <c r="A914" s="4" t="s">
        <v>1931</v>
      </c>
      <c r="B914" s="4"/>
      <c r="C914" s="4" t="s">
        <v>1932</v>
      </c>
      <c r="D914" s="4">
        <v>50041.0</v>
      </c>
      <c r="E914" s="4"/>
      <c r="F914" s="4" t="s">
        <v>77</v>
      </c>
      <c r="G914" s="4">
        <v>349.0</v>
      </c>
      <c r="H914" s="4"/>
      <c r="I914" s="4">
        <v>349.0</v>
      </c>
      <c r="J914" s="4" t="s">
        <v>1933</v>
      </c>
      <c r="K914" s="4">
        <v>9.19330251056E11</v>
      </c>
      <c r="L914" s="4" t="s">
        <v>67</v>
      </c>
      <c r="M914" s="4" t="b">
        <v>0</v>
      </c>
      <c r="N914" s="4" t="s">
        <v>97</v>
      </c>
      <c r="O914" s="4" t="s">
        <v>69</v>
      </c>
      <c r="P914" s="6">
        <v>44311.389710648145</v>
      </c>
      <c r="Q914" s="4">
        <v>18298.0</v>
      </c>
      <c r="R914" s="4"/>
      <c r="S914" s="4"/>
      <c r="T914" s="4"/>
      <c r="U914" s="8"/>
      <c r="V914" s="4"/>
      <c r="W914" s="4"/>
      <c r="X914" s="4"/>
      <c r="Y914" s="4"/>
      <c r="Z914" s="4"/>
      <c r="AA914" s="5"/>
      <c r="AB914" s="5"/>
      <c r="AC914" s="5"/>
      <c r="AD914" s="5"/>
      <c r="AE914" s="5"/>
    </row>
    <row r="915">
      <c r="A915" s="4" t="s">
        <v>1934</v>
      </c>
      <c r="B915" s="4"/>
      <c r="C915" s="4" t="s">
        <v>1104</v>
      </c>
      <c r="D915" s="4">
        <v>49993.0</v>
      </c>
      <c r="E915" s="4"/>
      <c r="F915" s="4" t="s">
        <v>149</v>
      </c>
      <c r="G915" s="4">
        <v>199.0</v>
      </c>
      <c r="H915" s="4"/>
      <c r="I915" s="4">
        <v>199.0</v>
      </c>
      <c r="J915" s="4" t="s">
        <v>1935</v>
      </c>
      <c r="K915" s="4">
        <v>9.19849184779E11</v>
      </c>
      <c r="L915" s="4" t="s">
        <v>67</v>
      </c>
      <c r="M915" s="4" t="b">
        <v>0</v>
      </c>
      <c r="N915" s="4" t="s">
        <v>68</v>
      </c>
      <c r="O915" s="4" t="s">
        <v>69</v>
      </c>
      <c r="P915" s="6">
        <v>44311.401412037034</v>
      </c>
      <c r="Q915" s="4">
        <v>17377.0</v>
      </c>
      <c r="R915" s="4"/>
      <c r="S915" s="4"/>
      <c r="T915" s="4"/>
      <c r="U915" s="7"/>
      <c r="V915" s="4"/>
      <c r="W915" s="4"/>
      <c r="X915" s="4"/>
      <c r="Y915" s="4"/>
      <c r="Z915" s="4"/>
      <c r="AA915" s="5"/>
      <c r="AB915" s="5"/>
      <c r="AC915" s="5"/>
      <c r="AD915" s="5"/>
      <c r="AE915" s="5"/>
    </row>
    <row r="916">
      <c r="A916" s="4" t="s">
        <v>1936</v>
      </c>
      <c r="B916" s="4"/>
      <c r="C916" s="4" t="s">
        <v>1436</v>
      </c>
      <c r="D916" s="4">
        <v>50048.0</v>
      </c>
      <c r="E916" s="4"/>
      <c r="F916" s="4" t="s">
        <v>1442</v>
      </c>
      <c r="G916" s="4">
        <v>299.0</v>
      </c>
      <c r="H916" s="4"/>
      <c r="I916" s="4">
        <v>299.0</v>
      </c>
      <c r="J916" s="4" t="s">
        <v>1503</v>
      </c>
      <c r="K916" s="4">
        <v>9.19619661368E11</v>
      </c>
      <c r="L916" s="4" t="s">
        <v>67</v>
      </c>
      <c r="M916" s="4" t="b">
        <v>0</v>
      </c>
      <c r="N916" s="4" t="s">
        <v>97</v>
      </c>
      <c r="O916" s="4" t="s">
        <v>69</v>
      </c>
      <c r="P916" s="6">
        <v>44311.40831018519</v>
      </c>
      <c r="Q916" s="4">
        <v>17431.0</v>
      </c>
      <c r="R916" s="4"/>
      <c r="S916" s="4"/>
      <c r="T916" s="4"/>
      <c r="U916" s="7"/>
      <c r="V916" s="4"/>
      <c r="W916" s="4"/>
      <c r="X916" s="4"/>
      <c r="Y916" s="4"/>
      <c r="Z916" s="4"/>
      <c r="AA916" s="5"/>
      <c r="AB916" s="5"/>
      <c r="AC916" s="5"/>
      <c r="AD916" s="5"/>
      <c r="AE916" s="5"/>
    </row>
    <row r="917">
      <c r="A917" s="4" t="s">
        <v>1937</v>
      </c>
      <c r="B917" s="4"/>
      <c r="C917" s="4" t="s">
        <v>1264</v>
      </c>
      <c r="D917" s="4">
        <v>49994.0</v>
      </c>
      <c r="E917" s="4"/>
      <c r="F917" s="4" t="s">
        <v>85</v>
      </c>
      <c r="G917" s="4">
        <v>199.0</v>
      </c>
      <c r="H917" s="4"/>
      <c r="I917" s="4">
        <v>199.0</v>
      </c>
      <c r="J917" s="4" t="s">
        <v>1938</v>
      </c>
      <c r="K917" s="4">
        <v>9.19846718931E11</v>
      </c>
      <c r="L917" s="4" t="s">
        <v>67</v>
      </c>
      <c r="M917" s="4" t="b">
        <v>0</v>
      </c>
      <c r="N917" s="4" t="s">
        <v>68</v>
      </c>
      <c r="O917" s="4" t="s">
        <v>69</v>
      </c>
      <c r="P917" s="6">
        <v>44311.48347222222</v>
      </c>
      <c r="Q917" s="4">
        <v>17269.0</v>
      </c>
      <c r="R917" s="4"/>
      <c r="S917" s="4"/>
      <c r="T917" s="4"/>
      <c r="U917" s="7"/>
      <c r="V917" s="4"/>
      <c r="W917" s="4"/>
      <c r="X917" s="4"/>
      <c r="Y917" s="4"/>
      <c r="Z917" s="4"/>
      <c r="AA917" s="5"/>
      <c r="AB917" s="5"/>
      <c r="AC917" s="5"/>
      <c r="AD917" s="5"/>
      <c r="AE917" s="5"/>
    </row>
    <row r="918">
      <c r="A918" s="4" t="s">
        <v>1939</v>
      </c>
      <c r="B918" s="4"/>
      <c r="C918" s="4" t="s">
        <v>1059</v>
      </c>
      <c r="D918" s="4">
        <v>49997.0</v>
      </c>
      <c r="E918" s="4"/>
      <c r="F918" s="4" t="s">
        <v>149</v>
      </c>
      <c r="G918" s="4">
        <v>99.0</v>
      </c>
      <c r="H918" s="4"/>
      <c r="I918" s="4">
        <v>99.0</v>
      </c>
      <c r="J918" s="4" t="s">
        <v>1940</v>
      </c>
      <c r="K918" s="4">
        <v>9.196864909E11</v>
      </c>
      <c r="L918" s="4" t="s">
        <v>67</v>
      </c>
      <c r="M918" s="4" t="b">
        <v>0</v>
      </c>
      <c r="N918" s="4" t="s">
        <v>151</v>
      </c>
      <c r="O918" s="4" t="s">
        <v>69</v>
      </c>
      <c r="P918" s="6">
        <v>44311.49018518518</v>
      </c>
      <c r="Q918" s="4">
        <v>18317.0</v>
      </c>
      <c r="R918" s="4"/>
      <c r="S918" s="4"/>
      <c r="T918" s="4"/>
      <c r="U918" s="7"/>
      <c r="V918" s="4"/>
      <c r="W918" s="4"/>
      <c r="X918" s="4"/>
      <c r="Y918" s="4"/>
      <c r="Z918" s="4"/>
      <c r="AA918" s="5"/>
      <c r="AB918" s="5"/>
      <c r="AC918" s="5"/>
      <c r="AD918" s="5"/>
      <c r="AE918" s="5"/>
    </row>
    <row r="919">
      <c r="A919" s="4" t="s">
        <v>1941</v>
      </c>
      <c r="B919" s="4"/>
      <c r="C919" s="4" t="s">
        <v>1592</v>
      </c>
      <c r="D919" s="4">
        <v>49813.0</v>
      </c>
      <c r="E919" s="4"/>
      <c r="F919" s="4" t="s">
        <v>149</v>
      </c>
      <c r="G919" s="4">
        <v>299.0</v>
      </c>
      <c r="H919" s="4"/>
      <c r="I919" s="4">
        <v>299.0</v>
      </c>
      <c r="J919" s="4" t="s">
        <v>1942</v>
      </c>
      <c r="K919" s="4">
        <v>9.19923478863E11</v>
      </c>
      <c r="L919" s="4" t="s">
        <v>67</v>
      </c>
      <c r="M919" s="4" t="b">
        <v>0</v>
      </c>
      <c r="N919" s="4" t="s">
        <v>68</v>
      </c>
      <c r="O919" s="4" t="s">
        <v>69</v>
      </c>
      <c r="P919" s="6">
        <v>44313.729375</v>
      </c>
      <c r="Q919" s="4" t="s">
        <v>83</v>
      </c>
      <c r="R919" s="4"/>
      <c r="S919" s="4"/>
      <c r="T919" s="4"/>
      <c r="U919" s="7"/>
      <c r="V919" s="4"/>
      <c r="W919" s="4"/>
      <c r="X919" s="4"/>
      <c r="Y919" s="4"/>
      <c r="Z919" s="4"/>
      <c r="AA919" s="5"/>
      <c r="AB919" s="5"/>
      <c r="AC919" s="5"/>
      <c r="AD919" s="5"/>
      <c r="AE919" s="5"/>
    </row>
    <row r="920">
      <c r="A920" s="4" t="s">
        <v>1943</v>
      </c>
      <c r="B920" s="4"/>
      <c r="C920" s="4" t="s">
        <v>1476</v>
      </c>
      <c r="D920" s="4">
        <v>50009.0</v>
      </c>
      <c r="E920" s="4"/>
      <c r="F920" s="4" t="s">
        <v>149</v>
      </c>
      <c r="G920" s="4">
        <v>99.0</v>
      </c>
      <c r="H920" s="4"/>
      <c r="I920" s="4">
        <v>99.0</v>
      </c>
      <c r="J920" s="4" t="s">
        <v>1944</v>
      </c>
      <c r="K920" s="4">
        <v>9.17057628124E11</v>
      </c>
      <c r="L920" s="4" t="s">
        <v>67</v>
      </c>
      <c r="M920" s="4" t="b">
        <v>0</v>
      </c>
      <c r="N920" s="4" t="s">
        <v>68</v>
      </c>
      <c r="O920" s="4" t="s">
        <v>69</v>
      </c>
      <c r="P920" s="6">
        <v>44311.50564814815</v>
      </c>
      <c r="Q920" s="4">
        <v>17271.0</v>
      </c>
      <c r="R920" s="4"/>
      <c r="S920" s="4"/>
      <c r="T920" s="4"/>
      <c r="U920" s="7"/>
      <c r="V920" s="4"/>
      <c r="W920" s="4"/>
      <c r="X920" s="4"/>
      <c r="Y920" s="4"/>
      <c r="Z920" s="4"/>
      <c r="AA920" s="5"/>
      <c r="AB920" s="5"/>
      <c r="AC920" s="5"/>
      <c r="AD920" s="5"/>
      <c r="AE920" s="5"/>
    </row>
    <row r="921">
      <c r="A921" s="4" t="s">
        <v>1945</v>
      </c>
      <c r="B921" s="4"/>
      <c r="C921" s="4" t="s">
        <v>1539</v>
      </c>
      <c r="D921" s="4">
        <v>50009.0</v>
      </c>
      <c r="E921" s="4"/>
      <c r="F921" s="4" t="s">
        <v>77</v>
      </c>
      <c r="G921" s="4">
        <v>349.0</v>
      </c>
      <c r="H921" s="4"/>
      <c r="I921" s="4">
        <v>349.0</v>
      </c>
      <c r="J921" s="4" t="s">
        <v>1946</v>
      </c>
      <c r="K921" s="4">
        <v>9.19538067567E11</v>
      </c>
      <c r="L921" s="4" t="s">
        <v>67</v>
      </c>
      <c r="M921" s="4" t="b">
        <v>0</v>
      </c>
      <c r="N921" s="4" t="s">
        <v>68</v>
      </c>
      <c r="O921" s="4" t="s">
        <v>69</v>
      </c>
      <c r="P921" s="6">
        <v>44311.512083333335</v>
      </c>
      <c r="Q921" s="4">
        <v>17272.0</v>
      </c>
      <c r="R921" s="4"/>
      <c r="S921" s="4"/>
      <c r="T921" s="4"/>
      <c r="U921" s="8"/>
      <c r="V921" s="4"/>
      <c r="W921" s="4"/>
      <c r="X921" s="4"/>
      <c r="Y921" s="4"/>
      <c r="Z921" s="4"/>
      <c r="AA921" s="5"/>
      <c r="AB921" s="5"/>
      <c r="AC921" s="5"/>
      <c r="AD921" s="5"/>
      <c r="AE921" s="5"/>
    </row>
    <row r="922">
      <c r="A922" s="4" t="s">
        <v>1947</v>
      </c>
      <c r="B922" s="4"/>
      <c r="C922" s="4" t="s">
        <v>76</v>
      </c>
      <c r="D922" s="4">
        <v>49834.0</v>
      </c>
      <c r="E922" s="4"/>
      <c r="F922" s="4" t="s">
        <v>77</v>
      </c>
      <c r="G922" s="4">
        <v>349.0</v>
      </c>
      <c r="H922" s="4"/>
      <c r="I922" s="4">
        <v>349.0</v>
      </c>
      <c r="J922" s="4" t="s">
        <v>1948</v>
      </c>
      <c r="K922" s="4">
        <v>9.19741960742E11</v>
      </c>
      <c r="L922" s="4" t="s">
        <v>67</v>
      </c>
      <c r="M922" s="4" t="b">
        <v>0</v>
      </c>
      <c r="N922" s="4" t="s">
        <v>68</v>
      </c>
      <c r="O922" s="4" t="s">
        <v>69</v>
      </c>
      <c r="P922" s="6">
        <v>44311.51528935185</v>
      </c>
      <c r="Q922" s="4">
        <v>17273.0</v>
      </c>
      <c r="R922" s="4"/>
      <c r="S922" s="4"/>
      <c r="T922" s="4"/>
      <c r="U922" s="8"/>
      <c r="V922" s="4"/>
      <c r="W922" s="4"/>
      <c r="X922" s="4"/>
      <c r="Y922" s="4"/>
      <c r="Z922" s="4"/>
      <c r="AA922" s="5"/>
      <c r="AB922" s="5"/>
      <c r="AC922" s="5"/>
      <c r="AD922" s="5"/>
      <c r="AE922" s="5"/>
    </row>
    <row r="923">
      <c r="A923" s="4" t="s">
        <v>1949</v>
      </c>
      <c r="B923" s="4"/>
      <c r="C923" s="4" t="s">
        <v>1476</v>
      </c>
      <c r="D923" s="4">
        <v>50009.0</v>
      </c>
      <c r="E923" s="4"/>
      <c r="F923" s="4" t="s">
        <v>149</v>
      </c>
      <c r="G923" s="4">
        <v>99.0</v>
      </c>
      <c r="H923" s="4"/>
      <c r="I923" s="4">
        <v>99.0</v>
      </c>
      <c r="J923" s="4" t="s">
        <v>1950</v>
      </c>
      <c r="K923" s="4">
        <v>9.18010111347E11</v>
      </c>
      <c r="L923" s="4" t="s">
        <v>67</v>
      </c>
      <c r="M923" s="4" t="b">
        <v>0</v>
      </c>
      <c r="N923" s="4" t="s">
        <v>68</v>
      </c>
      <c r="O923" s="4" t="s">
        <v>69</v>
      </c>
      <c r="P923" s="6">
        <v>44311.519907407404</v>
      </c>
      <c r="Q923" s="4">
        <v>17274.0</v>
      </c>
      <c r="R923" s="4"/>
      <c r="S923" s="4"/>
      <c r="T923" s="4"/>
      <c r="U923" s="7"/>
      <c r="V923" s="4"/>
      <c r="W923" s="4"/>
      <c r="X923" s="4"/>
      <c r="Y923" s="4"/>
      <c r="Z923" s="4"/>
      <c r="AA923" s="5"/>
      <c r="AB923" s="5"/>
      <c r="AC923" s="5"/>
      <c r="AD923" s="5"/>
      <c r="AE923" s="5"/>
    </row>
    <row r="924">
      <c r="A924" s="4" t="s">
        <v>1951</v>
      </c>
      <c r="B924" s="4"/>
      <c r="C924" s="4" t="s">
        <v>1476</v>
      </c>
      <c r="D924" s="4">
        <v>50009.0</v>
      </c>
      <c r="E924" s="4"/>
      <c r="F924" s="4" t="s">
        <v>149</v>
      </c>
      <c r="G924" s="4">
        <v>99.0</v>
      </c>
      <c r="H924" s="4"/>
      <c r="I924" s="4">
        <v>99.0</v>
      </c>
      <c r="J924" s="4" t="s">
        <v>1952</v>
      </c>
      <c r="K924" s="4">
        <v>9.19890863676E11</v>
      </c>
      <c r="L924" s="4" t="s">
        <v>67</v>
      </c>
      <c r="M924" s="4" t="b">
        <v>0</v>
      </c>
      <c r="N924" s="4" t="s">
        <v>68</v>
      </c>
      <c r="O924" s="4" t="s">
        <v>69</v>
      </c>
      <c r="P924" s="6">
        <v>44311.56056712963</v>
      </c>
      <c r="Q924" s="4">
        <v>17451.0</v>
      </c>
      <c r="R924" s="4"/>
      <c r="S924" s="4"/>
      <c r="T924" s="4"/>
      <c r="U924" s="7"/>
      <c r="V924" s="4"/>
      <c r="W924" s="4"/>
      <c r="X924" s="4"/>
      <c r="Y924" s="4"/>
      <c r="Z924" s="4"/>
      <c r="AA924" s="5"/>
      <c r="AB924" s="5"/>
      <c r="AC924" s="5"/>
      <c r="AD924" s="5"/>
      <c r="AE924" s="5"/>
    </row>
    <row r="925">
      <c r="A925" s="4" t="s">
        <v>1953</v>
      </c>
      <c r="B925" s="4"/>
      <c r="C925" s="4" t="s">
        <v>76</v>
      </c>
      <c r="D925" s="4">
        <v>49834.0</v>
      </c>
      <c r="E925" s="4"/>
      <c r="F925" s="4" t="s">
        <v>85</v>
      </c>
      <c r="G925" s="4">
        <v>199.0</v>
      </c>
      <c r="H925" s="4"/>
      <c r="I925" s="4">
        <v>199.0</v>
      </c>
      <c r="J925" s="4" t="s">
        <v>1954</v>
      </c>
      <c r="K925" s="4">
        <v>9.19986046184E11</v>
      </c>
      <c r="L925" s="4" t="s">
        <v>67</v>
      </c>
      <c r="M925" s="4" t="b">
        <v>0</v>
      </c>
      <c r="N925" s="4" t="s">
        <v>68</v>
      </c>
      <c r="O925" s="4" t="s">
        <v>69</v>
      </c>
      <c r="P925" s="6">
        <v>44311.56148148148</v>
      </c>
      <c r="Q925" s="4">
        <v>17277.0</v>
      </c>
      <c r="R925" s="4"/>
      <c r="S925" s="4"/>
      <c r="T925" s="4"/>
      <c r="U925" s="7"/>
      <c r="V925" s="4"/>
      <c r="W925" s="4"/>
      <c r="X925" s="4"/>
      <c r="Y925" s="4"/>
      <c r="Z925" s="4"/>
      <c r="AA925" s="5"/>
      <c r="AB925" s="5"/>
      <c r="AC925" s="5"/>
      <c r="AD925" s="5"/>
      <c r="AE925" s="5"/>
    </row>
    <row r="926">
      <c r="A926" s="4" t="s">
        <v>1955</v>
      </c>
      <c r="B926" s="4"/>
      <c r="C926" s="4" t="s">
        <v>1956</v>
      </c>
      <c r="D926" s="4">
        <v>50023.0</v>
      </c>
      <c r="E926" s="4"/>
      <c r="F926" s="4" t="s">
        <v>1437</v>
      </c>
      <c r="G926" s="4">
        <v>99.0</v>
      </c>
      <c r="H926" s="4"/>
      <c r="I926" s="4">
        <v>99.0</v>
      </c>
      <c r="J926" s="4" t="s">
        <v>1957</v>
      </c>
      <c r="K926" s="4">
        <v>9.18393933787E11</v>
      </c>
      <c r="L926" s="4" t="s">
        <v>67</v>
      </c>
      <c r="M926" s="4" t="b">
        <v>0</v>
      </c>
      <c r="N926" s="4" t="s">
        <v>151</v>
      </c>
      <c r="O926" s="4" t="s">
        <v>69</v>
      </c>
      <c r="P926" s="6">
        <v>44311.563680555555</v>
      </c>
      <c r="Q926" s="4" t="s">
        <v>83</v>
      </c>
      <c r="R926" s="4"/>
      <c r="S926" s="4"/>
      <c r="T926" s="4"/>
      <c r="U926" s="7"/>
      <c r="V926" s="4"/>
      <c r="W926" s="4"/>
      <c r="X926" s="4"/>
      <c r="Y926" s="4"/>
      <c r="Z926" s="4"/>
      <c r="AA926" s="5"/>
      <c r="AB926" s="5"/>
      <c r="AC926" s="5"/>
      <c r="AD926" s="5"/>
      <c r="AE926" s="5"/>
    </row>
    <row r="927">
      <c r="A927" s="4" t="s">
        <v>1958</v>
      </c>
      <c r="B927" s="4"/>
      <c r="C927" s="4" t="s">
        <v>1959</v>
      </c>
      <c r="D927" s="4">
        <v>50040.0</v>
      </c>
      <c r="E927" s="4"/>
      <c r="F927" s="4" t="s">
        <v>77</v>
      </c>
      <c r="G927" s="4">
        <v>349.0</v>
      </c>
      <c r="H927" s="4"/>
      <c r="I927" s="4">
        <v>349.0</v>
      </c>
      <c r="J927" s="4" t="s">
        <v>1960</v>
      </c>
      <c r="K927" s="4">
        <v>9.19897822881E11</v>
      </c>
      <c r="L927" s="4" t="s">
        <v>67</v>
      </c>
      <c r="M927" s="4" t="b">
        <v>0</v>
      </c>
      <c r="N927" s="4" t="s">
        <v>68</v>
      </c>
      <c r="O927" s="4" t="s">
        <v>69</v>
      </c>
      <c r="P927" s="6">
        <v>44311.59431712963</v>
      </c>
      <c r="Q927" s="4" t="s">
        <v>83</v>
      </c>
      <c r="R927" s="4"/>
      <c r="S927" s="4"/>
      <c r="T927" s="4"/>
      <c r="U927" s="8"/>
      <c r="V927" s="4"/>
      <c r="W927" s="4"/>
      <c r="X927" s="4"/>
      <c r="Y927" s="4"/>
      <c r="Z927" s="4"/>
      <c r="AA927" s="5"/>
      <c r="AB927" s="5"/>
      <c r="AC927" s="5"/>
      <c r="AD927" s="5"/>
      <c r="AE927" s="5"/>
    </row>
    <row r="928">
      <c r="A928" s="4" t="s">
        <v>1961</v>
      </c>
      <c r="B928" s="4"/>
      <c r="C928" s="4" t="s">
        <v>184</v>
      </c>
      <c r="D928" s="4">
        <v>49833.0</v>
      </c>
      <c r="E928" s="4"/>
      <c r="F928" s="4" t="s">
        <v>77</v>
      </c>
      <c r="G928" s="4">
        <v>499.0</v>
      </c>
      <c r="H928" s="4"/>
      <c r="I928" s="4">
        <v>499.0</v>
      </c>
      <c r="J928" s="4" t="s">
        <v>1962</v>
      </c>
      <c r="K928" s="4">
        <v>9.19908206585E11</v>
      </c>
      <c r="L928" s="4" t="s">
        <v>67</v>
      </c>
      <c r="M928" s="4" t="b">
        <v>0</v>
      </c>
      <c r="N928" s="4" t="s">
        <v>74</v>
      </c>
      <c r="O928" s="4" t="s">
        <v>69</v>
      </c>
      <c r="P928" s="6">
        <v>44311.63842592593</v>
      </c>
      <c r="Q928" s="4">
        <v>17296.0</v>
      </c>
      <c r="R928" s="4"/>
      <c r="S928" s="4"/>
      <c r="T928" s="4"/>
      <c r="U928" s="8"/>
      <c r="V928" s="4"/>
      <c r="W928" s="4"/>
      <c r="X928" s="4"/>
      <c r="Y928" s="4"/>
      <c r="Z928" s="4"/>
      <c r="AA928" s="5"/>
      <c r="AB928" s="5"/>
      <c r="AC928" s="5"/>
      <c r="AD928" s="5"/>
      <c r="AE928" s="5"/>
    </row>
    <row r="929">
      <c r="A929" s="4" t="s">
        <v>1963</v>
      </c>
      <c r="B929" s="4"/>
      <c r="C929" s="4" t="s">
        <v>1476</v>
      </c>
      <c r="D929" s="4">
        <v>50009.0</v>
      </c>
      <c r="E929" s="4"/>
      <c r="F929" s="4" t="s">
        <v>149</v>
      </c>
      <c r="G929" s="4">
        <v>99.0</v>
      </c>
      <c r="H929" s="4"/>
      <c r="I929" s="4">
        <v>99.0</v>
      </c>
      <c r="J929" s="4" t="s">
        <v>1964</v>
      </c>
      <c r="K929" s="4">
        <v>9.17338017112E11</v>
      </c>
      <c r="L929" s="4" t="s">
        <v>67</v>
      </c>
      <c r="M929" s="4" t="b">
        <v>0</v>
      </c>
      <c r="N929" s="4" t="s">
        <v>74</v>
      </c>
      <c r="O929" s="4" t="s">
        <v>69</v>
      </c>
      <c r="P929" s="6">
        <v>44311.63857638889</v>
      </c>
      <c r="Q929" s="4" t="s">
        <v>83</v>
      </c>
      <c r="R929" s="4"/>
      <c r="S929" s="4"/>
      <c r="T929" s="4"/>
      <c r="U929" s="7"/>
      <c r="V929" s="4"/>
      <c r="W929" s="4"/>
      <c r="X929" s="4"/>
      <c r="Y929" s="4"/>
      <c r="Z929" s="4"/>
      <c r="AA929" s="5"/>
      <c r="AB929" s="5"/>
      <c r="AC929" s="5"/>
      <c r="AD929" s="5"/>
      <c r="AE929" s="5"/>
    </row>
    <row r="930">
      <c r="A930" s="4" t="s">
        <v>1965</v>
      </c>
      <c r="B930" s="4"/>
      <c r="C930" s="4" t="s">
        <v>1932</v>
      </c>
      <c r="D930" s="4">
        <v>50041.0</v>
      </c>
      <c r="E930" s="4"/>
      <c r="F930" s="4" t="s">
        <v>1437</v>
      </c>
      <c r="G930" s="4">
        <v>99.0</v>
      </c>
      <c r="H930" s="4"/>
      <c r="I930" s="4">
        <v>99.0</v>
      </c>
      <c r="J930" s="4" t="s">
        <v>1966</v>
      </c>
      <c r="K930" s="4">
        <v>9.19873171765E11</v>
      </c>
      <c r="L930" s="4" t="s">
        <v>67</v>
      </c>
      <c r="M930" s="4" t="b">
        <v>0</v>
      </c>
      <c r="N930" s="4" t="s">
        <v>68</v>
      </c>
      <c r="O930" s="4" t="s">
        <v>69</v>
      </c>
      <c r="P930" s="6">
        <v>44311.638645833336</v>
      </c>
      <c r="Q930" s="4" t="s">
        <v>83</v>
      </c>
      <c r="R930" s="4"/>
      <c r="S930" s="4"/>
      <c r="T930" s="4"/>
      <c r="U930" s="7"/>
      <c r="V930" s="4"/>
      <c r="W930" s="4"/>
      <c r="X930" s="4"/>
      <c r="Y930" s="4"/>
      <c r="Z930" s="4"/>
      <c r="AA930" s="5"/>
      <c r="AB930" s="5"/>
      <c r="AC930" s="5"/>
      <c r="AD930" s="5"/>
      <c r="AE930" s="5"/>
    </row>
    <row r="931">
      <c r="A931" s="4" t="s">
        <v>1967</v>
      </c>
      <c r="B931" s="4"/>
      <c r="C931" s="4" t="s">
        <v>1592</v>
      </c>
      <c r="D931" s="4">
        <v>49813.0</v>
      </c>
      <c r="E931" s="4"/>
      <c r="F931" s="4" t="s">
        <v>77</v>
      </c>
      <c r="G931" s="4">
        <v>799.0</v>
      </c>
      <c r="H931" s="4"/>
      <c r="I931" s="4">
        <v>799.0</v>
      </c>
      <c r="J931" s="4" t="s">
        <v>1968</v>
      </c>
      <c r="K931" s="4">
        <v>9.19674711405E11</v>
      </c>
      <c r="L931" s="4" t="s">
        <v>67</v>
      </c>
      <c r="M931" s="4" t="b">
        <v>0</v>
      </c>
      <c r="N931" s="4" t="s">
        <v>68</v>
      </c>
      <c r="O931" s="4" t="s">
        <v>69</v>
      </c>
      <c r="P931" s="6">
        <v>44313.753171296295</v>
      </c>
      <c r="Q931" s="4" t="s">
        <v>83</v>
      </c>
      <c r="R931" s="4"/>
      <c r="S931" s="4"/>
      <c r="T931" s="4"/>
      <c r="U931" s="8"/>
      <c r="V931" s="4"/>
      <c r="W931" s="4"/>
      <c r="X931" s="4"/>
      <c r="Y931" s="4"/>
      <c r="Z931" s="4"/>
      <c r="AA931" s="5"/>
      <c r="AB931" s="5"/>
      <c r="AC931" s="5"/>
      <c r="AD931" s="5"/>
      <c r="AE931" s="5"/>
    </row>
    <row r="932">
      <c r="A932" s="4" t="s">
        <v>1969</v>
      </c>
      <c r="B932" s="4"/>
      <c r="C932" s="4" t="s">
        <v>1727</v>
      </c>
      <c r="D932" s="4">
        <v>50033.0</v>
      </c>
      <c r="E932" s="4"/>
      <c r="F932" s="4" t="s">
        <v>1437</v>
      </c>
      <c r="G932" s="4">
        <v>99.0</v>
      </c>
      <c r="H932" s="4"/>
      <c r="I932" s="4">
        <v>99.0</v>
      </c>
      <c r="J932" s="4" t="s">
        <v>1970</v>
      </c>
      <c r="K932" s="4">
        <v>9.17795230506E11</v>
      </c>
      <c r="L932" s="4" t="s">
        <v>67</v>
      </c>
      <c r="M932" s="4" t="b">
        <v>0</v>
      </c>
      <c r="N932" s="4" t="s">
        <v>68</v>
      </c>
      <c r="O932" s="4" t="s">
        <v>69</v>
      </c>
      <c r="P932" s="6">
        <v>44311.671111111114</v>
      </c>
      <c r="Q932" s="4">
        <v>17278.0</v>
      </c>
      <c r="R932" s="4"/>
      <c r="S932" s="4"/>
      <c r="T932" s="4"/>
      <c r="U932" s="7"/>
      <c r="V932" s="4"/>
      <c r="W932" s="4"/>
      <c r="X932" s="4"/>
      <c r="Y932" s="4"/>
      <c r="Z932" s="4"/>
      <c r="AA932" s="5"/>
      <c r="AB932" s="5"/>
      <c r="AC932" s="5"/>
      <c r="AD932" s="5"/>
      <c r="AE932" s="5"/>
    </row>
    <row r="933">
      <c r="A933" s="4" t="s">
        <v>1971</v>
      </c>
      <c r="B933" s="4"/>
      <c r="C933" s="4" t="s">
        <v>1476</v>
      </c>
      <c r="D933" s="4">
        <v>50009.0</v>
      </c>
      <c r="E933" s="4"/>
      <c r="F933" s="4" t="s">
        <v>149</v>
      </c>
      <c r="G933" s="4">
        <v>99.0</v>
      </c>
      <c r="H933" s="4"/>
      <c r="I933" s="4">
        <v>99.0</v>
      </c>
      <c r="J933" s="4" t="s">
        <v>1972</v>
      </c>
      <c r="K933" s="4">
        <v>9.1917347007E11</v>
      </c>
      <c r="L933" s="4" t="s">
        <v>67</v>
      </c>
      <c r="M933" s="4" t="b">
        <v>0</v>
      </c>
      <c r="N933" s="4" t="s">
        <v>74</v>
      </c>
      <c r="O933" s="4" t="s">
        <v>69</v>
      </c>
      <c r="P933" s="6">
        <v>44311.70008101852</v>
      </c>
      <c r="Q933" s="4">
        <v>17279.0</v>
      </c>
      <c r="R933" s="4"/>
      <c r="S933" s="4"/>
      <c r="T933" s="4"/>
      <c r="U933" s="7"/>
      <c r="V933" s="4"/>
      <c r="W933" s="4"/>
      <c r="X933" s="4"/>
      <c r="Y933" s="4"/>
      <c r="Z933" s="4"/>
      <c r="AA933" s="5"/>
      <c r="AB933" s="5"/>
      <c r="AC933" s="5"/>
      <c r="AD933" s="5"/>
      <c r="AE933" s="5"/>
    </row>
    <row r="934">
      <c r="A934" s="4" t="s">
        <v>1973</v>
      </c>
      <c r="B934" s="4"/>
      <c r="C934" s="4" t="s">
        <v>1592</v>
      </c>
      <c r="D934" s="4">
        <v>49813.0</v>
      </c>
      <c r="E934" s="4"/>
      <c r="F934" s="4" t="s">
        <v>85</v>
      </c>
      <c r="G934" s="4">
        <v>499.0</v>
      </c>
      <c r="H934" s="4"/>
      <c r="I934" s="4">
        <v>499.0</v>
      </c>
      <c r="J934" s="4" t="s">
        <v>1974</v>
      </c>
      <c r="K934" s="4">
        <v>9.17718959E11</v>
      </c>
      <c r="L934" s="4" t="s">
        <v>67</v>
      </c>
      <c r="M934" s="4" t="b">
        <v>0</v>
      </c>
      <c r="N934" s="4" t="s">
        <v>74</v>
      </c>
      <c r="O934" s="4" t="s">
        <v>69</v>
      </c>
      <c r="P934" s="6">
        <v>44314.65021990741</v>
      </c>
      <c r="Q934" s="4">
        <v>17718.0</v>
      </c>
      <c r="R934" s="4"/>
      <c r="S934" s="4"/>
      <c r="T934" s="4"/>
      <c r="U934" s="7"/>
      <c r="V934" s="4"/>
      <c r="W934" s="4"/>
      <c r="X934" s="4"/>
      <c r="Y934" s="4"/>
      <c r="Z934" s="4"/>
      <c r="AA934" s="5"/>
      <c r="AB934" s="5"/>
      <c r="AC934" s="5"/>
      <c r="AD934" s="5"/>
      <c r="AE934" s="5"/>
    </row>
    <row r="935">
      <c r="A935" s="4" t="s">
        <v>1975</v>
      </c>
      <c r="B935" s="4"/>
      <c r="C935" s="4" t="s">
        <v>1264</v>
      </c>
      <c r="D935" s="4">
        <v>49994.0</v>
      </c>
      <c r="E935" s="4"/>
      <c r="F935" s="4" t="s">
        <v>149</v>
      </c>
      <c r="G935" s="4">
        <v>99.0</v>
      </c>
      <c r="H935" s="4"/>
      <c r="I935" s="4">
        <v>99.0</v>
      </c>
      <c r="J935" s="4" t="s">
        <v>1483</v>
      </c>
      <c r="K935" s="4">
        <v>9.19873012133E11</v>
      </c>
      <c r="L935" s="4" t="s">
        <v>67</v>
      </c>
      <c r="M935" s="4" t="b">
        <v>0</v>
      </c>
      <c r="N935" s="4" t="s">
        <v>151</v>
      </c>
      <c r="O935" s="4" t="s">
        <v>69</v>
      </c>
      <c r="P935" s="6">
        <v>44311.73122685185</v>
      </c>
      <c r="Q935" s="4">
        <v>17369.0</v>
      </c>
      <c r="R935" s="4"/>
      <c r="S935" s="4"/>
      <c r="T935" s="4"/>
      <c r="U935" s="7"/>
      <c r="V935" s="4"/>
      <c r="W935" s="4"/>
      <c r="X935" s="4"/>
      <c r="Y935" s="4"/>
      <c r="Z935" s="4"/>
      <c r="AA935" s="5"/>
      <c r="AB935" s="5"/>
      <c r="AC935" s="5"/>
      <c r="AD935" s="5"/>
      <c r="AE935" s="5"/>
    </row>
    <row r="936">
      <c r="A936" s="4" t="s">
        <v>1976</v>
      </c>
      <c r="B936" s="4"/>
      <c r="C936" s="4" t="s">
        <v>1959</v>
      </c>
      <c r="D936" s="4">
        <v>50040.0</v>
      </c>
      <c r="E936" s="4"/>
      <c r="F936" s="4" t="s">
        <v>1437</v>
      </c>
      <c r="G936" s="4">
        <v>99.0</v>
      </c>
      <c r="H936" s="4"/>
      <c r="I936" s="4">
        <v>99.0</v>
      </c>
      <c r="J936" s="4" t="s">
        <v>1977</v>
      </c>
      <c r="K936" s="4">
        <v>9.19811935933E11</v>
      </c>
      <c r="L936" s="4" t="s">
        <v>67</v>
      </c>
      <c r="M936" s="4" t="b">
        <v>0</v>
      </c>
      <c r="N936" s="4" t="s">
        <v>97</v>
      </c>
      <c r="O936" s="4" t="s">
        <v>69</v>
      </c>
      <c r="P936" s="6">
        <v>44311.78872685185</v>
      </c>
      <c r="Q936" s="4">
        <v>17318.0</v>
      </c>
      <c r="R936" s="4"/>
      <c r="S936" s="4"/>
      <c r="T936" s="4"/>
      <c r="U936" s="7"/>
      <c r="V936" s="4"/>
      <c r="W936" s="4"/>
      <c r="X936" s="4"/>
      <c r="Y936" s="4"/>
      <c r="Z936" s="4"/>
      <c r="AA936" s="5"/>
      <c r="AB936" s="5"/>
      <c r="AC936" s="5"/>
      <c r="AD936" s="5"/>
      <c r="AE936" s="5"/>
    </row>
    <row r="937">
      <c r="A937" s="4" t="s">
        <v>1978</v>
      </c>
      <c r="B937" s="4"/>
      <c r="C937" s="4" t="s">
        <v>1979</v>
      </c>
      <c r="D937" s="4">
        <v>50030.0</v>
      </c>
      <c r="E937" s="4"/>
      <c r="F937" s="4" t="s">
        <v>1442</v>
      </c>
      <c r="G937" s="4">
        <v>199.0</v>
      </c>
      <c r="H937" s="4"/>
      <c r="I937" s="4">
        <v>199.0</v>
      </c>
      <c r="J937" s="4" t="s">
        <v>1980</v>
      </c>
      <c r="K937" s="4">
        <v>9.18884294553E11</v>
      </c>
      <c r="L937" s="4" t="s">
        <v>67</v>
      </c>
      <c r="M937" s="4" t="b">
        <v>0</v>
      </c>
      <c r="N937" s="4" t="s">
        <v>68</v>
      </c>
      <c r="O937" s="4" t="s">
        <v>69</v>
      </c>
      <c r="P937" s="6">
        <v>44311.7915162037</v>
      </c>
      <c r="Q937" s="4">
        <v>17395.0</v>
      </c>
      <c r="R937" s="4"/>
      <c r="S937" s="4"/>
      <c r="T937" s="4"/>
      <c r="U937" s="7"/>
      <c r="V937" s="4"/>
      <c r="W937" s="4"/>
      <c r="X937" s="4"/>
      <c r="Y937" s="4"/>
      <c r="Z937" s="4"/>
      <c r="AA937" s="5"/>
      <c r="AB937" s="5"/>
      <c r="AC937" s="5"/>
      <c r="AD937" s="5"/>
      <c r="AE937" s="5"/>
    </row>
    <row r="938">
      <c r="A938" s="4" t="s">
        <v>1981</v>
      </c>
      <c r="B938" s="4"/>
      <c r="C938" s="4" t="s">
        <v>1982</v>
      </c>
      <c r="D938" s="4">
        <v>50032.0</v>
      </c>
      <c r="E938" s="4"/>
      <c r="F938" s="4" t="s">
        <v>77</v>
      </c>
      <c r="G938" s="4">
        <v>349.0</v>
      </c>
      <c r="H938" s="4"/>
      <c r="I938" s="4">
        <v>349.0</v>
      </c>
      <c r="J938" s="4" t="s">
        <v>1983</v>
      </c>
      <c r="K938" s="4">
        <v>9.19712769928E11</v>
      </c>
      <c r="L938" s="4" t="s">
        <v>67</v>
      </c>
      <c r="M938" s="4" t="b">
        <v>0</v>
      </c>
      <c r="N938" s="4" t="s">
        <v>68</v>
      </c>
      <c r="O938" s="4" t="s">
        <v>69</v>
      </c>
      <c r="P938" s="6">
        <v>44311.80028935185</v>
      </c>
      <c r="Q938" s="4">
        <v>17283.0</v>
      </c>
      <c r="R938" s="4"/>
      <c r="S938" s="4"/>
      <c r="T938" s="4"/>
      <c r="U938" s="8"/>
      <c r="V938" s="4"/>
      <c r="W938" s="4"/>
      <c r="X938" s="4"/>
      <c r="Y938" s="4"/>
      <c r="Z938" s="4"/>
      <c r="AA938" s="5"/>
      <c r="AB938" s="5"/>
      <c r="AC938" s="5"/>
      <c r="AD938" s="5"/>
      <c r="AE938" s="5"/>
    </row>
    <row r="939">
      <c r="A939" s="4" t="s">
        <v>1984</v>
      </c>
      <c r="B939" s="4"/>
      <c r="C939" s="4" t="s">
        <v>1956</v>
      </c>
      <c r="D939" s="4">
        <v>50023.0</v>
      </c>
      <c r="E939" s="4"/>
      <c r="F939" s="4" t="s">
        <v>1437</v>
      </c>
      <c r="G939" s="4">
        <v>99.0</v>
      </c>
      <c r="H939" s="4"/>
      <c r="I939" s="4">
        <v>99.0</v>
      </c>
      <c r="J939" s="4" t="s">
        <v>1985</v>
      </c>
      <c r="K939" s="4">
        <v>9.17529875084E11</v>
      </c>
      <c r="L939" s="4" t="s">
        <v>67</v>
      </c>
      <c r="M939" s="4" t="b">
        <v>0</v>
      </c>
      <c r="N939" s="4" t="s">
        <v>74</v>
      </c>
      <c r="O939" s="4" t="s">
        <v>69</v>
      </c>
      <c r="P939" s="6">
        <v>44311.80258101852</v>
      </c>
      <c r="Q939" s="4">
        <v>17365.0</v>
      </c>
      <c r="R939" s="4"/>
      <c r="S939" s="4"/>
      <c r="T939" s="4"/>
      <c r="U939" s="7"/>
      <c r="V939" s="4"/>
      <c r="W939" s="4"/>
      <c r="X939" s="4"/>
      <c r="Y939" s="4"/>
      <c r="Z939" s="4"/>
      <c r="AA939" s="5"/>
      <c r="AB939" s="5"/>
      <c r="AC939" s="5"/>
      <c r="AD939" s="5"/>
      <c r="AE939" s="5"/>
    </row>
    <row r="940">
      <c r="A940" s="4" t="s">
        <v>1986</v>
      </c>
      <c r="B940" s="4"/>
      <c r="C940" s="4" t="s">
        <v>1436</v>
      </c>
      <c r="D940" s="4">
        <v>50048.0</v>
      </c>
      <c r="E940" s="4"/>
      <c r="F940" s="4" t="s">
        <v>1437</v>
      </c>
      <c r="G940" s="4">
        <v>149.0</v>
      </c>
      <c r="H940" s="4"/>
      <c r="I940" s="4">
        <v>149.0</v>
      </c>
      <c r="J940" s="4" t="s">
        <v>1987</v>
      </c>
      <c r="K940" s="4">
        <v>9.1981989689E11</v>
      </c>
      <c r="L940" s="4" t="s">
        <v>67</v>
      </c>
      <c r="M940" s="4" t="b">
        <v>0</v>
      </c>
      <c r="N940" s="4" t="s">
        <v>68</v>
      </c>
      <c r="O940" s="4" t="s">
        <v>69</v>
      </c>
      <c r="P940" s="6">
        <v>44311.81402777778</v>
      </c>
      <c r="Q940" s="4">
        <v>17428.0</v>
      </c>
      <c r="R940" s="4"/>
      <c r="S940" s="4"/>
      <c r="T940" s="4"/>
      <c r="U940" s="7"/>
      <c r="V940" s="4"/>
      <c r="W940" s="4"/>
      <c r="X940" s="4"/>
      <c r="Y940" s="4"/>
      <c r="Z940" s="4"/>
      <c r="AA940" s="5"/>
      <c r="AB940" s="5"/>
      <c r="AC940" s="5"/>
      <c r="AD940" s="5"/>
      <c r="AE940" s="5"/>
    </row>
    <row r="941">
      <c r="A941" s="4" t="s">
        <v>1988</v>
      </c>
      <c r="B941" s="4"/>
      <c r="C941" s="4" t="s">
        <v>1959</v>
      </c>
      <c r="D941" s="4">
        <v>50040.0</v>
      </c>
      <c r="E941" s="4"/>
      <c r="F941" s="4" t="s">
        <v>1437</v>
      </c>
      <c r="G941" s="4">
        <v>99.0</v>
      </c>
      <c r="H941" s="4"/>
      <c r="I941" s="4">
        <v>99.0</v>
      </c>
      <c r="J941" s="4" t="s">
        <v>1989</v>
      </c>
      <c r="K941" s="4">
        <v>9.19571285225E11</v>
      </c>
      <c r="L941" s="4" t="s">
        <v>67</v>
      </c>
      <c r="M941" s="4" t="b">
        <v>0</v>
      </c>
      <c r="N941" s="4" t="s">
        <v>68</v>
      </c>
      <c r="O941" s="4" t="s">
        <v>69</v>
      </c>
      <c r="P941" s="6">
        <v>44311.86898148148</v>
      </c>
      <c r="Q941" s="4">
        <v>17354.0</v>
      </c>
      <c r="R941" s="4"/>
      <c r="S941" s="4"/>
      <c r="T941" s="4"/>
      <c r="U941" s="7"/>
      <c r="V941" s="4"/>
      <c r="W941" s="4"/>
      <c r="X941" s="4"/>
      <c r="Y941" s="4"/>
      <c r="Z941" s="4"/>
      <c r="AA941" s="5"/>
      <c r="AB941" s="5"/>
      <c r="AC941" s="5"/>
      <c r="AD941" s="5"/>
      <c r="AE941" s="5"/>
    </row>
    <row r="942">
      <c r="A942" s="4" t="s">
        <v>1990</v>
      </c>
      <c r="B942" s="4"/>
      <c r="C942" s="4" t="s">
        <v>1979</v>
      </c>
      <c r="D942" s="4">
        <v>50030.0</v>
      </c>
      <c r="E942" s="4"/>
      <c r="F942" s="4" t="s">
        <v>1437</v>
      </c>
      <c r="G942" s="4">
        <v>99.0</v>
      </c>
      <c r="H942" s="4"/>
      <c r="I942" s="4">
        <v>99.0</v>
      </c>
      <c r="J942" s="4" t="s">
        <v>1991</v>
      </c>
      <c r="K942" s="4">
        <v>9.1829748172E11</v>
      </c>
      <c r="L942" s="4" t="s">
        <v>67</v>
      </c>
      <c r="M942" s="4" t="b">
        <v>0</v>
      </c>
      <c r="N942" s="4" t="s">
        <v>97</v>
      </c>
      <c r="O942" s="4" t="s">
        <v>69</v>
      </c>
      <c r="P942" s="6">
        <v>44311.88511574074</v>
      </c>
      <c r="Q942" s="4" t="s">
        <v>83</v>
      </c>
      <c r="R942" s="4"/>
      <c r="S942" s="4"/>
      <c r="T942" s="4"/>
      <c r="U942" s="7"/>
      <c r="V942" s="4"/>
      <c r="W942" s="4"/>
      <c r="X942" s="4"/>
      <c r="Y942" s="4"/>
      <c r="Z942" s="4"/>
      <c r="AA942" s="5"/>
      <c r="AB942" s="5"/>
      <c r="AC942" s="5"/>
      <c r="AD942" s="5"/>
      <c r="AE942" s="5"/>
    </row>
    <row r="943">
      <c r="A943" s="4" t="s">
        <v>1992</v>
      </c>
      <c r="B943" s="4"/>
      <c r="C943" s="4" t="s">
        <v>1959</v>
      </c>
      <c r="D943" s="4">
        <v>50040.0</v>
      </c>
      <c r="E943" s="4"/>
      <c r="F943" s="4" t="s">
        <v>1437</v>
      </c>
      <c r="G943" s="4">
        <v>99.0</v>
      </c>
      <c r="H943" s="4"/>
      <c r="I943" s="4">
        <v>99.0</v>
      </c>
      <c r="J943" s="4" t="s">
        <v>1993</v>
      </c>
      <c r="K943" s="4">
        <v>9.19811695156E11</v>
      </c>
      <c r="L943" s="4" t="s">
        <v>67</v>
      </c>
      <c r="M943" s="4" t="b">
        <v>0</v>
      </c>
      <c r="N943" s="4" t="s">
        <v>68</v>
      </c>
      <c r="O943" s="4" t="s">
        <v>69</v>
      </c>
      <c r="P943" s="6">
        <v>44311.93269675926</v>
      </c>
      <c r="Q943" s="4" t="s">
        <v>83</v>
      </c>
      <c r="R943" s="4"/>
      <c r="S943" s="4"/>
      <c r="T943" s="4"/>
      <c r="U943" s="7"/>
      <c r="V943" s="4"/>
      <c r="W943" s="4"/>
      <c r="X943" s="4"/>
      <c r="Y943" s="4"/>
      <c r="Z943" s="4"/>
      <c r="AA943" s="5"/>
      <c r="AB943" s="5"/>
      <c r="AC943" s="5"/>
      <c r="AD943" s="5"/>
      <c r="AE943" s="5"/>
    </row>
    <row r="944">
      <c r="A944" s="4" t="s">
        <v>1994</v>
      </c>
      <c r="B944" s="4"/>
      <c r="C944" s="4" t="s">
        <v>1592</v>
      </c>
      <c r="D944" s="4">
        <v>49813.0</v>
      </c>
      <c r="E944" s="4"/>
      <c r="F944" s="4" t="s">
        <v>77</v>
      </c>
      <c r="G944" s="4">
        <v>799.0</v>
      </c>
      <c r="H944" s="4"/>
      <c r="I944" s="4">
        <v>799.0</v>
      </c>
      <c r="J944" s="4" t="s">
        <v>1995</v>
      </c>
      <c r="K944" s="4">
        <v>9.19538853194E11</v>
      </c>
      <c r="L944" s="4" t="s">
        <v>67</v>
      </c>
      <c r="M944" s="4" t="b">
        <v>0</v>
      </c>
      <c r="N944" s="4" t="s">
        <v>68</v>
      </c>
      <c r="O944" s="4" t="s">
        <v>69</v>
      </c>
      <c r="P944" s="6">
        <v>44314.90252314815</v>
      </c>
      <c r="Q944" s="4">
        <v>17420.0</v>
      </c>
      <c r="R944" s="4"/>
      <c r="S944" s="4"/>
      <c r="T944" s="4"/>
      <c r="U944" s="8"/>
      <c r="V944" s="4"/>
      <c r="W944" s="4"/>
      <c r="X944" s="4"/>
      <c r="Y944" s="4"/>
      <c r="Z944" s="4"/>
      <c r="AA944" s="5"/>
      <c r="AB944" s="5"/>
      <c r="AC944" s="5"/>
      <c r="AD944" s="5"/>
      <c r="AE944" s="5"/>
    </row>
    <row r="945">
      <c r="A945" s="4" t="s">
        <v>1996</v>
      </c>
      <c r="B945" s="4"/>
      <c r="C945" s="4" t="s">
        <v>1959</v>
      </c>
      <c r="D945" s="4">
        <v>50040.0</v>
      </c>
      <c r="E945" s="4"/>
      <c r="F945" s="4" t="s">
        <v>1442</v>
      </c>
      <c r="G945" s="4">
        <v>199.0</v>
      </c>
      <c r="H945" s="4"/>
      <c r="I945" s="4">
        <v>199.0</v>
      </c>
      <c r="J945" s="4" t="s">
        <v>1997</v>
      </c>
      <c r="K945" s="4">
        <v>9.19847298213E11</v>
      </c>
      <c r="L945" s="4" t="s">
        <v>67</v>
      </c>
      <c r="M945" s="4" t="b">
        <v>0</v>
      </c>
      <c r="N945" s="4" t="s">
        <v>74</v>
      </c>
      <c r="O945" s="4" t="s">
        <v>69</v>
      </c>
      <c r="P945" s="6">
        <v>44311.93517361111</v>
      </c>
      <c r="Q945" s="4">
        <v>17363.0</v>
      </c>
      <c r="R945" s="4"/>
      <c r="S945" s="4"/>
      <c r="T945" s="4"/>
      <c r="U945" s="7"/>
      <c r="V945" s="4"/>
      <c r="W945" s="4"/>
      <c r="X945" s="4"/>
      <c r="Y945" s="4"/>
      <c r="Z945" s="4"/>
      <c r="AA945" s="5"/>
      <c r="AB945" s="5"/>
      <c r="AC945" s="5"/>
      <c r="AD945" s="5"/>
      <c r="AE945" s="5"/>
    </row>
    <row r="946">
      <c r="A946" s="4" t="s">
        <v>1998</v>
      </c>
      <c r="B946" s="4"/>
      <c r="C946" s="4" t="s">
        <v>1592</v>
      </c>
      <c r="D946" s="4">
        <v>49813.0</v>
      </c>
      <c r="E946" s="4"/>
      <c r="F946" s="4" t="s">
        <v>149</v>
      </c>
      <c r="G946" s="4">
        <v>299.0</v>
      </c>
      <c r="H946" s="4"/>
      <c r="I946" s="4">
        <v>299.0</v>
      </c>
      <c r="J946" s="4" t="s">
        <v>1999</v>
      </c>
      <c r="K946" s="4">
        <v>9.17003906558E11</v>
      </c>
      <c r="L946" s="4" t="s">
        <v>67</v>
      </c>
      <c r="M946" s="4" t="b">
        <v>0</v>
      </c>
      <c r="N946" s="4" t="s">
        <v>68</v>
      </c>
      <c r="O946" s="4" t="s">
        <v>69</v>
      </c>
      <c r="P946" s="6">
        <v>44315.30375</v>
      </c>
      <c r="Q946" s="4">
        <v>17424.0</v>
      </c>
      <c r="R946" s="4"/>
      <c r="S946" s="4"/>
      <c r="T946" s="4"/>
      <c r="U946" s="7"/>
      <c r="V946" s="4"/>
      <c r="W946" s="4"/>
      <c r="X946" s="4"/>
      <c r="Y946" s="4"/>
      <c r="Z946" s="4"/>
      <c r="AA946" s="5"/>
      <c r="AB946" s="5"/>
      <c r="AC946" s="5"/>
      <c r="AD946" s="5"/>
      <c r="AE946" s="5"/>
    </row>
    <row r="947">
      <c r="A947" s="4" t="s">
        <v>2000</v>
      </c>
      <c r="B947" s="4"/>
      <c r="C947" s="4" t="s">
        <v>1932</v>
      </c>
      <c r="D947" s="4">
        <v>50041.0</v>
      </c>
      <c r="E947" s="4"/>
      <c r="F947" s="4" t="s">
        <v>1442</v>
      </c>
      <c r="G947" s="4">
        <v>199.0</v>
      </c>
      <c r="H947" s="4"/>
      <c r="I947" s="4">
        <v>199.0</v>
      </c>
      <c r="J947" s="4" t="s">
        <v>2001</v>
      </c>
      <c r="K947" s="4">
        <v>9.17304630785E11</v>
      </c>
      <c r="L947" s="4" t="s">
        <v>67</v>
      </c>
      <c r="M947" s="4" t="b">
        <v>0</v>
      </c>
      <c r="N947" s="4" t="s">
        <v>68</v>
      </c>
      <c r="O947" s="4" t="s">
        <v>69</v>
      </c>
      <c r="P947" s="6">
        <v>44311.952152777776</v>
      </c>
      <c r="Q947" s="4">
        <v>17464.0</v>
      </c>
      <c r="R947" s="4"/>
      <c r="S947" s="4"/>
      <c r="T947" s="4"/>
      <c r="U947" s="7"/>
      <c r="V947" s="4"/>
      <c r="W947" s="4"/>
      <c r="X947" s="4"/>
      <c r="Y947" s="4"/>
      <c r="Z947" s="4"/>
      <c r="AA947" s="5"/>
      <c r="AB947" s="5"/>
      <c r="AC947" s="5"/>
      <c r="AD947" s="5"/>
      <c r="AE947" s="5"/>
    </row>
    <row r="948">
      <c r="A948" s="4" t="s">
        <v>2002</v>
      </c>
      <c r="B948" s="4"/>
      <c r="C948" s="4" t="s">
        <v>1592</v>
      </c>
      <c r="D948" s="4">
        <v>49813.0</v>
      </c>
      <c r="E948" s="4"/>
      <c r="F948" s="4" t="s">
        <v>149</v>
      </c>
      <c r="G948" s="4">
        <v>299.0</v>
      </c>
      <c r="H948" s="4"/>
      <c r="I948" s="4">
        <v>299.0</v>
      </c>
      <c r="J948" s="4" t="s">
        <v>2003</v>
      </c>
      <c r="K948" s="4">
        <v>9.19791155075E11</v>
      </c>
      <c r="L948" s="4" t="s">
        <v>67</v>
      </c>
      <c r="M948" s="4" t="b">
        <v>0</v>
      </c>
      <c r="N948" s="4" t="s">
        <v>68</v>
      </c>
      <c r="O948" s="4" t="s">
        <v>69</v>
      </c>
      <c r="P948" s="6">
        <v>44315.36640046296</v>
      </c>
      <c r="Q948" s="4">
        <v>17459.0</v>
      </c>
      <c r="R948" s="4"/>
      <c r="S948" s="4"/>
      <c r="T948" s="4"/>
      <c r="U948" s="7"/>
      <c r="V948" s="4"/>
      <c r="W948" s="4"/>
      <c r="X948" s="4"/>
      <c r="Y948" s="4"/>
      <c r="Z948" s="4"/>
      <c r="AA948" s="5"/>
      <c r="AB948" s="5"/>
      <c r="AC948" s="5"/>
      <c r="AD948" s="5"/>
      <c r="AE948" s="5"/>
    </row>
    <row r="949">
      <c r="A949" s="4" t="s">
        <v>2004</v>
      </c>
      <c r="B949" s="4"/>
      <c r="C949" s="4" t="s">
        <v>2005</v>
      </c>
      <c r="D949" s="4">
        <v>49995.0</v>
      </c>
      <c r="E949" s="4"/>
      <c r="F949" s="4" t="s">
        <v>149</v>
      </c>
      <c r="G949" s="4">
        <v>99.0</v>
      </c>
      <c r="H949" s="4"/>
      <c r="I949" s="4">
        <v>99.0</v>
      </c>
      <c r="J949" s="4" t="s">
        <v>2006</v>
      </c>
      <c r="K949" s="4">
        <v>9.18779295213E11</v>
      </c>
      <c r="L949" s="4" t="s">
        <v>67</v>
      </c>
      <c r="M949" s="4" t="b">
        <v>0</v>
      </c>
      <c r="N949" s="4" t="s">
        <v>68</v>
      </c>
      <c r="O949" s="4" t="s">
        <v>69</v>
      </c>
      <c r="P949" s="6">
        <v>44305.97898148148</v>
      </c>
      <c r="Q949" s="4">
        <v>17032.0</v>
      </c>
      <c r="R949" s="4"/>
      <c r="S949" s="4"/>
      <c r="T949" s="4"/>
      <c r="U949" s="7"/>
      <c r="V949" s="4"/>
      <c r="W949" s="4"/>
      <c r="X949" s="4"/>
      <c r="Y949" s="4"/>
      <c r="Z949" s="4"/>
      <c r="AA949" s="5"/>
      <c r="AB949" s="5"/>
      <c r="AC949" s="5"/>
      <c r="AD949" s="5"/>
      <c r="AE949" s="5"/>
    </row>
    <row r="950">
      <c r="A950" s="4" t="s">
        <v>2007</v>
      </c>
      <c r="B950" s="4"/>
      <c r="C950" s="4" t="s">
        <v>2005</v>
      </c>
      <c r="D950" s="4">
        <v>49995.0</v>
      </c>
      <c r="E950" s="4"/>
      <c r="F950" s="4" t="s">
        <v>149</v>
      </c>
      <c r="G950" s="4">
        <v>99.0</v>
      </c>
      <c r="H950" s="4"/>
      <c r="I950" s="4">
        <v>99.0</v>
      </c>
      <c r="J950" s="4" t="s">
        <v>2008</v>
      </c>
      <c r="K950" s="4">
        <v>9.16364067328E11</v>
      </c>
      <c r="L950" s="4" t="s">
        <v>67</v>
      </c>
      <c r="M950" s="4" t="b">
        <v>0</v>
      </c>
      <c r="N950" s="4" t="s">
        <v>68</v>
      </c>
      <c r="O950" s="4" t="s">
        <v>69</v>
      </c>
      <c r="P950" s="6">
        <v>44306.792858796296</v>
      </c>
      <c r="Q950" s="4">
        <v>17038.0</v>
      </c>
      <c r="R950" s="4"/>
      <c r="S950" s="4"/>
      <c r="T950" s="4"/>
      <c r="U950" s="7"/>
      <c r="V950" s="4"/>
      <c r="W950" s="4"/>
      <c r="X950" s="4"/>
      <c r="Y950" s="4"/>
      <c r="Z950" s="4"/>
      <c r="AA950" s="5"/>
      <c r="AB950" s="5"/>
      <c r="AC950" s="5"/>
      <c r="AD950" s="5"/>
      <c r="AE950" s="5"/>
    </row>
    <row r="951">
      <c r="A951" s="4" t="s">
        <v>2009</v>
      </c>
      <c r="B951" s="4"/>
      <c r="C951" s="4" t="s">
        <v>1476</v>
      </c>
      <c r="D951" s="4">
        <v>50009.0</v>
      </c>
      <c r="E951" s="4"/>
      <c r="F951" s="4" t="s">
        <v>149</v>
      </c>
      <c r="G951" s="4">
        <v>99.0</v>
      </c>
      <c r="H951" s="4"/>
      <c r="I951" s="4">
        <v>99.0</v>
      </c>
      <c r="J951" s="4" t="s">
        <v>2010</v>
      </c>
      <c r="K951" s="4">
        <v>9.19902355538E11</v>
      </c>
      <c r="L951" s="4" t="s">
        <v>67</v>
      </c>
      <c r="M951" s="4" t="b">
        <v>0</v>
      </c>
      <c r="N951" s="4" t="s">
        <v>151</v>
      </c>
      <c r="O951" s="4" t="s">
        <v>69</v>
      </c>
      <c r="P951" s="6">
        <v>44312.26466435185</v>
      </c>
      <c r="Q951" s="4" t="s">
        <v>83</v>
      </c>
      <c r="R951" s="4"/>
      <c r="S951" s="4"/>
      <c r="T951" s="4"/>
      <c r="U951" s="7"/>
      <c r="V951" s="4"/>
      <c r="W951" s="4"/>
      <c r="X951" s="4"/>
      <c r="Y951" s="4"/>
      <c r="Z951" s="4"/>
      <c r="AA951" s="5"/>
      <c r="AB951" s="5"/>
      <c r="AC951" s="5"/>
      <c r="AD951" s="5"/>
      <c r="AE951" s="5"/>
    </row>
    <row r="952">
      <c r="A952" s="4" t="s">
        <v>2011</v>
      </c>
      <c r="B952" s="4"/>
      <c r="C952" s="4" t="s">
        <v>1982</v>
      </c>
      <c r="D952" s="4">
        <v>50032.0</v>
      </c>
      <c r="E952" s="4"/>
      <c r="F952" s="4" t="s">
        <v>149</v>
      </c>
      <c r="G952" s="4">
        <v>99.0</v>
      </c>
      <c r="H952" s="4"/>
      <c r="I952" s="4">
        <v>99.0</v>
      </c>
      <c r="J952" s="4" t="s">
        <v>2012</v>
      </c>
      <c r="K952" s="4">
        <v>9.18130808632E11</v>
      </c>
      <c r="L952" s="4" t="s">
        <v>67</v>
      </c>
      <c r="M952" s="4" t="b">
        <v>0</v>
      </c>
      <c r="N952" s="4" t="s">
        <v>97</v>
      </c>
      <c r="O952" s="4" t="s">
        <v>69</v>
      </c>
      <c r="P952" s="6">
        <v>44312.26625</v>
      </c>
      <c r="Q952" s="4">
        <v>17291.0</v>
      </c>
      <c r="R952" s="4"/>
      <c r="S952" s="4"/>
      <c r="T952" s="4"/>
      <c r="U952" s="7"/>
      <c r="V952" s="4"/>
      <c r="W952" s="4"/>
      <c r="X952" s="4"/>
      <c r="Y952" s="4"/>
      <c r="Z952" s="4"/>
      <c r="AA952" s="5"/>
      <c r="AB952" s="5"/>
      <c r="AC952" s="5"/>
      <c r="AD952" s="5"/>
      <c r="AE952" s="5"/>
    </row>
    <row r="953">
      <c r="A953" s="4" t="s">
        <v>2013</v>
      </c>
      <c r="B953" s="4"/>
      <c r="C953" s="4" t="s">
        <v>1539</v>
      </c>
      <c r="D953" s="4">
        <v>50009.0</v>
      </c>
      <c r="E953" s="4"/>
      <c r="F953" s="4" t="s">
        <v>85</v>
      </c>
      <c r="G953" s="4">
        <v>199.0</v>
      </c>
      <c r="H953" s="4"/>
      <c r="I953" s="4">
        <v>199.0</v>
      </c>
      <c r="J953" s="4" t="s">
        <v>2014</v>
      </c>
      <c r="K953" s="4">
        <v>9.19821642826E11</v>
      </c>
      <c r="L953" s="4" t="s">
        <v>67</v>
      </c>
      <c r="M953" s="4" t="b">
        <v>0</v>
      </c>
      <c r="N953" s="4" t="s">
        <v>97</v>
      </c>
      <c r="O953" s="4" t="s">
        <v>69</v>
      </c>
      <c r="P953" s="6">
        <v>44312.27638888889</v>
      </c>
      <c r="Q953" s="4">
        <v>17293.0</v>
      </c>
      <c r="R953" s="4"/>
      <c r="S953" s="4"/>
      <c r="T953" s="4"/>
      <c r="U953" s="7"/>
      <c r="V953" s="4"/>
      <c r="W953" s="4"/>
      <c r="X953" s="4"/>
      <c r="Y953" s="4"/>
      <c r="Z953" s="4"/>
      <c r="AA953" s="5"/>
      <c r="AB953" s="5"/>
      <c r="AC953" s="5"/>
      <c r="AD953" s="5"/>
      <c r="AE953" s="5"/>
    </row>
    <row r="954">
      <c r="A954" s="4" t="s">
        <v>2015</v>
      </c>
      <c r="B954" s="4"/>
      <c r="C954" s="4" t="s">
        <v>184</v>
      </c>
      <c r="D954" s="4">
        <v>49833.0</v>
      </c>
      <c r="E954" s="4"/>
      <c r="F954" s="4" t="s">
        <v>149</v>
      </c>
      <c r="G954" s="4">
        <v>199.0</v>
      </c>
      <c r="H954" s="4"/>
      <c r="I954" s="4">
        <v>199.0</v>
      </c>
      <c r="J954" s="4" t="s">
        <v>2016</v>
      </c>
      <c r="K954" s="4">
        <v>9.1720099855E11</v>
      </c>
      <c r="L954" s="4" t="s">
        <v>67</v>
      </c>
      <c r="M954" s="4" t="b">
        <v>0</v>
      </c>
      <c r="N954" s="4" t="s">
        <v>68</v>
      </c>
      <c r="O954" s="4" t="s">
        <v>69</v>
      </c>
      <c r="P954" s="6">
        <v>44312.32067129629</v>
      </c>
      <c r="Q954" s="4" t="s">
        <v>83</v>
      </c>
      <c r="R954" s="4"/>
      <c r="S954" s="4"/>
      <c r="T954" s="4"/>
      <c r="U954" s="7"/>
      <c r="V954" s="4"/>
      <c r="W954" s="4"/>
      <c r="X954" s="4"/>
      <c r="Y954" s="4"/>
      <c r="Z954" s="4"/>
      <c r="AA954" s="5"/>
      <c r="AB954" s="5"/>
      <c r="AC954" s="5"/>
      <c r="AD954" s="5"/>
      <c r="AE954" s="5"/>
    </row>
    <row r="955">
      <c r="A955" s="4" t="s">
        <v>2017</v>
      </c>
      <c r="B955" s="4"/>
      <c r="C955" s="4" t="s">
        <v>2005</v>
      </c>
      <c r="D955" s="4">
        <v>49995.0</v>
      </c>
      <c r="E955" s="4"/>
      <c r="F955" s="4" t="s">
        <v>149</v>
      </c>
      <c r="G955" s="4">
        <v>99.0</v>
      </c>
      <c r="H955" s="4"/>
      <c r="I955" s="4">
        <v>99.0</v>
      </c>
      <c r="J955" s="4" t="s">
        <v>2018</v>
      </c>
      <c r="K955" s="4">
        <v>9.18544923253E11</v>
      </c>
      <c r="L955" s="4" t="s">
        <v>67</v>
      </c>
      <c r="M955" s="4" t="b">
        <v>0</v>
      </c>
      <c r="N955" s="4" t="s">
        <v>68</v>
      </c>
      <c r="O955" s="4" t="s">
        <v>69</v>
      </c>
      <c r="P955" s="6">
        <v>44306.87938657407</v>
      </c>
      <c r="Q955" s="4">
        <v>17072.0</v>
      </c>
      <c r="R955" s="4"/>
      <c r="S955" s="4"/>
      <c r="T955" s="4"/>
      <c r="U955" s="7"/>
      <c r="V955" s="4"/>
      <c r="W955" s="4"/>
      <c r="X955" s="4"/>
      <c r="Y955" s="4"/>
      <c r="Z955" s="4"/>
      <c r="AA955" s="5"/>
      <c r="AB955" s="5"/>
      <c r="AC955" s="5"/>
      <c r="AD955" s="5"/>
      <c r="AE955" s="5"/>
    </row>
    <row r="956">
      <c r="A956" s="4" t="s">
        <v>2019</v>
      </c>
      <c r="B956" s="4"/>
      <c r="C956" s="4" t="s">
        <v>1932</v>
      </c>
      <c r="D956" s="4">
        <v>50041.0</v>
      </c>
      <c r="E956" s="4"/>
      <c r="F956" s="4" t="s">
        <v>1437</v>
      </c>
      <c r="G956" s="4">
        <v>99.0</v>
      </c>
      <c r="H956" s="4"/>
      <c r="I956" s="4">
        <v>99.0</v>
      </c>
      <c r="J956" s="4" t="s">
        <v>2020</v>
      </c>
      <c r="K956" s="4">
        <v>9.19820274748E11</v>
      </c>
      <c r="L956" s="4" t="s">
        <v>67</v>
      </c>
      <c r="M956" s="4" t="b">
        <v>0</v>
      </c>
      <c r="N956" s="4" t="s">
        <v>68</v>
      </c>
      <c r="O956" s="4" t="s">
        <v>69</v>
      </c>
      <c r="P956" s="6">
        <v>44312.401967592596</v>
      </c>
      <c r="Q956" s="4">
        <v>17468.0</v>
      </c>
      <c r="R956" s="4"/>
      <c r="S956" s="4"/>
      <c r="T956" s="4"/>
      <c r="U956" s="7"/>
      <c r="V956" s="4"/>
      <c r="W956" s="4"/>
      <c r="X956" s="4"/>
      <c r="Y956" s="4"/>
      <c r="Z956" s="4"/>
      <c r="AA956" s="5"/>
      <c r="AB956" s="5"/>
      <c r="AC956" s="5"/>
      <c r="AD956" s="5"/>
      <c r="AE956" s="5"/>
    </row>
    <row r="957">
      <c r="A957" s="4" t="s">
        <v>2021</v>
      </c>
      <c r="B957" s="4"/>
      <c r="C957" s="4" t="s">
        <v>184</v>
      </c>
      <c r="D957" s="4">
        <v>49833.0</v>
      </c>
      <c r="E957" s="4"/>
      <c r="F957" s="4" t="s">
        <v>85</v>
      </c>
      <c r="G957" s="4">
        <v>299.0</v>
      </c>
      <c r="H957" s="4"/>
      <c r="I957" s="4">
        <v>299.0</v>
      </c>
      <c r="J957" s="4" t="s">
        <v>2022</v>
      </c>
      <c r="K957" s="4">
        <v>9.18086326732E11</v>
      </c>
      <c r="L957" s="4" t="s">
        <v>67</v>
      </c>
      <c r="M957" s="4" t="b">
        <v>0</v>
      </c>
      <c r="N957" s="4" t="s">
        <v>68</v>
      </c>
      <c r="O957" s="4" t="s">
        <v>69</v>
      </c>
      <c r="P957" s="6">
        <v>44312.43263888889</v>
      </c>
      <c r="Q957" s="4">
        <v>17299.0</v>
      </c>
      <c r="R957" s="4"/>
      <c r="S957" s="4"/>
      <c r="T957" s="4"/>
      <c r="U957" s="7"/>
      <c r="V957" s="4"/>
      <c r="W957" s="4"/>
      <c r="X957" s="4"/>
      <c r="Y957" s="4"/>
      <c r="Z957" s="4"/>
      <c r="AA957" s="5"/>
      <c r="AB957" s="5"/>
      <c r="AC957" s="5"/>
      <c r="AD957" s="5"/>
      <c r="AE957" s="5"/>
    </row>
    <row r="958">
      <c r="A958" s="4" t="s">
        <v>2023</v>
      </c>
      <c r="B958" s="4"/>
      <c r="C958" s="4" t="s">
        <v>2005</v>
      </c>
      <c r="D958" s="4">
        <v>49995.0</v>
      </c>
      <c r="E958" s="4"/>
      <c r="F958" s="4" t="s">
        <v>1442</v>
      </c>
      <c r="G958" s="4">
        <v>199.0</v>
      </c>
      <c r="H958" s="4"/>
      <c r="I958" s="4">
        <v>199.0</v>
      </c>
      <c r="J958" s="4" t="s">
        <v>2024</v>
      </c>
      <c r="K958" s="4">
        <v>9.19653788188E11</v>
      </c>
      <c r="L958" s="4" t="s">
        <v>67</v>
      </c>
      <c r="M958" s="4" t="b">
        <v>0</v>
      </c>
      <c r="N958" s="4" t="s">
        <v>68</v>
      </c>
      <c r="O958" s="4" t="s">
        <v>69</v>
      </c>
      <c r="P958" s="6">
        <v>44307.69740740741</v>
      </c>
      <c r="Q958" s="4">
        <v>17079.0</v>
      </c>
      <c r="R958" s="4"/>
      <c r="S958" s="4"/>
      <c r="T958" s="4"/>
      <c r="U958" s="7"/>
      <c r="V958" s="4"/>
      <c r="W958" s="4"/>
      <c r="X958" s="4"/>
      <c r="Y958" s="4"/>
      <c r="Z958" s="4"/>
      <c r="AA958" s="5"/>
      <c r="AB958" s="5"/>
      <c r="AC958" s="5"/>
      <c r="AD958" s="5"/>
      <c r="AE958" s="5"/>
    </row>
    <row r="959">
      <c r="A959" s="4" t="s">
        <v>2025</v>
      </c>
      <c r="B959" s="4"/>
      <c r="C959" s="4" t="s">
        <v>1059</v>
      </c>
      <c r="D959" s="4">
        <v>49997.0</v>
      </c>
      <c r="E959" s="4"/>
      <c r="F959" s="4" t="s">
        <v>149</v>
      </c>
      <c r="G959" s="4">
        <v>99.0</v>
      </c>
      <c r="H959" s="4"/>
      <c r="I959" s="4">
        <v>99.0</v>
      </c>
      <c r="J959" s="4" t="s">
        <v>2026</v>
      </c>
      <c r="K959" s="4">
        <v>9.18979543318E11</v>
      </c>
      <c r="L959" s="4" t="s">
        <v>67</v>
      </c>
      <c r="M959" s="4" t="b">
        <v>0</v>
      </c>
      <c r="N959" s="4" t="s">
        <v>68</v>
      </c>
      <c r="O959" s="4" t="s">
        <v>69</v>
      </c>
      <c r="P959" s="6">
        <v>44312.442349537036</v>
      </c>
      <c r="Q959" s="4" t="s">
        <v>83</v>
      </c>
      <c r="R959" s="4"/>
      <c r="S959" s="4"/>
      <c r="T959" s="4"/>
      <c r="U959" s="7"/>
      <c r="V959" s="4"/>
      <c r="W959" s="4"/>
      <c r="X959" s="4"/>
      <c r="Y959" s="4"/>
      <c r="Z959" s="4"/>
      <c r="AA959" s="5"/>
      <c r="AB959" s="5"/>
      <c r="AC959" s="5"/>
      <c r="AD959" s="5"/>
      <c r="AE959" s="5"/>
    </row>
    <row r="960">
      <c r="A960" s="4" t="s">
        <v>2027</v>
      </c>
      <c r="B960" s="4"/>
      <c r="C960" s="4" t="s">
        <v>1982</v>
      </c>
      <c r="D960" s="4">
        <v>50032.0</v>
      </c>
      <c r="E960" s="4"/>
      <c r="F960" s="4" t="s">
        <v>149</v>
      </c>
      <c r="G960" s="4">
        <v>99.0</v>
      </c>
      <c r="H960" s="4"/>
      <c r="I960" s="4">
        <v>99.0</v>
      </c>
      <c r="J960" s="4" t="s">
        <v>2028</v>
      </c>
      <c r="K960" s="4">
        <v>9.1931951126E11</v>
      </c>
      <c r="L960" s="4" t="s">
        <v>67</v>
      </c>
      <c r="M960" s="4" t="b">
        <v>0</v>
      </c>
      <c r="N960" s="4" t="s">
        <v>68</v>
      </c>
      <c r="O960" s="4" t="s">
        <v>69</v>
      </c>
      <c r="P960" s="6">
        <v>44312.47961805556</v>
      </c>
      <c r="Q960" s="4">
        <v>17304.0</v>
      </c>
      <c r="R960" s="4"/>
      <c r="S960" s="4"/>
      <c r="T960" s="4"/>
      <c r="U960" s="7"/>
      <c r="V960" s="4"/>
      <c r="W960" s="4"/>
      <c r="X960" s="4"/>
      <c r="Y960" s="4"/>
      <c r="Z960" s="4"/>
      <c r="AA960" s="5"/>
      <c r="AB960" s="5"/>
      <c r="AC960" s="5"/>
      <c r="AD960" s="5"/>
      <c r="AE960" s="5"/>
    </row>
    <row r="961">
      <c r="A961" s="4" t="s">
        <v>2029</v>
      </c>
      <c r="B961" s="4"/>
      <c r="C961" s="4" t="s">
        <v>1264</v>
      </c>
      <c r="D961" s="4">
        <v>49994.0</v>
      </c>
      <c r="E961" s="4"/>
      <c r="F961" s="4" t="s">
        <v>149</v>
      </c>
      <c r="G961" s="4">
        <v>99.0</v>
      </c>
      <c r="H961" s="4"/>
      <c r="I961" s="4">
        <v>99.0</v>
      </c>
      <c r="J961" s="4" t="s">
        <v>2030</v>
      </c>
      <c r="K961" s="4">
        <v>9.18239537194E11</v>
      </c>
      <c r="L961" s="4" t="s">
        <v>67</v>
      </c>
      <c r="M961" s="4" t="b">
        <v>0</v>
      </c>
      <c r="N961" s="4" t="s">
        <v>151</v>
      </c>
      <c r="O961" s="4" t="s">
        <v>69</v>
      </c>
      <c r="P961" s="6">
        <v>44312.486863425926</v>
      </c>
      <c r="Q961" s="4" t="s">
        <v>83</v>
      </c>
      <c r="R961" s="4"/>
      <c r="S961" s="4"/>
      <c r="T961" s="4"/>
      <c r="U961" s="7"/>
      <c r="V961" s="4"/>
      <c r="W961" s="4"/>
      <c r="X961" s="4"/>
      <c r="Y961" s="4"/>
      <c r="Z961" s="4"/>
      <c r="AA961" s="5"/>
      <c r="AB961" s="5"/>
      <c r="AC961" s="5"/>
      <c r="AD961" s="5"/>
      <c r="AE961" s="5"/>
    </row>
    <row r="962">
      <c r="A962" s="4" t="s">
        <v>2031</v>
      </c>
      <c r="B962" s="4"/>
      <c r="C962" s="4" t="s">
        <v>1932</v>
      </c>
      <c r="D962" s="4">
        <v>50041.0</v>
      </c>
      <c r="E962" s="4"/>
      <c r="F962" s="4" t="s">
        <v>1437</v>
      </c>
      <c r="G962" s="4">
        <v>99.0</v>
      </c>
      <c r="H962" s="4"/>
      <c r="I962" s="4">
        <v>99.0</v>
      </c>
      <c r="J962" s="4" t="s">
        <v>2032</v>
      </c>
      <c r="K962" s="4">
        <v>9.19999799252E11</v>
      </c>
      <c r="L962" s="4" t="s">
        <v>67</v>
      </c>
      <c r="M962" s="4" t="b">
        <v>0</v>
      </c>
      <c r="N962" s="4" t="s">
        <v>68</v>
      </c>
      <c r="O962" s="4" t="s">
        <v>69</v>
      </c>
      <c r="P962" s="6">
        <v>44312.50381944444</v>
      </c>
      <c r="Q962" s="4" t="s">
        <v>83</v>
      </c>
      <c r="R962" s="4"/>
      <c r="S962" s="4"/>
      <c r="T962" s="4"/>
      <c r="U962" s="7"/>
      <c r="V962" s="4"/>
      <c r="W962" s="4"/>
      <c r="X962" s="4"/>
      <c r="Y962" s="4"/>
      <c r="Z962" s="4"/>
      <c r="AA962" s="5"/>
      <c r="AB962" s="5"/>
      <c r="AC962" s="5"/>
      <c r="AD962" s="5"/>
      <c r="AE962" s="5"/>
    </row>
    <row r="963">
      <c r="A963" s="4" t="s">
        <v>2033</v>
      </c>
      <c r="B963" s="4"/>
      <c r="C963" s="4" t="s">
        <v>1979</v>
      </c>
      <c r="D963" s="4">
        <v>50030.0</v>
      </c>
      <c r="E963" s="4"/>
      <c r="F963" s="4" t="s">
        <v>1442</v>
      </c>
      <c r="G963" s="4">
        <v>199.0</v>
      </c>
      <c r="H963" s="4"/>
      <c r="I963" s="4">
        <v>199.0</v>
      </c>
      <c r="J963" s="4" t="s">
        <v>2034</v>
      </c>
      <c r="K963" s="4">
        <v>9.19880870713E11</v>
      </c>
      <c r="L963" s="4" t="s">
        <v>67</v>
      </c>
      <c r="M963" s="4" t="b">
        <v>0</v>
      </c>
      <c r="N963" s="4" t="s">
        <v>74</v>
      </c>
      <c r="O963" s="4" t="s">
        <v>69</v>
      </c>
      <c r="P963" s="6">
        <v>44312.50828703704</v>
      </c>
      <c r="Q963" s="4">
        <v>17404.0</v>
      </c>
      <c r="R963" s="4"/>
      <c r="S963" s="4"/>
      <c r="T963" s="4"/>
      <c r="U963" s="7"/>
      <c r="V963" s="4"/>
      <c r="W963" s="4"/>
      <c r="X963" s="4"/>
      <c r="Y963" s="4"/>
      <c r="Z963" s="4"/>
      <c r="AA963" s="5"/>
      <c r="AB963" s="5"/>
      <c r="AC963" s="5"/>
      <c r="AD963" s="5"/>
      <c r="AE963" s="5"/>
    </row>
    <row r="964">
      <c r="A964" s="4" t="s">
        <v>2035</v>
      </c>
      <c r="B964" s="4"/>
      <c r="C964" s="4" t="s">
        <v>1539</v>
      </c>
      <c r="D964" s="4">
        <v>50009.0</v>
      </c>
      <c r="E964" s="4"/>
      <c r="F964" s="4" t="s">
        <v>77</v>
      </c>
      <c r="G964" s="4">
        <v>349.0</v>
      </c>
      <c r="H964" s="4"/>
      <c r="I964" s="4">
        <v>349.0</v>
      </c>
      <c r="J964" s="4" t="s">
        <v>2036</v>
      </c>
      <c r="K964" s="4">
        <v>9.19665337579E11</v>
      </c>
      <c r="L964" s="4" t="s">
        <v>67</v>
      </c>
      <c r="M964" s="4" t="b">
        <v>0</v>
      </c>
      <c r="N964" s="4" t="s">
        <v>68</v>
      </c>
      <c r="O964" s="4" t="s">
        <v>69</v>
      </c>
      <c r="P964" s="6">
        <v>44312.518796296295</v>
      </c>
      <c r="Q964" s="4">
        <v>17301.0</v>
      </c>
      <c r="R964" s="4"/>
      <c r="S964" s="4"/>
      <c r="T964" s="4"/>
      <c r="U964" s="8"/>
      <c r="V964" s="4"/>
      <c r="W964" s="4"/>
      <c r="X964" s="4"/>
      <c r="Y964" s="4"/>
      <c r="Z964" s="4"/>
      <c r="AA964" s="5"/>
      <c r="AB964" s="5"/>
      <c r="AC964" s="5"/>
      <c r="AD964" s="5"/>
      <c r="AE964" s="5"/>
    </row>
    <row r="965">
      <c r="A965" s="4" t="s">
        <v>2037</v>
      </c>
      <c r="B965" s="4"/>
      <c r="C965" s="4" t="s">
        <v>1476</v>
      </c>
      <c r="D965" s="4">
        <v>50009.0</v>
      </c>
      <c r="E965" s="4"/>
      <c r="F965" s="4" t="s">
        <v>149</v>
      </c>
      <c r="G965" s="4">
        <v>99.0</v>
      </c>
      <c r="H965" s="4"/>
      <c r="I965" s="4">
        <v>99.0</v>
      </c>
      <c r="J965" s="4" t="s">
        <v>2038</v>
      </c>
      <c r="K965" s="4">
        <v>9.19990618578E11</v>
      </c>
      <c r="L965" s="4" t="s">
        <v>67</v>
      </c>
      <c r="M965" s="4" t="b">
        <v>0</v>
      </c>
      <c r="N965" s="4" t="s">
        <v>74</v>
      </c>
      <c r="O965" s="4" t="s">
        <v>69</v>
      </c>
      <c r="P965" s="6">
        <v>44312.53936342592</v>
      </c>
      <c r="Q965" s="4">
        <v>17303.0</v>
      </c>
      <c r="R965" s="4"/>
      <c r="S965" s="4"/>
      <c r="T965" s="4"/>
      <c r="U965" s="7"/>
      <c r="V965" s="4"/>
      <c r="W965" s="4"/>
      <c r="X965" s="4"/>
      <c r="Y965" s="4"/>
      <c r="Z965" s="4"/>
      <c r="AA965" s="5"/>
      <c r="AB965" s="5"/>
      <c r="AC965" s="5"/>
      <c r="AD965" s="5"/>
      <c r="AE965" s="5"/>
    </row>
    <row r="966">
      <c r="A966" s="4" t="s">
        <v>2039</v>
      </c>
      <c r="B966" s="4"/>
      <c r="C966" s="4" t="s">
        <v>1104</v>
      </c>
      <c r="D966" s="4">
        <v>49993.0</v>
      </c>
      <c r="E966" s="4"/>
      <c r="F966" s="4" t="s">
        <v>149</v>
      </c>
      <c r="G966" s="4">
        <v>199.0</v>
      </c>
      <c r="H966" s="4"/>
      <c r="I966" s="4">
        <v>199.0</v>
      </c>
      <c r="J966" s="4" t="s">
        <v>2040</v>
      </c>
      <c r="K966" s="4">
        <v>9.18884748127E11</v>
      </c>
      <c r="L966" s="4" t="s">
        <v>67</v>
      </c>
      <c r="M966" s="4" t="b">
        <v>0</v>
      </c>
      <c r="N966" s="4" t="s">
        <v>68</v>
      </c>
      <c r="O966" s="4" t="s">
        <v>69</v>
      </c>
      <c r="P966" s="6">
        <v>44312.55351851852</v>
      </c>
      <c r="Q966" s="4">
        <v>17391.0</v>
      </c>
      <c r="R966" s="4"/>
      <c r="S966" s="4"/>
      <c r="T966" s="4"/>
      <c r="U966" s="7"/>
      <c r="V966" s="4"/>
      <c r="W966" s="4"/>
      <c r="X966" s="4"/>
      <c r="Y966" s="4"/>
      <c r="Z966" s="4"/>
      <c r="AA966" s="5"/>
      <c r="AB966" s="5"/>
      <c r="AC966" s="5"/>
      <c r="AD966" s="5"/>
      <c r="AE966" s="5"/>
    </row>
    <row r="967">
      <c r="A967" s="4" t="s">
        <v>2041</v>
      </c>
      <c r="B967" s="4"/>
      <c r="C967" s="4" t="s">
        <v>1582</v>
      </c>
      <c r="D967" s="4">
        <v>50048.0</v>
      </c>
      <c r="E967" s="4"/>
      <c r="F967" s="4" t="s">
        <v>77</v>
      </c>
      <c r="G967" s="4">
        <v>599.0</v>
      </c>
      <c r="H967" s="4"/>
      <c r="I967" s="4">
        <v>599.0</v>
      </c>
      <c r="J967" s="4" t="s">
        <v>2042</v>
      </c>
      <c r="K967" s="4">
        <v>9.19594626273E11</v>
      </c>
      <c r="L967" s="4" t="s">
        <v>67</v>
      </c>
      <c r="M967" s="4" t="b">
        <v>0</v>
      </c>
      <c r="N967" s="4" t="s">
        <v>68</v>
      </c>
      <c r="O967" s="4" t="s">
        <v>69</v>
      </c>
      <c r="P967" s="6">
        <v>44312.55739583333</v>
      </c>
      <c r="Q967" s="4">
        <v>17312.0</v>
      </c>
      <c r="R967" s="4"/>
      <c r="S967" s="4"/>
      <c r="T967" s="4"/>
      <c r="U967" s="8"/>
      <c r="V967" s="4"/>
      <c r="W967" s="4"/>
      <c r="X967" s="4"/>
      <c r="Y967" s="4"/>
      <c r="Z967" s="4"/>
      <c r="AA967" s="5"/>
      <c r="AB967" s="5"/>
      <c r="AC967" s="5"/>
      <c r="AD967" s="5"/>
      <c r="AE967" s="5"/>
    </row>
    <row r="968">
      <c r="A968" s="4" t="s">
        <v>2043</v>
      </c>
      <c r="B968" s="4"/>
      <c r="C968" s="4" t="s">
        <v>2005</v>
      </c>
      <c r="D968" s="4">
        <v>49995.0</v>
      </c>
      <c r="E968" s="4"/>
      <c r="F968" s="4" t="s">
        <v>149</v>
      </c>
      <c r="G968" s="4">
        <v>99.0</v>
      </c>
      <c r="H968" s="4"/>
      <c r="I968" s="4">
        <v>99.0</v>
      </c>
      <c r="J968" s="4" t="s">
        <v>2044</v>
      </c>
      <c r="K968" s="4">
        <v>9.1816980832E11</v>
      </c>
      <c r="L968" s="4" t="s">
        <v>67</v>
      </c>
      <c r="M968" s="4" t="b">
        <v>0</v>
      </c>
      <c r="N968" s="4" t="s">
        <v>74</v>
      </c>
      <c r="O968" s="4" t="s">
        <v>69</v>
      </c>
      <c r="P968" s="6">
        <v>44307.95018518518</v>
      </c>
      <c r="Q968" s="4">
        <v>17162.0</v>
      </c>
      <c r="R968" s="4"/>
      <c r="S968" s="4"/>
      <c r="T968" s="4"/>
      <c r="U968" s="7"/>
      <c r="V968" s="4"/>
      <c r="W968" s="4"/>
      <c r="X968" s="4"/>
      <c r="Y968" s="4"/>
      <c r="Z968" s="4"/>
      <c r="AA968" s="5"/>
      <c r="AB968" s="5"/>
      <c r="AC968" s="5"/>
      <c r="AD968" s="5"/>
      <c r="AE968" s="5"/>
    </row>
    <row r="969">
      <c r="A969" s="4" t="s">
        <v>2045</v>
      </c>
      <c r="B969" s="4"/>
      <c r="C969" s="4" t="s">
        <v>2005</v>
      </c>
      <c r="D969" s="4">
        <v>49995.0</v>
      </c>
      <c r="E969" s="4"/>
      <c r="F969" s="4" t="s">
        <v>149</v>
      </c>
      <c r="G969" s="4">
        <v>99.0</v>
      </c>
      <c r="H969" s="4"/>
      <c r="I969" s="4">
        <v>99.0</v>
      </c>
      <c r="J969" s="4" t="s">
        <v>2046</v>
      </c>
      <c r="K969" s="4">
        <v>9.18328602026E11</v>
      </c>
      <c r="L969" s="4" t="s">
        <v>67</v>
      </c>
      <c r="M969" s="4" t="b">
        <v>0</v>
      </c>
      <c r="N969" s="4" t="s">
        <v>68</v>
      </c>
      <c r="O969" s="4" t="s">
        <v>69</v>
      </c>
      <c r="P969" s="6">
        <v>44307.983449074076</v>
      </c>
      <c r="Q969" s="4" t="s">
        <v>83</v>
      </c>
      <c r="R969" s="4"/>
      <c r="S969" s="4"/>
      <c r="T969" s="4"/>
      <c r="U969" s="7"/>
      <c r="V969" s="4"/>
      <c r="W969" s="4"/>
      <c r="X969" s="4"/>
      <c r="Y969" s="4"/>
      <c r="Z969" s="4"/>
      <c r="AA969" s="5"/>
      <c r="AB969" s="5"/>
      <c r="AC969" s="5"/>
      <c r="AD969" s="5"/>
      <c r="AE969" s="5"/>
    </row>
    <row r="970">
      <c r="A970" s="4" t="s">
        <v>2047</v>
      </c>
      <c r="B970" s="4"/>
      <c r="C970" s="4" t="s">
        <v>2005</v>
      </c>
      <c r="D970" s="4">
        <v>49995.0</v>
      </c>
      <c r="E970" s="4"/>
      <c r="F970" s="4" t="s">
        <v>149</v>
      </c>
      <c r="G970" s="4">
        <v>99.0</v>
      </c>
      <c r="H970" s="4"/>
      <c r="I970" s="4">
        <v>99.0</v>
      </c>
      <c r="J970" s="4" t="s">
        <v>2048</v>
      </c>
      <c r="K970" s="4">
        <v>9.19832373156E11</v>
      </c>
      <c r="L970" s="4" t="s">
        <v>67</v>
      </c>
      <c r="M970" s="4" t="b">
        <v>0</v>
      </c>
      <c r="N970" s="4" t="s">
        <v>68</v>
      </c>
      <c r="O970" s="4" t="s">
        <v>69</v>
      </c>
      <c r="P970" s="6">
        <v>44308.695069444446</v>
      </c>
      <c r="Q970" s="4" t="s">
        <v>83</v>
      </c>
      <c r="R970" s="4"/>
      <c r="S970" s="4"/>
      <c r="T970" s="4"/>
      <c r="U970" s="7"/>
      <c r="V970" s="4"/>
      <c r="W970" s="4"/>
      <c r="X970" s="4"/>
      <c r="Y970" s="4"/>
      <c r="Z970" s="4"/>
      <c r="AA970" s="5"/>
      <c r="AB970" s="5"/>
      <c r="AC970" s="5"/>
      <c r="AD970" s="5"/>
      <c r="AE970" s="5"/>
    </row>
    <row r="971">
      <c r="A971" s="4" t="s">
        <v>2049</v>
      </c>
      <c r="B971" s="4"/>
      <c r="C971" s="4" t="s">
        <v>858</v>
      </c>
      <c r="D971" s="4">
        <v>49958.0</v>
      </c>
      <c r="E971" s="4"/>
      <c r="F971" s="4" t="s">
        <v>85</v>
      </c>
      <c r="G971" s="4">
        <v>199.0</v>
      </c>
      <c r="H971" s="4"/>
      <c r="I971" s="4">
        <v>199.0</v>
      </c>
      <c r="J971" s="4" t="s">
        <v>2050</v>
      </c>
      <c r="K971" s="4">
        <v>9.19953043936E11</v>
      </c>
      <c r="L971" s="4" t="s">
        <v>67</v>
      </c>
      <c r="M971" s="4" t="b">
        <v>0</v>
      </c>
      <c r="N971" s="4" t="s">
        <v>68</v>
      </c>
      <c r="O971" s="4" t="s">
        <v>69</v>
      </c>
      <c r="P971" s="6">
        <v>44312.586180555554</v>
      </c>
      <c r="Q971" s="4" t="s">
        <v>83</v>
      </c>
      <c r="R971" s="4"/>
      <c r="S971" s="4"/>
      <c r="T971" s="4"/>
      <c r="U971" s="7"/>
      <c r="V971" s="4"/>
      <c r="W971" s="4"/>
      <c r="X971" s="4"/>
      <c r="Y971" s="4"/>
      <c r="Z971" s="4"/>
      <c r="AA971" s="5"/>
      <c r="AB971" s="5"/>
      <c r="AC971" s="5"/>
      <c r="AD971" s="5"/>
      <c r="AE971" s="5"/>
    </row>
    <row r="972">
      <c r="A972" s="4" t="s">
        <v>2051</v>
      </c>
      <c r="B972" s="4"/>
      <c r="C972" s="4" t="s">
        <v>2005</v>
      </c>
      <c r="D972" s="4">
        <v>49995.0</v>
      </c>
      <c r="E972" s="4"/>
      <c r="F972" s="4" t="s">
        <v>149</v>
      </c>
      <c r="G972" s="4">
        <v>99.0</v>
      </c>
      <c r="H972" s="4"/>
      <c r="I972" s="4">
        <v>99.0</v>
      </c>
      <c r="J972" s="4" t="s">
        <v>2052</v>
      </c>
      <c r="K972" s="4">
        <v>9.18447005151E11</v>
      </c>
      <c r="L972" s="4" t="s">
        <v>67</v>
      </c>
      <c r="M972" s="4" t="b">
        <v>0</v>
      </c>
      <c r="N972" s="4" t="s">
        <v>97</v>
      </c>
      <c r="O972" s="4" t="s">
        <v>69</v>
      </c>
      <c r="P972" s="6">
        <v>44309.392384259256</v>
      </c>
      <c r="Q972" s="4">
        <v>17156.0</v>
      </c>
      <c r="R972" s="4"/>
      <c r="S972" s="4"/>
      <c r="T972" s="4"/>
      <c r="U972" s="7"/>
      <c r="V972" s="4"/>
      <c r="W972" s="4"/>
      <c r="X972" s="4"/>
      <c r="Y972" s="4"/>
      <c r="Z972" s="4"/>
      <c r="AA972" s="5"/>
      <c r="AB972" s="5"/>
      <c r="AC972" s="5"/>
      <c r="AD972" s="5"/>
      <c r="AE972" s="5"/>
    </row>
    <row r="973">
      <c r="A973" s="4" t="s">
        <v>2053</v>
      </c>
      <c r="B973" s="4"/>
      <c r="C973" s="4" t="s">
        <v>858</v>
      </c>
      <c r="D973" s="4">
        <v>49958.0</v>
      </c>
      <c r="E973" s="4"/>
      <c r="F973" s="4" t="s">
        <v>85</v>
      </c>
      <c r="G973" s="4">
        <v>199.0</v>
      </c>
      <c r="H973" s="4"/>
      <c r="I973" s="4">
        <v>199.0</v>
      </c>
      <c r="J973" s="4" t="s">
        <v>2054</v>
      </c>
      <c r="K973" s="4">
        <v>9.18595818525E11</v>
      </c>
      <c r="L973" s="4" t="s">
        <v>67</v>
      </c>
      <c r="M973" s="4" t="b">
        <v>0</v>
      </c>
      <c r="N973" s="4" t="s">
        <v>68</v>
      </c>
      <c r="O973" s="4" t="s">
        <v>69</v>
      </c>
      <c r="P973" s="6">
        <v>44312.609826388885</v>
      </c>
      <c r="Q973" s="4">
        <v>17309.0</v>
      </c>
      <c r="R973" s="4"/>
      <c r="S973" s="4"/>
      <c r="T973" s="4"/>
      <c r="U973" s="7"/>
      <c r="V973" s="4"/>
      <c r="W973" s="4"/>
      <c r="X973" s="4"/>
      <c r="Y973" s="4"/>
      <c r="Z973" s="4"/>
      <c r="AA973" s="5"/>
      <c r="AB973" s="5"/>
      <c r="AC973" s="5"/>
      <c r="AD973" s="5"/>
      <c r="AE973" s="5"/>
    </row>
    <row r="974">
      <c r="A974" s="4" t="s">
        <v>2055</v>
      </c>
      <c r="B974" s="4"/>
      <c r="C974" s="4" t="s">
        <v>1979</v>
      </c>
      <c r="D974" s="4">
        <v>50030.0</v>
      </c>
      <c r="E974" s="4"/>
      <c r="F974" s="4" t="s">
        <v>2056</v>
      </c>
      <c r="G974" s="4">
        <v>349.0</v>
      </c>
      <c r="H974" s="4"/>
      <c r="I974" s="4">
        <v>349.0</v>
      </c>
      <c r="J974" s="4" t="s">
        <v>2057</v>
      </c>
      <c r="K974" s="4">
        <v>9.18118026555E11</v>
      </c>
      <c r="L974" s="4" t="s">
        <v>67</v>
      </c>
      <c r="M974" s="4" t="b">
        <v>0</v>
      </c>
      <c r="N974" s="4" t="s">
        <v>151</v>
      </c>
      <c r="O974" s="4" t="s">
        <v>69</v>
      </c>
      <c r="P974" s="6">
        <v>44312.61079861111</v>
      </c>
      <c r="Q974" s="4" t="s">
        <v>83</v>
      </c>
      <c r="R974" s="4"/>
      <c r="S974" s="4"/>
      <c r="T974" s="4"/>
      <c r="U974" s="8"/>
      <c r="V974" s="4"/>
      <c r="W974" s="4"/>
      <c r="X974" s="4"/>
      <c r="Y974" s="4"/>
      <c r="Z974" s="4"/>
      <c r="AA974" s="5"/>
      <c r="AB974" s="5"/>
      <c r="AC974" s="5"/>
      <c r="AD974" s="5"/>
      <c r="AE974" s="5"/>
    </row>
    <row r="975">
      <c r="A975" s="4" t="s">
        <v>2058</v>
      </c>
      <c r="B975" s="4"/>
      <c r="C975" s="4" t="s">
        <v>858</v>
      </c>
      <c r="D975" s="4">
        <v>49958.0</v>
      </c>
      <c r="E975" s="4"/>
      <c r="F975" s="4" t="s">
        <v>85</v>
      </c>
      <c r="G975" s="4">
        <v>199.0</v>
      </c>
      <c r="H975" s="4"/>
      <c r="I975" s="4">
        <v>199.0</v>
      </c>
      <c r="J975" s="4" t="s">
        <v>2059</v>
      </c>
      <c r="K975" s="4">
        <v>9.17637854372E11</v>
      </c>
      <c r="L975" s="4" t="s">
        <v>67</v>
      </c>
      <c r="M975" s="4" t="b">
        <v>0</v>
      </c>
      <c r="N975" s="4" t="s">
        <v>68</v>
      </c>
      <c r="O975" s="4" t="s">
        <v>69</v>
      </c>
      <c r="P975" s="6">
        <v>44312.61342592593</v>
      </c>
      <c r="Q975" s="4" t="s">
        <v>83</v>
      </c>
      <c r="R975" s="4"/>
      <c r="S975" s="4"/>
      <c r="T975" s="4"/>
      <c r="U975" s="7"/>
      <c r="V975" s="4"/>
      <c r="W975" s="4"/>
      <c r="X975" s="4"/>
      <c r="Y975" s="4"/>
      <c r="Z975" s="4"/>
      <c r="AA975" s="5"/>
      <c r="AB975" s="5"/>
      <c r="AC975" s="5"/>
      <c r="AD975" s="5"/>
      <c r="AE975" s="5"/>
    </row>
    <row r="976">
      <c r="A976" s="4" t="s">
        <v>2060</v>
      </c>
      <c r="B976" s="4"/>
      <c r="C976" s="4" t="s">
        <v>1979</v>
      </c>
      <c r="D976" s="4">
        <v>50030.0</v>
      </c>
      <c r="E976" s="4"/>
      <c r="F976" s="4" t="s">
        <v>1442</v>
      </c>
      <c r="G976" s="4">
        <v>199.0</v>
      </c>
      <c r="H976" s="4"/>
      <c r="I976" s="4">
        <v>199.0</v>
      </c>
      <c r="J976" s="4" t="s">
        <v>2061</v>
      </c>
      <c r="K976" s="4">
        <v>9.17030536638E11</v>
      </c>
      <c r="L976" s="4" t="s">
        <v>67</v>
      </c>
      <c r="M976" s="4" t="b">
        <v>0</v>
      </c>
      <c r="N976" s="4" t="s">
        <v>68</v>
      </c>
      <c r="O976" s="4" t="s">
        <v>69</v>
      </c>
      <c r="P976" s="6">
        <v>44312.61740740741</v>
      </c>
      <c r="Q976" s="4">
        <v>17393.0</v>
      </c>
      <c r="R976" s="4"/>
      <c r="S976" s="4"/>
      <c r="T976" s="4"/>
      <c r="U976" s="7"/>
      <c r="V976" s="4"/>
      <c r="W976" s="4"/>
      <c r="X976" s="4"/>
      <c r="Y976" s="4"/>
      <c r="Z976" s="4"/>
      <c r="AA976" s="5"/>
      <c r="AB976" s="5"/>
      <c r="AC976" s="5"/>
      <c r="AD976" s="5"/>
      <c r="AE976" s="5"/>
    </row>
    <row r="977">
      <c r="A977" s="4" t="s">
        <v>2062</v>
      </c>
      <c r="B977" s="4"/>
      <c r="C977" s="4" t="s">
        <v>1264</v>
      </c>
      <c r="D977" s="4">
        <v>49994.0</v>
      </c>
      <c r="E977" s="4"/>
      <c r="F977" s="4" t="s">
        <v>149</v>
      </c>
      <c r="G977" s="4">
        <v>99.0</v>
      </c>
      <c r="H977" s="4"/>
      <c r="I977" s="4">
        <v>99.0</v>
      </c>
      <c r="J977" s="4" t="s">
        <v>2063</v>
      </c>
      <c r="K977" s="4">
        <v>9.199882899E11</v>
      </c>
      <c r="L977" s="4" t="s">
        <v>67</v>
      </c>
      <c r="M977" s="4" t="b">
        <v>0</v>
      </c>
      <c r="N977" s="4" t="s">
        <v>97</v>
      </c>
      <c r="O977" s="4" t="s">
        <v>69</v>
      </c>
      <c r="P977" s="6">
        <v>44312.623148148145</v>
      </c>
      <c r="Q977" s="4">
        <v>17311.0</v>
      </c>
      <c r="R977" s="4"/>
      <c r="S977" s="4"/>
      <c r="T977" s="4"/>
      <c r="U977" s="7"/>
      <c r="V977" s="4"/>
      <c r="W977" s="4"/>
      <c r="X977" s="4"/>
      <c r="Y977" s="4"/>
      <c r="Z977" s="4"/>
      <c r="AA977" s="5"/>
      <c r="AB977" s="5"/>
      <c r="AC977" s="5"/>
      <c r="AD977" s="5"/>
      <c r="AE977" s="5"/>
    </row>
    <row r="978">
      <c r="A978" s="4" t="s">
        <v>2064</v>
      </c>
      <c r="B978" s="4"/>
      <c r="C978" s="4" t="s">
        <v>2005</v>
      </c>
      <c r="D978" s="4">
        <v>49995.0</v>
      </c>
      <c r="E978" s="4"/>
      <c r="F978" s="4" t="s">
        <v>149</v>
      </c>
      <c r="G978" s="4">
        <v>99.0</v>
      </c>
      <c r="H978" s="4"/>
      <c r="I978" s="4">
        <v>99.0</v>
      </c>
      <c r="J978" s="4" t="s">
        <v>2065</v>
      </c>
      <c r="K978" s="4">
        <v>9.19920669448E11</v>
      </c>
      <c r="L978" s="4" t="s">
        <v>67</v>
      </c>
      <c r="M978" s="4" t="b">
        <v>0</v>
      </c>
      <c r="N978" s="4" t="s">
        <v>68</v>
      </c>
      <c r="O978" s="4" t="s">
        <v>69</v>
      </c>
      <c r="P978" s="6">
        <v>44309.99664351852</v>
      </c>
      <c r="Q978" s="4">
        <v>17226.0</v>
      </c>
      <c r="R978" s="4"/>
      <c r="S978" s="4"/>
      <c r="T978" s="4"/>
      <c r="U978" s="7"/>
      <c r="V978" s="4"/>
      <c r="W978" s="4"/>
      <c r="X978" s="4"/>
      <c r="Y978" s="4"/>
      <c r="Z978" s="4"/>
      <c r="AA978" s="5"/>
      <c r="AB978" s="5"/>
      <c r="AC978" s="5"/>
      <c r="AD978" s="5"/>
      <c r="AE978" s="5"/>
    </row>
    <row r="979">
      <c r="A979" s="4" t="s">
        <v>2066</v>
      </c>
      <c r="B979" s="4"/>
      <c r="C979" s="4" t="s">
        <v>858</v>
      </c>
      <c r="D979" s="4">
        <v>49958.0</v>
      </c>
      <c r="E979" s="4"/>
      <c r="F979" s="4" t="s">
        <v>85</v>
      </c>
      <c r="G979" s="4">
        <v>199.0</v>
      </c>
      <c r="H979" s="4"/>
      <c r="I979" s="4">
        <v>199.0</v>
      </c>
      <c r="J979" s="4" t="s">
        <v>2067</v>
      </c>
      <c r="K979" s="4">
        <v>9.18375978076E11</v>
      </c>
      <c r="L979" s="4" t="s">
        <v>67</v>
      </c>
      <c r="M979" s="4" t="b">
        <v>0</v>
      </c>
      <c r="N979" s="4" t="s">
        <v>68</v>
      </c>
      <c r="O979" s="4" t="s">
        <v>69</v>
      </c>
      <c r="P979" s="6">
        <v>44312.62537037037</v>
      </c>
      <c r="Q979" s="4" t="s">
        <v>83</v>
      </c>
      <c r="R979" s="4"/>
      <c r="S979" s="4"/>
      <c r="T979" s="4"/>
      <c r="U979" s="7"/>
      <c r="V979" s="4"/>
      <c r="W979" s="4"/>
      <c r="X979" s="4"/>
      <c r="Y979" s="4"/>
      <c r="Z979" s="4"/>
      <c r="AA979" s="5"/>
      <c r="AB979" s="5"/>
      <c r="AC979" s="5"/>
      <c r="AD979" s="5"/>
      <c r="AE979" s="5"/>
    </row>
    <row r="980">
      <c r="A980" s="4" t="s">
        <v>2068</v>
      </c>
      <c r="B980" s="4"/>
      <c r="C980" s="4" t="s">
        <v>2005</v>
      </c>
      <c r="D980" s="4">
        <v>49995.0</v>
      </c>
      <c r="E980" s="4"/>
      <c r="F980" s="4" t="s">
        <v>1442</v>
      </c>
      <c r="G980" s="4">
        <v>199.0</v>
      </c>
      <c r="H980" s="4"/>
      <c r="I980" s="4">
        <v>199.0</v>
      </c>
      <c r="J980" s="4" t="s">
        <v>2069</v>
      </c>
      <c r="K980" s="4">
        <v>9.18605726235E11</v>
      </c>
      <c r="L980" s="4" t="s">
        <v>67</v>
      </c>
      <c r="M980" s="4" t="b">
        <v>0</v>
      </c>
      <c r="N980" s="4" t="s">
        <v>68</v>
      </c>
      <c r="O980" s="4" t="s">
        <v>69</v>
      </c>
      <c r="P980" s="6">
        <v>44310.493125</v>
      </c>
      <c r="Q980" s="4">
        <v>17233.0</v>
      </c>
      <c r="R980" s="4"/>
      <c r="S980" s="4"/>
      <c r="T980" s="4"/>
      <c r="U980" s="7"/>
      <c r="V980" s="4"/>
      <c r="W980" s="4"/>
      <c r="X980" s="4"/>
      <c r="Y980" s="4"/>
      <c r="Z980" s="4"/>
      <c r="AA980" s="5"/>
      <c r="AB980" s="5"/>
      <c r="AC980" s="5"/>
      <c r="AD980" s="5"/>
      <c r="AE980" s="5"/>
    </row>
    <row r="981">
      <c r="A981" s="4" t="s">
        <v>2070</v>
      </c>
      <c r="B981" s="4"/>
      <c r="C981" s="4" t="s">
        <v>1476</v>
      </c>
      <c r="D981" s="4">
        <v>50009.0</v>
      </c>
      <c r="E981" s="4"/>
      <c r="F981" s="4" t="s">
        <v>149</v>
      </c>
      <c r="G981" s="4">
        <v>99.0</v>
      </c>
      <c r="H981" s="4"/>
      <c r="I981" s="4">
        <v>99.0</v>
      </c>
      <c r="J981" s="4" t="s">
        <v>2071</v>
      </c>
      <c r="K981" s="4">
        <v>9.19809419832E11</v>
      </c>
      <c r="L981" s="4" t="s">
        <v>67</v>
      </c>
      <c r="M981" s="4" t="b">
        <v>0</v>
      </c>
      <c r="N981" s="4" t="s">
        <v>68</v>
      </c>
      <c r="O981" s="4" t="s">
        <v>69</v>
      </c>
      <c r="P981" s="6">
        <v>44312.662453703706</v>
      </c>
      <c r="Q981" s="4" t="s">
        <v>83</v>
      </c>
      <c r="R981" s="4"/>
      <c r="S981" s="4"/>
      <c r="T981" s="4"/>
      <c r="U981" s="7"/>
      <c r="V981" s="4"/>
      <c r="W981" s="4"/>
      <c r="X981" s="4"/>
      <c r="Y981" s="4"/>
      <c r="Z981" s="4"/>
      <c r="AA981" s="5"/>
      <c r="AB981" s="5"/>
      <c r="AC981" s="5"/>
      <c r="AD981" s="5"/>
      <c r="AE981" s="5"/>
    </row>
    <row r="982">
      <c r="A982" s="4" t="s">
        <v>2072</v>
      </c>
      <c r="B982" s="4"/>
      <c r="C982" s="4" t="s">
        <v>2005</v>
      </c>
      <c r="D982" s="4">
        <v>49995.0</v>
      </c>
      <c r="E982" s="4"/>
      <c r="F982" s="4" t="s">
        <v>149</v>
      </c>
      <c r="G982" s="4">
        <v>99.0</v>
      </c>
      <c r="H982" s="4"/>
      <c r="I982" s="4">
        <v>99.0</v>
      </c>
      <c r="J982" s="4" t="s">
        <v>2073</v>
      </c>
      <c r="K982" s="4">
        <v>9.17208126977E11</v>
      </c>
      <c r="L982" s="4" t="s">
        <v>67</v>
      </c>
      <c r="M982" s="4" t="b">
        <v>0</v>
      </c>
      <c r="N982" s="4" t="s">
        <v>68</v>
      </c>
      <c r="O982" s="4" t="s">
        <v>69</v>
      </c>
      <c r="P982" s="6">
        <v>44310.510347222225</v>
      </c>
      <c r="Q982" s="4">
        <v>17345.0</v>
      </c>
      <c r="R982" s="4"/>
      <c r="S982" s="4"/>
      <c r="T982" s="4"/>
      <c r="U982" s="7"/>
      <c r="V982" s="4"/>
      <c r="W982" s="4"/>
      <c r="X982" s="4"/>
      <c r="Y982" s="4"/>
      <c r="Z982" s="4"/>
      <c r="AA982" s="5"/>
      <c r="AB982" s="5"/>
      <c r="AC982" s="5"/>
      <c r="AD982" s="5"/>
      <c r="AE982" s="5"/>
    </row>
    <row r="983">
      <c r="A983" s="4" t="s">
        <v>2074</v>
      </c>
      <c r="B983" s="4"/>
      <c r="C983" s="4" t="s">
        <v>2005</v>
      </c>
      <c r="D983" s="4">
        <v>49995.0</v>
      </c>
      <c r="E983" s="4"/>
      <c r="F983" s="4" t="s">
        <v>149</v>
      </c>
      <c r="G983" s="4">
        <v>99.0</v>
      </c>
      <c r="H983" s="4"/>
      <c r="I983" s="4">
        <v>99.0</v>
      </c>
      <c r="J983" s="4" t="s">
        <v>2075</v>
      </c>
      <c r="K983" s="4">
        <v>9.18130226858E11</v>
      </c>
      <c r="L983" s="4" t="s">
        <v>67</v>
      </c>
      <c r="M983" s="4" t="b">
        <v>0</v>
      </c>
      <c r="N983" s="4" t="s">
        <v>68</v>
      </c>
      <c r="O983" s="4" t="s">
        <v>69</v>
      </c>
      <c r="P983" s="6">
        <v>44310.82226851852</v>
      </c>
      <c r="Q983" s="4">
        <v>17249.0</v>
      </c>
      <c r="R983" s="4"/>
      <c r="S983" s="4"/>
      <c r="T983" s="4"/>
      <c r="U983" s="7"/>
      <c r="V983" s="4"/>
      <c r="W983" s="4"/>
      <c r="X983" s="4"/>
      <c r="Y983" s="4"/>
      <c r="Z983" s="4"/>
      <c r="AA983" s="5"/>
      <c r="AB983" s="5"/>
      <c r="AC983" s="5"/>
      <c r="AD983" s="5"/>
      <c r="AE983" s="5"/>
    </row>
    <row r="984">
      <c r="A984" s="4" t="s">
        <v>2076</v>
      </c>
      <c r="B984" s="4"/>
      <c r="C984" s="4" t="s">
        <v>1956</v>
      </c>
      <c r="D984" s="4">
        <v>50023.0</v>
      </c>
      <c r="E984" s="4"/>
      <c r="F984" s="4" t="s">
        <v>1437</v>
      </c>
      <c r="G984" s="4">
        <v>99.0</v>
      </c>
      <c r="H984" s="4"/>
      <c r="I984" s="4">
        <v>99.0</v>
      </c>
      <c r="J984" s="4" t="s">
        <v>2077</v>
      </c>
      <c r="K984" s="4">
        <v>9.17735590105E11</v>
      </c>
      <c r="L984" s="4" t="s">
        <v>67</v>
      </c>
      <c r="M984" s="4" t="b">
        <v>0</v>
      </c>
      <c r="N984" s="4" t="s">
        <v>151</v>
      </c>
      <c r="O984" s="4" t="s">
        <v>69</v>
      </c>
      <c r="P984" s="6">
        <v>44312.71923611111</v>
      </c>
      <c r="Q984" s="4">
        <v>17349.0</v>
      </c>
      <c r="R984" s="4"/>
      <c r="S984" s="4"/>
      <c r="T984" s="4"/>
      <c r="U984" s="7"/>
      <c r="V984" s="4"/>
      <c r="W984" s="4"/>
      <c r="X984" s="4"/>
      <c r="Y984" s="4"/>
      <c r="Z984" s="4"/>
      <c r="AA984" s="5"/>
      <c r="AB984" s="5"/>
      <c r="AC984" s="5"/>
      <c r="AD984" s="5"/>
      <c r="AE984" s="5"/>
    </row>
    <row r="985">
      <c r="A985" s="4" t="s">
        <v>2078</v>
      </c>
      <c r="B985" s="4"/>
      <c r="C985" s="4" t="s">
        <v>2005</v>
      </c>
      <c r="D985" s="4">
        <v>49995.0</v>
      </c>
      <c r="E985" s="4"/>
      <c r="F985" s="4" t="s">
        <v>149</v>
      </c>
      <c r="G985" s="4">
        <v>99.0</v>
      </c>
      <c r="H985" s="4"/>
      <c r="I985" s="4">
        <v>99.0</v>
      </c>
      <c r="J985" s="4" t="s">
        <v>2079</v>
      </c>
      <c r="K985" s="4">
        <v>9.18169492656E11</v>
      </c>
      <c r="L985" s="4" t="s">
        <v>67</v>
      </c>
      <c r="M985" s="4" t="b">
        <v>0</v>
      </c>
      <c r="N985" s="4" t="s">
        <v>68</v>
      </c>
      <c r="O985" s="4" t="s">
        <v>69</v>
      </c>
      <c r="P985" s="6">
        <v>44310.92638888889</v>
      </c>
      <c r="Q985" s="4" t="s">
        <v>83</v>
      </c>
      <c r="R985" s="4"/>
      <c r="S985" s="4"/>
      <c r="T985" s="4"/>
      <c r="U985" s="7"/>
      <c r="V985" s="4"/>
      <c r="W985" s="4"/>
      <c r="X985" s="4"/>
      <c r="Y985" s="4"/>
      <c r="Z985" s="4"/>
      <c r="AA985" s="5"/>
      <c r="AB985" s="5"/>
      <c r="AC985" s="5"/>
      <c r="AD985" s="5"/>
      <c r="AE985" s="5"/>
    </row>
    <row r="986">
      <c r="A986" s="4" t="s">
        <v>2080</v>
      </c>
      <c r="B986" s="4"/>
      <c r="C986" s="4" t="s">
        <v>2005</v>
      </c>
      <c r="D986" s="4">
        <v>49995.0</v>
      </c>
      <c r="E986" s="4"/>
      <c r="F986" s="4" t="s">
        <v>149</v>
      </c>
      <c r="G986" s="4">
        <v>99.0</v>
      </c>
      <c r="H986" s="4"/>
      <c r="I986" s="4">
        <v>99.0</v>
      </c>
      <c r="J986" s="4" t="s">
        <v>2081</v>
      </c>
      <c r="K986" s="4">
        <v>9.19967795459E11</v>
      </c>
      <c r="L986" s="4" t="s">
        <v>67</v>
      </c>
      <c r="M986" s="4" t="b">
        <v>0</v>
      </c>
      <c r="N986" s="4" t="s">
        <v>68</v>
      </c>
      <c r="O986" s="4" t="s">
        <v>69</v>
      </c>
      <c r="P986" s="6">
        <v>44311.492951388886</v>
      </c>
      <c r="Q986" s="4">
        <v>17270.0</v>
      </c>
      <c r="R986" s="4"/>
      <c r="S986" s="4"/>
      <c r="T986" s="4"/>
      <c r="U986" s="7"/>
      <c r="V986" s="4"/>
      <c r="W986" s="4"/>
      <c r="X986" s="4"/>
      <c r="Y986" s="4"/>
      <c r="Z986" s="4"/>
      <c r="AA986" s="5"/>
      <c r="AB986" s="5"/>
      <c r="AC986" s="5"/>
      <c r="AD986" s="5"/>
      <c r="AE986" s="5"/>
    </row>
    <row r="987">
      <c r="A987" s="4" t="s">
        <v>2082</v>
      </c>
      <c r="B987" s="4"/>
      <c r="C987" s="4" t="s">
        <v>960</v>
      </c>
      <c r="D987" s="4">
        <v>49834.0</v>
      </c>
      <c r="E987" s="4"/>
      <c r="F987" s="4" t="s">
        <v>149</v>
      </c>
      <c r="G987" s="4">
        <v>99.0</v>
      </c>
      <c r="H987" s="4"/>
      <c r="I987" s="4">
        <v>99.0</v>
      </c>
      <c r="J987" s="4" t="s">
        <v>2083</v>
      </c>
      <c r="K987" s="4">
        <v>9.19890903899E11</v>
      </c>
      <c r="L987" s="4" t="s">
        <v>67</v>
      </c>
      <c r="M987" s="4" t="b">
        <v>0</v>
      </c>
      <c r="N987" s="4" t="s">
        <v>97</v>
      </c>
      <c r="O987" s="4" t="s">
        <v>69</v>
      </c>
      <c r="P987" s="6">
        <v>44312.768854166665</v>
      </c>
      <c r="Q987" s="4">
        <v>17321.0</v>
      </c>
      <c r="R987" s="4"/>
      <c r="S987" s="4"/>
      <c r="T987" s="4"/>
      <c r="U987" s="7"/>
      <c r="V987" s="4"/>
      <c r="W987" s="4"/>
      <c r="X987" s="4"/>
      <c r="Y987" s="4"/>
      <c r="Z987" s="4"/>
      <c r="AA987" s="5"/>
      <c r="AB987" s="5"/>
      <c r="AC987" s="5"/>
      <c r="AD987" s="5"/>
      <c r="AE987" s="5"/>
    </row>
    <row r="988">
      <c r="A988" s="4" t="s">
        <v>2084</v>
      </c>
      <c r="B988" s="4"/>
      <c r="C988" s="4" t="s">
        <v>2005</v>
      </c>
      <c r="D988" s="4">
        <v>49995.0</v>
      </c>
      <c r="E988" s="4"/>
      <c r="F988" s="4" t="s">
        <v>149</v>
      </c>
      <c r="G988" s="4">
        <v>99.0</v>
      </c>
      <c r="H988" s="4"/>
      <c r="I988" s="4">
        <v>99.0</v>
      </c>
      <c r="J988" s="4" t="s">
        <v>2085</v>
      </c>
      <c r="K988" s="4">
        <v>9.19810544661E11</v>
      </c>
      <c r="L988" s="4" t="s">
        <v>67</v>
      </c>
      <c r="M988" s="4" t="b">
        <v>0</v>
      </c>
      <c r="N988" s="4" t="s">
        <v>68</v>
      </c>
      <c r="O988" s="4" t="s">
        <v>69</v>
      </c>
      <c r="P988" s="6">
        <v>44312.012824074074</v>
      </c>
      <c r="Q988" s="4">
        <v>17325.0</v>
      </c>
      <c r="R988" s="4"/>
      <c r="S988" s="4"/>
      <c r="T988" s="4"/>
      <c r="U988" s="7"/>
      <c r="V988" s="4"/>
      <c r="W988" s="4"/>
      <c r="X988" s="4"/>
      <c r="Y988" s="4"/>
      <c r="Z988" s="4"/>
      <c r="AA988" s="5"/>
      <c r="AB988" s="5"/>
      <c r="AC988" s="5"/>
      <c r="AD988" s="5"/>
      <c r="AE988" s="5"/>
    </row>
    <row r="989">
      <c r="A989" s="4" t="s">
        <v>2086</v>
      </c>
      <c r="B989" s="4"/>
      <c r="C989" s="4" t="s">
        <v>1059</v>
      </c>
      <c r="D989" s="4">
        <v>49997.0</v>
      </c>
      <c r="E989" s="4"/>
      <c r="F989" s="4" t="s">
        <v>149</v>
      </c>
      <c r="G989" s="4">
        <v>99.0</v>
      </c>
      <c r="H989" s="4"/>
      <c r="I989" s="4">
        <v>99.0</v>
      </c>
      <c r="J989" s="4" t="s">
        <v>2087</v>
      </c>
      <c r="K989" s="4">
        <v>9.19167426562E11</v>
      </c>
      <c r="L989" s="4" t="s">
        <v>67</v>
      </c>
      <c r="M989" s="4" t="b">
        <v>0</v>
      </c>
      <c r="N989" s="4" t="s">
        <v>74</v>
      </c>
      <c r="O989" s="4" t="s">
        <v>69</v>
      </c>
      <c r="P989" s="6">
        <v>44312.78990740741</v>
      </c>
      <c r="Q989" s="4">
        <v>17362.0</v>
      </c>
      <c r="R989" s="4"/>
      <c r="S989" s="4"/>
      <c r="T989" s="4"/>
      <c r="U989" s="7"/>
      <c r="V989" s="4"/>
      <c r="W989" s="4"/>
      <c r="X989" s="4"/>
      <c r="Y989" s="4"/>
      <c r="Z989" s="4"/>
      <c r="AA989" s="5"/>
      <c r="AB989" s="5"/>
      <c r="AC989" s="5"/>
      <c r="AD989" s="5"/>
      <c r="AE989" s="5"/>
    </row>
    <row r="990">
      <c r="A990" s="4" t="s">
        <v>2088</v>
      </c>
      <c r="B990" s="4"/>
      <c r="C990" s="4" t="s">
        <v>1436</v>
      </c>
      <c r="D990" s="4">
        <v>50048.0</v>
      </c>
      <c r="E990" s="4"/>
      <c r="F990" s="4" t="s">
        <v>1437</v>
      </c>
      <c r="G990" s="4">
        <v>149.0</v>
      </c>
      <c r="H990" s="4"/>
      <c r="I990" s="4">
        <v>149.0</v>
      </c>
      <c r="J990" s="4" t="s">
        <v>2089</v>
      </c>
      <c r="K990" s="4">
        <v>9.19004275198E11</v>
      </c>
      <c r="L990" s="4" t="s">
        <v>67</v>
      </c>
      <c r="M990" s="4" t="b">
        <v>0</v>
      </c>
      <c r="N990" s="4" t="s">
        <v>68</v>
      </c>
      <c r="O990" s="4" t="s">
        <v>69</v>
      </c>
      <c r="P990" s="6">
        <v>44312.901504629626</v>
      </c>
      <c r="Q990" s="4">
        <v>17957.0</v>
      </c>
      <c r="R990" s="4"/>
      <c r="S990" s="4"/>
      <c r="T990" s="4"/>
      <c r="U990" s="7"/>
      <c r="V990" s="4"/>
      <c r="W990" s="4"/>
      <c r="X990" s="4"/>
      <c r="Y990" s="4"/>
      <c r="Z990" s="4"/>
      <c r="AA990" s="5"/>
      <c r="AB990" s="5"/>
      <c r="AC990" s="5"/>
      <c r="AD990" s="5"/>
      <c r="AE990" s="5"/>
    </row>
    <row r="991">
      <c r="A991" s="4" t="s">
        <v>2090</v>
      </c>
      <c r="B991" s="4"/>
      <c r="C991" s="4" t="s">
        <v>2005</v>
      </c>
      <c r="D991" s="4">
        <v>49995.0</v>
      </c>
      <c r="E991" s="4"/>
      <c r="F991" s="4" t="s">
        <v>149</v>
      </c>
      <c r="G991" s="4">
        <v>99.0</v>
      </c>
      <c r="H991" s="4"/>
      <c r="I991" s="4">
        <v>99.0</v>
      </c>
      <c r="J991" s="4" t="s">
        <v>2091</v>
      </c>
      <c r="K991" s="4">
        <v>9.19677394463E11</v>
      </c>
      <c r="L991" s="4" t="s">
        <v>67</v>
      </c>
      <c r="M991" s="4" t="b">
        <v>0</v>
      </c>
      <c r="N991" s="4" t="s">
        <v>151</v>
      </c>
      <c r="O991" s="4" t="s">
        <v>69</v>
      </c>
      <c r="P991" s="6">
        <v>44312.258738425924</v>
      </c>
      <c r="Q991" s="4">
        <v>17292.0</v>
      </c>
      <c r="R991" s="4"/>
      <c r="S991" s="4"/>
      <c r="T991" s="4"/>
      <c r="U991" s="7"/>
      <c r="V991" s="4"/>
      <c r="W991" s="4"/>
      <c r="X991" s="4"/>
      <c r="Y991" s="4"/>
      <c r="Z991" s="4"/>
      <c r="AA991" s="5"/>
      <c r="AB991" s="5"/>
      <c r="AC991" s="5"/>
      <c r="AD991" s="5"/>
      <c r="AE991" s="5"/>
    </row>
    <row r="992">
      <c r="A992" s="4" t="s">
        <v>2092</v>
      </c>
      <c r="B992" s="4"/>
      <c r="C992" s="4" t="s">
        <v>184</v>
      </c>
      <c r="D992" s="4">
        <v>49833.0</v>
      </c>
      <c r="E992" s="4"/>
      <c r="F992" s="4" t="s">
        <v>85</v>
      </c>
      <c r="G992" s="4">
        <v>299.0</v>
      </c>
      <c r="H992" s="4"/>
      <c r="I992" s="4">
        <v>299.0</v>
      </c>
      <c r="J992" s="4" t="s">
        <v>2093</v>
      </c>
      <c r="K992" s="4">
        <v>9.19958444338E11</v>
      </c>
      <c r="L992" s="4" t="s">
        <v>67</v>
      </c>
      <c r="M992" s="4" t="b">
        <v>0</v>
      </c>
      <c r="N992" s="4" t="s">
        <v>74</v>
      </c>
      <c r="O992" s="4" t="s">
        <v>69</v>
      </c>
      <c r="P992" s="6">
        <v>44312.91048611111</v>
      </c>
      <c r="Q992" s="4">
        <v>17329.0</v>
      </c>
      <c r="R992" s="4"/>
      <c r="S992" s="4"/>
      <c r="T992" s="4"/>
      <c r="U992" s="7"/>
      <c r="V992" s="4"/>
      <c r="W992" s="4"/>
      <c r="X992" s="4"/>
      <c r="Y992" s="4"/>
      <c r="Z992" s="4"/>
      <c r="AA992" s="5"/>
      <c r="AB992" s="5"/>
      <c r="AC992" s="5"/>
      <c r="AD992" s="5"/>
      <c r="AE992" s="5"/>
    </row>
    <row r="993">
      <c r="A993" s="4" t="s">
        <v>2094</v>
      </c>
      <c r="B993" s="4"/>
      <c r="C993" s="4" t="s">
        <v>858</v>
      </c>
      <c r="D993" s="4">
        <v>49958.0</v>
      </c>
      <c r="E993" s="4"/>
      <c r="F993" s="4" t="s">
        <v>85</v>
      </c>
      <c r="G993" s="4">
        <v>199.0</v>
      </c>
      <c r="H993" s="4"/>
      <c r="I993" s="4">
        <v>199.0</v>
      </c>
      <c r="J993" s="4" t="s">
        <v>2095</v>
      </c>
      <c r="K993" s="4">
        <v>9.18885690792E11</v>
      </c>
      <c r="L993" s="4" t="s">
        <v>67</v>
      </c>
      <c r="M993" s="4" t="b">
        <v>0</v>
      </c>
      <c r="N993" s="4" t="s">
        <v>68</v>
      </c>
      <c r="O993" s="4" t="s">
        <v>69</v>
      </c>
      <c r="P993" s="6">
        <v>44312.91540509259</v>
      </c>
      <c r="Q993" s="4">
        <v>17328.0</v>
      </c>
      <c r="R993" s="4"/>
      <c r="S993" s="4"/>
      <c r="T993" s="4"/>
      <c r="U993" s="7"/>
      <c r="V993" s="4"/>
      <c r="W993" s="4"/>
      <c r="X993" s="4"/>
      <c r="Y993" s="4"/>
      <c r="Z993" s="4"/>
      <c r="AA993" s="5"/>
      <c r="AB993" s="5"/>
      <c r="AC993" s="5"/>
      <c r="AD993" s="5"/>
      <c r="AE993" s="5"/>
    </row>
    <row r="994">
      <c r="A994" s="4" t="s">
        <v>2096</v>
      </c>
      <c r="B994" s="4"/>
      <c r="C994" s="4" t="s">
        <v>76</v>
      </c>
      <c r="D994" s="4">
        <v>49834.0</v>
      </c>
      <c r="E994" s="4"/>
      <c r="F994" s="4" t="s">
        <v>85</v>
      </c>
      <c r="G994" s="4">
        <v>199.0</v>
      </c>
      <c r="H994" s="4"/>
      <c r="I994" s="4">
        <v>199.0</v>
      </c>
      <c r="J994" s="4" t="s">
        <v>2097</v>
      </c>
      <c r="K994" s="4">
        <v>9.19604371966E11</v>
      </c>
      <c r="L994" s="4" t="s">
        <v>67</v>
      </c>
      <c r="M994" s="4" t="b">
        <v>0</v>
      </c>
      <c r="N994" s="4" t="s">
        <v>68</v>
      </c>
      <c r="O994" s="4" t="s">
        <v>69</v>
      </c>
      <c r="P994" s="6">
        <v>44312.92582175926</v>
      </c>
      <c r="Q994" s="4" t="s">
        <v>83</v>
      </c>
      <c r="R994" s="4"/>
      <c r="S994" s="4"/>
      <c r="T994" s="4"/>
      <c r="U994" s="7"/>
      <c r="V994" s="4"/>
      <c r="W994" s="4"/>
      <c r="X994" s="4"/>
      <c r="Y994" s="4"/>
      <c r="Z994" s="4"/>
      <c r="AA994" s="5"/>
      <c r="AB994" s="5"/>
      <c r="AC994" s="5"/>
      <c r="AD994" s="5"/>
      <c r="AE994" s="5"/>
    </row>
    <row r="995">
      <c r="A995" s="4" t="s">
        <v>2098</v>
      </c>
      <c r="B995" s="4"/>
      <c r="C995" s="4" t="s">
        <v>1104</v>
      </c>
      <c r="D995" s="4">
        <v>49993.0</v>
      </c>
      <c r="E995" s="4"/>
      <c r="F995" s="4" t="s">
        <v>149</v>
      </c>
      <c r="G995" s="4">
        <v>199.0</v>
      </c>
      <c r="H995" s="4"/>
      <c r="I995" s="4">
        <v>199.0</v>
      </c>
      <c r="J995" s="4" t="s">
        <v>2099</v>
      </c>
      <c r="K995" s="4">
        <v>9.19769682009E11</v>
      </c>
      <c r="L995" s="4" t="s">
        <v>67</v>
      </c>
      <c r="M995" s="4" t="b">
        <v>0</v>
      </c>
      <c r="N995" s="4" t="s">
        <v>68</v>
      </c>
      <c r="O995" s="4" t="s">
        <v>69</v>
      </c>
      <c r="P995" s="6">
        <v>44312.93539351852</v>
      </c>
      <c r="Q995" s="4">
        <v>17381.0</v>
      </c>
      <c r="R995" s="4"/>
      <c r="S995" s="4"/>
      <c r="T995" s="4"/>
      <c r="U995" s="7"/>
      <c r="V995" s="4"/>
      <c r="W995" s="4"/>
      <c r="X995" s="4"/>
      <c r="Y995" s="4"/>
      <c r="Z995" s="4"/>
      <c r="AA995" s="5"/>
      <c r="AB995" s="5"/>
      <c r="AC995" s="5"/>
      <c r="AD995" s="5"/>
      <c r="AE995" s="5"/>
    </row>
    <row r="996">
      <c r="A996" s="4" t="s">
        <v>2100</v>
      </c>
      <c r="B996" s="4"/>
      <c r="C996" s="4" t="s">
        <v>184</v>
      </c>
      <c r="D996" s="4">
        <v>49833.0</v>
      </c>
      <c r="E996" s="4"/>
      <c r="F996" s="4" t="s">
        <v>77</v>
      </c>
      <c r="G996" s="4">
        <v>499.0</v>
      </c>
      <c r="H996" s="4"/>
      <c r="I996" s="4">
        <v>499.0</v>
      </c>
      <c r="J996" s="4" t="s">
        <v>2101</v>
      </c>
      <c r="K996" s="4">
        <v>9.18399070037E11</v>
      </c>
      <c r="L996" s="4" t="s">
        <v>67</v>
      </c>
      <c r="M996" s="4" t="b">
        <v>0</v>
      </c>
      <c r="N996" s="4" t="s">
        <v>68</v>
      </c>
      <c r="O996" s="4" t="s">
        <v>69</v>
      </c>
      <c r="P996" s="6">
        <v>44312.93952546296</v>
      </c>
      <c r="Q996" s="4">
        <v>17330.0</v>
      </c>
      <c r="R996" s="4"/>
      <c r="S996" s="4"/>
      <c r="T996" s="4"/>
      <c r="U996" s="8"/>
      <c r="V996" s="4"/>
      <c r="W996" s="4"/>
      <c r="X996" s="4"/>
      <c r="Y996" s="4"/>
      <c r="Z996" s="4"/>
      <c r="AA996" s="5"/>
      <c r="AB996" s="5"/>
      <c r="AC996" s="5"/>
      <c r="AD996" s="5"/>
      <c r="AE996" s="5"/>
    </row>
    <row r="997">
      <c r="A997" s="4" t="s">
        <v>2102</v>
      </c>
      <c r="B997" s="4"/>
      <c r="C997" s="4" t="s">
        <v>1516</v>
      </c>
      <c r="D997" s="4">
        <v>49996.0</v>
      </c>
      <c r="E997" s="4"/>
      <c r="F997" s="4" t="s">
        <v>149</v>
      </c>
      <c r="G997" s="4">
        <v>99.0</v>
      </c>
      <c r="H997" s="4"/>
      <c r="I997" s="4">
        <v>99.0</v>
      </c>
      <c r="J997" s="4" t="s">
        <v>2103</v>
      </c>
      <c r="K997" s="4">
        <v>9.19158005114E11</v>
      </c>
      <c r="L997" s="4" t="s">
        <v>67</v>
      </c>
      <c r="M997" s="4" t="b">
        <v>0</v>
      </c>
      <c r="N997" s="4" t="s">
        <v>97</v>
      </c>
      <c r="O997" s="4" t="s">
        <v>69</v>
      </c>
      <c r="P997" s="6">
        <v>44312.954201388886</v>
      </c>
      <c r="Q997" s="4">
        <v>17412.0</v>
      </c>
      <c r="R997" s="4"/>
      <c r="S997" s="4"/>
      <c r="T997" s="4"/>
      <c r="U997" s="7"/>
      <c r="V997" s="4"/>
      <c r="W997" s="4"/>
      <c r="X997" s="4"/>
      <c r="Y997" s="4"/>
      <c r="Z997" s="4"/>
      <c r="AA997" s="5"/>
      <c r="AB997" s="5"/>
      <c r="AC997" s="5"/>
      <c r="AD997" s="5"/>
      <c r="AE997" s="5"/>
    </row>
    <row r="998">
      <c r="A998" s="4" t="s">
        <v>2104</v>
      </c>
      <c r="B998" s="4"/>
      <c r="C998" s="4" t="s">
        <v>1956</v>
      </c>
      <c r="D998" s="4">
        <v>50023.0</v>
      </c>
      <c r="E998" s="4"/>
      <c r="F998" s="4" t="s">
        <v>77</v>
      </c>
      <c r="G998" s="4">
        <v>349.0</v>
      </c>
      <c r="H998" s="4"/>
      <c r="I998" s="4">
        <v>349.0</v>
      </c>
      <c r="J998" s="4" t="s">
        <v>2105</v>
      </c>
      <c r="K998" s="4">
        <v>9.19713513658E11</v>
      </c>
      <c r="L998" s="4" t="s">
        <v>67</v>
      </c>
      <c r="M998" s="4" t="b">
        <v>0</v>
      </c>
      <c r="N998" s="4" t="s">
        <v>68</v>
      </c>
      <c r="O998" s="4" t="s">
        <v>69</v>
      </c>
      <c r="P998" s="6">
        <v>44312.95798611111</v>
      </c>
      <c r="Q998" s="4">
        <v>17347.0</v>
      </c>
      <c r="R998" s="4"/>
      <c r="S998" s="4"/>
      <c r="T998" s="4"/>
      <c r="U998" s="8"/>
      <c r="V998" s="4"/>
      <c r="W998" s="4"/>
      <c r="X998" s="4"/>
      <c r="Y998" s="4"/>
      <c r="Z998" s="4"/>
      <c r="AA998" s="5"/>
      <c r="AB998" s="5"/>
      <c r="AC998" s="5"/>
      <c r="AD998" s="5"/>
      <c r="AE998" s="5"/>
    </row>
    <row r="999">
      <c r="A999" s="4" t="s">
        <v>2106</v>
      </c>
      <c r="B999" s="4"/>
      <c r="C999" s="4" t="s">
        <v>1727</v>
      </c>
      <c r="D999" s="4">
        <v>50033.0</v>
      </c>
      <c r="E999" s="4"/>
      <c r="F999" s="4" t="s">
        <v>1437</v>
      </c>
      <c r="G999" s="4">
        <v>99.0</v>
      </c>
      <c r="H999" s="4"/>
      <c r="I999" s="4">
        <v>99.0</v>
      </c>
      <c r="J999" s="4" t="s">
        <v>2107</v>
      </c>
      <c r="K999" s="4">
        <v>9.19704679734E11</v>
      </c>
      <c r="L999" s="4" t="s">
        <v>67</v>
      </c>
      <c r="M999" s="4" t="b">
        <v>0</v>
      </c>
      <c r="N999" s="4" t="s">
        <v>68</v>
      </c>
      <c r="O999" s="4" t="s">
        <v>69</v>
      </c>
      <c r="P999" s="6">
        <v>44312.972708333335</v>
      </c>
      <c r="Q999" s="4">
        <v>17331.0</v>
      </c>
      <c r="R999" s="4"/>
      <c r="S999" s="4"/>
      <c r="T999" s="4"/>
      <c r="U999" s="7"/>
      <c r="V999" s="4"/>
      <c r="W999" s="4"/>
      <c r="X999" s="4"/>
      <c r="Y999" s="4"/>
      <c r="Z999" s="4"/>
      <c r="AA999" s="5"/>
      <c r="AB999" s="5"/>
      <c r="AC999" s="5"/>
      <c r="AD999" s="5"/>
      <c r="AE999" s="5"/>
    </row>
    <row r="1000">
      <c r="A1000" s="4" t="s">
        <v>2108</v>
      </c>
      <c r="B1000" s="4"/>
      <c r="C1000" s="4" t="s">
        <v>1932</v>
      </c>
      <c r="D1000" s="4">
        <v>50041.0</v>
      </c>
      <c r="E1000" s="4"/>
      <c r="F1000" s="4" t="s">
        <v>1437</v>
      </c>
      <c r="G1000" s="4">
        <v>99.0</v>
      </c>
      <c r="H1000" s="4"/>
      <c r="I1000" s="4">
        <v>99.0</v>
      </c>
      <c r="J1000" s="4" t="s">
        <v>2109</v>
      </c>
      <c r="K1000" s="4">
        <v>9.19833928818E11</v>
      </c>
      <c r="L1000" s="4" t="s">
        <v>67</v>
      </c>
      <c r="M1000" s="4" t="b">
        <v>0</v>
      </c>
      <c r="N1000" s="4" t="s">
        <v>68</v>
      </c>
      <c r="O1000" s="4" t="s">
        <v>69</v>
      </c>
      <c r="P1000" s="6">
        <v>44313.0109375</v>
      </c>
      <c r="Q1000" s="4">
        <v>17463.0</v>
      </c>
      <c r="R1000" s="4"/>
      <c r="S1000" s="4"/>
      <c r="T1000" s="4"/>
      <c r="U1000" s="7"/>
      <c r="V1000" s="4"/>
      <c r="W1000" s="4"/>
      <c r="X1000" s="4"/>
      <c r="Y1000" s="4"/>
      <c r="Z1000" s="4"/>
      <c r="AA1000" s="5"/>
      <c r="AB1000" s="5"/>
      <c r="AC1000" s="5"/>
      <c r="AD1000" s="5"/>
      <c r="AE1000" s="5"/>
    </row>
    <row r="1001">
      <c r="A1001" s="4" t="s">
        <v>2110</v>
      </c>
      <c r="B1001" s="4"/>
      <c r="C1001" s="4" t="s">
        <v>2005</v>
      </c>
      <c r="D1001" s="4">
        <v>49995.0</v>
      </c>
      <c r="E1001" s="4"/>
      <c r="F1001" s="4" t="s">
        <v>149</v>
      </c>
      <c r="G1001" s="4">
        <v>99.0</v>
      </c>
      <c r="H1001" s="4"/>
      <c r="I1001" s="4">
        <v>99.0</v>
      </c>
      <c r="J1001" s="4" t="s">
        <v>2111</v>
      </c>
      <c r="K1001" s="4">
        <v>9.19606619902E11</v>
      </c>
      <c r="L1001" s="4" t="s">
        <v>67</v>
      </c>
      <c r="M1001" s="4" t="b">
        <v>0</v>
      </c>
      <c r="N1001" s="4" t="s">
        <v>68</v>
      </c>
      <c r="O1001" s="4" t="s">
        <v>69</v>
      </c>
      <c r="P1001" s="6">
        <v>44312.62443287037</v>
      </c>
      <c r="Q1001" s="4">
        <v>17313.0</v>
      </c>
      <c r="R1001" s="4"/>
      <c r="S1001" s="4"/>
      <c r="T1001" s="4"/>
      <c r="U1001" s="7"/>
      <c r="V1001" s="4"/>
      <c r="W1001" s="4"/>
      <c r="X1001" s="4"/>
      <c r="Y1001" s="4"/>
      <c r="Z1001" s="4"/>
      <c r="AA1001" s="5"/>
      <c r="AB1001" s="5"/>
      <c r="AC1001" s="5"/>
      <c r="AD1001" s="5"/>
      <c r="AE1001" s="5"/>
    </row>
    <row r="1002">
      <c r="A1002" s="4" t="s">
        <v>2112</v>
      </c>
      <c r="B1002" s="4"/>
      <c r="C1002" s="4" t="s">
        <v>1436</v>
      </c>
      <c r="D1002" s="4">
        <v>50048.0</v>
      </c>
      <c r="E1002" s="4"/>
      <c r="F1002" s="4" t="s">
        <v>1442</v>
      </c>
      <c r="G1002" s="4">
        <v>299.0</v>
      </c>
      <c r="H1002" s="4"/>
      <c r="I1002" s="4">
        <v>299.0</v>
      </c>
      <c r="J1002" s="4" t="s">
        <v>2113</v>
      </c>
      <c r="K1002" s="4">
        <v>9.19029747758E11</v>
      </c>
      <c r="L1002" s="4" t="s">
        <v>67</v>
      </c>
      <c r="M1002" s="4" t="b">
        <v>0</v>
      </c>
      <c r="N1002" s="4" t="s">
        <v>97</v>
      </c>
      <c r="O1002" s="4" t="s">
        <v>69</v>
      </c>
      <c r="P1002" s="6">
        <v>44313.04366898148</v>
      </c>
      <c r="Q1002" s="4">
        <v>17434.0</v>
      </c>
      <c r="R1002" s="4"/>
      <c r="S1002" s="4"/>
      <c r="T1002" s="4"/>
      <c r="U1002" s="7"/>
      <c r="V1002" s="4"/>
      <c r="W1002" s="4"/>
      <c r="X1002" s="4"/>
      <c r="Y1002" s="4"/>
      <c r="Z1002" s="4"/>
      <c r="AA1002" s="5"/>
      <c r="AB1002" s="5"/>
      <c r="AC1002" s="5"/>
      <c r="AD1002" s="5"/>
      <c r="AE1002" s="5"/>
    </row>
    <row r="1003">
      <c r="A1003" s="4" t="s">
        <v>2114</v>
      </c>
      <c r="B1003" s="4"/>
      <c r="C1003" s="4" t="s">
        <v>1932</v>
      </c>
      <c r="D1003" s="4">
        <v>50041.0</v>
      </c>
      <c r="E1003" s="4"/>
      <c r="F1003" s="4" t="s">
        <v>1437</v>
      </c>
      <c r="G1003" s="4">
        <v>99.0</v>
      </c>
      <c r="H1003" s="4"/>
      <c r="I1003" s="4">
        <v>99.0</v>
      </c>
      <c r="J1003" s="4" t="s">
        <v>2115</v>
      </c>
      <c r="K1003" s="4">
        <v>9.17709888411E11</v>
      </c>
      <c r="L1003" s="4" t="s">
        <v>67</v>
      </c>
      <c r="M1003" s="4" t="b">
        <v>0</v>
      </c>
      <c r="N1003" s="4" t="s">
        <v>68</v>
      </c>
      <c r="O1003" s="4" t="s">
        <v>69</v>
      </c>
      <c r="P1003" s="6">
        <v>44313.04751157408</v>
      </c>
      <c r="Q1003" s="4">
        <v>17466.0</v>
      </c>
      <c r="R1003" s="4"/>
      <c r="S1003" s="4"/>
      <c r="T1003" s="4"/>
      <c r="U1003" s="7"/>
      <c r="V1003" s="4"/>
      <c r="W1003" s="4"/>
      <c r="X1003" s="4"/>
      <c r="Y1003" s="4"/>
      <c r="Z1003" s="4"/>
      <c r="AA1003" s="5"/>
      <c r="AB1003" s="5"/>
      <c r="AC1003" s="5"/>
      <c r="AD1003" s="5"/>
      <c r="AE1003" s="5"/>
    </row>
    <row r="1004">
      <c r="A1004" s="4" t="s">
        <v>2116</v>
      </c>
      <c r="B1004" s="4"/>
      <c r="C1004" s="4" t="s">
        <v>2005</v>
      </c>
      <c r="D1004" s="4">
        <v>49995.0</v>
      </c>
      <c r="E1004" s="4"/>
      <c r="F1004" s="4" t="s">
        <v>149</v>
      </c>
      <c r="G1004" s="4">
        <v>99.0</v>
      </c>
      <c r="H1004" s="4"/>
      <c r="I1004" s="4">
        <v>99.0</v>
      </c>
      <c r="J1004" s="4" t="s">
        <v>2117</v>
      </c>
      <c r="K1004" s="4">
        <v>9.185270772E11</v>
      </c>
      <c r="L1004" s="4" t="s">
        <v>67</v>
      </c>
      <c r="M1004" s="4" t="b">
        <v>0</v>
      </c>
      <c r="N1004" s="4" t="s">
        <v>68</v>
      </c>
      <c r="O1004" s="4" t="s">
        <v>69</v>
      </c>
      <c r="P1004" s="6">
        <v>44312.69663194445</v>
      </c>
      <c r="Q1004" s="4">
        <v>17316.0</v>
      </c>
      <c r="R1004" s="4"/>
      <c r="S1004" s="4"/>
      <c r="T1004" s="4"/>
      <c r="U1004" s="7"/>
      <c r="V1004" s="4"/>
      <c r="W1004" s="4"/>
      <c r="X1004" s="4"/>
      <c r="Y1004" s="4"/>
      <c r="Z1004" s="4"/>
      <c r="AA1004" s="5"/>
      <c r="AB1004" s="5"/>
      <c r="AC1004" s="5"/>
      <c r="AD1004" s="5"/>
      <c r="AE1004" s="5"/>
    </row>
    <row r="1005">
      <c r="A1005" s="4" t="s">
        <v>2118</v>
      </c>
      <c r="B1005" s="4"/>
      <c r="C1005" s="4" t="s">
        <v>2005</v>
      </c>
      <c r="D1005" s="4">
        <v>49995.0</v>
      </c>
      <c r="E1005" s="4"/>
      <c r="F1005" s="4" t="s">
        <v>149</v>
      </c>
      <c r="G1005" s="4">
        <v>99.0</v>
      </c>
      <c r="H1005" s="4"/>
      <c r="I1005" s="4">
        <v>99.0</v>
      </c>
      <c r="J1005" s="4" t="s">
        <v>2119</v>
      </c>
      <c r="K1005" s="4">
        <v>9.18551823351E11</v>
      </c>
      <c r="L1005" s="4" t="s">
        <v>67</v>
      </c>
      <c r="M1005" s="4" t="b">
        <v>0</v>
      </c>
      <c r="N1005" s="4" t="s">
        <v>68</v>
      </c>
      <c r="O1005" s="4" t="s">
        <v>69</v>
      </c>
      <c r="P1005" s="6">
        <v>44313.83405092593</v>
      </c>
      <c r="Q1005" s="4">
        <v>17374.0</v>
      </c>
      <c r="R1005" s="4"/>
      <c r="S1005" s="4"/>
      <c r="T1005" s="4"/>
      <c r="U1005" s="7"/>
      <c r="V1005" s="4"/>
      <c r="W1005" s="4"/>
      <c r="X1005" s="4"/>
      <c r="Y1005" s="4"/>
      <c r="Z1005" s="4"/>
      <c r="AA1005" s="5"/>
      <c r="AB1005" s="5"/>
      <c r="AC1005" s="5"/>
      <c r="AD1005" s="5"/>
      <c r="AE1005" s="5"/>
    </row>
    <row r="1006">
      <c r="A1006" s="4" t="s">
        <v>2120</v>
      </c>
      <c r="B1006" s="4"/>
      <c r="C1006" s="4" t="s">
        <v>2005</v>
      </c>
      <c r="D1006" s="4">
        <v>49995.0</v>
      </c>
      <c r="E1006" s="4"/>
      <c r="F1006" s="4" t="s">
        <v>149</v>
      </c>
      <c r="G1006" s="4">
        <v>99.0</v>
      </c>
      <c r="H1006" s="4"/>
      <c r="I1006" s="4">
        <v>99.0</v>
      </c>
      <c r="J1006" s="4" t="s">
        <v>2121</v>
      </c>
      <c r="K1006" s="4">
        <v>9.188591057E11</v>
      </c>
      <c r="L1006" s="4" t="s">
        <v>67</v>
      </c>
      <c r="M1006" s="4" t="b">
        <v>0</v>
      </c>
      <c r="N1006" s="4" t="s">
        <v>68</v>
      </c>
      <c r="O1006" s="4" t="s">
        <v>69</v>
      </c>
      <c r="P1006" s="6">
        <v>44314.48987268518</v>
      </c>
      <c r="Q1006" s="4">
        <v>17399.0</v>
      </c>
      <c r="R1006" s="4"/>
      <c r="S1006" s="4"/>
      <c r="T1006" s="4"/>
      <c r="U1006" s="7"/>
      <c r="V1006" s="4"/>
      <c r="W1006" s="4"/>
      <c r="X1006" s="4"/>
      <c r="Y1006" s="4"/>
      <c r="Z1006" s="4"/>
      <c r="AA1006" s="5"/>
      <c r="AB1006" s="5"/>
      <c r="AC1006" s="5"/>
      <c r="AD1006" s="5"/>
      <c r="AE1006" s="5"/>
    </row>
    <row r="1007">
      <c r="A1007" s="4" t="s">
        <v>2122</v>
      </c>
      <c r="B1007" s="4"/>
      <c r="C1007" s="4" t="s">
        <v>2005</v>
      </c>
      <c r="D1007" s="4">
        <v>49995.0</v>
      </c>
      <c r="E1007" s="4"/>
      <c r="F1007" s="4" t="s">
        <v>1442</v>
      </c>
      <c r="G1007" s="4">
        <v>199.0</v>
      </c>
      <c r="H1007" s="4"/>
      <c r="I1007" s="4">
        <v>199.0</v>
      </c>
      <c r="J1007" s="4" t="s">
        <v>2123</v>
      </c>
      <c r="K1007" s="4">
        <v>9.16300271794E11</v>
      </c>
      <c r="L1007" s="4" t="s">
        <v>67</v>
      </c>
      <c r="M1007" s="4" t="b">
        <v>0</v>
      </c>
      <c r="N1007" s="4" t="s">
        <v>151</v>
      </c>
      <c r="O1007" s="4" t="s">
        <v>69</v>
      </c>
      <c r="P1007" s="6">
        <v>44315.42787037037</v>
      </c>
      <c r="Q1007" s="4">
        <v>17429.0</v>
      </c>
      <c r="R1007" s="4"/>
      <c r="S1007" s="4"/>
      <c r="T1007" s="4"/>
      <c r="U1007" s="7"/>
      <c r="V1007" s="4"/>
      <c r="W1007" s="4"/>
      <c r="X1007" s="4"/>
      <c r="Y1007" s="4"/>
      <c r="Z1007" s="4"/>
      <c r="AA1007" s="5"/>
      <c r="AB1007" s="5"/>
      <c r="AC1007" s="5"/>
      <c r="AD1007" s="5"/>
      <c r="AE1007" s="5"/>
    </row>
    <row r="1008">
      <c r="A1008" s="4" t="s">
        <v>2124</v>
      </c>
      <c r="B1008" s="4"/>
      <c r="C1008" s="4" t="s">
        <v>1982</v>
      </c>
      <c r="D1008" s="4">
        <v>50032.0</v>
      </c>
      <c r="E1008" s="4"/>
      <c r="F1008" s="4" t="s">
        <v>149</v>
      </c>
      <c r="G1008" s="4">
        <v>99.0</v>
      </c>
      <c r="H1008" s="4"/>
      <c r="I1008" s="4">
        <v>99.0</v>
      </c>
      <c r="J1008" s="4" t="s">
        <v>2125</v>
      </c>
      <c r="K1008" s="4">
        <v>9.19819650596E11</v>
      </c>
      <c r="L1008" s="4" t="s">
        <v>67</v>
      </c>
      <c r="M1008" s="4" t="b">
        <v>0</v>
      </c>
      <c r="N1008" s="4" t="s">
        <v>151</v>
      </c>
      <c r="O1008" s="4" t="s">
        <v>69</v>
      </c>
      <c r="P1008" s="6">
        <v>44313.34898148148</v>
      </c>
      <c r="Q1008" s="4">
        <v>17334.0</v>
      </c>
      <c r="R1008" s="4"/>
      <c r="S1008" s="4"/>
      <c r="T1008" s="4"/>
      <c r="U1008" s="7"/>
      <c r="V1008" s="4"/>
      <c r="W1008" s="4"/>
      <c r="X1008" s="4"/>
      <c r="Y1008" s="4"/>
      <c r="Z1008" s="4"/>
      <c r="AA1008" s="5"/>
      <c r="AB1008" s="5"/>
      <c r="AC1008" s="5"/>
      <c r="AD1008" s="5"/>
      <c r="AE1008" s="5"/>
    </row>
    <row r="1009">
      <c r="A1009" s="4" t="s">
        <v>2126</v>
      </c>
      <c r="B1009" s="4"/>
      <c r="C1009" s="4" t="s">
        <v>2005</v>
      </c>
      <c r="D1009" s="4">
        <v>49995.0</v>
      </c>
      <c r="E1009" s="4"/>
      <c r="F1009" s="4" t="s">
        <v>149</v>
      </c>
      <c r="G1009" s="4">
        <v>99.0</v>
      </c>
      <c r="H1009" s="4"/>
      <c r="I1009" s="4">
        <v>99.0</v>
      </c>
      <c r="J1009" s="4" t="s">
        <v>2127</v>
      </c>
      <c r="K1009" s="4">
        <v>9.19972302038E11</v>
      </c>
      <c r="L1009" s="4" t="s">
        <v>67</v>
      </c>
      <c r="M1009" s="4" t="b">
        <v>0</v>
      </c>
      <c r="N1009" s="4" t="s">
        <v>68</v>
      </c>
      <c r="O1009" s="4" t="s">
        <v>69</v>
      </c>
      <c r="P1009" s="6">
        <v>44315.673784722225</v>
      </c>
      <c r="Q1009" s="4">
        <v>17500.0</v>
      </c>
      <c r="R1009" s="4"/>
      <c r="S1009" s="4"/>
      <c r="T1009" s="4"/>
      <c r="U1009" s="7"/>
      <c r="V1009" s="4"/>
      <c r="W1009" s="4"/>
      <c r="X1009" s="4"/>
      <c r="Y1009" s="4"/>
      <c r="Z1009" s="4"/>
      <c r="AA1009" s="5"/>
      <c r="AB1009" s="5"/>
      <c r="AC1009" s="5"/>
      <c r="AD1009" s="5"/>
      <c r="AE1009" s="5"/>
    </row>
    <row r="1010">
      <c r="A1010" s="4" t="s">
        <v>2128</v>
      </c>
      <c r="B1010" s="4"/>
      <c r="C1010" s="4" t="s">
        <v>791</v>
      </c>
      <c r="D1010" s="4">
        <v>49948.0</v>
      </c>
      <c r="E1010" s="4"/>
      <c r="F1010" s="4" t="s">
        <v>149</v>
      </c>
      <c r="G1010" s="4">
        <v>99.0</v>
      </c>
      <c r="H1010" s="4"/>
      <c r="I1010" s="4">
        <v>99.0</v>
      </c>
      <c r="J1010" s="4" t="s">
        <v>2129</v>
      </c>
      <c r="K1010" s="4">
        <v>9.19909216758E11</v>
      </c>
      <c r="L1010" s="4" t="s">
        <v>67</v>
      </c>
      <c r="M1010" s="4" t="b">
        <v>0</v>
      </c>
      <c r="N1010" s="4" t="s">
        <v>68</v>
      </c>
      <c r="O1010" s="4" t="s">
        <v>69</v>
      </c>
      <c r="P1010" s="6">
        <v>44313.357986111114</v>
      </c>
      <c r="Q1010" s="4">
        <v>17336.0</v>
      </c>
      <c r="R1010" s="4"/>
      <c r="S1010" s="4"/>
      <c r="T1010" s="4"/>
      <c r="U1010" s="7"/>
      <c r="V1010" s="4"/>
      <c r="W1010" s="4"/>
      <c r="X1010" s="4"/>
      <c r="Y1010" s="4"/>
      <c r="Z1010" s="4"/>
      <c r="AA1010" s="5"/>
      <c r="AB1010" s="5"/>
      <c r="AC1010" s="5"/>
      <c r="AD1010" s="5"/>
      <c r="AE1010" s="5"/>
    </row>
    <row r="1011">
      <c r="A1011" s="4" t="s">
        <v>2130</v>
      </c>
      <c r="B1011" s="4"/>
      <c r="C1011" s="4" t="s">
        <v>1264</v>
      </c>
      <c r="D1011" s="4">
        <v>49994.0</v>
      </c>
      <c r="E1011" s="4"/>
      <c r="F1011" s="4" t="s">
        <v>149</v>
      </c>
      <c r="G1011" s="4">
        <v>99.0</v>
      </c>
      <c r="H1011" s="4"/>
      <c r="I1011" s="4">
        <v>99.0</v>
      </c>
      <c r="J1011" s="4" t="s">
        <v>2131</v>
      </c>
      <c r="K1011" s="4">
        <v>9.19873551453E11</v>
      </c>
      <c r="L1011" s="4" t="s">
        <v>67</v>
      </c>
      <c r="M1011" s="4" t="b">
        <v>0</v>
      </c>
      <c r="N1011" s="4" t="s">
        <v>74</v>
      </c>
      <c r="O1011" s="4" t="s">
        <v>69</v>
      </c>
      <c r="P1011" s="6">
        <v>44313.37248842593</v>
      </c>
      <c r="Q1011" s="4">
        <v>17338.0</v>
      </c>
      <c r="R1011" s="4"/>
      <c r="S1011" s="4"/>
      <c r="T1011" s="4"/>
      <c r="U1011" s="7"/>
      <c r="V1011" s="4"/>
      <c r="W1011" s="4"/>
      <c r="X1011" s="4"/>
      <c r="Y1011" s="4"/>
      <c r="Z1011" s="4"/>
      <c r="AA1011" s="5"/>
      <c r="AB1011" s="5"/>
      <c r="AC1011" s="5"/>
      <c r="AD1011" s="5"/>
      <c r="AE1011" s="5"/>
    </row>
    <row r="1012">
      <c r="A1012" s="4" t="s">
        <v>2132</v>
      </c>
      <c r="B1012" s="4"/>
      <c r="C1012" s="4" t="s">
        <v>1979</v>
      </c>
      <c r="D1012" s="4">
        <v>50030.0</v>
      </c>
      <c r="E1012" s="4"/>
      <c r="F1012" s="4" t="s">
        <v>1437</v>
      </c>
      <c r="G1012" s="4">
        <v>99.0</v>
      </c>
      <c r="H1012" s="4"/>
      <c r="I1012" s="4">
        <v>99.0</v>
      </c>
      <c r="J1012" s="4" t="s">
        <v>2133</v>
      </c>
      <c r="K1012" s="4">
        <v>9.18551966699E11</v>
      </c>
      <c r="L1012" s="4" t="s">
        <v>67</v>
      </c>
      <c r="M1012" s="4" t="b">
        <v>0</v>
      </c>
      <c r="N1012" s="4" t="s">
        <v>68</v>
      </c>
      <c r="O1012" s="4" t="s">
        <v>69</v>
      </c>
      <c r="P1012" s="6">
        <v>44313.37744212963</v>
      </c>
      <c r="Q1012" s="4" t="s">
        <v>83</v>
      </c>
      <c r="R1012" s="4"/>
      <c r="S1012" s="4"/>
      <c r="T1012" s="4"/>
      <c r="U1012" s="7"/>
      <c r="V1012" s="4"/>
      <c r="W1012" s="4"/>
      <c r="X1012" s="4"/>
      <c r="Y1012" s="4"/>
      <c r="Z1012" s="4"/>
      <c r="AA1012" s="5"/>
      <c r="AB1012" s="5"/>
      <c r="AC1012" s="5"/>
      <c r="AD1012" s="5"/>
      <c r="AE1012" s="5"/>
    </row>
    <row r="1013">
      <c r="A1013" s="4" t="s">
        <v>2134</v>
      </c>
      <c r="B1013" s="4"/>
      <c r="C1013" s="4" t="s">
        <v>2135</v>
      </c>
      <c r="D1013" s="4">
        <v>49978.0</v>
      </c>
      <c r="E1013" s="4"/>
      <c r="F1013" s="4" t="s">
        <v>77</v>
      </c>
      <c r="G1013" s="4">
        <v>119.0</v>
      </c>
      <c r="H1013" s="4"/>
      <c r="I1013" s="4">
        <v>119.0</v>
      </c>
      <c r="J1013" s="4" t="s">
        <v>2136</v>
      </c>
      <c r="K1013" s="4">
        <v>9.16283721911E11</v>
      </c>
      <c r="L1013" s="4" t="s">
        <v>67</v>
      </c>
      <c r="M1013" s="4" t="b">
        <v>0</v>
      </c>
      <c r="N1013" s="4" t="s">
        <v>68</v>
      </c>
      <c r="O1013" s="4" t="s">
        <v>69</v>
      </c>
      <c r="P1013" s="6">
        <v>44302.55153935185</v>
      </c>
      <c r="Q1013" s="4">
        <v>16925.0</v>
      </c>
      <c r="R1013" s="4"/>
      <c r="S1013" s="4"/>
      <c r="T1013" s="4"/>
      <c r="U1013" s="8"/>
      <c r="V1013" s="4"/>
      <c r="W1013" s="4"/>
      <c r="X1013" s="4"/>
      <c r="Y1013" s="4"/>
      <c r="Z1013" s="4"/>
      <c r="AA1013" s="5"/>
      <c r="AB1013" s="5"/>
      <c r="AC1013" s="5"/>
      <c r="AD1013" s="5"/>
      <c r="AE1013" s="5"/>
    </row>
    <row r="1014">
      <c r="A1014" s="4" t="s">
        <v>2137</v>
      </c>
      <c r="B1014" s="4"/>
      <c r="C1014" s="4" t="s">
        <v>2135</v>
      </c>
      <c r="D1014" s="4">
        <v>49978.0</v>
      </c>
      <c r="E1014" s="4"/>
      <c r="F1014" s="4" t="s">
        <v>77</v>
      </c>
      <c r="G1014" s="4">
        <v>119.0</v>
      </c>
      <c r="H1014" s="4"/>
      <c r="I1014" s="4">
        <v>119.0</v>
      </c>
      <c r="J1014" s="4" t="s">
        <v>2138</v>
      </c>
      <c r="K1014" s="4">
        <v>9.19990526789E11</v>
      </c>
      <c r="L1014" s="4" t="s">
        <v>67</v>
      </c>
      <c r="M1014" s="4" t="b">
        <v>0</v>
      </c>
      <c r="N1014" s="4" t="s">
        <v>97</v>
      </c>
      <c r="O1014" s="4" t="s">
        <v>69</v>
      </c>
      <c r="P1014" s="6">
        <v>44304.752650462964</v>
      </c>
      <c r="Q1014" s="4">
        <v>17132.0</v>
      </c>
      <c r="R1014" s="4"/>
      <c r="S1014" s="4"/>
      <c r="T1014" s="4"/>
      <c r="U1014" s="8"/>
      <c r="V1014" s="4"/>
      <c r="W1014" s="4"/>
      <c r="X1014" s="4"/>
      <c r="Y1014" s="4"/>
      <c r="Z1014" s="4"/>
      <c r="AA1014" s="5"/>
      <c r="AB1014" s="5"/>
      <c r="AC1014" s="5"/>
      <c r="AD1014" s="5"/>
      <c r="AE1014" s="5"/>
    </row>
    <row r="1015">
      <c r="A1015" s="4" t="s">
        <v>2139</v>
      </c>
      <c r="B1015" s="4"/>
      <c r="C1015" s="4" t="s">
        <v>1104</v>
      </c>
      <c r="D1015" s="4">
        <v>49993.0</v>
      </c>
      <c r="E1015" s="4"/>
      <c r="F1015" s="4" t="s">
        <v>149</v>
      </c>
      <c r="G1015" s="4">
        <v>199.0</v>
      </c>
      <c r="H1015" s="4"/>
      <c r="I1015" s="4">
        <v>199.0</v>
      </c>
      <c r="J1015" s="4" t="s">
        <v>2140</v>
      </c>
      <c r="K1015" s="4">
        <v>9.19370277424E11</v>
      </c>
      <c r="L1015" s="4" t="s">
        <v>67</v>
      </c>
      <c r="M1015" s="4" t="b">
        <v>0</v>
      </c>
      <c r="N1015" s="4" t="s">
        <v>68</v>
      </c>
      <c r="O1015" s="4" t="s">
        <v>69</v>
      </c>
      <c r="P1015" s="6">
        <v>44313.39939814815</v>
      </c>
      <c r="Q1015" s="4">
        <v>17380.0</v>
      </c>
      <c r="R1015" s="4"/>
      <c r="S1015" s="4"/>
      <c r="T1015" s="4"/>
      <c r="U1015" s="7"/>
      <c r="V1015" s="4"/>
      <c r="W1015" s="4"/>
      <c r="X1015" s="4"/>
      <c r="Y1015" s="4"/>
      <c r="Z1015" s="4"/>
      <c r="AA1015" s="5"/>
      <c r="AB1015" s="5"/>
      <c r="AC1015" s="5"/>
      <c r="AD1015" s="5"/>
      <c r="AE1015" s="5"/>
    </row>
    <row r="1016">
      <c r="A1016" s="4" t="s">
        <v>2141</v>
      </c>
      <c r="B1016" s="4"/>
      <c r="C1016" s="4" t="s">
        <v>1727</v>
      </c>
      <c r="D1016" s="4">
        <v>50033.0</v>
      </c>
      <c r="E1016" s="4"/>
      <c r="F1016" s="4" t="s">
        <v>1442</v>
      </c>
      <c r="G1016" s="4">
        <v>199.0</v>
      </c>
      <c r="H1016" s="4"/>
      <c r="I1016" s="4">
        <v>199.0</v>
      </c>
      <c r="J1016" s="4" t="s">
        <v>2142</v>
      </c>
      <c r="K1016" s="4">
        <v>9.19975535772E11</v>
      </c>
      <c r="L1016" s="4" t="s">
        <v>67</v>
      </c>
      <c r="M1016" s="4" t="b">
        <v>0</v>
      </c>
      <c r="N1016" s="4" t="s">
        <v>68</v>
      </c>
      <c r="O1016" s="4" t="s">
        <v>69</v>
      </c>
      <c r="P1016" s="6">
        <v>44313.40163194444</v>
      </c>
      <c r="Q1016" s="4">
        <v>17340.0</v>
      </c>
      <c r="R1016" s="4"/>
      <c r="S1016" s="4"/>
      <c r="T1016" s="4"/>
      <c r="U1016" s="7"/>
      <c r="V1016" s="4"/>
      <c r="W1016" s="4"/>
      <c r="X1016" s="4"/>
      <c r="Y1016" s="4"/>
      <c r="Z1016" s="4"/>
      <c r="AA1016" s="5"/>
      <c r="AB1016" s="5"/>
      <c r="AC1016" s="5"/>
      <c r="AD1016" s="5"/>
      <c r="AE1016" s="5"/>
    </row>
    <row r="1017">
      <c r="A1017" s="4" t="s">
        <v>2143</v>
      </c>
      <c r="B1017" s="4"/>
      <c r="C1017" s="4" t="s">
        <v>2135</v>
      </c>
      <c r="D1017" s="4">
        <v>49978.0</v>
      </c>
      <c r="E1017" s="4"/>
      <c r="F1017" s="4" t="s">
        <v>77</v>
      </c>
      <c r="G1017" s="4">
        <v>119.0</v>
      </c>
      <c r="H1017" s="4"/>
      <c r="I1017" s="4">
        <v>119.0</v>
      </c>
      <c r="J1017" s="4" t="s">
        <v>2144</v>
      </c>
      <c r="K1017" s="4">
        <v>9.19990099257E11</v>
      </c>
      <c r="L1017" s="4" t="s">
        <v>67</v>
      </c>
      <c r="M1017" s="4" t="b">
        <v>0</v>
      </c>
      <c r="N1017" s="4" t="s">
        <v>68</v>
      </c>
      <c r="O1017" s="4" t="s">
        <v>69</v>
      </c>
      <c r="P1017" s="6">
        <v>44304.79686342592</v>
      </c>
      <c r="Q1017" s="4">
        <v>16994.0</v>
      </c>
      <c r="R1017" s="4"/>
      <c r="S1017" s="4"/>
      <c r="T1017" s="4"/>
      <c r="U1017" s="8"/>
      <c r="V1017" s="4"/>
      <c r="W1017" s="4"/>
      <c r="X1017" s="4"/>
      <c r="Y1017" s="4"/>
      <c r="Z1017" s="4"/>
      <c r="AA1017" s="5"/>
      <c r="AB1017" s="5"/>
      <c r="AC1017" s="5"/>
      <c r="AD1017" s="5"/>
      <c r="AE1017" s="5"/>
    </row>
    <row r="1018">
      <c r="A1018" s="4" t="s">
        <v>2145</v>
      </c>
      <c r="B1018" s="4"/>
      <c r="C1018" s="4" t="s">
        <v>2135</v>
      </c>
      <c r="D1018" s="4">
        <v>49978.0</v>
      </c>
      <c r="E1018" s="4"/>
      <c r="F1018" s="4" t="s">
        <v>77</v>
      </c>
      <c r="G1018" s="4">
        <v>119.0</v>
      </c>
      <c r="H1018" s="4"/>
      <c r="I1018" s="4">
        <v>119.0</v>
      </c>
      <c r="J1018" s="4" t="s">
        <v>2146</v>
      </c>
      <c r="K1018" s="4">
        <v>9.19953486498E11</v>
      </c>
      <c r="L1018" s="4" t="s">
        <v>67</v>
      </c>
      <c r="M1018" s="4" t="b">
        <v>0</v>
      </c>
      <c r="N1018" s="4" t="s">
        <v>68</v>
      </c>
      <c r="O1018" s="4" t="s">
        <v>69</v>
      </c>
      <c r="P1018" s="6">
        <v>44309.60748842593</v>
      </c>
      <c r="Q1018" s="4">
        <v>17194.0</v>
      </c>
      <c r="R1018" s="4"/>
      <c r="S1018" s="4"/>
      <c r="T1018" s="4"/>
      <c r="U1018" s="8"/>
      <c r="V1018" s="4"/>
      <c r="W1018" s="4"/>
      <c r="X1018" s="4"/>
      <c r="Y1018" s="4"/>
      <c r="Z1018" s="4"/>
      <c r="AA1018" s="5"/>
      <c r="AB1018" s="5"/>
      <c r="AC1018" s="5"/>
      <c r="AD1018" s="5"/>
      <c r="AE1018" s="5"/>
    </row>
    <row r="1019">
      <c r="A1019" s="4" t="s">
        <v>2147</v>
      </c>
      <c r="B1019" s="4"/>
      <c r="C1019" s="4" t="s">
        <v>858</v>
      </c>
      <c r="D1019" s="4">
        <v>49958.0</v>
      </c>
      <c r="E1019" s="4"/>
      <c r="F1019" s="4" t="s">
        <v>85</v>
      </c>
      <c r="G1019" s="4">
        <v>199.0</v>
      </c>
      <c r="H1019" s="4"/>
      <c r="I1019" s="4">
        <v>199.0</v>
      </c>
      <c r="J1019" s="4" t="s">
        <v>2148</v>
      </c>
      <c r="K1019" s="4">
        <v>9.19284202485E11</v>
      </c>
      <c r="L1019" s="4" t="s">
        <v>67</v>
      </c>
      <c r="M1019" s="4" t="b">
        <v>0</v>
      </c>
      <c r="N1019" s="4" t="s">
        <v>68</v>
      </c>
      <c r="O1019" s="4" t="s">
        <v>69</v>
      </c>
      <c r="P1019" s="6">
        <v>44313.4372337963</v>
      </c>
      <c r="Q1019" s="4" t="s">
        <v>83</v>
      </c>
      <c r="R1019" s="4"/>
      <c r="S1019" s="4"/>
      <c r="T1019" s="4"/>
      <c r="U1019" s="7"/>
      <c r="V1019" s="4"/>
      <c r="W1019" s="4"/>
      <c r="X1019" s="4"/>
      <c r="Y1019" s="4"/>
      <c r="Z1019" s="4"/>
      <c r="AA1019" s="5"/>
      <c r="AB1019" s="5"/>
      <c r="AC1019" s="5"/>
      <c r="AD1019" s="5"/>
      <c r="AE1019" s="5"/>
    </row>
    <row r="1020">
      <c r="A1020" s="4" t="s">
        <v>2149</v>
      </c>
      <c r="B1020" s="4"/>
      <c r="C1020" s="4" t="s">
        <v>2150</v>
      </c>
      <c r="D1020" s="4">
        <v>49978.0</v>
      </c>
      <c r="E1020" s="4"/>
      <c r="F1020" s="4" t="s">
        <v>149</v>
      </c>
      <c r="G1020" s="4">
        <v>99.0</v>
      </c>
      <c r="H1020" s="4"/>
      <c r="I1020" s="4">
        <v>99.0</v>
      </c>
      <c r="J1020" s="4" t="s">
        <v>2151</v>
      </c>
      <c r="K1020" s="4">
        <v>9.18247716036E11</v>
      </c>
      <c r="L1020" s="4" t="s">
        <v>67</v>
      </c>
      <c r="M1020" s="4" t="b">
        <v>0</v>
      </c>
      <c r="N1020" s="4" t="s">
        <v>151</v>
      </c>
      <c r="O1020" s="4" t="s">
        <v>69</v>
      </c>
      <c r="P1020" s="6">
        <v>44315.84724537037</v>
      </c>
      <c r="Q1020" s="4">
        <v>17501.0</v>
      </c>
      <c r="R1020" s="4"/>
      <c r="S1020" s="4"/>
      <c r="T1020" s="4"/>
      <c r="U1020" s="7"/>
      <c r="V1020" s="4"/>
      <c r="W1020" s="4"/>
      <c r="X1020" s="4"/>
      <c r="Y1020" s="4"/>
      <c r="Z1020" s="4"/>
      <c r="AA1020" s="5"/>
      <c r="AB1020" s="5"/>
      <c r="AC1020" s="5"/>
      <c r="AD1020" s="5"/>
      <c r="AE1020" s="5"/>
    </row>
    <row r="1021">
      <c r="A1021" s="4" t="s">
        <v>2152</v>
      </c>
      <c r="B1021" s="4"/>
      <c r="C1021" s="4" t="s">
        <v>1059</v>
      </c>
      <c r="D1021" s="4">
        <v>49997.0</v>
      </c>
      <c r="E1021" s="4"/>
      <c r="F1021" s="4" t="s">
        <v>149</v>
      </c>
      <c r="G1021" s="4">
        <v>99.0</v>
      </c>
      <c r="H1021" s="4"/>
      <c r="I1021" s="4">
        <v>99.0</v>
      </c>
      <c r="J1021" s="4" t="s">
        <v>2153</v>
      </c>
      <c r="K1021" s="4">
        <v>9.17022957079E11</v>
      </c>
      <c r="L1021" s="4" t="s">
        <v>67</v>
      </c>
      <c r="M1021" s="4" t="b">
        <v>0</v>
      </c>
      <c r="N1021" s="4" t="s">
        <v>74</v>
      </c>
      <c r="O1021" s="4" t="s">
        <v>69</v>
      </c>
      <c r="P1021" s="6">
        <v>44313.47006944445</v>
      </c>
      <c r="Q1021" s="4">
        <v>17352.0</v>
      </c>
      <c r="R1021" s="4"/>
      <c r="S1021" s="4"/>
      <c r="T1021" s="4"/>
      <c r="U1021" s="7"/>
      <c r="V1021" s="4"/>
      <c r="W1021" s="4"/>
      <c r="X1021" s="4"/>
      <c r="Y1021" s="4"/>
      <c r="Z1021" s="4"/>
      <c r="AA1021" s="5"/>
      <c r="AB1021" s="5"/>
      <c r="AC1021" s="5"/>
      <c r="AD1021" s="5"/>
      <c r="AE1021" s="5"/>
    </row>
    <row r="1022">
      <c r="A1022" s="4" t="s">
        <v>2154</v>
      </c>
      <c r="B1022" s="4"/>
      <c r="C1022" s="4" t="s">
        <v>2135</v>
      </c>
      <c r="D1022" s="4">
        <v>49978.0</v>
      </c>
      <c r="E1022" s="4"/>
      <c r="F1022" s="4" t="s">
        <v>77</v>
      </c>
      <c r="G1022" s="4">
        <v>299.0</v>
      </c>
      <c r="H1022" s="4"/>
      <c r="I1022" s="4">
        <v>299.0</v>
      </c>
      <c r="J1022" s="4" t="s">
        <v>2155</v>
      </c>
      <c r="K1022" s="4">
        <v>9.198104001E11</v>
      </c>
      <c r="L1022" s="4" t="s">
        <v>67</v>
      </c>
      <c r="M1022" s="4" t="b">
        <v>0</v>
      </c>
      <c r="N1022" s="4" t="s">
        <v>74</v>
      </c>
      <c r="O1022" s="4" t="s">
        <v>69</v>
      </c>
      <c r="P1022" s="6">
        <v>44316.464849537035</v>
      </c>
      <c r="Q1022" s="4">
        <v>17827.0</v>
      </c>
      <c r="R1022" s="4"/>
      <c r="S1022" s="4"/>
      <c r="T1022" s="4"/>
      <c r="U1022" s="8"/>
      <c r="V1022" s="4"/>
      <c r="W1022" s="4"/>
      <c r="X1022" s="4"/>
      <c r="Y1022" s="4"/>
      <c r="Z1022" s="4"/>
      <c r="AA1022" s="5"/>
      <c r="AB1022" s="5"/>
      <c r="AC1022" s="5"/>
      <c r="AD1022" s="5"/>
      <c r="AE1022" s="5"/>
    </row>
    <row r="1023">
      <c r="A1023" s="4" t="s">
        <v>2156</v>
      </c>
      <c r="B1023" s="4"/>
      <c r="C1023" s="4" t="s">
        <v>1059</v>
      </c>
      <c r="D1023" s="4">
        <v>49997.0</v>
      </c>
      <c r="E1023" s="4"/>
      <c r="F1023" s="4" t="s">
        <v>149</v>
      </c>
      <c r="G1023" s="4">
        <v>99.0</v>
      </c>
      <c r="H1023" s="4"/>
      <c r="I1023" s="4">
        <v>99.0</v>
      </c>
      <c r="J1023" s="4" t="s">
        <v>2157</v>
      </c>
      <c r="K1023" s="4">
        <v>9.16387250801E11</v>
      </c>
      <c r="L1023" s="4" t="s">
        <v>67</v>
      </c>
      <c r="M1023" s="4" t="b">
        <v>0</v>
      </c>
      <c r="N1023" s="4" t="s">
        <v>68</v>
      </c>
      <c r="O1023" s="4" t="s">
        <v>69</v>
      </c>
      <c r="P1023" s="6">
        <v>44313.48585648148</v>
      </c>
      <c r="Q1023" s="4">
        <v>17356.0</v>
      </c>
      <c r="R1023" s="4"/>
      <c r="S1023" s="4"/>
      <c r="T1023" s="4"/>
      <c r="U1023" s="7"/>
      <c r="V1023" s="4"/>
      <c r="W1023" s="4"/>
      <c r="X1023" s="4"/>
      <c r="Y1023" s="4"/>
      <c r="Z1023" s="4"/>
      <c r="AA1023" s="5"/>
      <c r="AB1023" s="5"/>
      <c r="AC1023" s="5"/>
      <c r="AD1023" s="5"/>
      <c r="AE1023" s="5"/>
    </row>
    <row r="1024">
      <c r="A1024" s="4" t="s">
        <v>2158</v>
      </c>
      <c r="B1024" s="4"/>
      <c r="C1024" s="4" t="s">
        <v>1979</v>
      </c>
      <c r="D1024" s="4">
        <v>50030.0</v>
      </c>
      <c r="E1024" s="4"/>
      <c r="F1024" s="4" t="s">
        <v>1442</v>
      </c>
      <c r="G1024" s="4">
        <v>199.0</v>
      </c>
      <c r="H1024" s="4"/>
      <c r="I1024" s="4">
        <v>199.0</v>
      </c>
      <c r="J1024" s="4" t="s">
        <v>2159</v>
      </c>
      <c r="K1024" s="4">
        <v>9.18927434742E11</v>
      </c>
      <c r="L1024" s="4" t="s">
        <v>67</v>
      </c>
      <c r="M1024" s="4" t="b">
        <v>0</v>
      </c>
      <c r="N1024" s="4" t="s">
        <v>68</v>
      </c>
      <c r="O1024" s="4" t="s">
        <v>69</v>
      </c>
      <c r="P1024" s="6">
        <v>44313.489907407406</v>
      </c>
      <c r="Q1024" s="4">
        <v>17368.0</v>
      </c>
      <c r="R1024" s="4"/>
      <c r="S1024" s="4"/>
      <c r="T1024" s="4"/>
      <c r="U1024" s="7"/>
      <c r="V1024" s="4"/>
      <c r="W1024" s="4"/>
      <c r="X1024" s="4"/>
      <c r="Y1024" s="4"/>
      <c r="Z1024" s="4"/>
      <c r="AA1024" s="5"/>
      <c r="AB1024" s="5"/>
      <c r="AC1024" s="5"/>
      <c r="AD1024" s="5"/>
      <c r="AE1024" s="5"/>
    </row>
    <row r="1025">
      <c r="A1025" s="4" t="s">
        <v>2160</v>
      </c>
      <c r="B1025" s="4"/>
      <c r="C1025" s="4" t="s">
        <v>2161</v>
      </c>
      <c r="D1025" s="4">
        <v>49854.0</v>
      </c>
      <c r="E1025" s="4"/>
      <c r="F1025" s="4" t="s">
        <v>85</v>
      </c>
      <c r="G1025" s="4">
        <v>2596.0</v>
      </c>
      <c r="H1025" s="4"/>
      <c r="I1025" s="4">
        <v>2596.0</v>
      </c>
      <c r="J1025" s="4" t="s">
        <v>2162</v>
      </c>
      <c r="K1025" s="4">
        <v>9.18983348053E11</v>
      </c>
      <c r="L1025" s="4" t="s">
        <v>67</v>
      </c>
      <c r="M1025" s="4" t="b">
        <v>0</v>
      </c>
      <c r="N1025" s="4" t="s">
        <v>68</v>
      </c>
      <c r="O1025" s="4" t="s">
        <v>69</v>
      </c>
      <c r="P1025" s="6">
        <v>44252.54268518519</v>
      </c>
      <c r="Q1025" s="4" t="s">
        <v>83</v>
      </c>
      <c r="R1025" s="4"/>
      <c r="S1025" s="4"/>
      <c r="T1025" s="4"/>
      <c r="U1025" s="7"/>
      <c r="V1025" s="4"/>
      <c r="W1025" s="4"/>
      <c r="X1025" s="4"/>
      <c r="Y1025" s="4"/>
      <c r="Z1025" s="4"/>
      <c r="AA1025" s="5"/>
      <c r="AB1025" s="5"/>
      <c r="AC1025" s="5"/>
      <c r="AD1025" s="5"/>
      <c r="AE1025" s="5"/>
    </row>
    <row r="1026">
      <c r="A1026" s="4" t="s">
        <v>2163</v>
      </c>
      <c r="B1026" s="4"/>
      <c r="C1026" s="4" t="s">
        <v>2161</v>
      </c>
      <c r="D1026" s="4">
        <v>49854.0</v>
      </c>
      <c r="E1026" s="4"/>
      <c r="F1026" s="4" t="s">
        <v>85</v>
      </c>
      <c r="G1026" s="4">
        <v>2596.0</v>
      </c>
      <c r="H1026" s="4"/>
      <c r="I1026" s="4">
        <v>2596.0</v>
      </c>
      <c r="J1026" s="4" t="s">
        <v>2164</v>
      </c>
      <c r="K1026" s="4">
        <v>9.19663154199E11</v>
      </c>
      <c r="L1026" s="4" t="s">
        <v>67</v>
      </c>
      <c r="M1026" s="4" t="b">
        <v>0</v>
      </c>
      <c r="N1026" s="4" t="s">
        <v>74</v>
      </c>
      <c r="O1026" s="4" t="s">
        <v>69</v>
      </c>
      <c r="P1026" s="6">
        <v>44255.80710648148</v>
      </c>
      <c r="Q1026" s="4">
        <v>16215.0</v>
      </c>
      <c r="R1026" s="4"/>
      <c r="S1026" s="4"/>
      <c r="T1026" s="4"/>
      <c r="U1026" s="7"/>
      <c r="V1026" s="4"/>
      <c r="W1026" s="4"/>
      <c r="X1026" s="4"/>
      <c r="Y1026" s="4"/>
      <c r="Z1026" s="4"/>
      <c r="AA1026" s="5"/>
      <c r="AB1026" s="5"/>
      <c r="AC1026" s="5"/>
      <c r="AD1026" s="5"/>
      <c r="AE1026" s="5"/>
    </row>
    <row r="1027">
      <c r="A1027" s="4" t="s">
        <v>2165</v>
      </c>
      <c r="B1027" s="4"/>
      <c r="C1027" s="4" t="s">
        <v>76</v>
      </c>
      <c r="D1027" s="4">
        <v>49834.0</v>
      </c>
      <c r="E1027" s="4"/>
      <c r="F1027" s="4" t="s">
        <v>77</v>
      </c>
      <c r="G1027" s="4">
        <v>349.0</v>
      </c>
      <c r="H1027" s="4"/>
      <c r="I1027" s="4">
        <v>349.0</v>
      </c>
      <c r="J1027" s="4" t="s">
        <v>2166</v>
      </c>
      <c r="K1027" s="4">
        <v>9.1991632644E11</v>
      </c>
      <c r="L1027" s="4" t="s">
        <v>67</v>
      </c>
      <c r="M1027" s="4" t="b">
        <v>0</v>
      </c>
      <c r="N1027" s="4" t="s">
        <v>97</v>
      </c>
      <c r="O1027" s="4" t="s">
        <v>69</v>
      </c>
      <c r="P1027" s="6">
        <v>44313.513657407406</v>
      </c>
      <c r="Q1027" s="4">
        <v>17348.0</v>
      </c>
      <c r="R1027" s="4"/>
      <c r="S1027" s="4"/>
      <c r="T1027" s="4"/>
      <c r="U1027" s="8"/>
      <c r="V1027" s="4"/>
      <c r="W1027" s="4"/>
      <c r="X1027" s="4"/>
      <c r="Y1027" s="4"/>
      <c r="Z1027" s="4"/>
      <c r="AA1027" s="5"/>
      <c r="AB1027" s="5"/>
      <c r="AC1027" s="5"/>
      <c r="AD1027" s="5"/>
      <c r="AE1027" s="5"/>
    </row>
    <row r="1028">
      <c r="A1028" s="4" t="s">
        <v>2167</v>
      </c>
      <c r="B1028" s="4"/>
      <c r="C1028" s="4" t="s">
        <v>960</v>
      </c>
      <c r="D1028" s="4">
        <v>49834.0</v>
      </c>
      <c r="E1028" s="4"/>
      <c r="F1028" s="4" t="s">
        <v>149</v>
      </c>
      <c r="G1028" s="4">
        <v>99.0</v>
      </c>
      <c r="H1028" s="4"/>
      <c r="I1028" s="4">
        <v>99.0</v>
      </c>
      <c r="J1028" s="4" t="s">
        <v>2168</v>
      </c>
      <c r="K1028" s="4">
        <v>9.19999320107E11</v>
      </c>
      <c r="L1028" s="4" t="s">
        <v>67</v>
      </c>
      <c r="M1028" s="4" t="b">
        <v>0</v>
      </c>
      <c r="N1028" s="4" t="s">
        <v>151</v>
      </c>
      <c r="O1028" s="4" t="s">
        <v>69</v>
      </c>
      <c r="P1028" s="6">
        <v>44313.516493055555</v>
      </c>
      <c r="Q1028" s="4" t="s">
        <v>83</v>
      </c>
      <c r="R1028" s="4"/>
      <c r="S1028" s="4"/>
      <c r="T1028" s="4"/>
      <c r="U1028" s="7"/>
      <c r="V1028" s="4"/>
      <c r="W1028" s="4"/>
      <c r="X1028" s="4"/>
      <c r="Y1028" s="4"/>
      <c r="Z1028" s="4"/>
      <c r="AA1028" s="5"/>
      <c r="AB1028" s="5"/>
      <c r="AC1028" s="5"/>
      <c r="AD1028" s="5"/>
      <c r="AE1028" s="5"/>
    </row>
    <row r="1029">
      <c r="A1029" s="4" t="s">
        <v>2169</v>
      </c>
      <c r="B1029" s="4"/>
      <c r="C1029" s="4" t="s">
        <v>2161</v>
      </c>
      <c r="D1029" s="4">
        <v>49854.0</v>
      </c>
      <c r="E1029" s="4"/>
      <c r="F1029" s="4" t="s">
        <v>85</v>
      </c>
      <c r="G1029" s="4">
        <v>2596.0</v>
      </c>
      <c r="H1029" s="4"/>
      <c r="I1029" s="4">
        <v>2596.0</v>
      </c>
      <c r="J1029" s="4" t="s">
        <v>2170</v>
      </c>
      <c r="K1029" s="4">
        <v>9.17000933003E11</v>
      </c>
      <c r="L1029" s="4" t="s">
        <v>67</v>
      </c>
      <c r="M1029" s="4" t="b">
        <v>0</v>
      </c>
      <c r="N1029" s="4" t="s">
        <v>97</v>
      </c>
      <c r="O1029" s="4" t="s">
        <v>69</v>
      </c>
      <c r="P1029" s="6">
        <v>44270.76130787037</v>
      </c>
      <c r="Q1029" s="4">
        <v>16214.0</v>
      </c>
      <c r="R1029" s="4"/>
      <c r="S1029" s="4"/>
      <c r="T1029" s="4"/>
      <c r="U1029" s="7"/>
      <c r="V1029" s="4"/>
      <c r="W1029" s="4"/>
      <c r="X1029" s="4"/>
      <c r="Y1029" s="4"/>
      <c r="Z1029" s="4"/>
      <c r="AA1029" s="5"/>
      <c r="AB1029" s="5"/>
      <c r="AC1029" s="5"/>
      <c r="AD1029" s="5"/>
      <c r="AE1029" s="5"/>
    </row>
    <row r="1030">
      <c r="A1030" s="4" t="s">
        <v>2171</v>
      </c>
      <c r="B1030" s="4"/>
      <c r="C1030" s="4" t="s">
        <v>1516</v>
      </c>
      <c r="D1030" s="4">
        <v>49996.0</v>
      </c>
      <c r="E1030" s="4"/>
      <c r="F1030" s="4" t="s">
        <v>77</v>
      </c>
      <c r="G1030" s="4">
        <v>349.0</v>
      </c>
      <c r="H1030" s="4"/>
      <c r="I1030" s="4">
        <v>349.0</v>
      </c>
      <c r="J1030" s="4" t="s">
        <v>2172</v>
      </c>
      <c r="K1030" s="4">
        <v>9.19867791086E11</v>
      </c>
      <c r="L1030" s="4" t="s">
        <v>67</v>
      </c>
      <c r="M1030" s="4" t="b">
        <v>0</v>
      </c>
      <c r="N1030" s="4" t="s">
        <v>74</v>
      </c>
      <c r="O1030" s="4" t="s">
        <v>69</v>
      </c>
      <c r="P1030" s="6">
        <v>44313.54240740741</v>
      </c>
      <c r="Q1030" s="4">
        <v>17416.0</v>
      </c>
      <c r="R1030" s="4"/>
      <c r="S1030" s="4"/>
      <c r="T1030" s="4"/>
      <c r="U1030" s="8"/>
      <c r="V1030" s="4"/>
      <c r="W1030" s="4"/>
      <c r="X1030" s="4"/>
      <c r="Y1030" s="4"/>
      <c r="Z1030" s="4"/>
      <c r="AA1030" s="5"/>
      <c r="AB1030" s="5"/>
      <c r="AC1030" s="5"/>
      <c r="AD1030" s="5"/>
      <c r="AE1030" s="5"/>
    </row>
    <row r="1031">
      <c r="A1031" s="4" t="s">
        <v>2173</v>
      </c>
      <c r="B1031" s="4"/>
      <c r="C1031" s="4" t="s">
        <v>2161</v>
      </c>
      <c r="D1031" s="4">
        <v>49854.0</v>
      </c>
      <c r="E1031" s="4"/>
      <c r="F1031" s="4" t="s">
        <v>85</v>
      </c>
      <c r="G1031" s="4">
        <v>999.0</v>
      </c>
      <c r="H1031" s="4"/>
      <c r="I1031" s="4">
        <v>999.0</v>
      </c>
      <c r="J1031" s="4" t="s">
        <v>2174</v>
      </c>
      <c r="K1031" s="4">
        <v>9.19326969984E11</v>
      </c>
      <c r="L1031" s="4" t="s">
        <v>67</v>
      </c>
      <c r="M1031" s="4" t="b">
        <v>0</v>
      </c>
      <c r="N1031" s="4" t="s">
        <v>74</v>
      </c>
      <c r="O1031" s="4" t="s">
        <v>69</v>
      </c>
      <c r="P1031" s="6">
        <v>44270.807233796295</v>
      </c>
      <c r="Q1031" s="4">
        <v>3000.0</v>
      </c>
      <c r="R1031" s="4"/>
      <c r="S1031" s="4"/>
      <c r="T1031" s="4"/>
      <c r="U1031" s="7"/>
      <c r="V1031" s="4"/>
      <c r="W1031" s="4"/>
      <c r="X1031" s="4"/>
      <c r="Y1031" s="4"/>
      <c r="Z1031" s="4"/>
      <c r="AA1031" s="5"/>
      <c r="AB1031" s="5"/>
      <c r="AC1031" s="5"/>
      <c r="AD1031" s="5"/>
      <c r="AE1031" s="5"/>
    </row>
    <row r="1032">
      <c r="A1032" s="4" t="s">
        <v>2175</v>
      </c>
      <c r="B1032" s="4"/>
      <c r="C1032" s="4" t="s">
        <v>1104</v>
      </c>
      <c r="D1032" s="4">
        <v>49993.0</v>
      </c>
      <c r="E1032" s="4"/>
      <c r="F1032" s="4" t="s">
        <v>149</v>
      </c>
      <c r="G1032" s="4">
        <v>199.0</v>
      </c>
      <c r="H1032" s="4"/>
      <c r="I1032" s="4">
        <v>199.0</v>
      </c>
      <c r="J1032" s="4" t="s">
        <v>2176</v>
      </c>
      <c r="K1032" s="4">
        <v>9.17980400937E11</v>
      </c>
      <c r="L1032" s="4" t="s">
        <v>67</v>
      </c>
      <c r="M1032" s="4" t="b">
        <v>0</v>
      </c>
      <c r="N1032" s="4" t="s">
        <v>97</v>
      </c>
      <c r="O1032" s="4" t="s">
        <v>69</v>
      </c>
      <c r="P1032" s="6">
        <v>44313.546006944445</v>
      </c>
      <c r="Q1032" s="4">
        <v>17397.0</v>
      </c>
      <c r="R1032" s="4"/>
      <c r="S1032" s="4"/>
      <c r="T1032" s="4"/>
      <c r="U1032" s="7"/>
      <c r="V1032" s="4"/>
      <c r="W1032" s="4"/>
      <c r="X1032" s="4"/>
      <c r="Y1032" s="4"/>
      <c r="Z1032" s="4"/>
      <c r="AA1032" s="5"/>
      <c r="AB1032" s="5"/>
      <c r="AC1032" s="5"/>
      <c r="AD1032" s="5"/>
      <c r="AE1032" s="5"/>
    </row>
    <row r="1033">
      <c r="A1033" s="4" t="s">
        <v>2177</v>
      </c>
      <c r="B1033" s="4"/>
      <c r="C1033" s="4" t="s">
        <v>2161</v>
      </c>
      <c r="D1033" s="4">
        <v>49854.0</v>
      </c>
      <c r="E1033" s="4"/>
      <c r="F1033" s="4" t="s">
        <v>85</v>
      </c>
      <c r="G1033" s="4">
        <v>999.0</v>
      </c>
      <c r="H1033" s="4"/>
      <c r="I1033" s="4">
        <v>999.0</v>
      </c>
      <c r="J1033" s="4" t="s">
        <v>2178</v>
      </c>
      <c r="K1033" s="4">
        <v>9.18698670897E11</v>
      </c>
      <c r="L1033" s="4" t="s">
        <v>67</v>
      </c>
      <c r="M1033" s="4" t="b">
        <v>0</v>
      </c>
      <c r="N1033" s="4" t="s">
        <v>68</v>
      </c>
      <c r="O1033" s="4" t="s">
        <v>69</v>
      </c>
      <c r="P1033" s="6">
        <v>44277.966469907406</v>
      </c>
      <c r="Q1033" s="4" t="s">
        <v>83</v>
      </c>
      <c r="R1033" s="4"/>
      <c r="S1033" s="4"/>
      <c r="T1033" s="4"/>
      <c r="U1033" s="7"/>
      <c r="V1033" s="4"/>
      <c r="W1033" s="4"/>
      <c r="X1033" s="4"/>
      <c r="Y1033" s="4"/>
      <c r="Z1033" s="4"/>
      <c r="AA1033" s="5"/>
      <c r="AB1033" s="5"/>
      <c r="AC1033" s="5"/>
      <c r="AD1033" s="5"/>
      <c r="AE1033" s="5"/>
    </row>
    <row r="1034">
      <c r="A1034" s="4" t="s">
        <v>2179</v>
      </c>
      <c r="B1034" s="4"/>
      <c r="C1034" s="4" t="s">
        <v>1516</v>
      </c>
      <c r="D1034" s="4">
        <v>49996.0</v>
      </c>
      <c r="E1034" s="4"/>
      <c r="F1034" s="4" t="s">
        <v>149</v>
      </c>
      <c r="G1034" s="4">
        <v>99.0</v>
      </c>
      <c r="H1034" s="4"/>
      <c r="I1034" s="4">
        <v>99.0</v>
      </c>
      <c r="J1034" s="4" t="s">
        <v>2180</v>
      </c>
      <c r="K1034" s="4">
        <v>9.1884779628E11</v>
      </c>
      <c r="L1034" s="4" t="s">
        <v>67</v>
      </c>
      <c r="M1034" s="4" t="b">
        <v>0</v>
      </c>
      <c r="N1034" s="4" t="s">
        <v>68</v>
      </c>
      <c r="O1034" s="4" t="s">
        <v>69</v>
      </c>
      <c r="P1034" s="6">
        <v>44313.561840277776</v>
      </c>
      <c r="Q1034" s="4">
        <v>17415.0</v>
      </c>
      <c r="R1034" s="4"/>
      <c r="S1034" s="4"/>
      <c r="T1034" s="4"/>
      <c r="U1034" s="7"/>
      <c r="V1034" s="4"/>
      <c r="W1034" s="4"/>
      <c r="X1034" s="4"/>
      <c r="Y1034" s="4"/>
      <c r="Z1034" s="4"/>
      <c r="AA1034" s="5"/>
      <c r="AB1034" s="5"/>
      <c r="AC1034" s="5"/>
      <c r="AD1034" s="5"/>
      <c r="AE1034" s="5"/>
    </row>
    <row r="1035">
      <c r="A1035" s="4" t="s">
        <v>2181</v>
      </c>
      <c r="B1035" s="4"/>
      <c r="C1035" s="4" t="s">
        <v>1979</v>
      </c>
      <c r="D1035" s="4">
        <v>50030.0</v>
      </c>
      <c r="E1035" s="4"/>
      <c r="F1035" s="4" t="s">
        <v>1437</v>
      </c>
      <c r="G1035" s="4">
        <v>99.0</v>
      </c>
      <c r="H1035" s="4"/>
      <c r="I1035" s="4">
        <v>99.0</v>
      </c>
      <c r="J1035" s="4" t="s">
        <v>2182</v>
      </c>
      <c r="K1035" s="4">
        <v>9.17746823729E11</v>
      </c>
      <c r="L1035" s="4" t="s">
        <v>67</v>
      </c>
      <c r="M1035" s="4" t="b">
        <v>0</v>
      </c>
      <c r="N1035" s="4" t="s">
        <v>74</v>
      </c>
      <c r="O1035" s="4" t="s">
        <v>69</v>
      </c>
      <c r="P1035" s="6">
        <v>44313.57912037037</v>
      </c>
      <c r="Q1035" s="4">
        <v>17373.0</v>
      </c>
      <c r="R1035" s="4"/>
      <c r="S1035" s="4"/>
      <c r="T1035" s="4"/>
      <c r="U1035" s="7"/>
      <c r="V1035" s="4"/>
      <c r="W1035" s="4"/>
      <c r="X1035" s="4"/>
      <c r="Y1035" s="4"/>
      <c r="Z1035" s="4"/>
      <c r="AA1035" s="5"/>
      <c r="AB1035" s="5"/>
      <c r="AC1035" s="5"/>
      <c r="AD1035" s="5"/>
      <c r="AE1035" s="5"/>
    </row>
    <row r="1036">
      <c r="A1036" s="4" t="s">
        <v>2183</v>
      </c>
      <c r="B1036" s="4"/>
      <c r="C1036" s="4" t="s">
        <v>184</v>
      </c>
      <c r="D1036" s="4">
        <v>49833.0</v>
      </c>
      <c r="E1036" s="4"/>
      <c r="F1036" s="4" t="s">
        <v>77</v>
      </c>
      <c r="G1036" s="4">
        <v>499.0</v>
      </c>
      <c r="H1036" s="4"/>
      <c r="I1036" s="4">
        <v>499.0</v>
      </c>
      <c r="J1036" s="4" t="s">
        <v>2184</v>
      </c>
      <c r="K1036" s="4">
        <v>9.19680435926E11</v>
      </c>
      <c r="L1036" s="4" t="s">
        <v>67</v>
      </c>
      <c r="M1036" s="4" t="b">
        <v>0</v>
      </c>
      <c r="N1036" s="4" t="s">
        <v>68</v>
      </c>
      <c r="O1036" s="4" t="s">
        <v>69</v>
      </c>
      <c r="P1036" s="6">
        <v>44313.58505787037</v>
      </c>
      <c r="Q1036" s="4">
        <v>17351.0</v>
      </c>
      <c r="R1036" s="4"/>
      <c r="S1036" s="4"/>
      <c r="T1036" s="4"/>
      <c r="U1036" s="8"/>
      <c r="V1036" s="4"/>
      <c r="W1036" s="4"/>
      <c r="X1036" s="4"/>
      <c r="Y1036" s="4"/>
      <c r="Z1036" s="4"/>
      <c r="AA1036" s="5"/>
      <c r="AB1036" s="5"/>
      <c r="AC1036" s="5"/>
      <c r="AD1036" s="5"/>
      <c r="AE1036" s="5"/>
    </row>
    <row r="1037">
      <c r="A1037" s="4" t="s">
        <v>2185</v>
      </c>
      <c r="B1037" s="4"/>
      <c r="C1037" s="4" t="s">
        <v>1476</v>
      </c>
      <c r="D1037" s="4">
        <v>50009.0</v>
      </c>
      <c r="E1037" s="4"/>
      <c r="F1037" s="4" t="s">
        <v>149</v>
      </c>
      <c r="G1037" s="4">
        <v>99.0</v>
      </c>
      <c r="H1037" s="4"/>
      <c r="I1037" s="4">
        <v>99.0</v>
      </c>
      <c r="J1037" s="4" t="s">
        <v>2186</v>
      </c>
      <c r="K1037" s="4">
        <v>9.19515757319E11</v>
      </c>
      <c r="L1037" s="4" t="s">
        <v>67</v>
      </c>
      <c r="M1037" s="4" t="b">
        <v>0</v>
      </c>
      <c r="N1037" s="4" t="s">
        <v>68</v>
      </c>
      <c r="O1037" s="4" t="s">
        <v>69</v>
      </c>
      <c r="P1037" s="6">
        <v>44313.60327546296</v>
      </c>
      <c r="Q1037" s="4">
        <v>17355.0</v>
      </c>
      <c r="R1037" s="4"/>
      <c r="S1037" s="4"/>
      <c r="T1037" s="4"/>
      <c r="U1037" s="7"/>
      <c r="V1037" s="4"/>
      <c r="W1037" s="4"/>
      <c r="X1037" s="4"/>
      <c r="Y1037" s="4"/>
      <c r="Z1037" s="4"/>
      <c r="AA1037" s="5"/>
      <c r="AB1037" s="5"/>
      <c r="AC1037" s="5"/>
      <c r="AD1037" s="5"/>
      <c r="AE1037" s="5"/>
    </row>
    <row r="1038">
      <c r="A1038" s="4" t="s">
        <v>2187</v>
      </c>
      <c r="B1038" s="4"/>
      <c r="C1038" s="4" t="s">
        <v>1932</v>
      </c>
      <c r="D1038" s="4">
        <v>50041.0</v>
      </c>
      <c r="E1038" s="4"/>
      <c r="F1038" s="4" t="s">
        <v>77</v>
      </c>
      <c r="G1038" s="4">
        <v>349.0</v>
      </c>
      <c r="H1038" s="4"/>
      <c r="I1038" s="4">
        <v>349.0</v>
      </c>
      <c r="J1038" s="4" t="s">
        <v>2188</v>
      </c>
      <c r="K1038" s="4">
        <v>9.19966588812E11</v>
      </c>
      <c r="L1038" s="4" t="s">
        <v>67</v>
      </c>
      <c r="M1038" s="4" t="b">
        <v>0</v>
      </c>
      <c r="N1038" s="4" t="s">
        <v>68</v>
      </c>
      <c r="O1038" s="4" t="s">
        <v>69</v>
      </c>
      <c r="P1038" s="6">
        <v>44313.65251157407</v>
      </c>
      <c r="Q1038" s="4">
        <v>17552.0</v>
      </c>
      <c r="R1038" s="4"/>
      <c r="S1038" s="4"/>
      <c r="T1038" s="4"/>
      <c r="U1038" s="8"/>
      <c r="V1038" s="4"/>
      <c r="W1038" s="4"/>
      <c r="X1038" s="4"/>
      <c r="Y1038" s="4"/>
      <c r="Z1038" s="4"/>
      <c r="AA1038" s="5"/>
      <c r="AB1038" s="5"/>
      <c r="AC1038" s="5"/>
      <c r="AD1038" s="5"/>
      <c r="AE1038" s="5"/>
    </row>
    <row r="1039">
      <c r="A1039" s="4" t="s">
        <v>2189</v>
      </c>
      <c r="B1039" s="4"/>
      <c r="C1039" s="4" t="s">
        <v>2161</v>
      </c>
      <c r="D1039" s="4">
        <v>49854.0</v>
      </c>
      <c r="E1039" s="4"/>
      <c r="F1039" s="4" t="s">
        <v>85</v>
      </c>
      <c r="G1039" s="4">
        <v>999.0</v>
      </c>
      <c r="H1039" s="4"/>
      <c r="I1039" s="4">
        <v>999.0</v>
      </c>
      <c r="J1039" s="4" t="s">
        <v>2190</v>
      </c>
      <c r="K1039" s="4">
        <v>9.19850472278E11</v>
      </c>
      <c r="L1039" s="4" t="s">
        <v>67</v>
      </c>
      <c r="M1039" s="4" t="b">
        <v>0</v>
      </c>
      <c r="N1039" s="4" t="s">
        <v>68</v>
      </c>
      <c r="O1039" s="4" t="s">
        <v>69</v>
      </c>
      <c r="P1039" s="6">
        <v>44279.79519675926</v>
      </c>
      <c r="Q1039" s="4">
        <v>16863.0</v>
      </c>
      <c r="R1039" s="4"/>
      <c r="S1039" s="4"/>
      <c r="T1039" s="4"/>
      <c r="U1039" s="7"/>
      <c r="V1039" s="4"/>
      <c r="W1039" s="4"/>
      <c r="X1039" s="4"/>
      <c r="Y1039" s="4"/>
      <c r="Z1039" s="4"/>
      <c r="AA1039" s="5"/>
      <c r="AB1039" s="5"/>
      <c r="AC1039" s="5"/>
      <c r="AD1039" s="5"/>
      <c r="AE1039" s="5"/>
    </row>
    <row r="1040">
      <c r="A1040" s="4" t="s">
        <v>2191</v>
      </c>
      <c r="B1040" s="4"/>
      <c r="C1040" s="4" t="s">
        <v>1979</v>
      </c>
      <c r="D1040" s="4">
        <v>50030.0</v>
      </c>
      <c r="E1040" s="4"/>
      <c r="F1040" s="4" t="s">
        <v>1437</v>
      </c>
      <c r="G1040" s="4">
        <v>99.0</v>
      </c>
      <c r="H1040" s="4"/>
      <c r="I1040" s="4">
        <v>99.0</v>
      </c>
      <c r="J1040" s="4" t="s">
        <v>2192</v>
      </c>
      <c r="K1040" s="4">
        <v>9.19455921324E11</v>
      </c>
      <c r="L1040" s="4" t="s">
        <v>67</v>
      </c>
      <c r="M1040" s="4" t="b">
        <v>0</v>
      </c>
      <c r="N1040" s="4" t="s">
        <v>68</v>
      </c>
      <c r="O1040" s="4" t="s">
        <v>69</v>
      </c>
      <c r="P1040" s="6">
        <v>44313.696921296294</v>
      </c>
      <c r="Q1040" s="4" t="s">
        <v>83</v>
      </c>
      <c r="R1040" s="4"/>
      <c r="S1040" s="4"/>
      <c r="T1040" s="4"/>
      <c r="U1040" s="7"/>
      <c r="V1040" s="4"/>
      <c r="W1040" s="4"/>
      <c r="X1040" s="4"/>
      <c r="Y1040" s="4"/>
      <c r="Z1040" s="4"/>
      <c r="AA1040" s="5"/>
      <c r="AB1040" s="5"/>
      <c r="AC1040" s="5"/>
      <c r="AD1040" s="5"/>
      <c r="AE1040" s="5"/>
    </row>
    <row r="1041">
      <c r="A1041" s="4" t="s">
        <v>2193</v>
      </c>
      <c r="B1041" s="4"/>
      <c r="C1041" s="4" t="s">
        <v>2161</v>
      </c>
      <c r="D1041" s="4">
        <v>49854.0</v>
      </c>
      <c r="E1041" s="4"/>
      <c r="F1041" s="4" t="s">
        <v>85</v>
      </c>
      <c r="G1041" s="4">
        <v>999.0</v>
      </c>
      <c r="H1041" s="4"/>
      <c r="I1041" s="4">
        <v>999.0</v>
      </c>
      <c r="J1041" s="4" t="s">
        <v>2194</v>
      </c>
      <c r="K1041" s="4">
        <v>9.19997111701E11</v>
      </c>
      <c r="L1041" s="4" t="s">
        <v>67</v>
      </c>
      <c r="M1041" s="4" t="b">
        <v>0</v>
      </c>
      <c r="N1041" s="4" t="s">
        <v>74</v>
      </c>
      <c r="O1041" s="4" t="s">
        <v>69</v>
      </c>
      <c r="P1041" s="6">
        <v>44281.62484953704</v>
      </c>
      <c r="Q1041" s="4" t="s">
        <v>2195</v>
      </c>
      <c r="R1041" s="4"/>
      <c r="S1041" s="4"/>
      <c r="T1041" s="4"/>
      <c r="U1041" s="7"/>
      <c r="V1041" s="4"/>
      <c r="W1041" s="4"/>
      <c r="X1041" s="4"/>
      <c r="Y1041" s="4"/>
      <c r="Z1041" s="4"/>
      <c r="AA1041" s="5"/>
      <c r="AB1041" s="5"/>
      <c r="AC1041" s="5"/>
      <c r="AD1041" s="5"/>
      <c r="AE1041" s="5"/>
    </row>
    <row r="1042">
      <c r="A1042" s="4" t="s">
        <v>2196</v>
      </c>
      <c r="B1042" s="4"/>
      <c r="C1042" s="4" t="s">
        <v>2161</v>
      </c>
      <c r="D1042" s="4">
        <v>49854.0</v>
      </c>
      <c r="E1042" s="4"/>
      <c r="F1042" s="4" t="s">
        <v>85</v>
      </c>
      <c r="G1042" s="4">
        <v>999.0</v>
      </c>
      <c r="H1042" s="4"/>
      <c r="I1042" s="4">
        <v>999.0</v>
      </c>
      <c r="J1042" s="4" t="s">
        <v>2197</v>
      </c>
      <c r="K1042" s="4">
        <v>9.19902221576E11</v>
      </c>
      <c r="L1042" s="4" t="s">
        <v>67</v>
      </c>
      <c r="M1042" s="4" t="b">
        <v>0</v>
      </c>
      <c r="N1042" s="4" t="s">
        <v>97</v>
      </c>
      <c r="O1042" s="4" t="s">
        <v>69</v>
      </c>
      <c r="P1042" s="6">
        <v>44285.316099537034</v>
      </c>
      <c r="Q1042" s="4">
        <v>16531.0</v>
      </c>
      <c r="R1042" s="4"/>
      <c r="S1042" s="4"/>
      <c r="T1042" s="4"/>
      <c r="U1042" s="7"/>
      <c r="V1042" s="4"/>
      <c r="W1042" s="4"/>
      <c r="X1042" s="4"/>
      <c r="Y1042" s="4"/>
      <c r="Z1042" s="4"/>
      <c r="AA1042" s="5"/>
      <c r="AB1042" s="5"/>
      <c r="AC1042" s="5"/>
      <c r="AD1042" s="5"/>
      <c r="AE1042" s="5"/>
    </row>
    <row r="1043">
      <c r="A1043" s="4" t="s">
        <v>2198</v>
      </c>
      <c r="B1043" s="4"/>
      <c r="C1043" s="4" t="s">
        <v>1979</v>
      </c>
      <c r="D1043" s="4">
        <v>50030.0</v>
      </c>
      <c r="E1043" s="4"/>
      <c r="F1043" s="4" t="s">
        <v>1442</v>
      </c>
      <c r="G1043" s="4">
        <v>199.0</v>
      </c>
      <c r="H1043" s="4"/>
      <c r="I1043" s="4">
        <v>199.0</v>
      </c>
      <c r="J1043" s="4" t="s">
        <v>2199</v>
      </c>
      <c r="K1043" s="4">
        <v>9.19884997315E11</v>
      </c>
      <c r="L1043" s="4" t="s">
        <v>67</v>
      </c>
      <c r="M1043" s="4" t="b">
        <v>0</v>
      </c>
      <c r="N1043" s="4" t="s">
        <v>97</v>
      </c>
      <c r="O1043" s="4" t="s">
        <v>69</v>
      </c>
      <c r="P1043" s="6">
        <v>44313.74207175926</v>
      </c>
      <c r="Q1043" s="4">
        <v>17367.0</v>
      </c>
      <c r="R1043" s="4"/>
      <c r="S1043" s="4"/>
      <c r="T1043" s="4"/>
      <c r="U1043" s="7"/>
      <c r="V1043" s="4"/>
      <c r="W1043" s="4"/>
      <c r="X1043" s="4"/>
      <c r="Y1043" s="4"/>
      <c r="Z1043" s="4"/>
      <c r="AA1043" s="5"/>
      <c r="AB1043" s="5"/>
      <c r="AC1043" s="5"/>
      <c r="AD1043" s="5"/>
      <c r="AE1043" s="5"/>
    </row>
    <row r="1044">
      <c r="A1044" s="4" t="s">
        <v>2200</v>
      </c>
      <c r="B1044" s="4"/>
      <c r="C1044" s="4" t="s">
        <v>1264</v>
      </c>
      <c r="D1044" s="4">
        <v>49994.0</v>
      </c>
      <c r="E1044" s="4"/>
      <c r="F1044" s="4" t="s">
        <v>77</v>
      </c>
      <c r="G1044" s="4">
        <v>349.0</v>
      </c>
      <c r="H1044" s="4"/>
      <c r="I1044" s="4">
        <v>349.0</v>
      </c>
      <c r="J1044" s="4" t="s">
        <v>2201</v>
      </c>
      <c r="K1044" s="4">
        <v>9.19448956202E11</v>
      </c>
      <c r="L1044" s="4" t="s">
        <v>67</v>
      </c>
      <c r="M1044" s="4" t="b">
        <v>0</v>
      </c>
      <c r="N1044" s="4" t="s">
        <v>68</v>
      </c>
      <c r="O1044" s="4" t="s">
        <v>69</v>
      </c>
      <c r="P1044" s="6">
        <v>44313.74581018519</v>
      </c>
      <c r="Q1044" s="4">
        <v>17488.0</v>
      </c>
      <c r="R1044" s="4"/>
      <c r="S1044" s="4"/>
      <c r="T1044" s="4"/>
      <c r="U1044" s="8"/>
      <c r="V1044" s="4"/>
      <c r="W1044" s="4"/>
      <c r="X1044" s="4"/>
      <c r="Y1044" s="4"/>
      <c r="Z1044" s="4"/>
      <c r="AA1044" s="5"/>
      <c r="AB1044" s="5"/>
      <c r="AC1044" s="5"/>
      <c r="AD1044" s="5"/>
      <c r="AE1044" s="5"/>
    </row>
    <row r="1045">
      <c r="A1045" s="4" t="s">
        <v>2202</v>
      </c>
      <c r="B1045" s="4"/>
      <c r="C1045" s="4" t="s">
        <v>2161</v>
      </c>
      <c r="D1045" s="4">
        <v>49854.0</v>
      </c>
      <c r="E1045" s="4"/>
      <c r="F1045" s="4" t="s">
        <v>85</v>
      </c>
      <c r="G1045" s="4">
        <v>999.0</v>
      </c>
      <c r="H1045" s="4"/>
      <c r="I1045" s="4">
        <v>999.0</v>
      </c>
      <c r="J1045" s="4" t="s">
        <v>2197</v>
      </c>
      <c r="K1045" s="4">
        <v>9.18197246368E11</v>
      </c>
      <c r="L1045" s="4" t="s">
        <v>67</v>
      </c>
      <c r="M1045" s="4" t="b">
        <v>0</v>
      </c>
      <c r="N1045" s="4" t="s">
        <v>97</v>
      </c>
      <c r="O1045" s="4" t="s">
        <v>69</v>
      </c>
      <c r="P1045" s="6">
        <v>44285.32318287037</v>
      </c>
      <c r="Q1045" s="4" t="s">
        <v>2203</v>
      </c>
      <c r="R1045" s="4"/>
      <c r="S1045" s="4"/>
      <c r="T1045" s="4"/>
      <c r="U1045" s="7"/>
      <c r="V1045" s="4"/>
      <c r="W1045" s="4"/>
      <c r="X1045" s="4"/>
      <c r="Y1045" s="4"/>
      <c r="Z1045" s="4"/>
      <c r="AA1045" s="5"/>
      <c r="AB1045" s="5"/>
      <c r="AC1045" s="5"/>
      <c r="AD1045" s="5"/>
      <c r="AE1045" s="5"/>
    </row>
    <row r="1046">
      <c r="A1046" s="4" t="s">
        <v>2204</v>
      </c>
      <c r="B1046" s="4"/>
      <c r="C1046" s="4" t="s">
        <v>2161</v>
      </c>
      <c r="D1046" s="4">
        <v>49854.0</v>
      </c>
      <c r="E1046" s="4"/>
      <c r="F1046" s="4" t="s">
        <v>85</v>
      </c>
      <c r="G1046" s="4">
        <v>999.0</v>
      </c>
      <c r="H1046" s="4"/>
      <c r="I1046" s="4">
        <v>999.0</v>
      </c>
      <c r="J1046" s="4" t="s">
        <v>2205</v>
      </c>
      <c r="K1046" s="4">
        <v>9.18121908757E11</v>
      </c>
      <c r="L1046" s="4" t="s">
        <v>67</v>
      </c>
      <c r="M1046" s="4" t="b">
        <v>0</v>
      </c>
      <c r="N1046" s="4" t="s">
        <v>68</v>
      </c>
      <c r="O1046" s="4" t="s">
        <v>69</v>
      </c>
      <c r="P1046" s="6">
        <v>44292.508252314816</v>
      </c>
      <c r="Q1046" s="4">
        <v>17912.0</v>
      </c>
      <c r="R1046" s="4"/>
      <c r="S1046" s="4"/>
      <c r="T1046" s="4"/>
      <c r="U1046" s="7"/>
      <c r="V1046" s="4"/>
      <c r="W1046" s="4"/>
      <c r="X1046" s="4"/>
      <c r="Y1046" s="4"/>
      <c r="Z1046" s="4"/>
      <c r="AA1046" s="5"/>
      <c r="AB1046" s="5"/>
      <c r="AC1046" s="5"/>
      <c r="AD1046" s="5"/>
      <c r="AE1046" s="5"/>
    </row>
    <row r="1047">
      <c r="A1047" s="4" t="s">
        <v>2206</v>
      </c>
      <c r="B1047" s="4"/>
      <c r="C1047" s="4" t="s">
        <v>858</v>
      </c>
      <c r="D1047" s="4">
        <v>49958.0</v>
      </c>
      <c r="E1047" s="4"/>
      <c r="F1047" s="4" t="s">
        <v>85</v>
      </c>
      <c r="G1047" s="4">
        <v>199.0</v>
      </c>
      <c r="H1047" s="4"/>
      <c r="I1047" s="4">
        <v>199.0</v>
      </c>
      <c r="J1047" s="4" t="s">
        <v>2207</v>
      </c>
      <c r="K1047" s="4">
        <v>9.17600154775E11</v>
      </c>
      <c r="L1047" s="4" t="s">
        <v>67</v>
      </c>
      <c r="M1047" s="4" t="b">
        <v>0</v>
      </c>
      <c r="N1047" s="4" t="s">
        <v>74</v>
      </c>
      <c r="O1047" s="4" t="s">
        <v>69</v>
      </c>
      <c r="P1047" s="6">
        <v>44313.78165509259</v>
      </c>
      <c r="Q1047" s="4">
        <v>17372.0</v>
      </c>
      <c r="R1047" s="4"/>
      <c r="S1047" s="4"/>
      <c r="T1047" s="4"/>
      <c r="U1047" s="7"/>
      <c r="V1047" s="4"/>
      <c r="W1047" s="4"/>
      <c r="X1047" s="4"/>
      <c r="Y1047" s="4"/>
      <c r="Z1047" s="4"/>
      <c r="AA1047" s="5"/>
      <c r="AB1047" s="5"/>
      <c r="AC1047" s="5"/>
      <c r="AD1047" s="5"/>
      <c r="AE1047" s="5"/>
    </row>
    <row r="1048">
      <c r="A1048" s="4" t="s">
        <v>2208</v>
      </c>
      <c r="B1048" s="4"/>
      <c r="C1048" s="4" t="s">
        <v>2161</v>
      </c>
      <c r="D1048" s="4">
        <v>49854.0</v>
      </c>
      <c r="E1048" s="4"/>
      <c r="F1048" s="4" t="s">
        <v>85</v>
      </c>
      <c r="G1048" s="4">
        <v>999.0</v>
      </c>
      <c r="H1048" s="4"/>
      <c r="I1048" s="4">
        <v>999.0</v>
      </c>
      <c r="J1048" s="4" t="s">
        <v>2209</v>
      </c>
      <c r="K1048" s="4">
        <v>9.19123094571E11</v>
      </c>
      <c r="L1048" s="4" t="s">
        <v>67</v>
      </c>
      <c r="M1048" s="4" t="b">
        <v>0</v>
      </c>
      <c r="N1048" s="4" t="s">
        <v>74</v>
      </c>
      <c r="O1048" s="4" t="s">
        <v>69</v>
      </c>
      <c r="P1048" s="6">
        <v>44292.612222222226</v>
      </c>
      <c r="Q1048" s="4">
        <v>16891.0</v>
      </c>
      <c r="R1048" s="4"/>
      <c r="S1048" s="4"/>
      <c r="T1048" s="4"/>
      <c r="U1048" s="7"/>
      <c r="V1048" s="4"/>
      <c r="W1048" s="4"/>
      <c r="X1048" s="4"/>
      <c r="Y1048" s="4"/>
      <c r="Z1048" s="4"/>
      <c r="AA1048" s="5"/>
      <c r="AB1048" s="5"/>
      <c r="AC1048" s="5"/>
      <c r="AD1048" s="5"/>
      <c r="AE1048" s="5"/>
    </row>
    <row r="1049">
      <c r="A1049" s="4" t="s">
        <v>2210</v>
      </c>
      <c r="B1049" s="4"/>
      <c r="C1049" s="4" t="s">
        <v>2161</v>
      </c>
      <c r="D1049" s="4">
        <v>49854.0</v>
      </c>
      <c r="E1049" s="4"/>
      <c r="F1049" s="4" t="s">
        <v>85</v>
      </c>
      <c r="G1049" s="4">
        <v>599.0</v>
      </c>
      <c r="H1049" s="4"/>
      <c r="I1049" s="4">
        <v>599.0</v>
      </c>
      <c r="J1049" s="4" t="s">
        <v>2211</v>
      </c>
      <c r="K1049" s="4">
        <v>9.19830775774E11</v>
      </c>
      <c r="L1049" s="4" t="s">
        <v>67</v>
      </c>
      <c r="M1049" s="4" t="b">
        <v>0</v>
      </c>
      <c r="N1049" s="4" t="s">
        <v>74</v>
      </c>
      <c r="O1049" s="4" t="s">
        <v>69</v>
      </c>
      <c r="P1049" s="6">
        <v>44301.73743055556</v>
      </c>
      <c r="Q1049" s="4">
        <v>17750.0</v>
      </c>
      <c r="R1049" s="4"/>
      <c r="S1049" s="4"/>
      <c r="T1049" s="4"/>
      <c r="U1049" s="7"/>
      <c r="V1049" s="4"/>
      <c r="W1049" s="4"/>
      <c r="X1049" s="4"/>
      <c r="Y1049" s="4"/>
      <c r="Z1049" s="4"/>
      <c r="AA1049" s="5"/>
      <c r="AB1049" s="5"/>
      <c r="AC1049" s="5"/>
      <c r="AD1049" s="5"/>
      <c r="AE1049" s="5"/>
    </row>
    <row r="1050">
      <c r="A1050" s="4" t="s">
        <v>2212</v>
      </c>
      <c r="B1050" s="4"/>
      <c r="C1050" s="4" t="s">
        <v>184</v>
      </c>
      <c r="D1050" s="4">
        <v>49833.0</v>
      </c>
      <c r="E1050" s="4"/>
      <c r="F1050" s="4" t="s">
        <v>77</v>
      </c>
      <c r="G1050" s="4">
        <v>499.0</v>
      </c>
      <c r="H1050" s="4"/>
      <c r="I1050" s="4">
        <v>499.0</v>
      </c>
      <c r="J1050" s="4" t="s">
        <v>2213</v>
      </c>
      <c r="K1050" s="4">
        <v>9.17647803548E11</v>
      </c>
      <c r="L1050" s="4" t="s">
        <v>67</v>
      </c>
      <c r="M1050" s="4" t="b">
        <v>0</v>
      </c>
      <c r="N1050" s="4" t="s">
        <v>68</v>
      </c>
      <c r="O1050" s="4" t="s">
        <v>69</v>
      </c>
      <c r="P1050" s="6">
        <v>44313.834872685184</v>
      </c>
      <c r="Q1050" s="4">
        <v>17376.0</v>
      </c>
      <c r="R1050" s="4"/>
      <c r="S1050" s="4"/>
      <c r="T1050" s="4"/>
      <c r="U1050" s="8"/>
      <c r="V1050" s="4"/>
      <c r="W1050" s="4"/>
      <c r="X1050" s="4"/>
      <c r="Y1050" s="4"/>
      <c r="Z1050" s="4"/>
      <c r="AA1050" s="5"/>
      <c r="AB1050" s="5"/>
      <c r="AC1050" s="5"/>
      <c r="AD1050" s="5"/>
      <c r="AE1050" s="5"/>
    </row>
    <row r="1051">
      <c r="A1051" s="4" t="s">
        <v>2214</v>
      </c>
      <c r="B1051" s="4"/>
      <c r="C1051" s="4" t="s">
        <v>1104</v>
      </c>
      <c r="D1051" s="4">
        <v>49993.0</v>
      </c>
      <c r="E1051" s="4"/>
      <c r="F1051" s="4" t="s">
        <v>149</v>
      </c>
      <c r="G1051" s="4">
        <v>199.0</v>
      </c>
      <c r="H1051" s="4"/>
      <c r="I1051" s="4">
        <v>199.0</v>
      </c>
      <c r="J1051" s="4" t="s">
        <v>2215</v>
      </c>
      <c r="K1051" s="4">
        <v>9.19354467454E11</v>
      </c>
      <c r="L1051" s="4" t="s">
        <v>67</v>
      </c>
      <c r="M1051" s="4" t="b">
        <v>0</v>
      </c>
      <c r="N1051" s="4" t="s">
        <v>68</v>
      </c>
      <c r="O1051" s="4" t="s">
        <v>69</v>
      </c>
      <c r="P1051" s="6">
        <v>44313.83679398148</v>
      </c>
      <c r="Q1051" s="4" t="s">
        <v>83</v>
      </c>
      <c r="R1051" s="4"/>
      <c r="S1051" s="4"/>
      <c r="T1051" s="4"/>
      <c r="U1051" s="7"/>
      <c r="V1051" s="4"/>
      <c r="W1051" s="4"/>
      <c r="X1051" s="4"/>
      <c r="Y1051" s="4"/>
      <c r="Z1051" s="4"/>
      <c r="AA1051" s="5"/>
      <c r="AB1051" s="5"/>
      <c r="AC1051" s="5"/>
      <c r="AD1051" s="5"/>
      <c r="AE1051" s="5"/>
    </row>
    <row r="1052">
      <c r="A1052" s="4" t="s">
        <v>2216</v>
      </c>
      <c r="B1052" s="4"/>
      <c r="C1052" s="4" t="s">
        <v>2161</v>
      </c>
      <c r="D1052" s="4">
        <v>49854.0</v>
      </c>
      <c r="E1052" s="4"/>
      <c r="F1052" s="4" t="s">
        <v>85</v>
      </c>
      <c r="G1052" s="4">
        <v>599.0</v>
      </c>
      <c r="H1052" s="4"/>
      <c r="I1052" s="4">
        <v>599.0</v>
      </c>
      <c r="J1052" s="4" t="s">
        <v>2174</v>
      </c>
      <c r="K1052" s="4">
        <v>9.19326969984E11</v>
      </c>
      <c r="L1052" s="4" t="s">
        <v>67</v>
      </c>
      <c r="M1052" s="4" t="b">
        <v>0</v>
      </c>
      <c r="N1052" s="4" t="s">
        <v>74</v>
      </c>
      <c r="O1052" s="4" t="s">
        <v>69</v>
      </c>
      <c r="P1052" s="6">
        <v>44302.637025462966</v>
      </c>
      <c r="Q1052" s="4">
        <v>3000.0</v>
      </c>
      <c r="R1052" s="4"/>
      <c r="S1052" s="4"/>
      <c r="T1052" s="4"/>
      <c r="U1052" s="7"/>
      <c r="V1052" s="4"/>
      <c r="W1052" s="4"/>
      <c r="X1052" s="4"/>
      <c r="Y1052" s="4"/>
      <c r="Z1052" s="4"/>
      <c r="AA1052" s="5"/>
      <c r="AB1052" s="5"/>
      <c r="AC1052" s="5"/>
      <c r="AD1052" s="5"/>
      <c r="AE1052" s="5"/>
    </row>
    <row r="1053">
      <c r="A1053" s="4" t="s">
        <v>2217</v>
      </c>
      <c r="B1053" s="4"/>
      <c r="C1053" s="4" t="s">
        <v>1979</v>
      </c>
      <c r="D1053" s="4">
        <v>50030.0</v>
      </c>
      <c r="E1053" s="4"/>
      <c r="F1053" s="4" t="s">
        <v>1437</v>
      </c>
      <c r="G1053" s="4">
        <v>99.0</v>
      </c>
      <c r="H1053" s="4"/>
      <c r="I1053" s="4">
        <v>99.0</v>
      </c>
      <c r="J1053" s="4" t="s">
        <v>2218</v>
      </c>
      <c r="K1053" s="4">
        <v>9.18879437553E11</v>
      </c>
      <c r="L1053" s="4" t="s">
        <v>67</v>
      </c>
      <c r="M1053" s="4" t="b">
        <v>0</v>
      </c>
      <c r="N1053" s="4" t="s">
        <v>97</v>
      </c>
      <c r="O1053" s="4" t="s">
        <v>69</v>
      </c>
      <c r="P1053" s="6">
        <v>44313.87458333333</v>
      </c>
      <c r="Q1053" s="4" t="s">
        <v>83</v>
      </c>
      <c r="R1053" s="4"/>
      <c r="S1053" s="4"/>
      <c r="T1053" s="4"/>
      <c r="U1053" s="7"/>
      <c r="V1053" s="4"/>
      <c r="W1053" s="4"/>
      <c r="X1053" s="4"/>
      <c r="Y1053" s="4"/>
      <c r="Z1053" s="4"/>
      <c r="AA1053" s="5"/>
      <c r="AB1053" s="5"/>
      <c r="AC1053" s="5"/>
      <c r="AD1053" s="5"/>
      <c r="AE1053" s="5"/>
    </row>
    <row r="1054">
      <c r="A1054" s="4" t="s">
        <v>2219</v>
      </c>
      <c r="B1054" s="4"/>
      <c r="C1054" s="4" t="s">
        <v>76</v>
      </c>
      <c r="D1054" s="4">
        <v>49834.0</v>
      </c>
      <c r="E1054" s="4"/>
      <c r="F1054" s="4" t="s">
        <v>77</v>
      </c>
      <c r="G1054" s="4">
        <v>349.0</v>
      </c>
      <c r="H1054" s="4"/>
      <c r="I1054" s="4">
        <v>349.0</v>
      </c>
      <c r="J1054" s="4" t="s">
        <v>2220</v>
      </c>
      <c r="K1054" s="4">
        <v>9.19886195506E11</v>
      </c>
      <c r="L1054" s="4" t="s">
        <v>67</v>
      </c>
      <c r="M1054" s="4" t="b">
        <v>0</v>
      </c>
      <c r="N1054" s="4" t="s">
        <v>97</v>
      </c>
      <c r="O1054" s="4" t="s">
        <v>69</v>
      </c>
      <c r="P1054" s="6">
        <v>44313.88408564815</v>
      </c>
      <c r="Q1054" s="4">
        <v>17379.0</v>
      </c>
      <c r="R1054" s="4"/>
      <c r="S1054" s="4"/>
      <c r="T1054" s="4"/>
      <c r="U1054" s="8"/>
      <c r="V1054" s="4"/>
      <c r="W1054" s="4"/>
      <c r="X1054" s="4"/>
      <c r="Y1054" s="4"/>
      <c r="Z1054" s="4"/>
      <c r="AA1054" s="5"/>
      <c r="AB1054" s="5"/>
      <c r="AC1054" s="5"/>
      <c r="AD1054" s="5"/>
      <c r="AE1054" s="5"/>
    </row>
    <row r="1055">
      <c r="A1055" s="4" t="s">
        <v>2221</v>
      </c>
      <c r="B1055" s="4"/>
      <c r="C1055" s="4" t="s">
        <v>1476</v>
      </c>
      <c r="D1055" s="4">
        <v>50009.0</v>
      </c>
      <c r="E1055" s="4"/>
      <c r="F1055" s="4" t="s">
        <v>149</v>
      </c>
      <c r="G1055" s="4">
        <v>99.0</v>
      </c>
      <c r="H1055" s="4"/>
      <c r="I1055" s="4">
        <v>99.0</v>
      </c>
      <c r="J1055" s="4" t="s">
        <v>2222</v>
      </c>
      <c r="K1055" s="4">
        <v>9.184740697E11</v>
      </c>
      <c r="L1055" s="4" t="s">
        <v>67</v>
      </c>
      <c r="M1055" s="4" t="b">
        <v>0</v>
      </c>
      <c r="N1055" s="4" t="s">
        <v>68</v>
      </c>
      <c r="O1055" s="4" t="s">
        <v>69</v>
      </c>
      <c r="P1055" s="6">
        <v>44313.89368055556</v>
      </c>
      <c r="Q1055" s="4" t="s">
        <v>83</v>
      </c>
      <c r="R1055" s="4"/>
      <c r="S1055" s="4"/>
      <c r="T1055" s="4"/>
      <c r="U1055" s="7"/>
      <c r="V1055" s="4"/>
      <c r="W1055" s="4"/>
      <c r="X1055" s="4"/>
      <c r="Y1055" s="4"/>
      <c r="Z1055" s="4"/>
      <c r="AA1055" s="5"/>
      <c r="AB1055" s="5"/>
      <c r="AC1055" s="5"/>
      <c r="AD1055" s="5"/>
      <c r="AE1055" s="5"/>
    </row>
    <row r="1056">
      <c r="A1056" s="4" t="s">
        <v>2223</v>
      </c>
      <c r="B1056" s="4"/>
      <c r="C1056" s="4" t="s">
        <v>2161</v>
      </c>
      <c r="D1056" s="4">
        <v>49854.0</v>
      </c>
      <c r="E1056" s="4"/>
      <c r="F1056" s="4" t="s">
        <v>85</v>
      </c>
      <c r="G1056" s="4">
        <v>599.0</v>
      </c>
      <c r="H1056" s="4"/>
      <c r="I1056" s="4">
        <v>599.0</v>
      </c>
      <c r="J1056" s="4" t="s">
        <v>2224</v>
      </c>
      <c r="K1056" s="4">
        <v>9.1976877304E11</v>
      </c>
      <c r="L1056" s="4" t="s">
        <v>67</v>
      </c>
      <c r="M1056" s="4" t="b">
        <v>0</v>
      </c>
      <c r="N1056" s="4" t="s">
        <v>68</v>
      </c>
      <c r="O1056" s="4" t="s">
        <v>69</v>
      </c>
      <c r="P1056" s="6">
        <v>44305.40875</v>
      </c>
      <c r="Q1056" s="4">
        <v>17978.0</v>
      </c>
      <c r="R1056" s="4"/>
      <c r="S1056" s="4"/>
      <c r="T1056" s="4"/>
      <c r="U1056" s="7"/>
      <c r="V1056" s="4"/>
      <c r="W1056" s="4"/>
      <c r="X1056" s="4"/>
      <c r="Y1056" s="4"/>
      <c r="Z1056" s="4"/>
      <c r="AA1056" s="5"/>
      <c r="AB1056" s="5"/>
      <c r="AC1056" s="5"/>
      <c r="AD1056" s="5"/>
      <c r="AE1056" s="5"/>
    </row>
    <row r="1057">
      <c r="A1057" s="4" t="s">
        <v>2225</v>
      </c>
      <c r="B1057" s="4"/>
      <c r="C1057" s="4" t="s">
        <v>1476</v>
      </c>
      <c r="D1057" s="4">
        <v>50009.0</v>
      </c>
      <c r="E1057" s="4"/>
      <c r="F1057" s="4" t="s">
        <v>149</v>
      </c>
      <c r="G1057" s="4">
        <v>99.0</v>
      </c>
      <c r="H1057" s="4"/>
      <c r="I1057" s="4">
        <v>99.0</v>
      </c>
      <c r="J1057" s="4" t="s">
        <v>2226</v>
      </c>
      <c r="K1057" s="4">
        <v>9.19743637608E11</v>
      </c>
      <c r="L1057" s="4" t="s">
        <v>67</v>
      </c>
      <c r="M1057" s="4" t="b">
        <v>0</v>
      </c>
      <c r="N1057" s="4" t="s">
        <v>74</v>
      </c>
      <c r="O1057" s="4" t="s">
        <v>69</v>
      </c>
      <c r="P1057" s="6">
        <v>44313.91118055556</v>
      </c>
      <c r="Q1057" s="4" t="s">
        <v>83</v>
      </c>
      <c r="R1057" s="4"/>
      <c r="S1057" s="4"/>
      <c r="T1057" s="4"/>
      <c r="U1057" s="7"/>
      <c r="V1057" s="4"/>
      <c r="W1057" s="4"/>
      <c r="X1057" s="4"/>
      <c r="Y1057" s="4"/>
      <c r="Z1057" s="4"/>
      <c r="AA1057" s="5"/>
      <c r="AB1057" s="5"/>
      <c r="AC1057" s="5"/>
      <c r="AD1057" s="5"/>
      <c r="AE1057" s="5"/>
    </row>
    <row r="1058">
      <c r="A1058" s="4" t="s">
        <v>2227</v>
      </c>
      <c r="B1058" s="4"/>
      <c r="C1058" s="4" t="s">
        <v>2161</v>
      </c>
      <c r="D1058" s="4">
        <v>49854.0</v>
      </c>
      <c r="E1058" s="4"/>
      <c r="F1058" s="4" t="s">
        <v>85</v>
      </c>
      <c r="G1058" s="4">
        <v>599.0</v>
      </c>
      <c r="H1058" s="4"/>
      <c r="I1058" s="4">
        <v>599.0</v>
      </c>
      <c r="J1058" s="4" t="s">
        <v>2228</v>
      </c>
      <c r="K1058" s="4">
        <v>9.19704013777E11</v>
      </c>
      <c r="L1058" s="4" t="s">
        <v>67</v>
      </c>
      <c r="M1058" s="4" t="b">
        <v>0</v>
      </c>
      <c r="N1058" s="4" t="s">
        <v>68</v>
      </c>
      <c r="O1058" s="4" t="s">
        <v>69</v>
      </c>
      <c r="P1058" s="6">
        <v>44306.33550925926</v>
      </c>
      <c r="Q1058" s="4">
        <v>17884.0</v>
      </c>
      <c r="R1058" s="4"/>
      <c r="S1058" s="4"/>
      <c r="T1058" s="4"/>
      <c r="U1058" s="7"/>
      <c r="V1058" s="4"/>
      <c r="W1058" s="4"/>
      <c r="X1058" s="4"/>
      <c r="Y1058" s="4"/>
      <c r="Z1058" s="4"/>
      <c r="AA1058" s="5"/>
      <c r="AB1058" s="5"/>
      <c r="AC1058" s="5"/>
      <c r="AD1058" s="5"/>
      <c r="AE1058" s="5"/>
    </row>
    <row r="1059">
      <c r="A1059" s="4" t="s">
        <v>2229</v>
      </c>
      <c r="B1059" s="4"/>
      <c r="C1059" s="4" t="s">
        <v>1932</v>
      </c>
      <c r="D1059" s="4">
        <v>50041.0</v>
      </c>
      <c r="E1059" s="4"/>
      <c r="F1059" s="4" t="s">
        <v>1442</v>
      </c>
      <c r="G1059" s="4">
        <v>199.0</v>
      </c>
      <c r="H1059" s="4"/>
      <c r="I1059" s="4">
        <v>199.0</v>
      </c>
      <c r="J1059" s="4" t="s">
        <v>2230</v>
      </c>
      <c r="K1059" s="4">
        <v>9.19880060213E11</v>
      </c>
      <c r="L1059" s="4" t="s">
        <v>67</v>
      </c>
      <c r="M1059" s="4" t="b">
        <v>0</v>
      </c>
      <c r="N1059" s="4" t="s">
        <v>68</v>
      </c>
      <c r="O1059" s="4" t="s">
        <v>69</v>
      </c>
      <c r="P1059" s="6">
        <v>44313.92172453704</v>
      </c>
      <c r="Q1059" s="4">
        <v>18509.0</v>
      </c>
      <c r="R1059" s="4"/>
      <c r="S1059" s="4"/>
      <c r="T1059" s="4"/>
      <c r="U1059" s="7"/>
      <c r="V1059" s="4"/>
      <c r="W1059" s="4"/>
      <c r="X1059" s="4"/>
      <c r="Y1059" s="4"/>
      <c r="Z1059" s="4"/>
      <c r="AA1059" s="5"/>
      <c r="AB1059" s="5"/>
      <c r="AC1059" s="5"/>
      <c r="AD1059" s="5"/>
      <c r="AE1059" s="5"/>
    </row>
    <row r="1060">
      <c r="A1060" s="4" t="s">
        <v>2231</v>
      </c>
      <c r="B1060" s="4"/>
      <c r="C1060" s="4" t="s">
        <v>76</v>
      </c>
      <c r="D1060" s="4">
        <v>49834.0</v>
      </c>
      <c r="E1060" s="4"/>
      <c r="F1060" s="4" t="s">
        <v>85</v>
      </c>
      <c r="G1060" s="4">
        <v>199.0</v>
      </c>
      <c r="H1060" s="4"/>
      <c r="I1060" s="4">
        <v>199.0</v>
      </c>
      <c r="J1060" s="4" t="s">
        <v>2232</v>
      </c>
      <c r="K1060" s="4">
        <v>9.19867648143E11</v>
      </c>
      <c r="L1060" s="4" t="s">
        <v>67</v>
      </c>
      <c r="M1060" s="4" t="b">
        <v>0</v>
      </c>
      <c r="N1060" s="4" t="s">
        <v>74</v>
      </c>
      <c r="O1060" s="4" t="s">
        <v>69</v>
      </c>
      <c r="P1060" s="6">
        <v>44313.986805555556</v>
      </c>
      <c r="Q1060" s="4">
        <v>17383.0</v>
      </c>
      <c r="R1060" s="4"/>
      <c r="S1060" s="4"/>
      <c r="T1060" s="4"/>
      <c r="U1060" s="7"/>
      <c r="V1060" s="4"/>
      <c r="W1060" s="4"/>
      <c r="X1060" s="4"/>
      <c r="Y1060" s="4"/>
      <c r="Z1060" s="4"/>
      <c r="AA1060" s="5"/>
      <c r="AB1060" s="5"/>
      <c r="AC1060" s="5"/>
      <c r="AD1060" s="5"/>
      <c r="AE1060" s="5"/>
    </row>
    <row r="1061">
      <c r="A1061" s="4" t="s">
        <v>2233</v>
      </c>
      <c r="B1061" s="4"/>
      <c r="C1061" s="4" t="s">
        <v>1476</v>
      </c>
      <c r="D1061" s="4">
        <v>50009.0</v>
      </c>
      <c r="E1061" s="4"/>
      <c r="F1061" s="4" t="s">
        <v>149</v>
      </c>
      <c r="G1061" s="4">
        <v>99.0</v>
      </c>
      <c r="H1061" s="4"/>
      <c r="I1061" s="4">
        <v>99.0</v>
      </c>
      <c r="J1061" s="4" t="s">
        <v>2234</v>
      </c>
      <c r="K1061" s="4">
        <v>9.17976479549E11</v>
      </c>
      <c r="L1061" s="4" t="s">
        <v>67</v>
      </c>
      <c r="M1061" s="4" t="b">
        <v>0</v>
      </c>
      <c r="N1061" s="4" t="s">
        <v>68</v>
      </c>
      <c r="O1061" s="4" t="s">
        <v>69</v>
      </c>
      <c r="P1061" s="6">
        <v>44313.99363425926</v>
      </c>
      <c r="Q1061" s="4">
        <v>17384.0</v>
      </c>
      <c r="R1061" s="4"/>
      <c r="S1061" s="4"/>
      <c r="T1061" s="4"/>
      <c r="U1061" s="7"/>
      <c r="V1061" s="4"/>
      <c r="W1061" s="4"/>
      <c r="X1061" s="4"/>
      <c r="Y1061" s="4"/>
      <c r="Z1061" s="4"/>
      <c r="AA1061" s="5"/>
      <c r="AB1061" s="5"/>
      <c r="AC1061" s="5"/>
      <c r="AD1061" s="5"/>
      <c r="AE1061" s="5"/>
    </row>
    <row r="1062">
      <c r="A1062" s="4" t="s">
        <v>2235</v>
      </c>
      <c r="B1062" s="4"/>
      <c r="C1062" s="4" t="s">
        <v>1982</v>
      </c>
      <c r="D1062" s="4">
        <v>50032.0</v>
      </c>
      <c r="E1062" s="4"/>
      <c r="F1062" s="4" t="s">
        <v>85</v>
      </c>
      <c r="G1062" s="4">
        <v>199.0</v>
      </c>
      <c r="H1062" s="4"/>
      <c r="I1062" s="4">
        <v>199.0</v>
      </c>
      <c r="J1062" s="4" t="s">
        <v>440</v>
      </c>
      <c r="K1062" s="4">
        <v>9.18860250737E11</v>
      </c>
      <c r="L1062" s="4" t="s">
        <v>67</v>
      </c>
      <c r="M1062" s="4" t="b">
        <v>0</v>
      </c>
      <c r="N1062" s="4" t="s">
        <v>74</v>
      </c>
      <c r="O1062" s="4" t="s">
        <v>69</v>
      </c>
      <c r="P1062" s="6">
        <v>44314.01430555555</v>
      </c>
      <c r="Q1062" s="4">
        <v>16434.0</v>
      </c>
      <c r="R1062" s="4"/>
      <c r="S1062" s="4"/>
      <c r="T1062" s="4"/>
      <c r="U1062" s="7"/>
      <c r="V1062" s="4"/>
      <c r="W1062" s="4"/>
      <c r="X1062" s="4"/>
      <c r="Y1062" s="4"/>
      <c r="Z1062" s="4"/>
      <c r="AA1062" s="5"/>
      <c r="AB1062" s="5"/>
      <c r="AC1062" s="5"/>
      <c r="AD1062" s="5"/>
      <c r="AE1062" s="5"/>
    </row>
    <row r="1063">
      <c r="A1063" s="4" t="s">
        <v>2236</v>
      </c>
      <c r="B1063" s="4"/>
      <c r="C1063" s="4" t="s">
        <v>184</v>
      </c>
      <c r="D1063" s="4">
        <v>49833.0</v>
      </c>
      <c r="E1063" s="4"/>
      <c r="F1063" s="4" t="s">
        <v>149</v>
      </c>
      <c r="G1063" s="4">
        <v>199.0</v>
      </c>
      <c r="H1063" s="4"/>
      <c r="I1063" s="4">
        <v>199.0</v>
      </c>
      <c r="J1063" s="4" t="s">
        <v>2237</v>
      </c>
      <c r="K1063" s="4">
        <v>9.17619325009E11</v>
      </c>
      <c r="L1063" s="4" t="s">
        <v>67</v>
      </c>
      <c r="M1063" s="4" t="b">
        <v>0</v>
      </c>
      <c r="N1063" s="4" t="s">
        <v>68</v>
      </c>
      <c r="O1063" s="4" t="s">
        <v>69</v>
      </c>
      <c r="P1063" s="6">
        <v>44314.01609953704</v>
      </c>
      <c r="Q1063" s="4" t="s">
        <v>83</v>
      </c>
      <c r="R1063" s="4"/>
      <c r="S1063" s="4"/>
      <c r="T1063" s="4"/>
      <c r="U1063" s="7"/>
      <c r="V1063" s="4"/>
      <c r="W1063" s="4"/>
      <c r="X1063" s="4"/>
      <c r="Y1063" s="4"/>
      <c r="Z1063" s="4"/>
      <c r="AA1063" s="5"/>
      <c r="AB1063" s="5"/>
      <c r="AC1063" s="5"/>
      <c r="AD1063" s="5"/>
      <c r="AE1063" s="5"/>
    </row>
    <row r="1064">
      <c r="A1064" s="4" t="s">
        <v>2238</v>
      </c>
      <c r="B1064" s="4"/>
      <c r="C1064" s="4" t="s">
        <v>184</v>
      </c>
      <c r="D1064" s="4">
        <v>49833.0</v>
      </c>
      <c r="E1064" s="4"/>
      <c r="F1064" s="4" t="s">
        <v>77</v>
      </c>
      <c r="G1064" s="4">
        <v>499.0</v>
      </c>
      <c r="H1064" s="4"/>
      <c r="I1064" s="4">
        <v>499.0</v>
      </c>
      <c r="J1064" s="4" t="s">
        <v>2239</v>
      </c>
      <c r="K1064" s="4">
        <v>9.19953057357E11</v>
      </c>
      <c r="L1064" s="4" t="s">
        <v>67</v>
      </c>
      <c r="M1064" s="4" t="b">
        <v>0</v>
      </c>
      <c r="N1064" s="4" t="s">
        <v>68</v>
      </c>
      <c r="O1064" s="4" t="s">
        <v>69</v>
      </c>
      <c r="P1064" s="6">
        <v>44314.04054398148</v>
      </c>
      <c r="Q1064" s="4">
        <v>17386.0</v>
      </c>
      <c r="R1064" s="4"/>
      <c r="S1064" s="4"/>
      <c r="T1064" s="4"/>
      <c r="U1064" s="8"/>
      <c r="V1064" s="4"/>
      <c r="W1064" s="4"/>
      <c r="X1064" s="4"/>
      <c r="Y1064" s="4"/>
      <c r="Z1064" s="4"/>
      <c r="AA1064" s="5"/>
      <c r="AB1064" s="5"/>
      <c r="AC1064" s="5"/>
      <c r="AD1064" s="5"/>
      <c r="AE1064" s="5"/>
    </row>
    <row r="1065">
      <c r="A1065" s="4" t="s">
        <v>2240</v>
      </c>
      <c r="B1065" s="4"/>
      <c r="C1065" s="4" t="s">
        <v>960</v>
      </c>
      <c r="D1065" s="4">
        <v>49834.0</v>
      </c>
      <c r="E1065" s="4"/>
      <c r="F1065" s="4" t="s">
        <v>149</v>
      </c>
      <c r="G1065" s="4">
        <v>99.0</v>
      </c>
      <c r="H1065" s="4"/>
      <c r="I1065" s="4">
        <v>99.0</v>
      </c>
      <c r="J1065" s="4" t="s">
        <v>2241</v>
      </c>
      <c r="K1065" s="4">
        <v>9.17485873484E11</v>
      </c>
      <c r="L1065" s="4" t="s">
        <v>67</v>
      </c>
      <c r="M1065" s="4" t="b">
        <v>0</v>
      </c>
      <c r="N1065" s="4" t="s">
        <v>68</v>
      </c>
      <c r="O1065" s="4" t="s">
        <v>69</v>
      </c>
      <c r="P1065" s="6">
        <v>44314.23863425926</v>
      </c>
      <c r="Q1065" s="4">
        <v>17387.0</v>
      </c>
      <c r="R1065" s="4"/>
      <c r="S1065" s="4"/>
      <c r="T1065" s="4"/>
      <c r="U1065" s="7"/>
      <c r="V1065" s="4"/>
      <c r="W1065" s="4"/>
      <c r="X1065" s="4"/>
      <c r="Y1065" s="4"/>
      <c r="Z1065" s="4"/>
      <c r="AA1065" s="5"/>
      <c r="AB1065" s="5"/>
      <c r="AC1065" s="5"/>
      <c r="AD1065" s="5"/>
      <c r="AE1065" s="5"/>
    </row>
    <row r="1066">
      <c r="A1066" s="4" t="s">
        <v>2242</v>
      </c>
      <c r="B1066" s="4"/>
      <c r="C1066" s="4" t="s">
        <v>2161</v>
      </c>
      <c r="D1066" s="4">
        <v>49854.0</v>
      </c>
      <c r="E1066" s="4"/>
      <c r="F1066" s="4" t="s">
        <v>85</v>
      </c>
      <c r="G1066" s="4">
        <v>599.0</v>
      </c>
      <c r="H1066" s="4"/>
      <c r="I1066" s="4">
        <v>599.0</v>
      </c>
      <c r="J1066" s="4" t="s">
        <v>2243</v>
      </c>
      <c r="K1066" s="4">
        <v>9.18529478929E11</v>
      </c>
      <c r="L1066" s="4" t="s">
        <v>67</v>
      </c>
      <c r="M1066" s="4" t="b">
        <v>0</v>
      </c>
      <c r="N1066" s="4" t="s">
        <v>68</v>
      </c>
      <c r="O1066" s="4" t="s">
        <v>69</v>
      </c>
      <c r="P1066" s="6">
        <v>44306.47991898148</v>
      </c>
      <c r="Q1066" s="4">
        <v>17762.0</v>
      </c>
      <c r="R1066" s="4"/>
      <c r="S1066" s="4"/>
      <c r="T1066" s="4"/>
      <c r="U1066" s="7"/>
      <c r="V1066" s="4"/>
      <c r="W1066" s="4"/>
      <c r="X1066" s="4"/>
      <c r="Y1066" s="4"/>
      <c r="Z1066" s="4"/>
      <c r="AA1066" s="5"/>
      <c r="AB1066" s="5"/>
      <c r="AC1066" s="5"/>
      <c r="AD1066" s="5"/>
      <c r="AE1066" s="5"/>
    </row>
    <row r="1067">
      <c r="A1067" s="4" t="s">
        <v>2244</v>
      </c>
      <c r="B1067" s="4"/>
      <c r="C1067" s="4" t="s">
        <v>1133</v>
      </c>
      <c r="D1067" s="4">
        <v>49859.0</v>
      </c>
      <c r="E1067" s="4"/>
      <c r="F1067" s="4" t="s">
        <v>85</v>
      </c>
      <c r="G1067" s="4">
        <v>199.0</v>
      </c>
      <c r="H1067" s="4"/>
      <c r="I1067" s="4">
        <v>199.0</v>
      </c>
      <c r="J1067" s="4" t="s">
        <v>2245</v>
      </c>
      <c r="K1067" s="4">
        <v>9.19398715714E11</v>
      </c>
      <c r="L1067" s="4" t="s">
        <v>67</v>
      </c>
      <c r="M1067" s="4" t="b">
        <v>0</v>
      </c>
      <c r="N1067" s="4" t="s">
        <v>68</v>
      </c>
      <c r="O1067" s="4" t="s">
        <v>69</v>
      </c>
      <c r="P1067" s="6">
        <v>44314.348125</v>
      </c>
      <c r="Q1067" s="4">
        <v>17390.0</v>
      </c>
      <c r="R1067" s="4"/>
      <c r="S1067" s="4"/>
      <c r="T1067" s="4"/>
      <c r="U1067" s="7"/>
      <c r="V1067" s="4"/>
      <c r="W1067" s="4"/>
      <c r="X1067" s="4"/>
      <c r="Y1067" s="4"/>
      <c r="Z1067" s="4"/>
      <c r="AA1067" s="5"/>
      <c r="AB1067" s="5"/>
      <c r="AC1067" s="5"/>
      <c r="AD1067" s="5"/>
      <c r="AE1067" s="5"/>
    </row>
    <row r="1068">
      <c r="A1068" s="4" t="s">
        <v>2246</v>
      </c>
      <c r="B1068" s="4"/>
      <c r="C1068" s="4" t="s">
        <v>1059</v>
      </c>
      <c r="D1068" s="4">
        <v>49997.0</v>
      </c>
      <c r="E1068" s="4"/>
      <c r="F1068" s="4" t="s">
        <v>85</v>
      </c>
      <c r="G1068" s="4">
        <v>199.0</v>
      </c>
      <c r="H1068" s="4"/>
      <c r="I1068" s="4">
        <v>199.0</v>
      </c>
      <c r="J1068" s="4" t="s">
        <v>2247</v>
      </c>
      <c r="K1068" s="4">
        <v>9.19902687417E11</v>
      </c>
      <c r="L1068" s="4" t="s">
        <v>67</v>
      </c>
      <c r="M1068" s="4" t="b">
        <v>0</v>
      </c>
      <c r="N1068" s="4" t="s">
        <v>68</v>
      </c>
      <c r="O1068" s="4" t="s">
        <v>69</v>
      </c>
      <c r="P1068" s="6">
        <v>44314.36678240741</v>
      </c>
      <c r="Q1068" s="4">
        <v>17477.0</v>
      </c>
      <c r="R1068" s="4"/>
      <c r="S1068" s="4"/>
      <c r="T1068" s="4"/>
      <c r="U1068" s="7"/>
      <c r="V1068" s="4"/>
      <c r="W1068" s="4"/>
      <c r="X1068" s="4"/>
      <c r="Y1068" s="4"/>
      <c r="Z1068" s="4"/>
      <c r="AA1068" s="5"/>
      <c r="AB1068" s="5"/>
      <c r="AC1068" s="5"/>
      <c r="AD1068" s="5"/>
      <c r="AE1068" s="5"/>
    </row>
    <row r="1069">
      <c r="A1069" s="4" t="s">
        <v>2248</v>
      </c>
      <c r="B1069" s="4"/>
      <c r="C1069" s="4" t="s">
        <v>1932</v>
      </c>
      <c r="D1069" s="4">
        <v>50041.0</v>
      </c>
      <c r="E1069" s="4"/>
      <c r="F1069" s="4" t="s">
        <v>1437</v>
      </c>
      <c r="G1069" s="4">
        <v>99.0</v>
      </c>
      <c r="H1069" s="4"/>
      <c r="I1069" s="4">
        <v>99.0</v>
      </c>
      <c r="J1069" s="4" t="s">
        <v>2249</v>
      </c>
      <c r="K1069" s="4">
        <v>9.19326794614E11</v>
      </c>
      <c r="L1069" s="4" t="s">
        <v>67</v>
      </c>
      <c r="M1069" s="4" t="b">
        <v>0</v>
      </c>
      <c r="N1069" s="4" t="s">
        <v>68</v>
      </c>
      <c r="O1069" s="4" t="s">
        <v>69</v>
      </c>
      <c r="P1069" s="6">
        <v>44314.38</v>
      </c>
      <c r="Q1069" s="4">
        <v>17570.0</v>
      </c>
      <c r="R1069" s="4"/>
      <c r="S1069" s="4"/>
      <c r="T1069" s="4"/>
      <c r="U1069" s="7"/>
      <c r="V1069" s="4"/>
      <c r="W1069" s="4"/>
      <c r="X1069" s="4"/>
      <c r="Y1069" s="4"/>
      <c r="Z1069" s="4"/>
      <c r="AA1069" s="5"/>
      <c r="AB1069" s="5"/>
      <c r="AC1069" s="5"/>
      <c r="AD1069" s="5"/>
      <c r="AE1069" s="5"/>
    </row>
    <row r="1070">
      <c r="A1070" s="4" t="s">
        <v>2250</v>
      </c>
      <c r="B1070" s="4"/>
      <c r="C1070" s="4" t="s">
        <v>2161</v>
      </c>
      <c r="D1070" s="4">
        <v>49854.0</v>
      </c>
      <c r="E1070" s="4"/>
      <c r="F1070" s="4" t="s">
        <v>85</v>
      </c>
      <c r="G1070" s="4">
        <v>599.0</v>
      </c>
      <c r="H1070" s="4"/>
      <c r="I1070" s="4">
        <v>599.0</v>
      </c>
      <c r="J1070" s="4" t="s">
        <v>2251</v>
      </c>
      <c r="K1070" s="4">
        <v>9.19701275378E11</v>
      </c>
      <c r="L1070" s="4" t="s">
        <v>67</v>
      </c>
      <c r="M1070" s="4" t="b">
        <v>0</v>
      </c>
      <c r="N1070" s="4" t="s">
        <v>68</v>
      </c>
      <c r="O1070" s="4" t="s">
        <v>69</v>
      </c>
      <c r="P1070" s="6">
        <v>44306.78028935185</v>
      </c>
      <c r="Q1070" s="4">
        <v>17036.0</v>
      </c>
      <c r="R1070" s="4"/>
      <c r="S1070" s="4"/>
      <c r="T1070" s="4"/>
      <c r="U1070" s="7"/>
      <c r="V1070" s="4"/>
      <c r="W1070" s="4"/>
      <c r="X1070" s="4"/>
      <c r="Y1070" s="4"/>
      <c r="Z1070" s="4"/>
      <c r="AA1070" s="5"/>
      <c r="AB1070" s="5"/>
      <c r="AC1070" s="5"/>
      <c r="AD1070" s="5"/>
      <c r="AE1070" s="5"/>
    </row>
    <row r="1071">
      <c r="A1071" s="4" t="s">
        <v>2252</v>
      </c>
      <c r="B1071" s="4"/>
      <c r="C1071" s="4" t="s">
        <v>2161</v>
      </c>
      <c r="D1071" s="4">
        <v>49854.0</v>
      </c>
      <c r="E1071" s="4"/>
      <c r="F1071" s="4" t="s">
        <v>85</v>
      </c>
      <c r="G1071" s="4">
        <v>599.0</v>
      </c>
      <c r="H1071" s="4"/>
      <c r="I1071" s="4">
        <v>599.0</v>
      </c>
      <c r="J1071" s="4" t="s">
        <v>2253</v>
      </c>
      <c r="K1071" s="4">
        <v>9.19164258717E11</v>
      </c>
      <c r="L1071" s="4" t="s">
        <v>67</v>
      </c>
      <c r="M1071" s="4" t="b">
        <v>0</v>
      </c>
      <c r="N1071" s="4" t="s">
        <v>68</v>
      </c>
      <c r="O1071" s="4" t="s">
        <v>69</v>
      </c>
      <c r="P1071" s="6">
        <v>44306.8312037037</v>
      </c>
      <c r="Q1071" s="4">
        <v>17760.0</v>
      </c>
      <c r="R1071" s="4"/>
      <c r="S1071" s="4"/>
      <c r="T1071" s="4"/>
      <c r="U1071" s="7"/>
      <c r="V1071" s="4"/>
      <c r="W1071" s="4"/>
      <c r="X1071" s="4"/>
      <c r="Y1071" s="4"/>
      <c r="Z1071" s="4"/>
      <c r="AA1071" s="5"/>
      <c r="AB1071" s="5"/>
      <c r="AC1071" s="5"/>
      <c r="AD1071" s="5"/>
      <c r="AE1071" s="5"/>
    </row>
    <row r="1072">
      <c r="A1072" s="4" t="s">
        <v>2254</v>
      </c>
      <c r="B1072" s="4"/>
      <c r="C1072" s="4" t="s">
        <v>2161</v>
      </c>
      <c r="D1072" s="4">
        <v>49854.0</v>
      </c>
      <c r="E1072" s="4"/>
      <c r="F1072" s="4" t="s">
        <v>85</v>
      </c>
      <c r="G1072" s="4">
        <v>599.0</v>
      </c>
      <c r="H1072" s="4"/>
      <c r="I1072" s="4">
        <v>599.0</v>
      </c>
      <c r="J1072" s="4" t="s">
        <v>2255</v>
      </c>
      <c r="K1072" s="4">
        <v>9.18447396003E11</v>
      </c>
      <c r="L1072" s="4" t="s">
        <v>67</v>
      </c>
      <c r="M1072" s="4" t="b">
        <v>0</v>
      </c>
      <c r="N1072" s="4" t="s">
        <v>68</v>
      </c>
      <c r="O1072" s="4" t="s">
        <v>69</v>
      </c>
      <c r="P1072" s="6">
        <v>44306.83789351852</v>
      </c>
      <c r="Q1072" s="4">
        <v>17877.0</v>
      </c>
      <c r="R1072" s="4"/>
      <c r="S1072" s="4"/>
      <c r="T1072" s="4"/>
      <c r="U1072" s="7"/>
      <c r="V1072" s="4"/>
      <c r="W1072" s="4"/>
      <c r="X1072" s="4"/>
      <c r="Y1072" s="4"/>
      <c r="Z1072" s="4"/>
      <c r="AA1072" s="5"/>
      <c r="AB1072" s="5"/>
      <c r="AC1072" s="5"/>
      <c r="AD1072" s="5"/>
      <c r="AE1072" s="5"/>
    </row>
    <row r="1073">
      <c r="A1073" s="4" t="s">
        <v>2256</v>
      </c>
      <c r="B1073" s="4"/>
      <c r="C1073" s="4" t="s">
        <v>2161</v>
      </c>
      <c r="D1073" s="4">
        <v>49854.0</v>
      </c>
      <c r="E1073" s="4"/>
      <c r="F1073" s="4" t="s">
        <v>85</v>
      </c>
      <c r="G1073" s="4">
        <v>599.0</v>
      </c>
      <c r="H1073" s="4"/>
      <c r="I1073" s="4">
        <v>599.0</v>
      </c>
      <c r="J1073" s="4" t="s">
        <v>2257</v>
      </c>
      <c r="K1073" s="4">
        <v>9.19766223901E11</v>
      </c>
      <c r="L1073" s="4" t="s">
        <v>67</v>
      </c>
      <c r="M1073" s="4" t="b">
        <v>0</v>
      </c>
      <c r="N1073" s="4" t="s">
        <v>74</v>
      </c>
      <c r="O1073" s="4" t="s">
        <v>69</v>
      </c>
      <c r="P1073" s="6">
        <v>44306.91991898148</v>
      </c>
      <c r="Q1073" s="4">
        <v>17975.0</v>
      </c>
      <c r="R1073" s="4"/>
      <c r="S1073" s="4"/>
      <c r="T1073" s="4"/>
      <c r="U1073" s="7"/>
      <c r="V1073" s="4"/>
      <c r="W1073" s="4"/>
      <c r="X1073" s="4"/>
      <c r="Y1073" s="4"/>
      <c r="Z1073" s="4"/>
      <c r="AA1073" s="5"/>
      <c r="AB1073" s="5"/>
      <c r="AC1073" s="5"/>
      <c r="AD1073" s="5"/>
      <c r="AE1073" s="5"/>
    </row>
    <row r="1074">
      <c r="A1074" s="4" t="s">
        <v>2258</v>
      </c>
      <c r="B1074" s="4"/>
      <c r="C1074" s="4" t="s">
        <v>184</v>
      </c>
      <c r="D1074" s="4">
        <v>49833.0</v>
      </c>
      <c r="E1074" s="4"/>
      <c r="F1074" s="4" t="s">
        <v>77</v>
      </c>
      <c r="G1074" s="4">
        <v>499.0</v>
      </c>
      <c r="H1074" s="4"/>
      <c r="I1074" s="4">
        <v>499.0</v>
      </c>
      <c r="J1074" s="4" t="s">
        <v>2259</v>
      </c>
      <c r="K1074" s="4">
        <v>9.17982050566E11</v>
      </c>
      <c r="L1074" s="4" t="s">
        <v>67</v>
      </c>
      <c r="M1074" s="4" t="b">
        <v>0</v>
      </c>
      <c r="N1074" s="4" t="s">
        <v>68</v>
      </c>
      <c r="O1074" s="4" t="s">
        <v>69</v>
      </c>
      <c r="P1074" s="6">
        <v>44314.46131944445</v>
      </c>
      <c r="Q1074" s="4">
        <v>17398.0</v>
      </c>
      <c r="R1074" s="4"/>
      <c r="S1074" s="4"/>
      <c r="T1074" s="4"/>
      <c r="U1074" s="8"/>
      <c r="V1074" s="4"/>
      <c r="W1074" s="4"/>
      <c r="X1074" s="4"/>
      <c r="Y1074" s="4"/>
      <c r="Z1074" s="4"/>
      <c r="AA1074" s="5"/>
      <c r="AB1074" s="5"/>
      <c r="AC1074" s="5"/>
      <c r="AD1074" s="5"/>
      <c r="AE1074" s="5"/>
    </row>
    <row r="1075">
      <c r="A1075" s="4" t="s">
        <v>2260</v>
      </c>
      <c r="B1075" s="4"/>
      <c r="C1075" s="4" t="s">
        <v>885</v>
      </c>
      <c r="D1075" s="4">
        <v>49844.0</v>
      </c>
      <c r="E1075" s="4"/>
      <c r="F1075" s="4" t="s">
        <v>77</v>
      </c>
      <c r="G1075" s="4">
        <v>349.0</v>
      </c>
      <c r="H1075" s="4"/>
      <c r="I1075" s="4">
        <v>349.0</v>
      </c>
      <c r="J1075" s="4" t="s">
        <v>2261</v>
      </c>
      <c r="K1075" s="4">
        <v>9.18320598403E11</v>
      </c>
      <c r="L1075" s="4" t="s">
        <v>67</v>
      </c>
      <c r="M1075" s="4" t="b">
        <v>0</v>
      </c>
      <c r="N1075" s="4" t="s">
        <v>97</v>
      </c>
      <c r="O1075" s="4" t="s">
        <v>69</v>
      </c>
      <c r="P1075" s="6">
        <v>44314.49171296296</v>
      </c>
      <c r="Q1075" s="4">
        <v>17437.0</v>
      </c>
      <c r="R1075" s="4"/>
      <c r="S1075" s="4"/>
      <c r="T1075" s="4"/>
      <c r="U1075" s="8"/>
      <c r="V1075" s="4"/>
      <c r="W1075" s="4"/>
      <c r="X1075" s="4"/>
      <c r="Y1075" s="4"/>
      <c r="Z1075" s="4"/>
      <c r="AA1075" s="5"/>
      <c r="AB1075" s="5"/>
      <c r="AC1075" s="5"/>
      <c r="AD1075" s="5"/>
      <c r="AE1075" s="5"/>
    </row>
    <row r="1076">
      <c r="A1076" s="4" t="s">
        <v>2262</v>
      </c>
      <c r="B1076" s="4"/>
      <c r="C1076" s="4" t="s">
        <v>1264</v>
      </c>
      <c r="D1076" s="4">
        <v>49994.0</v>
      </c>
      <c r="E1076" s="4"/>
      <c r="F1076" s="4" t="s">
        <v>149</v>
      </c>
      <c r="G1076" s="4">
        <v>99.0</v>
      </c>
      <c r="H1076" s="4"/>
      <c r="I1076" s="4">
        <v>99.0</v>
      </c>
      <c r="J1076" s="4" t="s">
        <v>2263</v>
      </c>
      <c r="K1076" s="4">
        <v>9.18806344222E11</v>
      </c>
      <c r="L1076" s="4" t="s">
        <v>67</v>
      </c>
      <c r="M1076" s="4" t="b">
        <v>0</v>
      </c>
      <c r="N1076" s="4" t="s">
        <v>68</v>
      </c>
      <c r="O1076" s="4" t="s">
        <v>69</v>
      </c>
      <c r="P1076" s="6">
        <v>44314.49421296296</v>
      </c>
      <c r="Q1076" s="4" t="s">
        <v>83</v>
      </c>
      <c r="R1076" s="4"/>
      <c r="S1076" s="4"/>
      <c r="T1076" s="4"/>
      <c r="U1076" s="7"/>
      <c r="V1076" s="4"/>
      <c r="W1076" s="4"/>
      <c r="X1076" s="4"/>
      <c r="Y1076" s="4"/>
      <c r="Z1076" s="4"/>
      <c r="AA1076" s="5"/>
      <c r="AB1076" s="5"/>
      <c r="AC1076" s="5"/>
      <c r="AD1076" s="5"/>
      <c r="AE1076" s="5"/>
    </row>
    <row r="1077">
      <c r="A1077" s="4" t="s">
        <v>2264</v>
      </c>
      <c r="B1077" s="4"/>
      <c r="C1077" s="4" t="s">
        <v>1727</v>
      </c>
      <c r="D1077" s="4">
        <v>50033.0</v>
      </c>
      <c r="E1077" s="4"/>
      <c r="F1077" s="4" t="s">
        <v>77</v>
      </c>
      <c r="G1077" s="4">
        <v>349.0</v>
      </c>
      <c r="H1077" s="4"/>
      <c r="I1077" s="4">
        <v>349.0</v>
      </c>
      <c r="J1077" s="4" t="s">
        <v>2265</v>
      </c>
      <c r="K1077" s="4">
        <v>9.17338440825E11</v>
      </c>
      <c r="L1077" s="4" t="s">
        <v>67</v>
      </c>
      <c r="M1077" s="4" t="b">
        <v>0</v>
      </c>
      <c r="N1077" s="4" t="s">
        <v>97</v>
      </c>
      <c r="O1077" s="4" t="s">
        <v>69</v>
      </c>
      <c r="P1077" s="6">
        <v>44314.50556712963</v>
      </c>
      <c r="Q1077" s="4">
        <v>17400.0</v>
      </c>
      <c r="R1077" s="4"/>
      <c r="S1077" s="4"/>
      <c r="T1077" s="4"/>
      <c r="U1077" s="8"/>
      <c r="V1077" s="4"/>
      <c r="W1077" s="4"/>
      <c r="X1077" s="4"/>
      <c r="Y1077" s="4"/>
      <c r="Z1077" s="4"/>
      <c r="AA1077" s="5"/>
      <c r="AB1077" s="5"/>
      <c r="AC1077" s="5"/>
      <c r="AD1077" s="5"/>
      <c r="AE1077" s="5"/>
    </row>
    <row r="1078">
      <c r="A1078" s="4" t="s">
        <v>2266</v>
      </c>
      <c r="B1078" s="4"/>
      <c r="C1078" s="4" t="s">
        <v>2161</v>
      </c>
      <c r="D1078" s="4">
        <v>49854.0</v>
      </c>
      <c r="E1078" s="4"/>
      <c r="F1078" s="4" t="s">
        <v>85</v>
      </c>
      <c r="G1078" s="4">
        <v>599.0</v>
      </c>
      <c r="H1078" s="4"/>
      <c r="I1078" s="4">
        <v>599.0</v>
      </c>
      <c r="J1078" s="4" t="s">
        <v>2267</v>
      </c>
      <c r="K1078" s="4">
        <v>9.19419145471E11</v>
      </c>
      <c r="L1078" s="4" t="s">
        <v>67</v>
      </c>
      <c r="M1078" s="4" t="b">
        <v>0</v>
      </c>
      <c r="N1078" s="4" t="s">
        <v>74</v>
      </c>
      <c r="O1078" s="4" t="s">
        <v>69</v>
      </c>
      <c r="P1078" s="6">
        <v>44308.30349537037</v>
      </c>
      <c r="Q1078" s="4">
        <v>17115.0</v>
      </c>
      <c r="R1078" s="4"/>
      <c r="S1078" s="4"/>
      <c r="T1078" s="4"/>
      <c r="U1078" s="7"/>
      <c r="V1078" s="4"/>
      <c r="W1078" s="4"/>
      <c r="X1078" s="4"/>
      <c r="Y1078" s="4"/>
      <c r="Z1078" s="4"/>
      <c r="AA1078" s="5"/>
      <c r="AB1078" s="5"/>
      <c r="AC1078" s="5"/>
      <c r="AD1078" s="5"/>
      <c r="AE1078" s="5"/>
    </row>
    <row r="1079">
      <c r="A1079" s="4" t="s">
        <v>2268</v>
      </c>
      <c r="B1079" s="4"/>
      <c r="C1079" s="4" t="s">
        <v>184</v>
      </c>
      <c r="D1079" s="4">
        <v>49833.0</v>
      </c>
      <c r="E1079" s="4"/>
      <c r="F1079" s="4" t="s">
        <v>85</v>
      </c>
      <c r="G1079" s="4">
        <v>299.0</v>
      </c>
      <c r="H1079" s="4"/>
      <c r="I1079" s="4">
        <v>299.0</v>
      </c>
      <c r="J1079" s="4" t="s">
        <v>2269</v>
      </c>
      <c r="K1079" s="4">
        <v>9.18806307252E11</v>
      </c>
      <c r="L1079" s="4" t="s">
        <v>67</v>
      </c>
      <c r="M1079" s="4" t="b">
        <v>0</v>
      </c>
      <c r="N1079" s="4" t="s">
        <v>68</v>
      </c>
      <c r="O1079" s="4" t="s">
        <v>69</v>
      </c>
      <c r="P1079" s="6">
        <v>44314.55670138889</v>
      </c>
      <c r="Q1079" s="4">
        <v>8829.0</v>
      </c>
      <c r="R1079" s="4"/>
      <c r="S1079" s="4"/>
      <c r="T1079" s="4"/>
      <c r="U1079" s="7"/>
      <c r="V1079" s="4"/>
      <c r="W1079" s="4"/>
      <c r="X1079" s="4"/>
      <c r="Y1079" s="4"/>
      <c r="Z1079" s="4"/>
      <c r="AA1079" s="5"/>
      <c r="AB1079" s="5"/>
      <c r="AC1079" s="5"/>
      <c r="AD1079" s="5"/>
      <c r="AE1079" s="5"/>
    </row>
    <row r="1080">
      <c r="A1080" s="4" t="s">
        <v>2270</v>
      </c>
      <c r="B1080" s="4"/>
      <c r="C1080" s="4" t="s">
        <v>960</v>
      </c>
      <c r="D1080" s="4">
        <v>49834.0</v>
      </c>
      <c r="E1080" s="4"/>
      <c r="F1080" s="4" t="s">
        <v>149</v>
      </c>
      <c r="G1080" s="4">
        <v>99.0</v>
      </c>
      <c r="H1080" s="4"/>
      <c r="I1080" s="4">
        <v>99.0</v>
      </c>
      <c r="J1080" s="4" t="s">
        <v>2271</v>
      </c>
      <c r="K1080" s="4">
        <v>9.17977767463E11</v>
      </c>
      <c r="L1080" s="4" t="s">
        <v>67</v>
      </c>
      <c r="M1080" s="4" t="b">
        <v>0</v>
      </c>
      <c r="N1080" s="4" t="s">
        <v>68</v>
      </c>
      <c r="O1080" s="4" t="s">
        <v>69</v>
      </c>
      <c r="P1080" s="6">
        <v>44314.58278935185</v>
      </c>
      <c r="Q1080" s="4">
        <v>17433.0</v>
      </c>
      <c r="R1080" s="4"/>
      <c r="S1080" s="4"/>
      <c r="T1080" s="4"/>
      <c r="U1080" s="7"/>
      <c r="V1080" s="4"/>
      <c r="W1080" s="4"/>
      <c r="X1080" s="4"/>
      <c r="Y1080" s="4"/>
      <c r="Z1080" s="4"/>
      <c r="AA1080" s="5"/>
      <c r="AB1080" s="5"/>
      <c r="AC1080" s="5"/>
      <c r="AD1080" s="5"/>
      <c r="AE1080" s="5"/>
    </row>
    <row r="1081">
      <c r="A1081" s="4" t="s">
        <v>2272</v>
      </c>
      <c r="B1081" s="4"/>
      <c r="C1081" s="4" t="s">
        <v>2161</v>
      </c>
      <c r="D1081" s="4">
        <v>49854.0</v>
      </c>
      <c r="E1081" s="4"/>
      <c r="F1081" s="4" t="s">
        <v>85</v>
      </c>
      <c r="G1081" s="4">
        <v>599.0</v>
      </c>
      <c r="H1081" s="4"/>
      <c r="I1081" s="4">
        <v>599.0</v>
      </c>
      <c r="J1081" s="4" t="s">
        <v>2273</v>
      </c>
      <c r="K1081" s="4">
        <v>9.18872040017E11</v>
      </c>
      <c r="L1081" s="4" t="s">
        <v>67</v>
      </c>
      <c r="M1081" s="4" t="b">
        <v>0</v>
      </c>
      <c r="N1081" s="4" t="s">
        <v>97</v>
      </c>
      <c r="O1081" s="4" t="s">
        <v>69</v>
      </c>
      <c r="P1081" s="6">
        <v>44308.861921296295</v>
      </c>
      <c r="Q1081" s="4">
        <v>17143.0</v>
      </c>
      <c r="R1081" s="4"/>
      <c r="S1081" s="4"/>
      <c r="T1081" s="4"/>
      <c r="U1081" s="7"/>
      <c r="V1081" s="4"/>
      <c r="W1081" s="4"/>
      <c r="X1081" s="4"/>
      <c r="Y1081" s="4"/>
      <c r="Z1081" s="4"/>
      <c r="AA1081" s="5"/>
      <c r="AB1081" s="5"/>
      <c r="AC1081" s="5"/>
      <c r="AD1081" s="5"/>
      <c r="AE1081" s="5"/>
    </row>
    <row r="1082">
      <c r="A1082" s="4" t="s">
        <v>2274</v>
      </c>
      <c r="B1082" s="4"/>
      <c r="C1082" s="4" t="s">
        <v>1104</v>
      </c>
      <c r="D1082" s="4">
        <v>49993.0</v>
      </c>
      <c r="E1082" s="4"/>
      <c r="F1082" s="4" t="s">
        <v>149</v>
      </c>
      <c r="G1082" s="4">
        <v>199.0</v>
      </c>
      <c r="H1082" s="4"/>
      <c r="I1082" s="4">
        <v>199.0</v>
      </c>
      <c r="J1082" s="4" t="s">
        <v>2275</v>
      </c>
      <c r="K1082" s="4">
        <v>9.18872390679E11</v>
      </c>
      <c r="L1082" s="4" t="s">
        <v>67</v>
      </c>
      <c r="M1082" s="4" t="b">
        <v>0</v>
      </c>
      <c r="N1082" s="4" t="s">
        <v>68</v>
      </c>
      <c r="O1082" s="4" t="s">
        <v>69</v>
      </c>
      <c r="P1082" s="6">
        <v>44314.61460648148</v>
      </c>
      <c r="Q1082" s="4">
        <v>17405.0</v>
      </c>
      <c r="R1082" s="4"/>
      <c r="S1082" s="4"/>
      <c r="T1082" s="4"/>
      <c r="U1082" s="7"/>
      <c r="V1082" s="4"/>
      <c r="W1082" s="4"/>
      <c r="X1082" s="4"/>
      <c r="Y1082" s="4"/>
      <c r="Z1082" s="4"/>
      <c r="AA1082" s="5"/>
      <c r="AB1082" s="5"/>
      <c r="AC1082" s="5"/>
      <c r="AD1082" s="5"/>
      <c r="AE1082" s="5"/>
    </row>
    <row r="1083">
      <c r="A1083" s="4" t="s">
        <v>2276</v>
      </c>
      <c r="B1083" s="4"/>
      <c r="C1083" s="4" t="s">
        <v>858</v>
      </c>
      <c r="D1083" s="4">
        <v>49958.0</v>
      </c>
      <c r="E1083" s="4"/>
      <c r="F1083" s="4" t="s">
        <v>85</v>
      </c>
      <c r="G1083" s="4">
        <v>199.0</v>
      </c>
      <c r="H1083" s="4"/>
      <c r="I1083" s="4">
        <v>199.0</v>
      </c>
      <c r="J1083" s="4" t="s">
        <v>2277</v>
      </c>
      <c r="K1083" s="4">
        <v>9.1989993552E11</v>
      </c>
      <c r="L1083" s="4" t="s">
        <v>67</v>
      </c>
      <c r="M1083" s="4" t="b">
        <v>0</v>
      </c>
      <c r="N1083" s="4" t="s">
        <v>74</v>
      </c>
      <c r="O1083" s="4" t="s">
        <v>69</v>
      </c>
      <c r="P1083" s="6">
        <v>44314.62457175926</v>
      </c>
      <c r="Q1083" s="4">
        <v>17407.0</v>
      </c>
      <c r="R1083" s="4"/>
      <c r="S1083" s="4"/>
      <c r="T1083" s="4"/>
      <c r="U1083" s="7"/>
      <c r="V1083" s="4"/>
      <c r="W1083" s="4"/>
      <c r="X1083" s="4"/>
      <c r="Y1083" s="4"/>
      <c r="Z1083" s="4"/>
      <c r="AA1083" s="5"/>
      <c r="AB1083" s="5"/>
      <c r="AC1083" s="5"/>
      <c r="AD1083" s="5"/>
      <c r="AE1083" s="5"/>
    </row>
    <row r="1084">
      <c r="A1084" s="4" t="s">
        <v>2278</v>
      </c>
      <c r="B1084" s="4"/>
      <c r="C1084" s="4" t="s">
        <v>2161</v>
      </c>
      <c r="D1084" s="4">
        <v>49854.0</v>
      </c>
      <c r="E1084" s="4"/>
      <c r="F1084" s="4" t="s">
        <v>85</v>
      </c>
      <c r="G1084" s="4">
        <v>599.0</v>
      </c>
      <c r="H1084" s="4"/>
      <c r="I1084" s="4">
        <v>599.0</v>
      </c>
      <c r="J1084" s="4" t="s">
        <v>2279</v>
      </c>
      <c r="K1084" s="4">
        <v>9.19819333766E11</v>
      </c>
      <c r="L1084" s="4" t="s">
        <v>67</v>
      </c>
      <c r="M1084" s="4" t="b">
        <v>0</v>
      </c>
      <c r="N1084" s="4" t="s">
        <v>74</v>
      </c>
      <c r="O1084" s="4" t="s">
        <v>69</v>
      </c>
      <c r="P1084" s="6">
        <v>44312.90509259259</v>
      </c>
      <c r="Q1084" s="4">
        <v>17763.0</v>
      </c>
      <c r="R1084" s="4"/>
      <c r="S1084" s="4"/>
      <c r="T1084" s="4"/>
      <c r="U1084" s="7"/>
      <c r="V1084" s="4"/>
      <c r="W1084" s="4"/>
      <c r="X1084" s="4"/>
      <c r="Y1084" s="4"/>
      <c r="Z1084" s="4"/>
      <c r="AA1084" s="5"/>
      <c r="AB1084" s="5"/>
      <c r="AC1084" s="5"/>
      <c r="AD1084" s="5"/>
      <c r="AE1084" s="5"/>
    </row>
    <row r="1085">
      <c r="A1085" s="4" t="s">
        <v>2280</v>
      </c>
      <c r="B1085" s="4"/>
      <c r="C1085" s="4" t="s">
        <v>1932</v>
      </c>
      <c r="D1085" s="4">
        <v>50041.0</v>
      </c>
      <c r="E1085" s="4"/>
      <c r="F1085" s="4" t="s">
        <v>77</v>
      </c>
      <c r="G1085" s="4">
        <v>349.0</v>
      </c>
      <c r="H1085" s="4"/>
      <c r="I1085" s="4">
        <v>349.0</v>
      </c>
      <c r="J1085" s="4" t="s">
        <v>2281</v>
      </c>
      <c r="K1085" s="4">
        <v>9.19000011267E11</v>
      </c>
      <c r="L1085" s="4" t="s">
        <v>67</v>
      </c>
      <c r="M1085" s="4" t="b">
        <v>0</v>
      </c>
      <c r="N1085" s="4" t="s">
        <v>151</v>
      </c>
      <c r="O1085" s="4" t="s">
        <v>69</v>
      </c>
      <c r="P1085" s="6">
        <v>44314.62627314815</v>
      </c>
      <c r="Q1085" s="4">
        <v>18300.0</v>
      </c>
      <c r="R1085" s="4"/>
      <c r="S1085" s="4"/>
      <c r="T1085" s="4"/>
      <c r="U1085" s="8"/>
      <c r="V1085" s="4"/>
      <c r="W1085" s="4"/>
      <c r="X1085" s="4"/>
      <c r="Y1085" s="4"/>
      <c r="Z1085" s="4"/>
      <c r="AA1085" s="5"/>
      <c r="AB1085" s="5"/>
      <c r="AC1085" s="5"/>
      <c r="AD1085" s="5"/>
      <c r="AE1085" s="5"/>
    </row>
    <row r="1086">
      <c r="A1086" s="4" t="s">
        <v>2282</v>
      </c>
      <c r="B1086" s="4"/>
      <c r="C1086" s="4" t="s">
        <v>76</v>
      </c>
      <c r="D1086" s="4">
        <v>49834.0</v>
      </c>
      <c r="E1086" s="4"/>
      <c r="F1086" s="4" t="s">
        <v>85</v>
      </c>
      <c r="G1086" s="4">
        <v>199.0</v>
      </c>
      <c r="H1086" s="4"/>
      <c r="I1086" s="4">
        <v>199.0</v>
      </c>
      <c r="J1086" s="4" t="s">
        <v>2283</v>
      </c>
      <c r="K1086" s="4">
        <v>9.19871033996E11</v>
      </c>
      <c r="L1086" s="4" t="s">
        <v>67</v>
      </c>
      <c r="M1086" s="4" t="b">
        <v>0</v>
      </c>
      <c r="N1086" s="4" t="s">
        <v>151</v>
      </c>
      <c r="O1086" s="4" t="s">
        <v>69</v>
      </c>
      <c r="P1086" s="6">
        <v>44314.63966435185</v>
      </c>
      <c r="Q1086" s="4">
        <v>17408.0</v>
      </c>
      <c r="R1086" s="4"/>
      <c r="S1086" s="4"/>
      <c r="T1086" s="4"/>
      <c r="U1086" s="7"/>
      <c r="V1086" s="4"/>
      <c r="W1086" s="4"/>
      <c r="X1086" s="4"/>
      <c r="Y1086" s="4"/>
      <c r="Z1086" s="4"/>
      <c r="AA1086" s="5"/>
      <c r="AB1086" s="5"/>
      <c r="AC1086" s="5"/>
      <c r="AD1086" s="5"/>
      <c r="AE1086" s="5"/>
    </row>
    <row r="1087">
      <c r="A1087" s="4" t="s">
        <v>2284</v>
      </c>
      <c r="B1087" s="4"/>
      <c r="C1087" s="4" t="s">
        <v>2161</v>
      </c>
      <c r="D1087" s="4">
        <v>49854.0</v>
      </c>
      <c r="E1087" s="4"/>
      <c r="F1087" s="4" t="s">
        <v>85</v>
      </c>
      <c r="G1087" s="4">
        <v>599.0</v>
      </c>
      <c r="H1087" s="4"/>
      <c r="I1087" s="4">
        <v>599.0</v>
      </c>
      <c r="J1087" s="4" t="s">
        <v>2285</v>
      </c>
      <c r="K1087" s="4">
        <v>9.19855521703E11</v>
      </c>
      <c r="L1087" s="4" t="s">
        <v>67</v>
      </c>
      <c r="M1087" s="4" t="b">
        <v>0</v>
      </c>
      <c r="N1087" s="4" t="s">
        <v>97</v>
      </c>
      <c r="O1087" s="4" t="s">
        <v>69</v>
      </c>
      <c r="P1087" s="6">
        <v>44313.30506944445</v>
      </c>
      <c r="Q1087" s="4">
        <v>17737.0</v>
      </c>
      <c r="R1087" s="4"/>
      <c r="S1087" s="4"/>
      <c r="T1087" s="4"/>
      <c r="U1087" s="7"/>
      <c r="V1087" s="4"/>
      <c r="W1087" s="4"/>
      <c r="X1087" s="4"/>
      <c r="Y1087" s="4"/>
      <c r="Z1087" s="4"/>
      <c r="AA1087" s="5"/>
      <c r="AB1087" s="5"/>
      <c r="AC1087" s="5"/>
      <c r="AD1087" s="5"/>
      <c r="AE1087" s="5"/>
    </row>
    <row r="1088">
      <c r="A1088" s="4" t="s">
        <v>2286</v>
      </c>
      <c r="B1088" s="4"/>
      <c r="C1088" s="4" t="s">
        <v>960</v>
      </c>
      <c r="D1088" s="4">
        <v>49834.0</v>
      </c>
      <c r="E1088" s="4"/>
      <c r="F1088" s="4" t="s">
        <v>149</v>
      </c>
      <c r="G1088" s="4">
        <v>99.0</v>
      </c>
      <c r="H1088" s="4"/>
      <c r="I1088" s="4">
        <v>99.0</v>
      </c>
      <c r="J1088" s="4" t="s">
        <v>2287</v>
      </c>
      <c r="K1088" s="4">
        <v>9.19019507928E11</v>
      </c>
      <c r="L1088" s="4" t="s">
        <v>67</v>
      </c>
      <c r="M1088" s="4" t="b">
        <v>0</v>
      </c>
      <c r="N1088" s="4" t="s">
        <v>68</v>
      </c>
      <c r="O1088" s="4" t="s">
        <v>69</v>
      </c>
      <c r="P1088" s="6">
        <v>44314.667766203704</v>
      </c>
      <c r="Q1088" s="4" t="s">
        <v>83</v>
      </c>
      <c r="R1088" s="4"/>
      <c r="S1088" s="4"/>
      <c r="T1088" s="4"/>
      <c r="U1088" s="7"/>
      <c r="V1088" s="4"/>
      <c r="W1088" s="4"/>
      <c r="X1088" s="4"/>
      <c r="Y1088" s="4"/>
      <c r="Z1088" s="4"/>
      <c r="AA1088" s="5"/>
      <c r="AB1088" s="5"/>
      <c r="AC1088" s="5"/>
      <c r="AD1088" s="5"/>
      <c r="AE1088" s="5"/>
    </row>
    <row r="1089">
      <c r="A1089" s="4" t="s">
        <v>2288</v>
      </c>
      <c r="B1089" s="4"/>
      <c r="C1089" s="4" t="s">
        <v>1059</v>
      </c>
      <c r="D1089" s="4">
        <v>49997.0</v>
      </c>
      <c r="E1089" s="4"/>
      <c r="F1089" s="4" t="s">
        <v>85</v>
      </c>
      <c r="G1089" s="4">
        <v>199.0</v>
      </c>
      <c r="H1089" s="4"/>
      <c r="I1089" s="4">
        <v>199.0</v>
      </c>
      <c r="J1089" s="4" t="s">
        <v>2289</v>
      </c>
      <c r="K1089" s="4">
        <v>9.18899183859E11</v>
      </c>
      <c r="L1089" s="4" t="s">
        <v>67</v>
      </c>
      <c r="M1089" s="4" t="b">
        <v>0</v>
      </c>
      <c r="N1089" s="4" t="s">
        <v>151</v>
      </c>
      <c r="O1089" s="4" t="s">
        <v>69</v>
      </c>
      <c r="P1089" s="6">
        <v>44314.67290509259</v>
      </c>
      <c r="Q1089" s="4">
        <v>17731.0</v>
      </c>
      <c r="R1089" s="4"/>
      <c r="S1089" s="4"/>
      <c r="T1089" s="4"/>
      <c r="U1089" s="7"/>
      <c r="V1089" s="4"/>
      <c r="W1089" s="4"/>
      <c r="X1089" s="4"/>
      <c r="Y1089" s="4"/>
      <c r="Z1089" s="4"/>
      <c r="AA1089" s="5"/>
      <c r="AB1089" s="5"/>
      <c r="AC1089" s="5"/>
      <c r="AD1089" s="5"/>
      <c r="AE1089" s="5"/>
    </row>
    <row r="1090">
      <c r="A1090" s="4" t="s">
        <v>2290</v>
      </c>
      <c r="B1090" s="4"/>
      <c r="C1090" s="4" t="s">
        <v>1059</v>
      </c>
      <c r="D1090" s="4">
        <v>49997.0</v>
      </c>
      <c r="E1090" s="4"/>
      <c r="F1090" s="4" t="s">
        <v>149</v>
      </c>
      <c r="G1090" s="4">
        <v>99.0</v>
      </c>
      <c r="H1090" s="4"/>
      <c r="I1090" s="4">
        <v>99.0</v>
      </c>
      <c r="J1090" s="4" t="s">
        <v>2291</v>
      </c>
      <c r="K1090" s="4">
        <v>9.19888860098E11</v>
      </c>
      <c r="L1090" s="4" t="s">
        <v>67</v>
      </c>
      <c r="M1090" s="4" t="b">
        <v>0</v>
      </c>
      <c r="N1090" s="4" t="s">
        <v>68</v>
      </c>
      <c r="O1090" s="4" t="s">
        <v>69</v>
      </c>
      <c r="P1090" s="6">
        <v>44314.692083333335</v>
      </c>
      <c r="Q1090" s="4">
        <v>17479.0</v>
      </c>
      <c r="R1090" s="4"/>
      <c r="S1090" s="4"/>
      <c r="T1090" s="4"/>
      <c r="U1090" s="7"/>
      <c r="V1090" s="4"/>
      <c r="W1090" s="4"/>
      <c r="X1090" s="4"/>
      <c r="Y1090" s="4"/>
      <c r="Z1090" s="4"/>
      <c r="AA1090" s="5"/>
      <c r="AB1090" s="5"/>
      <c r="AC1090" s="5"/>
      <c r="AD1090" s="5"/>
      <c r="AE1090" s="5"/>
    </row>
    <row r="1091">
      <c r="A1091" s="4" t="s">
        <v>2292</v>
      </c>
      <c r="B1091" s="4"/>
      <c r="C1091" s="4" t="s">
        <v>1264</v>
      </c>
      <c r="D1091" s="4">
        <v>49994.0</v>
      </c>
      <c r="E1091" s="4"/>
      <c r="F1091" s="4" t="s">
        <v>149</v>
      </c>
      <c r="G1091" s="4">
        <v>99.0</v>
      </c>
      <c r="H1091" s="4"/>
      <c r="I1091" s="4">
        <v>99.0</v>
      </c>
      <c r="J1091" s="4" t="s">
        <v>2293</v>
      </c>
      <c r="K1091" s="4">
        <v>9.19974882811E11</v>
      </c>
      <c r="L1091" s="4" t="s">
        <v>67</v>
      </c>
      <c r="M1091" s="4" t="b">
        <v>0</v>
      </c>
      <c r="N1091" s="4" t="s">
        <v>68</v>
      </c>
      <c r="O1091" s="4" t="s">
        <v>69</v>
      </c>
      <c r="P1091" s="6">
        <v>44314.694131944445</v>
      </c>
      <c r="Q1091" s="4">
        <v>17410.0</v>
      </c>
      <c r="R1091" s="4"/>
      <c r="S1091" s="4"/>
      <c r="T1091" s="4"/>
      <c r="U1091" s="7"/>
      <c r="V1091" s="4"/>
      <c r="W1091" s="4"/>
      <c r="X1091" s="4"/>
      <c r="Y1091" s="4"/>
      <c r="Z1091" s="4"/>
      <c r="AA1091" s="5"/>
      <c r="AB1091" s="5"/>
      <c r="AC1091" s="5"/>
      <c r="AD1091" s="5"/>
      <c r="AE1091" s="5"/>
    </row>
    <row r="1092">
      <c r="A1092" s="4" t="s">
        <v>2294</v>
      </c>
      <c r="B1092" s="4"/>
      <c r="C1092" s="4" t="s">
        <v>1932</v>
      </c>
      <c r="D1092" s="4">
        <v>50041.0</v>
      </c>
      <c r="E1092" s="4"/>
      <c r="F1092" s="4" t="s">
        <v>1437</v>
      </c>
      <c r="G1092" s="4">
        <v>99.0</v>
      </c>
      <c r="H1092" s="4"/>
      <c r="I1092" s="4">
        <v>99.0</v>
      </c>
      <c r="J1092" s="4" t="s">
        <v>2295</v>
      </c>
      <c r="K1092" s="4">
        <v>9.19836209904E11</v>
      </c>
      <c r="L1092" s="4" t="s">
        <v>67</v>
      </c>
      <c r="M1092" s="4" t="b">
        <v>0</v>
      </c>
      <c r="N1092" s="4" t="s">
        <v>68</v>
      </c>
      <c r="O1092" s="4" t="s">
        <v>69</v>
      </c>
      <c r="P1092" s="6">
        <v>44314.709652777776</v>
      </c>
      <c r="Q1092" s="4" t="s">
        <v>83</v>
      </c>
      <c r="R1092" s="4"/>
      <c r="S1092" s="4"/>
      <c r="T1092" s="4"/>
      <c r="U1092" s="7"/>
      <c r="V1092" s="4"/>
      <c r="W1092" s="4"/>
      <c r="X1092" s="4"/>
      <c r="Y1092" s="4"/>
      <c r="Z1092" s="4"/>
      <c r="AA1092" s="5"/>
      <c r="AB1092" s="5"/>
      <c r="AC1092" s="5"/>
      <c r="AD1092" s="5"/>
      <c r="AE1092" s="5"/>
    </row>
    <row r="1093">
      <c r="A1093" s="4" t="s">
        <v>2296</v>
      </c>
      <c r="B1093" s="4"/>
      <c r="C1093" s="4" t="s">
        <v>960</v>
      </c>
      <c r="D1093" s="4">
        <v>49834.0</v>
      </c>
      <c r="E1093" s="4"/>
      <c r="F1093" s="4" t="s">
        <v>149</v>
      </c>
      <c r="G1093" s="4">
        <v>99.0</v>
      </c>
      <c r="H1093" s="4"/>
      <c r="I1093" s="4">
        <v>99.0</v>
      </c>
      <c r="J1093" s="4" t="s">
        <v>2297</v>
      </c>
      <c r="K1093" s="4">
        <v>9.19836155541E11</v>
      </c>
      <c r="L1093" s="4" t="s">
        <v>67</v>
      </c>
      <c r="M1093" s="4" t="b">
        <v>0</v>
      </c>
      <c r="N1093" s="4" t="s">
        <v>68</v>
      </c>
      <c r="O1093" s="4" t="s">
        <v>69</v>
      </c>
      <c r="P1093" s="6">
        <v>44314.74681712963</v>
      </c>
      <c r="Q1093" s="4">
        <v>17414.0</v>
      </c>
      <c r="R1093" s="4"/>
      <c r="S1093" s="4"/>
      <c r="T1093" s="4"/>
      <c r="U1093" s="7"/>
      <c r="V1093" s="4"/>
      <c r="W1093" s="4"/>
      <c r="X1093" s="4"/>
      <c r="Y1093" s="4"/>
      <c r="Z1093" s="4"/>
      <c r="AA1093" s="5"/>
      <c r="AB1093" s="5"/>
      <c r="AC1093" s="5"/>
      <c r="AD1093" s="5"/>
      <c r="AE1093" s="5"/>
    </row>
    <row r="1094">
      <c r="A1094" s="4" t="s">
        <v>2298</v>
      </c>
      <c r="B1094" s="4"/>
      <c r="C1094" s="4" t="s">
        <v>1059</v>
      </c>
      <c r="D1094" s="4">
        <v>49997.0</v>
      </c>
      <c r="E1094" s="4"/>
      <c r="F1094" s="4" t="s">
        <v>149</v>
      </c>
      <c r="G1094" s="4">
        <v>99.0</v>
      </c>
      <c r="H1094" s="4"/>
      <c r="I1094" s="4">
        <v>99.0</v>
      </c>
      <c r="J1094" s="4" t="s">
        <v>2299</v>
      </c>
      <c r="K1094" s="4">
        <v>9.19039047007E11</v>
      </c>
      <c r="L1094" s="4" t="s">
        <v>67</v>
      </c>
      <c r="M1094" s="4" t="b">
        <v>0</v>
      </c>
      <c r="N1094" s="4" t="s">
        <v>151</v>
      </c>
      <c r="O1094" s="4" t="s">
        <v>69</v>
      </c>
      <c r="P1094" s="6">
        <v>44314.76219907407</v>
      </c>
      <c r="Q1094" s="4" t="s">
        <v>83</v>
      </c>
      <c r="R1094" s="4"/>
      <c r="S1094" s="4"/>
      <c r="T1094" s="4"/>
      <c r="U1094" s="7"/>
      <c r="V1094" s="4"/>
      <c r="W1094" s="4"/>
      <c r="X1094" s="4"/>
      <c r="Y1094" s="4"/>
      <c r="Z1094" s="4"/>
      <c r="AA1094" s="5"/>
      <c r="AB1094" s="5"/>
      <c r="AC1094" s="5"/>
      <c r="AD1094" s="5"/>
      <c r="AE1094" s="5"/>
    </row>
    <row r="1095">
      <c r="A1095" s="4" t="s">
        <v>2300</v>
      </c>
      <c r="B1095" s="4"/>
      <c r="C1095" s="4" t="s">
        <v>1979</v>
      </c>
      <c r="D1095" s="4">
        <v>50030.0</v>
      </c>
      <c r="E1095" s="4"/>
      <c r="F1095" s="4" t="s">
        <v>1437</v>
      </c>
      <c r="G1095" s="4">
        <v>99.0</v>
      </c>
      <c r="H1095" s="4"/>
      <c r="I1095" s="4">
        <v>99.0</v>
      </c>
      <c r="J1095" s="4" t="s">
        <v>2301</v>
      </c>
      <c r="K1095" s="4">
        <v>9.19820398687E11</v>
      </c>
      <c r="L1095" s="4" t="s">
        <v>67</v>
      </c>
      <c r="M1095" s="4" t="b">
        <v>0</v>
      </c>
      <c r="N1095" s="4" t="s">
        <v>68</v>
      </c>
      <c r="O1095" s="4" t="s">
        <v>69</v>
      </c>
      <c r="P1095" s="6">
        <v>44314.778333333335</v>
      </c>
      <c r="Q1095" s="4">
        <v>17449.0</v>
      </c>
      <c r="R1095" s="4"/>
      <c r="S1095" s="4"/>
      <c r="T1095" s="4"/>
      <c r="U1095" s="7"/>
      <c r="V1095" s="4"/>
      <c r="W1095" s="4"/>
      <c r="X1095" s="4"/>
      <c r="Y1095" s="4"/>
      <c r="Z1095" s="4"/>
      <c r="AA1095" s="5"/>
      <c r="AB1095" s="5"/>
      <c r="AC1095" s="5"/>
      <c r="AD1095" s="5"/>
      <c r="AE1095" s="5"/>
    </row>
    <row r="1096">
      <c r="A1096" s="4" t="s">
        <v>2302</v>
      </c>
      <c r="B1096" s="4"/>
      <c r="C1096" s="4" t="s">
        <v>1932</v>
      </c>
      <c r="D1096" s="4">
        <v>50041.0</v>
      </c>
      <c r="E1096" s="4"/>
      <c r="F1096" s="4" t="s">
        <v>1437</v>
      </c>
      <c r="G1096" s="4">
        <v>99.0</v>
      </c>
      <c r="H1096" s="4"/>
      <c r="I1096" s="4">
        <v>99.0</v>
      </c>
      <c r="J1096" s="4" t="s">
        <v>2303</v>
      </c>
      <c r="K1096" s="4">
        <v>9.18776291223E11</v>
      </c>
      <c r="L1096" s="4" t="s">
        <v>67</v>
      </c>
      <c r="M1096" s="4" t="b">
        <v>0</v>
      </c>
      <c r="N1096" s="4" t="s">
        <v>68</v>
      </c>
      <c r="O1096" s="4" t="s">
        <v>69</v>
      </c>
      <c r="P1096" s="6">
        <v>44314.800775462965</v>
      </c>
      <c r="Q1096" s="4" t="s">
        <v>83</v>
      </c>
      <c r="R1096" s="4"/>
      <c r="S1096" s="4"/>
      <c r="T1096" s="4"/>
      <c r="U1096" s="7"/>
      <c r="V1096" s="4"/>
      <c r="W1096" s="4"/>
      <c r="X1096" s="4"/>
      <c r="Y1096" s="4"/>
      <c r="Z1096" s="4"/>
      <c r="AA1096" s="5"/>
      <c r="AB1096" s="5"/>
      <c r="AC1096" s="5"/>
      <c r="AD1096" s="5"/>
      <c r="AE1096" s="5"/>
    </row>
    <row r="1097">
      <c r="A1097" s="4" t="s">
        <v>2304</v>
      </c>
      <c r="B1097" s="4"/>
      <c r="C1097" s="4" t="s">
        <v>1959</v>
      </c>
      <c r="D1097" s="4">
        <v>50040.0</v>
      </c>
      <c r="E1097" s="4"/>
      <c r="F1097" s="4" t="s">
        <v>77</v>
      </c>
      <c r="G1097" s="4">
        <v>349.0</v>
      </c>
      <c r="H1097" s="4"/>
      <c r="I1097" s="4">
        <v>349.0</v>
      </c>
      <c r="J1097" s="4" t="s">
        <v>2305</v>
      </c>
      <c r="K1097" s="4">
        <v>9.19890024534E11</v>
      </c>
      <c r="L1097" s="4" t="s">
        <v>67</v>
      </c>
      <c r="M1097" s="4" t="b">
        <v>0</v>
      </c>
      <c r="N1097" s="4" t="s">
        <v>74</v>
      </c>
      <c r="O1097" s="4" t="s">
        <v>69</v>
      </c>
      <c r="P1097" s="6">
        <v>44314.80096064815</v>
      </c>
      <c r="Q1097" s="4" t="s">
        <v>83</v>
      </c>
      <c r="R1097" s="4"/>
      <c r="S1097" s="4"/>
      <c r="T1097" s="4"/>
      <c r="U1097" s="8"/>
      <c r="V1097" s="4"/>
      <c r="W1097" s="4"/>
      <c r="X1097" s="4"/>
      <c r="Y1097" s="4"/>
      <c r="Z1097" s="4"/>
      <c r="AA1097" s="5"/>
      <c r="AB1097" s="5"/>
      <c r="AC1097" s="5"/>
      <c r="AD1097" s="5"/>
      <c r="AE1097" s="5"/>
    </row>
    <row r="1098">
      <c r="A1098" s="4" t="s">
        <v>2306</v>
      </c>
      <c r="B1098" s="4"/>
      <c r="C1098" s="4" t="s">
        <v>1979</v>
      </c>
      <c r="D1098" s="4">
        <v>50030.0</v>
      </c>
      <c r="E1098" s="4"/>
      <c r="F1098" s="4" t="s">
        <v>1442</v>
      </c>
      <c r="G1098" s="4">
        <v>199.0</v>
      </c>
      <c r="H1098" s="4"/>
      <c r="I1098" s="4">
        <v>199.0</v>
      </c>
      <c r="J1098" s="4" t="s">
        <v>2307</v>
      </c>
      <c r="K1098" s="4">
        <v>9.18884384555E11</v>
      </c>
      <c r="L1098" s="4" t="s">
        <v>67</v>
      </c>
      <c r="M1098" s="4" t="b">
        <v>0</v>
      </c>
      <c r="N1098" s="4" t="s">
        <v>68</v>
      </c>
      <c r="O1098" s="4" t="s">
        <v>69</v>
      </c>
      <c r="P1098" s="6">
        <v>44314.80746527778</v>
      </c>
      <c r="Q1098" s="4">
        <v>17450.0</v>
      </c>
      <c r="R1098" s="4"/>
      <c r="S1098" s="4"/>
      <c r="T1098" s="4"/>
      <c r="U1098" s="7"/>
      <c r="V1098" s="4"/>
      <c r="W1098" s="4"/>
      <c r="X1098" s="4"/>
      <c r="Y1098" s="4"/>
      <c r="Z1098" s="4"/>
      <c r="AA1098" s="5"/>
      <c r="AB1098" s="5"/>
      <c r="AC1098" s="5"/>
      <c r="AD1098" s="5"/>
      <c r="AE1098" s="5"/>
    </row>
    <row r="1099">
      <c r="A1099" s="4" t="s">
        <v>2308</v>
      </c>
      <c r="B1099" s="4"/>
      <c r="C1099" s="4" t="s">
        <v>184</v>
      </c>
      <c r="D1099" s="4">
        <v>49833.0</v>
      </c>
      <c r="E1099" s="4"/>
      <c r="F1099" s="4" t="s">
        <v>85</v>
      </c>
      <c r="G1099" s="4">
        <v>299.0</v>
      </c>
      <c r="H1099" s="4"/>
      <c r="I1099" s="4">
        <v>299.0</v>
      </c>
      <c r="J1099" s="4" t="s">
        <v>2309</v>
      </c>
      <c r="K1099" s="4">
        <v>9.18637833496E11</v>
      </c>
      <c r="L1099" s="4" t="s">
        <v>67</v>
      </c>
      <c r="M1099" s="4" t="b">
        <v>0</v>
      </c>
      <c r="N1099" s="4" t="s">
        <v>68</v>
      </c>
      <c r="O1099" s="4" t="s">
        <v>69</v>
      </c>
      <c r="P1099" s="6">
        <v>44314.82576388889</v>
      </c>
      <c r="Q1099" s="4">
        <v>17418.0</v>
      </c>
      <c r="R1099" s="4"/>
      <c r="S1099" s="4"/>
      <c r="T1099" s="4"/>
      <c r="U1099" s="7"/>
      <c r="V1099" s="4"/>
      <c r="W1099" s="4"/>
      <c r="X1099" s="4"/>
      <c r="Y1099" s="4"/>
      <c r="Z1099" s="4"/>
      <c r="AA1099" s="5"/>
      <c r="AB1099" s="5"/>
      <c r="AC1099" s="5"/>
      <c r="AD1099" s="5"/>
      <c r="AE1099" s="5"/>
    </row>
    <row r="1100">
      <c r="A1100" s="4" t="s">
        <v>2310</v>
      </c>
      <c r="B1100" s="4"/>
      <c r="C1100" s="4" t="s">
        <v>184</v>
      </c>
      <c r="D1100" s="4">
        <v>49833.0</v>
      </c>
      <c r="E1100" s="4"/>
      <c r="F1100" s="4" t="s">
        <v>85</v>
      </c>
      <c r="G1100" s="4">
        <v>299.0</v>
      </c>
      <c r="H1100" s="4"/>
      <c r="I1100" s="4">
        <v>299.0</v>
      </c>
      <c r="J1100" s="4" t="s">
        <v>2311</v>
      </c>
      <c r="K1100" s="4">
        <v>9.19380947484E11</v>
      </c>
      <c r="L1100" s="4" t="s">
        <v>67</v>
      </c>
      <c r="M1100" s="4" t="b">
        <v>0</v>
      </c>
      <c r="N1100" s="4" t="s">
        <v>68</v>
      </c>
      <c r="O1100" s="4" t="s">
        <v>69</v>
      </c>
      <c r="P1100" s="6">
        <v>44314.84967592593</v>
      </c>
      <c r="Q1100" s="4">
        <v>17419.0</v>
      </c>
      <c r="R1100" s="4"/>
      <c r="S1100" s="4"/>
      <c r="T1100" s="4"/>
      <c r="U1100" s="7"/>
      <c r="V1100" s="4"/>
      <c r="W1100" s="4"/>
      <c r="X1100" s="4"/>
      <c r="Y1100" s="4"/>
      <c r="Z1100" s="4"/>
      <c r="AA1100" s="5"/>
      <c r="AB1100" s="5"/>
      <c r="AC1100" s="5"/>
      <c r="AD1100" s="5"/>
      <c r="AE1100" s="5"/>
    </row>
    <row r="1101">
      <c r="A1101" s="4" t="s">
        <v>2312</v>
      </c>
      <c r="B1101" s="4"/>
      <c r="C1101" s="4" t="s">
        <v>1539</v>
      </c>
      <c r="D1101" s="4">
        <v>50009.0</v>
      </c>
      <c r="E1101" s="4"/>
      <c r="F1101" s="4" t="s">
        <v>85</v>
      </c>
      <c r="G1101" s="4">
        <v>199.0</v>
      </c>
      <c r="H1101" s="4"/>
      <c r="I1101" s="4">
        <v>199.0</v>
      </c>
      <c r="J1101" s="4" t="s">
        <v>2313</v>
      </c>
      <c r="K1101" s="4">
        <v>9.19818167733E11</v>
      </c>
      <c r="L1101" s="4" t="s">
        <v>67</v>
      </c>
      <c r="M1101" s="4" t="b">
        <v>0</v>
      </c>
      <c r="N1101" s="4" t="s">
        <v>74</v>
      </c>
      <c r="O1101" s="4" t="s">
        <v>69</v>
      </c>
      <c r="P1101" s="6">
        <v>44314.86476851852</v>
      </c>
      <c r="Q1101" s="4">
        <v>17438.0</v>
      </c>
      <c r="R1101" s="4"/>
      <c r="S1101" s="4"/>
      <c r="T1101" s="4"/>
      <c r="U1101" s="7"/>
      <c r="V1101" s="4"/>
      <c r="W1101" s="4"/>
      <c r="X1101" s="4"/>
      <c r="Y1101" s="4"/>
      <c r="Z1101" s="4"/>
      <c r="AA1101" s="5"/>
      <c r="AB1101" s="5"/>
      <c r="AC1101" s="5"/>
      <c r="AD1101" s="5"/>
      <c r="AE1101" s="5"/>
    </row>
    <row r="1102">
      <c r="A1102" s="4" t="s">
        <v>2314</v>
      </c>
      <c r="B1102" s="4"/>
      <c r="C1102" s="4" t="s">
        <v>858</v>
      </c>
      <c r="D1102" s="4">
        <v>49958.0</v>
      </c>
      <c r="E1102" s="4"/>
      <c r="F1102" s="4" t="s">
        <v>77</v>
      </c>
      <c r="G1102" s="4">
        <v>349.0</v>
      </c>
      <c r="H1102" s="4"/>
      <c r="I1102" s="4">
        <v>349.0</v>
      </c>
      <c r="J1102" s="4" t="s">
        <v>2315</v>
      </c>
      <c r="K1102" s="4">
        <v>9.18420483683E11</v>
      </c>
      <c r="L1102" s="4" t="s">
        <v>67</v>
      </c>
      <c r="M1102" s="4" t="b">
        <v>0</v>
      </c>
      <c r="N1102" s="4" t="s">
        <v>151</v>
      </c>
      <c r="O1102" s="4" t="s">
        <v>69</v>
      </c>
      <c r="P1102" s="6">
        <v>44314.875659722224</v>
      </c>
      <c r="Q1102" s="4" t="s">
        <v>83</v>
      </c>
      <c r="R1102" s="4"/>
      <c r="S1102" s="4"/>
      <c r="T1102" s="4"/>
      <c r="U1102" s="8"/>
      <c r="V1102" s="4"/>
      <c r="W1102" s="4"/>
      <c r="X1102" s="4"/>
      <c r="Y1102" s="4"/>
      <c r="Z1102" s="4"/>
      <c r="AA1102" s="5"/>
      <c r="AB1102" s="5"/>
      <c r="AC1102" s="5"/>
      <c r="AD1102" s="5"/>
      <c r="AE1102" s="5"/>
    </row>
    <row r="1103">
      <c r="A1103" s="4" t="s">
        <v>2316</v>
      </c>
      <c r="B1103" s="4"/>
      <c r="C1103" s="4" t="s">
        <v>2161</v>
      </c>
      <c r="D1103" s="4">
        <v>49854.0</v>
      </c>
      <c r="E1103" s="4"/>
      <c r="F1103" s="4" t="s">
        <v>85</v>
      </c>
      <c r="G1103" s="4">
        <v>599.0</v>
      </c>
      <c r="H1103" s="4"/>
      <c r="I1103" s="4">
        <v>599.0</v>
      </c>
      <c r="J1103" s="4" t="s">
        <v>2317</v>
      </c>
      <c r="K1103" s="4">
        <v>9.19791147047E11</v>
      </c>
      <c r="L1103" s="4" t="s">
        <v>67</v>
      </c>
      <c r="M1103" s="4" t="b">
        <v>0</v>
      </c>
      <c r="N1103" s="4" t="s">
        <v>68</v>
      </c>
      <c r="O1103" s="4" t="s">
        <v>69</v>
      </c>
      <c r="P1103" s="6">
        <v>44313.30789351852</v>
      </c>
      <c r="Q1103" s="4">
        <v>17789.0</v>
      </c>
      <c r="R1103" s="4"/>
      <c r="S1103" s="4"/>
      <c r="T1103" s="4"/>
      <c r="U1103" s="7"/>
      <c r="V1103" s="4"/>
      <c r="W1103" s="4"/>
      <c r="X1103" s="4"/>
      <c r="Y1103" s="4"/>
      <c r="Z1103" s="4"/>
      <c r="AA1103" s="5"/>
      <c r="AB1103" s="5"/>
      <c r="AC1103" s="5"/>
      <c r="AD1103" s="5"/>
      <c r="AE1103" s="5"/>
    </row>
    <row r="1104">
      <c r="A1104" s="4" t="s">
        <v>2318</v>
      </c>
      <c r="B1104" s="4"/>
      <c r="C1104" s="4" t="s">
        <v>1174</v>
      </c>
      <c r="D1104" s="4">
        <v>49844.0</v>
      </c>
      <c r="E1104" s="4"/>
      <c r="F1104" s="4" t="s">
        <v>149</v>
      </c>
      <c r="G1104" s="4">
        <v>99.0</v>
      </c>
      <c r="H1104" s="4"/>
      <c r="I1104" s="4">
        <v>99.0</v>
      </c>
      <c r="J1104" s="4" t="s">
        <v>2319</v>
      </c>
      <c r="K1104" s="4">
        <v>9.18606823534E11</v>
      </c>
      <c r="L1104" s="4" t="s">
        <v>67</v>
      </c>
      <c r="M1104" s="4" t="b">
        <v>0</v>
      </c>
      <c r="N1104" s="4" t="s">
        <v>68</v>
      </c>
      <c r="O1104" s="4" t="s">
        <v>69</v>
      </c>
      <c r="P1104" s="6">
        <v>44314.91407407408</v>
      </c>
      <c r="Q1104" s="4">
        <v>17474.0</v>
      </c>
      <c r="R1104" s="4"/>
      <c r="S1104" s="4"/>
      <c r="T1104" s="4"/>
      <c r="U1104" s="7"/>
      <c r="V1104" s="4"/>
      <c r="W1104" s="4"/>
      <c r="X1104" s="4"/>
      <c r="Y1104" s="4"/>
      <c r="Z1104" s="4"/>
      <c r="AA1104" s="5"/>
      <c r="AB1104" s="5"/>
      <c r="AC1104" s="5"/>
      <c r="AD1104" s="5"/>
      <c r="AE1104" s="5"/>
    </row>
    <row r="1105">
      <c r="A1105" s="4" t="s">
        <v>2320</v>
      </c>
      <c r="B1105" s="4"/>
      <c r="C1105" s="4" t="s">
        <v>791</v>
      </c>
      <c r="D1105" s="4">
        <v>49948.0</v>
      </c>
      <c r="E1105" s="4"/>
      <c r="F1105" s="4" t="s">
        <v>149</v>
      </c>
      <c r="G1105" s="4">
        <v>99.0</v>
      </c>
      <c r="H1105" s="4"/>
      <c r="I1105" s="4">
        <v>99.0</v>
      </c>
      <c r="J1105" s="4" t="s">
        <v>2321</v>
      </c>
      <c r="K1105" s="4">
        <v>9.17980013631E11</v>
      </c>
      <c r="L1105" s="4" t="s">
        <v>67</v>
      </c>
      <c r="M1105" s="4" t="b">
        <v>0</v>
      </c>
      <c r="N1105" s="4" t="s">
        <v>68</v>
      </c>
      <c r="O1105" s="4" t="s">
        <v>69</v>
      </c>
      <c r="P1105" s="6">
        <v>44314.91997685185</v>
      </c>
      <c r="Q1105" s="4">
        <v>17505.0</v>
      </c>
      <c r="R1105" s="4"/>
      <c r="S1105" s="4"/>
      <c r="T1105" s="4"/>
      <c r="U1105" s="7"/>
      <c r="V1105" s="4"/>
      <c r="W1105" s="4"/>
      <c r="X1105" s="4"/>
      <c r="Y1105" s="4"/>
      <c r="Z1105" s="4"/>
      <c r="AA1105" s="5"/>
      <c r="AB1105" s="5"/>
      <c r="AC1105" s="5"/>
      <c r="AD1105" s="5"/>
      <c r="AE1105" s="5"/>
    </row>
    <row r="1106">
      <c r="A1106" s="4" t="s">
        <v>2322</v>
      </c>
      <c r="B1106" s="4"/>
      <c r="C1106" s="4" t="s">
        <v>1982</v>
      </c>
      <c r="D1106" s="4">
        <v>50032.0</v>
      </c>
      <c r="E1106" s="4"/>
      <c r="F1106" s="4" t="s">
        <v>149</v>
      </c>
      <c r="G1106" s="4">
        <v>99.0</v>
      </c>
      <c r="H1106" s="4"/>
      <c r="I1106" s="4">
        <v>99.0</v>
      </c>
      <c r="J1106" s="4" t="s">
        <v>2323</v>
      </c>
      <c r="K1106" s="4">
        <v>9.1776089445E11</v>
      </c>
      <c r="L1106" s="4" t="s">
        <v>67</v>
      </c>
      <c r="M1106" s="4" t="b">
        <v>0</v>
      </c>
      <c r="N1106" s="4" t="s">
        <v>68</v>
      </c>
      <c r="O1106" s="4" t="s">
        <v>69</v>
      </c>
      <c r="P1106" s="6">
        <v>44314.95824074074</v>
      </c>
      <c r="Q1106" s="4">
        <v>17497.0</v>
      </c>
      <c r="R1106" s="4"/>
      <c r="S1106" s="4"/>
      <c r="T1106" s="4"/>
      <c r="U1106" s="7"/>
      <c r="V1106" s="4"/>
      <c r="W1106" s="4"/>
      <c r="X1106" s="4"/>
      <c r="Y1106" s="4"/>
      <c r="Z1106" s="4"/>
      <c r="AA1106" s="5"/>
      <c r="AB1106" s="5"/>
      <c r="AC1106" s="5"/>
      <c r="AD1106" s="5"/>
      <c r="AE1106" s="5"/>
    </row>
    <row r="1107">
      <c r="A1107" s="4" t="s">
        <v>2324</v>
      </c>
      <c r="B1107" s="4"/>
      <c r="C1107" s="4" t="s">
        <v>1059</v>
      </c>
      <c r="D1107" s="4">
        <v>49997.0</v>
      </c>
      <c r="E1107" s="4"/>
      <c r="F1107" s="4" t="s">
        <v>149</v>
      </c>
      <c r="G1107" s="4">
        <v>99.0</v>
      </c>
      <c r="H1107" s="4"/>
      <c r="I1107" s="4">
        <v>99.0</v>
      </c>
      <c r="J1107" s="4" t="s">
        <v>2325</v>
      </c>
      <c r="K1107" s="4">
        <v>9.18980709357E11</v>
      </c>
      <c r="L1107" s="4" t="s">
        <v>67</v>
      </c>
      <c r="M1107" s="4" t="b">
        <v>0</v>
      </c>
      <c r="N1107" s="4" t="s">
        <v>68</v>
      </c>
      <c r="O1107" s="4" t="s">
        <v>69</v>
      </c>
      <c r="P1107" s="6">
        <v>44314.9600462963</v>
      </c>
      <c r="Q1107" s="4">
        <v>17478.0</v>
      </c>
      <c r="R1107" s="4"/>
      <c r="S1107" s="4"/>
      <c r="T1107" s="4"/>
      <c r="U1107" s="7"/>
      <c r="V1107" s="4"/>
      <c r="W1107" s="4"/>
      <c r="X1107" s="4"/>
      <c r="Y1107" s="4"/>
      <c r="Z1107" s="4"/>
      <c r="AA1107" s="5"/>
      <c r="AB1107" s="5"/>
      <c r="AC1107" s="5"/>
      <c r="AD1107" s="5"/>
      <c r="AE1107" s="5"/>
    </row>
    <row r="1108">
      <c r="A1108" s="4" t="s">
        <v>2326</v>
      </c>
      <c r="B1108" s="4"/>
      <c r="C1108" s="4" t="s">
        <v>1932</v>
      </c>
      <c r="D1108" s="4">
        <v>50041.0</v>
      </c>
      <c r="E1108" s="4"/>
      <c r="F1108" s="4" t="s">
        <v>1437</v>
      </c>
      <c r="G1108" s="4">
        <v>99.0</v>
      </c>
      <c r="H1108" s="4"/>
      <c r="I1108" s="4">
        <v>99.0</v>
      </c>
      <c r="J1108" s="4" t="s">
        <v>2327</v>
      </c>
      <c r="K1108" s="4">
        <v>9.18698081321E11</v>
      </c>
      <c r="L1108" s="4" t="s">
        <v>67</v>
      </c>
      <c r="M1108" s="4" t="b">
        <v>0</v>
      </c>
      <c r="N1108" s="4" t="s">
        <v>68</v>
      </c>
      <c r="O1108" s="4" t="s">
        <v>69</v>
      </c>
      <c r="P1108" s="6">
        <v>44314.96571759259</v>
      </c>
      <c r="Q1108" s="4">
        <v>17472.0</v>
      </c>
      <c r="R1108" s="4"/>
      <c r="S1108" s="4"/>
      <c r="T1108" s="4"/>
      <c r="U1108" s="7"/>
      <c r="V1108" s="4"/>
      <c r="W1108" s="4"/>
      <c r="X1108" s="4"/>
      <c r="Y1108" s="4"/>
      <c r="Z1108" s="4"/>
      <c r="AA1108" s="5"/>
      <c r="AB1108" s="5"/>
      <c r="AC1108" s="5"/>
      <c r="AD1108" s="5"/>
      <c r="AE1108" s="5"/>
    </row>
    <row r="1109">
      <c r="A1109" s="4" t="s">
        <v>2328</v>
      </c>
      <c r="B1109" s="4"/>
      <c r="C1109" s="4" t="s">
        <v>184</v>
      </c>
      <c r="D1109" s="4">
        <v>49833.0</v>
      </c>
      <c r="E1109" s="4"/>
      <c r="F1109" s="4" t="s">
        <v>85</v>
      </c>
      <c r="G1109" s="4">
        <v>299.0</v>
      </c>
      <c r="H1109" s="4"/>
      <c r="I1109" s="4">
        <v>299.0</v>
      </c>
      <c r="J1109" s="4" t="s">
        <v>2329</v>
      </c>
      <c r="K1109" s="4">
        <v>9.19419130037E11</v>
      </c>
      <c r="L1109" s="4" t="s">
        <v>67</v>
      </c>
      <c r="M1109" s="4" t="b">
        <v>0</v>
      </c>
      <c r="N1109" s="4" t="s">
        <v>74</v>
      </c>
      <c r="O1109" s="4" t="s">
        <v>69</v>
      </c>
      <c r="P1109" s="6">
        <v>44314.96865740741</v>
      </c>
      <c r="Q1109" s="4">
        <v>17421.0</v>
      </c>
      <c r="R1109" s="4"/>
      <c r="S1109" s="4"/>
      <c r="T1109" s="4"/>
      <c r="U1109" s="7"/>
      <c r="V1109" s="4"/>
      <c r="W1109" s="4"/>
      <c r="X1109" s="4"/>
      <c r="Y1109" s="4"/>
      <c r="Z1109" s="4"/>
      <c r="AA1109" s="5"/>
      <c r="AB1109" s="5"/>
      <c r="AC1109" s="5"/>
      <c r="AD1109" s="5"/>
      <c r="AE1109" s="5"/>
    </row>
    <row r="1110">
      <c r="A1110" s="4" t="s">
        <v>2330</v>
      </c>
      <c r="B1110" s="4"/>
      <c r="C1110" s="4" t="s">
        <v>1174</v>
      </c>
      <c r="D1110" s="4">
        <v>49844.0</v>
      </c>
      <c r="E1110" s="4"/>
      <c r="F1110" s="4" t="s">
        <v>149</v>
      </c>
      <c r="G1110" s="4">
        <v>99.0</v>
      </c>
      <c r="H1110" s="4"/>
      <c r="I1110" s="4">
        <v>99.0</v>
      </c>
      <c r="J1110" s="4" t="s">
        <v>2331</v>
      </c>
      <c r="K1110" s="4">
        <v>9.19828344513E11</v>
      </c>
      <c r="L1110" s="4" t="s">
        <v>67</v>
      </c>
      <c r="M1110" s="4" t="b">
        <v>0</v>
      </c>
      <c r="N1110" s="4" t="s">
        <v>68</v>
      </c>
      <c r="O1110" s="4" t="s">
        <v>69</v>
      </c>
      <c r="P1110" s="6">
        <v>44314.97100694444</v>
      </c>
      <c r="Q1110" s="4" t="s">
        <v>83</v>
      </c>
      <c r="R1110" s="4"/>
      <c r="S1110" s="4"/>
      <c r="T1110" s="4"/>
      <c r="U1110" s="7"/>
      <c r="V1110" s="4"/>
      <c r="W1110" s="4"/>
      <c r="X1110" s="4"/>
      <c r="Y1110" s="4"/>
      <c r="Z1110" s="4"/>
      <c r="AA1110" s="5"/>
      <c r="AB1110" s="5"/>
      <c r="AC1110" s="5"/>
      <c r="AD1110" s="5"/>
      <c r="AE1110" s="5"/>
    </row>
    <row r="1111">
      <c r="A1111" s="4" t="s">
        <v>2332</v>
      </c>
      <c r="B1111" s="4"/>
      <c r="C1111" s="4" t="s">
        <v>1979</v>
      </c>
      <c r="D1111" s="4">
        <v>50030.0</v>
      </c>
      <c r="E1111" s="4"/>
      <c r="F1111" s="4" t="s">
        <v>1437</v>
      </c>
      <c r="G1111" s="4">
        <v>99.0</v>
      </c>
      <c r="H1111" s="4"/>
      <c r="I1111" s="4">
        <v>99.0</v>
      </c>
      <c r="J1111" s="4" t="s">
        <v>2333</v>
      </c>
      <c r="K1111" s="4">
        <v>9.18968333769E11</v>
      </c>
      <c r="L1111" s="4" t="s">
        <v>67</v>
      </c>
      <c r="M1111" s="4" t="b">
        <v>0</v>
      </c>
      <c r="N1111" s="4" t="s">
        <v>68</v>
      </c>
      <c r="O1111" s="4" t="s">
        <v>69</v>
      </c>
      <c r="P1111" s="6">
        <v>44314.97237268519</v>
      </c>
      <c r="Q1111" s="4">
        <v>17561.0</v>
      </c>
      <c r="R1111" s="4"/>
      <c r="S1111" s="4"/>
      <c r="T1111" s="4"/>
      <c r="U1111" s="7"/>
      <c r="V1111" s="4"/>
      <c r="W1111" s="4"/>
      <c r="X1111" s="4"/>
      <c r="Y1111" s="4"/>
      <c r="Z1111" s="4"/>
      <c r="AA1111" s="5"/>
      <c r="AB1111" s="5"/>
      <c r="AC1111" s="5"/>
      <c r="AD1111" s="5"/>
      <c r="AE1111" s="5"/>
    </row>
    <row r="1112">
      <c r="A1112" s="4" t="s">
        <v>2334</v>
      </c>
      <c r="B1112" s="4"/>
      <c r="C1112" s="4" t="s">
        <v>1959</v>
      </c>
      <c r="D1112" s="4">
        <v>50040.0</v>
      </c>
      <c r="E1112" s="4"/>
      <c r="F1112" s="4" t="s">
        <v>1437</v>
      </c>
      <c r="G1112" s="4">
        <v>99.0</v>
      </c>
      <c r="H1112" s="4"/>
      <c r="I1112" s="4">
        <v>99.0</v>
      </c>
      <c r="J1112" s="4" t="s">
        <v>2335</v>
      </c>
      <c r="K1112" s="4">
        <v>9.17989922725E11</v>
      </c>
      <c r="L1112" s="4" t="s">
        <v>67</v>
      </c>
      <c r="M1112" s="4" t="b">
        <v>0</v>
      </c>
      <c r="N1112" s="4" t="s">
        <v>68</v>
      </c>
      <c r="O1112" s="4" t="s">
        <v>69</v>
      </c>
      <c r="P1112" s="6">
        <v>44315.10597222222</v>
      </c>
      <c r="Q1112" s="4" t="s">
        <v>83</v>
      </c>
      <c r="R1112" s="4"/>
      <c r="S1112" s="4"/>
      <c r="T1112" s="4"/>
      <c r="U1112" s="7"/>
      <c r="V1112" s="4"/>
      <c r="W1112" s="4"/>
      <c r="X1112" s="4"/>
      <c r="Y1112" s="4"/>
      <c r="Z1112" s="4"/>
      <c r="AA1112" s="5"/>
      <c r="AB1112" s="5"/>
      <c r="AC1112" s="5"/>
      <c r="AD1112" s="5"/>
      <c r="AE1112" s="5"/>
    </row>
    <row r="1113">
      <c r="A1113" s="4" t="s">
        <v>2336</v>
      </c>
      <c r="B1113" s="4"/>
      <c r="C1113" s="4" t="s">
        <v>2161</v>
      </c>
      <c r="D1113" s="4">
        <v>49854.0</v>
      </c>
      <c r="E1113" s="4"/>
      <c r="F1113" s="4" t="s">
        <v>85</v>
      </c>
      <c r="G1113" s="4">
        <v>599.0</v>
      </c>
      <c r="H1113" s="4"/>
      <c r="I1113" s="4">
        <v>599.0</v>
      </c>
      <c r="J1113" s="4" t="s">
        <v>2337</v>
      </c>
      <c r="K1113" s="4">
        <v>9.1981171518E11</v>
      </c>
      <c r="L1113" s="4" t="s">
        <v>67</v>
      </c>
      <c r="M1113" s="4" t="b">
        <v>0</v>
      </c>
      <c r="N1113" s="4" t="s">
        <v>68</v>
      </c>
      <c r="O1113" s="4" t="s">
        <v>69</v>
      </c>
      <c r="P1113" s="6">
        <v>44313.333865740744</v>
      </c>
      <c r="Q1113" s="4">
        <v>17333.0</v>
      </c>
      <c r="R1113" s="4"/>
      <c r="S1113" s="4"/>
      <c r="T1113" s="4"/>
      <c r="U1113" s="7"/>
      <c r="V1113" s="4"/>
      <c r="W1113" s="4"/>
      <c r="X1113" s="4"/>
      <c r="Y1113" s="4"/>
      <c r="Z1113" s="4"/>
      <c r="AA1113" s="5"/>
      <c r="AB1113" s="5"/>
      <c r="AC1113" s="5"/>
      <c r="AD1113" s="5"/>
      <c r="AE1113" s="5"/>
    </row>
    <row r="1114">
      <c r="A1114" s="4" t="s">
        <v>2338</v>
      </c>
      <c r="B1114" s="4"/>
      <c r="C1114" s="4" t="s">
        <v>960</v>
      </c>
      <c r="D1114" s="4">
        <v>49834.0</v>
      </c>
      <c r="E1114" s="4"/>
      <c r="F1114" s="4" t="s">
        <v>149</v>
      </c>
      <c r="G1114" s="4">
        <v>99.0</v>
      </c>
      <c r="H1114" s="4"/>
      <c r="I1114" s="4">
        <v>99.0</v>
      </c>
      <c r="J1114" s="4" t="s">
        <v>2339</v>
      </c>
      <c r="K1114" s="4">
        <v>9.19987779936E11</v>
      </c>
      <c r="L1114" s="4" t="s">
        <v>67</v>
      </c>
      <c r="M1114" s="4" t="b">
        <v>0</v>
      </c>
      <c r="N1114" s="4" t="s">
        <v>151</v>
      </c>
      <c r="O1114" s="4" t="s">
        <v>69</v>
      </c>
      <c r="P1114" s="6">
        <v>44315.26619212963</v>
      </c>
      <c r="Q1114" s="4">
        <v>17422.0</v>
      </c>
      <c r="R1114" s="4"/>
      <c r="S1114" s="4"/>
      <c r="T1114" s="4"/>
      <c r="U1114" s="7"/>
      <c r="V1114" s="4"/>
      <c r="W1114" s="4"/>
      <c r="X1114" s="4"/>
      <c r="Y1114" s="4"/>
      <c r="Z1114" s="4"/>
      <c r="AA1114" s="5"/>
      <c r="AB1114" s="5"/>
      <c r="AC1114" s="5"/>
      <c r="AD1114" s="5"/>
      <c r="AE1114" s="5"/>
    </row>
    <row r="1115">
      <c r="A1115" s="4" t="s">
        <v>2340</v>
      </c>
      <c r="B1115" s="4"/>
      <c r="C1115" s="4" t="s">
        <v>885</v>
      </c>
      <c r="D1115" s="4">
        <v>49844.0</v>
      </c>
      <c r="E1115" s="4"/>
      <c r="F1115" s="4" t="s">
        <v>85</v>
      </c>
      <c r="G1115" s="4">
        <v>199.0</v>
      </c>
      <c r="H1115" s="4"/>
      <c r="I1115" s="4">
        <v>199.0</v>
      </c>
      <c r="J1115" s="4" t="s">
        <v>2341</v>
      </c>
      <c r="K1115" s="4">
        <v>9.18005972897E11</v>
      </c>
      <c r="L1115" s="4" t="s">
        <v>67</v>
      </c>
      <c r="M1115" s="4" t="b">
        <v>0</v>
      </c>
      <c r="N1115" s="4" t="s">
        <v>68</v>
      </c>
      <c r="O1115" s="4" t="s">
        <v>69</v>
      </c>
      <c r="P1115" s="6">
        <v>44315.28208333333</v>
      </c>
      <c r="Q1115" s="4">
        <v>17423.0</v>
      </c>
      <c r="R1115" s="4"/>
      <c r="S1115" s="4"/>
      <c r="T1115" s="4"/>
      <c r="U1115" s="7"/>
      <c r="V1115" s="4"/>
      <c r="W1115" s="4"/>
      <c r="X1115" s="4"/>
      <c r="Y1115" s="4"/>
      <c r="Z1115" s="4"/>
      <c r="AA1115" s="5"/>
      <c r="AB1115" s="5"/>
      <c r="AC1115" s="5"/>
      <c r="AD1115" s="5"/>
      <c r="AE1115" s="5"/>
    </row>
    <row r="1116">
      <c r="A1116" s="4" t="s">
        <v>2342</v>
      </c>
      <c r="B1116" s="4"/>
      <c r="C1116" s="4" t="s">
        <v>2161</v>
      </c>
      <c r="D1116" s="4">
        <v>49854.0</v>
      </c>
      <c r="E1116" s="4"/>
      <c r="F1116" s="4" t="s">
        <v>85</v>
      </c>
      <c r="G1116" s="4">
        <v>599.0</v>
      </c>
      <c r="H1116" s="4"/>
      <c r="I1116" s="4">
        <v>599.0</v>
      </c>
      <c r="J1116" s="4" t="s">
        <v>2343</v>
      </c>
      <c r="K1116" s="4">
        <v>9.18076913071E11</v>
      </c>
      <c r="L1116" s="4" t="s">
        <v>67</v>
      </c>
      <c r="M1116" s="4" t="b">
        <v>0</v>
      </c>
      <c r="N1116" s="4" t="s">
        <v>74</v>
      </c>
      <c r="O1116" s="4" t="s">
        <v>69</v>
      </c>
      <c r="P1116" s="6">
        <v>44313.33851851852</v>
      </c>
      <c r="Q1116" s="4" t="s">
        <v>83</v>
      </c>
      <c r="R1116" s="4"/>
      <c r="S1116" s="4"/>
      <c r="T1116" s="4"/>
      <c r="U1116" s="7"/>
      <c r="V1116" s="4"/>
      <c r="W1116" s="4"/>
      <c r="X1116" s="4"/>
      <c r="Y1116" s="4"/>
      <c r="Z1116" s="4"/>
      <c r="AA1116" s="5"/>
      <c r="AB1116" s="5"/>
      <c r="AC1116" s="5"/>
      <c r="AD1116" s="5"/>
      <c r="AE1116" s="5"/>
    </row>
    <row r="1117">
      <c r="A1117" s="4" t="s">
        <v>2344</v>
      </c>
      <c r="B1117" s="4"/>
      <c r="C1117" s="4" t="s">
        <v>2161</v>
      </c>
      <c r="D1117" s="4">
        <v>49854.0</v>
      </c>
      <c r="E1117" s="4"/>
      <c r="F1117" s="4" t="s">
        <v>85</v>
      </c>
      <c r="G1117" s="4">
        <v>599.0</v>
      </c>
      <c r="H1117" s="4"/>
      <c r="I1117" s="4">
        <v>599.0</v>
      </c>
      <c r="J1117" s="4" t="s">
        <v>2345</v>
      </c>
      <c r="K1117" s="4">
        <v>9.18872252869E11</v>
      </c>
      <c r="L1117" s="4" t="s">
        <v>67</v>
      </c>
      <c r="M1117" s="4" t="b">
        <v>0</v>
      </c>
      <c r="N1117" s="4" t="s">
        <v>68</v>
      </c>
      <c r="O1117" s="4" t="s">
        <v>69</v>
      </c>
      <c r="P1117" s="6">
        <v>44313.39934027778</v>
      </c>
      <c r="Q1117" s="4">
        <v>17786.0</v>
      </c>
      <c r="R1117" s="4"/>
      <c r="S1117" s="4"/>
      <c r="T1117" s="4"/>
      <c r="U1117" s="7"/>
      <c r="V1117" s="4"/>
      <c r="W1117" s="4"/>
      <c r="X1117" s="4"/>
      <c r="Y1117" s="4"/>
      <c r="Z1117" s="4"/>
      <c r="AA1117" s="5"/>
      <c r="AB1117" s="5"/>
      <c r="AC1117" s="5"/>
      <c r="AD1117" s="5"/>
      <c r="AE1117" s="5"/>
    </row>
    <row r="1118">
      <c r="A1118" s="4" t="s">
        <v>2346</v>
      </c>
      <c r="B1118" s="4"/>
      <c r="C1118" s="4" t="s">
        <v>184</v>
      </c>
      <c r="D1118" s="4">
        <v>49833.0</v>
      </c>
      <c r="E1118" s="4"/>
      <c r="F1118" s="4" t="s">
        <v>77</v>
      </c>
      <c r="G1118" s="4">
        <v>499.0</v>
      </c>
      <c r="H1118" s="4"/>
      <c r="I1118" s="4">
        <v>499.0</v>
      </c>
      <c r="J1118" s="4" t="s">
        <v>2347</v>
      </c>
      <c r="K1118" s="4">
        <v>9.19871779793E11</v>
      </c>
      <c r="L1118" s="4" t="s">
        <v>67</v>
      </c>
      <c r="M1118" s="4" t="b">
        <v>0</v>
      </c>
      <c r="N1118" s="4" t="s">
        <v>68</v>
      </c>
      <c r="O1118" s="4" t="s">
        <v>69</v>
      </c>
      <c r="P1118" s="6">
        <v>44315.38444444445</v>
      </c>
      <c r="Q1118" s="4" t="s">
        <v>83</v>
      </c>
      <c r="R1118" s="4"/>
      <c r="S1118" s="4"/>
      <c r="T1118" s="4"/>
      <c r="U1118" s="8"/>
      <c r="V1118" s="4"/>
      <c r="W1118" s="4"/>
      <c r="X1118" s="4"/>
      <c r="Y1118" s="4"/>
      <c r="Z1118" s="4"/>
      <c r="AA1118" s="5"/>
      <c r="AB1118" s="5"/>
      <c r="AC1118" s="5"/>
      <c r="AD1118" s="5"/>
      <c r="AE1118" s="5"/>
    </row>
    <row r="1119">
      <c r="A1119" s="4" t="s">
        <v>2348</v>
      </c>
      <c r="B1119" s="4"/>
      <c r="C1119" s="4" t="s">
        <v>1956</v>
      </c>
      <c r="D1119" s="4">
        <v>50023.0</v>
      </c>
      <c r="E1119" s="4"/>
      <c r="F1119" s="4" t="s">
        <v>1437</v>
      </c>
      <c r="G1119" s="4">
        <v>99.0</v>
      </c>
      <c r="H1119" s="4"/>
      <c r="I1119" s="4">
        <v>99.0</v>
      </c>
      <c r="J1119" s="4" t="s">
        <v>2349</v>
      </c>
      <c r="K1119" s="4">
        <v>9.18382898686E11</v>
      </c>
      <c r="L1119" s="4" t="s">
        <v>67</v>
      </c>
      <c r="M1119" s="4" t="b">
        <v>0</v>
      </c>
      <c r="N1119" s="4" t="s">
        <v>68</v>
      </c>
      <c r="O1119" s="4" t="s">
        <v>69</v>
      </c>
      <c r="P1119" s="6">
        <v>44315.38982638889</v>
      </c>
      <c r="Q1119" s="4">
        <v>17777.0</v>
      </c>
      <c r="R1119" s="4"/>
      <c r="S1119" s="4"/>
      <c r="T1119" s="4"/>
      <c r="U1119" s="7"/>
      <c r="V1119" s="4"/>
      <c r="W1119" s="4"/>
      <c r="X1119" s="4"/>
      <c r="Y1119" s="4"/>
      <c r="Z1119" s="4"/>
      <c r="AA1119" s="5"/>
      <c r="AB1119" s="5"/>
      <c r="AC1119" s="5"/>
      <c r="AD1119" s="5"/>
      <c r="AE1119" s="5"/>
    </row>
    <row r="1120">
      <c r="A1120" s="4" t="s">
        <v>2350</v>
      </c>
      <c r="B1120" s="4"/>
      <c r="C1120" s="4" t="s">
        <v>1476</v>
      </c>
      <c r="D1120" s="4">
        <v>50009.0</v>
      </c>
      <c r="E1120" s="4"/>
      <c r="F1120" s="4" t="s">
        <v>149</v>
      </c>
      <c r="G1120" s="4">
        <v>99.0</v>
      </c>
      <c r="H1120" s="4"/>
      <c r="I1120" s="4">
        <v>99.0</v>
      </c>
      <c r="J1120" s="4" t="s">
        <v>2351</v>
      </c>
      <c r="K1120" s="4">
        <v>9.19989610703E11</v>
      </c>
      <c r="L1120" s="4" t="s">
        <v>67</v>
      </c>
      <c r="M1120" s="4" t="b">
        <v>0</v>
      </c>
      <c r="N1120" s="4" t="s">
        <v>68</v>
      </c>
      <c r="O1120" s="4" t="s">
        <v>69</v>
      </c>
      <c r="P1120" s="6">
        <v>44315.402407407404</v>
      </c>
      <c r="Q1120" s="4" t="s">
        <v>83</v>
      </c>
      <c r="R1120" s="4"/>
      <c r="S1120" s="4"/>
      <c r="T1120" s="4"/>
      <c r="U1120" s="7"/>
      <c r="V1120" s="4"/>
      <c r="W1120" s="4"/>
      <c r="X1120" s="4"/>
      <c r="Y1120" s="4"/>
      <c r="Z1120" s="4"/>
      <c r="AA1120" s="5"/>
      <c r="AB1120" s="5"/>
      <c r="AC1120" s="5"/>
      <c r="AD1120" s="5"/>
      <c r="AE1120" s="5"/>
    </row>
    <row r="1121">
      <c r="A1121" s="4" t="s">
        <v>2352</v>
      </c>
      <c r="B1121" s="4"/>
      <c r="C1121" s="4" t="s">
        <v>1059</v>
      </c>
      <c r="D1121" s="4">
        <v>49997.0</v>
      </c>
      <c r="E1121" s="4"/>
      <c r="F1121" s="4" t="s">
        <v>149</v>
      </c>
      <c r="G1121" s="4">
        <v>99.0</v>
      </c>
      <c r="H1121" s="4"/>
      <c r="I1121" s="4">
        <v>99.0</v>
      </c>
      <c r="J1121" s="4" t="s">
        <v>2353</v>
      </c>
      <c r="K1121" s="4">
        <v>9.19476056203E11</v>
      </c>
      <c r="L1121" s="4" t="s">
        <v>67</v>
      </c>
      <c r="M1121" s="4" t="b">
        <v>0</v>
      </c>
      <c r="N1121" s="4" t="s">
        <v>68</v>
      </c>
      <c r="O1121" s="4" t="s">
        <v>69</v>
      </c>
      <c r="P1121" s="6">
        <v>44315.40744212963</v>
      </c>
      <c r="Q1121" s="4">
        <v>17475.0</v>
      </c>
      <c r="R1121" s="4"/>
      <c r="S1121" s="4"/>
      <c r="T1121" s="4"/>
      <c r="U1121" s="7"/>
      <c r="V1121" s="4"/>
      <c r="W1121" s="4"/>
      <c r="X1121" s="4"/>
      <c r="Y1121" s="4"/>
      <c r="Z1121" s="4"/>
      <c r="AA1121" s="5"/>
      <c r="AB1121" s="5"/>
      <c r="AC1121" s="5"/>
      <c r="AD1121" s="5"/>
      <c r="AE1121" s="5"/>
    </row>
    <row r="1122">
      <c r="A1122" s="4" t="s">
        <v>2354</v>
      </c>
      <c r="B1122" s="4"/>
      <c r="C1122" s="4" t="s">
        <v>1932</v>
      </c>
      <c r="D1122" s="4">
        <v>50041.0</v>
      </c>
      <c r="E1122" s="4"/>
      <c r="F1122" s="4" t="s">
        <v>1442</v>
      </c>
      <c r="G1122" s="4">
        <v>199.0</v>
      </c>
      <c r="H1122" s="4"/>
      <c r="I1122" s="4">
        <v>199.0</v>
      </c>
      <c r="J1122" s="4" t="s">
        <v>2355</v>
      </c>
      <c r="K1122" s="4">
        <v>9.18660170956E11</v>
      </c>
      <c r="L1122" s="4" t="s">
        <v>67</v>
      </c>
      <c r="M1122" s="4" t="b">
        <v>0</v>
      </c>
      <c r="N1122" s="4" t="s">
        <v>74</v>
      </c>
      <c r="O1122" s="4" t="s">
        <v>69</v>
      </c>
      <c r="P1122" s="6">
        <v>44315.425416666665</v>
      </c>
      <c r="Q1122" s="4" t="s">
        <v>83</v>
      </c>
      <c r="R1122" s="4"/>
      <c r="S1122" s="4"/>
      <c r="T1122" s="4"/>
      <c r="U1122" s="7"/>
      <c r="V1122" s="4"/>
      <c r="W1122" s="4"/>
      <c r="X1122" s="4"/>
      <c r="Y1122" s="4"/>
      <c r="Z1122" s="4"/>
      <c r="AA1122" s="5"/>
      <c r="AB1122" s="5"/>
      <c r="AC1122" s="5"/>
      <c r="AD1122" s="5"/>
      <c r="AE1122" s="5"/>
    </row>
    <row r="1123">
      <c r="A1123" s="4" t="s">
        <v>2356</v>
      </c>
      <c r="B1123" s="4"/>
      <c r="C1123" s="4" t="s">
        <v>2161</v>
      </c>
      <c r="D1123" s="4">
        <v>49854.0</v>
      </c>
      <c r="E1123" s="4"/>
      <c r="F1123" s="4" t="s">
        <v>85</v>
      </c>
      <c r="G1123" s="4">
        <v>599.0</v>
      </c>
      <c r="H1123" s="4"/>
      <c r="I1123" s="4">
        <v>599.0</v>
      </c>
      <c r="J1123" s="4" t="s">
        <v>2357</v>
      </c>
      <c r="K1123" s="4">
        <v>9.17088871551E11</v>
      </c>
      <c r="L1123" s="4" t="s">
        <v>67</v>
      </c>
      <c r="M1123" s="4" t="b">
        <v>0</v>
      </c>
      <c r="N1123" s="4" t="s">
        <v>68</v>
      </c>
      <c r="O1123" s="4" t="s">
        <v>69</v>
      </c>
      <c r="P1123" s="6">
        <v>44313.501296296294</v>
      </c>
      <c r="Q1123" s="4" t="s">
        <v>83</v>
      </c>
      <c r="R1123" s="4"/>
      <c r="S1123" s="4"/>
      <c r="T1123" s="4"/>
      <c r="U1123" s="7"/>
      <c r="V1123" s="4"/>
      <c r="W1123" s="4"/>
      <c r="X1123" s="4"/>
      <c r="Y1123" s="4"/>
      <c r="Z1123" s="4"/>
      <c r="AA1123" s="5"/>
      <c r="AB1123" s="5"/>
      <c r="AC1123" s="5"/>
      <c r="AD1123" s="5"/>
      <c r="AE1123" s="5"/>
    </row>
    <row r="1124">
      <c r="A1124" s="4" t="s">
        <v>2358</v>
      </c>
      <c r="B1124" s="4"/>
      <c r="C1124" s="4" t="s">
        <v>1982</v>
      </c>
      <c r="D1124" s="4">
        <v>50032.0</v>
      </c>
      <c r="E1124" s="4"/>
      <c r="F1124" s="4" t="s">
        <v>149</v>
      </c>
      <c r="G1124" s="4">
        <v>99.0</v>
      </c>
      <c r="H1124" s="4"/>
      <c r="I1124" s="4">
        <v>99.0</v>
      </c>
      <c r="J1124" s="4" t="s">
        <v>2359</v>
      </c>
      <c r="K1124" s="4">
        <v>9.18884262453E11</v>
      </c>
      <c r="L1124" s="4" t="s">
        <v>67</v>
      </c>
      <c r="M1124" s="4" t="b">
        <v>0</v>
      </c>
      <c r="N1124" s="4" t="s">
        <v>68</v>
      </c>
      <c r="O1124" s="4" t="s">
        <v>69</v>
      </c>
      <c r="P1124" s="6">
        <v>44315.43556712963</v>
      </c>
      <c r="Q1124" s="4" t="s">
        <v>83</v>
      </c>
      <c r="R1124" s="4"/>
      <c r="S1124" s="4"/>
      <c r="T1124" s="4"/>
      <c r="U1124" s="7"/>
      <c r="V1124" s="4"/>
      <c r="W1124" s="4"/>
      <c r="X1124" s="4"/>
      <c r="Y1124" s="4"/>
      <c r="Z1124" s="4"/>
      <c r="AA1124" s="5"/>
      <c r="AB1124" s="5"/>
      <c r="AC1124" s="5"/>
      <c r="AD1124" s="5"/>
      <c r="AE1124" s="5"/>
    </row>
    <row r="1125">
      <c r="A1125" s="4" t="s">
        <v>2360</v>
      </c>
      <c r="B1125" s="4"/>
      <c r="C1125" s="4" t="s">
        <v>1932</v>
      </c>
      <c r="D1125" s="4">
        <v>50041.0</v>
      </c>
      <c r="E1125" s="4"/>
      <c r="F1125" s="4" t="s">
        <v>1442</v>
      </c>
      <c r="G1125" s="4">
        <v>199.0</v>
      </c>
      <c r="H1125" s="4"/>
      <c r="I1125" s="4">
        <v>199.0</v>
      </c>
      <c r="J1125" s="4" t="s">
        <v>2361</v>
      </c>
      <c r="K1125" s="4">
        <v>9.19790803621E11</v>
      </c>
      <c r="L1125" s="4" t="s">
        <v>67</v>
      </c>
      <c r="M1125" s="4" t="b">
        <v>0</v>
      </c>
      <c r="N1125" s="4" t="s">
        <v>68</v>
      </c>
      <c r="O1125" s="4" t="s">
        <v>69</v>
      </c>
      <c r="P1125" s="6">
        <v>44315.45462962963</v>
      </c>
      <c r="Q1125" s="4">
        <v>17485.0</v>
      </c>
      <c r="R1125" s="4"/>
      <c r="S1125" s="4"/>
      <c r="T1125" s="4"/>
      <c r="U1125" s="7"/>
      <c r="V1125" s="4"/>
      <c r="W1125" s="4"/>
      <c r="X1125" s="4"/>
      <c r="Y1125" s="4"/>
      <c r="Z1125" s="4"/>
      <c r="AA1125" s="5"/>
      <c r="AB1125" s="5"/>
      <c r="AC1125" s="5"/>
      <c r="AD1125" s="5"/>
      <c r="AE1125" s="5"/>
    </row>
    <row r="1126">
      <c r="A1126" s="4" t="s">
        <v>2362</v>
      </c>
      <c r="B1126" s="4"/>
      <c r="C1126" s="4" t="s">
        <v>1979</v>
      </c>
      <c r="D1126" s="4">
        <v>50030.0</v>
      </c>
      <c r="E1126" s="4"/>
      <c r="F1126" s="4" t="s">
        <v>1437</v>
      </c>
      <c r="G1126" s="4">
        <v>99.0</v>
      </c>
      <c r="H1126" s="4"/>
      <c r="I1126" s="4">
        <v>99.0</v>
      </c>
      <c r="J1126" s="4" t="s">
        <v>2363</v>
      </c>
      <c r="K1126" s="4">
        <v>9.18850399316E11</v>
      </c>
      <c r="L1126" s="4" t="s">
        <v>67</v>
      </c>
      <c r="M1126" s="4" t="b">
        <v>0</v>
      </c>
      <c r="N1126" s="4" t="s">
        <v>97</v>
      </c>
      <c r="O1126" s="4" t="s">
        <v>69</v>
      </c>
      <c r="P1126" s="6">
        <v>44315.462222222224</v>
      </c>
      <c r="Q1126" s="4">
        <v>17465.0</v>
      </c>
      <c r="R1126" s="4"/>
      <c r="S1126" s="4"/>
      <c r="T1126" s="4"/>
      <c r="U1126" s="7"/>
      <c r="V1126" s="4"/>
      <c r="W1126" s="4"/>
      <c r="X1126" s="4"/>
      <c r="Y1126" s="4"/>
      <c r="Z1126" s="4"/>
      <c r="AA1126" s="5"/>
      <c r="AB1126" s="5"/>
      <c r="AC1126" s="5"/>
      <c r="AD1126" s="5"/>
      <c r="AE1126" s="5"/>
    </row>
    <row r="1127">
      <c r="A1127" s="4" t="s">
        <v>2364</v>
      </c>
      <c r="B1127" s="4"/>
      <c r="C1127" s="4" t="s">
        <v>2365</v>
      </c>
      <c r="D1127" s="4">
        <v>50015.0</v>
      </c>
      <c r="E1127" s="4"/>
      <c r="F1127" s="4" t="s">
        <v>1437</v>
      </c>
      <c r="G1127" s="4">
        <v>99.0</v>
      </c>
      <c r="H1127" s="4"/>
      <c r="I1127" s="4">
        <v>99.0</v>
      </c>
      <c r="J1127" s="4" t="s">
        <v>2366</v>
      </c>
      <c r="K1127" s="4">
        <v>9.18796506556E11</v>
      </c>
      <c r="L1127" s="4" t="s">
        <v>67</v>
      </c>
      <c r="M1127" s="4" t="b">
        <v>0</v>
      </c>
      <c r="N1127" s="4" t="s">
        <v>68</v>
      </c>
      <c r="O1127" s="4" t="s">
        <v>69</v>
      </c>
      <c r="P1127" s="6">
        <v>44315.463854166665</v>
      </c>
      <c r="Q1127" s="4" t="s">
        <v>83</v>
      </c>
      <c r="R1127" s="4"/>
      <c r="S1127" s="4"/>
      <c r="T1127" s="4"/>
      <c r="U1127" s="7"/>
      <c r="V1127" s="4"/>
      <c r="W1127" s="4"/>
      <c r="X1127" s="4"/>
      <c r="Y1127" s="4"/>
      <c r="Z1127" s="4"/>
      <c r="AA1127" s="5"/>
      <c r="AB1127" s="5"/>
      <c r="AC1127" s="5"/>
      <c r="AD1127" s="5"/>
      <c r="AE1127" s="5"/>
    </row>
    <row r="1128">
      <c r="A1128" s="4" t="s">
        <v>2367</v>
      </c>
      <c r="B1128" s="4"/>
      <c r="C1128" s="4" t="s">
        <v>2161</v>
      </c>
      <c r="D1128" s="4">
        <v>49854.0</v>
      </c>
      <c r="E1128" s="4"/>
      <c r="F1128" s="4" t="s">
        <v>85</v>
      </c>
      <c r="G1128" s="4">
        <v>599.0</v>
      </c>
      <c r="H1128" s="4"/>
      <c r="I1128" s="4">
        <v>599.0</v>
      </c>
      <c r="J1128" s="4" t="s">
        <v>2368</v>
      </c>
      <c r="K1128" s="4">
        <v>9.19820220948E11</v>
      </c>
      <c r="L1128" s="4" t="s">
        <v>67</v>
      </c>
      <c r="M1128" s="4" t="b">
        <v>0</v>
      </c>
      <c r="N1128" s="4" t="s">
        <v>68</v>
      </c>
      <c r="O1128" s="4" t="s">
        <v>69</v>
      </c>
      <c r="P1128" s="6">
        <v>44313.52186342593</v>
      </c>
      <c r="Q1128" s="4">
        <v>17951.0</v>
      </c>
      <c r="R1128" s="4"/>
      <c r="S1128" s="4"/>
      <c r="T1128" s="4"/>
      <c r="U1128" s="7"/>
      <c r="V1128" s="4"/>
      <c r="W1128" s="4"/>
      <c r="X1128" s="4"/>
      <c r="Y1128" s="4"/>
      <c r="Z1128" s="4"/>
      <c r="AA1128" s="5"/>
      <c r="AB1128" s="5"/>
      <c r="AC1128" s="5"/>
      <c r="AD1128" s="5"/>
      <c r="AE1128" s="5"/>
    </row>
    <row r="1129">
      <c r="A1129" s="4" t="s">
        <v>2369</v>
      </c>
      <c r="B1129" s="4"/>
      <c r="C1129" s="4" t="s">
        <v>1476</v>
      </c>
      <c r="D1129" s="4">
        <v>50009.0</v>
      </c>
      <c r="E1129" s="4"/>
      <c r="F1129" s="4" t="s">
        <v>149</v>
      </c>
      <c r="G1129" s="4">
        <v>99.0</v>
      </c>
      <c r="H1129" s="4"/>
      <c r="I1129" s="4">
        <v>99.0</v>
      </c>
      <c r="J1129" s="4" t="s">
        <v>2370</v>
      </c>
      <c r="K1129" s="4">
        <v>9.19136129088E11</v>
      </c>
      <c r="L1129" s="4" t="s">
        <v>67</v>
      </c>
      <c r="M1129" s="4" t="b">
        <v>0</v>
      </c>
      <c r="N1129" s="4" t="s">
        <v>97</v>
      </c>
      <c r="O1129" s="4" t="s">
        <v>69</v>
      </c>
      <c r="P1129" s="6">
        <v>44315.48216435185</v>
      </c>
      <c r="Q1129" s="4" t="s">
        <v>83</v>
      </c>
      <c r="R1129" s="4"/>
      <c r="S1129" s="4"/>
      <c r="T1129" s="4"/>
      <c r="U1129" s="7"/>
      <c r="V1129" s="4"/>
      <c r="W1129" s="4"/>
      <c r="X1129" s="4"/>
      <c r="Y1129" s="4"/>
      <c r="Z1129" s="4"/>
      <c r="AA1129" s="5"/>
      <c r="AB1129" s="5"/>
      <c r="AC1129" s="5"/>
      <c r="AD1129" s="5"/>
      <c r="AE1129" s="5"/>
    </row>
    <row r="1130">
      <c r="A1130" s="4" t="s">
        <v>2371</v>
      </c>
      <c r="B1130" s="4"/>
      <c r="C1130" s="4" t="s">
        <v>1979</v>
      </c>
      <c r="D1130" s="4">
        <v>50030.0</v>
      </c>
      <c r="E1130" s="4"/>
      <c r="F1130" s="4" t="s">
        <v>1437</v>
      </c>
      <c r="G1130" s="4">
        <v>99.0</v>
      </c>
      <c r="H1130" s="4"/>
      <c r="I1130" s="4">
        <v>99.0</v>
      </c>
      <c r="J1130" s="4" t="s">
        <v>2372</v>
      </c>
      <c r="K1130" s="4">
        <v>9.18072085979E11</v>
      </c>
      <c r="L1130" s="4" t="s">
        <v>67</v>
      </c>
      <c r="M1130" s="4" t="b">
        <v>0</v>
      </c>
      <c r="N1130" s="4" t="s">
        <v>68</v>
      </c>
      <c r="O1130" s="4" t="s">
        <v>69</v>
      </c>
      <c r="P1130" s="6">
        <v>44315.500810185185</v>
      </c>
      <c r="Q1130" s="4" t="s">
        <v>83</v>
      </c>
      <c r="R1130" s="4"/>
      <c r="S1130" s="4"/>
      <c r="T1130" s="4"/>
      <c r="U1130" s="7"/>
      <c r="V1130" s="4"/>
      <c r="W1130" s="4"/>
      <c r="X1130" s="4"/>
      <c r="Y1130" s="4"/>
      <c r="Z1130" s="4"/>
      <c r="AA1130" s="5"/>
      <c r="AB1130" s="5"/>
      <c r="AC1130" s="5"/>
      <c r="AD1130" s="5"/>
      <c r="AE1130" s="5"/>
    </row>
    <row r="1131">
      <c r="A1131" s="4" t="s">
        <v>2373</v>
      </c>
      <c r="B1131" s="4"/>
      <c r="C1131" s="4" t="s">
        <v>1059</v>
      </c>
      <c r="D1131" s="4">
        <v>49997.0</v>
      </c>
      <c r="E1131" s="4"/>
      <c r="F1131" s="4" t="s">
        <v>85</v>
      </c>
      <c r="G1131" s="4">
        <v>199.0</v>
      </c>
      <c r="H1131" s="4"/>
      <c r="I1131" s="4">
        <v>199.0</v>
      </c>
      <c r="J1131" s="4" t="s">
        <v>2374</v>
      </c>
      <c r="K1131" s="4">
        <v>9.19509488488E11</v>
      </c>
      <c r="L1131" s="4" t="s">
        <v>67</v>
      </c>
      <c r="M1131" s="4" t="b">
        <v>0</v>
      </c>
      <c r="N1131" s="4" t="s">
        <v>151</v>
      </c>
      <c r="O1131" s="4" t="s">
        <v>69</v>
      </c>
      <c r="P1131" s="6">
        <v>44315.535162037035</v>
      </c>
      <c r="Q1131" s="4" t="s">
        <v>83</v>
      </c>
      <c r="R1131" s="4"/>
      <c r="S1131" s="4"/>
      <c r="T1131" s="4"/>
      <c r="U1131" s="7"/>
      <c r="V1131" s="4"/>
      <c r="W1131" s="4"/>
      <c r="X1131" s="4"/>
      <c r="Y1131" s="4"/>
      <c r="Z1131" s="4"/>
      <c r="AA1131" s="5"/>
      <c r="AB1131" s="5"/>
      <c r="AC1131" s="5"/>
      <c r="AD1131" s="5"/>
      <c r="AE1131" s="5"/>
    </row>
    <row r="1132">
      <c r="A1132" s="4" t="s">
        <v>2375</v>
      </c>
      <c r="B1132" s="4"/>
      <c r="C1132" s="4" t="s">
        <v>1264</v>
      </c>
      <c r="D1132" s="4">
        <v>49994.0</v>
      </c>
      <c r="E1132" s="4"/>
      <c r="F1132" s="4" t="s">
        <v>149</v>
      </c>
      <c r="G1132" s="4">
        <v>99.0</v>
      </c>
      <c r="H1132" s="4"/>
      <c r="I1132" s="4">
        <v>99.0</v>
      </c>
      <c r="J1132" s="4" t="s">
        <v>2376</v>
      </c>
      <c r="K1132" s="4">
        <v>9.19030832213E11</v>
      </c>
      <c r="L1132" s="4" t="s">
        <v>67</v>
      </c>
      <c r="M1132" s="4" t="b">
        <v>0</v>
      </c>
      <c r="N1132" s="4" t="s">
        <v>97</v>
      </c>
      <c r="O1132" s="4" t="s">
        <v>69</v>
      </c>
      <c r="P1132" s="6">
        <v>44315.53907407408</v>
      </c>
      <c r="Q1132" s="4">
        <v>17432.0</v>
      </c>
      <c r="R1132" s="4"/>
      <c r="S1132" s="4"/>
      <c r="T1132" s="4"/>
      <c r="U1132" s="7"/>
      <c r="V1132" s="4"/>
      <c r="W1132" s="4"/>
      <c r="X1132" s="4"/>
      <c r="Y1132" s="4"/>
      <c r="Z1132" s="4"/>
      <c r="AA1132" s="5"/>
      <c r="AB1132" s="5"/>
      <c r="AC1132" s="5"/>
      <c r="AD1132" s="5"/>
      <c r="AE1132" s="5"/>
    </row>
    <row r="1133">
      <c r="A1133" s="4" t="s">
        <v>2377</v>
      </c>
      <c r="B1133" s="4"/>
      <c r="C1133" s="4" t="s">
        <v>1059</v>
      </c>
      <c r="D1133" s="4">
        <v>49997.0</v>
      </c>
      <c r="E1133" s="4"/>
      <c r="F1133" s="4" t="s">
        <v>149</v>
      </c>
      <c r="G1133" s="4">
        <v>99.0</v>
      </c>
      <c r="H1133" s="4"/>
      <c r="I1133" s="4">
        <v>99.0</v>
      </c>
      <c r="J1133" s="4" t="s">
        <v>2378</v>
      </c>
      <c r="K1133" s="4">
        <v>9.17591906969E11</v>
      </c>
      <c r="L1133" s="4" t="s">
        <v>67</v>
      </c>
      <c r="M1133" s="4" t="b">
        <v>0</v>
      </c>
      <c r="N1133" s="4" t="s">
        <v>74</v>
      </c>
      <c r="O1133" s="4" t="s">
        <v>69</v>
      </c>
      <c r="P1133" s="6">
        <v>44315.53988425926</v>
      </c>
      <c r="Q1133" s="4">
        <v>17476.0</v>
      </c>
      <c r="R1133" s="4"/>
      <c r="S1133" s="4"/>
      <c r="T1133" s="4"/>
      <c r="U1133" s="7"/>
      <c r="V1133" s="4"/>
      <c r="W1133" s="4"/>
      <c r="X1133" s="4"/>
      <c r="Y1133" s="4"/>
      <c r="Z1133" s="4"/>
      <c r="AA1133" s="5"/>
      <c r="AB1133" s="5"/>
      <c r="AC1133" s="5"/>
      <c r="AD1133" s="5"/>
      <c r="AE1133" s="5"/>
    </row>
    <row r="1134">
      <c r="A1134" s="4" t="s">
        <v>2379</v>
      </c>
      <c r="B1134" s="4"/>
      <c r="C1134" s="4" t="s">
        <v>2161</v>
      </c>
      <c r="D1134" s="4">
        <v>49854.0</v>
      </c>
      <c r="E1134" s="4"/>
      <c r="F1134" s="4" t="s">
        <v>85</v>
      </c>
      <c r="G1134" s="4">
        <v>599.0</v>
      </c>
      <c r="H1134" s="4"/>
      <c r="I1134" s="4">
        <v>599.0</v>
      </c>
      <c r="J1134" s="4" t="s">
        <v>2380</v>
      </c>
      <c r="K1134" s="4">
        <v>9.19163390973E11</v>
      </c>
      <c r="L1134" s="4" t="s">
        <v>67</v>
      </c>
      <c r="M1134" s="4" t="b">
        <v>0</v>
      </c>
      <c r="N1134" s="4" t="s">
        <v>74</v>
      </c>
      <c r="O1134" s="4" t="s">
        <v>69</v>
      </c>
      <c r="P1134" s="6">
        <v>44313.55386574074</v>
      </c>
      <c r="Q1134" s="4">
        <v>17749.0</v>
      </c>
      <c r="R1134" s="4"/>
      <c r="S1134" s="4"/>
      <c r="T1134" s="4"/>
      <c r="U1134" s="7"/>
      <c r="V1134" s="4"/>
      <c r="W1134" s="4"/>
      <c r="X1134" s="4"/>
      <c r="Y1134" s="4"/>
      <c r="Z1134" s="4"/>
      <c r="AA1134" s="5"/>
      <c r="AB1134" s="5"/>
      <c r="AC1134" s="5"/>
      <c r="AD1134" s="5"/>
      <c r="AE1134" s="5"/>
    </row>
    <row r="1135">
      <c r="A1135" s="4" t="s">
        <v>2381</v>
      </c>
      <c r="B1135" s="4"/>
      <c r="C1135" s="4" t="s">
        <v>2161</v>
      </c>
      <c r="D1135" s="4">
        <v>49854.0</v>
      </c>
      <c r="E1135" s="4"/>
      <c r="F1135" s="4" t="s">
        <v>85</v>
      </c>
      <c r="G1135" s="4">
        <v>599.0</v>
      </c>
      <c r="H1135" s="4"/>
      <c r="I1135" s="4">
        <v>599.0</v>
      </c>
      <c r="J1135" s="4" t="s">
        <v>2382</v>
      </c>
      <c r="K1135" s="4">
        <v>9.17696803173E11</v>
      </c>
      <c r="L1135" s="4" t="s">
        <v>67</v>
      </c>
      <c r="M1135" s="4" t="b">
        <v>0</v>
      </c>
      <c r="N1135" s="4" t="s">
        <v>68</v>
      </c>
      <c r="O1135" s="4" t="s">
        <v>69</v>
      </c>
      <c r="P1135" s="6">
        <v>44313.78939814815</v>
      </c>
      <c r="Q1135" s="4">
        <v>17742.0</v>
      </c>
      <c r="R1135" s="4"/>
      <c r="S1135" s="4"/>
      <c r="T1135" s="4"/>
      <c r="U1135" s="7"/>
      <c r="V1135" s="4"/>
      <c r="W1135" s="4"/>
      <c r="X1135" s="4"/>
      <c r="Y1135" s="4"/>
      <c r="Z1135" s="4"/>
      <c r="AA1135" s="5"/>
      <c r="AB1135" s="5"/>
      <c r="AC1135" s="5"/>
      <c r="AD1135" s="5"/>
      <c r="AE1135" s="5"/>
    </row>
    <row r="1136">
      <c r="A1136" s="4" t="s">
        <v>2383</v>
      </c>
      <c r="B1136" s="4"/>
      <c r="C1136" s="4" t="s">
        <v>1104</v>
      </c>
      <c r="D1136" s="4">
        <v>49993.0</v>
      </c>
      <c r="E1136" s="4"/>
      <c r="F1136" s="4" t="s">
        <v>149</v>
      </c>
      <c r="G1136" s="4">
        <v>199.0</v>
      </c>
      <c r="H1136" s="4"/>
      <c r="I1136" s="4">
        <v>199.0</v>
      </c>
      <c r="J1136" s="4" t="s">
        <v>2384</v>
      </c>
      <c r="K1136" s="4">
        <v>9.19860554444E11</v>
      </c>
      <c r="L1136" s="4" t="s">
        <v>67</v>
      </c>
      <c r="M1136" s="4" t="b">
        <v>0</v>
      </c>
      <c r="N1136" s="4" t="s">
        <v>74</v>
      </c>
      <c r="O1136" s="4" t="s">
        <v>69</v>
      </c>
      <c r="P1136" s="6">
        <v>44315.648668981485</v>
      </c>
      <c r="Q1136" s="4">
        <v>17496.0</v>
      </c>
      <c r="R1136" s="4"/>
      <c r="S1136" s="4"/>
      <c r="T1136" s="4"/>
      <c r="U1136" s="7"/>
      <c r="V1136" s="4"/>
      <c r="W1136" s="4"/>
      <c r="X1136" s="4"/>
      <c r="Y1136" s="4"/>
      <c r="Z1136" s="4"/>
      <c r="AA1136" s="5"/>
      <c r="AB1136" s="5"/>
      <c r="AC1136" s="5"/>
      <c r="AD1136" s="5"/>
      <c r="AE1136" s="5"/>
    </row>
    <row r="1137">
      <c r="A1137" s="4" t="s">
        <v>2385</v>
      </c>
      <c r="B1137" s="4"/>
      <c r="C1137" s="4" t="s">
        <v>1104</v>
      </c>
      <c r="D1137" s="4">
        <v>49993.0</v>
      </c>
      <c r="E1137" s="4"/>
      <c r="F1137" s="4" t="s">
        <v>149</v>
      </c>
      <c r="G1137" s="4">
        <v>199.0</v>
      </c>
      <c r="H1137" s="4"/>
      <c r="I1137" s="4">
        <v>199.0</v>
      </c>
      <c r="J1137" s="4" t="s">
        <v>2386</v>
      </c>
      <c r="K1137" s="4">
        <v>9.17043279748E11</v>
      </c>
      <c r="L1137" s="4" t="s">
        <v>67</v>
      </c>
      <c r="M1137" s="4" t="b">
        <v>0</v>
      </c>
      <c r="N1137" s="4" t="s">
        <v>97</v>
      </c>
      <c r="O1137" s="4" t="s">
        <v>69</v>
      </c>
      <c r="P1137" s="6">
        <v>44315.65231481481</v>
      </c>
      <c r="Q1137" s="4" t="s">
        <v>83</v>
      </c>
      <c r="R1137" s="4"/>
      <c r="S1137" s="4"/>
      <c r="T1137" s="4"/>
      <c r="U1137" s="7"/>
      <c r="V1137" s="4"/>
      <c r="W1137" s="4"/>
      <c r="X1137" s="4"/>
      <c r="Y1137" s="4"/>
      <c r="Z1137" s="4"/>
      <c r="AA1137" s="5"/>
      <c r="AB1137" s="5"/>
      <c r="AC1137" s="5"/>
      <c r="AD1137" s="5"/>
      <c r="AE1137" s="5"/>
    </row>
    <row r="1138">
      <c r="A1138" s="4" t="s">
        <v>2387</v>
      </c>
      <c r="B1138" s="4"/>
      <c r="C1138" s="4" t="s">
        <v>1727</v>
      </c>
      <c r="D1138" s="4">
        <v>50033.0</v>
      </c>
      <c r="E1138" s="4"/>
      <c r="F1138" s="4" t="s">
        <v>1437</v>
      </c>
      <c r="G1138" s="4">
        <v>99.0</v>
      </c>
      <c r="H1138" s="4"/>
      <c r="I1138" s="4">
        <v>99.0</v>
      </c>
      <c r="J1138" s="4" t="s">
        <v>2388</v>
      </c>
      <c r="K1138" s="4">
        <v>9.18149418607E11</v>
      </c>
      <c r="L1138" s="4" t="s">
        <v>67</v>
      </c>
      <c r="M1138" s="4" t="b">
        <v>0</v>
      </c>
      <c r="N1138" s="4" t="s">
        <v>68</v>
      </c>
      <c r="O1138" s="4" t="s">
        <v>69</v>
      </c>
      <c r="P1138" s="6">
        <v>44315.65930555556</v>
      </c>
      <c r="Q1138" s="4">
        <v>7368.0</v>
      </c>
      <c r="R1138" s="4"/>
      <c r="S1138" s="4"/>
      <c r="T1138" s="4"/>
      <c r="U1138" s="7"/>
      <c r="V1138" s="4"/>
      <c r="W1138" s="4"/>
      <c r="X1138" s="4"/>
      <c r="Y1138" s="4"/>
      <c r="Z1138" s="4"/>
      <c r="AA1138" s="5"/>
      <c r="AB1138" s="5"/>
      <c r="AC1138" s="5"/>
      <c r="AD1138" s="5"/>
      <c r="AE1138" s="5"/>
    </row>
    <row r="1139">
      <c r="A1139" s="4" t="s">
        <v>2389</v>
      </c>
      <c r="B1139" s="4"/>
      <c r="C1139" s="4" t="s">
        <v>184</v>
      </c>
      <c r="D1139" s="4">
        <v>49833.0</v>
      </c>
      <c r="E1139" s="4"/>
      <c r="F1139" s="4" t="s">
        <v>85</v>
      </c>
      <c r="G1139" s="4">
        <v>299.0</v>
      </c>
      <c r="H1139" s="4"/>
      <c r="I1139" s="4">
        <v>299.0</v>
      </c>
      <c r="J1139" s="4" t="s">
        <v>2390</v>
      </c>
      <c r="K1139" s="4">
        <v>9.17324923456E11</v>
      </c>
      <c r="L1139" s="4" t="s">
        <v>67</v>
      </c>
      <c r="M1139" s="4" t="b">
        <v>0</v>
      </c>
      <c r="N1139" s="4" t="s">
        <v>68</v>
      </c>
      <c r="O1139" s="4" t="s">
        <v>69</v>
      </c>
      <c r="P1139" s="6">
        <v>44315.667546296296</v>
      </c>
      <c r="Q1139" s="4">
        <v>17436.0</v>
      </c>
      <c r="R1139" s="4"/>
      <c r="S1139" s="4"/>
      <c r="T1139" s="4"/>
      <c r="U1139" s="7"/>
      <c r="V1139" s="4"/>
      <c r="W1139" s="4"/>
      <c r="X1139" s="4"/>
      <c r="Y1139" s="4"/>
      <c r="Z1139" s="4"/>
      <c r="AA1139" s="5"/>
      <c r="AB1139" s="5"/>
      <c r="AC1139" s="5"/>
      <c r="AD1139" s="5"/>
      <c r="AE1139" s="5"/>
    </row>
    <row r="1140">
      <c r="A1140" s="4" t="s">
        <v>2391</v>
      </c>
      <c r="B1140" s="4"/>
      <c r="C1140" s="4" t="s">
        <v>1982</v>
      </c>
      <c r="D1140" s="4">
        <v>50032.0</v>
      </c>
      <c r="E1140" s="4"/>
      <c r="F1140" s="4" t="s">
        <v>149</v>
      </c>
      <c r="G1140" s="4">
        <v>99.0</v>
      </c>
      <c r="H1140" s="4"/>
      <c r="I1140" s="4">
        <v>99.0</v>
      </c>
      <c r="J1140" s="4" t="s">
        <v>2392</v>
      </c>
      <c r="K1140" s="4">
        <v>9.19833868733E11</v>
      </c>
      <c r="L1140" s="4" t="s">
        <v>67</v>
      </c>
      <c r="M1140" s="4" t="b">
        <v>0</v>
      </c>
      <c r="N1140" s="4" t="s">
        <v>68</v>
      </c>
      <c r="O1140" s="4" t="s">
        <v>69</v>
      </c>
      <c r="P1140" s="6">
        <v>44315.669537037036</v>
      </c>
      <c r="Q1140" s="4">
        <v>17435.0</v>
      </c>
      <c r="R1140" s="4"/>
      <c r="S1140" s="4"/>
      <c r="T1140" s="4"/>
      <c r="U1140" s="7"/>
      <c r="V1140" s="4"/>
      <c r="W1140" s="4"/>
      <c r="X1140" s="4"/>
      <c r="Y1140" s="4"/>
      <c r="Z1140" s="4"/>
      <c r="AA1140" s="5"/>
      <c r="AB1140" s="5"/>
      <c r="AC1140" s="5"/>
      <c r="AD1140" s="5"/>
      <c r="AE1140" s="5"/>
    </row>
    <row r="1141">
      <c r="A1141" s="4" t="s">
        <v>2393</v>
      </c>
      <c r="B1141" s="4"/>
      <c r="C1141" s="4" t="s">
        <v>1059</v>
      </c>
      <c r="D1141" s="4">
        <v>49997.0</v>
      </c>
      <c r="E1141" s="4"/>
      <c r="F1141" s="4" t="s">
        <v>149</v>
      </c>
      <c r="G1141" s="4">
        <v>99.0</v>
      </c>
      <c r="H1141" s="4"/>
      <c r="I1141" s="4">
        <v>99.0</v>
      </c>
      <c r="J1141" s="4" t="s">
        <v>2394</v>
      </c>
      <c r="K1141" s="4">
        <v>9.19409071514E11</v>
      </c>
      <c r="L1141" s="4" t="s">
        <v>67</v>
      </c>
      <c r="M1141" s="4" t="b">
        <v>0</v>
      </c>
      <c r="N1141" s="4" t="s">
        <v>74</v>
      </c>
      <c r="O1141" s="4" t="s">
        <v>69</v>
      </c>
      <c r="P1141" s="6">
        <v>44315.67114583333</v>
      </c>
      <c r="Q1141" s="4">
        <v>17443.0</v>
      </c>
      <c r="R1141" s="4"/>
      <c r="S1141" s="4"/>
      <c r="T1141" s="4"/>
      <c r="U1141" s="7"/>
      <c r="V1141" s="4"/>
      <c r="W1141" s="4"/>
      <c r="X1141" s="4"/>
      <c r="Y1141" s="4"/>
      <c r="Z1141" s="4"/>
      <c r="AA1141" s="5"/>
      <c r="AB1141" s="5"/>
      <c r="AC1141" s="5"/>
      <c r="AD1141" s="5"/>
      <c r="AE1141" s="5"/>
    </row>
    <row r="1142">
      <c r="A1142" s="4" t="s">
        <v>2395</v>
      </c>
      <c r="B1142" s="4"/>
      <c r="C1142" s="4" t="s">
        <v>2161</v>
      </c>
      <c r="D1142" s="4">
        <v>49854.0</v>
      </c>
      <c r="E1142" s="4"/>
      <c r="F1142" s="4" t="s">
        <v>85</v>
      </c>
      <c r="G1142" s="4">
        <v>599.0</v>
      </c>
      <c r="H1142" s="4"/>
      <c r="I1142" s="4">
        <v>599.0</v>
      </c>
      <c r="J1142" s="4" t="s">
        <v>2396</v>
      </c>
      <c r="K1142" s="4">
        <v>9.17506056444E11</v>
      </c>
      <c r="L1142" s="4" t="s">
        <v>67</v>
      </c>
      <c r="M1142" s="4" t="b">
        <v>0</v>
      </c>
      <c r="N1142" s="4" t="s">
        <v>68</v>
      </c>
      <c r="O1142" s="4" t="s">
        <v>69</v>
      </c>
      <c r="P1142" s="6">
        <v>44313.852013888885</v>
      </c>
      <c r="Q1142" s="4">
        <v>17946.0</v>
      </c>
      <c r="R1142" s="4"/>
      <c r="S1142" s="4"/>
      <c r="T1142" s="4"/>
      <c r="U1142" s="7"/>
      <c r="V1142" s="4"/>
      <c r="W1142" s="4"/>
      <c r="X1142" s="4"/>
      <c r="Y1142" s="4"/>
      <c r="Z1142" s="4"/>
      <c r="AA1142" s="5"/>
      <c r="AB1142" s="5"/>
      <c r="AC1142" s="5"/>
      <c r="AD1142" s="5"/>
      <c r="AE1142" s="5"/>
    </row>
    <row r="1143">
      <c r="A1143" s="4" t="s">
        <v>2397</v>
      </c>
      <c r="B1143" s="4"/>
      <c r="C1143" s="4" t="s">
        <v>1059</v>
      </c>
      <c r="D1143" s="4">
        <v>49997.0</v>
      </c>
      <c r="E1143" s="4"/>
      <c r="F1143" s="4" t="s">
        <v>149</v>
      </c>
      <c r="G1143" s="4">
        <v>99.0</v>
      </c>
      <c r="H1143" s="4"/>
      <c r="I1143" s="4">
        <v>99.0</v>
      </c>
      <c r="J1143" s="4" t="s">
        <v>2398</v>
      </c>
      <c r="K1143" s="4">
        <v>9.17874643108E11</v>
      </c>
      <c r="L1143" s="4" t="s">
        <v>67</v>
      </c>
      <c r="M1143" s="4" t="b">
        <v>0</v>
      </c>
      <c r="N1143" s="4" t="s">
        <v>74</v>
      </c>
      <c r="O1143" s="4" t="s">
        <v>69</v>
      </c>
      <c r="P1143" s="6">
        <v>44315.689409722225</v>
      </c>
      <c r="Q1143" s="4">
        <v>17440.0</v>
      </c>
      <c r="R1143" s="4"/>
      <c r="S1143" s="4"/>
      <c r="T1143" s="4"/>
      <c r="U1143" s="7"/>
      <c r="V1143" s="4"/>
      <c r="W1143" s="4"/>
      <c r="X1143" s="4"/>
      <c r="Y1143" s="4"/>
      <c r="Z1143" s="4"/>
      <c r="AA1143" s="5"/>
      <c r="AB1143" s="5"/>
      <c r="AC1143" s="5"/>
      <c r="AD1143" s="5"/>
      <c r="AE1143" s="5"/>
    </row>
    <row r="1144">
      <c r="A1144" s="4" t="s">
        <v>2399</v>
      </c>
      <c r="B1144" s="4"/>
      <c r="C1144" s="4" t="s">
        <v>2161</v>
      </c>
      <c r="D1144" s="4">
        <v>49854.0</v>
      </c>
      <c r="E1144" s="4"/>
      <c r="F1144" s="4" t="s">
        <v>85</v>
      </c>
      <c r="G1144" s="4">
        <v>599.0</v>
      </c>
      <c r="H1144" s="4"/>
      <c r="I1144" s="4">
        <v>599.0</v>
      </c>
      <c r="J1144" s="4" t="s">
        <v>2400</v>
      </c>
      <c r="K1144" s="4">
        <v>9.19815639294E11</v>
      </c>
      <c r="L1144" s="4" t="s">
        <v>67</v>
      </c>
      <c r="M1144" s="4" t="b">
        <v>0</v>
      </c>
      <c r="N1144" s="4" t="s">
        <v>151</v>
      </c>
      <c r="O1144" s="4" t="s">
        <v>69</v>
      </c>
      <c r="P1144" s="6">
        <v>44313.898506944446</v>
      </c>
      <c r="Q1144" s="4" t="s">
        <v>83</v>
      </c>
      <c r="R1144" s="4"/>
      <c r="S1144" s="4"/>
      <c r="T1144" s="4"/>
      <c r="U1144" s="7"/>
      <c r="V1144" s="4"/>
      <c r="W1144" s="4"/>
      <c r="X1144" s="4"/>
      <c r="Y1144" s="4"/>
      <c r="Z1144" s="4"/>
      <c r="AA1144" s="5"/>
      <c r="AB1144" s="5"/>
      <c r="AC1144" s="5"/>
      <c r="AD1144" s="5"/>
      <c r="AE1144" s="5"/>
    </row>
    <row r="1145">
      <c r="A1145" s="4" t="s">
        <v>2401</v>
      </c>
      <c r="B1145" s="4"/>
      <c r="C1145" s="4" t="s">
        <v>184</v>
      </c>
      <c r="D1145" s="4">
        <v>49833.0</v>
      </c>
      <c r="E1145" s="4"/>
      <c r="F1145" s="4" t="s">
        <v>149</v>
      </c>
      <c r="G1145" s="4">
        <v>199.0</v>
      </c>
      <c r="H1145" s="4"/>
      <c r="I1145" s="4">
        <v>199.0</v>
      </c>
      <c r="J1145" s="4" t="s">
        <v>2321</v>
      </c>
      <c r="K1145" s="4">
        <v>9.17980013631E11</v>
      </c>
      <c r="L1145" s="4" t="s">
        <v>67</v>
      </c>
      <c r="M1145" s="4" t="b">
        <v>0</v>
      </c>
      <c r="N1145" s="4" t="s">
        <v>68</v>
      </c>
      <c r="O1145" s="4" t="s">
        <v>69</v>
      </c>
      <c r="P1145" s="6">
        <v>44315.769733796296</v>
      </c>
      <c r="Q1145" s="4">
        <v>17505.0</v>
      </c>
      <c r="R1145" s="4"/>
      <c r="S1145" s="4"/>
      <c r="T1145" s="4"/>
      <c r="U1145" s="7"/>
      <c r="V1145" s="4"/>
      <c r="W1145" s="4"/>
      <c r="X1145" s="4"/>
      <c r="Y1145" s="4"/>
      <c r="Z1145" s="4"/>
      <c r="AA1145" s="5"/>
      <c r="AB1145" s="5"/>
      <c r="AC1145" s="5"/>
      <c r="AD1145" s="5"/>
      <c r="AE1145" s="5"/>
    </row>
    <row r="1146">
      <c r="A1146" s="4" t="s">
        <v>2402</v>
      </c>
      <c r="B1146" s="4"/>
      <c r="C1146" s="4" t="s">
        <v>184</v>
      </c>
      <c r="D1146" s="4">
        <v>49833.0</v>
      </c>
      <c r="E1146" s="4"/>
      <c r="F1146" s="4" t="s">
        <v>85</v>
      </c>
      <c r="G1146" s="4">
        <v>299.0</v>
      </c>
      <c r="H1146" s="4"/>
      <c r="I1146" s="4">
        <v>299.0</v>
      </c>
      <c r="J1146" s="4" t="s">
        <v>2403</v>
      </c>
      <c r="K1146" s="4">
        <v>9.19108483689E11</v>
      </c>
      <c r="L1146" s="4" t="s">
        <v>67</v>
      </c>
      <c r="M1146" s="4" t="b">
        <v>0</v>
      </c>
      <c r="N1146" s="4" t="s">
        <v>74</v>
      </c>
      <c r="O1146" s="4" t="s">
        <v>69</v>
      </c>
      <c r="P1146" s="6">
        <v>44315.80232638889</v>
      </c>
      <c r="Q1146" s="4">
        <v>17444.0</v>
      </c>
      <c r="R1146" s="4"/>
      <c r="S1146" s="4"/>
      <c r="T1146" s="4"/>
      <c r="U1146" s="7"/>
      <c r="V1146" s="4"/>
      <c r="W1146" s="4"/>
      <c r="X1146" s="4"/>
      <c r="Y1146" s="4"/>
      <c r="Z1146" s="4"/>
      <c r="AA1146" s="5"/>
      <c r="AB1146" s="5"/>
      <c r="AC1146" s="5"/>
      <c r="AD1146" s="5"/>
      <c r="AE1146" s="5"/>
    </row>
    <row r="1147">
      <c r="A1147" s="4" t="s">
        <v>2404</v>
      </c>
      <c r="B1147" s="4"/>
      <c r="C1147" s="4" t="s">
        <v>1104</v>
      </c>
      <c r="D1147" s="4">
        <v>49993.0</v>
      </c>
      <c r="E1147" s="4"/>
      <c r="F1147" s="4" t="s">
        <v>149</v>
      </c>
      <c r="G1147" s="4">
        <v>199.0</v>
      </c>
      <c r="H1147" s="4"/>
      <c r="I1147" s="4">
        <v>199.0</v>
      </c>
      <c r="J1147" s="4" t="s">
        <v>2405</v>
      </c>
      <c r="K1147" s="4">
        <v>9.19643791007E11</v>
      </c>
      <c r="L1147" s="4" t="s">
        <v>67</v>
      </c>
      <c r="M1147" s="4" t="b">
        <v>0</v>
      </c>
      <c r="N1147" s="4" t="s">
        <v>74</v>
      </c>
      <c r="O1147" s="4" t="s">
        <v>69</v>
      </c>
      <c r="P1147" s="6">
        <v>44315.825162037036</v>
      </c>
      <c r="Q1147" s="4">
        <v>17498.0</v>
      </c>
      <c r="R1147" s="4"/>
      <c r="S1147" s="4"/>
      <c r="T1147" s="4"/>
      <c r="U1147" s="7"/>
      <c r="V1147" s="4"/>
      <c r="W1147" s="4"/>
      <c r="X1147" s="4"/>
      <c r="Y1147" s="4"/>
      <c r="Z1147" s="4"/>
      <c r="AA1147" s="5"/>
      <c r="AB1147" s="5"/>
      <c r="AC1147" s="5"/>
      <c r="AD1147" s="5"/>
      <c r="AE1147" s="5"/>
    </row>
    <row r="1148">
      <c r="A1148" s="4" t="s">
        <v>2406</v>
      </c>
      <c r="B1148" s="4"/>
      <c r="C1148" s="4" t="s">
        <v>1727</v>
      </c>
      <c r="D1148" s="4">
        <v>50033.0</v>
      </c>
      <c r="E1148" s="4"/>
      <c r="F1148" s="4" t="s">
        <v>1437</v>
      </c>
      <c r="G1148" s="4">
        <v>99.0</v>
      </c>
      <c r="H1148" s="4"/>
      <c r="I1148" s="4">
        <v>99.0</v>
      </c>
      <c r="J1148" s="4" t="s">
        <v>2407</v>
      </c>
      <c r="K1148" s="4">
        <v>9.18008158264E11</v>
      </c>
      <c r="L1148" s="4" t="s">
        <v>67</v>
      </c>
      <c r="M1148" s="4" t="b">
        <v>0</v>
      </c>
      <c r="N1148" s="4" t="s">
        <v>68</v>
      </c>
      <c r="O1148" s="4" t="s">
        <v>69</v>
      </c>
      <c r="P1148" s="6">
        <v>44315.83918981482</v>
      </c>
      <c r="Q1148" s="4">
        <v>17524.0</v>
      </c>
      <c r="R1148" s="4"/>
      <c r="S1148" s="4"/>
      <c r="T1148" s="4"/>
      <c r="U1148" s="7"/>
      <c r="V1148" s="4"/>
      <c r="W1148" s="4"/>
      <c r="X1148" s="4"/>
      <c r="Y1148" s="4"/>
      <c r="Z1148" s="4"/>
      <c r="AA1148" s="5"/>
      <c r="AB1148" s="5"/>
      <c r="AC1148" s="5"/>
      <c r="AD1148" s="5"/>
      <c r="AE1148" s="5"/>
    </row>
    <row r="1149">
      <c r="A1149" s="4" t="s">
        <v>2408</v>
      </c>
      <c r="B1149" s="4"/>
      <c r="C1149" s="4" t="s">
        <v>2161</v>
      </c>
      <c r="D1149" s="4">
        <v>49854.0</v>
      </c>
      <c r="E1149" s="4"/>
      <c r="F1149" s="4" t="s">
        <v>85</v>
      </c>
      <c r="G1149" s="4">
        <v>599.0</v>
      </c>
      <c r="H1149" s="4"/>
      <c r="I1149" s="4">
        <v>599.0</v>
      </c>
      <c r="J1149" s="4" t="s">
        <v>2409</v>
      </c>
      <c r="K1149" s="4">
        <v>9.19618679345E11</v>
      </c>
      <c r="L1149" s="4" t="s">
        <v>67</v>
      </c>
      <c r="M1149" s="4" t="b">
        <v>0</v>
      </c>
      <c r="N1149" s="4" t="s">
        <v>68</v>
      </c>
      <c r="O1149" s="4" t="s">
        <v>69</v>
      </c>
      <c r="P1149" s="6">
        <v>44315.64334490741</v>
      </c>
      <c r="Q1149" s="4" t="s">
        <v>83</v>
      </c>
      <c r="R1149" s="4"/>
      <c r="S1149" s="4"/>
      <c r="T1149" s="4"/>
      <c r="U1149" s="7"/>
      <c r="V1149" s="4"/>
      <c r="W1149" s="4"/>
      <c r="X1149" s="4"/>
      <c r="Y1149" s="4"/>
      <c r="Z1149" s="4"/>
      <c r="AA1149" s="5"/>
      <c r="AB1149" s="5"/>
      <c r="AC1149" s="5"/>
      <c r="AD1149" s="5"/>
      <c r="AE1149" s="5"/>
    </row>
    <row r="1150">
      <c r="A1150" s="4" t="s">
        <v>2410</v>
      </c>
      <c r="B1150" s="4"/>
      <c r="C1150" s="4" t="s">
        <v>1982</v>
      </c>
      <c r="D1150" s="4">
        <v>50032.0</v>
      </c>
      <c r="E1150" s="4"/>
      <c r="F1150" s="4" t="s">
        <v>149</v>
      </c>
      <c r="G1150" s="4">
        <v>99.0</v>
      </c>
      <c r="H1150" s="4"/>
      <c r="I1150" s="4">
        <v>99.0</v>
      </c>
      <c r="J1150" s="4" t="s">
        <v>2411</v>
      </c>
      <c r="K1150" s="4">
        <v>9.19717967559E11</v>
      </c>
      <c r="L1150" s="4" t="s">
        <v>67</v>
      </c>
      <c r="M1150" s="4" t="b">
        <v>0</v>
      </c>
      <c r="N1150" s="4" t="s">
        <v>68</v>
      </c>
      <c r="O1150" s="4" t="s">
        <v>69</v>
      </c>
      <c r="P1150" s="6">
        <v>44315.849340277775</v>
      </c>
      <c r="Q1150" s="4">
        <v>17452.0</v>
      </c>
      <c r="R1150" s="4"/>
      <c r="S1150" s="4"/>
      <c r="T1150" s="4"/>
      <c r="U1150" s="7"/>
      <c r="V1150" s="4"/>
      <c r="W1150" s="4"/>
      <c r="X1150" s="4"/>
      <c r="Y1150" s="4"/>
      <c r="Z1150" s="4"/>
      <c r="AA1150" s="5"/>
      <c r="AB1150" s="5"/>
      <c r="AC1150" s="5"/>
      <c r="AD1150" s="5"/>
      <c r="AE1150" s="5"/>
    </row>
    <row r="1151">
      <c r="A1151" s="4" t="s">
        <v>2412</v>
      </c>
      <c r="B1151" s="4"/>
      <c r="C1151" s="4" t="s">
        <v>184</v>
      </c>
      <c r="D1151" s="4">
        <v>49833.0</v>
      </c>
      <c r="E1151" s="4"/>
      <c r="F1151" s="4" t="s">
        <v>77</v>
      </c>
      <c r="G1151" s="4">
        <v>499.0</v>
      </c>
      <c r="H1151" s="4"/>
      <c r="I1151" s="4">
        <v>499.0</v>
      </c>
      <c r="J1151" s="4" t="s">
        <v>2413</v>
      </c>
      <c r="K1151" s="4">
        <v>9.19742048408E11</v>
      </c>
      <c r="L1151" s="4" t="s">
        <v>67</v>
      </c>
      <c r="M1151" s="4" t="b">
        <v>0</v>
      </c>
      <c r="N1151" s="4" t="s">
        <v>68</v>
      </c>
      <c r="O1151" s="4" t="s">
        <v>69</v>
      </c>
      <c r="P1151" s="6">
        <v>44315.85729166667</v>
      </c>
      <c r="Q1151" s="4" t="s">
        <v>83</v>
      </c>
      <c r="R1151" s="4"/>
      <c r="S1151" s="4"/>
      <c r="T1151" s="4"/>
      <c r="U1151" s="8"/>
      <c r="V1151" s="4"/>
      <c r="W1151" s="4"/>
      <c r="X1151" s="4"/>
      <c r="Y1151" s="4"/>
      <c r="Z1151" s="4"/>
      <c r="AA1151" s="5"/>
      <c r="AB1151" s="5"/>
      <c r="AC1151" s="5"/>
      <c r="AD1151" s="5"/>
      <c r="AE1151" s="5"/>
    </row>
    <row r="1152">
      <c r="A1152" s="4" t="s">
        <v>2414</v>
      </c>
      <c r="B1152" s="4"/>
      <c r="C1152" s="4" t="s">
        <v>858</v>
      </c>
      <c r="D1152" s="4">
        <v>49958.0</v>
      </c>
      <c r="E1152" s="4"/>
      <c r="F1152" s="4" t="s">
        <v>85</v>
      </c>
      <c r="G1152" s="4">
        <v>199.0</v>
      </c>
      <c r="H1152" s="4"/>
      <c r="I1152" s="4">
        <v>199.0</v>
      </c>
      <c r="J1152" s="4" t="s">
        <v>2415</v>
      </c>
      <c r="K1152" s="4">
        <v>9.18007218145E11</v>
      </c>
      <c r="L1152" s="4" t="s">
        <v>67</v>
      </c>
      <c r="M1152" s="4" t="b">
        <v>0</v>
      </c>
      <c r="N1152" s="4" t="s">
        <v>68</v>
      </c>
      <c r="O1152" s="4" t="s">
        <v>69</v>
      </c>
      <c r="P1152" s="6">
        <v>44315.86892361111</v>
      </c>
      <c r="Q1152" s="4">
        <v>17448.0</v>
      </c>
      <c r="R1152" s="4"/>
      <c r="S1152" s="4"/>
      <c r="T1152" s="4"/>
      <c r="U1152" s="7"/>
      <c r="V1152" s="4"/>
      <c r="W1152" s="4"/>
      <c r="X1152" s="4"/>
      <c r="Y1152" s="4"/>
      <c r="Z1152" s="4"/>
      <c r="AA1152" s="5"/>
      <c r="AB1152" s="5"/>
      <c r="AC1152" s="5"/>
      <c r="AD1152" s="5"/>
      <c r="AE1152" s="5"/>
    </row>
    <row r="1153">
      <c r="A1153" s="4" t="s">
        <v>2416</v>
      </c>
      <c r="B1153" s="4"/>
      <c r="C1153" s="4" t="s">
        <v>960</v>
      </c>
      <c r="D1153" s="4">
        <v>49834.0</v>
      </c>
      <c r="E1153" s="4"/>
      <c r="F1153" s="4" t="s">
        <v>149</v>
      </c>
      <c r="G1153" s="4">
        <v>99.0</v>
      </c>
      <c r="H1153" s="4"/>
      <c r="I1153" s="4">
        <v>99.0</v>
      </c>
      <c r="J1153" s="4" t="s">
        <v>2417</v>
      </c>
      <c r="K1153" s="4">
        <v>9.19011963185E11</v>
      </c>
      <c r="L1153" s="4" t="s">
        <v>67</v>
      </c>
      <c r="M1153" s="4" t="b">
        <v>0</v>
      </c>
      <c r="N1153" s="4" t="s">
        <v>68</v>
      </c>
      <c r="O1153" s="4" t="s">
        <v>69</v>
      </c>
      <c r="P1153" s="6">
        <v>44315.887037037035</v>
      </c>
      <c r="Q1153" s="4">
        <v>17447.0</v>
      </c>
      <c r="R1153" s="4"/>
      <c r="S1153" s="4"/>
      <c r="T1153" s="4"/>
      <c r="U1153" s="7"/>
      <c r="V1153" s="4"/>
      <c r="W1153" s="4"/>
      <c r="X1153" s="4"/>
      <c r="Y1153" s="4"/>
      <c r="Z1153" s="4"/>
      <c r="AA1153" s="5"/>
      <c r="AB1153" s="5"/>
      <c r="AC1153" s="5"/>
      <c r="AD1153" s="5"/>
      <c r="AE1153" s="5"/>
    </row>
    <row r="1154">
      <c r="A1154" s="4" t="s">
        <v>2418</v>
      </c>
      <c r="B1154" s="4"/>
      <c r="C1154" s="4" t="s">
        <v>1959</v>
      </c>
      <c r="D1154" s="4">
        <v>50040.0</v>
      </c>
      <c r="E1154" s="4"/>
      <c r="F1154" s="4" t="s">
        <v>1437</v>
      </c>
      <c r="G1154" s="4">
        <v>99.0</v>
      </c>
      <c r="H1154" s="4"/>
      <c r="I1154" s="4">
        <v>99.0</v>
      </c>
      <c r="J1154" s="4" t="s">
        <v>2419</v>
      </c>
      <c r="K1154" s="4">
        <v>9.19810810153E11</v>
      </c>
      <c r="L1154" s="4" t="s">
        <v>67</v>
      </c>
      <c r="M1154" s="4" t="b">
        <v>0</v>
      </c>
      <c r="N1154" s="4" t="s">
        <v>74</v>
      </c>
      <c r="O1154" s="4" t="s">
        <v>69</v>
      </c>
      <c r="P1154" s="6">
        <v>44315.89837962963</v>
      </c>
      <c r="Q1154" s="4">
        <v>17467.0</v>
      </c>
      <c r="R1154" s="4"/>
      <c r="S1154" s="4"/>
      <c r="T1154" s="4"/>
      <c r="U1154" s="7"/>
      <c r="V1154" s="4"/>
      <c r="W1154" s="4"/>
      <c r="X1154" s="4"/>
      <c r="Y1154" s="4"/>
      <c r="Z1154" s="4"/>
      <c r="AA1154" s="5"/>
      <c r="AB1154" s="5"/>
      <c r="AC1154" s="5"/>
      <c r="AD1154" s="5"/>
      <c r="AE1154" s="5"/>
    </row>
    <row r="1155">
      <c r="A1155" s="4" t="s">
        <v>2420</v>
      </c>
      <c r="B1155" s="4"/>
      <c r="C1155" s="4" t="s">
        <v>1982</v>
      </c>
      <c r="D1155" s="4">
        <v>50032.0</v>
      </c>
      <c r="E1155" s="4"/>
      <c r="F1155" s="4" t="s">
        <v>77</v>
      </c>
      <c r="G1155" s="4">
        <v>349.0</v>
      </c>
      <c r="H1155" s="4"/>
      <c r="I1155" s="4">
        <v>349.0</v>
      </c>
      <c r="J1155" s="4" t="s">
        <v>2421</v>
      </c>
      <c r="K1155" s="4">
        <v>9.19042803487E11</v>
      </c>
      <c r="L1155" s="4" t="s">
        <v>67</v>
      </c>
      <c r="M1155" s="4" t="b">
        <v>0</v>
      </c>
      <c r="N1155" s="4" t="s">
        <v>68</v>
      </c>
      <c r="O1155" s="4" t="s">
        <v>69</v>
      </c>
      <c r="P1155" s="6">
        <v>44315.91579861111</v>
      </c>
      <c r="Q1155" s="4">
        <v>18101.0</v>
      </c>
      <c r="R1155" s="4"/>
      <c r="S1155" s="4"/>
      <c r="T1155" s="4"/>
      <c r="U1155" s="8"/>
      <c r="V1155" s="4"/>
      <c r="W1155" s="4"/>
      <c r="X1155" s="4"/>
      <c r="Y1155" s="4"/>
      <c r="Z1155" s="4"/>
      <c r="AA1155" s="5"/>
      <c r="AB1155" s="5"/>
      <c r="AC1155" s="5"/>
      <c r="AD1155" s="5"/>
      <c r="AE1155" s="5"/>
    </row>
    <row r="1156">
      <c r="A1156" s="4" t="s">
        <v>2422</v>
      </c>
      <c r="B1156" s="4"/>
      <c r="C1156" s="4" t="s">
        <v>2161</v>
      </c>
      <c r="D1156" s="4">
        <v>49854.0</v>
      </c>
      <c r="E1156" s="4"/>
      <c r="F1156" s="4" t="s">
        <v>85</v>
      </c>
      <c r="G1156" s="4">
        <v>599.0</v>
      </c>
      <c r="H1156" s="4"/>
      <c r="I1156" s="4">
        <v>599.0</v>
      </c>
      <c r="J1156" s="4" t="s">
        <v>2423</v>
      </c>
      <c r="K1156" s="4">
        <v>9.19176097991E11</v>
      </c>
      <c r="L1156" s="4" t="s">
        <v>67</v>
      </c>
      <c r="M1156" s="4" t="b">
        <v>0</v>
      </c>
      <c r="N1156" s="4" t="s">
        <v>74</v>
      </c>
      <c r="O1156" s="4" t="s">
        <v>69</v>
      </c>
      <c r="P1156" s="6">
        <v>44316.35616898148</v>
      </c>
      <c r="Q1156" s="4">
        <v>17779.0</v>
      </c>
      <c r="R1156" s="4"/>
      <c r="S1156" s="4"/>
      <c r="T1156" s="4"/>
      <c r="U1156" s="7"/>
      <c r="V1156" s="4"/>
      <c r="W1156" s="4"/>
      <c r="X1156" s="4"/>
      <c r="Y1156" s="4"/>
      <c r="Z1156" s="4"/>
      <c r="AA1156" s="5"/>
      <c r="AB1156" s="5"/>
      <c r="AC1156" s="5"/>
      <c r="AD1156" s="5"/>
      <c r="AE1156" s="5"/>
    </row>
    <row r="1157">
      <c r="A1157" s="4" t="s">
        <v>2424</v>
      </c>
      <c r="B1157" s="4"/>
      <c r="C1157" s="4" t="s">
        <v>2161</v>
      </c>
      <c r="D1157" s="4">
        <v>49854.0</v>
      </c>
      <c r="E1157" s="4"/>
      <c r="F1157" s="4" t="s">
        <v>85</v>
      </c>
      <c r="G1157" s="4">
        <v>599.0</v>
      </c>
      <c r="H1157" s="4"/>
      <c r="I1157" s="4">
        <v>599.0</v>
      </c>
      <c r="J1157" s="4" t="s">
        <v>2425</v>
      </c>
      <c r="K1157" s="4">
        <v>9.1932520704E11</v>
      </c>
      <c r="L1157" s="4" t="s">
        <v>67</v>
      </c>
      <c r="M1157" s="4" t="b">
        <v>0</v>
      </c>
      <c r="N1157" s="4" t="s">
        <v>74</v>
      </c>
      <c r="O1157" s="4" t="s">
        <v>69</v>
      </c>
      <c r="P1157" s="6">
        <v>44316.4971875</v>
      </c>
      <c r="Q1157" s="4">
        <v>17757.0</v>
      </c>
      <c r="R1157" s="4"/>
      <c r="S1157" s="4"/>
      <c r="T1157" s="4"/>
      <c r="U1157" s="7"/>
      <c r="V1157" s="4"/>
      <c r="W1157" s="4"/>
      <c r="X1157" s="4"/>
      <c r="Y1157" s="4"/>
      <c r="Z1157" s="4"/>
      <c r="AA1157" s="5"/>
      <c r="AB1157" s="5"/>
      <c r="AC1157" s="5"/>
      <c r="AD1157" s="5"/>
      <c r="AE1157" s="5"/>
    </row>
    <row r="1158">
      <c r="A1158" s="4" t="s">
        <v>2426</v>
      </c>
      <c r="B1158" s="4"/>
      <c r="C1158" s="4" t="s">
        <v>2161</v>
      </c>
      <c r="D1158" s="4">
        <v>49854.0</v>
      </c>
      <c r="E1158" s="4"/>
      <c r="F1158" s="4" t="s">
        <v>85</v>
      </c>
      <c r="G1158" s="4">
        <v>599.0</v>
      </c>
      <c r="H1158" s="4"/>
      <c r="I1158" s="4">
        <v>599.0</v>
      </c>
      <c r="J1158" s="4" t="s">
        <v>2427</v>
      </c>
      <c r="K1158" s="4">
        <v>9.18360212381E11</v>
      </c>
      <c r="L1158" s="4" t="s">
        <v>67</v>
      </c>
      <c r="M1158" s="4" t="b">
        <v>0</v>
      </c>
      <c r="N1158" s="4" t="s">
        <v>97</v>
      </c>
      <c r="O1158" s="4" t="s">
        <v>69</v>
      </c>
      <c r="P1158" s="6">
        <v>44316.6896412037</v>
      </c>
      <c r="Q1158" s="4" t="s">
        <v>83</v>
      </c>
      <c r="R1158" s="4"/>
      <c r="S1158" s="4"/>
      <c r="T1158" s="4"/>
      <c r="U1158" s="7"/>
      <c r="V1158" s="4"/>
      <c r="W1158" s="4"/>
      <c r="X1158" s="4"/>
      <c r="Y1158" s="4"/>
      <c r="Z1158" s="4"/>
      <c r="AA1158" s="5"/>
      <c r="AB1158" s="5"/>
      <c r="AC1158" s="5"/>
      <c r="AD1158" s="5"/>
      <c r="AE1158" s="5"/>
    </row>
    <row r="1159">
      <c r="A1159" s="4" t="s">
        <v>2428</v>
      </c>
      <c r="B1159" s="4"/>
      <c r="C1159" s="4" t="s">
        <v>1979</v>
      </c>
      <c r="D1159" s="4">
        <v>50030.0</v>
      </c>
      <c r="E1159" s="4"/>
      <c r="F1159" s="4" t="s">
        <v>1437</v>
      </c>
      <c r="G1159" s="4">
        <v>99.0</v>
      </c>
      <c r="H1159" s="4"/>
      <c r="I1159" s="4">
        <v>99.0</v>
      </c>
      <c r="J1159" s="4" t="s">
        <v>2429</v>
      </c>
      <c r="K1159" s="4">
        <v>9.19075609137E11</v>
      </c>
      <c r="L1159" s="4" t="s">
        <v>67</v>
      </c>
      <c r="M1159" s="4" t="b">
        <v>0</v>
      </c>
      <c r="N1159" s="4" t="s">
        <v>68</v>
      </c>
      <c r="O1159" s="4" t="s">
        <v>69</v>
      </c>
      <c r="P1159" s="6">
        <v>44316.631273148145</v>
      </c>
      <c r="Q1159" s="4">
        <v>17491.0</v>
      </c>
      <c r="R1159" s="4"/>
      <c r="S1159" s="4"/>
      <c r="T1159" s="4"/>
      <c r="U1159" s="7"/>
      <c r="V1159" s="4"/>
      <c r="W1159" s="4"/>
      <c r="X1159" s="4"/>
      <c r="Y1159" s="4"/>
      <c r="Z1159" s="4"/>
      <c r="AA1159" s="5"/>
      <c r="AB1159" s="5"/>
      <c r="AC1159" s="5"/>
      <c r="AD1159" s="5"/>
      <c r="AE1159" s="5"/>
    </row>
    <row r="1160">
      <c r="A1160" s="4" t="s">
        <v>2430</v>
      </c>
      <c r="B1160" s="4"/>
      <c r="C1160" s="4" t="s">
        <v>2161</v>
      </c>
      <c r="D1160" s="4">
        <v>49854.0</v>
      </c>
      <c r="E1160" s="4"/>
      <c r="F1160" s="4" t="s">
        <v>85</v>
      </c>
      <c r="G1160" s="4">
        <v>599.0</v>
      </c>
      <c r="H1160" s="4"/>
      <c r="I1160" s="4">
        <v>599.0</v>
      </c>
      <c r="J1160" s="4" t="s">
        <v>2431</v>
      </c>
      <c r="K1160" s="4">
        <v>9.19813488868E11</v>
      </c>
      <c r="L1160" s="4" t="s">
        <v>67</v>
      </c>
      <c r="M1160" s="4" t="b">
        <v>0</v>
      </c>
      <c r="N1160" s="4" t="s">
        <v>68</v>
      </c>
      <c r="O1160" s="4" t="s">
        <v>69</v>
      </c>
      <c r="P1160" s="6">
        <v>44316.84712962963</v>
      </c>
      <c r="Q1160" s="4">
        <v>17872.0</v>
      </c>
      <c r="R1160" s="4"/>
      <c r="S1160" s="4"/>
      <c r="T1160" s="4"/>
      <c r="U1160" s="7"/>
      <c r="V1160" s="4"/>
      <c r="W1160" s="4"/>
      <c r="X1160" s="4"/>
      <c r="Y1160" s="4"/>
      <c r="Z1160" s="4"/>
      <c r="AA1160" s="5"/>
      <c r="AB1160" s="5"/>
      <c r="AC1160" s="5"/>
      <c r="AD1160" s="5"/>
      <c r="AE1160" s="5"/>
    </row>
    <row r="1161">
      <c r="A1161" s="4" t="s">
        <v>2432</v>
      </c>
      <c r="B1161" s="4"/>
      <c r="C1161" s="4" t="s">
        <v>2161</v>
      </c>
      <c r="D1161" s="4">
        <v>49854.0</v>
      </c>
      <c r="E1161" s="4"/>
      <c r="F1161" s="4" t="s">
        <v>85</v>
      </c>
      <c r="G1161" s="4">
        <v>599.0</v>
      </c>
      <c r="H1161" s="4"/>
      <c r="I1161" s="4">
        <v>599.0</v>
      </c>
      <c r="J1161" s="4" t="s">
        <v>2433</v>
      </c>
      <c r="K1161" s="4">
        <v>9.17209943488E11</v>
      </c>
      <c r="L1161" s="4" t="s">
        <v>67</v>
      </c>
      <c r="M1161" s="4" t="b">
        <v>0</v>
      </c>
      <c r="N1161" s="4" t="s">
        <v>68</v>
      </c>
      <c r="O1161" s="4" t="s">
        <v>69</v>
      </c>
      <c r="P1161" s="6">
        <v>44316.85040509259</v>
      </c>
      <c r="Q1161" s="4">
        <v>17740.0</v>
      </c>
      <c r="R1161" s="4"/>
      <c r="S1161" s="4"/>
      <c r="T1161" s="4"/>
      <c r="U1161" s="7"/>
      <c r="V1161" s="4"/>
      <c r="W1161" s="4"/>
      <c r="X1161" s="4"/>
      <c r="Y1161" s="4"/>
      <c r="Z1161" s="4"/>
      <c r="AA1161" s="5"/>
      <c r="AB1161" s="5"/>
      <c r="AC1161" s="5"/>
      <c r="AD1161" s="5"/>
      <c r="AE1161" s="5"/>
    </row>
    <row r="1162">
      <c r="A1162" s="4" t="s">
        <v>2434</v>
      </c>
      <c r="B1162" s="4"/>
      <c r="C1162" s="4" t="s">
        <v>2435</v>
      </c>
      <c r="D1162" s="4">
        <v>50061.0</v>
      </c>
      <c r="E1162" s="4"/>
      <c r="F1162" s="4" t="s">
        <v>2436</v>
      </c>
      <c r="G1162" s="4">
        <v>849.0</v>
      </c>
      <c r="H1162" s="4"/>
      <c r="I1162" s="4">
        <v>849.0</v>
      </c>
      <c r="J1162" s="4" t="s">
        <v>2437</v>
      </c>
      <c r="K1162" s="4">
        <v>3.3780318843E10</v>
      </c>
      <c r="L1162" s="4" t="s">
        <v>67</v>
      </c>
      <c r="M1162" s="4" t="b">
        <v>0</v>
      </c>
      <c r="N1162" s="4" t="s">
        <v>74</v>
      </c>
      <c r="O1162" s="4" t="s">
        <v>69</v>
      </c>
      <c r="P1162" s="6">
        <v>44315.76592592592</v>
      </c>
      <c r="Q1162" s="4" t="s">
        <v>83</v>
      </c>
      <c r="R1162" s="4"/>
      <c r="S1162" s="4"/>
      <c r="T1162" s="4"/>
      <c r="U1162" s="7"/>
      <c r="V1162" s="4"/>
      <c r="W1162" s="4"/>
      <c r="X1162" s="4"/>
      <c r="Y1162" s="4"/>
      <c r="Z1162" s="4"/>
      <c r="AA1162" s="5"/>
      <c r="AB1162" s="5"/>
      <c r="AC1162" s="5"/>
      <c r="AD1162" s="5"/>
      <c r="AE1162" s="5"/>
    </row>
    <row r="1163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</row>
    <row r="1164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</row>
    <row r="116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</row>
    <row r="1166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</row>
    <row r="1167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</row>
    <row r="1168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</row>
    <row r="1169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</row>
    <row r="1170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</row>
    <row r="117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</row>
    <row r="1172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</row>
    <row r="1173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</row>
    <row r="1174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</row>
    <row r="117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</row>
    <row r="1176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</row>
    <row r="1177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</row>
    <row r="1178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</row>
    <row r="1179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</row>
    <row r="1180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</row>
    <row r="118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</row>
    <row r="1182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</row>
    <row r="1183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</row>
    <row r="1184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</row>
    <row r="118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</row>
    <row r="1186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</row>
    <row r="1187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</row>
    <row r="1188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</row>
    <row r="1189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</row>
    <row r="1190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</row>
    <row r="119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</row>
    <row r="1192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</row>
    <row r="1193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</row>
    <row r="1194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</row>
    <row r="119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</row>
    <row r="1196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</row>
    <row r="1197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</row>
    <row r="1198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</row>
    <row r="1199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</row>
    <row r="1200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</row>
    <row r="120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</row>
    <row r="1202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</row>
    <row r="1203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</row>
    <row r="1204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</row>
    <row r="120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</row>
    <row r="1206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</row>
    <row r="1207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</row>
    <row r="1208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</row>
    <row r="1209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</row>
    <row r="1210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</row>
    <row r="121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</row>
    <row r="1212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</row>
    <row r="1213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</row>
    <row r="1214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</row>
    <row r="121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</row>
    <row r="1216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</row>
    <row r="1217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</row>
    <row r="1218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</row>
    <row r="1219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</row>
    <row r="1220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</row>
    <row r="122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</row>
    <row r="1222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</row>
    <row r="1223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</row>
    <row r="1224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</row>
    <row r="12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</row>
    <row r="1226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</row>
    <row r="1227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</row>
    <row r="1228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</row>
    <row r="1229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</row>
    <row r="1230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</row>
    <row r="123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</row>
    <row r="1232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</row>
    <row r="1233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</row>
    <row r="1234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</row>
    <row r="12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</row>
    <row r="1236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</row>
    <row r="1239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</row>
    <row r="1240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</row>
    <row r="124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</row>
    <row r="1242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</row>
    <row r="1243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</row>
    <row r="1244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</row>
    <row r="124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</row>
    <row r="1246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</row>
    <row r="1247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</row>
    <row r="1248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</row>
    <row r="1249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</row>
    <row r="1250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</row>
    <row r="125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</row>
    <row r="1252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</row>
    <row r="1253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</row>
    <row r="1254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</row>
    <row r="125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</row>
    <row r="1256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</row>
    <row r="1257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</row>
    <row r="1258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</row>
    <row r="1259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</row>
    <row r="1260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</row>
    <row r="126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</row>
    <row r="1262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</row>
    <row r="1263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</row>
    <row r="1264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</row>
    <row r="126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</row>
    <row r="1266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</row>
    <row r="1267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</row>
    <row r="1268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</row>
    <row r="1269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</row>
    <row r="1270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</row>
    <row r="127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</row>
    <row r="1272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</row>
    <row r="1273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</row>
    <row r="1274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</row>
    <row r="127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</row>
    <row r="1276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</row>
    <row r="1277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</row>
    <row r="1278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</row>
    <row r="1279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</row>
    <row r="1280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</row>
    <row r="128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</row>
    <row r="1282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</row>
    <row r="1283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</row>
    <row r="1284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</row>
    <row r="128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</row>
    <row r="1286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</row>
    <row r="1287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</row>
    <row r="1288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</row>
    <row r="1289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</row>
    <row r="1290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</row>
    <row r="129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</row>
    <row r="1292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</row>
    <row r="1293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</row>
    <row r="1294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</row>
    <row r="129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</row>
    <row r="1296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</row>
    <row r="1297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</row>
    <row r="1298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</row>
    <row r="1299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</row>
    <row r="1300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</row>
    <row r="130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</row>
    <row r="1302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</row>
    <row r="1303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</row>
    <row r="1304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</row>
    <row r="130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</row>
    <row r="1306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</row>
    <row r="1307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</row>
    <row r="1308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</row>
    <row r="1309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</row>
    <row r="1310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</row>
    <row r="131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</row>
    <row r="1312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</row>
    <row r="1313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</row>
    <row r="1314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</row>
    <row r="131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</row>
    <row r="1316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</row>
    <row r="1317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</row>
    <row r="1318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</row>
    <row r="1319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</row>
    <row r="1320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</row>
    <row r="132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</row>
    <row r="1322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</row>
    <row r="1323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</row>
    <row r="1324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</row>
    <row r="13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</row>
    <row r="1326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</row>
    <row r="1327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</row>
    <row r="1328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</row>
    <row r="1329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</row>
    <row r="1330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</row>
    <row r="133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</row>
    <row r="1332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</row>
    <row r="1333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</row>
    <row r="1334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</row>
    <row r="13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</row>
    <row r="1336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</row>
    <row r="1337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</row>
    <row r="1338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</row>
    <row r="1339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</row>
    <row r="1340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</row>
    <row r="134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</row>
    <row r="1342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</row>
    <row r="1343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</row>
    <row r="1344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</row>
    <row r="134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</row>
    <row r="1346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</row>
    <row r="1347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</row>
    <row r="1348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</row>
    <row r="1349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</row>
    <row r="1350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</row>
    <row r="135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</row>
    <row r="1352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</row>
    <row r="1353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</row>
    <row r="1354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</row>
    <row r="135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</row>
    <row r="1356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</row>
    <row r="1357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</row>
    <row r="1358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</row>
    <row r="1359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</row>
    <row r="1360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</row>
    <row r="136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</row>
    <row r="1362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</row>
    <row r="1363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</row>
    <row r="1364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</row>
    <row r="136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</row>
    <row r="1366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</row>
    <row r="1367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</row>
    <row r="1368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</row>
    <row r="1369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</row>
    <row r="1370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</row>
    <row r="137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</row>
    <row r="1372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</row>
    <row r="1373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</row>
    <row r="1374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</row>
    <row r="137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</row>
    <row r="1376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</row>
    <row r="1377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</row>
    <row r="1378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</row>
    <row r="1379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</row>
    <row r="1380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</row>
    <row r="138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</row>
    <row r="1382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</row>
    <row r="1383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</row>
    <row r="1384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</row>
    <row r="138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</row>
    <row r="1386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</row>
    <row r="1387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</row>
    <row r="1388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</row>
    <row r="1389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</row>
    <row r="1390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</row>
    <row r="139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</row>
    <row r="1392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</row>
    <row r="1393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</row>
    <row r="1394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</row>
    <row r="139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</row>
    <row r="1396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</row>
    <row r="1397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</row>
    <row r="1398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</row>
    <row r="1399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</row>
    <row r="1400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</row>
    <row r="1401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</row>
    <row r="1402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</row>
    <row r="1403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</row>
    <row r="1404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</row>
    <row r="140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</row>
    <row r="1406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</row>
    <row r="1407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</row>
    <row r="1408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</row>
    <row r="1409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</row>
    <row r="1410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</row>
    <row r="141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</row>
    <row r="1412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</row>
    <row r="1413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</row>
    <row r="1414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</row>
    <row r="141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</row>
    <row r="1416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</row>
    <row r="1417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</row>
    <row r="1418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</row>
    <row r="1419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</row>
    <row r="1420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</row>
    <row r="142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</row>
    <row r="1422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</row>
    <row r="1423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</row>
    <row r="1424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</row>
    <row r="14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</row>
    <row r="1426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</row>
    <row r="1427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</row>
    <row r="1428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</row>
    <row r="1429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</row>
    <row r="1430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</row>
    <row r="143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</row>
    <row r="1432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</row>
    <row r="1433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</row>
    <row r="1434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</row>
    <row r="14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</row>
    <row r="1436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</row>
    <row r="1437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</row>
    <row r="1438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</row>
    <row r="1439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</row>
    <row r="1440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</row>
    <row r="144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</row>
    <row r="1442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</row>
    <row r="1443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</row>
    <row r="1444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</row>
    <row r="144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</row>
    <row r="1446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</row>
    <row r="1447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</row>
    <row r="1448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</row>
    <row r="1449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</row>
    <row r="1450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</row>
    <row r="145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</row>
    <row r="1452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</row>
    <row r="1453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</row>
    <row r="1454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</row>
    <row r="145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</row>
    <row r="1456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</row>
    <row r="1457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</row>
    <row r="1458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</row>
    <row r="1459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</row>
    <row r="1460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</row>
    <row r="146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</row>
    <row r="1462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</row>
    <row r="1463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</row>
    <row r="1464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</row>
    <row r="146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</row>
    <row r="1466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</row>
    <row r="1467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</row>
    <row r="1468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</row>
    <row r="1469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</row>
    <row r="1470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</row>
    <row r="147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</row>
    <row r="1472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</row>
    <row r="1473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</row>
    <row r="1474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</row>
    <row r="147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</row>
    <row r="1476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</row>
    <row r="1477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</row>
    <row r="1478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</row>
    <row r="1479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</row>
    <row r="1480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</row>
    <row r="148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</row>
    <row r="1482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</row>
    <row r="1483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</row>
    <row r="1484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</row>
    <row r="148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</row>
    <row r="1486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</row>
    <row r="1487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</row>
    <row r="1488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</row>
    <row r="1489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</row>
    <row r="1490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</row>
    <row r="149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</row>
    <row r="1492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</row>
    <row r="1493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</row>
    <row r="1494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</row>
    <row r="149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</row>
    <row r="1496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</row>
    <row r="1497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</row>
    <row r="1498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</row>
    <row r="1499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</row>
    <row r="1500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</row>
    <row r="150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</row>
    <row r="1502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</row>
    <row r="1503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</row>
    <row r="1504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</row>
    <row r="150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</row>
    <row r="1506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</row>
    <row r="1507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</row>
    <row r="1508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</row>
    <row r="1509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</row>
    <row r="1510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</row>
    <row r="151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</row>
    <row r="1512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</row>
    <row r="1513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</row>
    <row r="1514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</row>
    <row r="151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</row>
    <row r="1516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</row>
    <row r="1517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</row>
    <row r="1518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</row>
    <row r="1519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</row>
    <row r="1520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</row>
    <row r="152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</row>
    <row r="1522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</row>
    <row r="1523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</row>
    <row r="1524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</row>
    <row r="15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</row>
    <row r="1526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</row>
    <row r="1527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</row>
    <row r="1528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</row>
    <row r="1529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</row>
    <row r="1530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</row>
    <row r="153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</row>
    <row r="1532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</row>
    <row r="1533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</row>
    <row r="1534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</row>
    <row r="15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</row>
    <row r="1536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</row>
    <row r="1537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</row>
    <row r="1538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</row>
    <row r="1539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</row>
    <row r="1540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</row>
    <row r="154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</row>
    <row r="1542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</row>
    <row r="1543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</row>
    <row r="1544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</row>
    <row r="154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</row>
    <row r="1546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</row>
    <row r="1547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</row>
    <row r="1548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</row>
    <row r="1549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</row>
    <row r="1550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</row>
    <row r="155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</row>
    <row r="1552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</row>
    <row r="1553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</row>
    <row r="1554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</row>
    <row r="155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</row>
    <row r="1556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</row>
    <row r="1557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</row>
    <row r="1558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</row>
    <row r="1559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</row>
    <row r="1560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</row>
    <row r="156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</row>
    <row r="1562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</row>
    <row r="1563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</row>
    <row r="1564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</row>
    <row r="156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</row>
    <row r="1566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</row>
    <row r="1567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</row>
    <row r="1568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</row>
    <row r="1569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</row>
    <row r="1570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</row>
    <row r="157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</row>
    <row r="1572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</row>
    <row r="1573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</row>
    <row r="1574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</row>
    <row r="157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</row>
    <row r="1576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</row>
    <row r="1577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</row>
    <row r="1578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</row>
    <row r="1579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</row>
    <row r="1580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</row>
    <row r="158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</row>
    <row r="1582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</row>
    <row r="1583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</row>
    <row r="1584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</row>
    <row r="158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</row>
    <row r="1586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</row>
    <row r="1587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</row>
    <row r="1588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</row>
    <row r="1589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</row>
    <row r="1590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</row>
    <row r="159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</row>
    <row r="1592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</row>
    <row r="1593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</row>
    <row r="1594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</row>
    <row r="159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</row>
    <row r="1596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</row>
    <row r="1597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</row>
    <row r="1598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</row>
    <row r="1599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</row>
    <row r="1600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</row>
    <row r="160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</row>
    <row r="1602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</row>
    <row r="1603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</row>
    <row r="1604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</row>
    <row r="160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</row>
    <row r="1606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</row>
    <row r="1607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</row>
    <row r="1608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</row>
    <row r="1609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</row>
    <row r="1610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</row>
    <row r="161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</row>
    <row r="1612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</row>
    <row r="1613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</row>
    <row r="1614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</row>
    <row r="161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</row>
    <row r="1616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</row>
    <row r="1617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</row>
    <row r="1618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</row>
    <row r="1619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</row>
    <row r="1620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</row>
    <row r="162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</row>
    <row r="1622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</row>
    <row r="1623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</row>
    <row r="1624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</row>
    <row r="16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</row>
    <row r="1626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</row>
    <row r="1627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</row>
    <row r="1628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</row>
    <row r="1629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</row>
    <row r="1630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</row>
    <row r="163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</row>
    <row r="1632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</row>
    <row r="1633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</row>
    <row r="1634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</row>
    <row r="16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</row>
    <row r="1636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</row>
    <row r="1637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</row>
    <row r="1638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</row>
    <row r="1639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</row>
    <row r="1640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</row>
    <row r="164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</row>
    <row r="1642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</row>
    <row r="1643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</row>
    <row r="1644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</row>
    <row r="164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</row>
    <row r="1646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</row>
    <row r="1647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</row>
    <row r="1648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</row>
    <row r="1649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</row>
    <row r="1650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</row>
    <row r="165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</row>
    <row r="1652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</row>
    <row r="1653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</row>
    <row r="1654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</row>
    <row r="165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</row>
    <row r="1656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</row>
    <row r="1657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</row>
    <row r="1658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</row>
    <row r="1659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</row>
    <row r="1660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</row>
    <row r="166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</row>
    <row r="1662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</row>
    <row r="1663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</row>
    <row r="1664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</row>
    <row r="166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</row>
    <row r="1666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</row>
    <row r="1667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</row>
    <row r="1668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</row>
    <row r="1669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</row>
    <row r="1670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</row>
    <row r="167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</row>
    <row r="1672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</row>
    <row r="1673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</row>
    <row r="1674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</row>
    <row r="167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</row>
    <row r="1676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</row>
    <row r="1677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</row>
    <row r="1678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</row>
    <row r="1679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</row>
    <row r="1680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</row>
    <row r="168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</row>
    <row r="1682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</row>
    <row r="1683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</row>
    <row r="1684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</row>
    <row r="168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</row>
    <row r="1686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</row>
    <row r="1687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</row>
    <row r="1688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</row>
    <row r="1689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</row>
    <row r="1690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</row>
    <row r="169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</row>
    <row r="1692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</row>
    <row r="1693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</row>
    <row r="1694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</row>
    <row r="169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</row>
    <row r="1696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</row>
    <row r="1697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</row>
    <row r="1698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</row>
    <row r="1699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</row>
    <row r="1700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</row>
    <row r="170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</row>
    <row r="1702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</row>
    <row r="1703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</row>
    <row r="1704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</row>
    <row r="170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</row>
    <row r="1706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</row>
    <row r="1707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</row>
    <row r="1708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</row>
    <row r="1709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</row>
    <row r="1710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</row>
    <row r="171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</row>
    <row r="1712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</row>
    <row r="1713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</row>
    <row r="1714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</row>
    <row r="171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</row>
    <row r="1716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</row>
    <row r="1717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</row>
    <row r="1718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</row>
    <row r="1719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</row>
    <row r="1720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</row>
    <row r="172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</row>
    <row r="1722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</row>
    <row r="1723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</row>
    <row r="1724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</row>
    <row r="17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</row>
    <row r="1726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</row>
    <row r="1727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</row>
    <row r="1728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</row>
    <row r="1729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</row>
    <row r="1730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</row>
    <row r="173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</row>
    <row r="1732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</row>
    <row r="1733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</row>
    <row r="1734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</row>
    <row r="17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</row>
    <row r="1736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</row>
    <row r="1737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</row>
    <row r="1738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</row>
    <row r="1739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</row>
    <row r="1740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</row>
    <row r="174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</row>
    <row r="1742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</row>
    <row r="1743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</row>
    <row r="1744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</row>
    <row r="174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</row>
    <row r="1746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</row>
    <row r="1747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</row>
    <row r="1748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</row>
    <row r="1749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</row>
    <row r="1750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</row>
    <row r="175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</row>
    <row r="1752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</row>
    <row r="1753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</row>
    <row r="1754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</row>
    <row r="175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</row>
    <row r="1756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</row>
    <row r="1757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</row>
    <row r="1758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</row>
    <row r="1759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</row>
    <row r="1760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</row>
    <row r="176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</row>
    <row r="1762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</row>
    <row r="1763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</row>
    <row r="1764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</row>
    <row r="176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</row>
    <row r="1766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</row>
    <row r="1767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</row>
    <row r="1768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</row>
    <row r="1769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</row>
    <row r="1770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</row>
    <row r="177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</row>
    <row r="1772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</row>
    <row r="1773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</row>
    <row r="1774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</row>
    <row r="177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</row>
    <row r="1776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</row>
    <row r="1777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</row>
    <row r="1778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</row>
    <row r="1779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</row>
    <row r="1780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</row>
    <row r="178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</row>
    <row r="1782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</row>
    <row r="1783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</row>
    <row r="1784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</row>
    <row r="178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</row>
    <row r="1786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</row>
    <row r="1787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</row>
    <row r="1788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</row>
    <row r="1789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</row>
    <row r="1790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</row>
    <row r="179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</row>
    <row r="1792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</row>
    <row r="1793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</row>
    <row r="1794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</row>
    <row r="179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</row>
    <row r="1796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</row>
    <row r="1797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</row>
    <row r="1798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</row>
    <row r="1799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</row>
    <row r="1800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</row>
    <row r="180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</row>
    <row r="1802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</row>
    <row r="1803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</row>
    <row r="1804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</row>
    <row r="180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</row>
    <row r="1806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</row>
    <row r="1807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</row>
    <row r="1808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</row>
    <row r="1809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</row>
    <row r="1810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</row>
    <row r="181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</row>
    <row r="1812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</row>
    <row r="1813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</row>
    <row r="1814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</row>
    <row r="181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</row>
    <row r="1816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</row>
    <row r="1817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</row>
    <row r="1818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</row>
    <row r="1819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</row>
    <row r="1820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</row>
    <row r="182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</row>
    <row r="1822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</row>
    <row r="1823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</row>
    <row r="1824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</row>
    <row r="18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</row>
    <row r="1826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</row>
    <row r="1827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</row>
    <row r="1828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</row>
    <row r="1829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</row>
    <row r="1830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</row>
    <row r="183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</row>
    <row r="1832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</row>
    <row r="1833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</row>
    <row r="1834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</row>
    <row r="18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</row>
    <row r="1836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</row>
    <row r="1837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</row>
    <row r="1838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</row>
    <row r="1839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</row>
    <row r="1840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</row>
    <row r="184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</row>
    <row r="1842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</row>
    <row r="1843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</row>
    <row r="1844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</row>
    <row r="184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</row>
    <row r="1846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</row>
    <row r="1847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</row>
    <row r="1848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</row>
    <row r="1849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</row>
    <row r="1850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</row>
    <row r="185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</row>
    <row r="1852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</row>
    <row r="1853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</row>
    <row r="1854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</row>
    <row r="185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</row>
    <row r="1856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</row>
    <row r="1857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</row>
    <row r="1858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</row>
    <row r="1859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</row>
    <row r="1860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</row>
    <row r="186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</row>
    <row r="1862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</row>
    <row r="1863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</row>
    <row r="1864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</row>
    <row r="186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</row>
    <row r="1866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</row>
    <row r="1867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</row>
    <row r="1868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</row>
    <row r="1869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</row>
    <row r="1870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</row>
    <row r="187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</row>
    <row r="1872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</row>
    <row r="1873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</row>
    <row r="1874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</row>
    <row r="187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</row>
    <row r="1876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</row>
    <row r="1877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</row>
    <row r="1878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</row>
    <row r="1879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</row>
    <row r="1880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</row>
    <row r="188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</row>
    <row r="1882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</row>
    <row r="1883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</row>
    <row r="1884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</row>
    <row r="188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</row>
    <row r="1886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</row>
    <row r="1887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</row>
    <row r="1888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</row>
    <row r="1889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</row>
    <row r="1890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</row>
    <row r="189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</row>
    <row r="1892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</row>
    <row r="1893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</row>
    <row r="1894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</row>
    <row r="189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</row>
    <row r="1896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</row>
    <row r="1897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</row>
    <row r="1898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</row>
    <row r="1899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</row>
    <row r="1900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</row>
    <row r="190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</row>
    <row r="1902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</row>
    <row r="1903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</row>
    <row r="1904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</row>
    <row r="190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</row>
    <row r="1906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</row>
    <row r="1907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</row>
    <row r="1908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</row>
    <row r="1909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</row>
    <row r="1910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</row>
    <row r="191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</row>
    <row r="1912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</row>
    <row r="1913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</row>
    <row r="1914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</row>
    <row r="191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</row>
    <row r="1916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</row>
    <row r="1917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</row>
    <row r="1918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</row>
    <row r="1919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</row>
    <row r="1920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</row>
    <row r="192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</row>
    <row r="1922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</row>
    <row r="1923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</row>
    <row r="1924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</row>
    <row r="19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</row>
    <row r="1926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</row>
    <row r="1927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</row>
    <row r="1928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</row>
    <row r="1929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</row>
    <row r="1930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</row>
    <row r="193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</row>
    <row r="1932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</row>
    <row r="1933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</row>
    <row r="1934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</row>
    <row r="19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</row>
    <row r="1936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</row>
    <row r="1937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</row>
    <row r="1938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</row>
    <row r="1939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</row>
    <row r="1940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</row>
    <row r="194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</row>
    <row r="1942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</row>
    <row r="1943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</row>
    <row r="1944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</row>
    <row r="194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</row>
    <row r="1946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</row>
    <row r="1947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</row>
    <row r="1948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</row>
    <row r="1949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</row>
    <row r="1950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</row>
    <row r="195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</row>
    <row r="1952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</row>
    <row r="1953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</row>
    <row r="1954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</row>
    <row r="195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</row>
    <row r="1956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</row>
    <row r="1957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</row>
    <row r="1958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</row>
    <row r="1959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</row>
    <row r="1960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</row>
    <row r="196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</row>
    <row r="1962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</row>
    <row r="1963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</row>
    <row r="1964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</row>
    <row r="196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</row>
    <row r="1966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</row>
    <row r="1967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</row>
    <row r="1968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</row>
    <row r="1969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</row>
    <row r="1970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</row>
    <row r="197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</row>
    <row r="1972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</row>
    <row r="1973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</row>
    <row r="1974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</row>
    <row r="197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</row>
    <row r="1976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</row>
    <row r="1977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</row>
    <row r="1978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</row>
    <row r="1979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</row>
    <row r="1980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</row>
    <row r="198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</row>
    <row r="1982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</row>
    <row r="1983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</row>
    <row r="1984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</row>
    <row r="198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</row>
    <row r="1986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</row>
    <row r="1987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</row>
    <row r="1988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</row>
    <row r="1989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</row>
    <row r="1990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</row>
    <row r="199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</row>
    <row r="1992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</row>
    <row r="1993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</row>
    <row r="1994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</row>
    <row r="199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</row>
    <row r="1996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</row>
    <row r="1997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</row>
    <row r="1998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</row>
    <row r="1999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</row>
    <row r="2000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</row>
    <row r="200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</row>
    <row r="2002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</row>
    <row r="2003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</row>
    <row r="2004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</row>
    <row r="200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</row>
    <row r="2006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</row>
    <row r="2007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</row>
    <row r="2008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</row>
    <row r="2009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</row>
    <row r="2010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</row>
    <row r="201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</row>
    <row r="2012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</row>
    <row r="2013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</row>
    <row r="2014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</row>
    <row r="201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</row>
    <row r="2016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</row>
    <row r="2017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</row>
    <row r="2018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</row>
    <row r="2019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</row>
    <row r="2020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</row>
    <row r="202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</row>
    <row r="2022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</row>
    <row r="2023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</row>
    <row r="2024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</row>
    <row r="20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</row>
    <row r="2026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</row>
    <row r="2027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</row>
    <row r="2028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</row>
    <row r="2029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</row>
    <row r="2030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</row>
    <row r="203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</row>
    <row r="2032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</row>
    <row r="2033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</row>
    <row r="2034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</row>
    <row r="203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</row>
    <row r="2036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</row>
    <row r="2037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</row>
    <row r="2038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</row>
    <row r="2039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</row>
    <row r="2040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</row>
    <row r="204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</row>
    <row r="2042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</row>
    <row r="2043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</row>
    <row r="2044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</row>
    <row r="204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</row>
    <row r="2046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</row>
    <row r="2047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</row>
    <row r="2048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</row>
    <row r="2049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</row>
    <row r="2050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</row>
    <row r="205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</row>
    <row r="2052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</row>
    <row r="2053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</row>
    <row r="2054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</row>
    <row r="205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</row>
    <row r="2056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</row>
    <row r="2057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</row>
    <row r="2058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</row>
    <row r="2059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</row>
    <row r="2060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</row>
    <row r="206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</row>
    <row r="2062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</row>
    <row r="2063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</row>
    <row r="2064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</row>
    <row r="206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</row>
    <row r="2066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</row>
    <row r="2067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</row>
    <row r="2068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</row>
    <row r="2069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</row>
    <row r="2070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</row>
    <row r="207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</row>
    <row r="2072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</row>
    <row r="2073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</row>
    <row r="2074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</row>
    <row r="207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</row>
    <row r="2076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</row>
    <row r="2077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</row>
    <row r="2078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</row>
    <row r="2079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</row>
    <row r="2080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</row>
    <row r="208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</row>
    <row r="2082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</row>
    <row r="2083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</row>
    <row r="2084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</row>
    <row r="208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</row>
    <row r="2086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</row>
    <row r="2087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</row>
    <row r="2088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</row>
    <row r="2089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</row>
    <row r="2090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</row>
    <row r="209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</row>
    <row r="2092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</row>
    <row r="2093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</row>
    <row r="2094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</row>
    <row r="209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</row>
    <row r="2096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</row>
    <row r="2097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</row>
    <row r="2098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</row>
    <row r="2099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</row>
    <row r="2100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</row>
    <row r="210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</row>
    <row r="2102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</row>
    <row r="2103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</row>
    <row r="2104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</row>
    <row r="210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</row>
    <row r="2106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</row>
    <row r="2107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</row>
    <row r="2108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</row>
    <row r="2109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</row>
    <row r="2110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</row>
    <row r="211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</row>
    <row r="2112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</row>
    <row r="2113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</row>
    <row r="2114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</row>
    <row r="211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</row>
    <row r="2116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</row>
    <row r="2117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</row>
    <row r="2118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</row>
    <row r="21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</row>
    <row r="2120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</row>
    <row r="212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</row>
    <row r="2122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</row>
    <row r="2123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</row>
    <row r="2124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</row>
    <row r="21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</row>
    <row r="2126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</row>
    <row r="2127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</row>
    <row r="2128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</row>
    <row r="212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</row>
    <row r="2130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</row>
    <row r="213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</row>
    <row r="2132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</row>
    <row r="2133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</row>
    <row r="2134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</row>
    <row r="213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</row>
    <row r="2136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</row>
    <row r="2137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</row>
    <row r="2138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</row>
    <row r="213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</row>
    <row r="2140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</row>
    <row r="214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</row>
    <row r="2142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</row>
    <row r="2143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</row>
    <row r="2144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</row>
    <row r="214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</row>
    <row r="2146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</row>
    <row r="2147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</row>
    <row r="2148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</row>
    <row r="214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</row>
    <row r="2150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</row>
    <row r="215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</row>
    <row r="2152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</row>
    <row r="2153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</row>
    <row r="2154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</row>
    <row r="215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</row>
    <row r="2156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</row>
    <row r="2157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</row>
    <row r="2158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</row>
    <row r="215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</row>
    <row r="2160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</row>
    <row r="216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</row>
    <row r="2162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</row>
    <row r="2163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</row>
    <row r="2164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</row>
    <row r="216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</row>
    <row r="2166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</row>
    <row r="2167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</row>
    <row r="2168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</row>
    <row r="216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</row>
    <row r="2170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</row>
    <row r="2171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</row>
    <row r="2172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</row>
    <row r="2173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</row>
    <row r="2174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</row>
    <row r="217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</row>
    <row r="2176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</row>
    <row r="2177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</row>
    <row r="2178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</row>
    <row r="217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</row>
    <row r="2180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</row>
    <row r="2181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</row>
    <row r="2182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</row>
    <row r="2183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</row>
    <row r="2184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</row>
    <row r="218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</row>
    <row r="2186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</row>
    <row r="2187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</row>
    <row r="2188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</row>
    <row r="218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</row>
    <row r="2190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</row>
    <row r="2191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</row>
    <row r="2192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</row>
    <row r="2193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</row>
    <row r="2194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</row>
    <row r="219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</row>
    <row r="2196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</row>
    <row r="2197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</row>
    <row r="2198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</row>
    <row r="219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</row>
    <row r="2200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</row>
    <row r="220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</row>
    <row r="2202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</row>
    <row r="2203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</row>
    <row r="2204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</row>
    <row r="220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</row>
    <row r="2206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</row>
    <row r="2207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</row>
    <row r="2208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</row>
    <row r="220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</row>
    <row r="2210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</row>
    <row r="2211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</row>
    <row r="2212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3" max="3" width="19.57"/>
    <col customWidth="1" min="10" max="10" width="16.0"/>
    <col customWidth="1" min="19" max="19" width="17.0"/>
  </cols>
  <sheetData>
    <row r="1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53</v>
      </c>
      <c r="J1" s="4" t="s">
        <v>54</v>
      </c>
      <c r="K1" s="4" t="s">
        <v>2438</v>
      </c>
      <c r="L1" s="4" t="str">
        <f t="shared" ref="L1:L2753" si="1">CONCAT(J1,K1)</f>
        <v>emailphone</v>
      </c>
      <c r="M1" s="9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2439</v>
      </c>
      <c r="S1" s="4" t="s">
        <v>62</v>
      </c>
      <c r="T1" s="4" t="s">
        <v>2440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</row>
    <row r="2">
      <c r="A2" s="4" t="str">
        <f>VLOOKUP(L2,payment_ids!C:D,2,FALSE)</f>
        <v>pay_HLNuFmG6aNQ5Zz</v>
      </c>
      <c r="B2" s="4"/>
      <c r="C2" s="4" t="s">
        <v>2441</v>
      </c>
      <c r="D2" s="4">
        <v>50143.0</v>
      </c>
      <c r="E2" s="5"/>
      <c r="F2" s="4">
        <v>6.0</v>
      </c>
      <c r="G2" s="4">
        <v>999.0</v>
      </c>
      <c r="H2" s="4"/>
      <c r="I2" s="4">
        <v>999.0</v>
      </c>
      <c r="J2" s="4" t="s">
        <v>2442</v>
      </c>
      <c r="K2" s="5">
        <f>+918283088675</f>
        <v>918283088675</v>
      </c>
      <c r="L2" s="4" t="str">
        <f t="shared" si="1"/>
        <v>thehappypankaj@yahoo.com918283088675</v>
      </c>
      <c r="M2" s="10" t="s">
        <v>67</v>
      </c>
      <c r="N2" s="4" t="b">
        <v>0</v>
      </c>
      <c r="O2" s="4" t="str">
        <f>VLOOKUP(A2,payment_ids!D:E,2,FALSE)</f>
        <v>upi</v>
      </c>
      <c r="P2" s="4" t="s">
        <v>69</v>
      </c>
      <c r="Q2" s="11">
        <v>44475.819444444445</v>
      </c>
      <c r="R2" s="4"/>
      <c r="S2" s="12" t="s">
        <v>2443</v>
      </c>
      <c r="T2" s="4" t="s">
        <v>2444</v>
      </c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</row>
    <row r="3">
      <c r="A3" s="4" t="str">
        <f>VLOOKUP(L3,payment_ids!C:D,2,FALSE)</f>
        <v>pay_HNDFyxw24p8Ojm</v>
      </c>
      <c r="B3" s="4"/>
      <c r="C3" s="4" t="s">
        <v>2441</v>
      </c>
      <c r="D3" s="4">
        <v>50143.0</v>
      </c>
      <c r="E3" s="5"/>
      <c r="F3" s="4">
        <v>1.0</v>
      </c>
      <c r="G3" s="4">
        <v>199.0</v>
      </c>
      <c r="H3" s="4"/>
      <c r="I3" s="4">
        <v>199.0</v>
      </c>
      <c r="J3" s="4" t="s">
        <v>2445</v>
      </c>
      <c r="K3" s="5">
        <f>+919808881888</f>
        <v>919808881888</v>
      </c>
      <c r="L3" s="4" t="str">
        <f t="shared" si="1"/>
        <v>pakhi.garg95@gmail.com919808881888</v>
      </c>
      <c r="M3" s="10" t="s">
        <v>67</v>
      </c>
      <c r="N3" s="4" t="b">
        <v>0</v>
      </c>
      <c r="O3" s="4" t="str">
        <f>VLOOKUP(A3,payment_ids!D:E,2,FALSE)</f>
        <v>upi</v>
      </c>
      <c r="P3" s="4" t="s">
        <v>69</v>
      </c>
      <c r="Q3" s="4" t="s">
        <v>2446</v>
      </c>
      <c r="R3" s="4"/>
      <c r="S3" s="12" t="s">
        <v>2443</v>
      </c>
      <c r="T3" s="4" t="s">
        <v>2444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5"/>
      <c r="AI3" s="5"/>
      <c r="AJ3" s="5"/>
      <c r="AK3" s="5"/>
      <c r="AL3" s="5"/>
    </row>
    <row r="4">
      <c r="A4" s="4" t="str">
        <f>VLOOKUP(L4,payment_ids!C:D,2,FALSE)</f>
        <v>pay_HNTFkn45M6JhsN</v>
      </c>
      <c r="B4" s="4"/>
      <c r="C4" s="4" t="s">
        <v>2441</v>
      </c>
      <c r="D4" s="4">
        <v>50143.0</v>
      </c>
      <c r="E4" s="5"/>
      <c r="F4" s="4">
        <v>1.0</v>
      </c>
      <c r="G4" s="4">
        <v>199.0</v>
      </c>
      <c r="H4" s="4"/>
      <c r="I4" s="4">
        <v>199.0</v>
      </c>
      <c r="J4" s="4" t="s">
        <v>2447</v>
      </c>
      <c r="K4" s="5">
        <f>+918950904883</f>
        <v>918950904883</v>
      </c>
      <c r="L4" s="4" t="str">
        <f t="shared" si="1"/>
        <v>bhawna.sandeep1130@gmail.com918950904883</v>
      </c>
      <c r="M4" s="10" t="s">
        <v>67</v>
      </c>
      <c r="N4" s="4" t="b">
        <v>0</v>
      </c>
      <c r="O4" s="4" t="str">
        <f>VLOOKUP(A4,payment_ids!D:E,2,FALSE)</f>
        <v>upi</v>
      </c>
      <c r="P4" s="4" t="s">
        <v>69</v>
      </c>
      <c r="Q4" s="4" t="s">
        <v>2448</v>
      </c>
      <c r="R4" s="4"/>
      <c r="S4" s="12" t="s">
        <v>2443</v>
      </c>
      <c r="T4" s="4" t="s">
        <v>2444</v>
      </c>
      <c r="U4" s="4"/>
      <c r="V4" s="11"/>
      <c r="W4" s="4"/>
      <c r="X4" s="11"/>
      <c r="Y4" s="4"/>
      <c r="Z4" s="4"/>
      <c r="AA4" s="4"/>
      <c r="AB4" s="4"/>
      <c r="AC4" s="4"/>
      <c r="AD4" s="4"/>
      <c r="AE4" s="4"/>
      <c r="AF4" s="4"/>
      <c r="AG4" s="4"/>
      <c r="AH4" s="5"/>
      <c r="AI4" s="5"/>
      <c r="AJ4" s="5"/>
      <c r="AK4" s="5"/>
      <c r="AL4" s="5"/>
    </row>
    <row r="5">
      <c r="A5" s="4" t="str">
        <f>VLOOKUP(L5,payment_ids!C:D,2,FALSE)</f>
        <v>pay_HNjqcFTYoWX0yu</v>
      </c>
      <c r="B5" s="4"/>
      <c r="C5" s="4" t="s">
        <v>2441</v>
      </c>
      <c r="D5" s="4">
        <v>50143.0</v>
      </c>
      <c r="E5" s="5"/>
      <c r="F5" s="4">
        <v>6.0</v>
      </c>
      <c r="G5" s="4">
        <v>999.0</v>
      </c>
      <c r="H5" s="4"/>
      <c r="I5" s="4">
        <v>999.0</v>
      </c>
      <c r="J5" s="4" t="s">
        <v>2449</v>
      </c>
      <c r="K5" s="5">
        <f>+918469114428</f>
        <v>918469114428</v>
      </c>
      <c r="L5" s="4" t="str">
        <f t="shared" si="1"/>
        <v>saumyajoshi89@gmail.com918469114428</v>
      </c>
      <c r="M5" s="10" t="s">
        <v>67</v>
      </c>
      <c r="N5" s="4" t="b">
        <v>0</v>
      </c>
      <c r="O5" s="4" t="str">
        <f>VLOOKUP(A5,payment_ids!D:E,2,FALSE)</f>
        <v>card</v>
      </c>
      <c r="P5" s="4" t="s">
        <v>69</v>
      </c>
      <c r="Q5" s="4" t="s">
        <v>2450</v>
      </c>
      <c r="R5" s="4"/>
      <c r="S5" s="12" t="s">
        <v>2443</v>
      </c>
      <c r="T5" s="4" t="s">
        <v>2444</v>
      </c>
      <c r="U5" s="4"/>
      <c r="V5" s="11"/>
      <c r="W5" s="4"/>
      <c r="X5" s="11"/>
      <c r="Y5" s="4"/>
      <c r="Z5" s="4"/>
      <c r="AA5" s="4"/>
      <c r="AB5" s="4"/>
      <c r="AC5" s="4"/>
      <c r="AD5" s="4"/>
      <c r="AE5" s="4"/>
      <c r="AF5" s="4"/>
      <c r="AG5" s="4"/>
      <c r="AH5" s="5"/>
      <c r="AI5" s="5"/>
      <c r="AJ5" s="5"/>
      <c r="AK5" s="5"/>
      <c r="AL5" s="5"/>
    </row>
    <row r="6">
      <c r="A6" s="4" t="str">
        <f>VLOOKUP(L6,payment_ids!C:D,2,FALSE)</f>
        <v>pay_HMRMlrYlyFK0Rf</v>
      </c>
      <c r="B6" s="4"/>
      <c r="C6" s="4" t="s">
        <v>2441</v>
      </c>
      <c r="D6" s="4">
        <v>50143.0</v>
      </c>
      <c r="E6" s="5"/>
      <c r="F6" s="4">
        <v>1.0</v>
      </c>
      <c r="G6" s="4">
        <v>199.0</v>
      </c>
      <c r="H6" s="4"/>
      <c r="I6" s="4">
        <v>199.0</v>
      </c>
      <c r="J6" s="4" t="s">
        <v>2451</v>
      </c>
      <c r="K6" s="5">
        <f t="shared" ref="K6:K7" si="2">+919731761212</f>
        <v>919731761212</v>
      </c>
      <c r="L6" s="4" t="str">
        <f t="shared" si="1"/>
        <v>krishnaraj.bhatns@gmail.com919731761212</v>
      </c>
      <c r="M6" s="10" t="s">
        <v>67</v>
      </c>
      <c r="N6" s="4" t="b">
        <v>0</v>
      </c>
      <c r="O6" s="4" t="str">
        <f>VLOOKUP(A6,payment_ids!D:E,2,FALSE)</f>
        <v>upi</v>
      </c>
      <c r="P6" s="4" t="s">
        <v>69</v>
      </c>
      <c r="Q6" s="4" t="s">
        <v>2452</v>
      </c>
      <c r="R6" s="4"/>
      <c r="S6" s="12" t="s">
        <v>2453</v>
      </c>
      <c r="T6" s="4" t="s">
        <v>2444</v>
      </c>
      <c r="U6" s="4"/>
      <c r="V6" s="11"/>
      <c r="W6" s="4"/>
      <c r="X6" s="11"/>
      <c r="Y6" s="4"/>
      <c r="Z6" s="4"/>
      <c r="AA6" s="4"/>
      <c r="AB6" s="4"/>
      <c r="AC6" s="4"/>
      <c r="AD6" s="4"/>
      <c r="AE6" s="4"/>
      <c r="AF6" s="4"/>
      <c r="AG6" s="4"/>
      <c r="AH6" s="5"/>
      <c r="AI6" s="5"/>
      <c r="AJ6" s="5"/>
      <c r="AK6" s="5"/>
      <c r="AL6" s="5"/>
    </row>
    <row r="7">
      <c r="A7" s="4" t="str">
        <f>VLOOKUP(L7,payment_ids!C:D,2,FALSE)</f>
        <v>pay_HMRMlrYlyFK0Rf</v>
      </c>
      <c r="B7" s="4"/>
      <c r="C7" s="4" t="s">
        <v>2441</v>
      </c>
      <c r="D7" s="4">
        <v>50143.0</v>
      </c>
      <c r="E7" s="5"/>
      <c r="F7" s="4">
        <v>1.0</v>
      </c>
      <c r="G7" s="4">
        <v>199.0</v>
      </c>
      <c r="H7" s="4"/>
      <c r="I7" s="4">
        <v>199.0</v>
      </c>
      <c r="J7" s="4" t="s">
        <v>2451</v>
      </c>
      <c r="K7" s="5">
        <f t="shared" si="2"/>
        <v>919731761212</v>
      </c>
      <c r="L7" s="4" t="str">
        <f t="shared" si="1"/>
        <v>krishnaraj.bhatns@gmail.com919731761212</v>
      </c>
      <c r="M7" s="10" t="s">
        <v>67</v>
      </c>
      <c r="N7" s="4" t="b">
        <v>0</v>
      </c>
      <c r="O7" s="4" t="str">
        <f>VLOOKUP(A7,payment_ids!D:E,2,FALSE)</f>
        <v>upi</v>
      </c>
      <c r="P7" s="4" t="s">
        <v>69</v>
      </c>
      <c r="Q7" s="4" t="s">
        <v>2454</v>
      </c>
      <c r="R7" s="4"/>
      <c r="S7" s="12" t="s">
        <v>2453</v>
      </c>
      <c r="T7" s="4" t="s">
        <v>2444</v>
      </c>
      <c r="U7" s="4"/>
      <c r="V7" s="11"/>
      <c r="W7" s="4"/>
      <c r="X7" s="11"/>
      <c r="Y7" s="4"/>
      <c r="Z7" s="4"/>
      <c r="AA7" s="4"/>
      <c r="AB7" s="4"/>
      <c r="AC7" s="4"/>
      <c r="AD7" s="4"/>
      <c r="AE7" s="4"/>
      <c r="AF7" s="4"/>
      <c r="AG7" s="4"/>
      <c r="AH7" s="5"/>
      <c r="AI7" s="5"/>
      <c r="AJ7" s="5"/>
      <c r="AK7" s="5"/>
      <c r="AL7" s="5"/>
    </row>
    <row r="8">
      <c r="A8" s="4" t="str">
        <f>VLOOKUP(L8,payment_ids!C:D,2,FALSE)</f>
        <v>pay_H6IvfhXVSJtsVU</v>
      </c>
      <c r="B8" s="4"/>
      <c r="C8" s="4" t="s">
        <v>2455</v>
      </c>
      <c r="D8" s="4">
        <v>49997.0</v>
      </c>
      <c r="E8" s="4"/>
      <c r="F8" s="4">
        <v>1.0</v>
      </c>
      <c r="G8" s="4">
        <v>99.0</v>
      </c>
      <c r="H8" s="4"/>
      <c r="I8" s="4">
        <v>99.0</v>
      </c>
      <c r="J8" s="4" t="s">
        <v>2456</v>
      </c>
      <c r="K8" s="6">
        <f>+919582439852</f>
        <v>919582439852</v>
      </c>
      <c r="L8" s="4" t="str">
        <f t="shared" si="1"/>
        <v>tara.lanba1999@gmail.com919582439852</v>
      </c>
      <c r="M8" s="10" t="s">
        <v>67</v>
      </c>
      <c r="N8" s="4" t="b">
        <v>0</v>
      </c>
      <c r="O8" s="4" t="str">
        <f>VLOOKUP(A8,payment_ids!D:E,2,FALSE)</f>
        <v>upi</v>
      </c>
      <c r="P8" s="4" t="s">
        <v>69</v>
      </c>
      <c r="Q8" s="11">
        <v>44260.71041666667</v>
      </c>
      <c r="R8" s="4"/>
      <c r="S8" s="12" t="s">
        <v>2457</v>
      </c>
      <c r="T8" s="4"/>
      <c r="U8" s="4"/>
      <c r="V8" s="11"/>
      <c r="W8" s="4"/>
      <c r="X8" s="11"/>
      <c r="Y8" s="4"/>
      <c r="Z8" s="4"/>
      <c r="AA8" s="4"/>
      <c r="AB8" s="4"/>
      <c r="AC8" s="4"/>
      <c r="AD8" s="4"/>
      <c r="AE8" s="4"/>
      <c r="AF8" s="4"/>
      <c r="AG8" s="4"/>
      <c r="AH8" s="5"/>
      <c r="AI8" s="5"/>
      <c r="AJ8" s="5"/>
      <c r="AK8" s="5"/>
      <c r="AL8" s="5"/>
    </row>
    <row r="9">
      <c r="A9" s="4" t="str">
        <f>VLOOKUP(L9,payment_ids!C:D,2,FALSE)</f>
        <v>pay_H6M18PniZZxhuH</v>
      </c>
      <c r="B9" s="4"/>
      <c r="C9" s="4" t="s">
        <v>2455</v>
      </c>
      <c r="D9" s="4">
        <v>49997.0</v>
      </c>
      <c r="E9" s="4"/>
      <c r="F9" s="4">
        <v>1.0</v>
      </c>
      <c r="G9" s="4">
        <v>99.0</v>
      </c>
      <c r="H9" s="4"/>
      <c r="I9" s="4">
        <v>99.0</v>
      </c>
      <c r="J9" s="4" t="s">
        <v>2458</v>
      </c>
      <c r="K9" s="6">
        <f>+919416173796</f>
        <v>919416173796</v>
      </c>
      <c r="L9" s="4" t="str">
        <f t="shared" si="1"/>
        <v>mahirgupta98@gmail.com919416173796</v>
      </c>
      <c r="M9" s="10" t="s">
        <v>67</v>
      </c>
      <c r="N9" s="4" t="b">
        <v>0</v>
      </c>
      <c r="O9" s="4" t="str">
        <f>VLOOKUP(A9,payment_ids!D:E,2,FALSE)</f>
        <v>upi</v>
      </c>
      <c r="P9" s="4" t="s">
        <v>69</v>
      </c>
      <c r="Q9" s="11">
        <v>44260.83611111111</v>
      </c>
      <c r="R9" s="4"/>
      <c r="S9" s="12" t="s">
        <v>2457</v>
      </c>
      <c r="T9" s="4"/>
      <c r="U9" s="4"/>
      <c r="V9" s="11"/>
      <c r="W9" s="4"/>
      <c r="X9" s="11"/>
      <c r="Y9" s="4"/>
      <c r="Z9" s="4"/>
      <c r="AA9" s="4"/>
      <c r="AB9" s="4"/>
      <c r="AC9" s="4"/>
      <c r="AD9" s="4"/>
      <c r="AE9" s="4"/>
      <c r="AF9" s="4"/>
      <c r="AG9" s="4"/>
      <c r="AH9" s="5"/>
      <c r="AI9" s="5"/>
      <c r="AJ9" s="5"/>
      <c r="AK9" s="5"/>
      <c r="AL9" s="5"/>
    </row>
    <row r="10">
      <c r="A10" s="4" t="str">
        <f>VLOOKUP(L10,payment_ids!C:D,2,FALSE)</f>
        <v>pay_H6OZHMGGwhtkMg</v>
      </c>
      <c r="B10" s="4"/>
      <c r="C10" s="4" t="s">
        <v>2455</v>
      </c>
      <c r="D10" s="4">
        <v>49997.0</v>
      </c>
      <c r="E10" s="4"/>
      <c r="F10" s="4">
        <v>6.0</v>
      </c>
      <c r="G10" s="4">
        <v>349.0</v>
      </c>
      <c r="H10" s="4"/>
      <c r="I10" s="4">
        <v>349.0</v>
      </c>
      <c r="J10" s="4" t="s">
        <v>2459</v>
      </c>
      <c r="K10" s="6">
        <f>+919969893269</f>
        <v>919969893269</v>
      </c>
      <c r="L10" s="4" t="str">
        <f t="shared" si="1"/>
        <v>tanvimhatre001@gmail.com919969893269</v>
      </c>
      <c r="M10" s="10" t="s">
        <v>67</v>
      </c>
      <c r="N10" s="4" t="b">
        <v>0</v>
      </c>
      <c r="O10" s="4" t="str">
        <f>VLOOKUP(A10,payment_ids!D:E,2,FALSE)</f>
        <v>card</v>
      </c>
      <c r="P10" s="4" t="s">
        <v>69</v>
      </c>
      <c r="Q10" s="11">
        <v>44260.94027777778</v>
      </c>
      <c r="R10" s="4"/>
      <c r="S10" s="12" t="s">
        <v>2457</v>
      </c>
      <c r="T10" s="4"/>
      <c r="U10" s="4"/>
      <c r="V10" s="11"/>
      <c r="W10" s="4"/>
      <c r="X10" s="11"/>
      <c r="Y10" s="4"/>
      <c r="Z10" s="4"/>
      <c r="AA10" s="4"/>
      <c r="AB10" s="4"/>
      <c r="AC10" s="4"/>
      <c r="AD10" s="4"/>
      <c r="AE10" s="4"/>
      <c r="AF10" s="4"/>
      <c r="AG10" s="4"/>
      <c r="AH10" s="5"/>
      <c r="AI10" s="5"/>
      <c r="AJ10" s="5"/>
      <c r="AK10" s="5"/>
      <c r="AL10" s="5"/>
    </row>
    <row r="11">
      <c r="A11" s="4" t="str">
        <f>VLOOKUP(L11,payment_ids!C:D,2,FALSE)</f>
        <v>pay_H6ejsTenhxPtgT</v>
      </c>
      <c r="B11" s="4"/>
      <c r="C11" s="4" t="s">
        <v>2455</v>
      </c>
      <c r="D11" s="4">
        <v>49997.0</v>
      </c>
      <c r="E11" s="4"/>
      <c r="F11" s="4">
        <v>6.0</v>
      </c>
      <c r="G11" s="4">
        <v>349.0</v>
      </c>
      <c r="H11" s="4"/>
      <c r="I11" s="4">
        <v>349.0</v>
      </c>
      <c r="J11" s="4" t="s">
        <v>2460</v>
      </c>
      <c r="K11" s="6">
        <f>+919819252511</f>
        <v>919819252511</v>
      </c>
      <c r="L11" s="4" t="str">
        <f t="shared" si="1"/>
        <v>nawatheygaurav@gmail.com919819252511</v>
      </c>
      <c r="M11" s="10" t="s">
        <v>67</v>
      </c>
      <c r="N11" s="4" t="b">
        <v>0</v>
      </c>
      <c r="O11" s="4" t="str">
        <f>VLOOKUP(A11,payment_ids!D:E,2,FALSE)</f>
        <v>upi</v>
      </c>
      <c r="P11" s="4" t="s">
        <v>69</v>
      </c>
      <c r="Q11" s="11">
        <v>44291.6</v>
      </c>
      <c r="R11" s="4"/>
      <c r="S11" s="12" t="s">
        <v>2457</v>
      </c>
      <c r="T11" s="4"/>
      <c r="U11" s="4"/>
      <c r="V11" s="11"/>
      <c r="W11" s="4"/>
      <c r="X11" s="11"/>
      <c r="Y11" s="4"/>
      <c r="Z11" s="4"/>
      <c r="AA11" s="4"/>
      <c r="AB11" s="4"/>
      <c r="AC11" s="4"/>
      <c r="AD11" s="4"/>
      <c r="AE11" s="4"/>
      <c r="AF11" s="4"/>
      <c r="AG11" s="4"/>
      <c r="AH11" s="5"/>
      <c r="AI11" s="5"/>
      <c r="AJ11" s="5"/>
      <c r="AK11" s="5"/>
      <c r="AL11" s="5"/>
    </row>
    <row r="12">
      <c r="A12" s="4" t="str">
        <f>VLOOKUP(L12,payment_ids!C:D,2,FALSE)</f>
        <v>pay_H6gODrRvIOBR2G</v>
      </c>
      <c r="B12" s="4"/>
      <c r="C12" s="4" t="s">
        <v>2455</v>
      </c>
      <c r="D12" s="4">
        <v>49997.0</v>
      </c>
      <c r="E12" s="4"/>
      <c r="F12" s="4">
        <v>1.0</v>
      </c>
      <c r="G12" s="4">
        <v>99.0</v>
      </c>
      <c r="H12" s="4"/>
      <c r="I12" s="4">
        <v>99.0</v>
      </c>
      <c r="J12" s="4" t="s">
        <v>2461</v>
      </c>
      <c r="K12" s="6">
        <f>+918600964699</f>
        <v>918600964699</v>
      </c>
      <c r="L12" s="4" t="str">
        <f t="shared" si="1"/>
        <v>leshanimehra1998@gmail.com918600964699</v>
      </c>
      <c r="M12" s="10" t="s">
        <v>67</v>
      </c>
      <c r="N12" s="4" t="b">
        <v>0</v>
      </c>
      <c r="O12" s="4" t="str">
        <f>VLOOKUP(A12,payment_ids!D:E,2,FALSE)</f>
        <v>upi</v>
      </c>
      <c r="P12" s="4" t="s">
        <v>69</v>
      </c>
      <c r="Q12" s="11">
        <v>44291.66736111111</v>
      </c>
      <c r="R12" s="4"/>
      <c r="S12" s="12" t="s">
        <v>2457</v>
      </c>
      <c r="T12" s="4"/>
      <c r="U12" s="4"/>
      <c r="V12" s="11"/>
      <c r="W12" s="4"/>
      <c r="X12" s="11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5"/>
      <c r="AJ12" s="5"/>
      <c r="AK12" s="5"/>
      <c r="AL12" s="5"/>
    </row>
    <row r="13">
      <c r="A13" s="4" t="str">
        <f>VLOOKUP(L13,payment_ids!C:D,2,FALSE)</f>
        <v>pay_H6gmIveChQnJtL</v>
      </c>
      <c r="B13" s="4"/>
      <c r="C13" s="4" t="s">
        <v>2455</v>
      </c>
      <c r="D13" s="4">
        <v>49997.0</v>
      </c>
      <c r="E13" s="4"/>
      <c r="F13" s="4">
        <v>1.0</v>
      </c>
      <c r="G13" s="4">
        <v>99.0</v>
      </c>
      <c r="H13" s="4"/>
      <c r="I13" s="4">
        <v>99.0</v>
      </c>
      <c r="J13" s="4" t="s">
        <v>2462</v>
      </c>
      <c r="K13" s="6">
        <f>+919561542950</f>
        <v>919561542950</v>
      </c>
      <c r="L13" s="4" t="str">
        <f t="shared" si="1"/>
        <v>dezikakol@gmail.com919561542950</v>
      </c>
      <c r="M13" s="10" t="s">
        <v>67</v>
      </c>
      <c r="N13" s="4" t="b">
        <v>0</v>
      </c>
      <c r="O13" s="4" t="str">
        <f>VLOOKUP(A13,payment_ids!D:E,2,FALSE)</f>
        <v>netbanking</v>
      </c>
      <c r="P13" s="4" t="s">
        <v>69</v>
      </c>
      <c r="Q13" s="11">
        <v>44291.68263888889</v>
      </c>
      <c r="R13" s="4"/>
      <c r="S13" s="12" t="s">
        <v>2457</v>
      </c>
      <c r="T13" s="4"/>
      <c r="U13" s="4"/>
      <c r="V13" s="11"/>
      <c r="W13" s="4"/>
      <c r="X13" s="11"/>
      <c r="Y13" s="4"/>
      <c r="Z13" s="4"/>
      <c r="AA13" s="4"/>
      <c r="AB13" s="4"/>
      <c r="AC13" s="7"/>
      <c r="AD13" s="4"/>
      <c r="AE13" s="4"/>
      <c r="AF13" s="4"/>
      <c r="AG13" s="4"/>
      <c r="AH13" s="5"/>
      <c r="AI13" s="5"/>
      <c r="AJ13" s="5"/>
      <c r="AK13" s="5"/>
      <c r="AL13" s="5"/>
    </row>
    <row r="14">
      <c r="A14" s="4" t="str">
        <f>VLOOKUP(L14,payment_ids!C:D,2,FALSE)</f>
        <v>pay_H6hFPdEWIAM1A2</v>
      </c>
      <c r="B14" s="4"/>
      <c r="C14" s="4" t="s">
        <v>2455</v>
      </c>
      <c r="D14" s="4">
        <v>49997.0</v>
      </c>
      <c r="E14" s="4"/>
      <c r="F14" s="4">
        <v>1.0</v>
      </c>
      <c r="G14" s="4">
        <v>99.0</v>
      </c>
      <c r="H14" s="4"/>
      <c r="I14" s="4">
        <v>99.0</v>
      </c>
      <c r="J14" s="4" t="s">
        <v>2463</v>
      </c>
      <c r="K14" s="6">
        <f>+918129282453</f>
        <v>918129282453</v>
      </c>
      <c r="L14" s="4" t="str">
        <f t="shared" si="1"/>
        <v>iamagsusfreak@gmail.com918129282453</v>
      </c>
      <c r="M14" s="10" t="s">
        <v>67</v>
      </c>
      <c r="N14" s="4" t="b">
        <v>0</v>
      </c>
      <c r="O14" s="4" t="str">
        <f>VLOOKUP(A14,payment_ids!D:E,2,FALSE)</f>
        <v>upi</v>
      </c>
      <c r="P14" s="4" t="s">
        <v>69</v>
      </c>
      <c r="Q14" s="11">
        <v>44291.70208333333</v>
      </c>
      <c r="R14" s="4"/>
      <c r="S14" s="12" t="s">
        <v>2457</v>
      </c>
      <c r="T14" s="4"/>
      <c r="U14" s="4"/>
      <c r="V14" s="11"/>
      <c r="W14" s="4"/>
      <c r="X14" s="11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5"/>
      <c r="AJ14" s="5"/>
      <c r="AK14" s="5"/>
      <c r="AL14" s="5"/>
    </row>
    <row r="15">
      <c r="A15" s="4" t="str">
        <f>VLOOKUP(L15,payment_ids!C:D,2,FALSE)</f>
        <v>pay_H6cZodbxWfXymQ</v>
      </c>
      <c r="B15" s="4"/>
      <c r="C15" s="4" t="s">
        <v>2455</v>
      </c>
      <c r="D15" s="4">
        <v>49997.0</v>
      </c>
      <c r="E15" s="4"/>
      <c r="F15" s="4">
        <v>1.0</v>
      </c>
      <c r="G15" s="4">
        <v>99.0</v>
      </c>
      <c r="H15" s="4"/>
      <c r="I15" s="4">
        <v>99.0</v>
      </c>
      <c r="J15" s="4" t="s">
        <v>2464</v>
      </c>
      <c r="K15" s="6">
        <f>+919711341773</f>
        <v>919711341773</v>
      </c>
      <c r="L15" s="4" t="str">
        <f t="shared" si="1"/>
        <v>abhijit.jha33@gmail.com919711341773</v>
      </c>
      <c r="M15" s="10" t="s">
        <v>67</v>
      </c>
      <c r="N15" s="4" t="b">
        <v>0</v>
      </c>
      <c r="O15" s="4" t="str">
        <f>VLOOKUP(A15,payment_ids!D:E,2,FALSE)</f>
        <v>upi</v>
      </c>
      <c r="P15" s="4" t="s">
        <v>69</v>
      </c>
      <c r="Q15" s="11">
        <v>44291.51111111111</v>
      </c>
      <c r="R15" s="4"/>
      <c r="S15" s="12" t="s">
        <v>2457</v>
      </c>
      <c r="T15" s="4"/>
      <c r="U15" s="4"/>
      <c r="V15" s="11"/>
      <c r="W15" s="4"/>
      <c r="X15" s="11"/>
      <c r="Y15" s="4"/>
      <c r="Z15" s="4"/>
      <c r="AA15" s="4"/>
      <c r="AB15" s="4"/>
      <c r="AC15" s="4"/>
      <c r="AD15" s="4"/>
      <c r="AE15" s="4"/>
      <c r="AF15" s="4"/>
      <c r="AG15" s="4"/>
      <c r="AH15" s="5"/>
      <c r="AI15" s="5"/>
      <c r="AJ15" s="5"/>
      <c r="AK15" s="5"/>
      <c r="AL15" s="5"/>
    </row>
    <row r="16">
      <c r="A16" s="4" t="str">
        <f>VLOOKUP(L16,payment_ids!C:D,2,FALSE)</f>
        <v>pay_H6qjW9ICOOLM7A</v>
      </c>
      <c r="B16" s="4"/>
      <c r="C16" s="4" t="s">
        <v>2455</v>
      </c>
      <c r="D16" s="4">
        <v>49997.0</v>
      </c>
      <c r="E16" s="4"/>
      <c r="F16" s="4">
        <v>1.0</v>
      </c>
      <c r="G16" s="4">
        <v>99.0</v>
      </c>
      <c r="H16" s="4"/>
      <c r="I16" s="4">
        <v>99.0</v>
      </c>
      <c r="J16" s="4" t="s">
        <v>2465</v>
      </c>
      <c r="K16" s="6">
        <f>+919330771104</f>
        <v>919330771104</v>
      </c>
      <c r="L16" s="4" t="str">
        <f t="shared" si="1"/>
        <v>crupam714@gmail.com919330771104</v>
      </c>
      <c r="M16" s="10" t="s">
        <v>67</v>
      </c>
      <c r="N16" s="4" t="b">
        <v>0</v>
      </c>
      <c r="O16" s="4" t="str">
        <f>VLOOKUP(A16,payment_ids!D:E,2,FALSE)</f>
        <v>upi</v>
      </c>
      <c r="P16" s="4" t="s">
        <v>69</v>
      </c>
      <c r="Q16" s="11">
        <v>44321.08819444444</v>
      </c>
      <c r="R16" s="4"/>
      <c r="S16" s="12" t="s">
        <v>2457</v>
      </c>
      <c r="T16" s="4"/>
      <c r="U16" s="4"/>
      <c r="V16" s="11"/>
      <c r="W16" s="4"/>
      <c r="X16" s="11"/>
      <c r="Y16" s="4"/>
      <c r="Z16" s="4"/>
      <c r="AA16" s="4"/>
      <c r="AB16" s="4"/>
      <c r="AC16" s="4"/>
      <c r="AD16" s="4"/>
      <c r="AE16" s="4"/>
      <c r="AF16" s="4"/>
      <c r="AG16" s="4"/>
      <c r="AH16" s="5"/>
      <c r="AI16" s="5"/>
      <c r="AJ16" s="5"/>
      <c r="AK16" s="5"/>
      <c r="AL16" s="5"/>
    </row>
    <row r="17">
      <c r="A17" s="4" t="str">
        <f>VLOOKUP(L17,payment_ids!C:D,2,FALSE)</f>
        <v>pay_H6xvuIL5Vvmaww</v>
      </c>
      <c r="B17" s="4"/>
      <c r="C17" s="4" t="s">
        <v>2455</v>
      </c>
      <c r="D17" s="4">
        <v>49997.0</v>
      </c>
      <c r="E17" s="4"/>
      <c r="F17" s="4">
        <v>1.0</v>
      </c>
      <c r="G17" s="4">
        <v>99.0</v>
      </c>
      <c r="H17" s="4"/>
      <c r="I17" s="4">
        <v>99.0</v>
      </c>
      <c r="J17" s="4" t="s">
        <v>2466</v>
      </c>
      <c r="K17" s="6">
        <f>+919860729292</f>
        <v>919860729292</v>
      </c>
      <c r="L17" s="4" t="str">
        <f t="shared" si="1"/>
        <v>benadikam@gmail.com919860729292</v>
      </c>
      <c r="M17" s="10" t="s">
        <v>67</v>
      </c>
      <c r="N17" s="4" t="b">
        <v>0</v>
      </c>
      <c r="O17" s="4" t="str">
        <f>VLOOKUP(A17,payment_ids!D:E,2,FALSE)</f>
        <v>upi</v>
      </c>
      <c r="P17" s="4" t="s">
        <v>69</v>
      </c>
      <c r="Q17" s="11">
        <v>44321.381944444445</v>
      </c>
      <c r="R17" s="4"/>
      <c r="S17" s="12" t="s">
        <v>2457</v>
      </c>
      <c r="T17" s="4"/>
      <c r="U17" s="4"/>
      <c r="V17" s="11"/>
      <c r="W17" s="4"/>
      <c r="X17" s="11"/>
      <c r="Y17" s="4"/>
      <c r="Z17" s="4"/>
      <c r="AA17" s="4"/>
      <c r="AB17" s="4"/>
      <c r="AC17" s="4"/>
      <c r="AD17" s="4"/>
      <c r="AE17" s="4"/>
      <c r="AF17" s="4"/>
      <c r="AG17" s="4"/>
      <c r="AH17" s="5"/>
      <c r="AI17" s="5"/>
      <c r="AJ17" s="5"/>
      <c r="AK17" s="5"/>
      <c r="AL17" s="5"/>
    </row>
    <row r="18">
      <c r="A18" s="4" t="str">
        <f>VLOOKUP(L18,payment_ids!C:D,2,FALSE)</f>
        <v>pay_H70f2pvlDc6itm</v>
      </c>
      <c r="B18" s="4"/>
      <c r="C18" s="4" t="s">
        <v>2455</v>
      </c>
      <c r="D18" s="4">
        <v>49997.0</v>
      </c>
      <c r="E18" s="4"/>
      <c r="F18" s="4">
        <v>6.0</v>
      </c>
      <c r="G18" s="4">
        <v>349.0</v>
      </c>
      <c r="H18" s="4"/>
      <c r="I18" s="4">
        <v>349.0</v>
      </c>
      <c r="J18" s="4" t="s">
        <v>2467</v>
      </c>
      <c r="K18" s="6">
        <f>+919998728170</f>
        <v>919998728170</v>
      </c>
      <c r="L18" s="4" t="str">
        <f t="shared" si="1"/>
        <v>travelwithfreddie@gmail.com919998728170</v>
      </c>
      <c r="M18" s="10" t="s">
        <v>67</v>
      </c>
      <c r="N18" s="4" t="b">
        <v>0</v>
      </c>
      <c r="O18" s="4" t="str">
        <f>VLOOKUP(A18,payment_ids!D:E,2,FALSE)</f>
        <v>upi</v>
      </c>
      <c r="P18" s="4" t="s">
        <v>69</v>
      </c>
      <c r="Q18" s="11">
        <v>44321.493055555555</v>
      </c>
      <c r="R18" s="4"/>
      <c r="S18" s="12" t="s">
        <v>2457</v>
      </c>
      <c r="T18" s="4"/>
      <c r="U18" s="4"/>
      <c r="V18" s="11"/>
      <c r="W18" s="4"/>
      <c r="X18" s="11"/>
      <c r="Y18" s="4"/>
      <c r="Z18" s="4"/>
      <c r="AA18" s="4"/>
      <c r="AB18" s="4"/>
      <c r="AC18" s="4"/>
      <c r="AD18" s="4"/>
      <c r="AE18" s="4"/>
      <c r="AF18" s="4"/>
      <c r="AG18" s="4"/>
      <c r="AH18" s="5"/>
      <c r="AI18" s="5"/>
      <c r="AJ18" s="5"/>
      <c r="AK18" s="5"/>
      <c r="AL18" s="5"/>
    </row>
    <row r="19">
      <c r="A19" s="4" t="str">
        <f>VLOOKUP(L19,payment_ids!C:D,2,FALSE)</f>
        <v>pay_H7Ye3cHPJezSiS</v>
      </c>
      <c r="B19" s="4"/>
      <c r="C19" s="4" t="s">
        <v>2455</v>
      </c>
      <c r="D19" s="4">
        <v>49997.0</v>
      </c>
      <c r="E19" s="4"/>
      <c r="F19" s="4">
        <v>1.0</v>
      </c>
      <c r="G19" s="4">
        <v>99.0</v>
      </c>
      <c r="H19" s="4"/>
      <c r="I19" s="4">
        <v>99.0</v>
      </c>
      <c r="J19" s="4" t="s">
        <v>2468</v>
      </c>
      <c r="K19" s="6">
        <f>+917838604128</f>
        <v>917838604128</v>
      </c>
      <c r="L19" s="4" t="str">
        <f t="shared" si="1"/>
        <v>pallspallavi56789@gmail.com917838604128</v>
      </c>
      <c r="M19" s="10" t="s">
        <v>67</v>
      </c>
      <c r="N19" s="4" t="b">
        <v>0</v>
      </c>
      <c r="O19" s="4" t="str">
        <f>VLOOKUP(A19,payment_ids!D:E,2,FALSE)</f>
        <v>upi</v>
      </c>
      <c r="P19" s="4" t="s">
        <v>69</v>
      </c>
      <c r="Q19" s="11">
        <v>44352.87777777778</v>
      </c>
      <c r="R19" s="4"/>
      <c r="S19" s="12" t="s">
        <v>2457</v>
      </c>
      <c r="T19" s="4"/>
      <c r="U19" s="4"/>
      <c r="V19" s="11"/>
      <c r="W19" s="4"/>
      <c r="X19" s="11"/>
      <c r="Y19" s="4"/>
      <c r="Z19" s="4"/>
      <c r="AA19" s="4"/>
      <c r="AB19" s="4"/>
      <c r="AC19" s="4"/>
      <c r="AD19" s="4"/>
      <c r="AE19" s="4"/>
      <c r="AF19" s="4"/>
      <c r="AG19" s="4"/>
      <c r="AH19" s="5"/>
      <c r="AI19" s="5"/>
      <c r="AJ19" s="5"/>
      <c r="AK19" s="5"/>
      <c r="AL19" s="5"/>
    </row>
    <row r="20">
      <c r="A20" s="4" t="str">
        <f>VLOOKUP(L20,payment_ids!C:D,2,FALSE)</f>
        <v>pay_H7ZH7dwQA7xAMu</v>
      </c>
      <c r="B20" s="4"/>
      <c r="C20" s="4" t="s">
        <v>2455</v>
      </c>
      <c r="D20" s="4">
        <v>49997.0</v>
      </c>
      <c r="E20" s="4"/>
      <c r="F20" s="4">
        <v>1.0</v>
      </c>
      <c r="G20" s="4">
        <v>99.0</v>
      </c>
      <c r="H20" s="4"/>
      <c r="I20" s="4">
        <v>99.0</v>
      </c>
      <c r="J20" s="4" t="s">
        <v>2469</v>
      </c>
      <c r="K20" s="6">
        <f>+919804294752</f>
        <v>919804294752</v>
      </c>
      <c r="L20" s="4" t="str">
        <f t="shared" si="1"/>
        <v>debajyoti_wr@hotmail.com919804294752</v>
      </c>
      <c r="M20" s="10" t="s">
        <v>67</v>
      </c>
      <c r="N20" s="4" t="b">
        <v>0</v>
      </c>
      <c r="O20" s="4" t="str">
        <f>VLOOKUP(A20,payment_ids!D:E,2,FALSE)</f>
        <v>upi</v>
      </c>
      <c r="P20" s="4" t="s">
        <v>69</v>
      </c>
      <c r="Q20" s="11">
        <v>44352.90347222222</v>
      </c>
      <c r="R20" s="4"/>
      <c r="S20" s="12" t="s">
        <v>2457</v>
      </c>
      <c r="T20" s="4"/>
      <c r="U20" s="4"/>
      <c r="V20" s="11"/>
      <c r="W20" s="4"/>
      <c r="X20" s="11"/>
      <c r="Y20" s="4"/>
      <c r="Z20" s="4"/>
      <c r="AA20" s="4"/>
      <c r="AB20" s="4"/>
      <c r="AC20" s="7"/>
      <c r="AD20" s="4"/>
      <c r="AE20" s="4"/>
      <c r="AF20" s="4"/>
      <c r="AG20" s="4"/>
      <c r="AH20" s="5"/>
      <c r="AI20" s="5"/>
      <c r="AJ20" s="5"/>
      <c r="AK20" s="5"/>
      <c r="AL20" s="5"/>
    </row>
    <row r="21">
      <c r="A21" s="4" t="str">
        <f>VLOOKUP(L21,payment_ids!C:D,2,FALSE)</f>
        <v>pay_H7Nbm5Dv9pLMtM</v>
      </c>
      <c r="B21" s="4"/>
      <c r="C21" s="4" t="s">
        <v>2455</v>
      </c>
      <c r="D21" s="4">
        <v>49997.0</v>
      </c>
      <c r="E21" s="4"/>
      <c r="F21" s="4">
        <v>1.0</v>
      </c>
      <c r="G21" s="4">
        <v>99.0</v>
      </c>
      <c r="H21" s="4"/>
      <c r="I21" s="4">
        <v>99.0</v>
      </c>
      <c r="J21" s="4" t="s">
        <v>2470</v>
      </c>
      <c r="K21" s="6">
        <f>+917980675481</f>
        <v>917980675481</v>
      </c>
      <c r="L21" s="4" t="str">
        <f t="shared" si="1"/>
        <v>contact.nandini01@gmail.com917980675481</v>
      </c>
      <c r="M21" s="10" t="s">
        <v>67</v>
      </c>
      <c r="N21" s="4" t="b">
        <v>0</v>
      </c>
      <c r="O21" s="4" t="str">
        <f>VLOOKUP(A21,payment_ids!D:E,2,FALSE)</f>
        <v>upi</v>
      </c>
      <c r="P21" s="4" t="s">
        <v>69</v>
      </c>
      <c r="Q21" s="11">
        <v>44352.42916666667</v>
      </c>
      <c r="R21" s="4"/>
      <c r="S21" s="12" t="s">
        <v>2457</v>
      </c>
      <c r="T21" s="4"/>
      <c r="U21" s="4"/>
      <c r="V21" s="11"/>
      <c r="W21" s="4"/>
      <c r="X21" s="11"/>
      <c r="Y21" s="4"/>
      <c r="Z21" s="4"/>
      <c r="AA21" s="4"/>
      <c r="AB21" s="4"/>
      <c r="AC21" s="4"/>
      <c r="AD21" s="4"/>
      <c r="AE21" s="4"/>
      <c r="AF21" s="4"/>
      <c r="AG21" s="4"/>
      <c r="AH21" s="5"/>
      <c r="AI21" s="5"/>
      <c r="AJ21" s="5"/>
      <c r="AK21" s="5"/>
      <c r="AL21" s="5"/>
    </row>
    <row r="22">
      <c r="A22" s="4" t="str">
        <f>VLOOKUP(L22,payment_ids!C:D,2,FALSE)</f>
        <v>pay_H7akglvqfqvM7T</v>
      </c>
      <c r="B22" s="4"/>
      <c r="C22" s="4" t="s">
        <v>2455</v>
      </c>
      <c r="D22" s="4">
        <v>49997.0</v>
      </c>
      <c r="E22" s="4"/>
      <c r="F22" s="4">
        <v>3.0</v>
      </c>
      <c r="G22" s="4">
        <v>199.0</v>
      </c>
      <c r="H22" s="4"/>
      <c r="I22" s="4">
        <v>199.0</v>
      </c>
      <c r="J22" s="4" t="s">
        <v>2471</v>
      </c>
      <c r="K22" s="6">
        <f>+919261615151</f>
        <v>919261615151</v>
      </c>
      <c r="L22" s="4" t="str">
        <f t="shared" si="1"/>
        <v>kartikbalwan@gmail.com919261615151</v>
      </c>
      <c r="M22" s="10" t="s">
        <v>67</v>
      </c>
      <c r="N22" s="4" t="b">
        <v>0</v>
      </c>
      <c r="O22" s="4" t="str">
        <f>VLOOKUP(A22,payment_ids!D:E,2,FALSE)</f>
        <v>upi</v>
      </c>
      <c r="P22" s="4" t="s">
        <v>69</v>
      </c>
      <c r="Q22" s="11">
        <v>44352.96388888889</v>
      </c>
      <c r="R22" s="4"/>
      <c r="S22" s="12" t="s">
        <v>2457</v>
      </c>
      <c r="T22" s="4"/>
      <c r="U22" s="4"/>
      <c r="V22" s="11"/>
      <c r="W22" s="4"/>
      <c r="X22" s="11"/>
      <c r="Y22" s="4"/>
      <c r="Z22" s="4"/>
      <c r="AA22" s="4"/>
      <c r="AB22" s="4"/>
      <c r="AC22" s="4"/>
      <c r="AD22" s="4"/>
      <c r="AE22" s="4"/>
      <c r="AF22" s="4"/>
      <c r="AG22" s="4"/>
      <c r="AH22" s="5"/>
      <c r="AI22" s="5"/>
      <c r="AJ22" s="5"/>
      <c r="AK22" s="5"/>
      <c r="AL22" s="5"/>
    </row>
    <row r="23">
      <c r="A23" s="4" t="str">
        <f>VLOOKUP(L23,payment_ids!C:D,2,FALSE)</f>
        <v>pay_H7pricVWbFOcsz</v>
      </c>
      <c r="B23" s="4"/>
      <c r="C23" s="4" t="s">
        <v>2455</v>
      </c>
      <c r="D23" s="4">
        <v>49997.0</v>
      </c>
      <c r="E23" s="4"/>
      <c r="F23" s="4">
        <v>1.0</v>
      </c>
      <c r="G23" s="4">
        <v>99.0</v>
      </c>
      <c r="H23" s="4"/>
      <c r="I23" s="4">
        <v>99.0</v>
      </c>
      <c r="J23" s="4" t="s">
        <v>2472</v>
      </c>
      <c r="K23" s="6">
        <f>+918547452646</f>
        <v>918547452646</v>
      </c>
      <c r="L23" s="4" t="str">
        <f t="shared" si="1"/>
        <v>ajaypanampet@gmail.com918547452646</v>
      </c>
      <c r="M23" s="10" t="s">
        <v>67</v>
      </c>
      <c r="N23" s="4" t="b">
        <v>0</v>
      </c>
      <c r="O23" s="4" t="str">
        <f>VLOOKUP(A23,payment_ids!D:E,2,FALSE)</f>
        <v>upi</v>
      </c>
      <c r="P23" s="4" t="s">
        <v>69</v>
      </c>
      <c r="Q23" s="11">
        <v>44382.57986111111</v>
      </c>
      <c r="R23" s="4"/>
      <c r="S23" s="12" t="s">
        <v>2457</v>
      </c>
      <c r="T23" s="4"/>
      <c r="U23" s="4"/>
      <c r="V23" s="11"/>
      <c r="W23" s="4"/>
      <c r="X23" s="11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5"/>
      <c r="AJ23" s="5"/>
      <c r="AK23" s="5"/>
      <c r="AL23" s="5"/>
    </row>
    <row r="24">
      <c r="A24" s="4" t="str">
        <f>VLOOKUP(L24,payment_ids!C:D,2,FALSE)</f>
        <v>pay_H7rIuIYitrB1K9</v>
      </c>
      <c r="B24" s="4"/>
      <c r="C24" s="4" t="s">
        <v>2455</v>
      </c>
      <c r="D24" s="4">
        <v>49997.0</v>
      </c>
      <c r="E24" s="4"/>
      <c r="F24" s="4">
        <v>1.0</v>
      </c>
      <c r="G24" s="4">
        <v>99.0</v>
      </c>
      <c r="H24" s="4"/>
      <c r="I24" s="4">
        <v>99.0</v>
      </c>
      <c r="J24" s="4" t="s">
        <v>2473</v>
      </c>
      <c r="K24" s="6">
        <f>+919071865890</f>
        <v>919071865890</v>
      </c>
      <c r="L24" s="4" t="str">
        <f t="shared" si="1"/>
        <v>ritusmita01@gmail.com919071865890</v>
      </c>
      <c r="M24" s="10" t="s">
        <v>67</v>
      </c>
      <c r="N24" s="4" t="b">
        <v>0</v>
      </c>
      <c r="O24" s="4" t="str">
        <f>VLOOKUP(A24,payment_ids!D:E,2,FALSE)</f>
        <v>upi</v>
      </c>
      <c r="P24" s="4" t="s">
        <v>69</v>
      </c>
      <c r="Q24" s="11">
        <v>44382.64236111111</v>
      </c>
      <c r="R24" s="4"/>
      <c r="S24" s="12" t="s">
        <v>2457</v>
      </c>
      <c r="T24" s="4"/>
      <c r="U24" s="4"/>
      <c r="V24" s="11"/>
      <c r="W24" s="4"/>
      <c r="X24" s="11"/>
      <c r="Y24" s="4"/>
      <c r="Z24" s="4"/>
      <c r="AA24" s="4"/>
      <c r="AB24" s="4"/>
      <c r="AC24" s="7"/>
      <c r="AD24" s="4"/>
      <c r="AE24" s="4"/>
      <c r="AF24" s="4"/>
      <c r="AG24" s="4"/>
      <c r="AH24" s="5"/>
      <c r="AI24" s="5"/>
      <c r="AJ24" s="5"/>
      <c r="AK24" s="5"/>
      <c r="AL24" s="5"/>
    </row>
    <row r="25">
      <c r="A25" s="4" t="str">
        <f>VLOOKUP(L25,payment_ids!C:D,2,FALSE)</f>
        <v>pay_H7l84g4WgUv7ea</v>
      </c>
      <c r="B25" s="4"/>
      <c r="C25" s="4" t="s">
        <v>2455</v>
      </c>
      <c r="D25" s="4">
        <v>49997.0</v>
      </c>
      <c r="E25" s="4"/>
      <c r="F25" s="4">
        <v>6.0</v>
      </c>
      <c r="G25" s="4">
        <v>349.0</v>
      </c>
      <c r="H25" s="4"/>
      <c r="I25" s="4">
        <v>349.0</v>
      </c>
      <c r="J25" s="4" t="s">
        <v>2474</v>
      </c>
      <c r="K25" s="6">
        <f>+916290860709</f>
        <v>916290860709</v>
      </c>
      <c r="L25" s="4" t="str">
        <f t="shared" si="1"/>
        <v>raimap994@gmail.com916290860709</v>
      </c>
      <c r="M25" s="10" t="s">
        <v>67</v>
      </c>
      <c r="N25" s="4" t="b">
        <v>0</v>
      </c>
      <c r="O25" s="4" t="str">
        <f>VLOOKUP(A25,payment_ids!D:E,2,FALSE)</f>
        <v>upi</v>
      </c>
      <c r="P25" s="4" t="s">
        <v>69</v>
      </c>
      <c r="Q25" s="11">
        <v>44382.388194444444</v>
      </c>
      <c r="R25" s="4"/>
      <c r="S25" s="12" t="s">
        <v>2457</v>
      </c>
      <c r="T25" s="4"/>
      <c r="U25" s="4"/>
      <c r="V25" s="11"/>
      <c r="W25" s="4"/>
      <c r="X25" s="11"/>
      <c r="Y25" s="4"/>
      <c r="Z25" s="4"/>
      <c r="AA25" s="4"/>
      <c r="AB25" s="4"/>
      <c r="AC25" s="4"/>
      <c r="AD25" s="4"/>
      <c r="AE25" s="4"/>
      <c r="AF25" s="4"/>
      <c r="AG25" s="4"/>
      <c r="AH25" s="5"/>
      <c r="AI25" s="5"/>
      <c r="AJ25" s="5"/>
      <c r="AK25" s="5"/>
      <c r="AL25" s="5"/>
    </row>
    <row r="26">
      <c r="A26" s="4" t="str">
        <f>VLOOKUP(L26,payment_ids!C:D,2,FALSE)</f>
        <v>pay_H8X46YbTfVcxHd</v>
      </c>
      <c r="B26" s="4"/>
      <c r="C26" s="4" t="s">
        <v>2455</v>
      </c>
      <c r="D26" s="4">
        <v>49997.0</v>
      </c>
      <c r="E26" s="4"/>
      <c r="F26" s="4">
        <v>3.0</v>
      </c>
      <c r="G26" s="4">
        <v>199.0</v>
      </c>
      <c r="H26" s="4"/>
      <c r="I26" s="4">
        <v>199.0</v>
      </c>
      <c r="J26" s="4" t="s">
        <v>2475</v>
      </c>
      <c r="K26" s="6">
        <f>+919012341187</f>
        <v>919012341187</v>
      </c>
      <c r="L26" s="4" t="str">
        <f t="shared" si="1"/>
        <v>devrahulsingh2104@gmail.com919012341187</v>
      </c>
      <c r="M26" s="10" t="s">
        <v>67</v>
      </c>
      <c r="N26" s="4" t="b">
        <v>0</v>
      </c>
      <c r="O26" s="4" t="str">
        <f>VLOOKUP(A26,payment_ids!D:E,2,FALSE)</f>
        <v>upi</v>
      </c>
      <c r="P26" s="4" t="s">
        <v>69</v>
      </c>
      <c r="Q26" s="11">
        <v>44444.34097222222</v>
      </c>
      <c r="R26" s="4"/>
      <c r="S26" s="12" t="s">
        <v>2457</v>
      </c>
      <c r="T26" s="4"/>
      <c r="U26" s="4"/>
      <c r="V26" s="11"/>
      <c r="W26" s="4"/>
      <c r="X26" s="11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5"/>
      <c r="AJ26" s="5"/>
      <c r="AK26" s="5"/>
      <c r="AL26" s="5"/>
    </row>
    <row r="27">
      <c r="A27" s="4" t="str">
        <f>VLOOKUP(L27,payment_ids!C:D,2,FALSE)</f>
        <v>pay_H8lQ5UTVui9dTO</v>
      </c>
      <c r="B27" s="4"/>
      <c r="C27" s="4" t="s">
        <v>2455</v>
      </c>
      <c r="D27" s="4">
        <v>49997.0</v>
      </c>
      <c r="E27" s="4"/>
      <c r="F27" s="4">
        <v>3.0</v>
      </c>
      <c r="G27" s="4">
        <v>199.0</v>
      </c>
      <c r="H27" s="4"/>
      <c r="I27" s="4">
        <v>199.0</v>
      </c>
      <c r="J27" s="4" t="s">
        <v>2476</v>
      </c>
      <c r="K27" s="6">
        <f>+919030736603</f>
        <v>919030736603</v>
      </c>
      <c r="L27" s="4" t="str">
        <f t="shared" si="1"/>
        <v>sachin225sandy@gmail.com919030736603</v>
      </c>
      <c r="M27" s="10" t="s">
        <v>67</v>
      </c>
      <c r="N27" s="4" t="b">
        <v>0</v>
      </c>
      <c r="O27" s="4" t="str">
        <f>VLOOKUP(A27,payment_ids!D:E,2,FALSE)</f>
        <v>card</v>
      </c>
      <c r="P27" s="4" t="s">
        <v>69</v>
      </c>
      <c r="Q27" s="11">
        <v>44444.92569444444</v>
      </c>
      <c r="R27" s="4"/>
      <c r="S27" s="12" t="s">
        <v>2457</v>
      </c>
      <c r="T27" s="4"/>
      <c r="U27" s="4"/>
      <c r="V27" s="11"/>
      <c r="W27" s="4"/>
      <c r="X27" s="11"/>
      <c r="Y27" s="4"/>
      <c r="Z27" s="4"/>
      <c r="AA27" s="4"/>
      <c r="AB27" s="4"/>
      <c r="AC27" s="4"/>
      <c r="AD27" s="4"/>
      <c r="AE27" s="4"/>
      <c r="AF27" s="4"/>
      <c r="AG27" s="4"/>
      <c r="AH27" s="5"/>
      <c r="AI27" s="5"/>
      <c r="AJ27" s="5"/>
      <c r="AK27" s="5"/>
      <c r="AL27" s="5"/>
    </row>
    <row r="28">
      <c r="A28" s="4" t="str">
        <f>VLOOKUP(L28,payment_ids!C:D,2,FALSE)</f>
        <v>pay_H8aIV3aCzWiI7l</v>
      </c>
      <c r="B28" s="4"/>
      <c r="C28" s="4" t="s">
        <v>2455</v>
      </c>
      <c r="D28" s="4">
        <v>49997.0</v>
      </c>
      <c r="E28" s="4"/>
      <c r="F28" s="4">
        <v>3.0</v>
      </c>
      <c r="G28" s="4">
        <v>199.0</v>
      </c>
      <c r="H28" s="4"/>
      <c r="I28" s="4">
        <v>199.0</v>
      </c>
      <c r="J28" s="4" t="s">
        <v>2477</v>
      </c>
      <c r="K28" s="6">
        <f>+918601624514</f>
        <v>918601624514</v>
      </c>
      <c r="L28" s="4" t="str">
        <f t="shared" si="1"/>
        <v>anuradhashukla143@gmail.com918601624514</v>
      </c>
      <c r="M28" s="10" t="s">
        <v>67</v>
      </c>
      <c r="N28" s="4" t="b">
        <v>0</v>
      </c>
      <c r="O28" s="4" t="str">
        <f>VLOOKUP(A28,payment_ids!D:E,2,FALSE)</f>
        <v>upi</v>
      </c>
      <c r="P28" s="4" t="s">
        <v>69</v>
      </c>
      <c r="Q28" s="11">
        <v>44444.472916666666</v>
      </c>
      <c r="R28" s="4"/>
      <c r="S28" s="12" t="s">
        <v>2457</v>
      </c>
      <c r="T28" s="4"/>
      <c r="U28" s="4"/>
      <c r="V28" s="11"/>
      <c r="W28" s="4"/>
      <c r="X28" s="11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5"/>
      <c r="AJ28" s="5"/>
      <c r="AK28" s="5"/>
      <c r="AL28" s="5"/>
    </row>
    <row r="29">
      <c r="A29" s="4" t="str">
        <f>VLOOKUP(L29,payment_ids!C:D,2,FALSE)</f>
        <v>pay_H95jxoDSI7LEUB</v>
      </c>
      <c r="B29" s="4"/>
      <c r="C29" s="4" t="s">
        <v>2455</v>
      </c>
      <c r="D29" s="4">
        <v>49997.0</v>
      </c>
      <c r="E29" s="4"/>
      <c r="F29" s="4">
        <v>3.0</v>
      </c>
      <c r="G29" s="4">
        <v>199.0</v>
      </c>
      <c r="H29" s="4"/>
      <c r="I29" s="4">
        <v>199.0</v>
      </c>
      <c r="J29" s="4" t="s">
        <v>2478</v>
      </c>
      <c r="K29" s="6">
        <f>+916380865060</f>
        <v>916380865060</v>
      </c>
      <c r="L29" s="4" t="str">
        <f t="shared" si="1"/>
        <v>sandhya.rajan03@gmail.com916380865060</v>
      </c>
      <c r="M29" s="10" t="s">
        <v>67</v>
      </c>
      <c r="N29" s="4" t="b">
        <v>0</v>
      </c>
      <c r="O29" s="4" t="str">
        <f>VLOOKUP(A29,payment_ids!D:E,2,FALSE)</f>
        <v>upi</v>
      </c>
      <c r="P29" s="4" t="s">
        <v>69</v>
      </c>
      <c r="Q29" s="11">
        <v>44474.754166666666</v>
      </c>
      <c r="R29" s="4"/>
      <c r="S29" s="12" t="s">
        <v>2457</v>
      </c>
      <c r="T29" s="4"/>
      <c r="U29" s="4"/>
      <c r="V29" s="11"/>
      <c r="W29" s="4"/>
      <c r="X29" s="11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5"/>
      <c r="AJ29" s="5"/>
      <c r="AK29" s="5"/>
      <c r="AL29" s="5"/>
    </row>
    <row r="30">
      <c r="A30" s="4" t="str">
        <f>VLOOKUP(L30,payment_ids!C:D,2,FALSE)</f>
        <v>pay_H97U2lo9toAHVq</v>
      </c>
      <c r="B30" s="4"/>
      <c r="C30" s="4" t="s">
        <v>2455</v>
      </c>
      <c r="D30" s="4">
        <v>49997.0</v>
      </c>
      <c r="E30" s="4"/>
      <c r="F30" s="4">
        <v>3.0</v>
      </c>
      <c r="G30" s="4">
        <v>199.0</v>
      </c>
      <c r="H30" s="4"/>
      <c r="I30" s="4">
        <v>199.0</v>
      </c>
      <c r="J30" s="4" t="s">
        <v>2479</v>
      </c>
      <c r="K30" s="6">
        <f>+919587884155</f>
        <v>919587884155</v>
      </c>
      <c r="L30" s="4" t="str">
        <f t="shared" si="1"/>
        <v>opgodara93@gmail.com919587884155</v>
      </c>
      <c r="M30" s="10" t="s">
        <v>67</v>
      </c>
      <c r="N30" s="4" t="b">
        <v>0</v>
      </c>
      <c r="O30" s="4" t="str">
        <f>VLOOKUP(A30,payment_ids!D:E,2,FALSE)</f>
        <v>upi</v>
      </c>
      <c r="P30" s="4" t="s">
        <v>69</v>
      </c>
      <c r="Q30" s="11">
        <v>44474.825</v>
      </c>
      <c r="R30" s="4"/>
      <c r="S30" s="12" t="s">
        <v>2457</v>
      </c>
      <c r="T30" s="4"/>
      <c r="U30" s="4"/>
      <c r="V30" s="11"/>
      <c r="W30" s="4"/>
      <c r="X30" s="11"/>
      <c r="Y30" s="4"/>
      <c r="Z30" s="4"/>
      <c r="AA30" s="4"/>
      <c r="AB30" s="4"/>
      <c r="AC30" s="4"/>
      <c r="AD30" s="4"/>
      <c r="AE30" s="4"/>
      <c r="AF30" s="4"/>
      <c r="AG30" s="4"/>
      <c r="AH30" s="5"/>
      <c r="AI30" s="5"/>
      <c r="AJ30" s="5"/>
      <c r="AK30" s="5"/>
      <c r="AL30" s="5"/>
    </row>
    <row r="31">
      <c r="A31" s="4" t="str">
        <f>VLOOKUP(L31,payment_ids!C:D,2,FALSE)</f>
        <v>pay_HBWG2W5fG6koig</v>
      </c>
      <c r="B31" s="4"/>
      <c r="C31" s="4" t="s">
        <v>2455</v>
      </c>
      <c r="D31" s="4">
        <v>49997.0</v>
      </c>
      <c r="E31" s="4"/>
      <c r="F31" s="4">
        <v>3.0</v>
      </c>
      <c r="G31" s="4">
        <v>199.0</v>
      </c>
      <c r="H31" s="4"/>
      <c r="I31" s="4">
        <v>199.0</v>
      </c>
      <c r="J31" s="4" t="s">
        <v>2480</v>
      </c>
      <c r="K31" s="6">
        <f>+919916242098</f>
        <v>919916242098</v>
      </c>
      <c r="L31" s="4" t="str">
        <f t="shared" si="1"/>
        <v>guru_3@yahoo.com919916242098</v>
      </c>
      <c r="M31" s="10" t="s">
        <v>67</v>
      </c>
      <c r="N31" s="4" t="b">
        <v>0</v>
      </c>
      <c r="O31" s="4" t="str">
        <f>VLOOKUP(A31,payment_ids!D:E,2,FALSE)</f>
        <v>upi</v>
      </c>
      <c r="P31" s="4" t="s">
        <v>69</v>
      </c>
      <c r="Q31" s="4" t="s">
        <v>2481</v>
      </c>
      <c r="R31" s="4"/>
      <c r="S31" s="12" t="s">
        <v>2457</v>
      </c>
      <c r="T31" s="4"/>
      <c r="U31" s="4"/>
      <c r="V31" s="11"/>
      <c r="W31" s="4"/>
      <c r="X31" s="11"/>
      <c r="Y31" s="4"/>
      <c r="Z31" s="4"/>
      <c r="AA31" s="4"/>
      <c r="AB31" s="4"/>
      <c r="AC31" s="4"/>
      <c r="AD31" s="4"/>
      <c r="AE31" s="4"/>
      <c r="AF31" s="4"/>
      <c r="AG31" s="4"/>
      <c r="AH31" s="5"/>
      <c r="AI31" s="5"/>
      <c r="AJ31" s="5"/>
      <c r="AK31" s="5"/>
      <c r="AL31" s="5"/>
    </row>
    <row r="32">
      <c r="A32" s="4" t="str">
        <f>VLOOKUP(L32,payment_ids!C:D,2,FALSE)</f>
        <v>pay_HBifDwU9dgPVQZ</v>
      </c>
      <c r="B32" s="4"/>
      <c r="C32" s="4" t="s">
        <v>2455</v>
      </c>
      <c r="D32" s="4">
        <v>49997.0</v>
      </c>
      <c r="E32" s="4"/>
      <c r="F32" s="4">
        <v>3.0</v>
      </c>
      <c r="G32" s="4">
        <v>199.0</v>
      </c>
      <c r="H32" s="4"/>
      <c r="I32" s="4">
        <v>199.0</v>
      </c>
      <c r="J32" s="4" t="s">
        <v>2482</v>
      </c>
      <c r="K32" s="6">
        <f>+919739438900</f>
        <v>919739438900</v>
      </c>
      <c r="L32" s="4" t="str">
        <f t="shared" si="1"/>
        <v>khyatimehta0@gmail.com919739438900</v>
      </c>
      <c r="M32" s="10" t="s">
        <v>67</v>
      </c>
      <c r="N32" s="4" t="b">
        <v>0</v>
      </c>
      <c r="O32" s="4" t="str">
        <f>VLOOKUP(A32,payment_ids!D:E,2,FALSE)</f>
        <v>upi</v>
      </c>
      <c r="P32" s="4" t="s">
        <v>69</v>
      </c>
      <c r="Q32" s="4" t="s">
        <v>2483</v>
      </c>
      <c r="R32" s="4"/>
      <c r="S32" s="12" t="s">
        <v>2457</v>
      </c>
      <c r="T32" s="4"/>
      <c r="U32" s="4"/>
      <c r="V32" s="11"/>
      <c r="W32" s="4"/>
      <c r="X32" s="11"/>
      <c r="Y32" s="4"/>
      <c r="Z32" s="4"/>
      <c r="AA32" s="4"/>
      <c r="AB32" s="4"/>
      <c r="AC32" s="4"/>
      <c r="AD32" s="4"/>
      <c r="AE32" s="4"/>
      <c r="AF32" s="4"/>
      <c r="AG32" s="4"/>
      <c r="AH32" s="5"/>
      <c r="AI32" s="5"/>
      <c r="AJ32" s="5"/>
      <c r="AK32" s="5"/>
      <c r="AL32" s="5"/>
    </row>
    <row r="33">
      <c r="A33" s="4" t="str">
        <f>VLOOKUP(L33,payment_ids!C:D,2,FALSE)</f>
        <v>pay_HBl9GiClfs6oRm</v>
      </c>
      <c r="B33" s="4"/>
      <c r="C33" s="4" t="s">
        <v>2455</v>
      </c>
      <c r="D33" s="4">
        <v>49997.0</v>
      </c>
      <c r="E33" s="4"/>
      <c r="F33" s="4">
        <v>3.0</v>
      </c>
      <c r="G33" s="4">
        <v>199.0</v>
      </c>
      <c r="H33" s="4"/>
      <c r="I33" s="4">
        <v>199.0</v>
      </c>
      <c r="J33" s="4" t="s">
        <v>2484</v>
      </c>
      <c r="K33" s="6">
        <f>+919818529598</f>
        <v>919818529598</v>
      </c>
      <c r="L33" s="4" t="str">
        <f t="shared" si="1"/>
        <v>krishan.bora1990@gmail.com919818529598</v>
      </c>
      <c r="M33" s="10" t="s">
        <v>67</v>
      </c>
      <c r="N33" s="4" t="b">
        <v>0</v>
      </c>
      <c r="O33" s="4" t="str">
        <f>VLOOKUP(A33,payment_ids!D:E,2,FALSE)</f>
        <v>card</v>
      </c>
      <c r="P33" s="4" t="s">
        <v>69</v>
      </c>
      <c r="Q33" s="4" t="s">
        <v>2485</v>
      </c>
      <c r="R33" s="4"/>
      <c r="S33" s="12" t="s">
        <v>2457</v>
      </c>
      <c r="T33" s="4"/>
      <c r="U33" s="4"/>
      <c r="V33" s="11"/>
      <c r="W33" s="4"/>
      <c r="X33" s="11"/>
      <c r="Y33" s="4"/>
      <c r="Z33" s="4"/>
      <c r="AA33" s="4"/>
      <c r="AB33" s="4"/>
      <c r="AC33" s="4"/>
      <c r="AD33" s="4"/>
      <c r="AE33" s="4"/>
      <c r="AF33" s="4"/>
      <c r="AG33" s="4"/>
      <c r="AH33" s="5"/>
      <c r="AI33" s="5"/>
      <c r="AJ33" s="5"/>
      <c r="AK33" s="5"/>
      <c r="AL33" s="5"/>
    </row>
    <row r="34">
      <c r="A34" s="4" t="str">
        <f>VLOOKUP(L34,payment_ids!C:D,2,FALSE)</f>
        <v>pay_HCDVQQ1ACO1UQ9</v>
      </c>
      <c r="B34" s="4"/>
      <c r="C34" s="4" t="s">
        <v>2455</v>
      </c>
      <c r="D34" s="4">
        <v>49997.0</v>
      </c>
      <c r="E34" s="4"/>
      <c r="F34" s="4">
        <v>3.0</v>
      </c>
      <c r="G34" s="4">
        <v>199.0</v>
      </c>
      <c r="H34" s="4"/>
      <c r="I34" s="4">
        <v>199.0</v>
      </c>
      <c r="J34" s="4" t="s">
        <v>2486</v>
      </c>
      <c r="K34" s="6">
        <f>+918425046969</f>
        <v>918425046969</v>
      </c>
      <c r="L34" s="4" t="str">
        <f t="shared" si="1"/>
        <v>princeparmar6@gmail.com918425046969</v>
      </c>
      <c r="M34" s="10" t="s">
        <v>67</v>
      </c>
      <c r="N34" s="4" t="b">
        <v>0</v>
      </c>
      <c r="O34" s="4" t="str">
        <f>VLOOKUP(A34,payment_ids!D:E,2,FALSE)</f>
        <v>upi</v>
      </c>
      <c r="P34" s="4" t="s">
        <v>69</v>
      </c>
      <c r="Q34" s="4" t="s">
        <v>2487</v>
      </c>
      <c r="R34" s="4"/>
      <c r="S34" s="12" t="s">
        <v>2457</v>
      </c>
      <c r="T34" s="4"/>
      <c r="U34" s="4"/>
      <c r="V34" s="11"/>
      <c r="W34" s="4"/>
      <c r="X34" s="11"/>
      <c r="Y34" s="4"/>
      <c r="Z34" s="4"/>
      <c r="AA34" s="4"/>
      <c r="AB34" s="4"/>
      <c r="AC34" s="4"/>
      <c r="AD34" s="4"/>
      <c r="AE34" s="4"/>
      <c r="AF34" s="4"/>
      <c r="AG34" s="4"/>
      <c r="AH34" s="5"/>
      <c r="AI34" s="5"/>
      <c r="AJ34" s="5"/>
      <c r="AK34" s="5"/>
      <c r="AL34" s="5"/>
    </row>
    <row r="35">
      <c r="A35" s="4" t="str">
        <f>VLOOKUP(L35,payment_ids!C:D,2,FALSE)</f>
        <v>pay_HDJzaI79rF6AC3</v>
      </c>
      <c r="B35" s="4"/>
      <c r="C35" s="4" t="s">
        <v>2455</v>
      </c>
      <c r="D35" s="4">
        <v>49997.0</v>
      </c>
      <c r="E35" s="4"/>
      <c r="F35" s="4">
        <v>1.0</v>
      </c>
      <c r="G35" s="4">
        <v>99.0</v>
      </c>
      <c r="H35" s="4"/>
      <c r="I35" s="4">
        <v>99.0</v>
      </c>
      <c r="J35" s="4" t="s">
        <v>2488</v>
      </c>
      <c r="K35" s="6">
        <f>+919011926939</f>
        <v>919011926939</v>
      </c>
      <c r="L35" s="4" t="str">
        <f t="shared" si="1"/>
        <v>muskannagdev342@gmail.com919011926939</v>
      </c>
      <c r="M35" s="10" t="s">
        <v>67</v>
      </c>
      <c r="N35" s="4" t="b">
        <v>0</v>
      </c>
      <c r="O35" s="4" t="str">
        <f>VLOOKUP(A35,payment_ids!D:E,2,FALSE)</f>
        <v>upi</v>
      </c>
      <c r="P35" s="4" t="s">
        <v>69</v>
      </c>
      <c r="Q35" s="4" t="s">
        <v>2489</v>
      </c>
      <c r="R35" s="4"/>
      <c r="S35" s="12" t="s">
        <v>2457</v>
      </c>
      <c r="T35" s="4"/>
      <c r="U35" s="4"/>
      <c r="V35" s="11"/>
      <c r="W35" s="4"/>
      <c r="X35" s="11"/>
      <c r="Y35" s="4"/>
      <c r="Z35" s="4"/>
      <c r="AA35" s="4"/>
      <c r="AB35" s="4"/>
      <c r="AC35" s="4"/>
      <c r="AD35" s="4"/>
      <c r="AE35" s="4"/>
      <c r="AF35" s="4"/>
      <c r="AG35" s="4"/>
      <c r="AH35" s="5"/>
      <c r="AI35" s="5"/>
      <c r="AJ35" s="5"/>
      <c r="AK35" s="5"/>
      <c r="AL35" s="5"/>
    </row>
    <row r="36">
      <c r="A36" s="4" t="str">
        <f>VLOOKUP(L36,payment_ids!C:D,2,FALSE)</f>
        <v>pay_HDLaDN509Luscl</v>
      </c>
      <c r="B36" s="4"/>
      <c r="C36" s="4" t="s">
        <v>2455</v>
      </c>
      <c r="D36" s="4">
        <v>49997.0</v>
      </c>
      <c r="E36" s="4"/>
      <c r="F36" s="4">
        <v>1.0</v>
      </c>
      <c r="G36" s="4">
        <v>99.0</v>
      </c>
      <c r="H36" s="4"/>
      <c r="I36" s="4">
        <v>99.0</v>
      </c>
      <c r="J36" s="4" t="s">
        <v>2490</v>
      </c>
      <c r="K36" s="6">
        <f>+919810957676</f>
        <v>919810957676</v>
      </c>
      <c r="L36" s="4" t="str">
        <f t="shared" si="1"/>
        <v>outdoorrebellions@gmail.com919810957676</v>
      </c>
      <c r="M36" s="10" t="s">
        <v>67</v>
      </c>
      <c r="N36" s="4" t="b">
        <v>0</v>
      </c>
      <c r="O36" s="4" t="str">
        <f>VLOOKUP(A36,payment_ids!D:E,2,FALSE)</f>
        <v>upi</v>
      </c>
      <c r="P36" s="4" t="s">
        <v>69</v>
      </c>
      <c r="Q36" s="4" t="s">
        <v>2491</v>
      </c>
      <c r="R36" s="4"/>
      <c r="S36" s="12" t="s">
        <v>2457</v>
      </c>
      <c r="T36" s="4"/>
      <c r="U36" s="4"/>
      <c r="V36" s="11"/>
      <c r="W36" s="4"/>
      <c r="X36" s="11"/>
      <c r="Y36" s="4"/>
      <c r="Z36" s="4"/>
      <c r="AA36" s="4"/>
      <c r="AB36" s="4"/>
      <c r="AC36" s="4"/>
      <c r="AD36" s="4"/>
      <c r="AE36" s="4"/>
      <c r="AF36" s="4"/>
      <c r="AG36" s="4"/>
      <c r="AH36" s="5"/>
      <c r="AI36" s="5"/>
      <c r="AJ36" s="5"/>
      <c r="AK36" s="5"/>
      <c r="AL36" s="5"/>
    </row>
    <row r="37">
      <c r="A37" s="4" t="str">
        <f>VLOOKUP(L37,payment_ids!C:D,2,FALSE)</f>
        <v>pay_HDLthg6Y2SeBHZ</v>
      </c>
      <c r="B37" s="4"/>
      <c r="C37" s="4" t="s">
        <v>2455</v>
      </c>
      <c r="D37" s="4">
        <v>49997.0</v>
      </c>
      <c r="E37" s="4"/>
      <c r="F37" s="4">
        <v>3.0</v>
      </c>
      <c r="G37" s="4">
        <v>199.0</v>
      </c>
      <c r="H37" s="4"/>
      <c r="I37" s="4">
        <v>199.0</v>
      </c>
      <c r="J37" s="4" t="s">
        <v>1730</v>
      </c>
      <c r="K37" s="6">
        <f>+919997428605</f>
        <v>919997428605</v>
      </c>
      <c r="L37" s="4" t="str">
        <f t="shared" si="1"/>
        <v>kanchangusain007@gmail.com919997428605</v>
      </c>
      <c r="M37" s="10" t="s">
        <v>67</v>
      </c>
      <c r="N37" s="4" t="b">
        <v>0</v>
      </c>
      <c r="O37" s="4" t="str">
        <f>VLOOKUP(A37,payment_ids!D:E,2,FALSE)</f>
        <v>upi</v>
      </c>
      <c r="P37" s="4" t="s">
        <v>69</v>
      </c>
      <c r="Q37" s="4" t="s">
        <v>2492</v>
      </c>
      <c r="R37" s="4"/>
      <c r="S37" s="12" t="s">
        <v>2457</v>
      </c>
      <c r="T37" s="4"/>
      <c r="U37" s="4"/>
      <c r="V37" s="11"/>
      <c r="W37" s="4"/>
      <c r="X37" s="11"/>
      <c r="Y37" s="4"/>
      <c r="Z37" s="4"/>
      <c r="AA37" s="4"/>
      <c r="AB37" s="4"/>
      <c r="AC37" s="7"/>
      <c r="AD37" s="4"/>
      <c r="AE37" s="4"/>
      <c r="AF37" s="4"/>
      <c r="AG37" s="4"/>
      <c r="AH37" s="5"/>
      <c r="AI37" s="5"/>
      <c r="AJ37" s="5"/>
      <c r="AK37" s="5"/>
      <c r="AL37" s="5"/>
    </row>
    <row r="38">
      <c r="A38" s="4" t="str">
        <f>VLOOKUP(L38,payment_ids!C:D,2,FALSE)</f>
        <v>pay_HDnBkPwtPD6cWs</v>
      </c>
      <c r="B38" s="4"/>
      <c r="C38" s="4" t="s">
        <v>2455</v>
      </c>
      <c r="D38" s="4">
        <v>49997.0</v>
      </c>
      <c r="E38" s="4"/>
      <c r="F38" s="4">
        <v>1.0</v>
      </c>
      <c r="G38" s="4">
        <v>99.0</v>
      </c>
      <c r="H38" s="4"/>
      <c r="I38" s="4">
        <v>99.0</v>
      </c>
      <c r="J38" s="4" t="s">
        <v>2493</v>
      </c>
      <c r="K38" s="6">
        <f>+916393992744</f>
        <v>916393992744</v>
      </c>
      <c r="L38" s="4" t="str">
        <f t="shared" si="1"/>
        <v>ishaan17maxx@gmail.com916393992744</v>
      </c>
      <c r="M38" s="10" t="s">
        <v>67</v>
      </c>
      <c r="N38" s="4" t="b">
        <v>0</v>
      </c>
      <c r="O38" s="4" t="str">
        <f>VLOOKUP(A38,payment_ids!D:E,2,FALSE)</f>
        <v>upi</v>
      </c>
      <c r="P38" s="4" t="s">
        <v>69</v>
      </c>
      <c r="Q38" s="4" t="s">
        <v>2494</v>
      </c>
      <c r="R38" s="4"/>
      <c r="S38" s="12" t="s">
        <v>2457</v>
      </c>
      <c r="T38" s="4"/>
      <c r="U38" s="4"/>
      <c r="V38" s="11"/>
      <c r="W38" s="4"/>
      <c r="X38" s="11"/>
      <c r="Y38" s="4"/>
      <c r="Z38" s="4"/>
      <c r="AA38" s="4"/>
      <c r="AB38" s="4"/>
      <c r="AC38" s="4"/>
      <c r="AD38" s="4"/>
      <c r="AE38" s="4"/>
      <c r="AF38" s="4"/>
      <c r="AG38" s="4"/>
      <c r="AH38" s="5"/>
      <c r="AI38" s="5"/>
      <c r="AJ38" s="5"/>
      <c r="AK38" s="5"/>
      <c r="AL38" s="5"/>
    </row>
    <row r="39">
      <c r="A39" s="4" t="str">
        <f>VLOOKUP(L39,payment_ids!C:D,2,FALSE)</f>
        <v>pay_HDqS1nWCVitsJy</v>
      </c>
      <c r="B39" s="4"/>
      <c r="C39" s="4" t="s">
        <v>2455</v>
      </c>
      <c r="D39" s="4">
        <v>49997.0</v>
      </c>
      <c r="E39" s="4"/>
      <c r="F39" s="4">
        <v>1.0</v>
      </c>
      <c r="G39" s="4">
        <v>99.0</v>
      </c>
      <c r="H39" s="4"/>
      <c r="I39" s="4">
        <v>99.0</v>
      </c>
      <c r="J39" s="4" t="s">
        <v>2495</v>
      </c>
      <c r="K39" s="6">
        <f>+919810766029</f>
        <v>919810766029</v>
      </c>
      <c r="L39" s="4" t="str">
        <f t="shared" si="1"/>
        <v>dua.ankit@gmail.com919810766029</v>
      </c>
      <c r="M39" s="10" t="s">
        <v>67</v>
      </c>
      <c r="N39" s="4" t="b">
        <v>0</v>
      </c>
      <c r="O39" s="4" t="str">
        <f>VLOOKUP(A39,payment_ids!D:E,2,FALSE)</f>
        <v>upi</v>
      </c>
      <c r="P39" s="4" t="s">
        <v>69</v>
      </c>
      <c r="Q39" s="4" t="s">
        <v>2496</v>
      </c>
      <c r="R39" s="4"/>
      <c r="S39" s="12" t="s">
        <v>2457</v>
      </c>
      <c r="T39" s="4"/>
      <c r="U39" s="4"/>
      <c r="V39" s="11"/>
      <c r="W39" s="4"/>
      <c r="X39" s="11"/>
      <c r="Y39" s="4"/>
      <c r="Z39" s="4"/>
      <c r="AA39" s="4"/>
      <c r="AB39" s="4"/>
      <c r="AC39" s="7"/>
      <c r="AD39" s="4"/>
      <c r="AE39" s="4"/>
      <c r="AF39" s="4"/>
      <c r="AG39" s="4"/>
      <c r="AH39" s="5"/>
      <c r="AI39" s="5"/>
      <c r="AJ39" s="5"/>
      <c r="AK39" s="5"/>
      <c r="AL39" s="5"/>
    </row>
    <row r="40">
      <c r="A40" s="4" t="str">
        <f>VLOOKUP(L40,payment_ids!C:D,2,FALSE)</f>
        <v>pay_HEXBPcJ144OLNK</v>
      </c>
      <c r="B40" s="4"/>
      <c r="C40" s="4" t="s">
        <v>2455</v>
      </c>
      <c r="D40" s="4">
        <v>49997.0</v>
      </c>
      <c r="E40" s="4"/>
      <c r="F40" s="4">
        <v>1.0</v>
      </c>
      <c r="G40" s="4">
        <v>99.0</v>
      </c>
      <c r="H40" s="4"/>
      <c r="I40" s="4">
        <v>99.0</v>
      </c>
      <c r="J40" s="4" t="s">
        <v>2497</v>
      </c>
      <c r="K40" s="6">
        <f>+917769846304</f>
        <v>917769846304</v>
      </c>
      <c r="L40" s="4" t="str">
        <f t="shared" si="1"/>
        <v>raveenakaur544@gmail.com917769846304</v>
      </c>
      <c r="M40" s="10" t="s">
        <v>67</v>
      </c>
      <c r="N40" s="4" t="b">
        <v>0</v>
      </c>
      <c r="O40" s="4" t="str">
        <f>VLOOKUP(A40,payment_ids!D:E,2,FALSE)</f>
        <v>upi</v>
      </c>
      <c r="P40" s="4" t="s">
        <v>69</v>
      </c>
      <c r="Q40" s="4" t="s">
        <v>2498</v>
      </c>
      <c r="R40" s="4"/>
      <c r="S40" s="12" t="s">
        <v>2457</v>
      </c>
      <c r="T40" s="4"/>
      <c r="U40" s="4"/>
      <c r="V40" s="11"/>
      <c r="W40" s="4"/>
      <c r="X40" s="11"/>
      <c r="Y40" s="4"/>
      <c r="Z40" s="4"/>
      <c r="AA40" s="4"/>
      <c r="AB40" s="4"/>
      <c r="AC40" s="4"/>
      <c r="AD40" s="4"/>
      <c r="AE40" s="4"/>
      <c r="AF40" s="4"/>
      <c r="AG40" s="4"/>
      <c r="AH40" s="5"/>
      <c r="AI40" s="5"/>
      <c r="AJ40" s="5"/>
      <c r="AK40" s="5"/>
      <c r="AL40" s="5"/>
    </row>
    <row r="41">
      <c r="A41" s="4" t="str">
        <f>VLOOKUP(L41,payment_ids!C:D,2,FALSE)</f>
        <v>pay_HEfLz6CpDEh1Gg</v>
      </c>
      <c r="B41" s="4"/>
      <c r="C41" s="4" t="s">
        <v>2455</v>
      </c>
      <c r="D41" s="4">
        <v>49997.0</v>
      </c>
      <c r="E41" s="4"/>
      <c r="F41" s="4">
        <v>1.0</v>
      </c>
      <c r="G41" s="4">
        <v>99.0</v>
      </c>
      <c r="H41" s="4"/>
      <c r="I41" s="4">
        <v>99.0</v>
      </c>
      <c r="J41" s="4" t="s">
        <v>2499</v>
      </c>
      <c r="K41" s="6">
        <f>+918200598533</f>
        <v>918200598533</v>
      </c>
      <c r="L41" s="4" t="str">
        <f t="shared" si="1"/>
        <v>priya19pop@gmail.com918200598533</v>
      </c>
      <c r="M41" s="10" t="s">
        <v>67</v>
      </c>
      <c r="N41" s="4" t="b">
        <v>0</v>
      </c>
      <c r="O41" s="4" t="str">
        <f>VLOOKUP(A41,payment_ids!D:E,2,FALSE)</f>
        <v>card</v>
      </c>
      <c r="P41" s="4" t="s">
        <v>69</v>
      </c>
      <c r="Q41" s="4" t="s">
        <v>2500</v>
      </c>
      <c r="R41" s="4"/>
      <c r="S41" s="12" t="s">
        <v>2457</v>
      </c>
      <c r="T41" s="4"/>
      <c r="U41" s="4"/>
      <c r="V41" s="11"/>
      <c r="W41" s="4"/>
      <c r="X41" s="11"/>
      <c r="Y41" s="4"/>
      <c r="Z41" s="4"/>
      <c r="AA41" s="4"/>
      <c r="AB41" s="4"/>
      <c r="AC41" s="7"/>
      <c r="AD41" s="4"/>
      <c r="AE41" s="4"/>
      <c r="AF41" s="4"/>
      <c r="AG41" s="4"/>
      <c r="AH41" s="5"/>
      <c r="AI41" s="5"/>
      <c r="AJ41" s="5"/>
      <c r="AK41" s="5"/>
      <c r="AL41" s="5"/>
    </row>
    <row r="42">
      <c r="A42" s="4" t="str">
        <f>VLOOKUP(L42,payment_ids!C:D,2,FALSE)</f>
        <v>pay_HEfovtM87qXqwO</v>
      </c>
      <c r="B42" s="4"/>
      <c r="C42" s="4" t="s">
        <v>2455</v>
      </c>
      <c r="D42" s="4">
        <v>49997.0</v>
      </c>
      <c r="E42" s="4"/>
      <c r="F42" s="4">
        <v>1.0</v>
      </c>
      <c r="G42" s="4">
        <v>99.0</v>
      </c>
      <c r="H42" s="4"/>
      <c r="I42" s="4">
        <v>99.0</v>
      </c>
      <c r="J42" s="4" t="s">
        <v>2501</v>
      </c>
      <c r="K42" s="6">
        <f>+919354102070</f>
        <v>919354102070</v>
      </c>
      <c r="L42" s="4" t="str">
        <f t="shared" si="1"/>
        <v>annubhati540@gmail.com919354102070</v>
      </c>
      <c r="M42" s="10" t="s">
        <v>67</v>
      </c>
      <c r="N42" s="4" t="b">
        <v>0</v>
      </c>
      <c r="O42" s="4" t="str">
        <f>VLOOKUP(A42,payment_ids!D:E,2,FALSE)</f>
        <v>upi</v>
      </c>
      <c r="P42" s="4" t="s">
        <v>69</v>
      </c>
      <c r="Q42" s="4" t="s">
        <v>2502</v>
      </c>
      <c r="R42" s="4"/>
      <c r="S42" s="12" t="s">
        <v>2457</v>
      </c>
      <c r="T42" s="4"/>
      <c r="U42" s="4"/>
      <c r="V42" s="11"/>
      <c r="W42" s="4"/>
      <c r="X42" s="11"/>
      <c r="Y42" s="4"/>
      <c r="Z42" s="4"/>
      <c r="AA42" s="4"/>
      <c r="AB42" s="4"/>
      <c r="AC42" s="4"/>
      <c r="AD42" s="4"/>
      <c r="AE42" s="4"/>
      <c r="AF42" s="4"/>
      <c r="AG42" s="4"/>
      <c r="AH42" s="5"/>
      <c r="AI42" s="5"/>
      <c r="AJ42" s="5"/>
      <c r="AK42" s="5"/>
      <c r="AL42" s="5"/>
    </row>
    <row r="43">
      <c r="A43" s="4" t="str">
        <f>VLOOKUP(L43,payment_ids!C:D,2,FALSE)</f>
        <v>pay_HEpKt3n4g7QWRu</v>
      </c>
      <c r="B43" s="4"/>
      <c r="C43" s="4" t="s">
        <v>2455</v>
      </c>
      <c r="D43" s="4">
        <v>49997.0</v>
      </c>
      <c r="E43" s="4"/>
      <c r="F43" s="4">
        <v>3.0</v>
      </c>
      <c r="G43" s="4">
        <v>199.0</v>
      </c>
      <c r="H43" s="4"/>
      <c r="I43" s="4">
        <v>199.0</v>
      </c>
      <c r="J43" s="4" t="s">
        <v>2503</v>
      </c>
      <c r="K43" s="6">
        <f>+919906190121</f>
        <v>919906190121</v>
      </c>
      <c r="L43" s="4" t="str">
        <f t="shared" si="1"/>
        <v>simranjitsinghsimar89@gmail.com919906190121</v>
      </c>
      <c r="M43" s="10" t="s">
        <v>67</v>
      </c>
      <c r="N43" s="4" t="b">
        <v>0</v>
      </c>
      <c r="O43" s="4" t="str">
        <f>VLOOKUP(A43,payment_ids!D:E,2,FALSE)</f>
        <v>card</v>
      </c>
      <c r="P43" s="4" t="s">
        <v>69</v>
      </c>
      <c r="Q43" s="4" t="s">
        <v>2504</v>
      </c>
      <c r="R43" s="4"/>
      <c r="S43" s="12" t="s">
        <v>2457</v>
      </c>
      <c r="T43" s="4"/>
      <c r="U43" s="4"/>
      <c r="V43" s="11"/>
      <c r="W43" s="4"/>
      <c r="X43" s="11"/>
      <c r="Y43" s="4"/>
      <c r="Z43" s="4"/>
      <c r="AA43" s="4"/>
      <c r="AB43" s="4"/>
      <c r="AC43" s="4"/>
      <c r="AD43" s="4"/>
      <c r="AE43" s="4"/>
      <c r="AF43" s="4"/>
      <c r="AG43" s="4"/>
      <c r="AH43" s="5"/>
      <c r="AI43" s="5"/>
      <c r="AJ43" s="5"/>
      <c r="AK43" s="5"/>
      <c r="AL43" s="5"/>
    </row>
    <row r="44">
      <c r="A44" s="4" t="str">
        <f>VLOOKUP(L44,payment_ids!C:D,2,FALSE)</f>
        <v>pay_HExLl0IbSHPZ9B</v>
      </c>
      <c r="B44" s="4"/>
      <c r="C44" s="4" t="s">
        <v>2455</v>
      </c>
      <c r="D44" s="4">
        <v>49997.0</v>
      </c>
      <c r="E44" s="4"/>
      <c r="F44" s="4">
        <v>1.0</v>
      </c>
      <c r="G44" s="4">
        <v>99.0</v>
      </c>
      <c r="H44" s="4"/>
      <c r="I44" s="4">
        <v>99.0</v>
      </c>
      <c r="J44" s="4" t="s">
        <v>2505</v>
      </c>
      <c r="K44" s="6">
        <f>+919951600801</f>
        <v>919951600801</v>
      </c>
      <c r="L44" s="4" t="str">
        <f t="shared" si="1"/>
        <v>pradeepvatturi@gmail.com919951600801</v>
      </c>
      <c r="M44" s="10" t="s">
        <v>67</v>
      </c>
      <c r="N44" s="4" t="b">
        <v>0</v>
      </c>
      <c r="O44" s="4" t="str">
        <f>VLOOKUP(A44,payment_ids!D:E,2,FALSE)</f>
        <v>wallet</v>
      </c>
      <c r="P44" s="4" t="s">
        <v>69</v>
      </c>
      <c r="Q44" s="4" t="s">
        <v>2506</v>
      </c>
      <c r="R44" s="4"/>
      <c r="S44" s="12" t="s">
        <v>2457</v>
      </c>
      <c r="T44" s="4"/>
      <c r="U44" s="4"/>
      <c r="V44" s="11"/>
      <c r="W44" s="4"/>
      <c r="X44" s="11"/>
      <c r="Y44" s="4"/>
      <c r="Z44" s="4"/>
      <c r="AA44" s="4"/>
      <c r="AB44" s="4"/>
      <c r="AC44" s="4"/>
      <c r="AD44" s="4"/>
      <c r="AE44" s="4"/>
      <c r="AF44" s="4"/>
      <c r="AG44" s="4"/>
      <c r="AH44" s="5"/>
      <c r="AI44" s="5"/>
      <c r="AJ44" s="5"/>
      <c r="AK44" s="5"/>
      <c r="AL44" s="5"/>
    </row>
    <row r="45">
      <c r="A45" s="4" t="str">
        <f>VLOOKUP(L45,payment_ids!C:D,2,FALSE)</f>
        <v>pay_HF04M7tr6mqtYI</v>
      </c>
      <c r="B45" s="4"/>
      <c r="C45" s="4" t="s">
        <v>2455</v>
      </c>
      <c r="D45" s="4">
        <v>49997.0</v>
      </c>
      <c r="E45" s="4"/>
      <c r="F45" s="4">
        <v>1.0</v>
      </c>
      <c r="G45" s="4">
        <v>99.0</v>
      </c>
      <c r="H45" s="4"/>
      <c r="I45" s="4">
        <v>99.0</v>
      </c>
      <c r="J45" s="4" t="s">
        <v>2507</v>
      </c>
      <c r="K45" s="6">
        <f>+917063112159</f>
        <v>917063112159</v>
      </c>
      <c r="L45" s="4" t="str">
        <f t="shared" si="1"/>
        <v>smritipragya@gmail.com917063112159</v>
      </c>
      <c r="M45" s="10" t="s">
        <v>67</v>
      </c>
      <c r="N45" s="4" t="b">
        <v>0</v>
      </c>
      <c r="O45" s="4" t="str">
        <f>VLOOKUP(A45,payment_ids!D:E,2,FALSE)</f>
        <v>upi</v>
      </c>
      <c r="P45" s="4" t="s">
        <v>69</v>
      </c>
      <c r="Q45" s="4" t="s">
        <v>2508</v>
      </c>
      <c r="R45" s="4"/>
      <c r="S45" s="12" t="s">
        <v>2457</v>
      </c>
      <c r="T45" s="4"/>
      <c r="U45" s="4"/>
      <c r="V45" s="11"/>
      <c r="W45" s="4"/>
      <c r="X45" s="11"/>
      <c r="Y45" s="4"/>
      <c r="Z45" s="4"/>
      <c r="AA45" s="4"/>
      <c r="AB45" s="4"/>
      <c r="AC45" s="7"/>
      <c r="AD45" s="4"/>
      <c r="AE45" s="4"/>
      <c r="AF45" s="4"/>
      <c r="AG45" s="4"/>
      <c r="AH45" s="5"/>
      <c r="AI45" s="5"/>
      <c r="AJ45" s="5"/>
      <c r="AK45" s="5"/>
      <c r="AL45" s="5"/>
    </row>
    <row r="46">
      <c r="A46" s="4" t="str">
        <f>VLOOKUP(L46,payment_ids!C:D,2,FALSE)</f>
        <v>pay_HFKc1pG7zigNrx</v>
      </c>
      <c r="B46" s="4"/>
      <c r="C46" s="4" t="s">
        <v>2455</v>
      </c>
      <c r="D46" s="4">
        <v>49997.0</v>
      </c>
      <c r="E46" s="5"/>
      <c r="F46" s="4">
        <v>1.0</v>
      </c>
      <c r="G46" s="4">
        <v>99.0</v>
      </c>
      <c r="H46" s="4"/>
      <c r="I46" s="4">
        <v>99.0</v>
      </c>
      <c r="J46" s="4" t="s">
        <v>1400</v>
      </c>
      <c r="K46" s="5">
        <f>+917982620256</f>
        <v>917982620256</v>
      </c>
      <c r="L46" s="4" t="str">
        <f t="shared" si="1"/>
        <v>uditraj79@gmail.com917982620256</v>
      </c>
      <c r="M46" s="10" t="s">
        <v>67</v>
      </c>
      <c r="N46" s="4" t="b">
        <v>0</v>
      </c>
      <c r="O46" s="4" t="str">
        <f>VLOOKUP(A46,payment_ids!D:E,2,FALSE)</f>
        <v>upi</v>
      </c>
      <c r="P46" s="4" t="s">
        <v>69</v>
      </c>
      <c r="Q46" s="4" t="s">
        <v>2509</v>
      </c>
      <c r="R46" s="4"/>
      <c r="S46" s="12" t="s">
        <v>2457</v>
      </c>
      <c r="T46" s="5"/>
      <c r="U46" s="4"/>
      <c r="V46" s="11"/>
      <c r="W46" s="4"/>
      <c r="X46" s="11"/>
      <c r="Y46" s="4"/>
      <c r="Z46" s="4"/>
      <c r="AA46" s="4"/>
      <c r="AB46" s="4"/>
      <c r="AC46" s="4"/>
      <c r="AD46" s="4"/>
      <c r="AE46" s="4"/>
      <c r="AF46" s="4"/>
      <c r="AG46" s="4"/>
      <c r="AH46" s="5"/>
      <c r="AI46" s="5"/>
      <c r="AJ46" s="5"/>
      <c r="AK46" s="5"/>
      <c r="AL46" s="5"/>
    </row>
    <row r="47">
      <c r="A47" s="4" t="str">
        <f>VLOOKUP(L47,payment_ids!C:D,2,FALSE)</f>
        <v>pay_HFMsxVkhgaRoJX</v>
      </c>
      <c r="B47" s="4"/>
      <c r="C47" s="4" t="s">
        <v>2455</v>
      </c>
      <c r="D47" s="4">
        <v>49997.0</v>
      </c>
      <c r="E47" s="5"/>
      <c r="F47" s="4">
        <v>3.0</v>
      </c>
      <c r="G47" s="4">
        <v>199.0</v>
      </c>
      <c r="H47" s="4"/>
      <c r="I47" s="4">
        <v>199.0</v>
      </c>
      <c r="J47" s="4" t="s">
        <v>2510</v>
      </c>
      <c r="K47" s="5">
        <f>+919400431220</f>
        <v>919400431220</v>
      </c>
      <c r="L47" s="4" t="str">
        <f t="shared" si="1"/>
        <v>dranoopvet07@gmail.com919400431220</v>
      </c>
      <c r="M47" s="10" t="s">
        <v>67</v>
      </c>
      <c r="N47" s="4" t="b">
        <v>0</v>
      </c>
      <c r="O47" s="4" t="str">
        <f>VLOOKUP(A47,payment_ids!D:E,2,FALSE)</f>
        <v>upi</v>
      </c>
      <c r="P47" s="4" t="s">
        <v>69</v>
      </c>
      <c r="Q47" s="4" t="s">
        <v>2511</v>
      </c>
      <c r="R47" s="4"/>
      <c r="S47" s="12" t="s">
        <v>2457</v>
      </c>
      <c r="T47" s="5"/>
      <c r="U47" s="4"/>
      <c r="V47" s="11"/>
      <c r="W47" s="4"/>
      <c r="X47" s="11"/>
      <c r="Y47" s="4"/>
      <c r="Z47" s="4"/>
      <c r="AA47" s="4"/>
      <c r="AB47" s="4"/>
      <c r="AC47" s="4"/>
      <c r="AD47" s="4"/>
      <c r="AE47" s="4"/>
      <c r="AF47" s="4"/>
      <c r="AG47" s="4"/>
      <c r="AH47" s="5"/>
      <c r="AI47" s="5"/>
      <c r="AJ47" s="5"/>
      <c r="AK47" s="5"/>
      <c r="AL47" s="5"/>
    </row>
    <row r="48">
      <c r="A48" s="4" t="str">
        <f>VLOOKUP(L48,payment_ids!C:D,2,FALSE)</f>
        <v>pay_HFPXSa05pMkXjg</v>
      </c>
      <c r="B48" s="4"/>
      <c r="C48" s="4" t="s">
        <v>2455</v>
      </c>
      <c r="D48" s="4">
        <v>49997.0</v>
      </c>
      <c r="E48" s="5"/>
      <c r="F48" s="4">
        <v>1.0</v>
      </c>
      <c r="G48" s="4">
        <v>99.0</v>
      </c>
      <c r="H48" s="4"/>
      <c r="I48" s="4">
        <v>99.0</v>
      </c>
      <c r="J48" s="4" t="s">
        <v>2512</v>
      </c>
      <c r="K48" s="5">
        <f>+919030076761</f>
        <v>919030076761</v>
      </c>
      <c r="L48" s="4" t="str">
        <f t="shared" si="1"/>
        <v>pratham76761@gmail.com919030076761</v>
      </c>
      <c r="M48" s="10" t="s">
        <v>67</v>
      </c>
      <c r="N48" s="4" t="b">
        <v>0</v>
      </c>
      <c r="O48" s="4" t="str">
        <f>VLOOKUP(A48,payment_ids!D:E,2,FALSE)</f>
        <v>upi</v>
      </c>
      <c r="P48" s="4" t="s">
        <v>69</v>
      </c>
      <c r="Q48" s="4" t="s">
        <v>2513</v>
      </c>
      <c r="R48" s="4"/>
      <c r="S48" s="12" t="s">
        <v>2457</v>
      </c>
      <c r="T48" s="5"/>
      <c r="U48" s="4"/>
      <c r="V48" s="11"/>
      <c r="W48" s="4"/>
      <c r="X48" s="11"/>
      <c r="Y48" s="4"/>
      <c r="Z48" s="4"/>
      <c r="AA48" s="4"/>
      <c r="AB48" s="4"/>
      <c r="AC48" s="4"/>
      <c r="AD48" s="4"/>
      <c r="AE48" s="4"/>
      <c r="AF48" s="4"/>
      <c r="AG48" s="4"/>
      <c r="AH48" s="5"/>
      <c r="AI48" s="5"/>
      <c r="AJ48" s="5"/>
      <c r="AK48" s="5"/>
      <c r="AL48" s="5"/>
    </row>
    <row r="49">
      <c r="A49" s="4" t="str">
        <f>VLOOKUP(L49,payment_ids!C:D,2,FALSE)</f>
        <v>pay_HFQunuJspib5Jz</v>
      </c>
      <c r="B49" s="4"/>
      <c r="C49" s="4" t="s">
        <v>2455</v>
      </c>
      <c r="D49" s="4">
        <v>49997.0</v>
      </c>
      <c r="E49" s="5"/>
      <c r="F49" s="4">
        <v>1.0</v>
      </c>
      <c r="G49" s="4">
        <v>99.0</v>
      </c>
      <c r="H49" s="4"/>
      <c r="I49" s="4">
        <v>99.0</v>
      </c>
      <c r="J49" s="4" t="s">
        <v>1874</v>
      </c>
      <c r="K49" s="5">
        <f>+919579795121</f>
        <v>919579795121</v>
      </c>
      <c r="L49" s="4" t="str">
        <f t="shared" si="1"/>
        <v>rohit.marchande@outlook.com919579795121</v>
      </c>
      <c r="M49" s="10" t="s">
        <v>67</v>
      </c>
      <c r="N49" s="4" t="b">
        <v>0</v>
      </c>
      <c r="O49" s="4" t="str">
        <f>VLOOKUP(A49,payment_ids!D:E,2,FALSE)</f>
        <v>upi</v>
      </c>
      <c r="P49" s="4" t="s">
        <v>69</v>
      </c>
      <c r="Q49" s="4" t="s">
        <v>2514</v>
      </c>
      <c r="R49" s="4"/>
      <c r="S49" s="12" t="s">
        <v>2457</v>
      </c>
      <c r="T49" s="5"/>
      <c r="U49" s="4"/>
      <c r="V49" s="11"/>
      <c r="W49" s="4"/>
      <c r="X49" s="11"/>
      <c r="Y49" s="4"/>
      <c r="Z49" s="4"/>
      <c r="AA49" s="4"/>
      <c r="AB49" s="4"/>
      <c r="AC49" s="4"/>
      <c r="AD49" s="4"/>
      <c r="AE49" s="4"/>
      <c r="AF49" s="4"/>
      <c r="AG49" s="4"/>
      <c r="AH49" s="5"/>
      <c r="AI49" s="5"/>
      <c r="AJ49" s="5"/>
      <c r="AK49" s="5"/>
      <c r="AL49" s="5"/>
    </row>
    <row r="50">
      <c r="A50" s="4" t="str">
        <f>VLOOKUP(L50,payment_ids!C:D,2,FALSE)</f>
        <v>pay_HFX1l7WbKPh5DB</v>
      </c>
      <c r="B50" s="4"/>
      <c r="C50" s="4" t="s">
        <v>2455</v>
      </c>
      <c r="D50" s="4">
        <v>49997.0</v>
      </c>
      <c r="E50" s="5"/>
      <c r="F50" s="4">
        <v>6.0</v>
      </c>
      <c r="G50" s="4">
        <v>349.0</v>
      </c>
      <c r="H50" s="4"/>
      <c r="I50" s="4">
        <v>349.0</v>
      </c>
      <c r="J50" s="4" t="s">
        <v>2515</v>
      </c>
      <c r="K50" s="5">
        <f>+919601052801</f>
        <v>919601052801</v>
      </c>
      <c r="L50" s="4" t="str">
        <f t="shared" si="1"/>
        <v>shoghi07@gmail.com919601052801</v>
      </c>
      <c r="M50" s="10" t="s">
        <v>67</v>
      </c>
      <c r="N50" s="4" t="b">
        <v>0</v>
      </c>
      <c r="O50" s="4" t="str">
        <f>VLOOKUP(A50,payment_ids!D:E,2,FALSE)</f>
        <v>upi</v>
      </c>
      <c r="P50" s="4" t="s">
        <v>69</v>
      </c>
      <c r="Q50" s="4" t="s">
        <v>2516</v>
      </c>
      <c r="R50" s="4"/>
      <c r="S50" s="12" t="s">
        <v>2457</v>
      </c>
      <c r="T50" s="5"/>
      <c r="U50" s="4"/>
      <c r="V50" s="11"/>
      <c r="W50" s="4"/>
      <c r="X50" s="11"/>
      <c r="Y50" s="4"/>
      <c r="Z50" s="4"/>
      <c r="AA50" s="4"/>
      <c r="AB50" s="4"/>
      <c r="AC50" s="4"/>
      <c r="AD50" s="4"/>
      <c r="AE50" s="4"/>
      <c r="AF50" s="4"/>
      <c r="AG50" s="4"/>
      <c r="AH50" s="5"/>
      <c r="AI50" s="5"/>
      <c r="AJ50" s="5"/>
      <c r="AK50" s="5"/>
      <c r="AL50" s="5"/>
    </row>
    <row r="51">
      <c r="A51" s="4" t="str">
        <f>VLOOKUP(L51,payment_ids!C:D,2,FALSE)</f>
        <v>pay_HG6lKY2uLkBism</v>
      </c>
      <c r="B51" s="4"/>
      <c r="C51" s="4" t="s">
        <v>2455</v>
      </c>
      <c r="D51" s="4">
        <v>49997.0</v>
      </c>
      <c r="E51" s="5"/>
      <c r="F51" s="4">
        <v>3.0</v>
      </c>
      <c r="G51" s="4">
        <v>199.0</v>
      </c>
      <c r="H51" s="4"/>
      <c r="I51" s="4">
        <v>199.0</v>
      </c>
      <c r="J51" s="4" t="s">
        <v>2517</v>
      </c>
      <c r="K51" s="5">
        <f>+919713718090</f>
        <v>919713718090</v>
      </c>
      <c r="L51" s="4" t="str">
        <f t="shared" si="1"/>
        <v>sharad1093@gmail.com919713718090</v>
      </c>
      <c r="M51" s="10" t="s">
        <v>67</v>
      </c>
      <c r="N51" s="4" t="b">
        <v>0</v>
      </c>
      <c r="O51" s="4" t="str">
        <f>VLOOKUP(A51,payment_ids!D:E,2,FALSE)</f>
        <v>card</v>
      </c>
      <c r="P51" s="4" t="s">
        <v>69</v>
      </c>
      <c r="Q51" s="4" t="s">
        <v>2518</v>
      </c>
      <c r="R51" s="4"/>
      <c r="S51" s="12" t="s">
        <v>2457</v>
      </c>
      <c r="T51" s="5"/>
      <c r="U51" s="4"/>
      <c r="V51" s="11"/>
      <c r="W51" s="4"/>
      <c r="X51" s="11"/>
      <c r="Y51" s="4"/>
      <c r="Z51" s="4"/>
      <c r="AA51" s="4"/>
      <c r="AB51" s="4"/>
      <c r="AC51" s="4"/>
      <c r="AD51" s="4"/>
      <c r="AE51" s="4"/>
      <c r="AF51" s="4"/>
      <c r="AG51" s="4"/>
      <c r="AH51" s="5"/>
      <c r="AI51" s="5"/>
      <c r="AJ51" s="5"/>
      <c r="AK51" s="5"/>
      <c r="AL51" s="5"/>
    </row>
    <row r="52">
      <c r="A52" s="4" t="str">
        <f>VLOOKUP(L52,payment_ids!C:D,2,FALSE)</f>
        <v>pay_HG8ixTNDo1NNjx</v>
      </c>
      <c r="B52" s="4"/>
      <c r="C52" s="4" t="s">
        <v>2455</v>
      </c>
      <c r="D52" s="4">
        <v>49997.0</v>
      </c>
      <c r="E52" s="5"/>
      <c r="F52" s="4">
        <v>1.0</v>
      </c>
      <c r="G52" s="4">
        <v>99.0</v>
      </c>
      <c r="H52" s="4"/>
      <c r="I52" s="4">
        <v>99.0</v>
      </c>
      <c r="J52" s="4" t="s">
        <v>2519</v>
      </c>
      <c r="K52" s="5">
        <f>+919483512561</f>
        <v>919483512561</v>
      </c>
      <c r="L52" s="4" t="str">
        <f t="shared" si="1"/>
        <v>janet9963@gmail.com919483512561</v>
      </c>
      <c r="M52" s="10" t="s">
        <v>67</v>
      </c>
      <c r="N52" s="4" t="b">
        <v>0</v>
      </c>
      <c r="O52" s="4" t="str">
        <f>VLOOKUP(A52,payment_ids!D:E,2,FALSE)</f>
        <v>card</v>
      </c>
      <c r="P52" s="4" t="s">
        <v>69</v>
      </c>
      <c r="Q52" s="4" t="s">
        <v>2520</v>
      </c>
      <c r="R52" s="4"/>
      <c r="S52" s="12" t="s">
        <v>2457</v>
      </c>
      <c r="T52" s="5"/>
      <c r="U52" s="4"/>
      <c r="V52" s="11"/>
      <c r="W52" s="4"/>
      <c r="X52" s="11"/>
      <c r="Y52" s="4"/>
      <c r="Z52" s="4"/>
      <c r="AA52" s="4"/>
      <c r="AB52" s="4"/>
      <c r="AC52" s="4"/>
      <c r="AD52" s="4"/>
      <c r="AE52" s="4"/>
      <c r="AF52" s="4"/>
      <c r="AG52" s="4"/>
      <c r="AH52" s="5"/>
      <c r="AI52" s="5"/>
      <c r="AJ52" s="5"/>
      <c r="AK52" s="5"/>
      <c r="AL52" s="5"/>
    </row>
    <row r="53">
      <c r="A53" s="4" t="str">
        <f>VLOOKUP(L53,payment_ids!C:D,2,FALSE)</f>
        <v>pay_HG9wRSVtI7orpc</v>
      </c>
      <c r="B53" s="4"/>
      <c r="C53" s="4" t="s">
        <v>2455</v>
      </c>
      <c r="D53" s="4">
        <v>49997.0</v>
      </c>
      <c r="E53" s="5"/>
      <c r="F53" s="4">
        <v>1.0</v>
      </c>
      <c r="G53" s="4">
        <v>99.0</v>
      </c>
      <c r="H53" s="4"/>
      <c r="I53" s="4">
        <v>99.0</v>
      </c>
      <c r="J53" s="4" t="s">
        <v>2521</v>
      </c>
      <c r="K53" s="5">
        <f>+917979787986</f>
        <v>917979787986</v>
      </c>
      <c r="L53" s="4" t="str">
        <f t="shared" si="1"/>
        <v>shadab3247@gmail.com917979787986</v>
      </c>
      <c r="M53" s="10" t="s">
        <v>67</v>
      </c>
      <c r="N53" s="4" t="b">
        <v>0</v>
      </c>
      <c r="O53" s="4" t="str">
        <f>VLOOKUP(A53,payment_ids!D:E,2,FALSE)</f>
        <v>upi</v>
      </c>
      <c r="P53" s="4" t="s">
        <v>69</v>
      </c>
      <c r="Q53" s="4" t="s">
        <v>2522</v>
      </c>
      <c r="R53" s="4"/>
      <c r="S53" s="12" t="s">
        <v>2457</v>
      </c>
      <c r="T53" s="5"/>
      <c r="U53" s="4"/>
      <c r="V53" s="11"/>
      <c r="W53" s="4"/>
      <c r="X53" s="11"/>
      <c r="Y53" s="4"/>
      <c r="Z53" s="4"/>
      <c r="AA53" s="4"/>
      <c r="AB53" s="4"/>
      <c r="AC53" s="4"/>
      <c r="AD53" s="4"/>
      <c r="AE53" s="4"/>
      <c r="AF53" s="4"/>
      <c r="AG53" s="4"/>
      <c r="AH53" s="5"/>
      <c r="AI53" s="5"/>
      <c r="AJ53" s="5"/>
      <c r="AK53" s="5"/>
      <c r="AL53" s="5"/>
    </row>
    <row r="54">
      <c r="A54" s="4" t="str">
        <f>VLOOKUP(L54,payment_ids!C:D,2,FALSE)</f>
        <v>pay_HGCbBxDpVhv614</v>
      </c>
      <c r="B54" s="4"/>
      <c r="C54" s="4" t="s">
        <v>2455</v>
      </c>
      <c r="D54" s="4">
        <v>49997.0</v>
      </c>
      <c r="E54" s="5"/>
      <c r="F54" s="4">
        <v>1.0</v>
      </c>
      <c r="G54" s="4">
        <v>99.0</v>
      </c>
      <c r="H54" s="4"/>
      <c r="I54" s="4">
        <v>99.0</v>
      </c>
      <c r="J54" s="4" t="s">
        <v>2523</v>
      </c>
      <c r="K54" s="5">
        <f>+918669061696</f>
        <v>918669061696</v>
      </c>
      <c r="L54" s="4" t="str">
        <f t="shared" si="1"/>
        <v>soham.mungikar2019@ssca.edu.in918669061696</v>
      </c>
      <c r="M54" s="10" t="s">
        <v>67</v>
      </c>
      <c r="N54" s="4" t="b">
        <v>0</v>
      </c>
      <c r="O54" s="4" t="str">
        <f>VLOOKUP(A54,payment_ids!D:E,2,FALSE)</f>
        <v>netbanking</v>
      </c>
      <c r="P54" s="4" t="s">
        <v>69</v>
      </c>
      <c r="Q54" s="4" t="s">
        <v>2524</v>
      </c>
      <c r="R54" s="4"/>
      <c r="S54" s="12" t="s">
        <v>2457</v>
      </c>
      <c r="T54" s="5"/>
      <c r="U54" s="4"/>
      <c r="V54" s="11"/>
      <c r="W54" s="4"/>
      <c r="X54" s="11"/>
      <c r="Y54" s="4"/>
      <c r="Z54" s="4"/>
      <c r="AA54" s="4"/>
      <c r="AB54" s="4"/>
      <c r="AC54" s="4"/>
      <c r="AD54" s="4"/>
      <c r="AE54" s="4"/>
      <c r="AF54" s="4"/>
      <c r="AG54" s="4"/>
      <c r="AH54" s="5"/>
      <c r="AI54" s="5"/>
      <c r="AJ54" s="5"/>
      <c r="AK54" s="5"/>
      <c r="AL54" s="5"/>
    </row>
    <row r="55">
      <c r="A55" s="4" t="str">
        <f>VLOOKUP(L55,payment_ids!C:D,2,FALSE)</f>
        <v>pay_HGU0VrMkL3u1Uc</v>
      </c>
      <c r="B55" s="4"/>
      <c r="C55" s="4" t="s">
        <v>2455</v>
      </c>
      <c r="D55" s="4">
        <v>49997.0</v>
      </c>
      <c r="E55" s="5"/>
      <c r="F55" s="4">
        <v>1.0</v>
      </c>
      <c r="G55" s="4">
        <v>99.0</v>
      </c>
      <c r="H55" s="4"/>
      <c r="I55" s="4">
        <v>99.0</v>
      </c>
      <c r="J55" s="4" t="s">
        <v>2525</v>
      </c>
      <c r="K55" s="5">
        <f>+916281153863</f>
        <v>916281153863</v>
      </c>
      <c r="L55" s="4" t="str">
        <f t="shared" si="1"/>
        <v>theedajahnavee@gmail.com916281153863</v>
      </c>
      <c r="M55" s="10" t="s">
        <v>67</v>
      </c>
      <c r="N55" s="4" t="b">
        <v>0</v>
      </c>
      <c r="O55" s="4" t="str">
        <f>VLOOKUP(A55,payment_ids!D:E,2,FALSE)</f>
        <v>upi</v>
      </c>
      <c r="P55" s="4" t="s">
        <v>69</v>
      </c>
      <c r="Q55" s="4" t="s">
        <v>2526</v>
      </c>
      <c r="R55" s="4"/>
      <c r="S55" s="12" t="s">
        <v>2457</v>
      </c>
      <c r="T55" s="5"/>
      <c r="U55" s="4"/>
      <c r="V55" s="11"/>
      <c r="W55" s="4"/>
      <c r="X55" s="11"/>
      <c r="Y55" s="4"/>
      <c r="Z55" s="4"/>
      <c r="AA55" s="4"/>
      <c r="AB55" s="4"/>
      <c r="AC55" s="4"/>
      <c r="AD55" s="4"/>
      <c r="AE55" s="4"/>
      <c r="AF55" s="4"/>
      <c r="AG55" s="4"/>
      <c r="AH55" s="5"/>
      <c r="AI55" s="5"/>
      <c r="AJ55" s="5"/>
      <c r="AK55" s="5"/>
      <c r="AL55" s="5"/>
    </row>
    <row r="56">
      <c r="A56" s="4" t="str">
        <f>VLOOKUP(L56,payment_ids!C:D,2,FALSE)</f>
        <v>pay_HGvJOjNO1Lszqd</v>
      </c>
      <c r="B56" s="4"/>
      <c r="C56" s="4" t="s">
        <v>2455</v>
      </c>
      <c r="D56" s="4">
        <v>49997.0</v>
      </c>
      <c r="E56" s="5"/>
      <c r="F56" s="4">
        <v>1.0</v>
      </c>
      <c r="G56" s="4">
        <v>99.0</v>
      </c>
      <c r="H56" s="4"/>
      <c r="I56" s="4">
        <v>99.0</v>
      </c>
      <c r="J56" s="4" t="s">
        <v>2527</v>
      </c>
      <c r="K56" s="5">
        <f>+919733311678</f>
        <v>919733311678</v>
      </c>
      <c r="L56" s="4" t="str">
        <f t="shared" si="1"/>
        <v>akkcrusier@gmail.com919733311678</v>
      </c>
      <c r="M56" s="10" t="s">
        <v>67</v>
      </c>
      <c r="N56" s="4" t="b">
        <v>0</v>
      </c>
      <c r="O56" s="4" t="str">
        <f>VLOOKUP(A56,payment_ids!D:E,2,FALSE)</f>
        <v>upi</v>
      </c>
      <c r="P56" s="4" t="s">
        <v>69</v>
      </c>
      <c r="Q56" s="4" t="s">
        <v>2528</v>
      </c>
      <c r="R56" s="4"/>
      <c r="S56" s="12" t="s">
        <v>2457</v>
      </c>
      <c r="T56" s="5"/>
      <c r="U56" s="4"/>
      <c r="V56" s="11"/>
      <c r="W56" s="4"/>
      <c r="X56" s="11"/>
      <c r="Y56" s="4"/>
      <c r="Z56" s="4"/>
      <c r="AA56" s="4"/>
      <c r="AB56" s="4"/>
      <c r="AC56" s="4"/>
      <c r="AD56" s="4"/>
      <c r="AE56" s="4"/>
      <c r="AF56" s="4"/>
      <c r="AG56" s="4"/>
      <c r="AH56" s="5"/>
      <c r="AI56" s="5"/>
      <c r="AJ56" s="5"/>
      <c r="AK56" s="5"/>
      <c r="AL56" s="5"/>
    </row>
    <row r="57">
      <c r="A57" s="4" t="str">
        <f>VLOOKUP(L57,payment_ids!C:D,2,FALSE)</f>
        <v>pay_HH53cIZRPAyFP0</v>
      </c>
      <c r="B57" s="4"/>
      <c r="C57" s="4" t="s">
        <v>2455</v>
      </c>
      <c r="D57" s="4">
        <v>49997.0</v>
      </c>
      <c r="E57" s="5"/>
      <c r="F57" s="4">
        <v>1.0</v>
      </c>
      <c r="G57" s="4">
        <v>99.0</v>
      </c>
      <c r="H57" s="4"/>
      <c r="I57" s="4">
        <v>99.0</v>
      </c>
      <c r="J57" s="4" t="s">
        <v>2529</v>
      </c>
      <c r="K57" s="5">
        <f>+917983530659</f>
        <v>917983530659</v>
      </c>
      <c r="L57" s="4" t="str">
        <f t="shared" si="1"/>
        <v>ankitkumar8941@gmail.com917983530659</v>
      </c>
      <c r="M57" s="10" t="s">
        <v>67</v>
      </c>
      <c r="N57" s="4" t="b">
        <v>0</v>
      </c>
      <c r="O57" s="4" t="str">
        <f>VLOOKUP(A57,payment_ids!D:E,2,FALSE)</f>
        <v>card</v>
      </c>
      <c r="P57" s="4" t="s">
        <v>69</v>
      </c>
      <c r="Q57" s="4" t="s">
        <v>2530</v>
      </c>
      <c r="R57" s="4"/>
      <c r="S57" s="12" t="s">
        <v>2457</v>
      </c>
      <c r="T57" s="5"/>
      <c r="U57" s="4"/>
      <c r="V57" s="11"/>
      <c r="W57" s="4"/>
      <c r="X57" s="11"/>
      <c r="Y57" s="4"/>
      <c r="Z57" s="4"/>
      <c r="AA57" s="4"/>
      <c r="AB57" s="4"/>
      <c r="AC57" s="4"/>
      <c r="AD57" s="4"/>
      <c r="AE57" s="4"/>
      <c r="AF57" s="4"/>
      <c r="AG57" s="4"/>
      <c r="AH57" s="5"/>
      <c r="AI57" s="5"/>
      <c r="AJ57" s="5"/>
      <c r="AK57" s="5"/>
      <c r="AL57" s="5"/>
    </row>
    <row r="58">
      <c r="A58" s="4" t="str">
        <f>VLOOKUP(L58,payment_ids!C:D,2,FALSE)</f>
        <v>pay_HHF5zX18LZ9IO4</v>
      </c>
      <c r="B58" s="4"/>
      <c r="C58" s="4" t="s">
        <v>2455</v>
      </c>
      <c r="D58" s="4">
        <v>49997.0</v>
      </c>
      <c r="E58" s="5"/>
      <c r="F58" s="4">
        <v>6.0</v>
      </c>
      <c r="G58" s="4">
        <v>349.0</v>
      </c>
      <c r="H58" s="4"/>
      <c r="I58" s="4">
        <v>349.0</v>
      </c>
      <c r="J58" s="4" t="s">
        <v>2531</v>
      </c>
      <c r="K58" s="5">
        <f>+917002359932</f>
        <v>917002359932</v>
      </c>
      <c r="L58" s="4" t="str">
        <f t="shared" si="1"/>
        <v>ddas2172@gmail.com917002359932</v>
      </c>
      <c r="M58" s="10" t="s">
        <v>67</v>
      </c>
      <c r="N58" s="4" t="b">
        <v>0</v>
      </c>
      <c r="O58" s="4" t="str">
        <f>VLOOKUP(A58,payment_ids!D:E,2,FALSE)</f>
        <v>upi</v>
      </c>
      <c r="P58" s="4" t="s">
        <v>69</v>
      </c>
      <c r="Q58" s="4" t="s">
        <v>2532</v>
      </c>
      <c r="R58" s="4"/>
      <c r="S58" s="12" t="s">
        <v>2457</v>
      </c>
      <c r="T58" s="5"/>
      <c r="U58" s="4"/>
      <c r="V58" s="11"/>
      <c r="W58" s="4"/>
      <c r="X58" s="11"/>
      <c r="Y58" s="4"/>
      <c r="Z58" s="4"/>
      <c r="AA58" s="4"/>
      <c r="AB58" s="4"/>
      <c r="AC58" s="4"/>
      <c r="AD58" s="4"/>
      <c r="AE58" s="4"/>
      <c r="AF58" s="4"/>
      <c r="AG58" s="4"/>
      <c r="AH58" s="5"/>
      <c r="AI58" s="5"/>
      <c r="AJ58" s="5"/>
      <c r="AK58" s="5"/>
      <c r="AL58" s="5"/>
    </row>
    <row r="59">
      <c r="A59" s="4" t="str">
        <f>VLOOKUP(L59,payment_ids!C:D,2,FALSE)</f>
        <v>pay_HHMQNZbqwIxKxI</v>
      </c>
      <c r="B59" s="4"/>
      <c r="C59" s="4" t="s">
        <v>2455</v>
      </c>
      <c r="D59" s="4">
        <v>49997.0</v>
      </c>
      <c r="E59" s="5"/>
      <c r="F59" s="4">
        <v>1.0</v>
      </c>
      <c r="G59" s="4">
        <v>99.0</v>
      </c>
      <c r="H59" s="4"/>
      <c r="I59" s="4">
        <v>99.0</v>
      </c>
      <c r="J59" s="4" t="s">
        <v>2533</v>
      </c>
      <c r="K59" s="5">
        <f>+917337069679</f>
        <v>917337069679</v>
      </c>
      <c r="L59" s="4" t="str">
        <f t="shared" si="1"/>
        <v>nehaaricag7@gmail.com917337069679</v>
      </c>
      <c r="M59" s="10" t="s">
        <v>67</v>
      </c>
      <c r="N59" s="4" t="b">
        <v>0</v>
      </c>
      <c r="O59" s="4" t="str">
        <f>VLOOKUP(A59,payment_ids!D:E,2,FALSE)</f>
        <v>upi</v>
      </c>
      <c r="P59" s="4" t="s">
        <v>69</v>
      </c>
      <c r="Q59" s="4" t="s">
        <v>2534</v>
      </c>
      <c r="R59" s="4"/>
      <c r="S59" s="12" t="s">
        <v>2457</v>
      </c>
      <c r="T59" s="5"/>
      <c r="U59" s="4"/>
      <c r="V59" s="11"/>
      <c r="W59" s="4"/>
      <c r="X59" s="11"/>
      <c r="Y59" s="4"/>
      <c r="Z59" s="4"/>
      <c r="AA59" s="4"/>
      <c r="AB59" s="4"/>
      <c r="AC59" s="4"/>
      <c r="AD59" s="4"/>
      <c r="AE59" s="4"/>
      <c r="AF59" s="4"/>
      <c r="AG59" s="4"/>
      <c r="AH59" s="5"/>
      <c r="AI59" s="5"/>
      <c r="AJ59" s="5"/>
      <c r="AK59" s="5"/>
      <c r="AL59" s="5"/>
    </row>
    <row r="60">
      <c r="A60" s="4" t="str">
        <f>VLOOKUP(L60,payment_ids!C:D,2,FALSE)</f>
        <v>pay_HHQ9CdZRbyMtcE</v>
      </c>
      <c r="B60" s="4"/>
      <c r="C60" s="4" t="s">
        <v>2455</v>
      </c>
      <c r="D60" s="4">
        <v>49997.0</v>
      </c>
      <c r="E60" s="5"/>
      <c r="F60" s="4">
        <v>1.0</v>
      </c>
      <c r="G60" s="4">
        <v>99.0</v>
      </c>
      <c r="H60" s="4"/>
      <c r="I60" s="4">
        <v>99.0</v>
      </c>
      <c r="J60" s="4" t="s">
        <v>2535</v>
      </c>
      <c r="K60" s="5">
        <f>+918968324069</f>
        <v>918968324069</v>
      </c>
      <c r="L60" s="4" t="str">
        <f t="shared" si="1"/>
        <v>anjali.patra2110@gmail.com918968324069</v>
      </c>
      <c r="M60" s="10" t="s">
        <v>67</v>
      </c>
      <c r="N60" s="4" t="b">
        <v>0</v>
      </c>
      <c r="O60" s="4" t="str">
        <f>VLOOKUP(A60,payment_ids!D:E,2,FALSE)</f>
        <v>upi</v>
      </c>
      <c r="P60" s="4" t="s">
        <v>69</v>
      </c>
      <c r="Q60" s="4" t="s">
        <v>2536</v>
      </c>
      <c r="R60" s="4"/>
      <c r="S60" s="12" t="s">
        <v>2457</v>
      </c>
      <c r="T60" s="5"/>
      <c r="U60" s="4"/>
      <c r="V60" s="11"/>
      <c r="W60" s="4"/>
      <c r="X60" s="11"/>
      <c r="Y60" s="4"/>
      <c r="Z60" s="4"/>
      <c r="AA60" s="4"/>
      <c r="AB60" s="4"/>
      <c r="AC60" s="4"/>
      <c r="AD60" s="4"/>
      <c r="AE60" s="4"/>
      <c r="AF60" s="4"/>
      <c r="AG60" s="4"/>
      <c r="AH60" s="5"/>
      <c r="AI60" s="5"/>
      <c r="AJ60" s="5"/>
      <c r="AK60" s="5"/>
      <c r="AL60" s="5"/>
    </row>
    <row r="61">
      <c r="A61" s="4" t="str">
        <f>VLOOKUP(L61,payment_ids!C:D,2,FALSE)</f>
        <v>pay_HHR9PiSutUHSLM</v>
      </c>
      <c r="B61" s="4"/>
      <c r="C61" s="4" t="s">
        <v>2455</v>
      </c>
      <c r="D61" s="4">
        <v>49997.0</v>
      </c>
      <c r="E61" s="5"/>
      <c r="F61" s="4">
        <v>1.0</v>
      </c>
      <c r="G61" s="4">
        <v>99.0</v>
      </c>
      <c r="H61" s="4"/>
      <c r="I61" s="4">
        <v>99.0</v>
      </c>
      <c r="J61" s="4" t="s">
        <v>2537</v>
      </c>
      <c r="K61" s="5">
        <f>+918762383152</f>
        <v>918762383152</v>
      </c>
      <c r="L61" s="4" t="str">
        <f t="shared" si="1"/>
        <v>sbh981214@gmail.com918762383152</v>
      </c>
      <c r="M61" s="10" t="s">
        <v>67</v>
      </c>
      <c r="N61" s="4" t="b">
        <v>0</v>
      </c>
      <c r="O61" s="4" t="str">
        <f>VLOOKUP(A61,payment_ids!D:E,2,FALSE)</f>
        <v>card</v>
      </c>
      <c r="P61" s="4" t="s">
        <v>69</v>
      </c>
      <c r="Q61" s="4" t="s">
        <v>2538</v>
      </c>
      <c r="R61" s="4"/>
      <c r="S61" s="12" t="s">
        <v>2457</v>
      </c>
      <c r="T61" s="5"/>
      <c r="U61" s="4"/>
      <c r="V61" s="11"/>
      <c r="W61" s="4"/>
      <c r="X61" s="11"/>
      <c r="Y61" s="4"/>
      <c r="Z61" s="4"/>
      <c r="AA61" s="4"/>
      <c r="AB61" s="4"/>
      <c r="AC61" s="4"/>
      <c r="AD61" s="4"/>
      <c r="AE61" s="4"/>
      <c r="AF61" s="4"/>
      <c r="AG61" s="4"/>
      <c r="AH61" s="5"/>
      <c r="AI61" s="5"/>
      <c r="AJ61" s="5"/>
      <c r="AK61" s="5"/>
      <c r="AL61" s="5"/>
    </row>
    <row r="62">
      <c r="A62" s="4" t="str">
        <f>VLOOKUP(L62,payment_ids!C:D,2,FALSE)</f>
        <v>pay_HHk6TSR87ryjbz</v>
      </c>
      <c r="B62" s="4"/>
      <c r="C62" s="4" t="s">
        <v>2455</v>
      </c>
      <c r="D62" s="4">
        <v>49997.0</v>
      </c>
      <c r="E62" s="5"/>
      <c r="F62" s="4">
        <v>1.0</v>
      </c>
      <c r="G62" s="4">
        <v>99.0</v>
      </c>
      <c r="H62" s="4"/>
      <c r="I62" s="4">
        <v>99.0</v>
      </c>
      <c r="J62" s="4" t="s">
        <v>2539</v>
      </c>
      <c r="K62" s="5">
        <f>+919930012925</f>
        <v>919930012925</v>
      </c>
      <c r="L62" s="4" t="str">
        <f t="shared" si="1"/>
        <v>phiranandani@gmail.com919930012925</v>
      </c>
      <c r="M62" s="10" t="s">
        <v>67</v>
      </c>
      <c r="N62" s="4" t="b">
        <v>0</v>
      </c>
      <c r="O62" s="4" t="str">
        <f>VLOOKUP(A62,payment_ids!D:E,2,FALSE)</f>
        <v>upi</v>
      </c>
      <c r="P62" s="4" t="s">
        <v>69</v>
      </c>
      <c r="Q62" s="11">
        <v>44202.61597222222</v>
      </c>
      <c r="R62" s="4"/>
      <c r="S62" s="12" t="s">
        <v>2457</v>
      </c>
      <c r="T62" s="5"/>
      <c r="U62" s="4"/>
      <c r="V62" s="11"/>
      <c r="W62" s="4"/>
      <c r="X62" s="11"/>
      <c r="Y62" s="4"/>
      <c r="Z62" s="4"/>
      <c r="AA62" s="4"/>
      <c r="AB62" s="4"/>
      <c r="AC62" s="4"/>
      <c r="AD62" s="4"/>
      <c r="AE62" s="4"/>
      <c r="AF62" s="4"/>
      <c r="AG62" s="4"/>
      <c r="AH62" s="5"/>
      <c r="AI62" s="5"/>
      <c r="AJ62" s="5"/>
      <c r="AK62" s="5"/>
      <c r="AL62" s="5"/>
    </row>
    <row r="63">
      <c r="A63" s="4" t="str">
        <f>VLOOKUP(L63,payment_ids!C:D,2,FALSE)</f>
        <v>pay_HHmm7cGzCu0PRv</v>
      </c>
      <c r="B63" s="4"/>
      <c r="C63" s="4" t="s">
        <v>2455</v>
      </c>
      <c r="D63" s="4">
        <v>49997.0</v>
      </c>
      <c r="E63" s="5"/>
      <c r="F63" s="4">
        <v>3.0</v>
      </c>
      <c r="G63" s="4">
        <v>199.0</v>
      </c>
      <c r="H63" s="4"/>
      <c r="I63" s="4">
        <v>199.0</v>
      </c>
      <c r="J63" s="4" t="s">
        <v>2540</v>
      </c>
      <c r="K63" s="5">
        <f>+917276167675</f>
        <v>917276167675</v>
      </c>
      <c r="L63" s="4" t="str">
        <f t="shared" si="1"/>
        <v>sunnylalwani07@gmail.com917276167675</v>
      </c>
      <c r="M63" s="10" t="s">
        <v>67</v>
      </c>
      <c r="N63" s="4" t="b">
        <v>0</v>
      </c>
      <c r="O63" s="4" t="str">
        <f>VLOOKUP(A63,payment_ids!D:E,2,FALSE)</f>
        <v>upi</v>
      </c>
      <c r="P63" s="4" t="s">
        <v>69</v>
      </c>
      <c r="Q63" s="11">
        <v>44202.725</v>
      </c>
      <c r="R63" s="4"/>
      <c r="S63" s="12" t="s">
        <v>2457</v>
      </c>
      <c r="T63" s="5"/>
      <c r="U63" s="4"/>
      <c r="V63" s="11"/>
      <c r="W63" s="4"/>
      <c r="X63" s="11"/>
      <c r="Y63" s="4"/>
      <c r="Z63" s="4"/>
      <c r="AA63" s="4"/>
      <c r="AB63" s="4"/>
      <c r="AC63" s="4"/>
      <c r="AD63" s="4"/>
      <c r="AE63" s="4"/>
      <c r="AF63" s="4"/>
      <c r="AG63" s="4"/>
      <c r="AH63" s="5"/>
      <c r="AI63" s="5"/>
      <c r="AJ63" s="5"/>
      <c r="AK63" s="5"/>
      <c r="AL63" s="5"/>
    </row>
    <row r="64">
      <c r="A64" s="4" t="str">
        <f>VLOOKUP(L64,payment_ids!C:D,2,FALSE)</f>
        <v>pay_HHoytVk365rVNs</v>
      </c>
      <c r="B64" s="4"/>
      <c r="C64" s="4" t="s">
        <v>2455</v>
      </c>
      <c r="D64" s="4">
        <v>49997.0</v>
      </c>
      <c r="E64" s="5"/>
      <c r="F64" s="4">
        <v>1.0</v>
      </c>
      <c r="G64" s="4">
        <v>99.0</v>
      </c>
      <c r="H64" s="4"/>
      <c r="I64" s="4">
        <v>99.0</v>
      </c>
      <c r="J64" s="4" t="s">
        <v>2541</v>
      </c>
      <c r="K64" s="5">
        <f>+919589937446</f>
        <v>919589937446</v>
      </c>
      <c r="L64" s="4" t="str">
        <f t="shared" si="1"/>
        <v>rupalimahla@gmail.com919589937446</v>
      </c>
      <c r="M64" s="10" t="s">
        <v>67</v>
      </c>
      <c r="N64" s="4" t="b">
        <v>0</v>
      </c>
      <c r="O64" s="4" t="str">
        <f>VLOOKUP(A64,payment_ids!D:E,2,FALSE)</f>
        <v>upi</v>
      </c>
      <c r="P64" s="4" t="s">
        <v>69</v>
      </c>
      <c r="Q64" s="11">
        <v>44202.81458333333</v>
      </c>
      <c r="R64" s="4"/>
      <c r="S64" s="12" t="s">
        <v>2457</v>
      </c>
      <c r="T64" s="5"/>
      <c r="U64" s="4"/>
      <c r="V64" s="11"/>
      <c r="W64" s="4"/>
      <c r="X64" s="11"/>
      <c r="Y64" s="4"/>
      <c r="Z64" s="4"/>
      <c r="AA64" s="4"/>
      <c r="AB64" s="4"/>
      <c r="AC64" s="4"/>
      <c r="AD64" s="4"/>
      <c r="AE64" s="4"/>
      <c r="AF64" s="4"/>
      <c r="AG64" s="4"/>
      <c r="AH64" s="5"/>
      <c r="AI64" s="5"/>
      <c r="AJ64" s="5"/>
      <c r="AK64" s="5"/>
      <c r="AL64" s="5"/>
    </row>
    <row r="65">
      <c r="A65" s="4" t="str">
        <f>VLOOKUP(L65,payment_ids!C:D,2,FALSE)</f>
        <v>pay_HI9Uxdov3huVwC</v>
      </c>
      <c r="B65" s="4"/>
      <c r="C65" s="4" t="s">
        <v>2455</v>
      </c>
      <c r="D65" s="4">
        <v>49997.0</v>
      </c>
      <c r="E65" s="5"/>
      <c r="F65" s="4">
        <v>3.0</v>
      </c>
      <c r="G65" s="4">
        <v>199.0</v>
      </c>
      <c r="H65" s="4"/>
      <c r="I65" s="4">
        <v>199.0</v>
      </c>
      <c r="J65" s="4" t="s">
        <v>2542</v>
      </c>
      <c r="K65" s="5">
        <f>+919996537899</f>
        <v>919996537899</v>
      </c>
      <c r="L65" s="4" t="str">
        <f t="shared" si="1"/>
        <v>deepanshi.ashri@gmail.com919996537899</v>
      </c>
      <c r="M65" s="10" t="s">
        <v>67</v>
      </c>
      <c r="N65" s="4" t="b">
        <v>0</v>
      </c>
      <c r="O65" s="4" t="str">
        <f>VLOOKUP(A65,payment_ids!D:E,2,FALSE)</f>
        <v>upi</v>
      </c>
      <c r="P65" s="4" t="s">
        <v>69</v>
      </c>
      <c r="Q65" s="11">
        <v>44233.65138888889</v>
      </c>
      <c r="R65" s="4"/>
      <c r="S65" s="12" t="s">
        <v>2457</v>
      </c>
      <c r="T65" s="5"/>
      <c r="U65" s="4"/>
      <c r="V65" s="11"/>
      <c r="W65" s="4"/>
      <c r="X65" s="11"/>
      <c r="Y65" s="4"/>
      <c r="Z65" s="4"/>
      <c r="AA65" s="4"/>
      <c r="AB65" s="4"/>
      <c r="AC65" s="4"/>
      <c r="AD65" s="4"/>
      <c r="AE65" s="4"/>
      <c r="AF65" s="4"/>
      <c r="AG65" s="4"/>
      <c r="AH65" s="5"/>
      <c r="AI65" s="5"/>
      <c r="AJ65" s="5"/>
      <c r="AK65" s="5"/>
      <c r="AL65" s="5"/>
    </row>
    <row r="66">
      <c r="A66" s="4" t="str">
        <f>VLOOKUP(L66,payment_ids!C:D,2,FALSE)</f>
        <v>pay_HIGKaDWtw8GspZ</v>
      </c>
      <c r="B66" s="4"/>
      <c r="C66" s="4" t="s">
        <v>2455</v>
      </c>
      <c r="D66" s="4">
        <v>49997.0</v>
      </c>
      <c r="E66" s="5"/>
      <c r="F66" s="4">
        <v>1.0</v>
      </c>
      <c r="G66" s="4">
        <v>99.0</v>
      </c>
      <c r="H66" s="4"/>
      <c r="I66" s="4">
        <v>99.0</v>
      </c>
      <c r="J66" s="4" t="s">
        <v>2543</v>
      </c>
      <c r="K66" s="5">
        <f>+918010405899</f>
        <v>918010405899</v>
      </c>
      <c r="L66" s="4" t="str">
        <f t="shared" si="1"/>
        <v>amareshsingh1995@gmail.com918010405899</v>
      </c>
      <c r="M66" s="10" t="s">
        <v>67</v>
      </c>
      <c r="N66" s="4" t="b">
        <v>0</v>
      </c>
      <c r="O66" s="4" t="str">
        <f>VLOOKUP(A66,payment_ids!D:E,2,FALSE)</f>
        <v>upi</v>
      </c>
      <c r="P66" s="4" t="s">
        <v>69</v>
      </c>
      <c r="Q66" s="11">
        <v>44233.92986111111</v>
      </c>
      <c r="R66" s="4"/>
      <c r="S66" s="12" t="s">
        <v>2457</v>
      </c>
      <c r="T66" s="5"/>
      <c r="U66" s="4"/>
      <c r="V66" s="11"/>
      <c r="W66" s="4"/>
      <c r="X66" s="11"/>
      <c r="Y66" s="4"/>
      <c r="Z66" s="4"/>
      <c r="AA66" s="4"/>
      <c r="AB66" s="4"/>
      <c r="AC66" s="4"/>
      <c r="AD66" s="4"/>
      <c r="AE66" s="4"/>
      <c r="AF66" s="4"/>
      <c r="AG66" s="4"/>
      <c r="AH66" s="5"/>
      <c r="AI66" s="5"/>
      <c r="AJ66" s="5"/>
      <c r="AK66" s="5"/>
      <c r="AL66" s="5"/>
    </row>
    <row r="67">
      <c r="A67" s="4" t="str">
        <f>VLOOKUP(L67,payment_ids!C:D,2,FALSE)</f>
        <v>pay_HIRKZ26mJmjFb5</v>
      </c>
      <c r="B67" s="4"/>
      <c r="C67" s="4" t="s">
        <v>2455</v>
      </c>
      <c r="D67" s="4">
        <v>49997.0</v>
      </c>
      <c r="E67" s="5"/>
      <c r="F67" s="4">
        <v>1.0</v>
      </c>
      <c r="G67" s="4">
        <v>99.0</v>
      </c>
      <c r="H67" s="4"/>
      <c r="I67" s="4">
        <v>99.0</v>
      </c>
      <c r="J67" s="4" t="s">
        <v>2544</v>
      </c>
      <c r="K67" s="5">
        <f>+917904785764</f>
        <v>917904785764</v>
      </c>
      <c r="L67" s="4" t="str">
        <f t="shared" si="1"/>
        <v>harshan0498@gmail.com917904785764</v>
      </c>
      <c r="M67" s="10" t="s">
        <v>67</v>
      </c>
      <c r="N67" s="4" t="b">
        <v>0</v>
      </c>
      <c r="O67" s="4" t="str">
        <f>VLOOKUP(A67,payment_ids!D:E,2,FALSE)</f>
        <v>upi</v>
      </c>
      <c r="P67" s="4" t="s">
        <v>69</v>
      </c>
      <c r="Q67" s="11">
        <v>44261.37777777778</v>
      </c>
      <c r="R67" s="4"/>
      <c r="S67" s="12" t="s">
        <v>2457</v>
      </c>
      <c r="T67" s="5"/>
      <c r="U67" s="4"/>
      <c r="V67" s="11"/>
      <c r="W67" s="4"/>
      <c r="X67" s="11"/>
      <c r="Y67" s="4"/>
      <c r="Z67" s="4"/>
      <c r="AA67" s="4"/>
      <c r="AB67" s="4"/>
      <c r="AC67" s="7"/>
      <c r="AD67" s="4"/>
      <c r="AE67" s="4"/>
      <c r="AF67" s="4"/>
      <c r="AG67" s="4"/>
      <c r="AH67" s="5"/>
      <c r="AI67" s="5"/>
      <c r="AJ67" s="5"/>
      <c r="AK67" s="5"/>
      <c r="AL67" s="5"/>
    </row>
    <row r="68">
      <c r="A68" s="4" t="str">
        <f>VLOOKUP(L68,payment_ids!C:D,2,FALSE)</f>
        <v>pay_HIYR4iMLiYUq43</v>
      </c>
      <c r="B68" s="4"/>
      <c r="C68" s="4" t="s">
        <v>2455</v>
      </c>
      <c r="D68" s="4">
        <v>49997.0</v>
      </c>
      <c r="E68" s="5"/>
      <c r="F68" s="4">
        <v>1.0</v>
      </c>
      <c r="G68" s="4">
        <v>99.0</v>
      </c>
      <c r="H68" s="4"/>
      <c r="I68" s="4">
        <v>99.0</v>
      </c>
      <c r="J68" s="4" t="s">
        <v>2545</v>
      </c>
      <c r="K68" s="5">
        <f>+919625464710</f>
        <v>919625464710</v>
      </c>
      <c r="L68" s="4" t="str">
        <f t="shared" si="1"/>
        <v>hiya2199@gmail.com919625464710</v>
      </c>
      <c r="M68" s="10" t="s">
        <v>67</v>
      </c>
      <c r="N68" s="4" t="b">
        <v>0</v>
      </c>
      <c r="O68" s="4" t="str">
        <f>VLOOKUP(A68,payment_ids!D:E,2,FALSE)</f>
        <v>upi</v>
      </c>
      <c r="P68" s="4" t="s">
        <v>69</v>
      </c>
      <c r="Q68" s="11">
        <v>44261.66736111111</v>
      </c>
      <c r="R68" s="4"/>
      <c r="S68" s="12" t="s">
        <v>2457</v>
      </c>
      <c r="T68" s="5"/>
      <c r="U68" s="4"/>
      <c r="V68" s="11"/>
      <c r="W68" s="4"/>
      <c r="X68" s="11"/>
      <c r="Y68" s="4"/>
      <c r="Z68" s="4"/>
      <c r="AA68" s="4"/>
      <c r="AB68" s="4"/>
      <c r="AC68" s="7"/>
      <c r="AD68" s="4"/>
      <c r="AE68" s="4"/>
      <c r="AF68" s="4"/>
      <c r="AG68" s="4"/>
      <c r="AH68" s="5"/>
      <c r="AI68" s="5"/>
      <c r="AJ68" s="5"/>
      <c r="AK68" s="5"/>
      <c r="AL68" s="5"/>
    </row>
    <row r="69">
      <c r="A69" s="4" t="str">
        <f>VLOOKUP(L69,payment_ids!C:D,2,FALSE)</f>
        <v>pay_HIbsY4AZfiE0cK</v>
      </c>
      <c r="B69" s="4"/>
      <c r="C69" s="4" t="s">
        <v>2455</v>
      </c>
      <c r="D69" s="4">
        <v>49997.0</v>
      </c>
      <c r="E69" s="5"/>
      <c r="F69" s="4">
        <v>1.0</v>
      </c>
      <c r="G69" s="4">
        <v>99.0</v>
      </c>
      <c r="H69" s="4"/>
      <c r="I69" s="4">
        <v>99.0</v>
      </c>
      <c r="J69" s="4" t="s">
        <v>2546</v>
      </c>
      <c r="K69" s="5">
        <f>+919711341773</f>
        <v>919711341773</v>
      </c>
      <c r="L69" s="4" t="str">
        <f t="shared" si="1"/>
        <v>abhijit.jha33@gmail.con919711341773</v>
      </c>
      <c r="M69" s="10" t="s">
        <v>67</v>
      </c>
      <c r="N69" s="4" t="b">
        <v>0</v>
      </c>
      <c r="O69" s="4" t="str">
        <f>VLOOKUP(A69,payment_ids!D:E,2,FALSE)</f>
        <v>upi</v>
      </c>
      <c r="P69" s="4" t="s">
        <v>69</v>
      </c>
      <c r="Q69" s="11">
        <v>44261.808333333334</v>
      </c>
      <c r="R69" s="4"/>
      <c r="S69" s="12" t="s">
        <v>2457</v>
      </c>
      <c r="T69" s="5"/>
      <c r="U69" s="4"/>
      <c r="V69" s="11"/>
      <c r="W69" s="4"/>
      <c r="X69" s="11"/>
      <c r="Y69" s="4"/>
      <c r="Z69" s="4"/>
      <c r="AA69" s="4"/>
      <c r="AB69" s="4"/>
      <c r="AC69" s="7"/>
      <c r="AD69" s="4"/>
      <c r="AE69" s="4"/>
      <c r="AF69" s="4"/>
      <c r="AG69" s="4"/>
      <c r="AH69" s="5"/>
      <c r="AI69" s="5"/>
      <c r="AJ69" s="5"/>
      <c r="AK69" s="5"/>
      <c r="AL69" s="5"/>
    </row>
    <row r="70">
      <c r="A70" s="4" t="str">
        <f>VLOOKUP(L70,payment_ids!C:D,2,FALSE)</f>
        <v>pay_HIjlPMEU9HPR8c</v>
      </c>
      <c r="B70" s="4"/>
      <c r="C70" s="4" t="s">
        <v>2455</v>
      </c>
      <c r="D70" s="4">
        <v>49997.0</v>
      </c>
      <c r="E70" s="5"/>
      <c r="F70" s="4">
        <v>1.0</v>
      </c>
      <c r="G70" s="4">
        <v>99.0</v>
      </c>
      <c r="H70" s="4"/>
      <c r="I70" s="4">
        <v>99.0</v>
      </c>
      <c r="J70" s="4" t="s">
        <v>1227</v>
      </c>
      <c r="K70" s="5">
        <f>+919681482727</f>
        <v>919681482727</v>
      </c>
      <c r="L70" s="4" t="str">
        <f t="shared" si="1"/>
        <v>prince.varun14@gmail.com919681482727</v>
      </c>
      <c r="M70" s="10" t="s">
        <v>67</v>
      </c>
      <c r="N70" s="4" t="b">
        <v>0</v>
      </c>
      <c r="O70" s="4" t="str">
        <f>VLOOKUP(A70,payment_ids!D:E,2,FALSE)</f>
        <v>wallet</v>
      </c>
      <c r="P70" s="4" t="s">
        <v>69</v>
      </c>
      <c r="Q70" s="11">
        <v>44292.129166666666</v>
      </c>
      <c r="R70" s="4"/>
      <c r="S70" s="12" t="s">
        <v>2457</v>
      </c>
      <c r="T70" s="5"/>
      <c r="U70" s="4"/>
      <c r="V70" s="11"/>
      <c r="W70" s="4"/>
      <c r="X70" s="11"/>
      <c r="Y70" s="4"/>
      <c r="Z70" s="4"/>
      <c r="AA70" s="4"/>
      <c r="AB70" s="4"/>
      <c r="AC70" s="4"/>
      <c r="AD70" s="4"/>
      <c r="AE70" s="4"/>
      <c r="AF70" s="4"/>
      <c r="AG70" s="4"/>
      <c r="AH70" s="5"/>
      <c r="AI70" s="5"/>
      <c r="AJ70" s="5"/>
      <c r="AK70" s="5"/>
      <c r="AL70" s="5"/>
    </row>
    <row r="71">
      <c r="A71" s="4" t="str">
        <f>VLOOKUP(L71,payment_ids!C:D,2,FALSE)</f>
        <v>pay_HJnjRLnz1r84Kz</v>
      </c>
      <c r="B71" s="4"/>
      <c r="C71" s="4" t="s">
        <v>2455</v>
      </c>
      <c r="D71" s="4">
        <v>49997.0</v>
      </c>
      <c r="E71" s="5"/>
      <c r="F71" s="4">
        <v>1.0</v>
      </c>
      <c r="G71" s="4">
        <v>99.0</v>
      </c>
      <c r="H71" s="4"/>
      <c r="I71" s="4">
        <v>99.0</v>
      </c>
      <c r="J71" s="4" t="s">
        <v>2547</v>
      </c>
      <c r="K71" s="5">
        <f>+919110437338</f>
        <v>919110437338</v>
      </c>
      <c r="L71" s="4" t="str">
        <f t="shared" si="1"/>
        <v>rakeshnature68@gnail.com919110437338</v>
      </c>
      <c r="M71" s="10" t="s">
        <v>67</v>
      </c>
      <c r="N71" s="4" t="b">
        <v>0</v>
      </c>
      <c r="O71" s="4" t="str">
        <f>VLOOKUP(A71,payment_ids!D:E,2,FALSE)</f>
        <v>upi</v>
      </c>
      <c r="P71" s="4" t="s">
        <v>69</v>
      </c>
      <c r="Q71" s="11">
        <v>44353.81805555556</v>
      </c>
      <c r="R71" s="4"/>
      <c r="S71" s="12" t="s">
        <v>2457</v>
      </c>
      <c r="T71" s="5"/>
      <c r="U71" s="4"/>
      <c r="V71" s="11"/>
      <c r="W71" s="4"/>
      <c r="X71" s="11"/>
      <c r="Y71" s="4"/>
      <c r="Z71" s="4"/>
      <c r="AA71" s="4"/>
      <c r="AB71" s="4"/>
      <c r="AC71" s="7"/>
      <c r="AD71" s="4"/>
      <c r="AE71" s="4"/>
      <c r="AF71" s="4"/>
      <c r="AG71" s="4"/>
      <c r="AH71" s="5"/>
      <c r="AI71" s="5"/>
      <c r="AJ71" s="5"/>
      <c r="AK71" s="5"/>
      <c r="AL71" s="5"/>
    </row>
    <row r="72">
      <c r="A72" s="4" t="str">
        <f>VLOOKUP(L72,payment_ids!C:D,2,FALSE)</f>
        <v>pay_HK73p6YcRPktv3</v>
      </c>
      <c r="B72" s="4"/>
      <c r="C72" s="4" t="s">
        <v>2455</v>
      </c>
      <c r="D72" s="4">
        <v>49997.0</v>
      </c>
      <c r="E72" s="5"/>
      <c r="F72" s="4">
        <v>3.0</v>
      </c>
      <c r="G72" s="4">
        <v>199.0</v>
      </c>
      <c r="H72" s="4"/>
      <c r="I72" s="4">
        <v>199.0</v>
      </c>
      <c r="J72" s="4" t="s">
        <v>2548</v>
      </c>
      <c r="K72" s="5">
        <f>+917642034091</f>
        <v>917642034091</v>
      </c>
      <c r="L72" s="4" t="str">
        <f t="shared" si="1"/>
        <v>karsangnini4@gmail.com917642034091</v>
      </c>
      <c r="M72" s="10" t="s">
        <v>67</v>
      </c>
      <c r="N72" s="4" t="b">
        <v>0</v>
      </c>
      <c r="O72" s="4" t="str">
        <f>VLOOKUP(A72,payment_ids!D:E,2,FALSE)</f>
        <v>upi</v>
      </c>
      <c r="P72" s="4" t="s">
        <v>69</v>
      </c>
      <c r="Q72" s="11">
        <v>44383.60625</v>
      </c>
      <c r="R72" s="4"/>
      <c r="S72" s="12" t="s">
        <v>2457</v>
      </c>
      <c r="T72" s="5"/>
      <c r="U72" s="4"/>
      <c r="V72" s="11"/>
      <c r="W72" s="4"/>
      <c r="X72" s="11"/>
      <c r="Y72" s="4"/>
      <c r="Z72" s="4"/>
      <c r="AA72" s="4"/>
      <c r="AB72" s="4"/>
      <c r="AC72" s="7"/>
      <c r="AD72" s="4"/>
      <c r="AE72" s="4"/>
      <c r="AF72" s="4"/>
      <c r="AG72" s="4"/>
      <c r="AH72" s="5"/>
      <c r="AI72" s="5"/>
      <c r="AJ72" s="5"/>
      <c r="AK72" s="5"/>
      <c r="AL72" s="5"/>
    </row>
    <row r="73">
      <c r="A73" s="4" t="str">
        <f>VLOOKUP(L73,payment_ids!C:D,2,FALSE)</f>
        <v>pay_HKGKUD8RF03I3M</v>
      </c>
      <c r="B73" s="4"/>
      <c r="C73" s="4" t="s">
        <v>2455</v>
      </c>
      <c r="D73" s="4">
        <v>49997.0</v>
      </c>
      <c r="E73" s="5"/>
      <c r="F73" s="4">
        <v>3.0</v>
      </c>
      <c r="G73" s="4">
        <v>199.0</v>
      </c>
      <c r="H73" s="4"/>
      <c r="I73" s="4">
        <v>199.0</v>
      </c>
      <c r="J73" s="4" t="s">
        <v>2549</v>
      </c>
      <c r="K73" s="5">
        <f>+919614789882</f>
        <v>919614789882</v>
      </c>
      <c r="L73" s="4" t="str">
        <f t="shared" si="1"/>
        <v>satyendrakrchauhan@gmail.com919614789882</v>
      </c>
      <c r="M73" s="10" t="s">
        <v>67</v>
      </c>
      <c r="N73" s="4" t="b">
        <v>0</v>
      </c>
      <c r="O73" s="4" t="str">
        <f>VLOOKUP(A73,payment_ids!D:E,2,FALSE)</f>
        <v>upi</v>
      </c>
      <c r="P73" s="4" t="s">
        <v>69</v>
      </c>
      <c r="Q73" s="11">
        <v>44383.98611111111</v>
      </c>
      <c r="R73" s="4"/>
      <c r="S73" s="12" t="s">
        <v>2457</v>
      </c>
      <c r="T73" s="5"/>
      <c r="U73" s="4"/>
      <c r="V73" s="11"/>
      <c r="W73" s="4"/>
      <c r="X73" s="11"/>
      <c r="Y73" s="4"/>
      <c r="Z73" s="4"/>
      <c r="AA73" s="4"/>
      <c r="AB73" s="4"/>
      <c r="AC73" s="7"/>
      <c r="AD73" s="4"/>
      <c r="AE73" s="4"/>
      <c r="AF73" s="4"/>
      <c r="AG73" s="4"/>
      <c r="AH73" s="5"/>
      <c r="AI73" s="5"/>
      <c r="AJ73" s="5"/>
      <c r="AK73" s="5"/>
      <c r="AL73" s="5"/>
    </row>
    <row r="74">
      <c r="A74" s="4" t="str">
        <f>VLOOKUP(L74,payment_ids!C:D,2,FALSE)</f>
        <v>pay_HKHX3seYV7mVgS</v>
      </c>
      <c r="B74" s="4"/>
      <c r="C74" s="4" t="s">
        <v>2455</v>
      </c>
      <c r="D74" s="4">
        <v>49997.0</v>
      </c>
      <c r="E74" s="5"/>
      <c r="F74" s="4">
        <v>1.0</v>
      </c>
      <c r="G74" s="4">
        <v>99.0</v>
      </c>
      <c r="H74" s="4"/>
      <c r="I74" s="4">
        <v>99.0</v>
      </c>
      <c r="J74" s="4" t="s">
        <v>2550</v>
      </c>
      <c r="K74" s="5">
        <f>+918861355515</f>
        <v>918861355515</v>
      </c>
      <c r="L74" s="4" t="str">
        <f t="shared" si="1"/>
        <v>manasi.chauhan19@gmail.com918861355515</v>
      </c>
      <c r="M74" s="10" t="s">
        <v>67</v>
      </c>
      <c r="N74" s="4" t="b">
        <v>0</v>
      </c>
      <c r="O74" s="4" t="str">
        <f>VLOOKUP(A74,payment_ids!D:E,2,FALSE)</f>
        <v>upi</v>
      </c>
      <c r="P74" s="4" t="s">
        <v>69</v>
      </c>
      <c r="Q74" s="11">
        <v>44414.032638888886</v>
      </c>
      <c r="R74" s="4"/>
      <c r="S74" s="12" t="s">
        <v>2457</v>
      </c>
      <c r="T74" s="5"/>
      <c r="U74" s="4"/>
      <c r="V74" s="11"/>
      <c r="W74" s="4"/>
      <c r="X74" s="11"/>
      <c r="Y74" s="4"/>
      <c r="Z74" s="4"/>
      <c r="AA74" s="4"/>
      <c r="AB74" s="4"/>
      <c r="AC74" s="7"/>
      <c r="AD74" s="4"/>
      <c r="AE74" s="4"/>
      <c r="AF74" s="4"/>
      <c r="AG74" s="4"/>
      <c r="AH74" s="5"/>
      <c r="AI74" s="5"/>
      <c r="AJ74" s="5"/>
      <c r="AK74" s="5"/>
      <c r="AL74" s="5"/>
    </row>
    <row r="75">
      <c r="A75" s="4" t="str">
        <f>VLOOKUP(L75,payment_ids!C:D,2,FALSE)</f>
        <v>pay_HBWG2W5fG6koig</v>
      </c>
      <c r="B75" s="4"/>
      <c r="C75" s="4" t="s">
        <v>2455</v>
      </c>
      <c r="D75" s="4">
        <v>49997.0</v>
      </c>
      <c r="E75" s="5"/>
      <c r="F75" s="4">
        <v>6.0</v>
      </c>
      <c r="G75" s="4">
        <v>349.0</v>
      </c>
      <c r="H75" s="4"/>
      <c r="I75" s="4">
        <v>349.0</v>
      </c>
      <c r="J75" s="4" t="s">
        <v>2480</v>
      </c>
      <c r="K75" s="5">
        <f>+919916242098</f>
        <v>919916242098</v>
      </c>
      <c r="L75" s="4" t="str">
        <f t="shared" si="1"/>
        <v>guru_3@yahoo.com919916242098</v>
      </c>
      <c r="M75" s="10" t="s">
        <v>67</v>
      </c>
      <c r="N75" s="4" t="b">
        <v>0</v>
      </c>
      <c r="O75" s="4" t="str">
        <f>VLOOKUP(A75,payment_ids!D:E,2,FALSE)</f>
        <v>upi</v>
      </c>
      <c r="P75" s="4" t="s">
        <v>69</v>
      </c>
      <c r="Q75" s="11">
        <v>44414.03472222222</v>
      </c>
      <c r="R75" s="4"/>
      <c r="S75" s="12" t="s">
        <v>2457</v>
      </c>
      <c r="T75" s="5"/>
      <c r="U75" s="4"/>
      <c r="V75" s="11"/>
      <c r="W75" s="4"/>
      <c r="X75" s="11"/>
      <c r="Y75" s="4"/>
      <c r="Z75" s="4"/>
      <c r="AA75" s="4"/>
      <c r="AB75" s="4"/>
      <c r="AC75" s="4"/>
      <c r="AD75" s="4"/>
      <c r="AE75" s="4"/>
      <c r="AF75" s="4"/>
      <c r="AG75" s="4"/>
      <c r="AH75" s="5"/>
      <c r="AI75" s="5"/>
      <c r="AJ75" s="5"/>
      <c r="AK75" s="5"/>
      <c r="AL75" s="5"/>
    </row>
    <row r="76">
      <c r="A76" s="4" t="str">
        <f>VLOOKUP(L76,payment_ids!C:D,2,FALSE)</f>
        <v>pay_HKtDx822EnQKjS</v>
      </c>
      <c r="B76" s="4"/>
      <c r="C76" s="4" t="s">
        <v>2455</v>
      </c>
      <c r="D76" s="4">
        <v>49997.0</v>
      </c>
      <c r="E76" s="5"/>
      <c r="F76" s="4">
        <v>3.0</v>
      </c>
      <c r="G76" s="4">
        <v>199.0</v>
      </c>
      <c r="H76" s="4"/>
      <c r="I76" s="4">
        <v>199.0</v>
      </c>
      <c r="J76" s="4" t="s">
        <v>2551</v>
      </c>
      <c r="K76" s="5">
        <f>+919035015257</f>
        <v>919035015257</v>
      </c>
      <c r="L76" s="4" t="str">
        <f t="shared" si="1"/>
        <v>suniltrue@gmail.com919035015257</v>
      </c>
      <c r="M76" s="10" t="s">
        <v>67</v>
      </c>
      <c r="N76" s="4" t="b">
        <v>0</v>
      </c>
      <c r="O76" s="4" t="str">
        <f>VLOOKUP(A76,payment_ids!D:E,2,FALSE)</f>
        <v>upi</v>
      </c>
      <c r="P76" s="4" t="s">
        <v>69</v>
      </c>
      <c r="Q76" s="11">
        <v>44445.56875</v>
      </c>
      <c r="R76" s="4"/>
      <c r="S76" s="12" t="s">
        <v>2457</v>
      </c>
      <c r="T76" s="4" t="s">
        <v>2444</v>
      </c>
      <c r="U76" s="4"/>
      <c r="V76" s="11"/>
      <c r="W76" s="4"/>
      <c r="X76" s="11"/>
      <c r="Y76" s="4"/>
      <c r="Z76" s="4"/>
      <c r="AA76" s="4"/>
      <c r="AB76" s="4"/>
      <c r="AC76" s="4"/>
      <c r="AD76" s="4"/>
      <c r="AE76" s="4"/>
      <c r="AF76" s="4"/>
      <c r="AG76" s="4"/>
      <c r="AH76" s="5"/>
      <c r="AI76" s="5"/>
      <c r="AJ76" s="5"/>
      <c r="AK76" s="5"/>
      <c r="AL76" s="5"/>
    </row>
    <row r="77">
      <c r="A77" s="4" t="str">
        <f>VLOOKUP(L77,payment_ids!C:D,2,FALSE)</f>
        <v>pay_HLKVRMfXhoDsE3</v>
      </c>
      <c r="B77" s="4"/>
      <c r="C77" s="4" t="s">
        <v>2455</v>
      </c>
      <c r="D77" s="4">
        <v>49997.0</v>
      </c>
      <c r="E77" s="5"/>
      <c r="F77" s="4">
        <v>1.0</v>
      </c>
      <c r="G77" s="4">
        <v>99.0</v>
      </c>
      <c r="H77" s="4"/>
      <c r="I77" s="4">
        <v>99.0</v>
      </c>
      <c r="J77" s="4" t="s">
        <v>2552</v>
      </c>
      <c r="K77" s="5">
        <f>+918427693486</f>
        <v>918427693486</v>
      </c>
      <c r="L77" s="4" t="str">
        <f t="shared" si="1"/>
        <v>vanshikathakur2811@gmail.com918427693486</v>
      </c>
      <c r="M77" s="10" t="s">
        <v>67</v>
      </c>
      <c r="N77" s="4" t="b">
        <v>0</v>
      </c>
      <c r="O77" s="4" t="str">
        <f>VLOOKUP(A77,payment_ids!D:E,2,FALSE)</f>
        <v>upi</v>
      </c>
      <c r="P77" s="4" t="s">
        <v>69</v>
      </c>
      <c r="Q77" s="11">
        <v>44475.68125</v>
      </c>
      <c r="R77" s="4"/>
      <c r="S77" s="12" t="s">
        <v>2457</v>
      </c>
      <c r="T77" s="4" t="s">
        <v>2444</v>
      </c>
      <c r="U77" s="4"/>
      <c r="V77" s="11"/>
      <c r="W77" s="4"/>
      <c r="X77" s="11"/>
      <c r="Y77" s="4"/>
      <c r="Z77" s="4"/>
      <c r="AA77" s="4"/>
      <c r="AB77" s="4"/>
      <c r="AC77" s="4"/>
      <c r="AD77" s="4"/>
      <c r="AE77" s="4"/>
      <c r="AF77" s="4"/>
      <c r="AG77" s="4"/>
      <c r="AH77" s="5"/>
      <c r="AI77" s="5"/>
      <c r="AJ77" s="5"/>
      <c r="AK77" s="5"/>
      <c r="AL77" s="5"/>
    </row>
    <row r="78">
      <c r="A78" s="4" t="str">
        <f>VLOOKUP(L78,payment_ids!C:D,2,FALSE)</f>
        <v>pay_HLMy1uJ5lWuCtV</v>
      </c>
      <c r="B78" s="4"/>
      <c r="C78" s="4" t="s">
        <v>2455</v>
      </c>
      <c r="D78" s="4">
        <v>49997.0</v>
      </c>
      <c r="E78" s="5"/>
      <c r="F78" s="4">
        <v>1.0</v>
      </c>
      <c r="G78" s="4">
        <v>99.0</v>
      </c>
      <c r="H78" s="4"/>
      <c r="I78" s="4">
        <v>99.0</v>
      </c>
      <c r="J78" s="4" t="s">
        <v>2553</v>
      </c>
      <c r="K78" s="5">
        <f>+917875897782</f>
        <v>917875897782</v>
      </c>
      <c r="L78" s="4" t="str">
        <f t="shared" si="1"/>
        <v>ayushijain0624@gmail.com917875897782</v>
      </c>
      <c r="M78" s="10" t="s">
        <v>67</v>
      </c>
      <c r="N78" s="4" t="b">
        <v>0</v>
      </c>
      <c r="O78" s="4" t="str">
        <f>VLOOKUP(A78,payment_ids!D:E,2,FALSE)</f>
        <v>upi</v>
      </c>
      <c r="P78" s="4" t="s">
        <v>69</v>
      </c>
      <c r="Q78" s="11">
        <v>44475.78125</v>
      </c>
      <c r="R78" s="4"/>
      <c r="S78" s="12" t="s">
        <v>2457</v>
      </c>
      <c r="T78" s="4" t="s">
        <v>2444</v>
      </c>
      <c r="U78" s="4"/>
      <c r="V78" s="11"/>
      <c r="W78" s="4"/>
      <c r="X78" s="11"/>
      <c r="Y78" s="4"/>
      <c r="Z78" s="4"/>
      <c r="AA78" s="4"/>
      <c r="AB78" s="4"/>
      <c r="AC78" s="4"/>
      <c r="AD78" s="4"/>
      <c r="AE78" s="4"/>
      <c r="AF78" s="4"/>
      <c r="AG78" s="4"/>
      <c r="AH78" s="5"/>
      <c r="AI78" s="5"/>
      <c r="AJ78" s="5"/>
      <c r="AK78" s="5"/>
      <c r="AL78" s="5"/>
    </row>
    <row r="79">
      <c r="A79" s="4" t="str">
        <f>VLOOKUP(L79,payment_ids!C:D,2,FALSE)</f>
        <v>pay_HLSxCVJYBkqJIg</v>
      </c>
      <c r="B79" s="4"/>
      <c r="C79" s="4" t="s">
        <v>2455</v>
      </c>
      <c r="D79" s="4">
        <v>49997.0</v>
      </c>
      <c r="E79" s="5"/>
      <c r="F79" s="4">
        <v>3.0</v>
      </c>
      <c r="G79" s="4">
        <v>199.0</v>
      </c>
      <c r="H79" s="4"/>
      <c r="I79" s="4">
        <v>199.0</v>
      </c>
      <c r="J79" s="4" t="s">
        <v>2554</v>
      </c>
      <c r="K79" s="5">
        <f>+917321988222</f>
        <v>917321988222</v>
      </c>
      <c r="L79" s="4" t="str">
        <f t="shared" si="1"/>
        <v>adesarakhyati9@gmail.com917321988222</v>
      </c>
      <c r="M79" s="10" t="s">
        <v>67</v>
      </c>
      <c r="N79" s="4" t="b">
        <v>0</v>
      </c>
      <c r="O79" s="4" t="str">
        <f>VLOOKUP(A79,payment_ids!D:E,2,FALSE)</f>
        <v>upi</v>
      </c>
      <c r="P79" s="4" t="s">
        <v>69</v>
      </c>
      <c r="Q79" s="11">
        <v>44506.02569444444</v>
      </c>
      <c r="R79" s="4"/>
      <c r="S79" s="12" t="s">
        <v>2457</v>
      </c>
      <c r="T79" s="4" t="s">
        <v>2444</v>
      </c>
      <c r="U79" s="4"/>
      <c r="V79" s="11"/>
      <c r="W79" s="4"/>
      <c r="X79" s="11"/>
      <c r="Y79" s="4"/>
      <c r="Z79" s="4"/>
      <c r="AA79" s="4"/>
      <c r="AB79" s="4"/>
      <c r="AC79" s="7"/>
      <c r="AD79" s="4"/>
      <c r="AE79" s="4"/>
      <c r="AF79" s="4"/>
      <c r="AG79" s="4"/>
      <c r="AH79" s="5"/>
      <c r="AI79" s="5"/>
      <c r="AJ79" s="5"/>
      <c r="AK79" s="5"/>
      <c r="AL79" s="5"/>
    </row>
    <row r="80">
      <c r="A80" s="4" t="str">
        <f>VLOOKUP(L80,payment_ids!C:D,2,FALSE)</f>
        <v>pay_HLnO3BC8QDcba6</v>
      </c>
      <c r="B80" s="4"/>
      <c r="C80" s="4" t="s">
        <v>2455</v>
      </c>
      <c r="D80" s="4">
        <v>49997.0</v>
      </c>
      <c r="E80" s="5"/>
      <c r="F80" s="4">
        <v>1.0</v>
      </c>
      <c r="G80" s="4">
        <v>99.0</v>
      </c>
      <c r="H80" s="4"/>
      <c r="I80" s="4">
        <v>99.0</v>
      </c>
      <c r="J80" s="4" t="s">
        <v>2555</v>
      </c>
      <c r="K80" s="5">
        <f>+919634081231</f>
        <v>919634081231</v>
      </c>
      <c r="L80" s="4" t="str">
        <f t="shared" si="1"/>
        <v>laxminegi2105@gmail.com919634081231</v>
      </c>
      <c r="M80" s="10" t="s">
        <v>67</v>
      </c>
      <c r="N80" s="4" t="b">
        <v>0</v>
      </c>
      <c r="O80" s="4" t="str">
        <f>VLOOKUP(A80,payment_ids!D:E,2,FALSE)</f>
        <v>upi</v>
      </c>
      <c r="P80" s="4" t="s">
        <v>69</v>
      </c>
      <c r="Q80" s="11">
        <v>44506.85833333333</v>
      </c>
      <c r="R80" s="4"/>
      <c r="S80" s="12" t="s">
        <v>2457</v>
      </c>
      <c r="T80" s="4" t="s">
        <v>2444</v>
      </c>
      <c r="U80" s="4"/>
      <c r="V80" s="11"/>
      <c r="W80" s="4"/>
      <c r="X80" s="11"/>
      <c r="Y80" s="4"/>
      <c r="Z80" s="4"/>
      <c r="AA80" s="4"/>
      <c r="AB80" s="4"/>
      <c r="AC80" s="4"/>
      <c r="AD80" s="4"/>
      <c r="AE80" s="4"/>
      <c r="AF80" s="4"/>
      <c r="AG80" s="4"/>
      <c r="AH80" s="5"/>
      <c r="AI80" s="5"/>
      <c r="AJ80" s="5"/>
      <c r="AK80" s="5"/>
      <c r="AL80" s="5"/>
    </row>
    <row r="81">
      <c r="A81" s="4" t="str">
        <f>VLOOKUP(L81,payment_ids!C:D,2,FALSE)</f>
        <v>pay_HMBrwPMNQJLmpx</v>
      </c>
      <c r="B81" s="4"/>
      <c r="C81" s="4" t="s">
        <v>2455</v>
      </c>
      <c r="D81" s="4">
        <v>49997.0</v>
      </c>
      <c r="E81" s="5"/>
      <c r="F81" s="4">
        <v>1.0</v>
      </c>
      <c r="G81" s="4">
        <v>99.0</v>
      </c>
      <c r="H81" s="4"/>
      <c r="I81" s="4">
        <v>99.0</v>
      </c>
      <c r="J81" s="4" t="s">
        <v>2556</v>
      </c>
      <c r="K81" s="5">
        <f>+919677235852</f>
        <v>919677235852</v>
      </c>
      <c r="L81" s="4" t="str">
        <f t="shared" si="1"/>
        <v>umarr3776@gmail.com919677235852</v>
      </c>
      <c r="M81" s="10" t="s">
        <v>67</v>
      </c>
      <c r="N81" s="4" t="b">
        <v>0</v>
      </c>
      <c r="O81" s="4" t="str">
        <f>VLOOKUP(A81,payment_ids!D:E,2,FALSE)</f>
        <v>wallet</v>
      </c>
      <c r="P81" s="4" t="s">
        <v>69</v>
      </c>
      <c r="Q81" s="11">
        <v>44536.85625</v>
      </c>
      <c r="R81" s="4"/>
      <c r="S81" s="12" t="s">
        <v>2457</v>
      </c>
      <c r="T81" s="4" t="s">
        <v>2444</v>
      </c>
      <c r="U81" s="4"/>
      <c r="V81" s="11"/>
      <c r="W81" s="4"/>
      <c r="X81" s="11"/>
      <c r="Y81" s="4"/>
      <c r="Z81" s="4"/>
      <c r="AA81" s="4"/>
      <c r="AB81" s="4"/>
      <c r="AC81" s="4"/>
      <c r="AD81" s="4"/>
      <c r="AE81" s="4"/>
      <c r="AF81" s="4"/>
      <c r="AG81" s="4"/>
      <c r="AH81" s="5"/>
      <c r="AI81" s="5"/>
      <c r="AJ81" s="5"/>
      <c r="AK81" s="5"/>
      <c r="AL81" s="5"/>
    </row>
    <row r="82">
      <c r="A82" s="4" t="str">
        <f>VLOOKUP(L82,payment_ids!C:D,2,FALSE)</f>
        <v>pay_HMEZGjhlRaGXYm</v>
      </c>
      <c r="B82" s="4"/>
      <c r="C82" s="4" t="s">
        <v>2455</v>
      </c>
      <c r="D82" s="4">
        <v>49997.0</v>
      </c>
      <c r="E82" s="5"/>
      <c r="F82" s="4">
        <v>1.0</v>
      </c>
      <c r="G82" s="4">
        <v>99.0</v>
      </c>
      <c r="H82" s="4"/>
      <c r="I82" s="4">
        <v>99.0</v>
      </c>
      <c r="J82" s="4" t="s">
        <v>2557</v>
      </c>
      <c r="K82" s="5">
        <f>+919711350850</f>
        <v>919711350850</v>
      </c>
      <c r="L82" s="4" t="str">
        <f t="shared" si="1"/>
        <v>nikhildhingaun@gmail.com919711350850</v>
      </c>
      <c r="M82" s="10" t="s">
        <v>67</v>
      </c>
      <c r="N82" s="4" t="b">
        <v>0</v>
      </c>
      <c r="O82" s="4" t="str">
        <f>VLOOKUP(A82,payment_ids!D:E,2,FALSE)</f>
        <v>wallet</v>
      </c>
      <c r="P82" s="4" t="s">
        <v>69</v>
      </c>
      <c r="Q82" s="11">
        <v>44536.96666666667</v>
      </c>
      <c r="R82" s="4"/>
      <c r="S82" s="12" t="s">
        <v>2457</v>
      </c>
      <c r="T82" s="4" t="s">
        <v>2444</v>
      </c>
      <c r="U82" s="4"/>
      <c r="V82" s="11"/>
      <c r="W82" s="4"/>
      <c r="X82" s="11"/>
      <c r="Y82" s="4"/>
      <c r="Z82" s="4"/>
      <c r="AA82" s="4"/>
      <c r="AB82" s="4"/>
      <c r="AC82" s="4"/>
      <c r="AD82" s="4"/>
      <c r="AE82" s="4"/>
      <c r="AF82" s="4"/>
      <c r="AG82" s="4"/>
      <c r="AH82" s="5"/>
      <c r="AI82" s="5"/>
      <c r="AJ82" s="5"/>
      <c r="AK82" s="5"/>
      <c r="AL82" s="5"/>
    </row>
    <row r="83">
      <c r="A83" s="4" t="str">
        <f>VLOOKUP(L83,payment_ids!C:D,2,FALSE)</f>
        <v>pay_HMQxohj8HcATuA</v>
      </c>
      <c r="B83" s="4"/>
      <c r="C83" s="4" t="s">
        <v>2455</v>
      </c>
      <c r="D83" s="4">
        <v>49997.0</v>
      </c>
      <c r="E83" s="5"/>
      <c r="F83" s="4">
        <v>3.0</v>
      </c>
      <c r="G83" s="4">
        <v>199.0</v>
      </c>
      <c r="H83" s="4"/>
      <c r="I83" s="4">
        <v>199.0</v>
      </c>
      <c r="J83" s="4" t="s">
        <v>2558</v>
      </c>
      <c r="K83" s="5">
        <f>+918185918851</f>
        <v>918185918851</v>
      </c>
      <c r="L83" s="4" t="str">
        <f t="shared" si="1"/>
        <v>rguditeamworks@gmail.com918185918851</v>
      </c>
      <c r="M83" s="10" t="s">
        <v>67</v>
      </c>
      <c r="N83" s="4" t="b">
        <v>0</v>
      </c>
      <c r="O83" s="4" t="str">
        <f>VLOOKUP(A83,payment_ids!D:E,2,FALSE)</f>
        <v>upi</v>
      </c>
      <c r="P83" s="4" t="s">
        <v>69</v>
      </c>
      <c r="Q83" s="4" t="s">
        <v>2559</v>
      </c>
      <c r="R83" s="4"/>
      <c r="S83" s="12" t="s">
        <v>2457</v>
      </c>
      <c r="T83" s="4" t="s">
        <v>2444</v>
      </c>
      <c r="U83" s="4"/>
      <c r="V83" s="11"/>
      <c r="W83" s="4"/>
      <c r="X83" s="11"/>
      <c r="Y83" s="4"/>
      <c r="Z83" s="4"/>
      <c r="AA83" s="4"/>
      <c r="AB83" s="4"/>
      <c r="AC83" s="4"/>
      <c r="AD83" s="4"/>
      <c r="AE83" s="4"/>
      <c r="AF83" s="4"/>
      <c r="AG83" s="4"/>
      <c r="AH83" s="5"/>
      <c r="AI83" s="5"/>
      <c r="AJ83" s="5"/>
      <c r="AK83" s="5"/>
      <c r="AL83" s="5"/>
    </row>
    <row r="84">
      <c r="A84" s="4" t="str">
        <f>VLOOKUP(L84,payment_ids!C:D,2,FALSE)</f>
        <v>pay_HMeuFwm5llHvBu</v>
      </c>
      <c r="B84" s="4"/>
      <c r="C84" s="4" t="s">
        <v>2455</v>
      </c>
      <c r="D84" s="4">
        <v>49997.0</v>
      </c>
      <c r="E84" s="5"/>
      <c r="F84" s="4">
        <v>1.0</v>
      </c>
      <c r="G84" s="4">
        <v>99.0</v>
      </c>
      <c r="H84" s="4"/>
      <c r="I84" s="4">
        <v>99.0</v>
      </c>
      <c r="J84" s="4" t="s">
        <v>2560</v>
      </c>
      <c r="K84" s="5">
        <f>+917015129688</f>
        <v>917015129688</v>
      </c>
      <c r="L84" s="4" t="str">
        <f t="shared" si="1"/>
        <v>kaman3724@gmail.com917015129688</v>
      </c>
      <c r="M84" s="10" t="s">
        <v>67</v>
      </c>
      <c r="N84" s="4" t="b">
        <v>0</v>
      </c>
      <c r="O84" s="4" t="str">
        <f>VLOOKUP(A84,payment_ids!D:E,2,FALSE)</f>
        <v>upi</v>
      </c>
      <c r="P84" s="4" t="s">
        <v>69</v>
      </c>
      <c r="Q84" s="4" t="s">
        <v>2561</v>
      </c>
      <c r="R84" s="4"/>
      <c r="S84" s="12" t="s">
        <v>2457</v>
      </c>
      <c r="T84" s="4" t="s">
        <v>2444</v>
      </c>
      <c r="U84" s="4"/>
      <c r="V84" s="11"/>
      <c r="W84" s="4"/>
      <c r="X84" s="11"/>
      <c r="Y84" s="4"/>
      <c r="Z84" s="4"/>
      <c r="AA84" s="4"/>
      <c r="AB84" s="4"/>
      <c r="AC84" s="4"/>
      <c r="AD84" s="4"/>
      <c r="AE84" s="4"/>
      <c r="AF84" s="4"/>
      <c r="AG84" s="4"/>
      <c r="AH84" s="5"/>
      <c r="AI84" s="5"/>
      <c r="AJ84" s="5"/>
      <c r="AK84" s="5"/>
      <c r="AL84" s="5"/>
    </row>
    <row r="85">
      <c r="A85" s="4" t="str">
        <f>VLOOKUP(L85,payment_ids!C:D,2,FALSE)</f>
        <v>pay_HMoi6P7LqPE6tv</v>
      </c>
      <c r="B85" s="4"/>
      <c r="C85" s="4" t="s">
        <v>2455</v>
      </c>
      <c r="D85" s="4">
        <v>49997.0</v>
      </c>
      <c r="E85" s="5"/>
      <c r="F85" s="4">
        <v>1.0</v>
      </c>
      <c r="G85" s="4">
        <v>99.0</v>
      </c>
      <c r="H85" s="4"/>
      <c r="I85" s="4">
        <v>99.0</v>
      </c>
      <c r="J85" s="4" t="s">
        <v>2562</v>
      </c>
      <c r="K85" s="5">
        <f>+917906020996</f>
        <v>917906020996</v>
      </c>
      <c r="L85" s="4" t="str">
        <f t="shared" si="1"/>
        <v>nikhilchauhan633@gmail.com917906020996</v>
      </c>
      <c r="M85" s="10" t="s">
        <v>67</v>
      </c>
      <c r="N85" s="4" t="b">
        <v>0</v>
      </c>
      <c r="O85" s="4" t="str">
        <f>VLOOKUP(A85,payment_ids!D:E,2,FALSE)</f>
        <v>upi</v>
      </c>
      <c r="P85" s="4" t="s">
        <v>69</v>
      </c>
      <c r="Q85" s="4" t="s">
        <v>2563</v>
      </c>
      <c r="R85" s="4"/>
      <c r="S85" s="12" t="s">
        <v>2457</v>
      </c>
      <c r="T85" s="4" t="s">
        <v>2444</v>
      </c>
      <c r="U85" s="4"/>
      <c r="V85" s="11"/>
      <c r="W85" s="4"/>
      <c r="X85" s="11"/>
      <c r="Y85" s="4"/>
      <c r="Z85" s="4"/>
      <c r="AA85" s="4"/>
      <c r="AB85" s="4"/>
      <c r="AC85" s="7"/>
      <c r="AD85" s="4"/>
      <c r="AE85" s="4"/>
      <c r="AF85" s="4"/>
      <c r="AG85" s="4"/>
      <c r="AH85" s="5"/>
      <c r="AI85" s="5"/>
      <c r="AJ85" s="5"/>
      <c r="AK85" s="5"/>
      <c r="AL85" s="5"/>
    </row>
    <row r="86">
      <c r="A86" s="4" t="str">
        <f>VLOOKUP(L86,payment_ids!C:D,2,FALSE)</f>
        <v>pay_HMp8LaCc1oJz9k</v>
      </c>
      <c r="B86" s="4"/>
      <c r="C86" s="4" t="s">
        <v>2455</v>
      </c>
      <c r="D86" s="4">
        <v>49997.0</v>
      </c>
      <c r="E86" s="5"/>
      <c r="F86" s="4">
        <v>1.0</v>
      </c>
      <c r="G86" s="4">
        <v>99.0</v>
      </c>
      <c r="H86" s="4"/>
      <c r="I86" s="4">
        <v>99.0</v>
      </c>
      <c r="J86" s="4" t="s">
        <v>2564</v>
      </c>
      <c r="K86" s="5">
        <f>+917987036123</f>
        <v>917987036123</v>
      </c>
      <c r="L86" s="4" t="str">
        <f t="shared" si="1"/>
        <v>ppsweetanny12011993@gmail.com917987036123</v>
      </c>
      <c r="M86" s="10" t="s">
        <v>67</v>
      </c>
      <c r="N86" s="4" t="b">
        <v>0</v>
      </c>
      <c r="O86" s="4" t="str">
        <f>VLOOKUP(A86,payment_ids!D:E,2,FALSE)</f>
        <v>upi</v>
      </c>
      <c r="P86" s="4" t="s">
        <v>69</v>
      </c>
      <c r="Q86" s="4" t="s">
        <v>2565</v>
      </c>
      <c r="R86" s="4"/>
      <c r="S86" s="12" t="s">
        <v>2457</v>
      </c>
      <c r="T86" s="4" t="s">
        <v>2444</v>
      </c>
      <c r="U86" s="4"/>
      <c r="V86" s="11"/>
      <c r="W86" s="4"/>
      <c r="X86" s="11"/>
      <c r="Y86" s="4"/>
      <c r="Z86" s="4"/>
      <c r="AA86" s="4"/>
      <c r="AB86" s="4"/>
      <c r="AC86" s="4"/>
      <c r="AD86" s="4"/>
      <c r="AE86" s="4"/>
      <c r="AF86" s="4"/>
      <c r="AG86" s="4"/>
      <c r="AH86" s="5"/>
      <c r="AI86" s="5"/>
      <c r="AJ86" s="5"/>
      <c r="AK86" s="5"/>
      <c r="AL86" s="5"/>
    </row>
    <row r="87">
      <c r="A87" s="4" t="str">
        <f>VLOOKUP(L87,payment_ids!C:D,2,FALSE)</f>
        <v>pay_HMqOPwdnSUe5Hf</v>
      </c>
      <c r="B87" s="4"/>
      <c r="C87" s="4" t="s">
        <v>2455</v>
      </c>
      <c r="D87" s="4">
        <v>49997.0</v>
      </c>
      <c r="E87" s="5"/>
      <c r="F87" s="4">
        <v>1.0</v>
      </c>
      <c r="G87" s="4">
        <v>99.0</v>
      </c>
      <c r="H87" s="4"/>
      <c r="I87" s="4">
        <v>99.0</v>
      </c>
      <c r="J87" s="4" t="s">
        <v>2566</v>
      </c>
      <c r="K87" s="5">
        <f>+919897523433</f>
        <v>919897523433</v>
      </c>
      <c r="L87" s="4" t="str">
        <f t="shared" si="1"/>
        <v>pratiush.dhiman1994@gmail.com919897523433</v>
      </c>
      <c r="M87" s="10" t="s">
        <v>67</v>
      </c>
      <c r="N87" s="4" t="b">
        <v>0</v>
      </c>
      <c r="O87" s="4" t="str">
        <f>VLOOKUP(A87,payment_ids!D:E,2,FALSE)</f>
        <v>upi</v>
      </c>
      <c r="P87" s="4" t="s">
        <v>69</v>
      </c>
      <c r="Q87" s="4" t="s">
        <v>2567</v>
      </c>
      <c r="R87" s="4"/>
      <c r="S87" s="12" t="s">
        <v>2457</v>
      </c>
      <c r="T87" s="4" t="s">
        <v>2444</v>
      </c>
      <c r="U87" s="4"/>
      <c r="V87" s="11"/>
      <c r="W87" s="4"/>
      <c r="X87" s="11"/>
      <c r="Y87" s="4"/>
      <c r="Z87" s="4"/>
      <c r="AA87" s="4"/>
      <c r="AB87" s="4"/>
      <c r="AC87" s="4"/>
      <c r="AD87" s="4"/>
      <c r="AE87" s="4"/>
      <c r="AF87" s="4"/>
      <c r="AG87" s="4"/>
      <c r="AH87" s="5"/>
      <c r="AI87" s="5"/>
      <c r="AJ87" s="5"/>
      <c r="AK87" s="5"/>
      <c r="AL87" s="5"/>
    </row>
    <row r="88">
      <c r="A88" s="4" t="str">
        <f>VLOOKUP(L88,payment_ids!C:D,2,FALSE)</f>
        <v>pay_HNCemmHZdCmV6X</v>
      </c>
      <c r="B88" s="4"/>
      <c r="C88" s="4" t="s">
        <v>2455</v>
      </c>
      <c r="D88" s="4">
        <v>49997.0</v>
      </c>
      <c r="E88" s="5"/>
      <c r="F88" s="4">
        <v>1.0</v>
      </c>
      <c r="G88" s="4">
        <v>99.0</v>
      </c>
      <c r="H88" s="4"/>
      <c r="I88" s="4">
        <v>99.0</v>
      </c>
      <c r="J88" s="4" t="s">
        <v>2568</v>
      </c>
      <c r="K88" s="5">
        <f>+918605070300</f>
        <v>918605070300</v>
      </c>
      <c r="L88" s="4" t="str">
        <f t="shared" si="1"/>
        <v>mukund@paarthholidays.com918605070300</v>
      </c>
      <c r="M88" s="10" t="s">
        <v>67</v>
      </c>
      <c r="N88" s="4" t="b">
        <v>0</v>
      </c>
      <c r="O88" s="4" t="str">
        <f>VLOOKUP(A88,payment_ids!D:E,2,FALSE)</f>
        <v>upi</v>
      </c>
      <c r="P88" s="4" t="s">
        <v>69</v>
      </c>
      <c r="Q88" s="4" t="s">
        <v>2569</v>
      </c>
      <c r="R88" s="4"/>
      <c r="S88" s="12" t="s">
        <v>2457</v>
      </c>
      <c r="T88" s="4" t="s">
        <v>2444</v>
      </c>
      <c r="U88" s="4"/>
      <c r="V88" s="11"/>
      <c r="W88" s="4"/>
      <c r="X88" s="11"/>
      <c r="Y88" s="4"/>
      <c r="Z88" s="4"/>
      <c r="AA88" s="4"/>
      <c r="AB88" s="4"/>
      <c r="AC88" s="4"/>
      <c r="AD88" s="4"/>
      <c r="AE88" s="4"/>
      <c r="AF88" s="4"/>
      <c r="AG88" s="4"/>
      <c r="AH88" s="5"/>
      <c r="AI88" s="5"/>
      <c r="AJ88" s="5"/>
      <c r="AK88" s="5"/>
      <c r="AL88" s="5"/>
    </row>
    <row r="89">
      <c r="A89" s="4" t="str">
        <f>VLOOKUP(L89,payment_ids!C:D,2,FALSE)</f>
        <v>pay_HNCrqJg8lIbNWh</v>
      </c>
      <c r="B89" s="4"/>
      <c r="C89" s="4" t="s">
        <v>2455</v>
      </c>
      <c r="D89" s="4">
        <v>49997.0</v>
      </c>
      <c r="E89" s="5"/>
      <c r="F89" s="4">
        <v>6.0</v>
      </c>
      <c r="G89" s="4">
        <v>349.0</v>
      </c>
      <c r="H89" s="4"/>
      <c r="I89" s="4">
        <v>349.0</v>
      </c>
      <c r="J89" s="4" t="s">
        <v>2570</v>
      </c>
      <c r="K89" s="5">
        <f>+919420228386</f>
        <v>919420228386</v>
      </c>
      <c r="L89" s="4" t="str">
        <f t="shared" si="1"/>
        <v>sujit.jena2000@gmail.com919420228386</v>
      </c>
      <c r="M89" s="10" t="s">
        <v>67</v>
      </c>
      <c r="N89" s="4" t="b">
        <v>0</v>
      </c>
      <c r="O89" s="4" t="str">
        <f>VLOOKUP(A89,payment_ids!D:E,2,FALSE)</f>
        <v>upi</v>
      </c>
      <c r="P89" s="4" t="s">
        <v>69</v>
      </c>
      <c r="Q89" s="4" t="s">
        <v>2571</v>
      </c>
      <c r="R89" s="4"/>
      <c r="S89" s="12" t="s">
        <v>2457</v>
      </c>
      <c r="T89" s="4" t="s">
        <v>2444</v>
      </c>
      <c r="U89" s="4"/>
      <c r="V89" s="11"/>
      <c r="W89" s="4"/>
      <c r="X89" s="11"/>
      <c r="Y89" s="4"/>
      <c r="Z89" s="4"/>
      <c r="AA89" s="4"/>
      <c r="AB89" s="4"/>
      <c r="AC89" s="4"/>
      <c r="AD89" s="4"/>
      <c r="AE89" s="4"/>
      <c r="AF89" s="4"/>
      <c r="AG89" s="4"/>
      <c r="AH89" s="5"/>
      <c r="AI89" s="5"/>
      <c r="AJ89" s="5"/>
      <c r="AK89" s="5"/>
      <c r="AL89" s="5"/>
    </row>
    <row r="90">
      <c r="A90" s="4" t="str">
        <f>VLOOKUP(L90,payment_ids!C:D,2,FALSE)</f>
        <v>pay_HNLkt4VKUgaMtf</v>
      </c>
      <c r="B90" s="4"/>
      <c r="C90" s="4" t="s">
        <v>2455</v>
      </c>
      <c r="D90" s="4">
        <v>49997.0</v>
      </c>
      <c r="E90" s="5"/>
      <c r="F90" s="4">
        <v>1.0</v>
      </c>
      <c r="G90" s="4">
        <v>99.0</v>
      </c>
      <c r="H90" s="4"/>
      <c r="I90" s="4">
        <v>99.0</v>
      </c>
      <c r="J90" s="4" t="s">
        <v>2572</v>
      </c>
      <c r="K90" s="5">
        <f>+919749331382</f>
        <v>919749331382</v>
      </c>
      <c r="L90" s="4" t="str">
        <f t="shared" si="1"/>
        <v>saumikmanc@gmail.com919749331382</v>
      </c>
      <c r="M90" s="10" t="s">
        <v>67</v>
      </c>
      <c r="N90" s="4" t="b">
        <v>0</v>
      </c>
      <c r="O90" s="4" t="str">
        <f>VLOOKUP(A90,payment_ids!D:E,2,FALSE)</f>
        <v>upi</v>
      </c>
      <c r="P90" s="4" t="s">
        <v>69</v>
      </c>
      <c r="Q90" s="4" t="s">
        <v>2573</v>
      </c>
      <c r="R90" s="4"/>
      <c r="S90" s="12" t="s">
        <v>2457</v>
      </c>
      <c r="T90" s="4" t="s">
        <v>2444</v>
      </c>
      <c r="U90" s="4"/>
      <c r="V90" s="11"/>
      <c r="W90" s="4"/>
      <c r="X90" s="11"/>
      <c r="Y90" s="4"/>
      <c r="Z90" s="4"/>
      <c r="AA90" s="4"/>
      <c r="AB90" s="4"/>
      <c r="AC90" s="4"/>
      <c r="AD90" s="4"/>
      <c r="AE90" s="4"/>
      <c r="AF90" s="4"/>
      <c r="AG90" s="4"/>
      <c r="AH90" s="5"/>
      <c r="AI90" s="5"/>
      <c r="AJ90" s="5"/>
      <c r="AK90" s="5"/>
      <c r="AL90" s="5"/>
    </row>
    <row r="91">
      <c r="A91" s="4" t="str">
        <f>VLOOKUP(L91,payment_ids!C:D,2,FALSE)</f>
        <v>pay_HNhhnpWgwq1eVf</v>
      </c>
      <c r="B91" s="4"/>
      <c r="C91" s="4" t="s">
        <v>2455</v>
      </c>
      <c r="D91" s="4">
        <v>49997.0</v>
      </c>
      <c r="E91" s="5"/>
      <c r="F91" s="4">
        <v>1.0</v>
      </c>
      <c r="G91" s="4">
        <v>99.0</v>
      </c>
      <c r="H91" s="4"/>
      <c r="I91" s="4">
        <v>99.0</v>
      </c>
      <c r="J91" s="4" t="s">
        <v>2574</v>
      </c>
      <c r="K91" s="5">
        <f>+919767053140</f>
        <v>919767053140</v>
      </c>
      <c r="L91" s="4" t="str">
        <f t="shared" si="1"/>
        <v>adityaphulsundar5@gmail.com919767053140</v>
      </c>
      <c r="M91" s="10" t="s">
        <v>67</v>
      </c>
      <c r="N91" s="4" t="b">
        <v>0</v>
      </c>
      <c r="O91" s="4" t="str">
        <f>VLOOKUP(A91,payment_ids!D:E,2,FALSE)</f>
        <v>upi</v>
      </c>
      <c r="P91" s="4" t="s">
        <v>69</v>
      </c>
      <c r="Q91" s="4" t="s">
        <v>2575</v>
      </c>
      <c r="R91" s="4"/>
      <c r="S91" s="12" t="s">
        <v>2457</v>
      </c>
      <c r="T91" s="4" t="s">
        <v>2444</v>
      </c>
      <c r="U91" s="4"/>
      <c r="V91" s="11"/>
      <c r="W91" s="4"/>
      <c r="X91" s="11"/>
      <c r="Y91" s="4"/>
      <c r="Z91" s="4"/>
      <c r="AA91" s="4"/>
      <c r="AB91" s="4"/>
      <c r="AC91" s="4"/>
      <c r="AD91" s="4"/>
      <c r="AE91" s="4"/>
      <c r="AF91" s="4"/>
      <c r="AG91" s="4"/>
      <c r="AH91" s="5"/>
      <c r="AI91" s="5"/>
      <c r="AJ91" s="5"/>
      <c r="AK91" s="5"/>
      <c r="AL91" s="5"/>
    </row>
    <row r="92">
      <c r="A92" s="4" t="str">
        <f>VLOOKUP(L92,payment_ids!C:D,2,FALSE)</f>
        <v>pay_HNktUTusGwbdDd</v>
      </c>
      <c r="B92" s="4"/>
      <c r="C92" s="4" t="s">
        <v>2455</v>
      </c>
      <c r="D92" s="4">
        <v>49997.0</v>
      </c>
      <c r="E92" s="5"/>
      <c r="F92" s="4">
        <v>1.0</v>
      </c>
      <c r="G92" s="4">
        <v>99.0</v>
      </c>
      <c r="H92" s="4"/>
      <c r="I92" s="4">
        <v>99.0</v>
      </c>
      <c r="J92" s="4" t="s">
        <v>2576</v>
      </c>
      <c r="K92" s="5">
        <f>+919741718758</f>
        <v>919741718758</v>
      </c>
      <c r="L92" s="4" t="str">
        <f t="shared" si="1"/>
        <v>thilakamk18@gmail.com919741718758</v>
      </c>
      <c r="M92" s="10" t="s">
        <v>67</v>
      </c>
      <c r="N92" s="4" t="b">
        <v>0</v>
      </c>
      <c r="O92" s="4" t="str">
        <f>VLOOKUP(A92,payment_ids!D:E,2,FALSE)</f>
        <v>upi</v>
      </c>
      <c r="P92" s="4" t="s">
        <v>69</v>
      </c>
      <c r="Q92" s="4" t="s">
        <v>2577</v>
      </c>
      <c r="R92" s="4"/>
      <c r="S92" s="12" t="s">
        <v>2457</v>
      </c>
      <c r="T92" s="4" t="s">
        <v>2444</v>
      </c>
      <c r="U92" s="4"/>
      <c r="V92" s="11"/>
      <c r="W92" s="4"/>
      <c r="X92" s="11"/>
      <c r="Y92" s="4"/>
      <c r="Z92" s="4"/>
      <c r="AA92" s="4"/>
      <c r="AB92" s="4"/>
      <c r="AC92" s="4"/>
      <c r="AD92" s="4"/>
      <c r="AE92" s="4"/>
      <c r="AF92" s="4"/>
      <c r="AG92" s="4"/>
      <c r="AH92" s="5"/>
      <c r="AI92" s="5"/>
      <c r="AJ92" s="5"/>
      <c r="AK92" s="5"/>
      <c r="AL92" s="5"/>
    </row>
    <row r="93">
      <c r="A93" s="4" t="str">
        <f>VLOOKUP(L93,payment_ids!C:D,2,FALSE)</f>
        <v>pay_HNoMr0VPC2P2e5</v>
      </c>
      <c r="B93" s="4"/>
      <c r="C93" s="4" t="s">
        <v>2455</v>
      </c>
      <c r="D93" s="4">
        <v>49997.0</v>
      </c>
      <c r="E93" s="5"/>
      <c r="F93" s="4">
        <v>6.0</v>
      </c>
      <c r="G93" s="4">
        <v>349.0</v>
      </c>
      <c r="H93" s="4"/>
      <c r="I93" s="4">
        <v>349.0</v>
      </c>
      <c r="J93" s="4" t="s">
        <v>2578</v>
      </c>
      <c r="K93" s="5">
        <f>+919619204241</f>
        <v>919619204241</v>
      </c>
      <c r="L93" s="4" t="str">
        <f t="shared" si="1"/>
        <v>amitabh.madhuri94@gmail.com919619204241</v>
      </c>
      <c r="M93" s="10" t="s">
        <v>67</v>
      </c>
      <c r="N93" s="4" t="b">
        <v>0</v>
      </c>
      <c r="O93" s="4" t="str">
        <f>VLOOKUP(A93,payment_ids!D:E,2,FALSE)</f>
        <v>card</v>
      </c>
      <c r="P93" s="4" t="s">
        <v>69</v>
      </c>
      <c r="Q93" s="4" t="s">
        <v>2579</v>
      </c>
      <c r="R93" s="4"/>
      <c r="S93" s="12" t="s">
        <v>2457</v>
      </c>
      <c r="T93" s="4" t="s">
        <v>2444</v>
      </c>
      <c r="U93" s="4"/>
      <c r="V93" s="11"/>
      <c r="W93" s="4"/>
      <c r="X93" s="11"/>
      <c r="Y93" s="4"/>
      <c r="Z93" s="4"/>
      <c r="AA93" s="4"/>
      <c r="AB93" s="4"/>
      <c r="AC93" s="4"/>
      <c r="AD93" s="4"/>
      <c r="AE93" s="4"/>
      <c r="AF93" s="4"/>
      <c r="AG93" s="4"/>
      <c r="AH93" s="5"/>
      <c r="AI93" s="5"/>
      <c r="AJ93" s="5"/>
      <c r="AK93" s="5"/>
      <c r="AL93" s="5"/>
    </row>
    <row r="94">
      <c r="A94" s="4" t="str">
        <f>VLOOKUP(L94,payment_ids!C:D,2,FALSE)</f>
        <v>pay_HO0K2n5jZMkRGi</v>
      </c>
      <c r="B94" s="4"/>
      <c r="C94" s="4" t="s">
        <v>2455</v>
      </c>
      <c r="D94" s="4">
        <v>49997.0</v>
      </c>
      <c r="E94" s="5"/>
      <c r="F94" s="4">
        <v>1.0</v>
      </c>
      <c r="G94" s="4">
        <v>99.0</v>
      </c>
      <c r="H94" s="4"/>
      <c r="I94" s="4">
        <v>99.0</v>
      </c>
      <c r="J94" s="4" t="s">
        <v>2580</v>
      </c>
      <c r="K94" s="5">
        <f>+919024031982</f>
        <v>919024031982</v>
      </c>
      <c r="L94" s="4" t="str">
        <f t="shared" si="1"/>
        <v>katariamanish899@gmail.com919024031982</v>
      </c>
      <c r="M94" s="10" t="s">
        <v>67</v>
      </c>
      <c r="N94" s="4" t="b">
        <v>0</v>
      </c>
      <c r="O94" s="4" t="str">
        <f>VLOOKUP(A94,payment_ids!D:E,2,FALSE)</f>
        <v>upi</v>
      </c>
      <c r="P94" s="4" t="s">
        <v>69</v>
      </c>
      <c r="Q94" s="4" t="s">
        <v>2581</v>
      </c>
      <c r="R94" s="4"/>
      <c r="S94" s="12" t="s">
        <v>2582</v>
      </c>
      <c r="T94" s="4" t="s">
        <v>2444</v>
      </c>
      <c r="U94" s="4"/>
      <c r="V94" s="11"/>
      <c r="W94" s="4"/>
      <c r="X94" s="11"/>
      <c r="Y94" s="4"/>
      <c r="Z94" s="4"/>
      <c r="AA94" s="4"/>
      <c r="AB94" s="4"/>
      <c r="AC94" s="4"/>
      <c r="AD94" s="4"/>
      <c r="AE94" s="4"/>
      <c r="AF94" s="4"/>
      <c r="AG94" s="4"/>
      <c r="AH94" s="5"/>
      <c r="AI94" s="5"/>
      <c r="AJ94" s="5"/>
      <c r="AK94" s="5"/>
      <c r="AL94" s="5"/>
    </row>
    <row r="95">
      <c r="A95" s="4" t="str">
        <f>VLOOKUP(L95,payment_ids!C:D,2,FALSE)</f>
        <v>pay_HO58Ewgc2hAYjD</v>
      </c>
      <c r="B95" s="4"/>
      <c r="C95" s="4" t="s">
        <v>2455</v>
      </c>
      <c r="D95" s="4">
        <v>49997.0</v>
      </c>
      <c r="E95" s="5"/>
      <c r="F95" s="4">
        <v>1.0</v>
      </c>
      <c r="G95" s="4">
        <v>99.0</v>
      </c>
      <c r="H95" s="4"/>
      <c r="I95" s="4">
        <v>99.0</v>
      </c>
      <c r="J95" s="4" t="s">
        <v>2583</v>
      </c>
      <c r="K95" s="5">
        <f>+919412906471</f>
        <v>919412906471</v>
      </c>
      <c r="L95" s="4" t="str">
        <f t="shared" si="1"/>
        <v>mailme.utkarsh@gmail.com919412906471</v>
      </c>
      <c r="M95" s="10" t="s">
        <v>67</v>
      </c>
      <c r="N95" s="4" t="b">
        <v>0</v>
      </c>
      <c r="O95" s="4" t="str">
        <f>VLOOKUP(A95,payment_ids!D:E,2,FALSE)</f>
        <v>upi</v>
      </c>
      <c r="P95" s="4" t="s">
        <v>69</v>
      </c>
      <c r="Q95" s="4" t="s">
        <v>2584</v>
      </c>
      <c r="R95" s="4"/>
      <c r="S95" s="12" t="s">
        <v>2582</v>
      </c>
      <c r="T95" s="4" t="s">
        <v>2444</v>
      </c>
      <c r="U95" s="4"/>
      <c r="V95" s="11"/>
      <c r="W95" s="4"/>
      <c r="X95" s="11"/>
      <c r="Y95" s="4"/>
      <c r="Z95" s="4"/>
      <c r="AA95" s="4"/>
      <c r="AB95" s="4"/>
      <c r="AC95" s="4"/>
      <c r="AD95" s="4"/>
      <c r="AE95" s="4"/>
      <c r="AF95" s="4"/>
      <c r="AG95" s="4"/>
      <c r="AH95" s="5"/>
      <c r="AI95" s="5"/>
      <c r="AJ95" s="5"/>
      <c r="AK95" s="5"/>
      <c r="AL95" s="5"/>
    </row>
    <row r="96">
      <c r="A96" s="4" t="str">
        <f>VLOOKUP(L96,payment_ids!C:D,2,FALSE)</f>
        <v>pay_HO67CL8PTuU49D</v>
      </c>
      <c r="B96" s="4"/>
      <c r="C96" s="4" t="s">
        <v>2455</v>
      </c>
      <c r="D96" s="4">
        <v>49997.0</v>
      </c>
      <c r="E96" s="5"/>
      <c r="F96" s="4">
        <v>1.0</v>
      </c>
      <c r="G96" s="4">
        <v>99.0</v>
      </c>
      <c r="H96" s="4"/>
      <c r="I96" s="4">
        <v>99.0</v>
      </c>
      <c r="J96" s="4" t="s">
        <v>2585</v>
      </c>
      <c r="K96" s="5">
        <f>+919451358094</f>
        <v>919451358094</v>
      </c>
      <c r="L96" s="4" t="str">
        <f t="shared" si="1"/>
        <v>swati.pushkar11@gmail.com919451358094</v>
      </c>
      <c r="M96" s="10" t="s">
        <v>67</v>
      </c>
      <c r="N96" s="4" t="b">
        <v>0</v>
      </c>
      <c r="O96" s="4" t="str">
        <f>VLOOKUP(A96,payment_ids!D:E,2,FALSE)</f>
        <v>upi</v>
      </c>
      <c r="P96" s="4" t="s">
        <v>69</v>
      </c>
      <c r="Q96" s="4" t="s">
        <v>2586</v>
      </c>
      <c r="R96" s="4"/>
      <c r="S96" s="12" t="s">
        <v>2457</v>
      </c>
      <c r="T96" s="4" t="s">
        <v>2444</v>
      </c>
      <c r="U96" s="4"/>
      <c r="V96" s="11"/>
      <c r="W96" s="4"/>
      <c r="X96" s="11"/>
      <c r="Y96" s="4"/>
      <c r="Z96" s="4"/>
      <c r="AA96" s="4"/>
      <c r="AB96" s="4"/>
      <c r="AC96" s="4"/>
      <c r="AD96" s="4"/>
      <c r="AE96" s="4"/>
      <c r="AF96" s="4"/>
      <c r="AG96" s="4"/>
      <c r="AH96" s="5"/>
      <c r="AI96" s="5"/>
      <c r="AJ96" s="5"/>
      <c r="AK96" s="5"/>
      <c r="AL96" s="5"/>
    </row>
    <row r="97">
      <c r="A97" s="4" t="str">
        <f>VLOOKUP(L97,payment_ids!C:D,2,FALSE)</f>
        <v>pay_HOD7rtEo3akVU7</v>
      </c>
      <c r="B97" s="4"/>
      <c r="C97" s="4" t="s">
        <v>2455</v>
      </c>
      <c r="D97" s="4">
        <v>49997.0</v>
      </c>
      <c r="E97" s="5"/>
      <c r="F97" s="4">
        <v>1.0</v>
      </c>
      <c r="G97" s="4">
        <v>99.0</v>
      </c>
      <c r="H97" s="4"/>
      <c r="I97" s="4">
        <v>99.0</v>
      </c>
      <c r="J97" s="4" t="s">
        <v>2587</v>
      </c>
      <c r="K97" s="5">
        <f>+917075075300</f>
        <v>917075075300</v>
      </c>
      <c r="L97" s="4" t="str">
        <f t="shared" si="1"/>
        <v>kirti23kalonia@gmail.com917075075300</v>
      </c>
      <c r="M97" s="10" t="s">
        <v>67</v>
      </c>
      <c r="N97" s="4" t="b">
        <v>0</v>
      </c>
      <c r="O97" s="4" t="str">
        <f>VLOOKUP(A97,payment_ids!D:E,2,FALSE)</f>
        <v>upi</v>
      </c>
      <c r="P97" s="4" t="s">
        <v>69</v>
      </c>
      <c r="Q97" s="4" t="s">
        <v>2588</v>
      </c>
      <c r="R97" s="4"/>
      <c r="S97" s="12" t="s">
        <v>2457</v>
      </c>
      <c r="T97" s="4" t="s">
        <v>2444</v>
      </c>
      <c r="U97" s="4"/>
      <c r="V97" s="11"/>
      <c r="W97" s="4"/>
      <c r="X97" s="11"/>
      <c r="Y97" s="4"/>
      <c r="Z97" s="4"/>
      <c r="AA97" s="4"/>
      <c r="AB97" s="4"/>
      <c r="AC97" s="4"/>
      <c r="AD97" s="4"/>
      <c r="AE97" s="4"/>
      <c r="AF97" s="4"/>
      <c r="AG97" s="4"/>
      <c r="AH97" s="5"/>
      <c r="AI97" s="5"/>
      <c r="AJ97" s="5"/>
      <c r="AK97" s="5"/>
      <c r="AL97" s="5"/>
    </row>
    <row r="98">
      <c r="A98" s="4" t="str">
        <f>VLOOKUP(L98,payment_ids!C:D,2,FALSE)</f>
        <v>pay_HONRd1pQhUm7jO</v>
      </c>
      <c r="B98" s="4"/>
      <c r="C98" s="4" t="s">
        <v>2455</v>
      </c>
      <c r="D98" s="4">
        <v>49997.0</v>
      </c>
      <c r="E98" s="5"/>
      <c r="F98" s="4">
        <v>1.0</v>
      </c>
      <c r="G98" s="4">
        <v>99.0</v>
      </c>
      <c r="H98" s="4"/>
      <c r="I98" s="4">
        <v>99.0</v>
      </c>
      <c r="J98" s="4" t="s">
        <v>2589</v>
      </c>
      <c r="K98" s="5">
        <f>+919565090119</f>
        <v>919565090119</v>
      </c>
      <c r="L98" s="4" t="str">
        <f t="shared" si="1"/>
        <v>vyaspratibha7@gmail.com919565090119</v>
      </c>
      <c r="M98" s="10" t="s">
        <v>67</v>
      </c>
      <c r="N98" s="4" t="b">
        <v>0</v>
      </c>
      <c r="O98" s="4" t="str">
        <f>VLOOKUP(A98,payment_ids!D:E,2,FALSE)</f>
        <v>upi</v>
      </c>
      <c r="P98" s="4" t="s">
        <v>69</v>
      </c>
      <c r="Q98" s="4" t="s">
        <v>2590</v>
      </c>
      <c r="R98" s="4"/>
      <c r="S98" s="12" t="s">
        <v>2457</v>
      </c>
      <c r="T98" s="4" t="s">
        <v>2444</v>
      </c>
      <c r="U98" s="4"/>
      <c r="V98" s="11"/>
      <c r="W98" s="4"/>
      <c r="X98" s="11"/>
      <c r="Y98" s="4"/>
      <c r="Z98" s="4"/>
      <c r="AA98" s="4"/>
      <c r="AB98" s="4"/>
      <c r="AC98" s="7"/>
      <c r="AD98" s="4"/>
      <c r="AE98" s="4"/>
      <c r="AF98" s="4"/>
      <c r="AG98" s="4"/>
      <c r="AH98" s="5"/>
      <c r="AI98" s="5"/>
      <c r="AJ98" s="5"/>
      <c r="AK98" s="5"/>
      <c r="AL98" s="5"/>
    </row>
    <row r="99">
      <c r="A99" s="4" t="str">
        <f>VLOOKUP(L99,payment_ids!C:D,2,FALSE)</f>
        <v>pay_HOVKkdWtxlbuho</v>
      </c>
      <c r="B99" s="4"/>
      <c r="C99" s="4" t="s">
        <v>2455</v>
      </c>
      <c r="D99" s="4">
        <v>49997.0</v>
      </c>
      <c r="E99" s="5"/>
      <c r="F99" s="4">
        <v>1.0</v>
      </c>
      <c r="G99" s="4">
        <v>99.0</v>
      </c>
      <c r="H99" s="4"/>
      <c r="I99" s="4">
        <v>99.0</v>
      </c>
      <c r="J99" s="4" t="s">
        <v>2591</v>
      </c>
      <c r="K99" s="5">
        <f>+919820917454</f>
        <v>919820917454</v>
      </c>
      <c r="L99" s="4" t="str">
        <f t="shared" si="1"/>
        <v>manavjhaveri2000@gmail.com919820917454</v>
      </c>
      <c r="M99" s="10" t="s">
        <v>67</v>
      </c>
      <c r="N99" s="4" t="b">
        <v>0</v>
      </c>
      <c r="O99" s="4" t="str">
        <f>VLOOKUP(A99,payment_ids!D:E,2,FALSE)</f>
        <v>wallet</v>
      </c>
      <c r="P99" s="4" t="s">
        <v>69</v>
      </c>
      <c r="Q99" s="4" t="s">
        <v>2592</v>
      </c>
      <c r="R99" s="4"/>
      <c r="S99" s="12" t="s">
        <v>2457</v>
      </c>
      <c r="T99" s="4" t="s">
        <v>2444</v>
      </c>
      <c r="U99" s="4"/>
      <c r="V99" s="11"/>
      <c r="W99" s="4"/>
      <c r="X99" s="11"/>
      <c r="Y99" s="4"/>
      <c r="Z99" s="4"/>
      <c r="AA99" s="4"/>
      <c r="AB99" s="4"/>
      <c r="AC99" s="4"/>
      <c r="AD99" s="4"/>
      <c r="AE99" s="4"/>
      <c r="AF99" s="4"/>
      <c r="AG99" s="4"/>
      <c r="AH99" s="5"/>
      <c r="AI99" s="5"/>
      <c r="AJ99" s="5"/>
      <c r="AK99" s="5"/>
      <c r="AL99" s="5"/>
    </row>
    <row r="100">
      <c r="A100" s="4" t="str">
        <f>VLOOKUP(L100,payment_ids!C:D,2,FALSE)</f>
        <v>pay_HM9APFIoVuypDz</v>
      </c>
      <c r="B100" s="4"/>
      <c r="C100" s="4" t="s">
        <v>2455</v>
      </c>
      <c r="D100" s="4">
        <v>49997.0</v>
      </c>
      <c r="E100" s="5"/>
      <c r="F100" s="4">
        <v>1.0</v>
      </c>
      <c r="G100" s="4">
        <v>99.0</v>
      </c>
      <c r="H100" s="4"/>
      <c r="I100" s="4">
        <v>99.0</v>
      </c>
      <c r="J100" s="4" t="s">
        <v>2593</v>
      </c>
      <c r="K100" s="5">
        <f>+919582646447</f>
        <v>919582646447</v>
      </c>
      <c r="L100" s="4" t="str">
        <f t="shared" si="1"/>
        <v>praroop.trivedi149@gmail.com919582646447</v>
      </c>
      <c r="M100" s="10" t="s">
        <v>67</v>
      </c>
      <c r="N100" s="4" t="b">
        <v>0</v>
      </c>
      <c r="O100" s="4" t="str">
        <f>VLOOKUP(A100,payment_ids!D:E,2,FALSE)</f>
        <v>upi</v>
      </c>
      <c r="P100" s="4" t="s">
        <v>69</v>
      </c>
      <c r="Q100" s="4" t="s">
        <v>2594</v>
      </c>
      <c r="R100" s="4"/>
      <c r="S100" s="12" t="s">
        <v>2457</v>
      </c>
      <c r="T100" s="4" t="s">
        <v>2444</v>
      </c>
      <c r="U100" s="4"/>
      <c r="V100" s="11"/>
      <c r="W100" s="4"/>
      <c r="X100" s="11"/>
      <c r="Y100" s="4"/>
      <c r="Z100" s="4"/>
      <c r="AA100" s="4"/>
      <c r="AB100" s="4"/>
      <c r="AC100" s="4"/>
      <c r="AD100" s="4"/>
      <c r="AE100" s="4"/>
      <c r="AF100" s="4"/>
      <c r="AG100" s="4"/>
      <c r="AH100" s="5"/>
      <c r="AI100" s="5"/>
      <c r="AJ100" s="5"/>
      <c r="AK100" s="5"/>
      <c r="AL100" s="5"/>
    </row>
    <row r="101">
      <c r="A101" s="4" t="str">
        <f>VLOOKUP(L101,payment_ids!C:D,2,FALSE)</f>
        <v>pay_HOqFhZTatjAoiH</v>
      </c>
      <c r="B101" s="4"/>
      <c r="C101" s="4" t="s">
        <v>2455</v>
      </c>
      <c r="D101" s="4">
        <v>49997.0</v>
      </c>
      <c r="E101" s="5"/>
      <c r="F101" s="4">
        <v>1.0</v>
      </c>
      <c r="G101" s="4">
        <v>99.0</v>
      </c>
      <c r="H101" s="4"/>
      <c r="I101" s="4">
        <v>99.0</v>
      </c>
      <c r="J101" s="4" t="s">
        <v>2595</v>
      </c>
      <c r="K101" s="5">
        <f>+919096293778</f>
        <v>919096293778</v>
      </c>
      <c r="L101" s="4" t="str">
        <f t="shared" si="1"/>
        <v>faizanpashu@gmail.com919096293778</v>
      </c>
      <c r="M101" s="10" t="s">
        <v>67</v>
      </c>
      <c r="N101" s="4" t="b">
        <v>0</v>
      </c>
      <c r="O101" s="4" t="str">
        <f>VLOOKUP(A101,payment_ids!D:E,2,FALSE)</f>
        <v>upi</v>
      </c>
      <c r="P101" s="4" t="s">
        <v>69</v>
      </c>
      <c r="Q101" s="4" t="s">
        <v>2596</v>
      </c>
      <c r="R101" s="4"/>
      <c r="S101" s="12" t="s">
        <v>2457</v>
      </c>
      <c r="T101" s="4" t="s">
        <v>2444</v>
      </c>
      <c r="U101" s="4"/>
      <c r="V101" s="11"/>
      <c r="W101" s="4"/>
      <c r="X101" s="11"/>
      <c r="Y101" s="4"/>
      <c r="Z101" s="4"/>
      <c r="AA101" s="4"/>
      <c r="AB101" s="4"/>
      <c r="AC101" s="4"/>
      <c r="AD101" s="4"/>
      <c r="AE101" s="4"/>
      <c r="AF101" s="4"/>
      <c r="AG101" s="4"/>
      <c r="AH101" s="5"/>
      <c r="AI101" s="5"/>
      <c r="AJ101" s="5"/>
      <c r="AK101" s="5"/>
      <c r="AL101" s="5"/>
    </row>
    <row r="102">
      <c r="A102" s="4" t="str">
        <f>VLOOKUP(L102,payment_ids!C:D,2,FALSE)</f>
        <v>pay_HPALZtl41tVp0m</v>
      </c>
      <c r="B102" s="4"/>
      <c r="C102" s="4" t="s">
        <v>2455</v>
      </c>
      <c r="D102" s="4">
        <v>49997.0</v>
      </c>
      <c r="E102" s="5"/>
      <c r="F102" s="4">
        <v>1.0</v>
      </c>
      <c r="G102" s="4">
        <v>99.0</v>
      </c>
      <c r="H102" s="4"/>
      <c r="I102" s="4">
        <v>99.0</v>
      </c>
      <c r="J102" s="4" t="s">
        <v>2597</v>
      </c>
      <c r="K102" s="5">
        <f>+917661053799</f>
        <v>917661053799</v>
      </c>
      <c r="L102" s="4" t="str">
        <f t="shared" si="1"/>
        <v>premkumarvalapala@gmail.com917661053799</v>
      </c>
      <c r="M102" s="10" t="s">
        <v>67</v>
      </c>
      <c r="N102" s="4" t="b">
        <v>0</v>
      </c>
      <c r="O102" s="4" t="str">
        <f>VLOOKUP(A102,payment_ids!D:E,2,FALSE)</f>
        <v>upi</v>
      </c>
      <c r="P102" s="4" t="s">
        <v>69</v>
      </c>
      <c r="Q102" s="4" t="s">
        <v>2598</v>
      </c>
      <c r="R102" s="4"/>
      <c r="S102" s="12" t="s">
        <v>2457</v>
      </c>
      <c r="T102" s="4" t="s">
        <v>2444</v>
      </c>
      <c r="U102" s="4"/>
      <c r="V102" s="11"/>
      <c r="W102" s="4"/>
      <c r="X102" s="11"/>
      <c r="Y102" s="4"/>
      <c r="Z102" s="4"/>
      <c r="AA102" s="4"/>
      <c r="AB102" s="4"/>
      <c r="AC102" s="4"/>
      <c r="AD102" s="4"/>
      <c r="AE102" s="4"/>
      <c r="AF102" s="4"/>
      <c r="AG102" s="4"/>
      <c r="AH102" s="5"/>
      <c r="AI102" s="5"/>
      <c r="AJ102" s="5"/>
      <c r="AK102" s="5"/>
      <c r="AL102" s="5"/>
    </row>
    <row r="103">
      <c r="A103" s="4" t="str">
        <f>VLOOKUP(L103,payment_ids!C:D,2,FALSE)</f>
        <v>pay_HPpQ9gyzuUmSuW</v>
      </c>
      <c r="B103" s="4"/>
      <c r="C103" s="4" t="s">
        <v>2455</v>
      </c>
      <c r="D103" s="4">
        <v>49997.0</v>
      </c>
      <c r="E103" s="5"/>
      <c r="F103" s="4">
        <v>3.0</v>
      </c>
      <c r="G103" s="4">
        <v>199.0</v>
      </c>
      <c r="H103" s="4"/>
      <c r="I103" s="4">
        <v>199.0</v>
      </c>
      <c r="J103" s="4" t="s">
        <v>2599</v>
      </c>
      <c r="K103" s="5">
        <f>+918805190315</f>
        <v>918805190315</v>
      </c>
      <c r="L103" s="4" t="str">
        <f t="shared" si="1"/>
        <v>mona.mukherjee89@gmail.com918805190315</v>
      </c>
      <c r="M103" s="10" t="s">
        <v>67</v>
      </c>
      <c r="N103" s="4" t="b">
        <v>0</v>
      </c>
      <c r="O103" s="4" t="str">
        <f>VLOOKUP(A103,payment_ids!D:E,2,FALSE)</f>
        <v>upi</v>
      </c>
      <c r="P103" s="4" t="s">
        <v>69</v>
      </c>
      <c r="Q103" s="4" t="s">
        <v>2600</v>
      </c>
      <c r="R103" s="4"/>
      <c r="S103" s="12" t="s">
        <v>2457</v>
      </c>
      <c r="T103" s="4" t="s">
        <v>2444</v>
      </c>
      <c r="U103" s="4"/>
      <c r="V103" s="11"/>
      <c r="W103" s="4"/>
      <c r="X103" s="11"/>
      <c r="Y103" s="4"/>
      <c r="Z103" s="4"/>
      <c r="AA103" s="4"/>
      <c r="AB103" s="4"/>
      <c r="AC103" s="4"/>
      <c r="AD103" s="4"/>
      <c r="AE103" s="4"/>
      <c r="AF103" s="4"/>
      <c r="AG103" s="4"/>
      <c r="AH103" s="5"/>
      <c r="AI103" s="5"/>
      <c r="AJ103" s="5"/>
      <c r="AK103" s="5"/>
      <c r="AL103" s="5"/>
    </row>
    <row r="104">
      <c r="A104" s="4" t="str">
        <f>VLOOKUP(L104,payment_ids!C:D,2,FALSE)</f>
        <v>pay_HB9NOMqpv6UY4w</v>
      </c>
      <c r="B104" s="4"/>
      <c r="C104" s="4" t="s">
        <v>2601</v>
      </c>
      <c r="D104" s="4">
        <v>50065.0</v>
      </c>
      <c r="E104" s="4"/>
      <c r="F104" s="4">
        <v>1.0</v>
      </c>
      <c r="G104" s="4">
        <v>99.0</v>
      </c>
      <c r="H104" s="4"/>
      <c r="I104" s="4">
        <v>99.0</v>
      </c>
      <c r="J104" s="4" t="s">
        <v>2602</v>
      </c>
      <c r="K104" s="6">
        <f>+918975595892</f>
        <v>918975595892</v>
      </c>
      <c r="L104" s="4" t="str">
        <f t="shared" si="1"/>
        <v>prajaktathakre8@gmail.com918975595892</v>
      </c>
      <c r="M104" s="10" t="s">
        <v>67</v>
      </c>
      <c r="N104" s="4" t="b">
        <v>0</v>
      </c>
      <c r="O104" s="4" t="str">
        <f>VLOOKUP(A104,payment_ids!D:E,2,FALSE)</f>
        <v>card</v>
      </c>
      <c r="P104" s="4" t="s">
        <v>69</v>
      </c>
      <c r="Q104" s="4" t="s">
        <v>2603</v>
      </c>
      <c r="R104" s="4"/>
      <c r="S104" s="12" t="s">
        <v>2604</v>
      </c>
      <c r="T104" s="4"/>
      <c r="U104" s="4"/>
      <c r="V104" s="11"/>
      <c r="W104" s="4"/>
      <c r="X104" s="11"/>
      <c r="Y104" s="4"/>
      <c r="Z104" s="4"/>
      <c r="AA104" s="4"/>
      <c r="AB104" s="4"/>
      <c r="AC104" s="4"/>
      <c r="AD104" s="4"/>
      <c r="AE104" s="4"/>
      <c r="AF104" s="4"/>
      <c r="AG104" s="4"/>
      <c r="AH104" s="5"/>
      <c r="AI104" s="5"/>
      <c r="AJ104" s="5"/>
      <c r="AK104" s="5"/>
      <c r="AL104" s="5"/>
    </row>
    <row r="105">
      <c r="A105" s="4" t="str">
        <f>VLOOKUP(L105,payment_ids!C:D,2,FALSE)</f>
        <v>pay_HBPHOnWnRrgSKo</v>
      </c>
      <c r="B105" s="4"/>
      <c r="C105" s="4" t="s">
        <v>2601</v>
      </c>
      <c r="D105" s="4">
        <v>50065.0</v>
      </c>
      <c r="E105" s="4"/>
      <c r="F105" s="4">
        <v>1.0</v>
      </c>
      <c r="G105" s="4">
        <v>99.0</v>
      </c>
      <c r="H105" s="4"/>
      <c r="I105" s="4">
        <v>99.0</v>
      </c>
      <c r="J105" s="4" t="s">
        <v>2605</v>
      </c>
      <c r="K105" s="6">
        <f>+919873232570</f>
        <v>919873232570</v>
      </c>
      <c r="L105" s="4" t="str">
        <f t="shared" si="1"/>
        <v>vickysharma3@gmail.com919873232570</v>
      </c>
      <c r="M105" s="10" t="s">
        <v>67</v>
      </c>
      <c r="N105" s="4" t="b">
        <v>0</v>
      </c>
      <c r="O105" s="4" t="str">
        <f>VLOOKUP(A105,payment_ids!D:E,2,FALSE)</f>
        <v>upi</v>
      </c>
      <c r="P105" s="4" t="s">
        <v>69</v>
      </c>
      <c r="Q105" s="4" t="s">
        <v>2606</v>
      </c>
      <c r="R105" s="4"/>
      <c r="S105" s="12" t="s">
        <v>2604</v>
      </c>
      <c r="T105" s="4"/>
      <c r="U105" s="4"/>
      <c r="V105" s="11"/>
      <c r="W105" s="4"/>
      <c r="X105" s="11"/>
      <c r="Y105" s="4"/>
      <c r="Z105" s="4"/>
      <c r="AA105" s="4"/>
      <c r="AB105" s="4"/>
      <c r="AC105" s="4"/>
      <c r="AD105" s="4"/>
      <c r="AE105" s="4"/>
      <c r="AF105" s="4"/>
      <c r="AG105" s="4"/>
      <c r="AH105" s="5"/>
      <c r="AI105" s="5"/>
      <c r="AJ105" s="5"/>
      <c r="AK105" s="5"/>
      <c r="AL105" s="5"/>
    </row>
    <row r="106">
      <c r="A106" s="4" t="str">
        <f>VLOOKUP(L106,payment_ids!C:D,2,FALSE)</f>
        <v>pay_HBKQce9IjBquNb</v>
      </c>
      <c r="B106" s="4"/>
      <c r="C106" s="4" t="s">
        <v>2601</v>
      </c>
      <c r="D106" s="4">
        <v>50065.0</v>
      </c>
      <c r="E106" s="4"/>
      <c r="F106" s="4">
        <v>6.0</v>
      </c>
      <c r="G106" s="4">
        <v>349.0</v>
      </c>
      <c r="H106" s="4"/>
      <c r="I106" s="4">
        <v>349.0</v>
      </c>
      <c r="J106" s="4" t="s">
        <v>2607</v>
      </c>
      <c r="K106" s="6">
        <f>+918130499381</f>
        <v>918130499381</v>
      </c>
      <c r="L106" s="4" t="str">
        <f t="shared" si="1"/>
        <v>akshitas1706@gmail.com918130499381</v>
      </c>
      <c r="M106" s="10" t="s">
        <v>67</v>
      </c>
      <c r="N106" s="4" t="b">
        <v>0</v>
      </c>
      <c r="O106" s="4" t="str">
        <f>VLOOKUP(A106,payment_ids!D:E,2,FALSE)</f>
        <v>upi</v>
      </c>
      <c r="P106" s="4" t="s">
        <v>69</v>
      </c>
      <c r="Q106" s="4" t="s">
        <v>2608</v>
      </c>
      <c r="R106" s="4"/>
      <c r="S106" s="12" t="s">
        <v>2604</v>
      </c>
      <c r="T106" s="4"/>
      <c r="U106" s="4"/>
      <c r="V106" s="11"/>
      <c r="W106" s="4"/>
      <c r="X106" s="11"/>
      <c r="Y106" s="4"/>
      <c r="Z106" s="4"/>
      <c r="AA106" s="4"/>
      <c r="AB106" s="4"/>
      <c r="AC106" s="7"/>
      <c r="AD106" s="4"/>
      <c r="AE106" s="4"/>
      <c r="AF106" s="4"/>
      <c r="AG106" s="4"/>
      <c r="AH106" s="5"/>
      <c r="AI106" s="5"/>
      <c r="AJ106" s="5"/>
      <c r="AK106" s="5"/>
      <c r="AL106" s="5"/>
    </row>
    <row r="107">
      <c r="A107" s="4" t="str">
        <f>VLOOKUP(L107,payment_ids!C:D,2,FALSE)</f>
        <v>pay_HBXh649U4JLKey</v>
      </c>
      <c r="B107" s="4"/>
      <c r="C107" s="4" t="s">
        <v>2601</v>
      </c>
      <c r="D107" s="4">
        <v>50065.0</v>
      </c>
      <c r="E107" s="4"/>
      <c r="F107" s="4">
        <v>6.0</v>
      </c>
      <c r="G107" s="4">
        <v>349.0</v>
      </c>
      <c r="H107" s="4"/>
      <c r="I107" s="4">
        <v>349.0</v>
      </c>
      <c r="J107" s="4" t="s">
        <v>2609</v>
      </c>
      <c r="K107" s="6">
        <f>+919029034977</f>
        <v>919029034977</v>
      </c>
      <c r="L107" s="4" t="str">
        <f t="shared" si="1"/>
        <v>guptasaksham.87@gmail.com919029034977</v>
      </c>
      <c r="M107" s="10" t="s">
        <v>67</v>
      </c>
      <c r="N107" s="4" t="b">
        <v>0</v>
      </c>
      <c r="O107" s="4" t="str">
        <f>VLOOKUP(A107,payment_ids!D:E,2,FALSE)</f>
        <v>upi</v>
      </c>
      <c r="P107" s="4" t="s">
        <v>69</v>
      </c>
      <c r="Q107" s="4" t="s">
        <v>2610</v>
      </c>
      <c r="R107" s="4"/>
      <c r="S107" s="12" t="s">
        <v>2604</v>
      </c>
      <c r="T107" s="4"/>
      <c r="U107" s="4"/>
      <c r="V107" s="11"/>
      <c r="W107" s="4"/>
      <c r="X107" s="11"/>
      <c r="Y107" s="4"/>
      <c r="Z107" s="4"/>
      <c r="AA107" s="4"/>
      <c r="AB107" s="4"/>
      <c r="AC107" s="4"/>
      <c r="AD107" s="4"/>
      <c r="AE107" s="4"/>
      <c r="AF107" s="4"/>
      <c r="AG107" s="4"/>
      <c r="AH107" s="5"/>
      <c r="AI107" s="5"/>
      <c r="AJ107" s="5"/>
      <c r="AK107" s="5"/>
      <c r="AL107" s="5"/>
    </row>
    <row r="108">
      <c r="A108" s="4" t="str">
        <f>VLOOKUP(L108,payment_ids!C:D,2,FALSE)</f>
        <v>pay_HBmON8z4WoMapL</v>
      </c>
      <c r="B108" s="4"/>
      <c r="C108" s="4" t="s">
        <v>2601</v>
      </c>
      <c r="D108" s="4">
        <v>50065.0</v>
      </c>
      <c r="E108" s="4"/>
      <c r="F108" s="4">
        <v>3.0</v>
      </c>
      <c r="G108" s="4">
        <v>199.0</v>
      </c>
      <c r="H108" s="4"/>
      <c r="I108" s="4">
        <v>199.0</v>
      </c>
      <c r="J108" s="4" t="s">
        <v>2611</v>
      </c>
      <c r="K108" s="6">
        <f>+918101831766</f>
        <v>918101831766</v>
      </c>
      <c r="L108" s="4" t="str">
        <f t="shared" si="1"/>
        <v>ektathirani07@gmail.com918101831766</v>
      </c>
      <c r="M108" s="10" t="s">
        <v>67</v>
      </c>
      <c r="N108" s="4" t="b">
        <v>0</v>
      </c>
      <c r="O108" s="4" t="str">
        <f>VLOOKUP(A108,payment_ids!D:E,2,FALSE)</f>
        <v>upi</v>
      </c>
      <c r="P108" s="4" t="s">
        <v>69</v>
      </c>
      <c r="Q108" s="4" t="s">
        <v>2612</v>
      </c>
      <c r="R108" s="4"/>
      <c r="S108" s="12" t="s">
        <v>2604</v>
      </c>
      <c r="T108" s="4"/>
      <c r="U108" s="4"/>
      <c r="V108" s="11"/>
      <c r="W108" s="4"/>
      <c r="X108" s="11"/>
      <c r="Y108" s="4"/>
      <c r="Z108" s="4"/>
      <c r="AA108" s="4"/>
      <c r="AB108" s="4"/>
      <c r="AC108" s="4"/>
      <c r="AD108" s="4"/>
      <c r="AE108" s="4"/>
      <c r="AF108" s="4"/>
      <c r="AG108" s="4"/>
      <c r="AH108" s="5"/>
      <c r="AI108" s="5"/>
      <c r="AJ108" s="5"/>
      <c r="AK108" s="5"/>
      <c r="AL108" s="5"/>
    </row>
    <row r="109">
      <c r="A109" s="4" t="str">
        <f>VLOOKUP(L109,payment_ids!C:D,2,FALSE)</f>
        <v>pay_HBmv9M8fJekGxQ</v>
      </c>
      <c r="B109" s="4"/>
      <c r="C109" s="4" t="s">
        <v>2601</v>
      </c>
      <c r="D109" s="4">
        <v>50065.0</v>
      </c>
      <c r="E109" s="4"/>
      <c r="F109" s="4">
        <v>6.0</v>
      </c>
      <c r="G109" s="4">
        <v>349.0</v>
      </c>
      <c r="H109" s="4"/>
      <c r="I109" s="4">
        <v>349.0</v>
      </c>
      <c r="J109" s="4" t="s">
        <v>2613</v>
      </c>
      <c r="K109" s="6">
        <f>+918055101999</f>
        <v>918055101999</v>
      </c>
      <c r="L109" s="4" t="str">
        <f t="shared" si="1"/>
        <v>sanatkothari1999@gmail.com918055101999</v>
      </c>
      <c r="M109" s="10" t="s">
        <v>67</v>
      </c>
      <c r="N109" s="4" t="b">
        <v>0</v>
      </c>
      <c r="O109" s="4" t="str">
        <f>VLOOKUP(A109,payment_ids!D:E,2,FALSE)</f>
        <v>upi</v>
      </c>
      <c r="P109" s="4" t="s">
        <v>69</v>
      </c>
      <c r="Q109" s="4" t="s">
        <v>2614</v>
      </c>
      <c r="R109" s="4"/>
      <c r="S109" s="12" t="s">
        <v>2604</v>
      </c>
      <c r="T109" s="4"/>
      <c r="U109" s="4"/>
      <c r="V109" s="11"/>
      <c r="W109" s="4"/>
      <c r="X109" s="11"/>
      <c r="Y109" s="4"/>
      <c r="Z109" s="4"/>
      <c r="AA109" s="4"/>
      <c r="AB109" s="4"/>
      <c r="AC109" s="8"/>
      <c r="AD109" s="4"/>
      <c r="AE109" s="4"/>
      <c r="AF109" s="4"/>
      <c r="AG109" s="4"/>
      <c r="AH109" s="5"/>
      <c r="AI109" s="5"/>
      <c r="AJ109" s="5"/>
      <c r="AK109" s="5"/>
      <c r="AL109" s="5"/>
    </row>
    <row r="110">
      <c r="A110" s="4" t="str">
        <f>VLOOKUP(L110,payment_ids!C:D,2,FALSE)</f>
        <v>pay_HByJyIL48YRTpl</v>
      </c>
      <c r="B110" s="4"/>
      <c r="C110" s="4" t="s">
        <v>2601</v>
      </c>
      <c r="D110" s="4">
        <v>50065.0</v>
      </c>
      <c r="E110" s="4"/>
      <c r="F110" s="4">
        <v>1.0</v>
      </c>
      <c r="G110" s="4">
        <v>99.0</v>
      </c>
      <c r="H110" s="4"/>
      <c r="I110" s="4">
        <v>99.0</v>
      </c>
      <c r="J110" s="4" t="s">
        <v>2615</v>
      </c>
      <c r="K110" s="6">
        <f>+919444345450</f>
        <v>919444345450</v>
      </c>
      <c r="L110" s="4" t="str">
        <f t="shared" si="1"/>
        <v>aksh.andavar@gmail.com919444345450</v>
      </c>
      <c r="M110" s="10" t="s">
        <v>67</v>
      </c>
      <c r="N110" s="4" t="b">
        <v>0</v>
      </c>
      <c r="O110" s="4" t="str">
        <f>VLOOKUP(A110,payment_ids!D:E,2,FALSE)</f>
        <v>upi</v>
      </c>
      <c r="P110" s="4" t="s">
        <v>69</v>
      </c>
      <c r="Q110" s="4" t="s">
        <v>2616</v>
      </c>
      <c r="R110" s="4"/>
      <c r="S110" s="12" t="s">
        <v>2604</v>
      </c>
      <c r="T110" s="4"/>
      <c r="U110" s="4"/>
      <c r="V110" s="11"/>
      <c r="W110" s="4"/>
      <c r="X110" s="11"/>
      <c r="Y110" s="4"/>
      <c r="Z110" s="4"/>
      <c r="AA110" s="4"/>
      <c r="AB110" s="4"/>
      <c r="AC110" s="7"/>
      <c r="AD110" s="4"/>
      <c r="AE110" s="4"/>
      <c r="AF110" s="4"/>
      <c r="AG110" s="4"/>
      <c r="AH110" s="5"/>
      <c r="AI110" s="5"/>
      <c r="AJ110" s="5"/>
      <c r="AK110" s="5"/>
      <c r="AL110" s="5"/>
    </row>
    <row r="111">
      <c r="A111" s="4" t="str">
        <f>VLOOKUP(L111,payment_ids!C:D,2,FALSE)</f>
        <v>pay_HBz8xMUJZuv1RE</v>
      </c>
      <c r="B111" s="4"/>
      <c r="C111" s="4" t="s">
        <v>2601</v>
      </c>
      <c r="D111" s="4">
        <v>50065.0</v>
      </c>
      <c r="E111" s="4"/>
      <c r="F111" s="4">
        <v>6.0</v>
      </c>
      <c r="G111" s="4">
        <v>349.0</v>
      </c>
      <c r="H111" s="4"/>
      <c r="I111" s="4">
        <v>349.0</v>
      </c>
      <c r="J111" s="4" t="s">
        <v>2617</v>
      </c>
      <c r="K111" s="6">
        <f>+919825043461</f>
        <v>919825043461</v>
      </c>
      <c r="L111" s="4" t="str">
        <f t="shared" si="1"/>
        <v>itsminx@gmail.com919825043461</v>
      </c>
      <c r="M111" s="10" t="s">
        <v>67</v>
      </c>
      <c r="N111" s="4" t="b">
        <v>0</v>
      </c>
      <c r="O111" s="4" t="str">
        <f>VLOOKUP(A111,payment_ids!D:E,2,FALSE)</f>
        <v>card</v>
      </c>
      <c r="P111" s="4" t="s">
        <v>69</v>
      </c>
      <c r="Q111" s="4" t="s">
        <v>2618</v>
      </c>
      <c r="R111" s="4"/>
      <c r="S111" s="12" t="s">
        <v>2604</v>
      </c>
      <c r="T111" s="4"/>
      <c r="U111" s="4"/>
      <c r="V111" s="11"/>
      <c r="W111" s="4"/>
      <c r="X111" s="11"/>
      <c r="Y111" s="4"/>
      <c r="Z111" s="4"/>
      <c r="AA111" s="4"/>
      <c r="AB111" s="4"/>
      <c r="AC111" s="7"/>
      <c r="AD111" s="4"/>
      <c r="AE111" s="4"/>
      <c r="AF111" s="4"/>
      <c r="AG111" s="4"/>
      <c r="AH111" s="5"/>
      <c r="AI111" s="5"/>
      <c r="AJ111" s="5"/>
      <c r="AK111" s="5"/>
      <c r="AL111" s="5"/>
    </row>
    <row r="112">
      <c r="A112" s="4" t="str">
        <f>VLOOKUP(L112,payment_ids!C:D,2,FALSE)</f>
        <v>pay_HCHcDrvsyGO3ZT</v>
      </c>
      <c r="B112" s="4"/>
      <c r="C112" s="4" t="s">
        <v>2601</v>
      </c>
      <c r="D112" s="4">
        <v>50065.0</v>
      </c>
      <c r="E112" s="4"/>
      <c r="F112" s="4">
        <v>3.0</v>
      </c>
      <c r="G112" s="4">
        <v>199.0</v>
      </c>
      <c r="H112" s="4"/>
      <c r="I112" s="4">
        <v>199.0</v>
      </c>
      <c r="J112" s="4" t="s">
        <v>2619</v>
      </c>
      <c r="K112" s="6">
        <f>+919711075336</f>
        <v>919711075336</v>
      </c>
      <c r="L112" s="4" t="str">
        <f t="shared" si="1"/>
        <v>palakjain13@hotmail.com919711075336</v>
      </c>
      <c r="M112" s="10" t="s">
        <v>67</v>
      </c>
      <c r="N112" s="4" t="b">
        <v>0</v>
      </c>
      <c r="O112" s="4" t="str">
        <f>VLOOKUP(A112,payment_ids!D:E,2,FALSE)</f>
        <v>upi</v>
      </c>
      <c r="P112" s="4" t="s">
        <v>69</v>
      </c>
      <c r="Q112" s="4" t="s">
        <v>2620</v>
      </c>
      <c r="R112" s="4"/>
      <c r="S112" s="12" t="s">
        <v>2604</v>
      </c>
      <c r="T112" s="4"/>
      <c r="U112" s="4"/>
      <c r="V112" s="11"/>
      <c r="W112" s="4"/>
      <c r="X112" s="11"/>
      <c r="Y112" s="4"/>
      <c r="Z112" s="4"/>
      <c r="AA112" s="4"/>
      <c r="AB112" s="4"/>
      <c r="AC112" s="7"/>
      <c r="AD112" s="4"/>
      <c r="AE112" s="4"/>
      <c r="AF112" s="4"/>
      <c r="AG112" s="4"/>
      <c r="AH112" s="5"/>
      <c r="AI112" s="5"/>
      <c r="AJ112" s="5"/>
      <c r="AK112" s="5"/>
      <c r="AL112" s="5"/>
    </row>
    <row r="113">
      <c r="A113" s="4" t="str">
        <f>VLOOKUP(L113,payment_ids!C:D,2,FALSE)</f>
        <v>pay_HCV616t3vAj2ex</v>
      </c>
      <c r="B113" s="4"/>
      <c r="C113" s="4" t="s">
        <v>2601</v>
      </c>
      <c r="D113" s="4">
        <v>50065.0</v>
      </c>
      <c r="E113" s="4"/>
      <c r="F113" s="4">
        <v>1.0</v>
      </c>
      <c r="G113" s="4">
        <v>99.0</v>
      </c>
      <c r="H113" s="4"/>
      <c r="I113" s="4">
        <v>99.0</v>
      </c>
      <c r="J113" s="4" t="s">
        <v>2621</v>
      </c>
      <c r="K113" s="6">
        <f>+918777742505</f>
        <v>918777742505</v>
      </c>
      <c r="L113" s="4" t="str">
        <f t="shared" si="1"/>
        <v>arnavamaya5@gmail.com918777742505</v>
      </c>
      <c r="M113" s="10" t="s">
        <v>67</v>
      </c>
      <c r="N113" s="4" t="b">
        <v>0</v>
      </c>
      <c r="O113" s="4" t="str">
        <f>VLOOKUP(A113,payment_ids!D:E,2,FALSE)</f>
        <v>upi</v>
      </c>
      <c r="P113" s="4" t="s">
        <v>69</v>
      </c>
      <c r="Q113" s="4" t="s">
        <v>2622</v>
      </c>
      <c r="R113" s="4"/>
      <c r="S113" s="12" t="s">
        <v>2604</v>
      </c>
      <c r="T113" s="4"/>
      <c r="U113" s="4"/>
      <c r="V113" s="11"/>
      <c r="W113" s="4"/>
      <c r="X113" s="11"/>
      <c r="Y113" s="4"/>
      <c r="Z113" s="4"/>
      <c r="AA113" s="4"/>
      <c r="AB113" s="4"/>
      <c r="AC113" s="7"/>
      <c r="AD113" s="4"/>
      <c r="AE113" s="4"/>
      <c r="AF113" s="4"/>
      <c r="AG113" s="4"/>
      <c r="AH113" s="5"/>
      <c r="AI113" s="5"/>
      <c r="AJ113" s="5"/>
      <c r="AK113" s="5"/>
      <c r="AL113" s="5"/>
    </row>
    <row r="114">
      <c r="A114" s="4" t="str">
        <f>VLOOKUP(L114,payment_ids!C:D,2,FALSE)</f>
        <v>pay_HCWg4ReDhVUKw5</v>
      </c>
      <c r="B114" s="4"/>
      <c r="C114" s="4" t="s">
        <v>2601</v>
      </c>
      <c r="D114" s="4">
        <v>50065.0</v>
      </c>
      <c r="E114" s="4"/>
      <c r="F114" s="4">
        <v>1.0</v>
      </c>
      <c r="G114" s="4">
        <v>99.0</v>
      </c>
      <c r="H114" s="4"/>
      <c r="I114" s="4">
        <v>99.0</v>
      </c>
      <c r="J114" s="4" t="s">
        <v>2623</v>
      </c>
      <c r="K114" s="6">
        <f>+917876045967</f>
        <v>917876045967</v>
      </c>
      <c r="L114" s="4" t="str">
        <f t="shared" si="1"/>
        <v>tsedol1959@gmail.com917876045967</v>
      </c>
      <c r="M114" s="10" t="s">
        <v>67</v>
      </c>
      <c r="N114" s="4" t="b">
        <v>0</v>
      </c>
      <c r="O114" s="4" t="str">
        <f>VLOOKUP(A114,payment_ids!D:E,2,FALSE)</f>
        <v>upi</v>
      </c>
      <c r="P114" s="4" t="s">
        <v>69</v>
      </c>
      <c r="Q114" s="4" t="s">
        <v>2624</v>
      </c>
      <c r="R114" s="4"/>
      <c r="S114" s="12" t="s">
        <v>2604</v>
      </c>
      <c r="T114" s="4"/>
      <c r="U114" s="4"/>
      <c r="V114" s="11"/>
      <c r="W114" s="4"/>
      <c r="X114" s="11"/>
      <c r="Y114" s="4"/>
      <c r="Z114" s="4"/>
      <c r="AA114" s="4"/>
      <c r="AB114" s="4"/>
      <c r="AC114" s="4"/>
      <c r="AD114" s="4"/>
      <c r="AE114" s="4"/>
      <c r="AF114" s="4"/>
      <c r="AG114" s="4"/>
      <c r="AH114" s="5"/>
      <c r="AI114" s="5"/>
      <c r="AJ114" s="5"/>
      <c r="AK114" s="5"/>
      <c r="AL114" s="5"/>
    </row>
    <row r="115">
      <c r="A115" s="4" t="str">
        <f>VLOOKUP(L115,payment_ids!C:D,2,FALSE)</f>
        <v>pay_HCdEN1uxLabaHp</v>
      </c>
      <c r="B115" s="4"/>
      <c r="C115" s="4" t="s">
        <v>2601</v>
      </c>
      <c r="D115" s="4">
        <v>50065.0</v>
      </c>
      <c r="E115" s="4"/>
      <c r="F115" s="4">
        <v>6.0</v>
      </c>
      <c r="G115" s="4">
        <v>349.0</v>
      </c>
      <c r="H115" s="4"/>
      <c r="I115" s="4">
        <v>349.0</v>
      </c>
      <c r="J115" s="4" t="s">
        <v>2625</v>
      </c>
      <c r="K115" s="6">
        <f>+919146332493</f>
        <v>919146332493</v>
      </c>
      <c r="L115" s="4" t="str">
        <f t="shared" si="1"/>
        <v>prasaadsurve@gmail.com919146332493</v>
      </c>
      <c r="M115" s="10" t="s">
        <v>67</v>
      </c>
      <c r="N115" s="4" t="b">
        <v>0</v>
      </c>
      <c r="O115" s="4" t="str">
        <f>VLOOKUP(A115,payment_ids!D:E,2,FALSE)</f>
        <v>upi</v>
      </c>
      <c r="P115" s="4" t="s">
        <v>69</v>
      </c>
      <c r="Q115" s="4" t="s">
        <v>2626</v>
      </c>
      <c r="R115" s="4"/>
      <c r="S115" s="12" t="s">
        <v>2604</v>
      </c>
      <c r="T115" s="4"/>
      <c r="U115" s="4"/>
      <c r="V115" s="11"/>
      <c r="W115" s="4"/>
      <c r="X115" s="11"/>
      <c r="Y115" s="4"/>
      <c r="Z115" s="4"/>
      <c r="AA115" s="4"/>
      <c r="AB115" s="4"/>
      <c r="AC115" s="4"/>
      <c r="AD115" s="4"/>
      <c r="AE115" s="4"/>
      <c r="AF115" s="4"/>
      <c r="AG115" s="4"/>
      <c r="AH115" s="5"/>
      <c r="AI115" s="5"/>
      <c r="AJ115" s="5"/>
      <c r="AK115" s="5"/>
      <c r="AL115" s="5"/>
    </row>
    <row r="116">
      <c r="A116" s="4" t="str">
        <f>VLOOKUP(L116,payment_ids!C:D,2,FALSE)</f>
        <v>pay_HCr9WaUcn5zKbN</v>
      </c>
      <c r="B116" s="4"/>
      <c r="C116" s="4" t="s">
        <v>2601</v>
      </c>
      <c r="D116" s="4">
        <v>50065.0</v>
      </c>
      <c r="E116" s="4"/>
      <c r="F116" s="4">
        <v>6.0</v>
      </c>
      <c r="G116" s="4">
        <v>349.0</v>
      </c>
      <c r="H116" s="4"/>
      <c r="I116" s="4">
        <v>349.0</v>
      </c>
      <c r="J116" s="4" t="s">
        <v>2627</v>
      </c>
      <c r="K116" s="6">
        <f>+919108627981</f>
        <v>919108627981</v>
      </c>
      <c r="L116" s="4" t="str">
        <f t="shared" si="1"/>
        <v>sudhirgang99@gmail.com919108627981</v>
      </c>
      <c r="M116" s="10" t="s">
        <v>67</v>
      </c>
      <c r="N116" s="4" t="b">
        <v>0</v>
      </c>
      <c r="O116" s="4" t="str">
        <f>VLOOKUP(A116,payment_ids!D:E,2,FALSE)</f>
        <v>card</v>
      </c>
      <c r="P116" s="4" t="s">
        <v>69</v>
      </c>
      <c r="Q116" s="4" t="s">
        <v>2628</v>
      </c>
      <c r="R116" s="4"/>
      <c r="S116" s="12" t="s">
        <v>2604</v>
      </c>
      <c r="T116" s="4"/>
      <c r="U116" s="4"/>
      <c r="V116" s="11"/>
      <c r="W116" s="4"/>
      <c r="X116" s="11"/>
      <c r="Y116" s="4"/>
      <c r="Z116" s="4"/>
      <c r="AA116" s="4"/>
      <c r="AB116" s="4"/>
      <c r="AC116" s="4"/>
      <c r="AD116" s="4"/>
      <c r="AE116" s="4"/>
      <c r="AF116" s="4"/>
      <c r="AG116" s="4"/>
      <c r="AH116" s="5"/>
      <c r="AI116" s="5"/>
      <c r="AJ116" s="5"/>
      <c r="AK116" s="5"/>
      <c r="AL116" s="5"/>
    </row>
    <row r="117">
      <c r="A117" s="4" t="str">
        <f>VLOOKUP(L117,payment_ids!C:D,2,FALSE)</f>
        <v>pay_HCyw5lZRTFLiAu</v>
      </c>
      <c r="B117" s="4"/>
      <c r="C117" s="4" t="s">
        <v>2601</v>
      </c>
      <c r="D117" s="4">
        <v>50065.0</v>
      </c>
      <c r="E117" s="4"/>
      <c r="F117" s="4">
        <v>1.0</v>
      </c>
      <c r="G117" s="4">
        <v>99.0</v>
      </c>
      <c r="H117" s="4"/>
      <c r="I117" s="4">
        <v>99.0</v>
      </c>
      <c r="J117" s="4" t="s">
        <v>2629</v>
      </c>
      <c r="K117" s="6">
        <f>+918291404395</f>
        <v>918291404395</v>
      </c>
      <c r="L117" s="4" t="str">
        <f t="shared" si="1"/>
        <v>pratiksha.bhomle@gmail.com918291404395</v>
      </c>
      <c r="M117" s="10" t="s">
        <v>67</v>
      </c>
      <c r="N117" s="4" t="b">
        <v>0</v>
      </c>
      <c r="O117" s="4" t="str">
        <f>VLOOKUP(A117,payment_ids!D:E,2,FALSE)</f>
        <v>upi</v>
      </c>
      <c r="P117" s="4" t="s">
        <v>69</v>
      </c>
      <c r="Q117" s="4" t="s">
        <v>2630</v>
      </c>
      <c r="R117" s="4"/>
      <c r="S117" s="12" t="s">
        <v>2604</v>
      </c>
      <c r="T117" s="4"/>
      <c r="U117" s="4"/>
      <c r="V117" s="11"/>
      <c r="W117" s="4"/>
      <c r="X117" s="11"/>
      <c r="Y117" s="4"/>
      <c r="Z117" s="4"/>
      <c r="AA117" s="4"/>
      <c r="AB117" s="4"/>
      <c r="AC117" s="7"/>
      <c r="AD117" s="4"/>
      <c r="AE117" s="4"/>
      <c r="AF117" s="4"/>
      <c r="AG117" s="4"/>
      <c r="AH117" s="5"/>
      <c r="AI117" s="5"/>
      <c r="AJ117" s="5"/>
      <c r="AK117" s="5"/>
      <c r="AL117" s="5"/>
    </row>
    <row r="118">
      <c r="A118" s="4" t="str">
        <f>VLOOKUP(L118,payment_ids!C:D,2,FALSE)</f>
        <v>pay_HD3Jq6BSLIox2f</v>
      </c>
      <c r="B118" s="4"/>
      <c r="C118" s="4" t="s">
        <v>2601</v>
      </c>
      <c r="D118" s="4">
        <v>50065.0</v>
      </c>
      <c r="E118" s="4"/>
      <c r="F118" s="4">
        <v>1.0</v>
      </c>
      <c r="G118" s="4">
        <v>99.0</v>
      </c>
      <c r="H118" s="4"/>
      <c r="I118" s="4">
        <v>99.0</v>
      </c>
      <c r="J118" s="4" t="s">
        <v>2631</v>
      </c>
      <c r="K118" s="6">
        <f>+919409212575</f>
        <v>919409212575</v>
      </c>
      <c r="L118" s="4" t="str">
        <f t="shared" si="1"/>
        <v>vineet96.jsh@gmail.com919409212575</v>
      </c>
      <c r="M118" s="10" t="s">
        <v>67</v>
      </c>
      <c r="N118" s="4" t="b">
        <v>0</v>
      </c>
      <c r="O118" s="4" t="str">
        <f>VLOOKUP(A118,payment_ids!D:E,2,FALSE)</f>
        <v>upi</v>
      </c>
      <c r="P118" s="4" t="s">
        <v>69</v>
      </c>
      <c r="Q118" s="4" t="s">
        <v>2632</v>
      </c>
      <c r="R118" s="4"/>
      <c r="S118" s="12" t="s">
        <v>2604</v>
      </c>
      <c r="T118" s="4"/>
      <c r="U118" s="4"/>
      <c r="V118" s="11"/>
      <c r="W118" s="4"/>
      <c r="X118" s="11"/>
      <c r="Y118" s="4"/>
      <c r="Z118" s="4"/>
      <c r="AA118" s="4"/>
      <c r="AB118" s="4"/>
      <c r="AC118" s="4"/>
      <c r="AD118" s="4"/>
      <c r="AE118" s="4"/>
      <c r="AF118" s="4"/>
      <c r="AG118" s="4"/>
      <c r="AH118" s="5"/>
      <c r="AI118" s="5"/>
      <c r="AJ118" s="5"/>
      <c r="AK118" s="5"/>
      <c r="AL118" s="5"/>
    </row>
    <row r="119">
      <c r="A119" s="4" t="str">
        <f>VLOOKUP(L119,payment_ids!C:D,2,FALSE)</f>
        <v>pay_HD5iLLyETne1cH</v>
      </c>
      <c r="B119" s="4"/>
      <c r="C119" s="4" t="s">
        <v>2601</v>
      </c>
      <c r="D119" s="4">
        <v>50065.0</v>
      </c>
      <c r="E119" s="4"/>
      <c r="F119" s="4">
        <v>1.0</v>
      </c>
      <c r="G119" s="4">
        <v>99.0</v>
      </c>
      <c r="H119" s="4"/>
      <c r="I119" s="4">
        <v>99.0</v>
      </c>
      <c r="J119" s="4" t="s">
        <v>2633</v>
      </c>
      <c r="K119" s="6">
        <f>+918870485956</f>
        <v>918870485956</v>
      </c>
      <c r="L119" s="4" t="str">
        <f t="shared" si="1"/>
        <v>umendarsethu@gmail.com918870485956</v>
      </c>
      <c r="M119" s="10" t="s">
        <v>67</v>
      </c>
      <c r="N119" s="4" t="b">
        <v>0</v>
      </c>
      <c r="O119" s="4" t="str">
        <f>VLOOKUP(A119,payment_ids!D:E,2,FALSE)</f>
        <v>upi</v>
      </c>
      <c r="P119" s="4" t="s">
        <v>69</v>
      </c>
      <c r="Q119" s="4" t="s">
        <v>2634</v>
      </c>
      <c r="R119" s="4"/>
      <c r="S119" s="12" t="s">
        <v>2604</v>
      </c>
      <c r="T119" s="4"/>
      <c r="U119" s="4"/>
      <c r="V119" s="11"/>
      <c r="W119" s="4"/>
      <c r="X119" s="11"/>
      <c r="Y119" s="4"/>
      <c r="Z119" s="4"/>
      <c r="AA119" s="4"/>
      <c r="AB119" s="4"/>
      <c r="AC119" s="4"/>
      <c r="AD119" s="4"/>
      <c r="AE119" s="4"/>
      <c r="AF119" s="4"/>
      <c r="AG119" s="4"/>
      <c r="AH119" s="5"/>
      <c r="AI119" s="5"/>
      <c r="AJ119" s="5"/>
      <c r="AK119" s="5"/>
      <c r="AL119" s="5"/>
    </row>
    <row r="120">
      <c r="A120" s="4" t="str">
        <f>VLOOKUP(L120,payment_ids!C:D,2,FALSE)</f>
        <v>pay_HDOHrMOoeBlxRl</v>
      </c>
      <c r="B120" s="4"/>
      <c r="C120" s="4" t="s">
        <v>2601</v>
      </c>
      <c r="D120" s="4">
        <v>50065.0</v>
      </c>
      <c r="E120" s="4"/>
      <c r="F120" s="4">
        <v>3.0</v>
      </c>
      <c r="G120" s="4">
        <v>199.0</v>
      </c>
      <c r="H120" s="4"/>
      <c r="I120" s="4">
        <v>199.0</v>
      </c>
      <c r="J120" s="4" t="s">
        <v>2635</v>
      </c>
      <c r="K120" s="6">
        <f>+919480772621</f>
        <v>919480772621</v>
      </c>
      <c r="L120" s="4" t="str">
        <f t="shared" si="1"/>
        <v>deepaoct16@gmail.com919480772621</v>
      </c>
      <c r="M120" s="10" t="s">
        <v>67</v>
      </c>
      <c r="N120" s="4" t="b">
        <v>0</v>
      </c>
      <c r="O120" s="4" t="str">
        <f>VLOOKUP(A120,payment_ids!D:E,2,FALSE)</f>
        <v>upi</v>
      </c>
      <c r="P120" s="4" t="s">
        <v>69</v>
      </c>
      <c r="Q120" s="4" t="s">
        <v>2636</v>
      </c>
      <c r="R120" s="4"/>
      <c r="S120" s="12" t="s">
        <v>2604</v>
      </c>
      <c r="T120" s="4"/>
      <c r="U120" s="4"/>
      <c r="V120" s="11"/>
      <c r="W120" s="4"/>
      <c r="X120" s="11"/>
      <c r="Y120" s="4"/>
      <c r="Z120" s="4"/>
      <c r="AA120" s="4"/>
      <c r="AB120" s="4"/>
      <c r="AC120" s="4"/>
      <c r="AD120" s="4"/>
      <c r="AE120" s="4"/>
      <c r="AF120" s="4"/>
      <c r="AG120" s="4"/>
      <c r="AH120" s="5"/>
      <c r="AI120" s="5"/>
      <c r="AJ120" s="5"/>
      <c r="AK120" s="5"/>
      <c r="AL120" s="5"/>
    </row>
    <row r="121">
      <c r="A121" s="4" t="str">
        <f>VLOOKUP(L121,payment_ids!C:D,2,FALSE)</f>
        <v>pay_HDfinhACsFHTeq</v>
      </c>
      <c r="B121" s="4"/>
      <c r="C121" s="4" t="s">
        <v>2601</v>
      </c>
      <c r="D121" s="4">
        <v>50065.0</v>
      </c>
      <c r="E121" s="4"/>
      <c r="F121" s="4">
        <v>6.0</v>
      </c>
      <c r="G121" s="4">
        <v>349.0</v>
      </c>
      <c r="H121" s="4"/>
      <c r="I121" s="4">
        <v>349.0</v>
      </c>
      <c r="J121" s="4" t="s">
        <v>2637</v>
      </c>
      <c r="K121" s="6">
        <f>+919834613419</f>
        <v>919834613419</v>
      </c>
      <c r="L121" s="4" t="str">
        <f t="shared" si="1"/>
        <v>ar.akshaykulkarni@gmail.com919834613419</v>
      </c>
      <c r="M121" s="10" t="s">
        <v>67</v>
      </c>
      <c r="N121" s="4" t="b">
        <v>0</v>
      </c>
      <c r="O121" s="4" t="str">
        <f>VLOOKUP(A121,payment_ids!D:E,2,FALSE)</f>
        <v>upi</v>
      </c>
      <c r="P121" s="4" t="s">
        <v>69</v>
      </c>
      <c r="Q121" s="4" t="s">
        <v>2638</v>
      </c>
      <c r="R121" s="4"/>
      <c r="S121" s="12" t="s">
        <v>2604</v>
      </c>
      <c r="T121" s="4"/>
      <c r="U121" s="4"/>
      <c r="V121" s="11"/>
      <c r="W121" s="4"/>
      <c r="X121" s="11"/>
      <c r="Y121" s="4"/>
      <c r="Z121" s="4"/>
      <c r="AA121" s="4"/>
      <c r="AB121" s="4"/>
      <c r="AC121" s="7"/>
      <c r="AD121" s="4"/>
      <c r="AE121" s="4"/>
      <c r="AF121" s="4"/>
      <c r="AG121" s="4"/>
      <c r="AH121" s="5"/>
      <c r="AI121" s="5"/>
      <c r="AJ121" s="5"/>
      <c r="AK121" s="5"/>
      <c r="AL121" s="5"/>
    </row>
    <row r="122">
      <c r="A122" s="4" t="str">
        <f>VLOOKUP(L122,payment_ids!C:D,2,FALSE)</f>
        <v>pay_HDqKIzrqiJygxA</v>
      </c>
      <c r="B122" s="4"/>
      <c r="C122" s="4" t="s">
        <v>2601</v>
      </c>
      <c r="D122" s="4">
        <v>50065.0</v>
      </c>
      <c r="E122" s="4"/>
      <c r="F122" s="4">
        <v>1.0</v>
      </c>
      <c r="G122" s="4">
        <v>99.0</v>
      </c>
      <c r="H122" s="4"/>
      <c r="I122" s="4">
        <v>99.0</v>
      </c>
      <c r="J122" s="4" t="s">
        <v>2639</v>
      </c>
      <c r="K122" s="6">
        <f>+919871777110</f>
        <v>919871777110</v>
      </c>
      <c r="L122" s="4" t="str">
        <f t="shared" si="1"/>
        <v>varna.sr@gmail.com919871777110</v>
      </c>
      <c r="M122" s="10" t="s">
        <v>67</v>
      </c>
      <c r="N122" s="4" t="b">
        <v>0</v>
      </c>
      <c r="O122" s="4" t="str">
        <f>VLOOKUP(A122,payment_ids!D:E,2,FALSE)</f>
        <v>upi</v>
      </c>
      <c r="P122" s="4" t="s">
        <v>69</v>
      </c>
      <c r="Q122" s="4" t="s">
        <v>2640</v>
      </c>
      <c r="R122" s="4"/>
      <c r="S122" s="12" t="s">
        <v>2604</v>
      </c>
      <c r="T122" s="4"/>
      <c r="U122" s="4"/>
      <c r="V122" s="11"/>
      <c r="W122" s="4"/>
      <c r="X122" s="11"/>
      <c r="Y122" s="4"/>
      <c r="Z122" s="4"/>
      <c r="AA122" s="4"/>
      <c r="AB122" s="4"/>
      <c r="AC122" s="4"/>
      <c r="AD122" s="4"/>
      <c r="AE122" s="4"/>
      <c r="AF122" s="4"/>
      <c r="AG122" s="4"/>
      <c r="AH122" s="5"/>
      <c r="AI122" s="5"/>
      <c r="AJ122" s="5"/>
      <c r="AK122" s="5"/>
      <c r="AL122" s="5"/>
    </row>
    <row r="123">
      <c r="A123" s="4" t="str">
        <f>VLOOKUP(L123,payment_ids!C:D,2,FALSE)</f>
        <v>pay_HDxcK8weNDnGU5</v>
      </c>
      <c r="B123" s="4"/>
      <c r="C123" s="4" t="s">
        <v>2601</v>
      </c>
      <c r="D123" s="4">
        <v>50065.0</v>
      </c>
      <c r="E123" s="4"/>
      <c r="F123" s="4">
        <v>1.0</v>
      </c>
      <c r="G123" s="4">
        <v>99.0</v>
      </c>
      <c r="H123" s="4"/>
      <c r="I123" s="4">
        <v>99.0</v>
      </c>
      <c r="J123" s="4" t="s">
        <v>2641</v>
      </c>
      <c r="K123" s="6">
        <f>+919954521721</f>
        <v>919954521721</v>
      </c>
      <c r="L123" s="4" t="str">
        <f t="shared" si="1"/>
        <v>sahumamta3071995@gmail.com919954521721</v>
      </c>
      <c r="M123" s="10" t="s">
        <v>67</v>
      </c>
      <c r="N123" s="4" t="b">
        <v>0</v>
      </c>
      <c r="O123" s="4" t="str">
        <f>VLOOKUP(A123,payment_ids!D:E,2,FALSE)</f>
        <v>upi</v>
      </c>
      <c r="P123" s="4" t="s">
        <v>69</v>
      </c>
      <c r="Q123" s="4" t="s">
        <v>2642</v>
      </c>
      <c r="R123" s="4"/>
      <c r="S123" s="12" t="s">
        <v>2604</v>
      </c>
      <c r="T123" s="4"/>
      <c r="U123" s="4"/>
      <c r="V123" s="11"/>
      <c r="W123" s="4"/>
      <c r="X123" s="11"/>
      <c r="Y123" s="4"/>
      <c r="Z123" s="4"/>
      <c r="AA123" s="4"/>
      <c r="AB123" s="4"/>
      <c r="AC123" s="4"/>
      <c r="AD123" s="4"/>
      <c r="AE123" s="4"/>
      <c r="AF123" s="4"/>
      <c r="AG123" s="4"/>
      <c r="AH123" s="5"/>
      <c r="AI123" s="5"/>
      <c r="AJ123" s="5"/>
      <c r="AK123" s="5"/>
      <c r="AL123" s="5"/>
    </row>
    <row r="124">
      <c r="A124" s="4" t="str">
        <f>VLOOKUP(L124,payment_ids!C:D,2,FALSE)</f>
        <v>pay_HEGWamvnYCCRR1</v>
      </c>
      <c r="B124" s="4"/>
      <c r="C124" s="4" t="s">
        <v>2601</v>
      </c>
      <c r="D124" s="4">
        <v>50065.0</v>
      </c>
      <c r="E124" s="4"/>
      <c r="F124" s="4">
        <v>3.0</v>
      </c>
      <c r="G124" s="4">
        <v>199.0</v>
      </c>
      <c r="H124" s="4"/>
      <c r="I124" s="4">
        <v>199.0</v>
      </c>
      <c r="J124" s="4" t="s">
        <v>2643</v>
      </c>
      <c r="K124" s="6">
        <f>+916380675455</f>
        <v>916380675455</v>
      </c>
      <c r="L124" s="4" t="str">
        <f t="shared" si="1"/>
        <v>indusukumar@gmail.com916380675455</v>
      </c>
      <c r="M124" s="10" t="s">
        <v>67</v>
      </c>
      <c r="N124" s="4" t="b">
        <v>0</v>
      </c>
      <c r="O124" s="4" t="str">
        <f>VLOOKUP(A124,payment_ids!D:E,2,FALSE)</f>
        <v>upi</v>
      </c>
      <c r="P124" s="4" t="s">
        <v>69</v>
      </c>
      <c r="Q124" s="4" t="s">
        <v>2644</v>
      </c>
      <c r="R124" s="4"/>
      <c r="S124" s="12" t="s">
        <v>2604</v>
      </c>
      <c r="T124" s="4"/>
      <c r="U124" s="4"/>
      <c r="V124" s="11"/>
      <c r="W124" s="4"/>
      <c r="X124" s="11"/>
      <c r="Y124" s="4"/>
      <c r="Z124" s="4"/>
      <c r="AA124" s="4"/>
      <c r="AB124" s="4"/>
      <c r="AC124" s="4"/>
      <c r="AD124" s="4"/>
      <c r="AE124" s="4"/>
      <c r="AF124" s="4"/>
      <c r="AG124" s="4"/>
      <c r="AH124" s="5"/>
      <c r="AI124" s="5"/>
      <c r="AJ124" s="5"/>
      <c r="AK124" s="5"/>
      <c r="AL124" s="5"/>
    </row>
    <row r="125">
      <c r="A125" s="4" t="str">
        <f>VLOOKUP(L125,payment_ids!C:D,2,FALSE)</f>
        <v>pay_HEz2eVw3G7bI0n</v>
      </c>
      <c r="B125" s="4"/>
      <c r="C125" s="4" t="s">
        <v>2601</v>
      </c>
      <c r="D125" s="4">
        <v>50065.0</v>
      </c>
      <c r="E125" s="4"/>
      <c r="F125" s="4">
        <v>1.0</v>
      </c>
      <c r="G125" s="4">
        <v>99.0</v>
      </c>
      <c r="H125" s="4"/>
      <c r="I125" s="4">
        <v>99.0</v>
      </c>
      <c r="J125" s="4" t="s">
        <v>2645</v>
      </c>
      <c r="K125" s="6">
        <f>+918105882120</f>
        <v>918105882120</v>
      </c>
      <c r="L125" s="4" t="str">
        <f t="shared" si="1"/>
        <v>dharitri.satish@gmail.com918105882120</v>
      </c>
      <c r="M125" s="10" t="s">
        <v>67</v>
      </c>
      <c r="N125" s="4" t="b">
        <v>0</v>
      </c>
      <c r="O125" s="4" t="str">
        <f>VLOOKUP(A125,payment_ids!D:E,2,FALSE)</f>
        <v>upi</v>
      </c>
      <c r="P125" s="4" t="s">
        <v>69</v>
      </c>
      <c r="Q125" s="4" t="s">
        <v>2646</v>
      </c>
      <c r="R125" s="4"/>
      <c r="S125" s="12" t="s">
        <v>2604</v>
      </c>
      <c r="T125" s="4"/>
      <c r="U125" s="4"/>
      <c r="V125" s="11"/>
      <c r="W125" s="4"/>
      <c r="X125" s="11"/>
      <c r="Y125" s="4"/>
      <c r="Z125" s="4"/>
      <c r="AA125" s="4"/>
      <c r="AB125" s="4"/>
      <c r="AC125" s="4"/>
      <c r="AD125" s="4"/>
      <c r="AE125" s="4"/>
      <c r="AF125" s="4"/>
      <c r="AG125" s="4"/>
      <c r="AH125" s="5"/>
      <c r="AI125" s="5"/>
      <c r="AJ125" s="5"/>
      <c r="AK125" s="5"/>
      <c r="AL125" s="5"/>
    </row>
    <row r="126">
      <c r="A126" s="4" t="str">
        <f>VLOOKUP(L126,payment_ids!C:D,2,FALSE)</f>
        <v>pay_H8llyW3jP3FPJq</v>
      </c>
      <c r="B126" s="4"/>
      <c r="C126" s="4" t="s">
        <v>2601</v>
      </c>
      <c r="D126" s="4">
        <v>50065.0</v>
      </c>
      <c r="E126" s="5"/>
      <c r="F126" s="4">
        <v>3.0</v>
      </c>
      <c r="G126" s="4">
        <v>199.0</v>
      </c>
      <c r="H126" s="4"/>
      <c r="I126" s="4">
        <v>199.0</v>
      </c>
      <c r="J126" s="4" t="s">
        <v>2647</v>
      </c>
      <c r="K126" s="5">
        <f>+918454949008</f>
        <v>918454949008</v>
      </c>
      <c r="L126" s="4" t="str">
        <f t="shared" si="1"/>
        <v>padmaja.sreerangam@gmail.com918454949008</v>
      </c>
      <c r="M126" s="10" t="s">
        <v>67</v>
      </c>
      <c r="N126" s="4" t="b">
        <v>0</v>
      </c>
      <c r="O126" s="4" t="str">
        <f>VLOOKUP(A126,payment_ids!D:E,2,FALSE)</f>
        <v>card</v>
      </c>
      <c r="P126" s="4" t="s">
        <v>69</v>
      </c>
      <c r="Q126" s="4" t="s">
        <v>2648</v>
      </c>
      <c r="R126" s="4"/>
      <c r="S126" s="12" t="s">
        <v>2604</v>
      </c>
      <c r="T126" s="5"/>
      <c r="U126" s="4"/>
      <c r="V126" s="11"/>
      <c r="W126" s="4"/>
      <c r="X126" s="11"/>
      <c r="Y126" s="4"/>
      <c r="Z126" s="4"/>
      <c r="AA126" s="4"/>
      <c r="AB126" s="4"/>
      <c r="AC126" s="4"/>
      <c r="AD126" s="4"/>
      <c r="AE126" s="4"/>
      <c r="AF126" s="4"/>
      <c r="AG126" s="4"/>
      <c r="AH126" s="5"/>
      <c r="AI126" s="5"/>
      <c r="AJ126" s="5"/>
      <c r="AK126" s="5"/>
      <c r="AL126" s="5"/>
    </row>
    <row r="127">
      <c r="A127" s="4" t="str">
        <f>VLOOKUP(L127,payment_ids!C:D,2,FALSE)</f>
        <v>pay_HFmOqtsTQkrSdG</v>
      </c>
      <c r="B127" s="4"/>
      <c r="C127" s="4" t="s">
        <v>2601</v>
      </c>
      <c r="D127" s="4">
        <v>50065.0</v>
      </c>
      <c r="E127" s="5"/>
      <c r="F127" s="4">
        <v>1.0</v>
      </c>
      <c r="G127" s="4">
        <v>99.0</v>
      </c>
      <c r="H127" s="4"/>
      <c r="I127" s="4">
        <v>99.0</v>
      </c>
      <c r="J127" s="4" t="s">
        <v>2649</v>
      </c>
      <c r="K127" s="5">
        <f>+919316888844</f>
        <v>919316888844</v>
      </c>
      <c r="L127" s="4" t="str">
        <f t="shared" si="1"/>
        <v>greensunplanters@gmail.com919316888844</v>
      </c>
      <c r="M127" s="10" t="s">
        <v>67</v>
      </c>
      <c r="N127" s="4" t="b">
        <v>0</v>
      </c>
      <c r="O127" s="4" t="str">
        <f>VLOOKUP(A127,payment_ids!D:E,2,FALSE)</f>
        <v>upi</v>
      </c>
      <c r="P127" s="4" t="s">
        <v>69</v>
      </c>
      <c r="Q127" s="4" t="s">
        <v>2650</v>
      </c>
      <c r="R127" s="4"/>
      <c r="S127" s="12" t="s">
        <v>2604</v>
      </c>
      <c r="T127" s="5"/>
      <c r="U127" s="4"/>
      <c r="V127" s="11"/>
      <c r="W127" s="4"/>
      <c r="X127" s="11"/>
      <c r="Y127" s="4"/>
      <c r="Z127" s="4"/>
      <c r="AA127" s="4"/>
      <c r="AB127" s="4"/>
      <c r="AC127" s="4"/>
      <c r="AD127" s="4"/>
      <c r="AE127" s="4"/>
      <c r="AF127" s="4"/>
      <c r="AG127" s="4"/>
      <c r="AH127" s="5"/>
      <c r="AI127" s="5"/>
      <c r="AJ127" s="5"/>
      <c r="AK127" s="5"/>
      <c r="AL127" s="5"/>
    </row>
    <row r="128">
      <c r="A128" s="4" t="str">
        <f>VLOOKUP(L128,payment_ids!C:D,2,FALSE)</f>
        <v>pay_HFv1swBBYJzm8p</v>
      </c>
      <c r="B128" s="4"/>
      <c r="C128" s="4" t="s">
        <v>2601</v>
      </c>
      <c r="D128" s="4">
        <v>50065.0</v>
      </c>
      <c r="E128" s="5"/>
      <c r="F128" s="4">
        <v>1.0</v>
      </c>
      <c r="G128" s="4">
        <v>99.0</v>
      </c>
      <c r="H128" s="4"/>
      <c r="I128" s="4">
        <v>99.0</v>
      </c>
      <c r="J128" s="4" t="s">
        <v>2651</v>
      </c>
      <c r="K128" s="5">
        <f>+917337534434</f>
        <v>917337534434</v>
      </c>
      <c r="L128" s="4" t="str">
        <f t="shared" si="1"/>
        <v>singhmanogya1@gmail.com917337534434</v>
      </c>
      <c r="M128" s="10" t="s">
        <v>67</v>
      </c>
      <c r="N128" s="4" t="b">
        <v>0</v>
      </c>
      <c r="O128" s="4" t="str">
        <f>VLOOKUP(A128,payment_ids!D:E,2,FALSE)</f>
        <v>upi</v>
      </c>
      <c r="P128" s="4" t="s">
        <v>69</v>
      </c>
      <c r="Q128" s="4" t="s">
        <v>2652</v>
      </c>
      <c r="R128" s="4"/>
      <c r="S128" s="12" t="s">
        <v>2604</v>
      </c>
      <c r="T128" s="5"/>
      <c r="U128" s="4"/>
      <c r="V128" s="11"/>
      <c r="W128" s="4"/>
      <c r="X128" s="11"/>
      <c r="Y128" s="4"/>
      <c r="Z128" s="4"/>
      <c r="AA128" s="4"/>
      <c r="AB128" s="4"/>
      <c r="AC128" s="4"/>
      <c r="AD128" s="4"/>
      <c r="AE128" s="4"/>
      <c r="AF128" s="4"/>
      <c r="AG128" s="4"/>
      <c r="AH128" s="5"/>
      <c r="AI128" s="5"/>
      <c r="AJ128" s="5"/>
      <c r="AK128" s="5"/>
      <c r="AL128" s="5"/>
    </row>
    <row r="129">
      <c r="A129" s="4" t="str">
        <f>VLOOKUP(L129,payment_ids!C:D,2,FALSE)</f>
        <v>pay_HG3BkdtcDnAuKc</v>
      </c>
      <c r="B129" s="4"/>
      <c r="C129" s="4" t="s">
        <v>2601</v>
      </c>
      <c r="D129" s="4">
        <v>50065.0</v>
      </c>
      <c r="E129" s="5"/>
      <c r="F129" s="4">
        <v>1.0</v>
      </c>
      <c r="G129" s="4">
        <v>99.0</v>
      </c>
      <c r="H129" s="4"/>
      <c r="I129" s="4">
        <v>99.0</v>
      </c>
      <c r="J129" s="4" t="s">
        <v>2653</v>
      </c>
      <c r="K129" s="5">
        <f>+919894317341</f>
        <v>919894317341</v>
      </c>
      <c r="L129" s="4" t="str">
        <f t="shared" si="1"/>
        <v>jrsukesh@gmail.com919894317341</v>
      </c>
      <c r="M129" s="10" t="s">
        <v>67</v>
      </c>
      <c r="N129" s="4" t="b">
        <v>0</v>
      </c>
      <c r="O129" s="4" t="str">
        <f>VLOOKUP(A129,payment_ids!D:E,2,FALSE)</f>
        <v>upi</v>
      </c>
      <c r="P129" s="4" t="s">
        <v>69</v>
      </c>
      <c r="Q129" s="4" t="s">
        <v>2654</v>
      </c>
      <c r="R129" s="4"/>
      <c r="S129" s="12" t="s">
        <v>2604</v>
      </c>
      <c r="T129" s="5"/>
      <c r="U129" s="4"/>
      <c r="V129" s="11"/>
      <c r="W129" s="4"/>
      <c r="X129" s="11"/>
      <c r="Y129" s="4"/>
      <c r="Z129" s="4"/>
      <c r="AA129" s="4"/>
      <c r="AB129" s="4"/>
      <c r="AC129" s="4"/>
      <c r="AD129" s="4"/>
      <c r="AE129" s="4"/>
      <c r="AF129" s="4"/>
      <c r="AG129" s="4"/>
      <c r="AH129" s="5"/>
      <c r="AI129" s="5"/>
      <c r="AJ129" s="5"/>
      <c r="AK129" s="5"/>
      <c r="AL129" s="5"/>
    </row>
    <row r="130">
      <c r="A130" s="4" t="str">
        <f>VLOOKUP(L130,payment_ids!C:D,2,FALSE)</f>
        <v>pay_HG3b52hQD0xx0z</v>
      </c>
      <c r="B130" s="4"/>
      <c r="C130" s="4" t="s">
        <v>2601</v>
      </c>
      <c r="D130" s="4">
        <v>50065.0</v>
      </c>
      <c r="E130" s="5"/>
      <c r="F130" s="4">
        <v>1.0</v>
      </c>
      <c r="G130" s="4">
        <v>99.0</v>
      </c>
      <c r="H130" s="4"/>
      <c r="I130" s="4">
        <v>99.0</v>
      </c>
      <c r="J130" s="4" t="s">
        <v>2655</v>
      </c>
      <c r="K130" s="5">
        <f>+919131183256</f>
        <v>919131183256</v>
      </c>
      <c r="L130" s="4" t="str">
        <f t="shared" si="1"/>
        <v>pankajbhikusethbansal@gmail.com919131183256</v>
      </c>
      <c r="M130" s="10" t="s">
        <v>67</v>
      </c>
      <c r="N130" s="4" t="b">
        <v>0</v>
      </c>
      <c r="O130" s="4" t="str">
        <f>VLOOKUP(A130,payment_ids!D:E,2,FALSE)</f>
        <v>upi</v>
      </c>
      <c r="P130" s="4" t="s">
        <v>69</v>
      </c>
      <c r="Q130" s="4" t="s">
        <v>2656</v>
      </c>
      <c r="R130" s="4"/>
      <c r="S130" s="12" t="s">
        <v>2604</v>
      </c>
      <c r="T130" s="5"/>
      <c r="U130" s="4"/>
      <c r="V130" s="11"/>
      <c r="W130" s="4"/>
      <c r="X130" s="11"/>
      <c r="Y130" s="4"/>
      <c r="Z130" s="4"/>
      <c r="AA130" s="4"/>
      <c r="AB130" s="4"/>
      <c r="AC130" s="4"/>
      <c r="AD130" s="4"/>
      <c r="AE130" s="4"/>
      <c r="AF130" s="4"/>
      <c r="AG130" s="4"/>
      <c r="AH130" s="5"/>
      <c r="AI130" s="5"/>
      <c r="AJ130" s="5"/>
      <c r="AK130" s="5"/>
      <c r="AL130" s="5"/>
    </row>
    <row r="131">
      <c r="A131" s="4" t="str">
        <f>VLOOKUP(L131,payment_ids!C:D,2,FALSE)</f>
        <v>pay_HGAdNd0MPXRE18</v>
      </c>
      <c r="B131" s="4"/>
      <c r="C131" s="4" t="s">
        <v>2601</v>
      </c>
      <c r="D131" s="4">
        <v>50065.0</v>
      </c>
      <c r="E131" s="5"/>
      <c r="F131" s="4">
        <v>6.0</v>
      </c>
      <c r="G131" s="4">
        <v>349.0</v>
      </c>
      <c r="H131" s="4"/>
      <c r="I131" s="4">
        <v>349.0</v>
      </c>
      <c r="J131" s="4" t="s">
        <v>2657</v>
      </c>
      <c r="K131" s="5">
        <f>+919920475808</f>
        <v>919920475808</v>
      </c>
      <c r="L131" s="4" t="str">
        <f t="shared" si="1"/>
        <v>shakshi.patel25@gmail.com919920475808</v>
      </c>
      <c r="M131" s="10" t="s">
        <v>67</v>
      </c>
      <c r="N131" s="4" t="b">
        <v>0</v>
      </c>
      <c r="O131" s="4" t="str">
        <f>VLOOKUP(A131,payment_ids!D:E,2,FALSE)</f>
        <v>upi</v>
      </c>
      <c r="P131" s="4" t="s">
        <v>69</v>
      </c>
      <c r="Q131" s="4" t="s">
        <v>2658</v>
      </c>
      <c r="R131" s="4"/>
      <c r="S131" s="12" t="s">
        <v>2604</v>
      </c>
      <c r="T131" s="5"/>
      <c r="U131" s="4"/>
      <c r="V131" s="11"/>
      <c r="W131" s="4"/>
      <c r="X131" s="11"/>
      <c r="Y131" s="4"/>
      <c r="Z131" s="4"/>
      <c r="AA131" s="4"/>
      <c r="AB131" s="4"/>
      <c r="AC131" s="4"/>
      <c r="AD131" s="4"/>
      <c r="AE131" s="4"/>
      <c r="AF131" s="4"/>
      <c r="AG131" s="4"/>
      <c r="AH131" s="5"/>
      <c r="AI131" s="5"/>
      <c r="AJ131" s="5"/>
      <c r="AK131" s="5"/>
      <c r="AL131" s="5"/>
    </row>
    <row r="132">
      <c r="A132" s="4" t="str">
        <f>VLOOKUP(L132,payment_ids!C:D,2,FALSE)</f>
        <v>pay_HGTUoDFePgx4l3</v>
      </c>
      <c r="B132" s="4"/>
      <c r="C132" s="4" t="s">
        <v>2601</v>
      </c>
      <c r="D132" s="4">
        <v>50065.0</v>
      </c>
      <c r="E132" s="5"/>
      <c r="F132" s="4">
        <v>1.0</v>
      </c>
      <c r="G132" s="4">
        <v>99.0</v>
      </c>
      <c r="H132" s="4"/>
      <c r="I132" s="4">
        <v>99.0</v>
      </c>
      <c r="J132" s="4" t="s">
        <v>2659</v>
      </c>
      <c r="K132" s="5">
        <f>+919829163068</f>
        <v>919829163068</v>
      </c>
      <c r="L132" s="4" t="str">
        <f t="shared" si="1"/>
        <v>tholiamanan@gmail.com919829163068</v>
      </c>
      <c r="M132" s="10" t="s">
        <v>67</v>
      </c>
      <c r="N132" s="4" t="b">
        <v>0</v>
      </c>
      <c r="O132" s="4" t="str">
        <f>VLOOKUP(A132,payment_ids!D:E,2,FALSE)</f>
        <v>card</v>
      </c>
      <c r="P132" s="4" t="s">
        <v>69</v>
      </c>
      <c r="Q132" s="4" t="s">
        <v>2660</v>
      </c>
      <c r="R132" s="4"/>
      <c r="S132" s="12" t="s">
        <v>2604</v>
      </c>
      <c r="T132" s="5"/>
      <c r="U132" s="4"/>
      <c r="V132" s="11"/>
      <c r="W132" s="4"/>
      <c r="X132" s="11"/>
      <c r="Y132" s="4"/>
      <c r="Z132" s="4"/>
      <c r="AA132" s="4"/>
      <c r="AB132" s="4"/>
      <c r="AC132" s="4"/>
      <c r="AD132" s="4"/>
      <c r="AE132" s="4"/>
      <c r="AF132" s="4"/>
      <c r="AG132" s="4"/>
      <c r="AH132" s="5"/>
      <c r="AI132" s="5"/>
      <c r="AJ132" s="5"/>
      <c r="AK132" s="5"/>
      <c r="AL132" s="5"/>
    </row>
    <row r="133">
      <c r="A133" s="4" t="str">
        <f>VLOOKUP(L133,payment_ids!C:D,2,FALSE)</f>
        <v>pay_HGgfZ0NswMA1A7</v>
      </c>
      <c r="B133" s="4"/>
      <c r="C133" s="4" t="s">
        <v>2601</v>
      </c>
      <c r="D133" s="4">
        <v>50065.0</v>
      </c>
      <c r="E133" s="5"/>
      <c r="F133" s="4">
        <v>3.0</v>
      </c>
      <c r="G133" s="4">
        <v>199.0</v>
      </c>
      <c r="H133" s="4"/>
      <c r="I133" s="4">
        <v>199.0</v>
      </c>
      <c r="J133" s="4" t="s">
        <v>2661</v>
      </c>
      <c r="K133" s="5">
        <f>+919964073026</f>
        <v>919964073026</v>
      </c>
      <c r="L133" s="4" t="str">
        <f t="shared" si="1"/>
        <v>seemapaib@gmail.com919964073026</v>
      </c>
      <c r="M133" s="10" t="s">
        <v>67</v>
      </c>
      <c r="N133" s="4" t="b">
        <v>0</v>
      </c>
      <c r="O133" s="4" t="str">
        <f>VLOOKUP(A133,payment_ids!D:E,2,FALSE)</f>
        <v>netbanking</v>
      </c>
      <c r="P133" s="4" t="s">
        <v>69</v>
      </c>
      <c r="Q133" s="4" t="s">
        <v>2662</v>
      </c>
      <c r="R133" s="4"/>
      <c r="S133" s="12" t="s">
        <v>2604</v>
      </c>
      <c r="T133" s="5"/>
      <c r="U133" s="4"/>
      <c r="V133" s="11"/>
      <c r="W133" s="4"/>
      <c r="X133" s="11"/>
      <c r="Y133" s="4"/>
      <c r="Z133" s="4"/>
      <c r="AA133" s="4"/>
      <c r="AB133" s="4"/>
      <c r="AC133" s="4"/>
      <c r="AD133" s="4"/>
      <c r="AE133" s="4"/>
      <c r="AF133" s="4"/>
      <c r="AG133" s="4"/>
      <c r="AH133" s="5"/>
      <c r="AI133" s="5"/>
      <c r="AJ133" s="5"/>
      <c r="AK133" s="5"/>
      <c r="AL133" s="5"/>
    </row>
    <row r="134">
      <c r="A134" s="4" t="str">
        <f>VLOOKUP(L134,payment_ids!C:D,2,FALSE)</f>
        <v>pay_HGktapfCTbHYfn</v>
      </c>
      <c r="B134" s="4"/>
      <c r="C134" s="4" t="s">
        <v>2601</v>
      </c>
      <c r="D134" s="4">
        <v>50065.0</v>
      </c>
      <c r="E134" s="5"/>
      <c r="F134" s="4">
        <v>6.0</v>
      </c>
      <c r="G134" s="4">
        <v>349.0</v>
      </c>
      <c r="H134" s="4"/>
      <c r="I134" s="4">
        <v>349.0</v>
      </c>
      <c r="J134" s="4" t="s">
        <v>2663</v>
      </c>
      <c r="K134" s="5">
        <f>+919438366446</f>
        <v>919438366446</v>
      </c>
      <c r="L134" s="4" t="str">
        <f t="shared" si="1"/>
        <v>roan.aga@gmail.com919438366446</v>
      </c>
      <c r="M134" s="10" t="s">
        <v>67</v>
      </c>
      <c r="N134" s="4" t="b">
        <v>0</v>
      </c>
      <c r="O134" s="4" t="str">
        <f>VLOOKUP(A134,payment_ids!D:E,2,FALSE)</f>
        <v>upi</v>
      </c>
      <c r="P134" s="4" t="s">
        <v>69</v>
      </c>
      <c r="Q134" s="4" t="s">
        <v>2664</v>
      </c>
      <c r="R134" s="4"/>
      <c r="S134" s="12" t="s">
        <v>2604</v>
      </c>
      <c r="T134" s="5"/>
      <c r="U134" s="4"/>
      <c r="V134" s="11"/>
      <c r="W134" s="4"/>
      <c r="X134" s="11"/>
      <c r="Y134" s="4"/>
      <c r="Z134" s="4"/>
      <c r="AA134" s="4"/>
      <c r="AB134" s="4"/>
      <c r="AC134" s="4"/>
      <c r="AD134" s="4"/>
      <c r="AE134" s="4"/>
      <c r="AF134" s="4"/>
      <c r="AG134" s="4"/>
      <c r="AH134" s="5"/>
      <c r="AI134" s="5"/>
      <c r="AJ134" s="5"/>
      <c r="AK134" s="5"/>
      <c r="AL134" s="5"/>
    </row>
    <row r="135">
      <c r="A135" s="4" t="str">
        <f>VLOOKUP(L135,payment_ids!C:D,2,FALSE)</f>
        <v>pay_HGuErO17qhU2Yy</v>
      </c>
      <c r="B135" s="4"/>
      <c r="C135" s="4" t="s">
        <v>2601</v>
      </c>
      <c r="D135" s="4">
        <v>50065.0</v>
      </c>
      <c r="E135" s="5"/>
      <c r="F135" s="4">
        <v>1.0</v>
      </c>
      <c r="G135" s="4">
        <v>99.0</v>
      </c>
      <c r="H135" s="4"/>
      <c r="I135" s="4">
        <v>99.0</v>
      </c>
      <c r="J135" s="4" t="s">
        <v>2665</v>
      </c>
      <c r="K135" s="5">
        <f>+919873012203</f>
        <v>919873012203</v>
      </c>
      <c r="L135" s="4" t="str">
        <f t="shared" si="1"/>
        <v>kastooree@gmail.com919873012203</v>
      </c>
      <c r="M135" s="10" t="s">
        <v>67</v>
      </c>
      <c r="N135" s="4" t="b">
        <v>0</v>
      </c>
      <c r="O135" s="4" t="str">
        <f>VLOOKUP(A135,payment_ids!D:E,2,FALSE)</f>
        <v>upi</v>
      </c>
      <c r="P135" s="4" t="s">
        <v>69</v>
      </c>
      <c r="Q135" s="4" t="s">
        <v>2666</v>
      </c>
      <c r="R135" s="4"/>
      <c r="S135" s="12" t="s">
        <v>2604</v>
      </c>
      <c r="T135" s="5"/>
      <c r="U135" s="4"/>
      <c r="V135" s="11"/>
      <c r="W135" s="4"/>
      <c r="X135" s="11"/>
      <c r="Y135" s="4"/>
      <c r="Z135" s="4"/>
      <c r="AA135" s="4"/>
      <c r="AB135" s="4"/>
      <c r="AC135" s="4"/>
      <c r="AD135" s="4"/>
      <c r="AE135" s="4"/>
      <c r="AF135" s="4"/>
      <c r="AG135" s="4"/>
      <c r="AH135" s="5"/>
      <c r="AI135" s="5"/>
      <c r="AJ135" s="5"/>
      <c r="AK135" s="5"/>
      <c r="AL135" s="5"/>
    </row>
    <row r="136">
      <c r="A136" s="4" t="str">
        <f>VLOOKUP(L136,payment_ids!C:D,2,FALSE)</f>
        <v>pay_HGz1relGJYor37</v>
      </c>
      <c r="B136" s="4"/>
      <c r="C136" s="4" t="s">
        <v>2601</v>
      </c>
      <c r="D136" s="4">
        <v>50065.0</v>
      </c>
      <c r="E136" s="5"/>
      <c r="F136" s="4">
        <v>1.0</v>
      </c>
      <c r="G136" s="4">
        <v>99.0</v>
      </c>
      <c r="H136" s="4"/>
      <c r="I136" s="4">
        <v>99.0</v>
      </c>
      <c r="J136" s="4" t="s">
        <v>2667</v>
      </c>
      <c r="K136" s="5">
        <f>+918577858647</f>
        <v>918577858647</v>
      </c>
      <c r="L136" s="4" t="str">
        <f t="shared" si="1"/>
        <v>tushangi.rastogi55@gmail.com918577858647</v>
      </c>
      <c r="M136" s="10" t="s">
        <v>67</v>
      </c>
      <c r="N136" s="4" t="b">
        <v>0</v>
      </c>
      <c r="O136" s="4" t="str">
        <f>VLOOKUP(A136,payment_ids!D:E,2,FALSE)</f>
        <v>upi</v>
      </c>
      <c r="P136" s="4" t="s">
        <v>69</v>
      </c>
      <c r="Q136" s="4" t="s">
        <v>2668</v>
      </c>
      <c r="R136" s="4"/>
      <c r="S136" s="12" t="s">
        <v>2604</v>
      </c>
      <c r="T136" s="5"/>
      <c r="U136" s="4"/>
      <c r="V136" s="11"/>
      <c r="W136" s="4"/>
      <c r="X136" s="11"/>
      <c r="Y136" s="4"/>
      <c r="Z136" s="4"/>
      <c r="AA136" s="4"/>
      <c r="AB136" s="4"/>
      <c r="AC136" s="4"/>
      <c r="AD136" s="4"/>
      <c r="AE136" s="4"/>
      <c r="AF136" s="4"/>
      <c r="AG136" s="4"/>
      <c r="AH136" s="5"/>
      <c r="AI136" s="5"/>
      <c r="AJ136" s="5"/>
      <c r="AK136" s="5"/>
      <c r="AL136" s="5"/>
    </row>
    <row r="137">
      <c r="A137" s="4" t="str">
        <f>VLOOKUP(L137,payment_ids!C:D,2,FALSE)</f>
        <v>pay_HHGM0m3ReONA8P</v>
      </c>
      <c r="B137" s="4"/>
      <c r="C137" s="4" t="s">
        <v>2601</v>
      </c>
      <c r="D137" s="4">
        <v>50065.0</v>
      </c>
      <c r="E137" s="5"/>
      <c r="F137" s="4">
        <v>1.0</v>
      </c>
      <c r="G137" s="4">
        <v>99.0</v>
      </c>
      <c r="H137" s="4"/>
      <c r="I137" s="4">
        <v>99.0</v>
      </c>
      <c r="J137" s="4" t="s">
        <v>2669</v>
      </c>
      <c r="K137" s="5">
        <f>+917827370482</f>
        <v>917827370482</v>
      </c>
      <c r="L137" s="4" t="str">
        <f t="shared" si="1"/>
        <v>mail.jainsunayana@gmail.com917827370482</v>
      </c>
      <c r="M137" s="10" t="s">
        <v>67</v>
      </c>
      <c r="N137" s="4" t="b">
        <v>0</v>
      </c>
      <c r="O137" s="4" t="str">
        <f>VLOOKUP(A137,payment_ids!D:E,2,FALSE)</f>
        <v>upi</v>
      </c>
      <c r="P137" s="4" t="s">
        <v>69</v>
      </c>
      <c r="Q137" s="4" t="s">
        <v>2670</v>
      </c>
      <c r="R137" s="4"/>
      <c r="S137" s="12" t="s">
        <v>2604</v>
      </c>
      <c r="T137" s="5"/>
      <c r="U137" s="4"/>
      <c r="V137" s="11"/>
      <c r="W137" s="4"/>
      <c r="X137" s="11"/>
      <c r="Y137" s="4"/>
      <c r="Z137" s="4"/>
      <c r="AA137" s="4"/>
      <c r="AB137" s="4"/>
      <c r="AC137" s="4"/>
      <c r="AD137" s="4"/>
      <c r="AE137" s="4"/>
      <c r="AF137" s="4"/>
      <c r="AG137" s="4"/>
      <c r="AH137" s="5"/>
      <c r="AI137" s="5"/>
      <c r="AJ137" s="5"/>
      <c r="AK137" s="5"/>
      <c r="AL137" s="5"/>
    </row>
    <row r="138">
      <c r="A138" s="4" t="str">
        <f>VLOOKUP(L138,payment_ids!C:D,2,FALSE)</f>
        <v>pay_HHIlRmSIoRjI7l</v>
      </c>
      <c r="B138" s="4"/>
      <c r="C138" s="4" t="s">
        <v>2601</v>
      </c>
      <c r="D138" s="4">
        <v>50065.0</v>
      </c>
      <c r="E138" s="5"/>
      <c r="F138" s="4">
        <v>3.0</v>
      </c>
      <c r="G138" s="4">
        <v>199.0</v>
      </c>
      <c r="H138" s="4"/>
      <c r="I138" s="4">
        <v>199.0</v>
      </c>
      <c r="J138" s="4" t="s">
        <v>2671</v>
      </c>
      <c r="K138" s="5">
        <f>+919892480654</f>
        <v>919892480654</v>
      </c>
      <c r="L138" s="4" t="str">
        <f t="shared" si="1"/>
        <v>svetlanadcosta17@gmail.com919892480654</v>
      </c>
      <c r="M138" s="10" t="s">
        <v>67</v>
      </c>
      <c r="N138" s="4" t="b">
        <v>0</v>
      </c>
      <c r="O138" s="4" t="str">
        <f>VLOOKUP(A138,payment_ids!D:E,2,FALSE)</f>
        <v>upi</v>
      </c>
      <c r="P138" s="4" t="s">
        <v>69</v>
      </c>
      <c r="Q138" s="4" t="s">
        <v>2672</v>
      </c>
      <c r="R138" s="4"/>
      <c r="S138" s="12" t="s">
        <v>2604</v>
      </c>
      <c r="T138" s="5"/>
      <c r="U138" s="4"/>
      <c r="V138" s="11"/>
      <c r="W138" s="4"/>
      <c r="X138" s="11"/>
      <c r="Y138" s="4"/>
      <c r="Z138" s="4"/>
      <c r="AA138" s="4"/>
      <c r="AB138" s="4"/>
      <c r="AC138" s="7"/>
      <c r="AD138" s="4"/>
      <c r="AE138" s="4"/>
      <c r="AF138" s="4"/>
      <c r="AG138" s="4"/>
      <c r="AH138" s="5"/>
      <c r="AI138" s="5"/>
      <c r="AJ138" s="5"/>
      <c r="AK138" s="5"/>
      <c r="AL138" s="5"/>
    </row>
    <row r="139">
      <c r="A139" s="4" t="str">
        <f>VLOOKUP(L139,payment_ids!C:D,2,FALSE)</f>
        <v>pay_HHLwMw5URf0ibo</v>
      </c>
      <c r="B139" s="4"/>
      <c r="C139" s="4" t="s">
        <v>2601</v>
      </c>
      <c r="D139" s="4">
        <v>50065.0</v>
      </c>
      <c r="E139" s="5"/>
      <c r="F139" s="4">
        <v>1.0</v>
      </c>
      <c r="G139" s="4">
        <v>99.0</v>
      </c>
      <c r="H139" s="4"/>
      <c r="I139" s="4">
        <v>99.0</v>
      </c>
      <c r="J139" s="4" t="s">
        <v>2673</v>
      </c>
      <c r="K139" s="5">
        <f>+919390124449</f>
        <v>919390124449</v>
      </c>
      <c r="L139" s="4" t="str">
        <f t="shared" si="1"/>
        <v>swathi_1994@yahoo.com919390124449</v>
      </c>
      <c r="M139" s="10" t="s">
        <v>67</v>
      </c>
      <c r="N139" s="4" t="b">
        <v>0</v>
      </c>
      <c r="O139" s="4" t="str">
        <f>VLOOKUP(A139,payment_ids!D:E,2,FALSE)</f>
        <v>card</v>
      </c>
      <c r="P139" s="4" t="s">
        <v>69</v>
      </c>
      <c r="Q139" s="4" t="s">
        <v>2674</v>
      </c>
      <c r="R139" s="4"/>
      <c r="S139" s="12" t="s">
        <v>2604</v>
      </c>
      <c r="T139" s="5"/>
      <c r="U139" s="4"/>
      <c r="V139" s="11"/>
      <c r="W139" s="4"/>
      <c r="X139" s="11"/>
      <c r="Y139" s="4"/>
      <c r="Z139" s="4"/>
      <c r="AA139" s="4"/>
      <c r="AB139" s="4"/>
      <c r="AC139" s="4"/>
      <c r="AD139" s="4"/>
      <c r="AE139" s="4"/>
      <c r="AF139" s="4"/>
      <c r="AG139" s="4"/>
      <c r="AH139" s="5"/>
      <c r="AI139" s="5"/>
      <c r="AJ139" s="5"/>
      <c r="AK139" s="5"/>
      <c r="AL139" s="5"/>
    </row>
    <row r="140">
      <c r="A140" s="4" t="str">
        <f>VLOOKUP(L140,payment_ids!C:D,2,FALSE)</f>
        <v>pay_HHQvKZACHHzz84</v>
      </c>
      <c r="B140" s="4"/>
      <c r="C140" s="4" t="s">
        <v>2601</v>
      </c>
      <c r="D140" s="4">
        <v>50065.0</v>
      </c>
      <c r="E140" s="5"/>
      <c r="F140" s="4">
        <v>1.0</v>
      </c>
      <c r="G140" s="4">
        <v>99.0</v>
      </c>
      <c r="H140" s="4"/>
      <c r="I140" s="4">
        <v>99.0</v>
      </c>
      <c r="J140" s="4" t="s">
        <v>2675</v>
      </c>
      <c r="K140" s="5">
        <f>+919634064495</f>
        <v>919634064495</v>
      </c>
      <c r="L140" s="4" t="str">
        <f t="shared" si="1"/>
        <v>adventpoonam@gmail.com919634064495</v>
      </c>
      <c r="M140" s="10" t="s">
        <v>67</v>
      </c>
      <c r="N140" s="4" t="b">
        <v>0</v>
      </c>
      <c r="O140" s="4" t="str">
        <f>VLOOKUP(A140,payment_ids!D:E,2,FALSE)</f>
        <v>upi</v>
      </c>
      <c r="P140" s="4" t="s">
        <v>69</v>
      </c>
      <c r="Q140" s="4" t="s">
        <v>2676</v>
      </c>
      <c r="R140" s="4"/>
      <c r="S140" s="12" t="s">
        <v>2604</v>
      </c>
      <c r="T140" s="5"/>
      <c r="U140" s="4"/>
      <c r="V140" s="11"/>
      <c r="W140" s="4"/>
      <c r="X140" s="11"/>
      <c r="Y140" s="4"/>
      <c r="Z140" s="4"/>
      <c r="AA140" s="4"/>
      <c r="AB140" s="4"/>
      <c r="AC140" s="4"/>
      <c r="AD140" s="4"/>
      <c r="AE140" s="4"/>
      <c r="AF140" s="4"/>
      <c r="AG140" s="4"/>
      <c r="AH140" s="5"/>
      <c r="AI140" s="5"/>
      <c r="AJ140" s="5"/>
      <c r="AK140" s="5"/>
      <c r="AL140" s="5"/>
    </row>
    <row r="141">
      <c r="A141" s="4" t="str">
        <f>VLOOKUP(L141,payment_ids!C:D,2,FALSE)</f>
        <v>pay_HHXz9GwqDVZb38</v>
      </c>
      <c r="B141" s="4"/>
      <c r="C141" s="4" t="s">
        <v>2601</v>
      </c>
      <c r="D141" s="4">
        <v>50065.0</v>
      </c>
      <c r="E141" s="5"/>
      <c r="F141" s="4">
        <v>1.0</v>
      </c>
      <c r="G141" s="4">
        <v>99.0</v>
      </c>
      <c r="H141" s="4"/>
      <c r="I141" s="4">
        <v>99.0</v>
      </c>
      <c r="J141" s="4" t="s">
        <v>2677</v>
      </c>
      <c r="K141" s="5">
        <f>+917769949955</f>
        <v>917769949955</v>
      </c>
      <c r="L141" s="4" t="str">
        <f t="shared" si="1"/>
        <v>divyarsakundarwar@gmail.com917769949955</v>
      </c>
      <c r="M141" s="10" t="s">
        <v>67</v>
      </c>
      <c r="N141" s="4" t="b">
        <v>0</v>
      </c>
      <c r="O141" s="4" t="str">
        <f>VLOOKUP(A141,payment_ids!D:E,2,FALSE)</f>
        <v>upi</v>
      </c>
      <c r="P141" s="4" t="s">
        <v>69</v>
      </c>
      <c r="Q141" s="11">
        <v>44202.123611111114</v>
      </c>
      <c r="R141" s="4"/>
      <c r="S141" s="12" t="s">
        <v>2604</v>
      </c>
      <c r="T141" s="5"/>
      <c r="U141" s="4"/>
      <c r="V141" s="11"/>
      <c r="W141" s="4"/>
      <c r="X141" s="11"/>
      <c r="Y141" s="4"/>
      <c r="Z141" s="4"/>
      <c r="AA141" s="4"/>
      <c r="AB141" s="4"/>
      <c r="AC141" s="4"/>
      <c r="AD141" s="4"/>
      <c r="AE141" s="4"/>
      <c r="AF141" s="4"/>
      <c r="AG141" s="4"/>
      <c r="AH141" s="5"/>
      <c r="AI141" s="5"/>
      <c r="AJ141" s="5"/>
      <c r="AK141" s="5"/>
      <c r="AL141" s="5"/>
    </row>
    <row r="142">
      <c r="A142" s="4" t="str">
        <f>VLOOKUP(L142,payment_ids!C:D,2,FALSE)</f>
        <v>pay_HHc1CPhl1zDead</v>
      </c>
      <c r="B142" s="4"/>
      <c r="C142" s="4" t="s">
        <v>2601</v>
      </c>
      <c r="D142" s="4">
        <v>50065.0</v>
      </c>
      <c r="E142" s="5"/>
      <c r="F142" s="4">
        <v>1.0</v>
      </c>
      <c r="G142" s="4">
        <v>99.0</v>
      </c>
      <c r="H142" s="4"/>
      <c r="I142" s="4">
        <v>99.0</v>
      </c>
      <c r="J142" s="4" t="s">
        <v>2678</v>
      </c>
      <c r="K142" s="5">
        <f>+919004819208</f>
        <v>919004819208</v>
      </c>
      <c r="L142" s="4" t="str">
        <f t="shared" si="1"/>
        <v>rakeshnotification@gmail.com919004819208</v>
      </c>
      <c r="M142" s="10" t="s">
        <v>67</v>
      </c>
      <c r="N142" s="4" t="b">
        <v>0</v>
      </c>
      <c r="O142" s="4" t="str">
        <f>VLOOKUP(A142,payment_ids!D:E,2,FALSE)</f>
        <v>upi</v>
      </c>
      <c r="P142" s="4" t="s">
        <v>69</v>
      </c>
      <c r="Q142" s="11">
        <v>44202.28680555556</v>
      </c>
      <c r="R142" s="4"/>
      <c r="S142" s="12" t="s">
        <v>2604</v>
      </c>
      <c r="T142" s="5"/>
      <c r="U142" s="4"/>
      <c r="V142" s="11"/>
      <c r="W142" s="4"/>
      <c r="X142" s="11"/>
      <c r="Y142" s="4"/>
      <c r="Z142" s="4"/>
      <c r="AA142" s="4"/>
      <c r="AB142" s="4"/>
      <c r="AC142" s="4"/>
      <c r="AD142" s="4"/>
      <c r="AE142" s="4"/>
      <c r="AF142" s="4"/>
      <c r="AG142" s="4"/>
      <c r="AH142" s="5"/>
      <c r="AI142" s="5"/>
      <c r="AJ142" s="5"/>
      <c r="AK142" s="5"/>
      <c r="AL142" s="5"/>
    </row>
    <row r="143">
      <c r="A143" s="4" t="str">
        <f>VLOOKUP(L143,payment_ids!C:D,2,FALSE)</f>
        <v>pay_HHgT9RtOt1PTU6</v>
      </c>
      <c r="B143" s="4"/>
      <c r="C143" s="4" t="s">
        <v>2601</v>
      </c>
      <c r="D143" s="4">
        <v>50065.0</v>
      </c>
      <c r="E143" s="5"/>
      <c r="F143" s="4">
        <v>1.0</v>
      </c>
      <c r="G143" s="4">
        <v>99.0</v>
      </c>
      <c r="H143" s="4"/>
      <c r="I143" s="4">
        <v>99.0</v>
      </c>
      <c r="J143" s="4" t="s">
        <v>2679</v>
      </c>
      <c r="K143" s="5">
        <f>+918794360554</f>
        <v>918794360554</v>
      </c>
      <c r="L143" s="4" t="str">
        <f t="shared" si="1"/>
        <v>geetpurkayastha@gmail.com918794360554</v>
      </c>
      <c r="M143" s="10" t="s">
        <v>67</v>
      </c>
      <c r="N143" s="4" t="b">
        <v>0</v>
      </c>
      <c r="O143" s="4" t="str">
        <f>VLOOKUP(A143,payment_ids!D:E,2,FALSE)</f>
        <v>wallet</v>
      </c>
      <c r="P143" s="4" t="s">
        <v>69</v>
      </c>
      <c r="Q143" s="11">
        <v>44202.52222222222</v>
      </c>
      <c r="R143" s="4"/>
      <c r="S143" s="12" t="s">
        <v>2604</v>
      </c>
      <c r="T143" s="5"/>
      <c r="U143" s="4"/>
      <c r="V143" s="11"/>
      <c r="W143" s="4"/>
      <c r="X143" s="11"/>
      <c r="Y143" s="4"/>
      <c r="Z143" s="4"/>
      <c r="AA143" s="4"/>
      <c r="AB143" s="4"/>
      <c r="AC143" s="4"/>
      <c r="AD143" s="4"/>
      <c r="AE143" s="4"/>
      <c r="AF143" s="4"/>
      <c r="AG143" s="4"/>
      <c r="AH143" s="5"/>
      <c r="AI143" s="5"/>
      <c r="AJ143" s="5"/>
      <c r="AK143" s="5"/>
      <c r="AL143" s="5"/>
    </row>
    <row r="144">
      <c r="A144" s="4" t="str">
        <f>VLOOKUP(L144,payment_ids!C:D,2,FALSE)</f>
        <v>pay_HHp599pDF8YYho</v>
      </c>
      <c r="B144" s="4"/>
      <c r="C144" s="4" t="s">
        <v>2601</v>
      </c>
      <c r="D144" s="4">
        <v>50065.0</v>
      </c>
      <c r="E144" s="5"/>
      <c r="F144" s="4">
        <v>1.0</v>
      </c>
      <c r="G144" s="4">
        <v>99.0</v>
      </c>
      <c r="H144" s="4"/>
      <c r="I144" s="4">
        <v>99.0</v>
      </c>
      <c r="J144" s="4" t="s">
        <v>2680</v>
      </c>
      <c r="K144" s="5">
        <f>+919666730334</f>
        <v>919666730334</v>
      </c>
      <c r="L144" s="4" t="str">
        <f t="shared" si="1"/>
        <v>jyothigoud98@gmail.com919666730334</v>
      </c>
      <c r="M144" s="10" t="s">
        <v>67</v>
      </c>
      <c r="N144" s="4" t="b">
        <v>0</v>
      </c>
      <c r="O144" s="4" t="str">
        <f>VLOOKUP(A144,payment_ids!D:E,2,FALSE)</f>
        <v>upi</v>
      </c>
      <c r="P144" s="4" t="s">
        <v>69</v>
      </c>
      <c r="Q144" s="11">
        <v>44202.82013888889</v>
      </c>
      <c r="R144" s="4"/>
      <c r="S144" s="12" t="s">
        <v>2604</v>
      </c>
      <c r="T144" s="5"/>
      <c r="U144" s="4"/>
      <c r="V144" s="11"/>
      <c r="W144" s="4"/>
      <c r="X144" s="11"/>
      <c r="Y144" s="4"/>
      <c r="Z144" s="4"/>
      <c r="AA144" s="4"/>
      <c r="AB144" s="4"/>
      <c r="AC144" s="4"/>
      <c r="AD144" s="4"/>
      <c r="AE144" s="4"/>
      <c r="AF144" s="4"/>
      <c r="AG144" s="4"/>
      <c r="AH144" s="5"/>
      <c r="AI144" s="5"/>
      <c r="AJ144" s="5"/>
      <c r="AK144" s="5"/>
      <c r="AL144" s="5"/>
    </row>
    <row r="145">
      <c r="A145" s="4" t="str">
        <f>VLOOKUP(L145,payment_ids!C:D,2,FALSE)</f>
        <v>pay_HI2o467rbADV9c</v>
      </c>
      <c r="B145" s="4"/>
      <c r="C145" s="4" t="s">
        <v>2601</v>
      </c>
      <c r="D145" s="4">
        <v>50065.0</v>
      </c>
      <c r="E145" s="5"/>
      <c r="F145" s="4">
        <v>6.0</v>
      </c>
      <c r="G145" s="4">
        <v>349.0</v>
      </c>
      <c r="H145" s="4"/>
      <c r="I145" s="4">
        <v>349.0</v>
      </c>
      <c r="J145" s="4" t="s">
        <v>2681</v>
      </c>
      <c r="K145" s="5">
        <f>+919643184330</f>
        <v>919643184330</v>
      </c>
      <c r="L145" s="4" t="str">
        <f t="shared" si="1"/>
        <v>van.diagram@gmail.com919643184330</v>
      </c>
      <c r="M145" s="10" t="s">
        <v>67</v>
      </c>
      <c r="N145" s="4" t="b">
        <v>0</v>
      </c>
      <c r="O145" s="4" t="str">
        <f>VLOOKUP(A145,payment_ids!D:E,2,FALSE)</f>
        <v>upi</v>
      </c>
      <c r="P145" s="4" t="s">
        <v>69</v>
      </c>
      <c r="Q145" s="11">
        <v>44233.37986111111</v>
      </c>
      <c r="R145" s="4"/>
      <c r="S145" s="12" t="s">
        <v>2604</v>
      </c>
      <c r="T145" s="5"/>
      <c r="U145" s="4"/>
      <c r="V145" s="11"/>
      <c r="W145" s="4"/>
      <c r="X145" s="11"/>
      <c r="Y145" s="4"/>
      <c r="Z145" s="4"/>
      <c r="AA145" s="4"/>
      <c r="AB145" s="4"/>
      <c r="AC145" s="4"/>
      <c r="AD145" s="4"/>
      <c r="AE145" s="4"/>
      <c r="AF145" s="4"/>
      <c r="AG145" s="4"/>
      <c r="AH145" s="5"/>
      <c r="AI145" s="5"/>
      <c r="AJ145" s="5"/>
      <c r="AK145" s="5"/>
      <c r="AL145" s="5"/>
    </row>
    <row r="146">
      <c r="A146" s="4" t="str">
        <f>VLOOKUP(L146,payment_ids!C:D,2,FALSE)</f>
        <v>pay_HI4PHWxWZ6Vy6X</v>
      </c>
      <c r="B146" s="4"/>
      <c r="C146" s="4" t="s">
        <v>2601</v>
      </c>
      <c r="D146" s="4">
        <v>50065.0</v>
      </c>
      <c r="E146" s="5"/>
      <c r="F146" s="4">
        <v>1.0</v>
      </c>
      <c r="G146" s="4">
        <v>99.0</v>
      </c>
      <c r="H146" s="4"/>
      <c r="I146" s="4">
        <v>99.0</v>
      </c>
      <c r="J146" s="4" t="s">
        <v>2682</v>
      </c>
      <c r="K146" s="5">
        <f>+919870224003</f>
        <v>919870224003</v>
      </c>
      <c r="L146" s="4" t="str">
        <f t="shared" si="1"/>
        <v>namrataidnani@gmail.com919870224003</v>
      </c>
      <c r="M146" s="10" t="s">
        <v>67</v>
      </c>
      <c r="N146" s="4" t="b">
        <v>0</v>
      </c>
      <c r="O146" s="4" t="str">
        <f>VLOOKUP(A146,payment_ids!D:E,2,FALSE)</f>
        <v>upi</v>
      </c>
      <c r="P146" s="4" t="s">
        <v>69</v>
      </c>
      <c r="Q146" s="11">
        <v>44233.44375</v>
      </c>
      <c r="R146" s="4"/>
      <c r="S146" s="12" t="s">
        <v>2604</v>
      </c>
      <c r="T146" s="5"/>
      <c r="U146" s="4"/>
      <c r="V146" s="11"/>
      <c r="W146" s="4"/>
      <c r="X146" s="11"/>
      <c r="Y146" s="4"/>
      <c r="Z146" s="4"/>
      <c r="AA146" s="4"/>
      <c r="AB146" s="4"/>
      <c r="AC146" s="4"/>
      <c r="AD146" s="4"/>
      <c r="AE146" s="4"/>
      <c r="AF146" s="4"/>
      <c r="AG146" s="4"/>
      <c r="AH146" s="5"/>
      <c r="AI146" s="5"/>
      <c r="AJ146" s="5"/>
      <c r="AK146" s="5"/>
      <c r="AL146" s="5"/>
    </row>
    <row r="147">
      <c r="A147" s="4" t="str">
        <f>VLOOKUP(L147,payment_ids!C:D,2,FALSE)</f>
        <v>pay_HI7OJjgRGgdQDU</v>
      </c>
      <c r="B147" s="4"/>
      <c r="C147" s="4" t="s">
        <v>2601</v>
      </c>
      <c r="D147" s="4">
        <v>50065.0</v>
      </c>
      <c r="E147" s="5"/>
      <c r="F147" s="4">
        <v>1.0</v>
      </c>
      <c r="G147" s="4">
        <v>99.0</v>
      </c>
      <c r="H147" s="4"/>
      <c r="I147" s="4">
        <v>99.0</v>
      </c>
      <c r="J147" s="4" t="s">
        <v>2683</v>
      </c>
      <c r="K147" s="5">
        <f>+916360484826</f>
        <v>916360484826</v>
      </c>
      <c r="L147" s="4" t="str">
        <f t="shared" si="1"/>
        <v>arunabjames@gmail.com916360484826</v>
      </c>
      <c r="M147" s="10" t="s">
        <v>67</v>
      </c>
      <c r="N147" s="4" t="b">
        <v>0</v>
      </c>
      <c r="O147" s="4" t="str">
        <f>VLOOKUP(A147,payment_ids!D:E,2,FALSE)</f>
        <v>upi</v>
      </c>
      <c r="P147" s="4" t="s">
        <v>69</v>
      </c>
      <c r="Q147" s="11">
        <v>44233.56527777778</v>
      </c>
      <c r="R147" s="4"/>
      <c r="S147" s="12" t="s">
        <v>2604</v>
      </c>
      <c r="T147" s="5"/>
      <c r="U147" s="4"/>
      <c r="V147" s="11"/>
      <c r="W147" s="4"/>
      <c r="X147" s="11"/>
      <c r="Y147" s="4"/>
      <c r="Z147" s="4"/>
      <c r="AA147" s="4"/>
      <c r="AB147" s="4"/>
      <c r="AC147" s="4"/>
      <c r="AD147" s="4"/>
      <c r="AE147" s="4"/>
      <c r="AF147" s="4"/>
      <c r="AG147" s="4"/>
      <c r="AH147" s="5"/>
      <c r="AI147" s="5"/>
      <c r="AJ147" s="5"/>
      <c r="AK147" s="5"/>
      <c r="AL147" s="5"/>
    </row>
    <row r="148">
      <c r="A148" s="4" t="str">
        <f>VLOOKUP(L148,payment_ids!C:D,2,FALSE)</f>
        <v>pay_HIC0caU2KFTI8D</v>
      </c>
      <c r="B148" s="4"/>
      <c r="C148" s="4" t="s">
        <v>2601</v>
      </c>
      <c r="D148" s="4">
        <v>50065.0</v>
      </c>
      <c r="E148" s="5"/>
      <c r="F148" s="4">
        <v>1.0</v>
      </c>
      <c r="G148" s="4">
        <v>99.0</v>
      </c>
      <c r="H148" s="4"/>
      <c r="I148" s="4">
        <v>99.0</v>
      </c>
      <c r="J148" s="4" t="s">
        <v>2684</v>
      </c>
      <c r="K148" s="5">
        <f>+919167663335</f>
        <v>919167663335</v>
      </c>
      <c r="L148" s="4" t="str">
        <f t="shared" si="1"/>
        <v>ckelkar@gmail.com919167663335</v>
      </c>
      <c r="M148" s="10" t="s">
        <v>67</v>
      </c>
      <c r="N148" s="4" t="b">
        <v>0</v>
      </c>
      <c r="O148" s="4" t="str">
        <f>VLOOKUP(A148,payment_ids!D:E,2,FALSE)</f>
        <v>upi</v>
      </c>
      <c r="P148" s="4" t="s">
        <v>69</v>
      </c>
      <c r="Q148" s="11">
        <v>44233.979166666664</v>
      </c>
      <c r="R148" s="4"/>
      <c r="S148" s="12" t="s">
        <v>2685</v>
      </c>
      <c r="T148" s="5"/>
      <c r="U148" s="4"/>
      <c r="V148" s="11"/>
      <c r="W148" s="4"/>
      <c r="X148" s="11"/>
      <c r="Y148" s="4"/>
      <c r="Z148" s="4"/>
      <c r="AA148" s="4"/>
      <c r="AB148" s="4"/>
      <c r="AC148" s="4"/>
      <c r="AD148" s="4"/>
      <c r="AE148" s="4"/>
      <c r="AF148" s="4"/>
      <c r="AG148" s="4"/>
      <c r="AH148" s="5"/>
      <c r="AI148" s="5"/>
      <c r="AJ148" s="5"/>
      <c r="AK148" s="5"/>
      <c r="AL148" s="5"/>
    </row>
    <row r="149">
      <c r="A149" s="4" t="str">
        <f>VLOOKUP(L149,payment_ids!C:D,2,FALSE)</f>
        <v>pay_HIRMlu5Iwts6q4</v>
      </c>
      <c r="B149" s="4"/>
      <c r="C149" s="4" t="s">
        <v>2601</v>
      </c>
      <c r="D149" s="4">
        <v>50065.0</v>
      </c>
      <c r="E149" s="5"/>
      <c r="F149" s="4">
        <v>1.0</v>
      </c>
      <c r="G149" s="4">
        <v>99.0</v>
      </c>
      <c r="H149" s="4"/>
      <c r="I149" s="4">
        <v>99.0</v>
      </c>
      <c r="J149" s="4" t="s">
        <v>2686</v>
      </c>
      <c r="K149" s="5">
        <f>+918700066060</f>
        <v>918700066060</v>
      </c>
      <c r="L149" s="4" t="str">
        <f t="shared" si="1"/>
        <v>rishirathi1989@gmail.com918700066060</v>
      </c>
      <c r="M149" s="10" t="s">
        <v>67</v>
      </c>
      <c r="N149" s="4" t="b">
        <v>0</v>
      </c>
      <c r="O149" s="4" t="str">
        <f>VLOOKUP(A149,payment_ids!D:E,2,FALSE)</f>
        <v>upi</v>
      </c>
      <c r="P149" s="4" t="s">
        <v>69</v>
      </c>
      <c r="Q149" s="11">
        <v>44261.379166666666</v>
      </c>
      <c r="R149" s="4"/>
      <c r="S149" s="12" t="s">
        <v>2604</v>
      </c>
      <c r="T149" s="5"/>
      <c r="U149" s="4"/>
      <c r="V149" s="11"/>
      <c r="W149" s="4"/>
      <c r="X149" s="11"/>
      <c r="Y149" s="4"/>
      <c r="Z149" s="4"/>
      <c r="AA149" s="4"/>
      <c r="AB149" s="4"/>
      <c r="AC149" s="4"/>
      <c r="AD149" s="4"/>
      <c r="AE149" s="4"/>
      <c r="AF149" s="4"/>
      <c r="AG149" s="4"/>
      <c r="AH149" s="5"/>
      <c r="AI149" s="5"/>
      <c r="AJ149" s="5"/>
      <c r="AK149" s="5"/>
      <c r="AL149" s="5"/>
    </row>
    <row r="150">
      <c r="A150" s="4" t="str">
        <f>VLOOKUP(L150,payment_ids!C:D,2,FALSE)</f>
        <v>pay_HIUTPWW8Y3O3hQ</v>
      </c>
      <c r="B150" s="4"/>
      <c r="C150" s="4" t="s">
        <v>2601</v>
      </c>
      <c r="D150" s="4">
        <v>50065.0</v>
      </c>
      <c r="E150" s="5"/>
      <c r="F150" s="4">
        <v>1.0</v>
      </c>
      <c r="G150" s="4">
        <v>99.0</v>
      </c>
      <c r="H150" s="4"/>
      <c r="I150" s="4">
        <v>99.0</v>
      </c>
      <c r="J150" s="4" t="s">
        <v>2687</v>
      </c>
      <c r="K150" s="5">
        <f>+919877729858</f>
        <v>919877729858</v>
      </c>
      <c r="L150" s="4" t="str">
        <f t="shared" si="1"/>
        <v>riya.jain1297@gmail.com919877729858</v>
      </c>
      <c r="M150" s="10" t="s">
        <v>67</v>
      </c>
      <c r="N150" s="4" t="b">
        <v>0</v>
      </c>
      <c r="O150" s="4" t="str">
        <f>VLOOKUP(A150,payment_ids!D:E,2,FALSE)</f>
        <v>upi</v>
      </c>
      <c r="P150" s="4" t="s">
        <v>69</v>
      </c>
      <c r="Q150" s="11">
        <v>44261.506944444445</v>
      </c>
      <c r="R150" s="4"/>
      <c r="S150" s="12" t="s">
        <v>2604</v>
      </c>
      <c r="T150" s="5"/>
      <c r="U150" s="4"/>
      <c r="V150" s="11"/>
      <c r="W150" s="4"/>
      <c r="X150" s="11"/>
      <c r="Y150" s="4"/>
      <c r="Z150" s="4"/>
      <c r="AA150" s="4"/>
      <c r="AB150" s="4"/>
      <c r="AC150" s="4"/>
      <c r="AD150" s="4"/>
      <c r="AE150" s="4"/>
      <c r="AF150" s="4"/>
      <c r="AG150" s="4"/>
      <c r="AH150" s="5"/>
      <c r="AI150" s="5"/>
      <c r="AJ150" s="5"/>
      <c r="AK150" s="5"/>
      <c r="AL150" s="5"/>
    </row>
    <row r="151">
      <c r="A151" s="4" t="str">
        <f>VLOOKUP(L151,payment_ids!C:D,2,FALSE)</f>
        <v>pay_HJhEUcW9MelUBl</v>
      </c>
      <c r="B151" s="4"/>
      <c r="C151" s="4" t="s">
        <v>2601</v>
      </c>
      <c r="D151" s="4">
        <v>50065.0</v>
      </c>
      <c r="E151" s="5"/>
      <c r="F151" s="4">
        <v>1.0</v>
      </c>
      <c r="G151" s="4">
        <v>99.0</v>
      </c>
      <c r="H151" s="4"/>
      <c r="I151" s="4">
        <v>99.0</v>
      </c>
      <c r="J151" s="4" t="s">
        <v>2688</v>
      </c>
      <c r="K151" s="5">
        <f>+919535628559</f>
        <v>919535628559</v>
      </c>
      <c r="L151" s="4" t="str">
        <f t="shared" si="1"/>
        <v>ipsitaaagarwal@gmail.com919535628559</v>
      </c>
      <c r="M151" s="10" t="s">
        <v>67</v>
      </c>
      <c r="N151" s="4" t="b">
        <v>0</v>
      </c>
      <c r="O151" s="4" t="str">
        <f>VLOOKUP(A151,payment_ids!D:E,2,FALSE)</f>
        <v>upi</v>
      </c>
      <c r="P151" s="4" t="s">
        <v>69</v>
      </c>
      <c r="Q151" s="11">
        <v>44353.552777777775</v>
      </c>
      <c r="R151" s="4"/>
      <c r="S151" s="12" t="s">
        <v>2604</v>
      </c>
      <c r="T151" s="5"/>
      <c r="U151" s="4"/>
      <c r="V151" s="11"/>
      <c r="W151" s="4"/>
      <c r="X151" s="11"/>
      <c r="Y151" s="4"/>
      <c r="Z151" s="4"/>
      <c r="AA151" s="4"/>
      <c r="AB151" s="4"/>
      <c r="AC151" s="4"/>
      <c r="AD151" s="4"/>
      <c r="AE151" s="4"/>
      <c r="AF151" s="4"/>
      <c r="AG151" s="4"/>
      <c r="AH151" s="5"/>
      <c r="AI151" s="5"/>
      <c r="AJ151" s="5"/>
      <c r="AK151" s="5"/>
      <c r="AL151" s="5"/>
    </row>
    <row r="152">
      <c r="A152" s="4" t="str">
        <f>VLOOKUP(L152,payment_ids!C:D,2,FALSE)</f>
        <v>pay_HJnOdlGiNjnPl8</v>
      </c>
      <c r="B152" s="4"/>
      <c r="C152" s="4" t="s">
        <v>2601</v>
      </c>
      <c r="D152" s="4">
        <v>50065.0</v>
      </c>
      <c r="E152" s="5"/>
      <c r="F152" s="4">
        <v>1.0</v>
      </c>
      <c r="G152" s="4">
        <v>99.0</v>
      </c>
      <c r="H152" s="4"/>
      <c r="I152" s="4">
        <v>99.0</v>
      </c>
      <c r="J152" s="4" t="s">
        <v>2689</v>
      </c>
      <c r="K152" s="5">
        <f>+919912907700</f>
        <v>919912907700</v>
      </c>
      <c r="L152" s="4" t="str">
        <f t="shared" si="1"/>
        <v>tripryagarwal05@gmail.com919912907700</v>
      </c>
      <c r="M152" s="10" t="s">
        <v>67</v>
      </c>
      <c r="N152" s="4" t="b">
        <v>0</v>
      </c>
      <c r="O152" s="4" t="str">
        <f>VLOOKUP(A152,payment_ids!D:E,2,FALSE)</f>
        <v>upi</v>
      </c>
      <c r="P152" s="4" t="s">
        <v>69</v>
      </c>
      <c r="Q152" s="11">
        <v>44353.80416666667</v>
      </c>
      <c r="R152" s="4"/>
      <c r="S152" s="12" t="s">
        <v>2604</v>
      </c>
      <c r="T152" s="5"/>
      <c r="U152" s="4"/>
      <c r="V152" s="11"/>
      <c r="W152" s="4"/>
      <c r="X152" s="11"/>
      <c r="Y152" s="4"/>
      <c r="Z152" s="4"/>
      <c r="AA152" s="4"/>
      <c r="AB152" s="4"/>
      <c r="AC152" s="4"/>
      <c r="AD152" s="4"/>
      <c r="AE152" s="4"/>
      <c r="AF152" s="4"/>
      <c r="AG152" s="4"/>
      <c r="AH152" s="5"/>
      <c r="AI152" s="5"/>
      <c r="AJ152" s="5"/>
      <c r="AK152" s="5"/>
      <c r="AL152" s="5"/>
    </row>
    <row r="153">
      <c r="A153" s="4" t="str">
        <f>VLOOKUP(L153,payment_ids!C:D,2,FALSE)</f>
        <v>pay_HK47vjoCIXaJno</v>
      </c>
      <c r="B153" s="4"/>
      <c r="C153" s="4" t="s">
        <v>2601</v>
      </c>
      <c r="D153" s="4">
        <v>50065.0</v>
      </c>
      <c r="E153" s="5"/>
      <c r="F153" s="4">
        <v>6.0</v>
      </c>
      <c r="G153" s="4">
        <v>349.0</v>
      </c>
      <c r="H153" s="4"/>
      <c r="I153" s="4">
        <v>349.0</v>
      </c>
      <c r="J153" s="4" t="s">
        <v>2690</v>
      </c>
      <c r="K153" s="5">
        <f>+919878023860</f>
        <v>919878023860</v>
      </c>
      <c r="L153" s="4" t="str">
        <f t="shared" si="1"/>
        <v>amitagupta72@gmail.com919878023860</v>
      </c>
      <c r="M153" s="10" t="s">
        <v>67</v>
      </c>
      <c r="N153" s="4" t="b">
        <v>0</v>
      </c>
      <c r="O153" s="4" t="str">
        <f>VLOOKUP(A153,payment_ids!D:E,2,FALSE)</f>
        <v>upi</v>
      </c>
      <c r="P153" s="4" t="s">
        <v>69</v>
      </c>
      <c r="Q153" s="11">
        <v>44383.48888888889</v>
      </c>
      <c r="R153" s="4"/>
      <c r="S153" s="12" t="s">
        <v>2604</v>
      </c>
      <c r="T153" s="5"/>
      <c r="U153" s="4"/>
      <c r="V153" s="11"/>
      <c r="W153" s="4"/>
      <c r="X153" s="11"/>
      <c r="Y153" s="4"/>
      <c r="Z153" s="4"/>
      <c r="AA153" s="4"/>
      <c r="AB153" s="4"/>
      <c r="AC153" s="4"/>
      <c r="AD153" s="4"/>
      <c r="AE153" s="4"/>
      <c r="AF153" s="4"/>
      <c r="AG153" s="4"/>
      <c r="AH153" s="5"/>
      <c r="AI153" s="5"/>
      <c r="AJ153" s="5"/>
      <c r="AK153" s="5"/>
      <c r="AL153" s="5"/>
    </row>
    <row r="154">
      <c r="A154" s="4" t="str">
        <f>VLOOKUP(L154,payment_ids!C:D,2,FALSE)</f>
        <v>pay_HKF2JaDdT2xqbZ</v>
      </c>
      <c r="B154" s="4"/>
      <c r="C154" s="4" t="s">
        <v>2601</v>
      </c>
      <c r="D154" s="4">
        <v>50065.0</v>
      </c>
      <c r="E154" s="5"/>
      <c r="F154" s="4">
        <v>6.0</v>
      </c>
      <c r="G154" s="4">
        <v>349.0</v>
      </c>
      <c r="H154" s="4"/>
      <c r="I154" s="4">
        <v>349.0</v>
      </c>
      <c r="J154" s="4" t="s">
        <v>2691</v>
      </c>
      <c r="K154" s="5">
        <f>+919845491945</f>
        <v>919845491945</v>
      </c>
      <c r="L154" s="4" t="str">
        <f t="shared" si="1"/>
        <v>bsk@kambargroup.com919845491945</v>
      </c>
      <c r="M154" s="10" t="s">
        <v>67</v>
      </c>
      <c r="N154" s="4" t="b">
        <v>0</v>
      </c>
      <c r="O154" s="4" t="str">
        <f>VLOOKUP(A154,payment_ids!D:E,2,FALSE)</f>
        <v>upi</v>
      </c>
      <c r="P154" s="4" t="s">
        <v>69</v>
      </c>
      <c r="Q154" s="11">
        <v>44383.93125</v>
      </c>
      <c r="R154" s="4"/>
      <c r="S154" s="12" t="s">
        <v>2604</v>
      </c>
      <c r="T154" s="5"/>
      <c r="U154" s="4"/>
      <c r="V154" s="11"/>
      <c r="W154" s="4"/>
      <c r="X154" s="11"/>
      <c r="Y154" s="4"/>
      <c r="Z154" s="4"/>
      <c r="AA154" s="4"/>
      <c r="AB154" s="4"/>
      <c r="AC154" s="4"/>
      <c r="AD154" s="4"/>
      <c r="AE154" s="4"/>
      <c r="AF154" s="4"/>
      <c r="AG154" s="4"/>
      <c r="AH154" s="5"/>
      <c r="AI154" s="5"/>
      <c r="AJ154" s="5"/>
      <c r="AK154" s="5"/>
      <c r="AL154" s="5"/>
    </row>
    <row r="155">
      <c r="A155" s="4" t="str">
        <f>VLOOKUP(L155,payment_ids!C:D,2,FALSE)</f>
        <v>pay_HKPbCdvyUZG2Gu</v>
      </c>
      <c r="B155" s="4"/>
      <c r="C155" s="4" t="s">
        <v>2601</v>
      </c>
      <c r="D155" s="4">
        <v>50065.0</v>
      </c>
      <c r="E155" s="5"/>
      <c r="F155" s="4">
        <v>1.0</v>
      </c>
      <c r="G155" s="4">
        <v>99.0</v>
      </c>
      <c r="H155" s="4"/>
      <c r="I155" s="4">
        <v>99.0</v>
      </c>
      <c r="J155" s="4" t="s">
        <v>2692</v>
      </c>
      <c r="K155" s="5">
        <f>+918390258878</f>
        <v>918390258878</v>
      </c>
      <c r="L155" s="4" t="str">
        <f t="shared" si="1"/>
        <v>revathypanicker93@gmail.com918390258878</v>
      </c>
      <c r="M155" s="10" t="s">
        <v>67</v>
      </c>
      <c r="N155" s="4" t="b">
        <v>0</v>
      </c>
      <c r="O155" s="4" t="str">
        <f>VLOOKUP(A155,payment_ids!D:E,2,FALSE)</f>
        <v>upi</v>
      </c>
      <c r="P155" s="4" t="s">
        <v>69</v>
      </c>
      <c r="Q155" s="11">
        <v>44414.36111111111</v>
      </c>
      <c r="R155" s="4"/>
      <c r="S155" s="12" t="s">
        <v>2604</v>
      </c>
      <c r="T155" s="5"/>
      <c r="U155" s="4"/>
      <c r="V155" s="11"/>
      <c r="W155" s="4"/>
      <c r="X155" s="11"/>
      <c r="Y155" s="4"/>
      <c r="Z155" s="4"/>
      <c r="AA155" s="4"/>
      <c r="AB155" s="4"/>
      <c r="AC155" s="4"/>
      <c r="AD155" s="4"/>
      <c r="AE155" s="4"/>
      <c r="AF155" s="4"/>
      <c r="AG155" s="4"/>
      <c r="AH155" s="5"/>
      <c r="AI155" s="5"/>
      <c r="AJ155" s="5"/>
      <c r="AK155" s="5"/>
      <c r="AL155" s="5"/>
    </row>
    <row r="156">
      <c r="A156" s="4" t="str">
        <f>VLOOKUP(L156,payment_ids!C:D,2,FALSE)</f>
        <v>pay_HKaC5cEhT5ndgZ</v>
      </c>
      <c r="B156" s="4"/>
      <c r="C156" s="4" t="s">
        <v>2601</v>
      </c>
      <c r="D156" s="4">
        <v>50065.0</v>
      </c>
      <c r="E156" s="5"/>
      <c r="F156" s="4">
        <v>6.0</v>
      </c>
      <c r="G156" s="4">
        <v>349.0</v>
      </c>
      <c r="H156" s="4"/>
      <c r="I156" s="4">
        <v>349.0</v>
      </c>
      <c r="J156" s="4" t="s">
        <v>2693</v>
      </c>
      <c r="K156" s="5">
        <f>+919632832897</f>
        <v>919632832897</v>
      </c>
      <c r="L156" s="4" t="str">
        <f t="shared" si="1"/>
        <v>virtuousvp@gmail.com919632832897</v>
      </c>
      <c r="M156" s="10" t="s">
        <v>67</v>
      </c>
      <c r="N156" s="4" t="b">
        <v>0</v>
      </c>
      <c r="O156" s="4" t="str">
        <f>VLOOKUP(A156,payment_ids!D:E,2,FALSE)</f>
        <v>upi</v>
      </c>
      <c r="P156" s="4" t="s">
        <v>69</v>
      </c>
      <c r="Q156" s="11">
        <v>44414.79375</v>
      </c>
      <c r="R156" s="4"/>
      <c r="S156" s="12" t="s">
        <v>2604</v>
      </c>
      <c r="T156" s="4" t="s">
        <v>2444</v>
      </c>
      <c r="U156" s="4"/>
      <c r="V156" s="11"/>
      <c r="W156" s="4"/>
      <c r="X156" s="11"/>
      <c r="Y156" s="4"/>
      <c r="Z156" s="4"/>
      <c r="AA156" s="4"/>
      <c r="AB156" s="4"/>
      <c r="AC156" s="4"/>
      <c r="AD156" s="4"/>
      <c r="AE156" s="4"/>
      <c r="AF156" s="4"/>
      <c r="AG156" s="4"/>
      <c r="AH156" s="5"/>
      <c r="AI156" s="5"/>
      <c r="AJ156" s="5"/>
      <c r="AK156" s="5"/>
      <c r="AL156" s="5"/>
    </row>
    <row r="157">
      <c r="A157" s="4" t="str">
        <f>VLOOKUP(L157,payment_ids!C:D,2,FALSE)</f>
        <v>pay_H8x8OqO9wLkc3T</v>
      </c>
      <c r="B157" s="4"/>
      <c r="C157" s="4" t="s">
        <v>2601</v>
      </c>
      <c r="D157" s="4">
        <v>50065.0</v>
      </c>
      <c r="E157" s="4"/>
      <c r="F157" s="4">
        <v>1.0</v>
      </c>
      <c r="G157" s="4">
        <v>99.0</v>
      </c>
      <c r="H157" s="4"/>
      <c r="I157" s="4">
        <v>99.0</v>
      </c>
      <c r="J157" s="4" t="s">
        <v>2694</v>
      </c>
      <c r="K157" s="6">
        <f>+918374556150</f>
        <v>918374556150</v>
      </c>
      <c r="L157" s="4" t="str">
        <f t="shared" si="1"/>
        <v>navyachandragiri.nc@gmail.com918374556150</v>
      </c>
      <c r="M157" s="10" t="s">
        <v>67</v>
      </c>
      <c r="N157" s="4" t="b">
        <v>0</v>
      </c>
      <c r="O157" s="4" t="str">
        <f>VLOOKUP(A157,payment_ids!D:E,2,FALSE)</f>
        <v>upi</v>
      </c>
      <c r="P157" s="4" t="s">
        <v>69</v>
      </c>
      <c r="Q157" s="11">
        <v>44474.40416666667</v>
      </c>
      <c r="R157" s="4"/>
      <c r="S157" s="12" t="s">
        <v>2604</v>
      </c>
      <c r="T157" s="4"/>
      <c r="U157" s="4"/>
      <c r="V157" s="11"/>
      <c r="W157" s="4"/>
      <c r="X157" s="11"/>
      <c r="Y157" s="4"/>
      <c r="Z157" s="4"/>
      <c r="AA157" s="4"/>
      <c r="AB157" s="4"/>
      <c r="AC157" s="4"/>
      <c r="AD157" s="4"/>
      <c r="AE157" s="4"/>
      <c r="AF157" s="4"/>
      <c r="AG157" s="4"/>
      <c r="AH157" s="5"/>
      <c r="AI157" s="5"/>
      <c r="AJ157" s="5"/>
      <c r="AK157" s="5"/>
      <c r="AL157" s="5"/>
    </row>
    <row r="158">
      <c r="A158" s="4" t="str">
        <f>VLOOKUP(L158,payment_ids!C:D,2,FALSE)</f>
        <v>pay_H99uhM4GF7ylAD</v>
      </c>
      <c r="B158" s="4"/>
      <c r="C158" s="4" t="s">
        <v>2601</v>
      </c>
      <c r="D158" s="4">
        <v>50065.0</v>
      </c>
      <c r="E158" s="4"/>
      <c r="F158" s="4">
        <v>3.0</v>
      </c>
      <c r="G158" s="4">
        <v>199.0</v>
      </c>
      <c r="H158" s="4"/>
      <c r="I158" s="4">
        <v>199.0</v>
      </c>
      <c r="J158" s="4" t="s">
        <v>2695</v>
      </c>
      <c r="K158" s="6">
        <f>+918075814326</f>
        <v>918075814326</v>
      </c>
      <c r="L158" s="4" t="str">
        <f t="shared" si="1"/>
        <v>sreelkshmy@gmail.com918075814326</v>
      </c>
      <c r="M158" s="10" t="s">
        <v>67</v>
      </c>
      <c r="N158" s="4" t="b">
        <v>0</v>
      </c>
      <c r="O158" s="4" t="str">
        <f>VLOOKUP(A158,payment_ids!D:E,2,FALSE)</f>
        <v>upi</v>
      </c>
      <c r="P158" s="4" t="s">
        <v>69</v>
      </c>
      <c r="Q158" s="11">
        <v>44474.924305555556</v>
      </c>
      <c r="R158" s="4"/>
      <c r="S158" s="12" t="s">
        <v>2604</v>
      </c>
      <c r="T158" s="4"/>
      <c r="U158" s="4"/>
      <c r="V158" s="11"/>
      <c r="W158" s="4"/>
      <c r="X158" s="11"/>
      <c r="Y158" s="4"/>
      <c r="Z158" s="4"/>
      <c r="AA158" s="4"/>
      <c r="AB158" s="4"/>
      <c r="AC158" s="4"/>
      <c r="AD158" s="4"/>
      <c r="AE158" s="4"/>
      <c r="AF158" s="4"/>
      <c r="AG158" s="4"/>
      <c r="AH158" s="5"/>
      <c r="AI158" s="5"/>
      <c r="AJ158" s="5"/>
      <c r="AK158" s="5"/>
      <c r="AL158" s="5"/>
    </row>
    <row r="159">
      <c r="A159" s="4" t="str">
        <f>VLOOKUP(L159,payment_ids!C:D,2,FALSE)</f>
        <v>pay_H9EJOPWGq50p22</v>
      </c>
      <c r="B159" s="4"/>
      <c r="C159" s="4" t="s">
        <v>2601</v>
      </c>
      <c r="D159" s="4">
        <v>50065.0</v>
      </c>
      <c r="E159" s="4"/>
      <c r="F159" s="4">
        <v>1.0</v>
      </c>
      <c r="G159" s="4">
        <v>99.0</v>
      </c>
      <c r="H159" s="4"/>
      <c r="I159" s="4">
        <v>99.0</v>
      </c>
      <c r="J159" s="4" t="s">
        <v>2696</v>
      </c>
      <c r="K159" s="6">
        <f>+918919172518</f>
        <v>918919172518</v>
      </c>
      <c r="L159" s="4" t="str">
        <f t="shared" si="1"/>
        <v>soldiernida@gmail.com918919172518</v>
      </c>
      <c r="M159" s="10" t="s">
        <v>67</v>
      </c>
      <c r="N159" s="4" t="b">
        <v>0</v>
      </c>
      <c r="O159" s="4" t="str">
        <f>VLOOKUP(A159,payment_ids!D:E,2,FALSE)</f>
        <v>upi</v>
      </c>
      <c r="P159" s="4" t="s">
        <v>69</v>
      </c>
      <c r="Q159" s="11">
        <v>44505.103472222225</v>
      </c>
      <c r="R159" s="4"/>
      <c r="S159" s="12" t="s">
        <v>2604</v>
      </c>
      <c r="T159" s="4"/>
      <c r="U159" s="4"/>
      <c r="V159" s="11"/>
      <c r="W159" s="4"/>
      <c r="X159" s="11"/>
      <c r="Y159" s="4"/>
      <c r="Z159" s="4"/>
      <c r="AA159" s="4"/>
      <c r="AB159" s="4"/>
      <c r="AC159" s="4"/>
      <c r="AD159" s="4"/>
      <c r="AE159" s="4"/>
      <c r="AF159" s="4"/>
      <c r="AG159" s="4"/>
      <c r="AH159" s="5"/>
      <c r="AI159" s="5"/>
      <c r="AJ159" s="5"/>
      <c r="AK159" s="5"/>
      <c r="AL159" s="5"/>
    </row>
    <row r="160">
      <c r="A160" s="4" t="str">
        <f>VLOOKUP(L160,payment_ids!C:D,2,FALSE)</f>
        <v>pay_H9Ghc2CZygWTuZ</v>
      </c>
      <c r="B160" s="4"/>
      <c r="C160" s="4" t="s">
        <v>2601</v>
      </c>
      <c r="D160" s="4">
        <v>50065.0</v>
      </c>
      <c r="E160" s="4"/>
      <c r="F160" s="4">
        <v>1.0</v>
      </c>
      <c r="G160" s="4">
        <v>99.0</v>
      </c>
      <c r="H160" s="4"/>
      <c r="I160" s="4">
        <v>99.0</v>
      </c>
      <c r="J160" s="4" t="s">
        <v>2697</v>
      </c>
      <c r="K160" s="6">
        <f>+918789218952</f>
        <v>918789218952</v>
      </c>
      <c r="L160" s="4" t="str">
        <f t="shared" si="1"/>
        <v>purnimaroy0807@gmail.com918789218952</v>
      </c>
      <c r="M160" s="10" t="s">
        <v>67</v>
      </c>
      <c r="N160" s="4" t="b">
        <v>0</v>
      </c>
      <c r="O160" s="4" t="str">
        <f>VLOOKUP(A160,payment_ids!D:E,2,FALSE)</f>
        <v>upi</v>
      </c>
      <c r="P160" s="4" t="s">
        <v>69</v>
      </c>
      <c r="Q160" s="11">
        <v>44505.200694444444</v>
      </c>
      <c r="R160" s="4"/>
      <c r="S160" s="12" t="s">
        <v>2604</v>
      </c>
      <c r="T160" s="4"/>
      <c r="U160" s="4"/>
      <c r="V160" s="11"/>
      <c r="W160" s="4"/>
      <c r="X160" s="11"/>
      <c r="Y160" s="4"/>
      <c r="Z160" s="4"/>
      <c r="AA160" s="4"/>
      <c r="AB160" s="4"/>
      <c r="AC160" s="4"/>
      <c r="AD160" s="4"/>
      <c r="AE160" s="4"/>
      <c r="AF160" s="4"/>
      <c r="AG160" s="4"/>
      <c r="AH160" s="5"/>
      <c r="AI160" s="5"/>
      <c r="AJ160" s="5"/>
      <c r="AK160" s="5"/>
      <c r="AL160" s="5"/>
    </row>
    <row r="161">
      <c r="A161" s="4" t="str">
        <f>VLOOKUP(L161,payment_ids!C:D,2,FALSE)</f>
        <v>pay_HL2ppO5cIO7FZG</v>
      </c>
      <c r="B161" s="4"/>
      <c r="C161" s="4" t="s">
        <v>2601</v>
      </c>
      <c r="D161" s="4">
        <v>50065.0</v>
      </c>
      <c r="E161" s="5"/>
      <c r="F161" s="4">
        <v>1.0</v>
      </c>
      <c r="G161" s="4">
        <v>349.0</v>
      </c>
      <c r="H161" s="4"/>
      <c r="I161" s="4">
        <v>349.0</v>
      </c>
      <c r="J161" s="4" t="s">
        <v>2698</v>
      </c>
      <c r="K161" s="5">
        <f>+919366199127</f>
        <v>919366199127</v>
      </c>
      <c r="L161" s="4" t="str">
        <f t="shared" si="1"/>
        <v>adas.apple7@gmail.com919366199127</v>
      </c>
      <c r="M161" s="10" t="s">
        <v>67</v>
      </c>
      <c r="N161" s="4" t="b">
        <v>0</v>
      </c>
      <c r="O161" s="4" t="str">
        <f>VLOOKUP(A161,payment_ids!D:E,2,FALSE)</f>
        <v>upi</v>
      </c>
      <c r="P161" s="4" t="s">
        <v>69</v>
      </c>
      <c r="Q161" s="11">
        <v>44445.961805555555</v>
      </c>
      <c r="R161" s="4"/>
      <c r="S161" s="12" t="s">
        <v>2604</v>
      </c>
      <c r="T161" s="4" t="s">
        <v>2444</v>
      </c>
      <c r="U161" s="4"/>
      <c r="V161" s="11"/>
      <c r="W161" s="4"/>
      <c r="X161" s="11"/>
      <c r="Y161" s="4"/>
      <c r="Z161" s="4"/>
      <c r="AA161" s="4"/>
      <c r="AB161" s="4"/>
      <c r="AC161" s="4"/>
      <c r="AD161" s="4"/>
      <c r="AE161" s="4"/>
      <c r="AF161" s="4"/>
      <c r="AG161" s="4"/>
      <c r="AH161" s="5"/>
      <c r="AI161" s="5"/>
      <c r="AJ161" s="5"/>
      <c r="AK161" s="5"/>
      <c r="AL161" s="5"/>
    </row>
    <row r="162">
      <c r="A162" s="4" t="str">
        <f>VLOOKUP(L162,payment_ids!C:D,2,FALSE)</f>
        <v>pay_HLRqd2Leju83He</v>
      </c>
      <c r="B162" s="4"/>
      <c r="C162" s="4" t="s">
        <v>2601</v>
      </c>
      <c r="D162" s="4">
        <v>50065.0</v>
      </c>
      <c r="E162" s="5"/>
      <c r="F162" s="4">
        <v>1.0</v>
      </c>
      <c r="G162" s="4">
        <v>349.0</v>
      </c>
      <c r="H162" s="4"/>
      <c r="I162" s="4">
        <v>349.0</v>
      </c>
      <c r="J162" s="4" t="s">
        <v>2699</v>
      </c>
      <c r="K162" s="5">
        <f>+917291925134</f>
        <v>917291925134</v>
      </c>
      <c r="L162" s="4" t="str">
        <f t="shared" si="1"/>
        <v>aashna.arora2912@gmail.com917291925134</v>
      </c>
      <c r="M162" s="10" t="s">
        <v>67</v>
      </c>
      <c r="N162" s="4" t="b">
        <v>0</v>
      </c>
      <c r="O162" s="4" t="str">
        <f>VLOOKUP(A162,payment_ids!D:E,2,FALSE)</f>
        <v>upi</v>
      </c>
      <c r="P162" s="4" t="s">
        <v>69</v>
      </c>
      <c r="Q162" s="11">
        <v>44475.98055555556</v>
      </c>
      <c r="R162" s="4"/>
      <c r="S162" s="12" t="s">
        <v>2604</v>
      </c>
      <c r="T162" s="4" t="s">
        <v>2444</v>
      </c>
      <c r="U162" s="4"/>
      <c r="V162" s="11"/>
      <c r="W162" s="4"/>
      <c r="X162" s="11"/>
      <c r="Y162" s="4"/>
      <c r="Z162" s="4"/>
      <c r="AA162" s="4"/>
      <c r="AB162" s="4"/>
      <c r="AC162" s="4"/>
      <c r="AD162" s="4"/>
      <c r="AE162" s="4"/>
      <c r="AF162" s="4"/>
      <c r="AG162" s="4"/>
      <c r="AH162" s="5"/>
      <c r="AI162" s="5"/>
      <c r="AJ162" s="5"/>
      <c r="AK162" s="5"/>
      <c r="AL162" s="5"/>
    </row>
    <row r="163">
      <c r="A163" s="4" t="str">
        <f>VLOOKUP(L163,payment_ids!C:D,2,FALSE)</f>
        <v>pay_HONGRSUAPVNfCS</v>
      </c>
      <c r="B163" s="4"/>
      <c r="C163" s="4" t="s">
        <v>2601</v>
      </c>
      <c r="D163" s="4">
        <v>50065.0</v>
      </c>
      <c r="E163" s="5"/>
      <c r="F163" s="4">
        <v>3.0</v>
      </c>
      <c r="G163" s="4">
        <v>599.0</v>
      </c>
      <c r="H163" s="4"/>
      <c r="I163" s="4">
        <v>599.0</v>
      </c>
      <c r="J163" s="4" t="s">
        <v>2700</v>
      </c>
      <c r="K163" s="5">
        <f>+919911158695</f>
        <v>919911158695</v>
      </c>
      <c r="L163" s="4" t="str">
        <f t="shared" si="1"/>
        <v>kuwalekar.prajakta@gmail.com919911158695</v>
      </c>
      <c r="M163" s="10" t="s">
        <v>67</v>
      </c>
      <c r="N163" s="4" t="b">
        <v>0</v>
      </c>
      <c r="O163" s="4" t="str">
        <f>VLOOKUP(A163,payment_ids!D:E,2,FALSE)</f>
        <v>card</v>
      </c>
      <c r="P163" s="4" t="s">
        <v>69</v>
      </c>
      <c r="Q163" s="4" t="s">
        <v>2701</v>
      </c>
      <c r="R163" s="4"/>
      <c r="S163" s="12" t="s">
        <v>2604</v>
      </c>
      <c r="T163" s="4" t="s">
        <v>2444</v>
      </c>
      <c r="U163" s="4"/>
      <c r="V163" s="11"/>
      <c r="W163" s="4"/>
      <c r="X163" s="11"/>
      <c r="Y163" s="4"/>
      <c r="Z163" s="4"/>
      <c r="AA163" s="4"/>
      <c r="AB163" s="4"/>
      <c r="AC163" s="4"/>
      <c r="AD163" s="4"/>
      <c r="AE163" s="4"/>
      <c r="AF163" s="4"/>
      <c r="AG163" s="4"/>
      <c r="AH163" s="5"/>
      <c r="AI163" s="5"/>
      <c r="AJ163" s="5"/>
      <c r="AK163" s="5"/>
      <c r="AL163" s="5"/>
    </row>
    <row r="164">
      <c r="A164" s="4" t="str">
        <f>VLOOKUP(L164,payment_ids!C:D,2,FALSE)</f>
        <v>pay_H6IQ6rjURebAEN</v>
      </c>
      <c r="B164" s="4"/>
      <c r="C164" s="4" t="s">
        <v>2702</v>
      </c>
      <c r="D164" s="4">
        <v>50015.0</v>
      </c>
      <c r="E164" s="4"/>
      <c r="F164" s="4">
        <v>1.0</v>
      </c>
      <c r="G164" s="4">
        <v>99.0</v>
      </c>
      <c r="H164" s="4"/>
      <c r="I164" s="4">
        <v>99.0</v>
      </c>
      <c r="J164" s="4" t="s">
        <v>2703</v>
      </c>
      <c r="K164" s="6">
        <f>+917838168936</f>
        <v>917838168936</v>
      </c>
      <c r="L164" s="4" t="str">
        <f t="shared" si="1"/>
        <v>akshita.bpsmv@gmail.com917838168936</v>
      </c>
      <c r="M164" s="10" t="s">
        <v>67</v>
      </c>
      <c r="N164" s="4" t="b">
        <v>0</v>
      </c>
      <c r="O164" s="4" t="str">
        <f>VLOOKUP(A164,payment_ids!D:E,2,FALSE)</f>
        <v>upi</v>
      </c>
      <c r="P164" s="4" t="s">
        <v>69</v>
      </c>
      <c r="Q164" s="11">
        <v>44260.68958333333</v>
      </c>
      <c r="R164" s="4"/>
      <c r="S164" s="12" t="s">
        <v>2704</v>
      </c>
      <c r="T164" s="4"/>
      <c r="U164" s="4"/>
      <c r="V164" s="11"/>
      <c r="W164" s="4"/>
      <c r="X164" s="11"/>
      <c r="Y164" s="4"/>
      <c r="Z164" s="4"/>
      <c r="AA164" s="4"/>
      <c r="AB164" s="4"/>
      <c r="AC164" s="4"/>
      <c r="AD164" s="4"/>
      <c r="AE164" s="4"/>
      <c r="AF164" s="4"/>
      <c r="AG164" s="4"/>
      <c r="AH164" s="5"/>
      <c r="AI164" s="5"/>
      <c r="AJ164" s="5"/>
      <c r="AK164" s="5"/>
      <c r="AL164" s="5"/>
    </row>
    <row r="165">
      <c r="A165" s="4" t="str">
        <f>VLOOKUP(L165,payment_ids!C:D,2,FALSE)</f>
        <v>pay_H6oOcVynxOWYMI</v>
      </c>
      <c r="B165" s="4"/>
      <c r="C165" s="4" t="s">
        <v>2702</v>
      </c>
      <c r="D165" s="4">
        <v>50015.0</v>
      </c>
      <c r="E165" s="4"/>
      <c r="F165" s="4">
        <v>1.0</v>
      </c>
      <c r="G165" s="4">
        <v>99.0</v>
      </c>
      <c r="H165" s="4"/>
      <c r="I165" s="4">
        <v>99.0</v>
      </c>
      <c r="J165" s="4" t="s">
        <v>2705</v>
      </c>
      <c r="K165" s="6">
        <f>+917584018683</f>
        <v>917584018683</v>
      </c>
      <c r="L165" s="4" t="str">
        <f t="shared" si="1"/>
        <v>freelanceryunesh@gmail.com917584018683</v>
      </c>
      <c r="M165" s="10" t="s">
        <v>67</v>
      </c>
      <c r="N165" s="4" t="b">
        <v>0</v>
      </c>
      <c r="O165" s="4" t="str">
        <f>VLOOKUP(A165,payment_ids!D:E,2,FALSE)</f>
        <v>card</v>
      </c>
      <c r="P165" s="4" t="s">
        <v>69</v>
      </c>
      <c r="Q165" s="11">
        <v>44291.993055555555</v>
      </c>
      <c r="R165" s="4"/>
      <c r="S165" s="12" t="s">
        <v>2704</v>
      </c>
      <c r="T165" s="4"/>
      <c r="U165" s="4"/>
      <c r="V165" s="11"/>
      <c r="W165" s="4"/>
      <c r="X165" s="11"/>
      <c r="Y165" s="4"/>
      <c r="Z165" s="4"/>
      <c r="AA165" s="4"/>
      <c r="AB165" s="4"/>
      <c r="AC165" s="4"/>
      <c r="AD165" s="4"/>
      <c r="AE165" s="4"/>
      <c r="AF165" s="4"/>
      <c r="AG165" s="4"/>
      <c r="AH165" s="5"/>
      <c r="AI165" s="5"/>
      <c r="AJ165" s="5"/>
      <c r="AK165" s="5"/>
      <c r="AL165" s="5"/>
    </row>
    <row r="166">
      <c r="A166" s="4" t="str">
        <f>VLOOKUP(L166,payment_ids!C:D,2,FALSE)</f>
        <v>pay_H7CMHJ0mIF2psI</v>
      </c>
      <c r="B166" s="4"/>
      <c r="C166" s="4" t="s">
        <v>2702</v>
      </c>
      <c r="D166" s="4">
        <v>50015.0</v>
      </c>
      <c r="E166" s="4"/>
      <c r="F166" s="4">
        <v>1.0</v>
      </c>
      <c r="G166" s="4">
        <v>99.0</v>
      </c>
      <c r="H166" s="4"/>
      <c r="I166" s="4">
        <v>99.0</v>
      </c>
      <c r="J166" s="4" t="s">
        <v>2706</v>
      </c>
      <c r="K166" s="6">
        <f>+918208537763</f>
        <v>918208537763</v>
      </c>
      <c r="L166" s="4" t="str">
        <f t="shared" si="1"/>
        <v>drsumeetneurology@gmail.com918208537763</v>
      </c>
      <c r="M166" s="10" t="s">
        <v>67</v>
      </c>
      <c r="N166" s="4" t="b">
        <v>0</v>
      </c>
      <c r="O166" s="4" t="str">
        <f>VLOOKUP(A166,payment_ids!D:E,2,FALSE)</f>
        <v>upi</v>
      </c>
      <c r="P166" s="4" t="s">
        <v>69</v>
      </c>
      <c r="Q166" s="11">
        <v>44321.96944444445</v>
      </c>
      <c r="R166" s="4"/>
      <c r="S166" s="12" t="s">
        <v>2704</v>
      </c>
      <c r="T166" s="4"/>
      <c r="U166" s="4"/>
      <c r="V166" s="11"/>
      <c r="W166" s="4"/>
      <c r="X166" s="11"/>
      <c r="Y166" s="4"/>
      <c r="Z166" s="4"/>
      <c r="AA166" s="4"/>
      <c r="AB166" s="4"/>
      <c r="AC166" s="4"/>
      <c r="AD166" s="4"/>
      <c r="AE166" s="4"/>
      <c r="AF166" s="4"/>
      <c r="AG166" s="4"/>
      <c r="AH166" s="5"/>
      <c r="AI166" s="5"/>
      <c r="AJ166" s="5"/>
      <c r="AK166" s="5"/>
      <c r="AL166" s="5"/>
    </row>
    <row r="167">
      <c r="A167" s="4" t="str">
        <f>VLOOKUP(L167,payment_ids!C:D,2,FALSE)</f>
        <v>pay_H7VFJzTC058KCd</v>
      </c>
      <c r="B167" s="4"/>
      <c r="C167" s="4" t="s">
        <v>2702</v>
      </c>
      <c r="D167" s="4">
        <v>50015.0</v>
      </c>
      <c r="E167" s="4"/>
      <c r="F167" s="4">
        <v>6.0</v>
      </c>
      <c r="G167" s="4">
        <v>499.0</v>
      </c>
      <c r="H167" s="4"/>
      <c r="I167" s="4">
        <v>499.0</v>
      </c>
      <c r="J167" s="4" t="s">
        <v>2707</v>
      </c>
      <c r="K167" s="6">
        <f>+919886534084</f>
        <v>919886534084</v>
      </c>
      <c r="L167" s="4" t="str">
        <f t="shared" si="1"/>
        <v>roopak@ncredibles.com919886534084</v>
      </c>
      <c r="M167" s="10" t="s">
        <v>67</v>
      </c>
      <c r="N167" s="4" t="b">
        <v>0</v>
      </c>
      <c r="O167" s="4" t="str">
        <f>VLOOKUP(A167,payment_ids!D:E,2,FALSE)</f>
        <v>upi</v>
      </c>
      <c r="P167" s="4" t="s">
        <v>69</v>
      </c>
      <c r="Q167" s="11">
        <v>44352.739583333336</v>
      </c>
      <c r="R167" s="4"/>
      <c r="S167" s="12" t="s">
        <v>2704</v>
      </c>
      <c r="T167" s="4"/>
      <c r="U167" s="4"/>
      <c r="V167" s="11"/>
      <c r="W167" s="4"/>
      <c r="X167" s="11"/>
      <c r="Y167" s="4"/>
      <c r="Z167" s="4"/>
      <c r="AA167" s="4"/>
      <c r="AB167" s="4"/>
      <c r="AC167" s="4"/>
      <c r="AD167" s="4"/>
      <c r="AE167" s="4"/>
      <c r="AF167" s="4"/>
      <c r="AG167" s="4"/>
      <c r="AH167" s="5"/>
      <c r="AI167" s="5"/>
      <c r="AJ167" s="5"/>
      <c r="AK167" s="5"/>
      <c r="AL167" s="5"/>
    </row>
    <row r="168">
      <c r="A168" s="4" t="str">
        <f>VLOOKUP(L168,payment_ids!C:D,2,FALSE)</f>
        <v>pay_H7XUhOeWTgzNwp</v>
      </c>
      <c r="B168" s="4"/>
      <c r="C168" s="4" t="s">
        <v>2702</v>
      </c>
      <c r="D168" s="4">
        <v>50015.0</v>
      </c>
      <c r="E168" s="4"/>
      <c r="F168" s="4">
        <v>1.0</v>
      </c>
      <c r="G168" s="4">
        <v>99.0</v>
      </c>
      <c r="H168" s="4"/>
      <c r="I168" s="4">
        <v>99.0</v>
      </c>
      <c r="J168" s="4" t="s">
        <v>2708</v>
      </c>
      <c r="K168" s="6">
        <f>+919503168128</f>
        <v>919503168128</v>
      </c>
      <c r="L168" s="4" t="str">
        <f t="shared" si="1"/>
        <v>chawat.ravi@gmail.com919503168128</v>
      </c>
      <c r="M168" s="10" t="s">
        <v>67</v>
      </c>
      <c r="N168" s="4" t="b">
        <v>0</v>
      </c>
      <c r="O168" s="4" t="str">
        <f>VLOOKUP(A168,payment_ids!D:E,2,FALSE)</f>
        <v>upi</v>
      </c>
      <c r="P168" s="4" t="s">
        <v>69</v>
      </c>
      <c r="Q168" s="11">
        <v>44352.83125</v>
      </c>
      <c r="R168" s="4"/>
      <c r="S168" s="12" t="s">
        <v>2704</v>
      </c>
      <c r="T168" s="4"/>
      <c r="U168" s="4"/>
      <c r="V168" s="11"/>
      <c r="W168" s="4"/>
      <c r="X168" s="11"/>
      <c r="Y168" s="4"/>
      <c r="Z168" s="4"/>
      <c r="AA168" s="4"/>
      <c r="AB168" s="4"/>
      <c r="AC168" s="4"/>
      <c r="AD168" s="4"/>
      <c r="AE168" s="4"/>
      <c r="AF168" s="4"/>
      <c r="AG168" s="4"/>
      <c r="AH168" s="5"/>
      <c r="AI168" s="5"/>
      <c r="AJ168" s="5"/>
      <c r="AK168" s="5"/>
      <c r="AL168" s="5"/>
    </row>
    <row r="169">
      <c r="A169" s="4" t="str">
        <f>VLOOKUP(L169,payment_ids!C:D,2,FALSE)</f>
        <v>pay_H7sSE4kypNEg4E</v>
      </c>
      <c r="B169" s="4"/>
      <c r="C169" s="4" t="s">
        <v>2702</v>
      </c>
      <c r="D169" s="4">
        <v>50015.0</v>
      </c>
      <c r="E169" s="4"/>
      <c r="F169" s="4">
        <v>6.0</v>
      </c>
      <c r="G169" s="4">
        <v>499.0</v>
      </c>
      <c r="H169" s="4"/>
      <c r="I169" s="4">
        <v>499.0</v>
      </c>
      <c r="J169" s="4" t="s">
        <v>2709</v>
      </c>
      <c r="K169" s="6">
        <f>+919677373660</f>
        <v>919677373660</v>
      </c>
      <c r="L169" s="4" t="str">
        <f t="shared" si="1"/>
        <v>toprpr@gmail.com919677373660</v>
      </c>
      <c r="M169" s="10" t="s">
        <v>67</v>
      </c>
      <c r="N169" s="4" t="b">
        <v>0</v>
      </c>
      <c r="O169" s="4" t="str">
        <f>VLOOKUP(A169,payment_ids!D:E,2,FALSE)</f>
        <v>upi</v>
      </c>
      <c r="P169" s="4" t="s">
        <v>69</v>
      </c>
      <c r="Q169" s="11">
        <v>44382.68541666667</v>
      </c>
      <c r="R169" s="4"/>
      <c r="S169" s="12" t="s">
        <v>2704</v>
      </c>
      <c r="T169" s="4"/>
      <c r="U169" s="4"/>
      <c r="V169" s="11"/>
      <c r="W169" s="4"/>
      <c r="X169" s="11"/>
      <c r="Y169" s="4"/>
      <c r="Z169" s="4"/>
      <c r="AA169" s="4"/>
      <c r="AB169" s="4"/>
      <c r="AC169" s="4"/>
      <c r="AD169" s="4"/>
      <c r="AE169" s="4"/>
      <c r="AF169" s="4"/>
      <c r="AG169" s="4"/>
      <c r="AH169" s="5"/>
      <c r="AI169" s="5"/>
      <c r="AJ169" s="5"/>
      <c r="AK169" s="5"/>
      <c r="AL169" s="5"/>
    </row>
    <row r="170">
      <c r="A170" s="4" t="str">
        <f>VLOOKUP(L170,payment_ids!C:D,2,FALSE)</f>
        <v>pay_H7y9xDQGC9woCI</v>
      </c>
      <c r="B170" s="4"/>
      <c r="C170" s="4" t="s">
        <v>2702</v>
      </c>
      <c r="D170" s="4">
        <v>50015.0</v>
      </c>
      <c r="E170" s="4"/>
      <c r="F170" s="4">
        <v>3.0</v>
      </c>
      <c r="G170" s="4">
        <v>199.0</v>
      </c>
      <c r="H170" s="4"/>
      <c r="I170" s="4">
        <v>199.0</v>
      </c>
      <c r="J170" s="4" t="s">
        <v>2710</v>
      </c>
      <c r="K170" s="6">
        <f>+918198012777</f>
        <v>918198012777</v>
      </c>
      <c r="L170" s="4" t="str">
        <f t="shared" si="1"/>
        <v>amanvashist@gmail.com918198012777</v>
      </c>
      <c r="M170" s="10" t="s">
        <v>67</v>
      </c>
      <c r="N170" s="4" t="b">
        <v>0</v>
      </c>
      <c r="O170" s="4" t="str">
        <f>VLOOKUP(A170,payment_ids!D:E,2,FALSE)</f>
        <v>upi</v>
      </c>
      <c r="P170" s="4" t="s">
        <v>69</v>
      </c>
      <c r="Q170" s="11">
        <v>44382.91805555556</v>
      </c>
      <c r="R170" s="4"/>
      <c r="S170" s="12" t="s">
        <v>2704</v>
      </c>
      <c r="T170" s="4"/>
      <c r="U170" s="4"/>
      <c r="V170" s="11"/>
      <c r="W170" s="4"/>
      <c r="X170" s="11"/>
      <c r="Y170" s="4"/>
      <c r="Z170" s="4"/>
      <c r="AA170" s="4"/>
      <c r="AB170" s="4"/>
      <c r="AC170" s="4"/>
      <c r="AD170" s="4"/>
      <c r="AE170" s="4"/>
      <c r="AF170" s="4"/>
      <c r="AG170" s="4"/>
      <c r="AH170" s="5"/>
      <c r="AI170" s="5"/>
      <c r="AJ170" s="5"/>
      <c r="AK170" s="5"/>
      <c r="AL170" s="5"/>
    </row>
    <row r="171">
      <c r="A171" s="4" t="str">
        <f>VLOOKUP(L171,payment_ids!C:D,2,FALSE)</f>
        <v>pay_H8vwWJkCUxrr1J</v>
      </c>
      <c r="B171" s="4"/>
      <c r="C171" s="4" t="s">
        <v>2702</v>
      </c>
      <c r="D171" s="4">
        <v>50015.0</v>
      </c>
      <c r="E171" s="4"/>
      <c r="F171" s="4">
        <v>3.0</v>
      </c>
      <c r="G171" s="4">
        <v>199.0</v>
      </c>
      <c r="H171" s="4"/>
      <c r="I171" s="4">
        <v>199.0</v>
      </c>
      <c r="J171" s="4" t="s">
        <v>2711</v>
      </c>
      <c r="K171" s="6">
        <f>+919742862306</f>
        <v>919742862306</v>
      </c>
      <c r="L171" s="4" t="str">
        <f t="shared" si="1"/>
        <v>research_kriti12@yahoo.co.in919742862306</v>
      </c>
      <c r="M171" s="10" t="s">
        <v>67</v>
      </c>
      <c r="N171" s="4" t="b">
        <v>0</v>
      </c>
      <c r="O171" s="4" t="str">
        <f>VLOOKUP(A171,payment_ids!D:E,2,FALSE)</f>
        <v>upi</v>
      </c>
      <c r="P171" s="4" t="s">
        <v>69</v>
      </c>
      <c r="Q171" s="11">
        <v>44474.35486111111</v>
      </c>
      <c r="R171" s="4"/>
      <c r="S171" s="12" t="s">
        <v>2704</v>
      </c>
      <c r="T171" s="4"/>
      <c r="U171" s="4"/>
      <c r="V171" s="11"/>
      <c r="W171" s="4"/>
      <c r="X171" s="11"/>
      <c r="Y171" s="4"/>
      <c r="Z171" s="4"/>
      <c r="AA171" s="4"/>
      <c r="AB171" s="4"/>
      <c r="AC171" s="4"/>
      <c r="AD171" s="4"/>
      <c r="AE171" s="4"/>
      <c r="AF171" s="4"/>
      <c r="AG171" s="4"/>
      <c r="AH171" s="5"/>
      <c r="AI171" s="5"/>
      <c r="AJ171" s="5"/>
      <c r="AK171" s="5"/>
      <c r="AL171" s="5"/>
    </row>
    <row r="172">
      <c r="A172" s="4" t="str">
        <f>VLOOKUP(L172,payment_ids!C:D,2,FALSE)</f>
        <v>pay_H9nfeg6feitqxA</v>
      </c>
      <c r="B172" s="4"/>
      <c r="C172" s="4" t="s">
        <v>2702</v>
      </c>
      <c r="D172" s="4">
        <v>50015.0</v>
      </c>
      <c r="E172" s="4"/>
      <c r="F172" s="4">
        <v>1.0</v>
      </c>
      <c r="G172" s="4">
        <v>149.0</v>
      </c>
      <c r="H172" s="4"/>
      <c r="I172" s="4">
        <v>149.0</v>
      </c>
      <c r="J172" s="4" t="s">
        <v>2712</v>
      </c>
      <c r="K172" s="6">
        <f>+919944405570</f>
        <v>919944405570</v>
      </c>
      <c r="L172" s="4" t="str">
        <f t="shared" si="1"/>
        <v>poornibubloo25@gmail.com919944405570</v>
      </c>
      <c r="M172" s="10" t="s">
        <v>67</v>
      </c>
      <c r="N172" s="4" t="b">
        <v>0</v>
      </c>
      <c r="O172" s="4" t="str">
        <f>VLOOKUP(A172,payment_ids!D:E,2,FALSE)</f>
        <v>wallet</v>
      </c>
      <c r="P172" s="4" t="s">
        <v>69</v>
      </c>
      <c r="Q172" s="11">
        <v>44535.54583333333</v>
      </c>
      <c r="R172" s="4"/>
      <c r="S172" s="12" t="s">
        <v>2704</v>
      </c>
      <c r="T172" s="4"/>
      <c r="U172" s="4"/>
      <c r="V172" s="11"/>
      <c r="W172" s="4"/>
      <c r="X172" s="11"/>
      <c r="Y172" s="4"/>
      <c r="Z172" s="4"/>
      <c r="AA172" s="4"/>
      <c r="AB172" s="4"/>
      <c r="AC172" s="4"/>
      <c r="AD172" s="4"/>
      <c r="AE172" s="4"/>
      <c r="AF172" s="4"/>
      <c r="AG172" s="4"/>
      <c r="AH172" s="5"/>
      <c r="AI172" s="5"/>
      <c r="AJ172" s="5"/>
      <c r="AK172" s="5"/>
      <c r="AL172" s="5"/>
    </row>
    <row r="173">
      <c r="A173" s="4" t="str">
        <f>VLOOKUP(L173,payment_ids!C:D,2,FALSE)</f>
        <v>pay_HB0Ybs5Es1lo98</v>
      </c>
      <c r="B173" s="4"/>
      <c r="C173" s="4" t="s">
        <v>2702</v>
      </c>
      <c r="D173" s="4">
        <v>50015.0</v>
      </c>
      <c r="E173" s="4"/>
      <c r="F173" s="4">
        <v>1.0</v>
      </c>
      <c r="G173" s="4">
        <v>149.0</v>
      </c>
      <c r="H173" s="4"/>
      <c r="I173" s="4">
        <v>149.0</v>
      </c>
      <c r="J173" s="4" t="s">
        <v>2713</v>
      </c>
      <c r="K173" s="6">
        <f>+917458863325</f>
        <v>917458863325</v>
      </c>
      <c r="L173" s="4" t="str">
        <f t="shared" si="1"/>
        <v>sambeetraman12@gmail.com917458863325</v>
      </c>
      <c r="M173" s="10" t="s">
        <v>67</v>
      </c>
      <c r="N173" s="4" t="b">
        <v>0</v>
      </c>
      <c r="O173" s="4" t="str">
        <f>VLOOKUP(A173,payment_ids!D:E,2,FALSE)</f>
        <v>upi</v>
      </c>
      <c r="P173" s="4" t="s">
        <v>69</v>
      </c>
      <c r="Q173" s="4" t="s">
        <v>2714</v>
      </c>
      <c r="R173" s="4"/>
      <c r="S173" s="12" t="s">
        <v>2704</v>
      </c>
      <c r="T173" s="4"/>
      <c r="U173" s="4"/>
      <c r="V173" s="11"/>
      <c r="W173" s="4"/>
      <c r="X173" s="11"/>
      <c r="Y173" s="4"/>
      <c r="Z173" s="4"/>
      <c r="AA173" s="4"/>
      <c r="AB173" s="4"/>
      <c r="AC173" s="4"/>
      <c r="AD173" s="4"/>
      <c r="AE173" s="4"/>
      <c r="AF173" s="4"/>
      <c r="AG173" s="4"/>
      <c r="AH173" s="5"/>
      <c r="AI173" s="5"/>
      <c r="AJ173" s="5"/>
      <c r="AK173" s="5"/>
      <c r="AL173" s="5"/>
    </row>
    <row r="174">
      <c r="A174" s="4" t="str">
        <f>VLOOKUP(L174,payment_ids!C:D,2,FALSE)</f>
        <v>pay_HB0xeGjBfOT5VR</v>
      </c>
      <c r="B174" s="4"/>
      <c r="C174" s="4" t="s">
        <v>2702</v>
      </c>
      <c r="D174" s="4">
        <v>50015.0</v>
      </c>
      <c r="E174" s="4"/>
      <c r="F174" s="4">
        <v>1.0</v>
      </c>
      <c r="G174" s="4">
        <v>149.0</v>
      </c>
      <c r="H174" s="4"/>
      <c r="I174" s="4">
        <v>149.0</v>
      </c>
      <c r="J174" s="4" t="s">
        <v>2715</v>
      </c>
      <c r="K174" s="6">
        <f>+917725919392</f>
        <v>917725919392</v>
      </c>
      <c r="L174" s="4" t="str">
        <f t="shared" si="1"/>
        <v>pulkitsankhla95@gamil.com917725919392</v>
      </c>
      <c r="M174" s="10" t="s">
        <v>67</v>
      </c>
      <c r="N174" s="4" t="b">
        <v>0</v>
      </c>
      <c r="O174" s="4" t="str">
        <f>VLOOKUP(A174,payment_ids!D:E,2,FALSE)</f>
        <v>upi</v>
      </c>
      <c r="P174" s="4" t="s">
        <v>69</v>
      </c>
      <c r="Q174" s="4" t="s">
        <v>2716</v>
      </c>
      <c r="R174" s="4"/>
      <c r="S174" s="12" t="s">
        <v>2704</v>
      </c>
      <c r="T174" s="4"/>
      <c r="U174" s="4"/>
      <c r="V174" s="11"/>
      <c r="W174" s="4"/>
      <c r="X174" s="11"/>
      <c r="Y174" s="4"/>
      <c r="Z174" s="4"/>
      <c r="AA174" s="4"/>
      <c r="AB174" s="4"/>
      <c r="AC174" s="4"/>
      <c r="AD174" s="4"/>
      <c r="AE174" s="4"/>
      <c r="AF174" s="4"/>
      <c r="AG174" s="4"/>
      <c r="AH174" s="5"/>
      <c r="AI174" s="5"/>
      <c r="AJ174" s="5"/>
      <c r="AK174" s="5"/>
      <c r="AL174" s="5"/>
    </row>
    <row r="175">
      <c r="A175" s="4" t="str">
        <f>VLOOKUP(L175,payment_ids!C:D,2,FALSE)</f>
        <v>pay_HBhLSwIB57G2Ns</v>
      </c>
      <c r="B175" s="4"/>
      <c r="C175" s="4" t="s">
        <v>2702</v>
      </c>
      <c r="D175" s="4">
        <v>50015.0</v>
      </c>
      <c r="E175" s="4"/>
      <c r="F175" s="4">
        <v>1.0</v>
      </c>
      <c r="G175" s="4">
        <v>149.0</v>
      </c>
      <c r="H175" s="4"/>
      <c r="I175" s="4">
        <v>149.0</v>
      </c>
      <c r="J175" s="4" t="s">
        <v>2717</v>
      </c>
      <c r="K175" s="6">
        <f>+919966828276</f>
        <v>919966828276</v>
      </c>
      <c r="L175" s="4" t="str">
        <f t="shared" si="1"/>
        <v>darpandatta.m@gmail.com919966828276</v>
      </c>
      <c r="M175" s="10" t="s">
        <v>67</v>
      </c>
      <c r="N175" s="4" t="b">
        <v>0</v>
      </c>
      <c r="O175" s="4" t="str">
        <f>VLOOKUP(A175,payment_ids!D:E,2,FALSE)</f>
        <v>upi</v>
      </c>
      <c r="P175" s="4" t="s">
        <v>69</v>
      </c>
      <c r="Q175" s="4" t="s">
        <v>2718</v>
      </c>
      <c r="R175" s="4"/>
      <c r="S175" s="12" t="s">
        <v>2704</v>
      </c>
      <c r="T175" s="4"/>
      <c r="U175" s="4"/>
      <c r="V175" s="11"/>
      <c r="W175" s="4"/>
      <c r="X175" s="11"/>
      <c r="Y175" s="4"/>
      <c r="Z175" s="4"/>
      <c r="AA175" s="4"/>
      <c r="AB175" s="4"/>
      <c r="AC175" s="4"/>
      <c r="AD175" s="4"/>
      <c r="AE175" s="4"/>
      <c r="AF175" s="4"/>
      <c r="AG175" s="4"/>
      <c r="AH175" s="5"/>
      <c r="AI175" s="5"/>
      <c r="AJ175" s="5"/>
      <c r="AK175" s="5"/>
      <c r="AL175" s="5"/>
    </row>
    <row r="176">
      <c r="A176" s="4" t="str">
        <f>VLOOKUP(L176,payment_ids!C:D,2,FALSE)</f>
        <v>pay_HCjjrzNx23ERbq</v>
      </c>
      <c r="B176" s="4"/>
      <c r="C176" s="4" t="s">
        <v>2702</v>
      </c>
      <c r="D176" s="4">
        <v>50015.0</v>
      </c>
      <c r="E176" s="4"/>
      <c r="F176" s="4">
        <v>1.0</v>
      </c>
      <c r="G176" s="4">
        <v>149.0</v>
      </c>
      <c r="H176" s="4"/>
      <c r="I176" s="4">
        <v>149.0</v>
      </c>
      <c r="J176" s="4" t="s">
        <v>2719</v>
      </c>
      <c r="K176" s="6">
        <f>+918510048810</f>
        <v>918510048810</v>
      </c>
      <c r="L176" s="4" t="str">
        <f t="shared" si="1"/>
        <v>bharatdivya.dhingra@gmail.com918510048810</v>
      </c>
      <c r="M176" s="10" t="s">
        <v>67</v>
      </c>
      <c r="N176" s="4" t="b">
        <v>0</v>
      </c>
      <c r="O176" s="4" t="str">
        <f>VLOOKUP(A176,payment_ids!D:E,2,FALSE)</f>
        <v>upi</v>
      </c>
      <c r="P176" s="4" t="s">
        <v>69</v>
      </c>
      <c r="Q176" s="4" t="s">
        <v>2720</v>
      </c>
      <c r="R176" s="4"/>
      <c r="S176" s="12" t="s">
        <v>2704</v>
      </c>
      <c r="T176" s="4"/>
      <c r="U176" s="4"/>
      <c r="V176" s="11"/>
      <c r="W176" s="4"/>
      <c r="X176" s="11"/>
      <c r="Y176" s="4"/>
      <c r="Z176" s="4"/>
      <c r="AA176" s="4"/>
      <c r="AB176" s="4"/>
      <c r="AC176" s="4"/>
      <c r="AD176" s="4"/>
      <c r="AE176" s="4"/>
      <c r="AF176" s="4"/>
      <c r="AG176" s="4"/>
      <c r="AH176" s="5"/>
      <c r="AI176" s="5"/>
      <c r="AJ176" s="5"/>
      <c r="AK176" s="5"/>
      <c r="AL176" s="5"/>
    </row>
    <row r="177">
      <c r="A177" s="4" t="str">
        <f>VLOOKUP(L177,payment_ids!C:D,2,FALSE)</f>
        <v>pay_HEFxj1pK40AkTn</v>
      </c>
      <c r="B177" s="4"/>
      <c r="C177" s="4" t="s">
        <v>2702</v>
      </c>
      <c r="D177" s="4">
        <v>50015.0</v>
      </c>
      <c r="E177" s="4"/>
      <c r="F177" s="4">
        <v>3.0</v>
      </c>
      <c r="G177" s="4">
        <v>349.0</v>
      </c>
      <c r="H177" s="4"/>
      <c r="I177" s="4">
        <v>349.0</v>
      </c>
      <c r="J177" s="4" t="s">
        <v>2721</v>
      </c>
      <c r="K177" s="6">
        <f>+918249377793</f>
        <v>918249377793</v>
      </c>
      <c r="L177" s="4" t="str">
        <f t="shared" si="1"/>
        <v>aditi.creativity9@gmail.com918249377793</v>
      </c>
      <c r="M177" s="10" t="s">
        <v>67</v>
      </c>
      <c r="N177" s="4" t="b">
        <v>0</v>
      </c>
      <c r="O177" s="4" t="str">
        <f>VLOOKUP(A177,payment_ids!D:E,2,FALSE)</f>
        <v>upi</v>
      </c>
      <c r="P177" s="4" t="s">
        <v>69</v>
      </c>
      <c r="Q177" s="4" t="s">
        <v>2722</v>
      </c>
      <c r="R177" s="4"/>
      <c r="S177" s="12" t="s">
        <v>2704</v>
      </c>
      <c r="T177" s="4"/>
      <c r="U177" s="4"/>
      <c r="V177" s="11"/>
      <c r="W177" s="4"/>
      <c r="X177" s="11"/>
      <c r="Y177" s="4"/>
      <c r="Z177" s="4"/>
      <c r="AA177" s="4"/>
      <c r="AB177" s="4"/>
      <c r="AC177" s="4"/>
      <c r="AD177" s="4"/>
      <c r="AE177" s="4"/>
      <c r="AF177" s="4"/>
      <c r="AG177" s="4"/>
      <c r="AH177" s="5"/>
      <c r="AI177" s="5"/>
      <c r="AJ177" s="5"/>
      <c r="AK177" s="5"/>
      <c r="AL177" s="5"/>
    </row>
    <row r="178">
      <c r="A178" s="4" t="str">
        <f>VLOOKUP(L178,payment_ids!C:D,2,FALSE)</f>
        <v>pay_HEJZQnAd0EFFKU</v>
      </c>
      <c r="B178" s="4"/>
      <c r="C178" s="4" t="s">
        <v>2702</v>
      </c>
      <c r="D178" s="4">
        <v>50015.0</v>
      </c>
      <c r="E178" s="4"/>
      <c r="F178" s="4">
        <v>1.0</v>
      </c>
      <c r="G178" s="4">
        <v>149.0</v>
      </c>
      <c r="H178" s="4"/>
      <c r="I178" s="4">
        <v>149.0</v>
      </c>
      <c r="J178" s="4" t="s">
        <v>2723</v>
      </c>
      <c r="K178" s="6">
        <f>+917774040540</f>
        <v>917774040540</v>
      </c>
      <c r="L178" s="4" t="str">
        <f t="shared" si="1"/>
        <v>shreyachopda24@gmail.com917774040540</v>
      </c>
      <c r="M178" s="10" t="s">
        <v>67</v>
      </c>
      <c r="N178" s="4" t="b">
        <v>0</v>
      </c>
      <c r="O178" s="4" t="str">
        <f>VLOOKUP(A178,payment_ids!D:E,2,FALSE)</f>
        <v>upi</v>
      </c>
      <c r="P178" s="4" t="s">
        <v>69</v>
      </c>
      <c r="Q178" s="4" t="s">
        <v>2724</v>
      </c>
      <c r="R178" s="4"/>
      <c r="S178" s="12" t="s">
        <v>2704</v>
      </c>
      <c r="T178" s="4"/>
      <c r="U178" s="4"/>
      <c r="V178" s="11"/>
      <c r="W178" s="4"/>
      <c r="X178" s="11"/>
      <c r="Y178" s="4"/>
      <c r="Z178" s="4"/>
      <c r="AA178" s="4"/>
      <c r="AB178" s="4"/>
      <c r="AC178" s="4"/>
      <c r="AD178" s="4"/>
      <c r="AE178" s="4"/>
      <c r="AF178" s="4"/>
      <c r="AG178" s="4"/>
      <c r="AH178" s="5"/>
      <c r="AI178" s="5"/>
      <c r="AJ178" s="5"/>
      <c r="AK178" s="5"/>
      <c r="AL178" s="5"/>
    </row>
    <row r="179">
      <c r="A179" s="4" t="str">
        <f>VLOOKUP(L179,payment_ids!C:D,2,FALSE)</f>
        <v>pay_HFJvajvfLwdUUD</v>
      </c>
      <c r="B179" s="4"/>
      <c r="C179" s="4" t="s">
        <v>2702</v>
      </c>
      <c r="D179" s="4">
        <v>50015.0</v>
      </c>
      <c r="E179" s="5"/>
      <c r="F179" s="4">
        <v>3.0</v>
      </c>
      <c r="G179" s="4">
        <v>349.0</v>
      </c>
      <c r="H179" s="4"/>
      <c r="I179" s="4">
        <v>349.0</v>
      </c>
      <c r="J179" s="4" t="s">
        <v>2725</v>
      </c>
      <c r="K179" s="5">
        <f>+919892623122</f>
        <v>919892623122</v>
      </c>
      <c r="L179" s="4" t="str">
        <f t="shared" si="1"/>
        <v>gopadutta24@gmail.com919892623122</v>
      </c>
      <c r="M179" s="10" t="s">
        <v>67</v>
      </c>
      <c r="N179" s="4" t="b">
        <v>0</v>
      </c>
      <c r="O179" s="4" t="str">
        <f>VLOOKUP(A179,payment_ids!D:E,2,FALSE)</f>
        <v>card</v>
      </c>
      <c r="P179" s="4" t="s">
        <v>69</v>
      </c>
      <c r="Q179" s="4" t="s">
        <v>2726</v>
      </c>
      <c r="R179" s="4"/>
      <c r="S179" s="12" t="s">
        <v>2704</v>
      </c>
      <c r="T179" s="5"/>
      <c r="U179" s="4"/>
      <c r="V179" s="11"/>
      <c r="W179" s="4"/>
      <c r="X179" s="11"/>
      <c r="Y179" s="4"/>
      <c r="Z179" s="4"/>
      <c r="AA179" s="4"/>
      <c r="AB179" s="4"/>
      <c r="AC179" s="4"/>
      <c r="AD179" s="4"/>
      <c r="AE179" s="4"/>
      <c r="AF179" s="4"/>
      <c r="AG179" s="4"/>
      <c r="AH179" s="5"/>
      <c r="AI179" s="5"/>
      <c r="AJ179" s="5"/>
      <c r="AK179" s="5"/>
      <c r="AL179" s="5"/>
    </row>
    <row r="180">
      <c r="A180" s="4" t="str">
        <f>VLOOKUP(L180,payment_ids!C:D,2,FALSE)</f>
        <v>pay_HFtur2ZF2SvYbf</v>
      </c>
      <c r="B180" s="4"/>
      <c r="C180" s="4" t="s">
        <v>2702</v>
      </c>
      <c r="D180" s="4">
        <v>50015.0</v>
      </c>
      <c r="E180" s="5"/>
      <c r="F180" s="4">
        <v>1.0</v>
      </c>
      <c r="G180" s="4">
        <v>149.0</v>
      </c>
      <c r="H180" s="4"/>
      <c r="I180" s="4">
        <v>149.0</v>
      </c>
      <c r="J180" s="4" t="s">
        <v>2727</v>
      </c>
      <c r="K180" s="5">
        <f>+919639504148</f>
        <v>919639504148</v>
      </c>
      <c r="L180" s="4" t="str">
        <f t="shared" si="1"/>
        <v>kantiroymihir@gmail.com919639504148</v>
      </c>
      <c r="M180" s="10" t="s">
        <v>67</v>
      </c>
      <c r="N180" s="4" t="b">
        <v>0</v>
      </c>
      <c r="O180" s="4" t="str">
        <f>VLOOKUP(A180,payment_ids!D:E,2,FALSE)</f>
        <v>upi</v>
      </c>
      <c r="P180" s="4" t="s">
        <v>69</v>
      </c>
      <c r="Q180" s="4" t="s">
        <v>2728</v>
      </c>
      <c r="R180" s="4"/>
      <c r="S180" s="12" t="s">
        <v>2704</v>
      </c>
      <c r="T180" s="5"/>
      <c r="U180" s="4"/>
      <c r="V180" s="11"/>
      <c r="W180" s="4"/>
      <c r="X180" s="11"/>
      <c r="Y180" s="4"/>
      <c r="Z180" s="4"/>
      <c r="AA180" s="4"/>
      <c r="AB180" s="4"/>
      <c r="AC180" s="4"/>
      <c r="AD180" s="4"/>
      <c r="AE180" s="4"/>
      <c r="AF180" s="4"/>
      <c r="AG180" s="4"/>
      <c r="AH180" s="5"/>
      <c r="AI180" s="5"/>
      <c r="AJ180" s="5"/>
      <c r="AK180" s="5"/>
      <c r="AL180" s="5"/>
    </row>
    <row r="181">
      <c r="A181" s="4" t="str">
        <f>VLOOKUP(L181,payment_ids!C:D,2,FALSE)</f>
        <v>pay_HFswrIByC24bHS</v>
      </c>
      <c r="B181" s="4"/>
      <c r="C181" s="4" t="s">
        <v>2702</v>
      </c>
      <c r="D181" s="4">
        <v>50015.0</v>
      </c>
      <c r="E181" s="5"/>
      <c r="F181" s="4">
        <v>1.0</v>
      </c>
      <c r="G181" s="4">
        <v>149.0</v>
      </c>
      <c r="H181" s="4"/>
      <c r="I181" s="4">
        <v>149.0</v>
      </c>
      <c r="J181" s="4" t="s">
        <v>2729</v>
      </c>
      <c r="K181" s="5">
        <f>+917013652050</f>
        <v>917013652050</v>
      </c>
      <c r="L181" s="4" t="str">
        <f t="shared" si="1"/>
        <v>rajeevvarma441@gmail.com917013652050</v>
      </c>
      <c r="M181" s="10" t="s">
        <v>67</v>
      </c>
      <c r="N181" s="4" t="b">
        <v>0</v>
      </c>
      <c r="O181" s="4" t="str">
        <f>VLOOKUP(A181,payment_ids!D:E,2,FALSE)</f>
        <v>card</v>
      </c>
      <c r="P181" s="4" t="s">
        <v>69</v>
      </c>
      <c r="Q181" s="4" t="s">
        <v>2730</v>
      </c>
      <c r="R181" s="4"/>
      <c r="S181" s="12" t="s">
        <v>2704</v>
      </c>
      <c r="T181" s="5"/>
      <c r="U181" s="4"/>
      <c r="V181" s="11"/>
      <c r="W181" s="4"/>
      <c r="X181" s="11"/>
      <c r="Y181" s="4"/>
      <c r="Z181" s="4"/>
      <c r="AA181" s="4"/>
      <c r="AB181" s="4"/>
      <c r="AC181" s="4"/>
      <c r="AD181" s="4"/>
      <c r="AE181" s="4"/>
      <c r="AF181" s="4"/>
      <c r="AG181" s="4"/>
      <c r="AH181" s="5"/>
      <c r="AI181" s="5"/>
      <c r="AJ181" s="5"/>
      <c r="AK181" s="5"/>
      <c r="AL181" s="5"/>
    </row>
    <row r="182">
      <c r="A182" s="4" t="str">
        <f>VLOOKUP(L182,payment_ids!C:D,2,FALSE)</f>
        <v>pay_HGciWabf617Wv1</v>
      </c>
      <c r="B182" s="4"/>
      <c r="C182" s="4" t="s">
        <v>2702</v>
      </c>
      <c r="D182" s="4">
        <v>50015.0</v>
      </c>
      <c r="E182" s="5"/>
      <c r="F182" s="4">
        <v>3.0</v>
      </c>
      <c r="G182" s="4">
        <v>349.0</v>
      </c>
      <c r="H182" s="4"/>
      <c r="I182" s="4">
        <v>349.0</v>
      </c>
      <c r="J182" s="4" t="s">
        <v>2731</v>
      </c>
      <c r="K182" s="5">
        <f>+919030803021</f>
        <v>919030803021</v>
      </c>
      <c r="L182" s="4" t="str">
        <f t="shared" si="1"/>
        <v>vlgpk006@gmail.com919030803021</v>
      </c>
      <c r="M182" s="10" t="s">
        <v>67</v>
      </c>
      <c r="N182" s="4" t="b">
        <v>0</v>
      </c>
      <c r="O182" s="4" t="str">
        <f>VLOOKUP(A182,payment_ids!D:E,2,FALSE)</f>
        <v>upi</v>
      </c>
      <c r="P182" s="4" t="s">
        <v>69</v>
      </c>
      <c r="Q182" s="4" t="s">
        <v>2732</v>
      </c>
      <c r="R182" s="4"/>
      <c r="S182" s="12" t="s">
        <v>2704</v>
      </c>
      <c r="T182" s="5"/>
      <c r="U182" s="4"/>
      <c r="V182" s="11"/>
      <c r="W182" s="4"/>
      <c r="X182" s="11"/>
      <c r="Y182" s="4"/>
      <c r="Z182" s="4"/>
      <c r="AA182" s="4"/>
      <c r="AB182" s="4"/>
      <c r="AC182" s="4"/>
      <c r="AD182" s="4"/>
      <c r="AE182" s="4"/>
      <c r="AF182" s="4"/>
      <c r="AG182" s="4"/>
      <c r="AH182" s="5"/>
      <c r="AI182" s="5"/>
      <c r="AJ182" s="5"/>
      <c r="AK182" s="5"/>
      <c r="AL182" s="5"/>
    </row>
    <row r="183">
      <c r="A183" s="4" t="str">
        <f>VLOOKUP(L183,payment_ids!C:D,2,FALSE)</f>
        <v>pay_HCjjrzNx23ERbq</v>
      </c>
      <c r="B183" s="4"/>
      <c r="C183" s="4" t="s">
        <v>2702</v>
      </c>
      <c r="D183" s="4">
        <v>50015.0</v>
      </c>
      <c r="E183" s="5"/>
      <c r="F183" s="4">
        <v>6.0</v>
      </c>
      <c r="G183" s="4">
        <v>699.0</v>
      </c>
      <c r="H183" s="4"/>
      <c r="I183" s="4">
        <v>699.0</v>
      </c>
      <c r="J183" s="4" t="s">
        <v>2719</v>
      </c>
      <c r="K183" s="5">
        <f>+918510048810</f>
        <v>918510048810</v>
      </c>
      <c r="L183" s="4" t="str">
        <f t="shared" si="1"/>
        <v>bharatdivya.dhingra@gmail.com918510048810</v>
      </c>
      <c r="M183" s="10" t="s">
        <v>67</v>
      </c>
      <c r="N183" s="4" t="b">
        <v>0</v>
      </c>
      <c r="O183" s="4" t="str">
        <f>VLOOKUP(A183,payment_ids!D:E,2,FALSE)</f>
        <v>upi</v>
      </c>
      <c r="P183" s="4" t="s">
        <v>69</v>
      </c>
      <c r="Q183" s="4" t="s">
        <v>2733</v>
      </c>
      <c r="R183" s="4"/>
      <c r="S183" s="12" t="s">
        <v>2704</v>
      </c>
      <c r="T183" s="4" t="s">
        <v>2444</v>
      </c>
      <c r="U183" s="4"/>
      <c r="V183" s="11"/>
      <c r="W183" s="4"/>
      <c r="X183" s="11"/>
      <c r="Y183" s="4"/>
      <c r="Z183" s="4"/>
      <c r="AA183" s="4"/>
      <c r="AB183" s="4"/>
      <c r="AC183" s="4"/>
      <c r="AD183" s="4"/>
      <c r="AE183" s="4"/>
      <c r="AF183" s="4"/>
      <c r="AG183" s="4"/>
      <c r="AH183" s="5"/>
      <c r="AI183" s="5"/>
      <c r="AJ183" s="5"/>
      <c r="AK183" s="5"/>
      <c r="AL183" s="5"/>
    </row>
    <row r="184">
      <c r="A184" s="4" t="str">
        <f>VLOOKUP(L184,payment_ids!C:D,2,FALSE)</f>
        <v>pay_HNnU67MxNyHyym</v>
      </c>
      <c r="B184" s="4"/>
      <c r="C184" s="4" t="s">
        <v>2702</v>
      </c>
      <c r="D184" s="4">
        <v>50015.0</v>
      </c>
      <c r="E184" s="5"/>
      <c r="F184" s="4">
        <v>3.0</v>
      </c>
      <c r="G184" s="4">
        <v>349.0</v>
      </c>
      <c r="H184" s="4"/>
      <c r="I184" s="4">
        <v>349.0</v>
      </c>
      <c r="J184" s="4" t="s">
        <v>2734</v>
      </c>
      <c r="K184" s="5">
        <f>+917289987178</f>
        <v>917289987178</v>
      </c>
      <c r="L184" s="4" t="str">
        <f t="shared" si="1"/>
        <v>meghabatra94@gmail.com917289987178</v>
      </c>
      <c r="M184" s="10" t="s">
        <v>67</v>
      </c>
      <c r="N184" s="4" t="b">
        <v>0</v>
      </c>
      <c r="O184" s="4" t="str">
        <f>VLOOKUP(A184,payment_ids!D:E,2,FALSE)</f>
        <v>upi</v>
      </c>
      <c r="P184" s="4" t="s">
        <v>69</v>
      </c>
      <c r="Q184" s="4" t="s">
        <v>2735</v>
      </c>
      <c r="R184" s="4"/>
      <c r="S184" s="12" t="s">
        <v>2704</v>
      </c>
      <c r="T184" s="4" t="s">
        <v>2444</v>
      </c>
      <c r="U184" s="4"/>
      <c r="V184" s="11"/>
      <c r="W184" s="4"/>
      <c r="X184" s="11"/>
      <c r="Y184" s="4"/>
      <c r="Z184" s="4"/>
      <c r="AA184" s="4"/>
      <c r="AB184" s="4"/>
      <c r="AC184" s="4"/>
      <c r="AD184" s="4"/>
      <c r="AE184" s="4"/>
      <c r="AF184" s="4"/>
      <c r="AG184" s="4"/>
      <c r="AH184" s="5"/>
      <c r="AI184" s="5"/>
      <c r="AJ184" s="5"/>
      <c r="AK184" s="5"/>
      <c r="AL184" s="5"/>
    </row>
    <row r="185">
      <c r="A185" s="4" t="str">
        <f>VLOOKUP(L185,payment_ids!C:D,2,FALSE)</f>
        <v>pay_HORYgDyodK62Wr</v>
      </c>
      <c r="B185" s="4"/>
      <c r="C185" s="4" t="s">
        <v>2702</v>
      </c>
      <c r="D185" s="4">
        <v>50015.0</v>
      </c>
      <c r="E185" s="5"/>
      <c r="F185" s="4">
        <v>3.0</v>
      </c>
      <c r="G185" s="4">
        <v>349.0</v>
      </c>
      <c r="H185" s="4"/>
      <c r="I185" s="4">
        <v>349.0</v>
      </c>
      <c r="J185" s="4" t="s">
        <v>2736</v>
      </c>
      <c r="K185" s="5">
        <f>+919489684199</f>
        <v>919489684199</v>
      </c>
      <c r="L185" s="4" t="str">
        <f t="shared" si="1"/>
        <v>hrkrishaan@gmail.com919489684199</v>
      </c>
      <c r="M185" s="10" t="s">
        <v>67</v>
      </c>
      <c r="N185" s="4" t="b">
        <v>0</v>
      </c>
      <c r="O185" s="4" t="str">
        <f>VLOOKUP(A185,payment_ids!D:E,2,FALSE)</f>
        <v>upi</v>
      </c>
      <c r="P185" s="4" t="s">
        <v>69</v>
      </c>
      <c r="Q185" s="4" t="s">
        <v>2737</v>
      </c>
      <c r="R185" s="4"/>
      <c r="S185" s="12" t="s">
        <v>2704</v>
      </c>
      <c r="T185" s="4" t="s">
        <v>2444</v>
      </c>
      <c r="U185" s="4"/>
      <c r="V185" s="11"/>
      <c r="W185" s="4"/>
      <c r="X185" s="11"/>
      <c r="Y185" s="4"/>
      <c r="Z185" s="4"/>
      <c r="AA185" s="4"/>
      <c r="AB185" s="4"/>
      <c r="AC185" s="4"/>
      <c r="AD185" s="4"/>
      <c r="AE185" s="4"/>
      <c r="AF185" s="4"/>
      <c r="AG185" s="4"/>
      <c r="AH185" s="5"/>
      <c r="AI185" s="5"/>
      <c r="AJ185" s="5"/>
      <c r="AK185" s="5"/>
      <c r="AL185" s="5"/>
    </row>
    <row r="186">
      <c r="A186" s="4" t="str">
        <f>VLOOKUP(L186,payment_ids!C:D,2,FALSE)</f>
        <v>pay_HPQbULJjO53Lh1</v>
      </c>
      <c r="B186" s="4"/>
      <c r="C186" s="4" t="s">
        <v>2702</v>
      </c>
      <c r="D186" s="4">
        <v>50015.0</v>
      </c>
      <c r="E186" s="5"/>
      <c r="F186" s="4">
        <v>6.0</v>
      </c>
      <c r="G186" s="4">
        <v>699.0</v>
      </c>
      <c r="H186" s="4"/>
      <c r="I186" s="4">
        <v>699.0</v>
      </c>
      <c r="J186" s="4" t="s">
        <v>2738</v>
      </c>
      <c r="K186" s="5">
        <f>+917012378331</f>
        <v>917012378331</v>
      </c>
      <c r="L186" s="4" t="str">
        <f t="shared" si="1"/>
        <v>homesgentle@gmail.com917012378331</v>
      </c>
      <c r="M186" s="10" t="s">
        <v>67</v>
      </c>
      <c r="N186" s="4" t="b">
        <v>0</v>
      </c>
      <c r="O186" s="4" t="str">
        <f>VLOOKUP(A186,payment_ids!D:E,2,FALSE)</f>
        <v>upi</v>
      </c>
      <c r="P186" s="4" t="s">
        <v>69</v>
      </c>
      <c r="Q186" s="4" t="s">
        <v>2739</v>
      </c>
      <c r="R186" s="4"/>
      <c r="S186" s="12" t="s">
        <v>2704</v>
      </c>
      <c r="T186" s="4" t="s">
        <v>2444</v>
      </c>
      <c r="U186" s="4"/>
      <c r="V186" s="11"/>
      <c r="W186" s="4"/>
      <c r="X186" s="11"/>
      <c r="Y186" s="4"/>
      <c r="Z186" s="4"/>
      <c r="AA186" s="4"/>
      <c r="AB186" s="4"/>
      <c r="AC186" s="4"/>
      <c r="AD186" s="4"/>
      <c r="AE186" s="4"/>
      <c r="AF186" s="4"/>
      <c r="AG186" s="4"/>
      <c r="AH186" s="5"/>
      <c r="AI186" s="5"/>
      <c r="AJ186" s="5"/>
      <c r="AK186" s="5"/>
      <c r="AL186" s="5"/>
    </row>
    <row r="187">
      <c r="A187" s="4" t="str">
        <f>VLOOKUP(L187,payment_ids!C:D,2,FALSE)</f>
        <v>pay_HPZ4XC2ISrT9CQ</v>
      </c>
      <c r="B187" s="4"/>
      <c r="C187" s="4" t="s">
        <v>2702</v>
      </c>
      <c r="D187" s="4">
        <v>50015.0</v>
      </c>
      <c r="E187" s="5"/>
      <c r="F187" s="4">
        <v>1.0</v>
      </c>
      <c r="G187" s="4">
        <v>149.0</v>
      </c>
      <c r="H187" s="4"/>
      <c r="I187" s="4">
        <v>149.0</v>
      </c>
      <c r="J187" s="4" t="s">
        <v>2740</v>
      </c>
      <c r="K187" s="5">
        <f>+919392542363</f>
        <v>919392542363</v>
      </c>
      <c r="L187" s="4" t="str">
        <f t="shared" si="1"/>
        <v>innovationandtechnologylabs@gmail.com919392542363</v>
      </c>
      <c r="M187" s="10" t="s">
        <v>67</v>
      </c>
      <c r="N187" s="4" t="b">
        <v>0</v>
      </c>
      <c r="O187" s="4" t="str">
        <f>VLOOKUP(A187,payment_ids!D:E,2,FALSE)</f>
        <v>upi</v>
      </c>
      <c r="P187" s="4" t="s">
        <v>69</v>
      </c>
      <c r="Q187" s="4" t="s">
        <v>2741</v>
      </c>
      <c r="R187" s="4"/>
      <c r="S187" s="12" t="s">
        <v>2704</v>
      </c>
      <c r="T187" s="4" t="s">
        <v>2444</v>
      </c>
      <c r="U187" s="4"/>
      <c r="V187" s="11"/>
      <c r="W187" s="4"/>
      <c r="X187" s="11"/>
      <c r="Y187" s="4"/>
      <c r="Z187" s="4"/>
      <c r="AA187" s="4"/>
      <c r="AB187" s="4"/>
      <c r="AC187" s="4"/>
      <c r="AD187" s="4"/>
      <c r="AE187" s="4"/>
      <c r="AF187" s="4"/>
      <c r="AG187" s="4"/>
      <c r="AH187" s="5"/>
      <c r="AI187" s="5"/>
      <c r="AJ187" s="5"/>
      <c r="AK187" s="5"/>
      <c r="AL187" s="5"/>
    </row>
    <row r="188">
      <c r="A188" s="4" t="str">
        <f>VLOOKUP(L188,payment_ids!C:D,2,FALSE)</f>
        <v>pay_HPzZc5GF5Z44O4</v>
      </c>
      <c r="B188" s="4"/>
      <c r="C188" s="4" t="s">
        <v>2702</v>
      </c>
      <c r="D188" s="4">
        <v>50015.0</v>
      </c>
      <c r="E188" s="5"/>
      <c r="F188" s="4">
        <v>1.0</v>
      </c>
      <c r="G188" s="4">
        <v>149.0</v>
      </c>
      <c r="H188" s="4"/>
      <c r="I188" s="4">
        <v>149.0</v>
      </c>
      <c r="J188" s="4" t="s">
        <v>2742</v>
      </c>
      <c r="K188" s="5">
        <f>+919758932323</f>
        <v>919758932323</v>
      </c>
      <c r="L188" s="4" t="str">
        <f t="shared" si="1"/>
        <v>mehraj.mmd1@gmail.com919758932323</v>
      </c>
      <c r="M188" s="10" t="s">
        <v>67</v>
      </c>
      <c r="N188" s="4" t="b">
        <v>0</v>
      </c>
      <c r="O188" s="4" t="str">
        <f>VLOOKUP(A188,payment_ids!D:E,2,FALSE)</f>
        <v>upi</v>
      </c>
      <c r="P188" s="4" t="s">
        <v>69</v>
      </c>
      <c r="Q188" s="4" t="s">
        <v>2743</v>
      </c>
      <c r="R188" s="4"/>
      <c r="S188" s="12" t="s">
        <v>2704</v>
      </c>
      <c r="T188" s="4" t="s">
        <v>2444</v>
      </c>
      <c r="U188" s="4"/>
      <c r="V188" s="11"/>
      <c r="W188" s="4"/>
      <c r="X188" s="11"/>
      <c r="Y188" s="4"/>
      <c r="Z188" s="4"/>
      <c r="AA188" s="4"/>
      <c r="AB188" s="4"/>
      <c r="AC188" s="4"/>
      <c r="AD188" s="4"/>
      <c r="AE188" s="4"/>
      <c r="AF188" s="4"/>
      <c r="AG188" s="4"/>
      <c r="AH188" s="5"/>
      <c r="AI188" s="5"/>
      <c r="AJ188" s="5"/>
      <c r="AK188" s="5"/>
      <c r="AL188" s="5"/>
    </row>
    <row r="189">
      <c r="A189" s="4" t="str">
        <f>VLOOKUP(L189,payment_ids!C:D,2,FALSE)</f>
        <v>pay_H73lw4pGduQZxV</v>
      </c>
      <c r="B189" s="4"/>
      <c r="C189" s="4" t="s">
        <v>1476</v>
      </c>
      <c r="D189" s="4">
        <v>50009.0</v>
      </c>
      <c r="E189" s="4"/>
      <c r="F189" s="4">
        <v>6.0</v>
      </c>
      <c r="G189" s="4">
        <v>349.0</v>
      </c>
      <c r="H189" s="4"/>
      <c r="I189" s="4">
        <v>349.0</v>
      </c>
      <c r="J189" s="4" t="s">
        <v>2744</v>
      </c>
      <c r="K189" s="6">
        <f>+919952003388</f>
        <v>919952003388</v>
      </c>
      <c r="L189" s="4" t="str">
        <f t="shared" si="1"/>
        <v>swethareddyv@gmail.com919952003388</v>
      </c>
      <c r="M189" s="10" t="s">
        <v>67</v>
      </c>
      <c r="N189" s="4" t="b">
        <v>0</v>
      </c>
      <c r="O189" s="4" t="str">
        <f>VLOOKUP(A189,payment_ids!D:E,2,FALSE)</f>
        <v>upi</v>
      </c>
      <c r="P189" s="4" t="s">
        <v>69</v>
      </c>
      <c r="Q189" s="11">
        <v>44321.62013888889</v>
      </c>
      <c r="R189" s="4"/>
      <c r="S189" s="12" t="s">
        <v>2745</v>
      </c>
      <c r="T189" s="4"/>
      <c r="U189" s="4"/>
      <c r="V189" s="11"/>
      <c r="W189" s="4"/>
      <c r="X189" s="11"/>
      <c r="Y189" s="4"/>
      <c r="Z189" s="4"/>
      <c r="AA189" s="4"/>
      <c r="AB189" s="4"/>
      <c r="AC189" s="4"/>
      <c r="AD189" s="4"/>
      <c r="AE189" s="4"/>
      <c r="AF189" s="4"/>
      <c r="AG189" s="4"/>
      <c r="AH189" s="5"/>
      <c r="AI189" s="5"/>
      <c r="AJ189" s="5"/>
      <c r="AK189" s="5"/>
      <c r="AL189" s="5"/>
    </row>
    <row r="190">
      <c r="A190" s="4" t="str">
        <f>VLOOKUP(L190,payment_ids!C:D,2,FALSE)</f>
        <v>pay_H73nzwWZrADEdc</v>
      </c>
      <c r="B190" s="4"/>
      <c r="C190" s="4" t="s">
        <v>1476</v>
      </c>
      <c r="D190" s="4">
        <v>50009.0</v>
      </c>
      <c r="E190" s="4"/>
      <c r="F190" s="4">
        <v>1.0</v>
      </c>
      <c r="G190" s="4">
        <v>99.0</v>
      </c>
      <c r="H190" s="4"/>
      <c r="I190" s="4">
        <v>99.0</v>
      </c>
      <c r="J190" s="4" t="s">
        <v>2746</v>
      </c>
      <c r="K190" s="6">
        <f>+919999255528</f>
        <v>919999255528</v>
      </c>
      <c r="L190" s="4" t="str">
        <f t="shared" si="1"/>
        <v>nehadhamija126@gmail.com919999255528</v>
      </c>
      <c r="M190" s="10" t="s">
        <v>67</v>
      </c>
      <c r="N190" s="4" t="b">
        <v>0</v>
      </c>
      <c r="O190" s="4" t="str">
        <f>VLOOKUP(A190,payment_ids!D:E,2,FALSE)</f>
        <v>upi</v>
      </c>
      <c r="P190" s="4" t="s">
        <v>69</v>
      </c>
      <c r="Q190" s="11">
        <v>44321.620833333334</v>
      </c>
      <c r="R190" s="4"/>
      <c r="S190" s="12" t="s">
        <v>2745</v>
      </c>
      <c r="T190" s="4"/>
      <c r="U190" s="4"/>
      <c r="V190" s="11"/>
      <c r="W190" s="4"/>
      <c r="X190" s="11"/>
      <c r="Y190" s="4"/>
      <c r="Z190" s="4"/>
      <c r="AA190" s="4"/>
      <c r="AB190" s="4"/>
      <c r="AC190" s="4"/>
      <c r="AD190" s="4"/>
      <c r="AE190" s="4"/>
      <c r="AF190" s="4"/>
      <c r="AG190" s="4"/>
      <c r="AH190" s="5"/>
      <c r="AI190" s="5"/>
      <c r="AJ190" s="5"/>
      <c r="AK190" s="5"/>
      <c r="AL190" s="5"/>
    </row>
    <row r="191">
      <c r="A191" s="4" t="str">
        <f>VLOOKUP(L191,payment_ids!C:D,2,FALSE)</f>
        <v>pay_H75H7U3Vn5F8uO</v>
      </c>
      <c r="B191" s="4"/>
      <c r="C191" s="4" t="s">
        <v>1476</v>
      </c>
      <c r="D191" s="4">
        <v>50009.0</v>
      </c>
      <c r="E191" s="4"/>
      <c r="F191" s="4">
        <v>1.0</v>
      </c>
      <c r="G191" s="4">
        <v>99.0</v>
      </c>
      <c r="H191" s="4"/>
      <c r="I191" s="4">
        <v>99.0</v>
      </c>
      <c r="J191" s="4" t="s">
        <v>2747</v>
      </c>
      <c r="K191" s="6">
        <f>+919711032395</f>
        <v>919711032395</v>
      </c>
      <c r="L191" s="4" t="str">
        <f t="shared" si="1"/>
        <v>bindiya.anurudh@gmail.com919711032395</v>
      </c>
      <c r="M191" s="10" t="s">
        <v>67</v>
      </c>
      <c r="N191" s="4" t="b">
        <v>0</v>
      </c>
      <c r="O191" s="4" t="str">
        <f>VLOOKUP(A191,payment_ids!D:E,2,FALSE)</f>
        <v>upi</v>
      </c>
      <c r="P191" s="4" t="s">
        <v>69</v>
      </c>
      <c r="Q191" s="11">
        <v>44321.68125</v>
      </c>
      <c r="R191" s="4"/>
      <c r="S191" s="12" t="s">
        <v>2745</v>
      </c>
      <c r="T191" s="4"/>
      <c r="U191" s="4"/>
      <c r="V191" s="11"/>
      <c r="W191" s="4"/>
      <c r="X191" s="11"/>
      <c r="Y191" s="4"/>
      <c r="Z191" s="4"/>
      <c r="AA191" s="4"/>
      <c r="AB191" s="4"/>
      <c r="AC191" s="4"/>
      <c r="AD191" s="4"/>
      <c r="AE191" s="4"/>
      <c r="AF191" s="4"/>
      <c r="AG191" s="4"/>
      <c r="AH191" s="5"/>
      <c r="AI191" s="5"/>
      <c r="AJ191" s="5"/>
      <c r="AK191" s="5"/>
      <c r="AL191" s="5"/>
    </row>
    <row r="192">
      <c r="A192" s="4" t="str">
        <f>VLOOKUP(L192,payment_ids!C:D,2,FALSE)</f>
        <v>pay_H7p2CniBO0pRAf</v>
      </c>
      <c r="B192" s="4"/>
      <c r="C192" s="4" t="s">
        <v>1476</v>
      </c>
      <c r="D192" s="4">
        <v>50009.0</v>
      </c>
      <c r="E192" s="4"/>
      <c r="F192" s="4">
        <v>1.0</v>
      </c>
      <c r="G192" s="4">
        <v>99.0</v>
      </c>
      <c r="H192" s="4"/>
      <c r="I192" s="4">
        <v>99.0</v>
      </c>
      <c r="J192" s="4" t="s">
        <v>2748</v>
      </c>
      <c r="K192" s="6">
        <f>+919833482111</f>
        <v>919833482111</v>
      </c>
      <c r="L192" s="4" t="str">
        <f t="shared" si="1"/>
        <v>shoppersadda2020@gmail.com919833482111</v>
      </c>
      <c r="M192" s="10" t="s">
        <v>67</v>
      </c>
      <c r="N192" s="4" t="b">
        <v>0</v>
      </c>
      <c r="O192" s="4" t="str">
        <f>VLOOKUP(A192,payment_ids!D:E,2,FALSE)</f>
        <v>upi</v>
      </c>
      <c r="P192" s="4" t="s">
        <v>69</v>
      </c>
      <c r="Q192" s="11">
        <v>44382.54583333333</v>
      </c>
      <c r="R192" s="4"/>
      <c r="S192" s="12" t="s">
        <v>2745</v>
      </c>
      <c r="T192" s="4"/>
      <c r="U192" s="4"/>
      <c r="V192" s="11"/>
      <c r="W192" s="4"/>
      <c r="X192" s="11"/>
      <c r="Y192" s="4"/>
      <c r="Z192" s="4"/>
      <c r="AA192" s="4"/>
      <c r="AB192" s="4"/>
      <c r="AC192" s="4"/>
      <c r="AD192" s="4"/>
      <c r="AE192" s="4"/>
      <c r="AF192" s="4"/>
      <c r="AG192" s="4"/>
      <c r="AH192" s="5"/>
      <c r="AI192" s="5"/>
      <c r="AJ192" s="5"/>
      <c r="AK192" s="5"/>
      <c r="AL192" s="5"/>
    </row>
    <row r="193">
      <c r="A193" s="4" t="str">
        <f>VLOOKUP(L193,payment_ids!C:D,2,FALSE)</f>
        <v>pay_H7tewZ1Ppf34gG</v>
      </c>
      <c r="B193" s="4"/>
      <c r="C193" s="4" t="s">
        <v>1476</v>
      </c>
      <c r="D193" s="4">
        <v>50009.0</v>
      </c>
      <c r="E193" s="4"/>
      <c r="F193" s="4">
        <v>3.0</v>
      </c>
      <c r="G193" s="4">
        <v>199.0</v>
      </c>
      <c r="H193" s="4"/>
      <c r="I193" s="4">
        <v>199.0</v>
      </c>
      <c r="J193" s="4" t="s">
        <v>2749</v>
      </c>
      <c r="K193" s="6">
        <f>+919819422902</f>
        <v>919819422902</v>
      </c>
      <c r="L193" s="4" t="str">
        <f t="shared" si="1"/>
        <v>ritusky2@gmail.com919819422902</v>
      </c>
      <c r="M193" s="10" t="s">
        <v>67</v>
      </c>
      <c r="N193" s="4" t="b">
        <v>0</v>
      </c>
      <c r="O193" s="4" t="str">
        <f>VLOOKUP(A193,payment_ids!D:E,2,FALSE)</f>
        <v>card</v>
      </c>
      <c r="P193" s="4" t="s">
        <v>69</v>
      </c>
      <c r="Q193" s="11">
        <v>44382.73472222222</v>
      </c>
      <c r="R193" s="4"/>
      <c r="S193" s="12" t="s">
        <v>2745</v>
      </c>
      <c r="T193" s="4"/>
      <c r="U193" s="4"/>
      <c r="V193" s="11"/>
      <c r="W193" s="4"/>
      <c r="X193" s="11"/>
      <c r="Y193" s="4"/>
      <c r="Z193" s="4"/>
      <c r="AA193" s="4"/>
      <c r="AB193" s="4"/>
      <c r="AC193" s="4"/>
      <c r="AD193" s="4"/>
      <c r="AE193" s="4"/>
      <c r="AF193" s="4"/>
      <c r="AG193" s="4"/>
      <c r="AH193" s="5"/>
      <c r="AI193" s="5"/>
      <c r="AJ193" s="5"/>
      <c r="AK193" s="5"/>
      <c r="AL193" s="5"/>
    </row>
    <row r="194">
      <c r="A194" s="4" t="str">
        <f>VLOOKUP(L194,payment_ids!C:D,2,FALSE)</f>
        <v>pay_H7tfXLeyM4TBiE</v>
      </c>
      <c r="B194" s="4"/>
      <c r="C194" s="4" t="s">
        <v>1476</v>
      </c>
      <c r="D194" s="4">
        <v>50009.0</v>
      </c>
      <c r="E194" s="4"/>
      <c r="F194" s="4">
        <v>1.0</v>
      </c>
      <c r="G194" s="4">
        <v>99.0</v>
      </c>
      <c r="H194" s="4"/>
      <c r="I194" s="4">
        <v>99.0</v>
      </c>
      <c r="J194" s="4" t="s">
        <v>2750</v>
      </c>
      <c r="K194" s="6">
        <f>+917708930197</f>
        <v>917708930197</v>
      </c>
      <c r="L194" s="4" t="str">
        <f t="shared" si="1"/>
        <v>jm.2907@gmail.com917708930197</v>
      </c>
      <c r="M194" s="10" t="s">
        <v>67</v>
      </c>
      <c r="N194" s="4" t="b">
        <v>0</v>
      </c>
      <c r="O194" s="4" t="str">
        <f>VLOOKUP(A194,payment_ids!D:E,2,FALSE)</f>
        <v>card</v>
      </c>
      <c r="P194" s="4" t="s">
        <v>69</v>
      </c>
      <c r="Q194" s="11">
        <v>44382.73472222222</v>
      </c>
      <c r="R194" s="4"/>
      <c r="S194" s="12" t="s">
        <v>2745</v>
      </c>
      <c r="T194" s="4"/>
      <c r="U194" s="4"/>
      <c r="V194" s="11"/>
      <c r="W194" s="4"/>
      <c r="X194" s="11"/>
      <c r="Y194" s="4"/>
      <c r="Z194" s="4"/>
      <c r="AA194" s="4"/>
      <c r="AB194" s="4"/>
      <c r="AC194" s="4"/>
      <c r="AD194" s="4"/>
      <c r="AE194" s="4"/>
      <c r="AF194" s="4"/>
      <c r="AG194" s="4"/>
      <c r="AH194" s="5"/>
      <c r="AI194" s="5"/>
      <c r="AJ194" s="5"/>
      <c r="AK194" s="5"/>
      <c r="AL194" s="5"/>
    </row>
    <row r="195">
      <c r="A195" s="4" t="str">
        <f>VLOOKUP(L195,payment_ids!C:D,2,FALSE)</f>
        <v>pay_H7wsknT1QusV8C</v>
      </c>
      <c r="B195" s="4"/>
      <c r="C195" s="4" t="s">
        <v>1476</v>
      </c>
      <c r="D195" s="4">
        <v>50009.0</v>
      </c>
      <c r="E195" s="4"/>
      <c r="F195" s="4">
        <v>6.0</v>
      </c>
      <c r="G195" s="4">
        <v>349.0</v>
      </c>
      <c r="H195" s="4"/>
      <c r="I195" s="4">
        <v>349.0</v>
      </c>
      <c r="J195" s="4" t="s">
        <v>2751</v>
      </c>
      <c r="K195" s="6">
        <f>+919811834466</f>
        <v>919811834466</v>
      </c>
      <c r="L195" s="4" t="str">
        <f t="shared" si="1"/>
        <v>chavibehl@gmail.com919811834466</v>
      </c>
      <c r="M195" s="10" t="s">
        <v>67</v>
      </c>
      <c r="N195" s="4" t="b">
        <v>0</v>
      </c>
      <c r="O195" s="4" t="str">
        <f>VLOOKUP(A195,payment_ids!D:E,2,FALSE)</f>
        <v>upi</v>
      </c>
      <c r="P195" s="4" t="s">
        <v>69</v>
      </c>
      <c r="Q195" s="11">
        <v>44382.86597222222</v>
      </c>
      <c r="R195" s="4"/>
      <c r="S195" s="12" t="s">
        <v>2745</v>
      </c>
      <c r="T195" s="4"/>
      <c r="U195" s="4"/>
      <c r="V195" s="11"/>
      <c r="W195" s="4"/>
      <c r="X195" s="11"/>
      <c r="Y195" s="4"/>
      <c r="Z195" s="4"/>
      <c r="AA195" s="4"/>
      <c r="AB195" s="4"/>
      <c r="AC195" s="4"/>
      <c r="AD195" s="4"/>
      <c r="AE195" s="4"/>
      <c r="AF195" s="4"/>
      <c r="AG195" s="4"/>
      <c r="AH195" s="5"/>
      <c r="AI195" s="5"/>
      <c r="AJ195" s="5"/>
      <c r="AK195" s="5"/>
      <c r="AL195" s="5"/>
    </row>
    <row r="196">
      <c r="A196" s="4" t="str">
        <f>VLOOKUP(L196,payment_ids!C:D,2,FALSE)</f>
        <v>pay_H7kiIcmOi6Mibr</v>
      </c>
      <c r="B196" s="4"/>
      <c r="C196" s="4" t="s">
        <v>1476</v>
      </c>
      <c r="D196" s="4">
        <v>50009.0</v>
      </c>
      <c r="E196" s="4"/>
      <c r="F196" s="4">
        <v>1.0</v>
      </c>
      <c r="G196" s="4">
        <v>99.0</v>
      </c>
      <c r="H196" s="4"/>
      <c r="I196" s="4">
        <v>99.0</v>
      </c>
      <c r="J196" s="4" t="s">
        <v>2752</v>
      </c>
      <c r="K196" s="6">
        <f>+919987960414</f>
        <v>919987960414</v>
      </c>
      <c r="L196" s="4" t="str">
        <f t="shared" si="1"/>
        <v>sailidxt22@gmail.com919987960414</v>
      </c>
      <c r="M196" s="10" t="s">
        <v>67</v>
      </c>
      <c r="N196" s="4" t="b">
        <v>0</v>
      </c>
      <c r="O196" s="4" t="str">
        <f>VLOOKUP(A196,payment_ids!D:E,2,FALSE)</f>
        <v>upi</v>
      </c>
      <c r="P196" s="4" t="s">
        <v>69</v>
      </c>
      <c r="Q196" s="11">
        <v>44382.37013888889</v>
      </c>
      <c r="R196" s="4"/>
      <c r="S196" s="12" t="s">
        <v>2745</v>
      </c>
      <c r="T196" s="4"/>
      <c r="U196" s="4"/>
      <c r="V196" s="11"/>
      <c r="W196" s="4"/>
      <c r="X196" s="11"/>
      <c r="Y196" s="4"/>
      <c r="Z196" s="4"/>
      <c r="AA196" s="4"/>
      <c r="AB196" s="4"/>
      <c r="AC196" s="4"/>
      <c r="AD196" s="4"/>
      <c r="AE196" s="4"/>
      <c r="AF196" s="4"/>
      <c r="AG196" s="4"/>
      <c r="AH196" s="5"/>
      <c r="AI196" s="5"/>
      <c r="AJ196" s="5"/>
      <c r="AK196" s="5"/>
      <c r="AL196" s="5"/>
    </row>
    <row r="197">
      <c r="A197" s="4" t="str">
        <f>VLOOKUP(L197,payment_ids!C:D,2,FALSE)</f>
        <v>pay_H81DrQYnPUsIj8</v>
      </c>
      <c r="B197" s="4"/>
      <c r="C197" s="4" t="s">
        <v>1476</v>
      </c>
      <c r="D197" s="4">
        <v>50009.0</v>
      </c>
      <c r="E197" s="4"/>
      <c r="F197" s="4">
        <v>1.0</v>
      </c>
      <c r="G197" s="4">
        <v>99.0</v>
      </c>
      <c r="H197" s="4"/>
      <c r="I197" s="4">
        <v>99.0</v>
      </c>
      <c r="J197" s="4" t="s">
        <v>2753</v>
      </c>
      <c r="K197" s="6">
        <f>+919742366473</f>
        <v>919742366473</v>
      </c>
      <c r="L197" s="4" t="str">
        <f t="shared" si="1"/>
        <v>sheensimon33@gmail.com919742366473</v>
      </c>
      <c r="M197" s="10" t="s">
        <v>67</v>
      </c>
      <c r="N197" s="4" t="b">
        <v>0</v>
      </c>
      <c r="O197" s="4" t="str">
        <f>VLOOKUP(A197,payment_ids!D:E,2,FALSE)</f>
        <v>upi</v>
      </c>
      <c r="P197" s="4" t="s">
        <v>69</v>
      </c>
      <c r="Q197" s="11">
        <v>44413.04305555556</v>
      </c>
      <c r="R197" s="4"/>
      <c r="S197" s="12" t="s">
        <v>2745</v>
      </c>
      <c r="T197" s="4"/>
      <c r="U197" s="4"/>
      <c r="V197" s="11"/>
      <c r="W197" s="4"/>
      <c r="X197" s="11"/>
      <c r="Y197" s="4"/>
      <c r="Z197" s="4"/>
      <c r="AA197" s="4"/>
      <c r="AB197" s="4"/>
      <c r="AC197" s="4"/>
      <c r="AD197" s="4"/>
      <c r="AE197" s="4"/>
      <c r="AF197" s="4"/>
      <c r="AG197" s="4"/>
      <c r="AH197" s="5"/>
      <c r="AI197" s="5"/>
      <c r="AJ197" s="5"/>
      <c r="AK197" s="5"/>
      <c r="AL197" s="5"/>
    </row>
    <row r="198">
      <c r="A198" s="4" t="str">
        <f>VLOOKUP(L198,payment_ids!C:D,2,FALSE)</f>
        <v>pay_H8KqT2RU3qhnFc</v>
      </c>
      <c r="B198" s="4"/>
      <c r="C198" s="4" t="s">
        <v>1476</v>
      </c>
      <c r="D198" s="4">
        <v>50009.0</v>
      </c>
      <c r="E198" s="4"/>
      <c r="F198" s="4">
        <v>1.0</v>
      </c>
      <c r="G198" s="4">
        <v>99.0</v>
      </c>
      <c r="H198" s="4"/>
      <c r="I198" s="4">
        <v>99.0</v>
      </c>
      <c r="J198" s="4" t="s">
        <v>2754</v>
      </c>
      <c r="K198" s="6">
        <f>+919769977777</f>
        <v>919769977777</v>
      </c>
      <c r="L198" s="4" t="str">
        <f t="shared" si="1"/>
        <v>sahiba1bajaj@gmail.com919769977777</v>
      </c>
      <c r="M198" s="10" t="s">
        <v>67</v>
      </c>
      <c r="N198" s="4" t="b">
        <v>0</v>
      </c>
      <c r="O198" s="4" t="str">
        <f>VLOOKUP(A198,payment_ids!D:E,2,FALSE)</f>
        <v>upi</v>
      </c>
      <c r="P198" s="4" t="s">
        <v>69</v>
      </c>
      <c r="Q198" s="11">
        <v>44413.842361111114</v>
      </c>
      <c r="R198" s="4"/>
      <c r="S198" s="12" t="s">
        <v>2745</v>
      </c>
      <c r="T198" s="4"/>
      <c r="U198" s="4"/>
      <c r="V198" s="11"/>
      <c r="W198" s="4"/>
      <c r="X198" s="11"/>
      <c r="Y198" s="4"/>
      <c r="Z198" s="4"/>
      <c r="AA198" s="4"/>
      <c r="AB198" s="4"/>
      <c r="AC198" s="4"/>
      <c r="AD198" s="4"/>
      <c r="AE198" s="4"/>
      <c r="AF198" s="4"/>
      <c r="AG198" s="4"/>
      <c r="AH198" s="5"/>
      <c r="AI198" s="5"/>
      <c r="AJ198" s="5"/>
      <c r="AK198" s="5"/>
      <c r="AL198" s="5"/>
    </row>
    <row r="199">
      <c r="A199" s="4" t="str">
        <f>VLOOKUP(L199,payment_ids!C:D,2,FALSE)</f>
        <v>pay_H8MqHQXAxyWfC2</v>
      </c>
      <c r="B199" s="4"/>
      <c r="C199" s="4" t="s">
        <v>1476</v>
      </c>
      <c r="D199" s="4">
        <v>50009.0</v>
      </c>
      <c r="E199" s="4"/>
      <c r="F199" s="4">
        <v>1.0</v>
      </c>
      <c r="G199" s="4">
        <v>99.0</v>
      </c>
      <c r="H199" s="4"/>
      <c r="I199" s="4">
        <v>99.0</v>
      </c>
      <c r="J199" s="4" t="s">
        <v>2755</v>
      </c>
      <c r="K199" s="6">
        <f>+919954229499</f>
        <v>919954229499</v>
      </c>
      <c r="L199" s="4" t="str">
        <f t="shared" si="1"/>
        <v>ratnapurkayastha7@gmail.com919954229499</v>
      </c>
      <c r="M199" s="10" t="s">
        <v>67</v>
      </c>
      <c r="N199" s="4" t="b">
        <v>0</v>
      </c>
      <c r="O199" s="4" t="str">
        <f>VLOOKUP(A199,payment_ids!D:E,2,FALSE)</f>
        <v>upi</v>
      </c>
      <c r="P199" s="4" t="s">
        <v>69</v>
      </c>
      <c r="Q199" s="11">
        <v>44413.924305555556</v>
      </c>
      <c r="R199" s="4"/>
      <c r="S199" s="12" t="s">
        <v>2745</v>
      </c>
      <c r="T199" s="4"/>
      <c r="U199" s="4"/>
      <c r="V199" s="11"/>
      <c r="W199" s="4"/>
      <c r="X199" s="11"/>
      <c r="Y199" s="4"/>
      <c r="Z199" s="4"/>
      <c r="AA199" s="4"/>
      <c r="AB199" s="4"/>
      <c r="AC199" s="4"/>
      <c r="AD199" s="4"/>
      <c r="AE199" s="4"/>
      <c r="AF199" s="4"/>
      <c r="AG199" s="4"/>
      <c r="AH199" s="5"/>
      <c r="AI199" s="5"/>
      <c r="AJ199" s="5"/>
      <c r="AK199" s="5"/>
      <c r="AL199" s="5"/>
    </row>
    <row r="200">
      <c r="A200" s="4" t="str">
        <f>VLOOKUP(L200,payment_ids!C:D,2,FALSE)</f>
        <v>pay_H8ffcRY6ZHjm0d</v>
      </c>
      <c r="B200" s="4"/>
      <c r="C200" s="4" t="s">
        <v>1476</v>
      </c>
      <c r="D200" s="4">
        <v>50009.0</v>
      </c>
      <c r="E200" s="4"/>
      <c r="F200" s="4">
        <v>1.0</v>
      </c>
      <c r="G200" s="4">
        <v>99.0</v>
      </c>
      <c r="H200" s="4"/>
      <c r="I200" s="4">
        <v>99.0</v>
      </c>
      <c r="J200" s="4" t="s">
        <v>2756</v>
      </c>
      <c r="K200" s="6">
        <f>+918073019575</f>
        <v>918073019575</v>
      </c>
      <c r="L200" s="4" t="str">
        <f t="shared" si="1"/>
        <v>anjalivijayakumar26@gmail.com918073019575</v>
      </c>
      <c r="M200" s="10" t="s">
        <v>67</v>
      </c>
      <c r="N200" s="4" t="b">
        <v>0</v>
      </c>
      <c r="O200" s="4" t="str">
        <f>VLOOKUP(A200,payment_ids!D:E,2,FALSE)</f>
        <v>card</v>
      </c>
      <c r="P200" s="4" t="s">
        <v>69</v>
      </c>
      <c r="Q200" s="11">
        <v>44444.69375</v>
      </c>
      <c r="R200" s="4"/>
      <c r="S200" s="12" t="s">
        <v>2745</v>
      </c>
      <c r="T200" s="4"/>
      <c r="U200" s="4"/>
      <c r="V200" s="11"/>
      <c r="W200" s="4"/>
      <c r="X200" s="11"/>
      <c r="Y200" s="4"/>
      <c r="Z200" s="4"/>
      <c r="AA200" s="4"/>
      <c r="AB200" s="4"/>
      <c r="AC200" s="4"/>
      <c r="AD200" s="4"/>
      <c r="AE200" s="4"/>
      <c r="AF200" s="4"/>
      <c r="AG200" s="4"/>
      <c r="AH200" s="5"/>
      <c r="AI200" s="5"/>
      <c r="AJ200" s="5"/>
      <c r="AK200" s="5"/>
      <c r="AL200" s="5"/>
    </row>
    <row r="201">
      <c r="A201" s="4" t="str">
        <f>VLOOKUP(L201,payment_ids!C:D,2,FALSE)</f>
        <v>pay_H8jdHi3JzsqJSb</v>
      </c>
      <c r="B201" s="4"/>
      <c r="C201" s="4" t="s">
        <v>1476</v>
      </c>
      <c r="D201" s="4">
        <v>50009.0</v>
      </c>
      <c r="E201" s="4"/>
      <c r="F201" s="4">
        <v>1.0</v>
      </c>
      <c r="G201" s="4">
        <v>99.0</v>
      </c>
      <c r="H201" s="4"/>
      <c r="I201" s="4">
        <v>99.0</v>
      </c>
      <c r="J201" s="4" t="s">
        <v>431</v>
      </c>
      <c r="K201" s="6">
        <f>+919912636113</f>
        <v>919912636113</v>
      </c>
      <c r="L201" s="4" t="str">
        <f t="shared" si="1"/>
        <v>lakshmimadeti23@gmail.com919912636113</v>
      </c>
      <c r="M201" s="10" t="s">
        <v>67</v>
      </c>
      <c r="N201" s="4" t="b">
        <v>0</v>
      </c>
      <c r="O201" s="4" t="str">
        <f>VLOOKUP(A201,payment_ids!D:E,2,FALSE)</f>
        <v>upi</v>
      </c>
      <c r="P201" s="4" t="s">
        <v>69</v>
      </c>
      <c r="Q201" s="11">
        <v>44444.856944444444</v>
      </c>
      <c r="R201" s="4"/>
      <c r="S201" s="12" t="s">
        <v>2745</v>
      </c>
      <c r="T201" s="4"/>
      <c r="U201" s="4"/>
      <c r="V201" s="11"/>
      <c r="W201" s="4"/>
      <c r="X201" s="11"/>
      <c r="Y201" s="4"/>
      <c r="Z201" s="4"/>
      <c r="AA201" s="4"/>
      <c r="AB201" s="4"/>
      <c r="AC201" s="4"/>
      <c r="AD201" s="4"/>
      <c r="AE201" s="4"/>
      <c r="AF201" s="4"/>
      <c r="AG201" s="4"/>
      <c r="AH201" s="5"/>
      <c r="AI201" s="5"/>
      <c r="AJ201" s="5"/>
      <c r="AK201" s="5"/>
      <c r="AL201" s="5"/>
    </row>
    <row r="202">
      <c r="A202" s="4" t="str">
        <f>VLOOKUP(L202,payment_ids!C:D,2,FALSE)</f>
        <v>pay_H8mRro9uKBREWo</v>
      </c>
      <c r="B202" s="4"/>
      <c r="C202" s="4" t="s">
        <v>1476</v>
      </c>
      <c r="D202" s="4">
        <v>50009.0</v>
      </c>
      <c r="E202" s="4"/>
      <c r="F202" s="4">
        <v>1.0</v>
      </c>
      <c r="G202" s="4">
        <v>99.0</v>
      </c>
      <c r="H202" s="4"/>
      <c r="I202" s="4">
        <v>99.0</v>
      </c>
      <c r="J202" s="4" t="s">
        <v>2757</v>
      </c>
      <c r="K202" s="6">
        <f>+919101404824</f>
        <v>919101404824</v>
      </c>
      <c r="L202" s="4" t="str">
        <f t="shared" si="1"/>
        <v>dimpysharma2008@gmail.com919101404824</v>
      </c>
      <c r="M202" s="10" t="s">
        <v>67</v>
      </c>
      <c r="N202" s="4" t="b">
        <v>0</v>
      </c>
      <c r="O202" s="4" t="str">
        <f>VLOOKUP(A202,payment_ids!D:E,2,FALSE)</f>
        <v>card</v>
      </c>
      <c r="P202" s="4" t="s">
        <v>69</v>
      </c>
      <c r="Q202" s="11">
        <v>44474.59027777778</v>
      </c>
      <c r="R202" s="4"/>
      <c r="S202" s="12" t="s">
        <v>2745</v>
      </c>
      <c r="T202" s="4"/>
      <c r="U202" s="4"/>
      <c r="V202" s="11"/>
      <c r="W202" s="4"/>
      <c r="X202" s="11"/>
      <c r="Y202" s="4"/>
      <c r="Z202" s="4"/>
      <c r="AA202" s="4"/>
      <c r="AB202" s="4"/>
      <c r="AC202" s="4"/>
      <c r="AD202" s="4"/>
      <c r="AE202" s="4"/>
      <c r="AF202" s="4"/>
      <c r="AG202" s="4"/>
      <c r="AH202" s="5"/>
      <c r="AI202" s="5"/>
      <c r="AJ202" s="5"/>
      <c r="AK202" s="5"/>
      <c r="AL202" s="5"/>
    </row>
    <row r="203">
      <c r="A203" s="4" t="str">
        <f>VLOOKUP(L203,payment_ids!C:D,2,FALSE)</f>
        <v>pay_H92LIapRsyiRQa</v>
      </c>
      <c r="B203" s="4"/>
      <c r="C203" s="4" t="s">
        <v>1476</v>
      </c>
      <c r="D203" s="4">
        <v>50009.0</v>
      </c>
      <c r="E203" s="4"/>
      <c r="F203" s="4">
        <v>1.0</v>
      </c>
      <c r="G203" s="4">
        <v>99.0</v>
      </c>
      <c r="H203" s="4"/>
      <c r="I203" s="4">
        <v>99.0</v>
      </c>
      <c r="J203" s="4" t="s">
        <v>2758</v>
      </c>
      <c r="K203" s="6">
        <f>+919828116779</f>
        <v>919828116779</v>
      </c>
      <c r="L203" s="4" t="str">
        <f t="shared" si="1"/>
        <v>sandhyapareek@gmail.com919828116779</v>
      </c>
      <c r="M203" s="10" t="s">
        <v>67</v>
      </c>
      <c r="N203" s="4" t="b">
        <v>0</v>
      </c>
      <c r="O203" s="4" t="str">
        <f>VLOOKUP(A203,payment_ids!D:E,2,FALSE)</f>
        <v>upi</v>
      </c>
      <c r="P203" s="4" t="s">
        <v>69</v>
      </c>
      <c r="Q203" s="11">
        <v>44474.61597222222</v>
      </c>
      <c r="R203" s="4"/>
      <c r="S203" s="12" t="s">
        <v>2745</v>
      </c>
      <c r="T203" s="4"/>
      <c r="U203" s="4"/>
      <c r="V203" s="11"/>
      <c r="W203" s="4"/>
      <c r="X203" s="11"/>
      <c r="Y203" s="4"/>
      <c r="Z203" s="4"/>
      <c r="AA203" s="4"/>
      <c r="AB203" s="4"/>
      <c r="AC203" s="4"/>
      <c r="AD203" s="4"/>
      <c r="AE203" s="4"/>
      <c r="AF203" s="4"/>
      <c r="AG203" s="4"/>
      <c r="AH203" s="5"/>
      <c r="AI203" s="5"/>
      <c r="AJ203" s="5"/>
      <c r="AK203" s="5"/>
      <c r="AL203" s="5"/>
    </row>
    <row r="204">
      <c r="A204" s="4" t="str">
        <f>VLOOKUP(L204,payment_ids!C:D,2,FALSE)</f>
        <v>pay_H92fxXe5T2Hb5H</v>
      </c>
      <c r="B204" s="4"/>
      <c r="C204" s="4" t="s">
        <v>1476</v>
      </c>
      <c r="D204" s="4">
        <v>50009.0</v>
      </c>
      <c r="E204" s="4"/>
      <c r="F204" s="4">
        <v>1.0</v>
      </c>
      <c r="G204" s="4">
        <v>99.0</v>
      </c>
      <c r="H204" s="4"/>
      <c r="I204" s="4">
        <v>99.0</v>
      </c>
      <c r="J204" s="4" t="s">
        <v>2759</v>
      </c>
      <c r="K204" s="6">
        <f>+918238330529</f>
        <v>918238330529</v>
      </c>
      <c r="L204" s="4" t="str">
        <f t="shared" si="1"/>
        <v>pruthavdhr99@gmail.com918238330529</v>
      </c>
      <c r="M204" s="10" t="s">
        <v>67</v>
      </c>
      <c r="N204" s="4" t="b">
        <v>0</v>
      </c>
      <c r="O204" s="4" t="str">
        <f>VLOOKUP(A204,payment_ids!D:E,2,FALSE)</f>
        <v>upi</v>
      </c>
      <c r="P204" s="4" t="s">
        <v>69</v>
      </c>
      <c r="Q204" s="11">
        <v>44474.629166666666</v>
      </c>
      <c r="R204" s="4"/>
      <c r="S204" s="12" t="s">
        <v>2745</v>
      </c>
      <c r="T204" s="4"/>
      <c r="U204" s="4"/>
      <c r="V204" s="11"/>
      <c r="W204" s="4"/>
      <c r="X204" s="11"/>
      <c r="Y204" s="4"/>
      <c r="Z204" s="4"/>
      <c r="AA204" s="4"/>
      <c r="AB204" s="4"/>
      <c r="AC204" s="4"/>
      <c r="AD204" s="4"/>
      <c r="AE204" s="4"/>
      <c r="AF204" s="4"/>
      <c r="AG204" s="4"/>
      <c r="AH204" s="5"/>
      <c r="AI204" s="5"/>
      <c r="AJ204" s="5"/>
      <c r="AK204" s="5"/>
      <c r="AL204" s="5"/>
    </row>
    <row r="205">
      <c r="A205" s="4" t="str">
        <f>VLOOKUP(L205,payment_ids!C:D,2,FALSE)</f>
        <v>pay_H90Dprm1HgNQdC</v>
      </c>
      <c r="B205" s="4"/>
      <c r="C205" s="4" t="s">
        <v>1476</v>
      </c>
      <c r="D205" s="4">
        <v>50009.0</v>
      </c>
      <c r="E205" s="4"/>
      <c r="F205" s="4">
        <v>6.0</v>
      </c>
      <c r="G205" s="4">
        <v>349.0</v>
      </c>
      <c r="H205" s="4"/>
      <c r="I205" s="4">
        <v>349.0</v>
      </c>
      <c r="J205" s="4" t="s">
        <v>2760</v>
      </c>
      <c r="K205" s="6">
        <f>+919929355554</f>
        <v>919929355554</v>
      </c>
      <c r="L205" s="4" t="str">
        <f t="shared" si="1"/>
        <v>pragatisachan2507@gmail.com919929355554</v>
      </c>
      <c r="M205" s="10" t="s">
        <v>67</v>
      </c>
      <c r="N205" s="4" t="b">
        <v>0</v>
      </c>
      <c r="O205" s="4" t="str">
        <f>VLOOKUP(A205,payment_ids!D:E,2,FALSE)</f>
        <v>upi</v>
      </c>
      <c r="P205" s="4" t="s">
        <v>69</v>
      </c>
      <c r="Q205" s="11">
        <v>44474.529861111114</v>
      </c>
      <c r="R205" s="4"/>
      <c r="S205" s="12" t="s">
        <v>2745</v>
      </c>
      <c r="T205" s="4"/>
      <c r="U205" s="4"/>
      <c r="V205" s="11"/>
      <c r="W205" s="4"/>
      <c r="X205" s="11"/>
      <c r="Y205" s="4"/>
      <c r="Z205" s="4"/>
      <c r="AA205" s="4"/>
      <c r="AB205" s="4"/>
      <c r="AC205" s="4"/>
      <c r="AD205" s="4"/>
      <c r="AE205" s="4"/>
      <c r="AF205" s="4"/>
      <c r="AG205" s="4"/>
      <c r="AH205" s="5"/>
      <c r="AI205" s="5"/>
      <c r="AJ205" s="5"/>
      <c r="AK205" s="5"/>
      <c r="AL205" s="5"/>
    </row>
    <row r="206">
      <c r="A206" s="4" t="str">
        <f>VLOOKUP(L206,payment_ids!C:D,2,FALSE)</f>
        <v>pay_H71wN5KgnwmTo3</v>
      </c>
      <c r="B206" s="4"/>
      <c r="C206" s="4" t="s">
        <v>2761</v>
      </c>
      <c r="D206" s="4">
        <v>50029.0</v>
      </c>
      <c r="E206" s="4"/>
      <c r="F206" s="4">
        <v>1.0</v>
      </c>
      <c r="G206" s="4">
        <v>99.0</v>
      </c>
      <c r="H206" s="4"/>
      <c r="I206" s="4">
        <v>99.0</v>
      </c>
      <c r="J206" s="4" t="s">
        <v>2762</v>
      </c>
      <c r="K206" s="6">
        <f>+919967655017</f>
        <v>919967655017</v>
      </c>
      <c r="L206" s="4" t="str">
        <f t="shared" si="1"/>
        <v>arunanilgupta@gmail.com919967655017</v>
      </c>
      <c r="M206" s="10" t="s">
        <v>67</v>
      </c>
      <c r="N206" s="4" t="b">
        <v>0</v>
      </c>
      <c r="O206" s="4" t="str">
        <f>VLOOKUP(A206,payment_ids!D:E,2,FALSE)</f>
        <v>upi</v>
      </c>
      <c r="P206" s="4" t="s">
        <v>69</v>
      </c>
      <c r="Q206" s="11">
        <v>44321.54513888889</v>
      </c>
      <c r="R206" s="4"/>
      <c r="S206" s="12" t="s">
        <v>2763</v>
      </c>
      <c r="T206" s="4"/>
      <c r="U206" s="4"/>
      <c r="V206" s="11"/>
      <c r="W206" s="4"/>
      <c r="X206" s="11"/>
      <c r="Y206" s="4"/>
      <c r="Z206" s="4"/>
      <c r="AA206" s="4"/>
      <c r="AB206" s="4"/>
      <c r="AC206" s="4"/>
      <c r="AD206" s="4"/>
      <c r="AE206" s="4"/>
      <c r="AF206" s="4"/>
      <c r="AG206" s="4"/>
      <c r="AH206" s="5"/>
      <c r="AI206" s="5"/>
      <c r="AJ206" s="5"/>
      <c r="AK206" s="5"/>
      <c r="AL206" s="5"/>
    </row>
    <row r="207">
      <c r="A207" s="4" t="str">
        <f>VLOOKUP(L207,payment_ids!C:D,2,FALSE)</f>
        <v>pay_H7BTQjwiLSAaX5</v>
      </c>
      <c r="B207" s="4"/>
      <c r="C207" s="4" t="s">
        <v>2761</v>
      </c>
      <c r="D207" s="4">
        <v>50029.0</v>
      </c>
      <c r="E207" s="4"/>
      <c r="F207" s="4">
        <v>6.0</v>
      </c>
      <c r="G207" s="4">
        <v>349.0</v>
      </c>
      <c r="H207" s="4"/>
      <c r="I207" s="4">
        <v>349.0</v>
      </c>
      <c r="J207" s="4" t="s">
        <v>2764</v>
      </c>
      <c r="K207" s="6">
        <f>+919051684807</f>
        <v>919051684807</v>
      </c>
      <c r="L207" s="4" t="str">
        <f t="shared" si="1"/>
        <v>asish.aryan@gmail.com919051684807</v>
      </c>
      <c r="M207" s="10" t="s">
        <v>67</v>
      </c>
      <c r="N207" s="4" t="b">
        <v>0</v>
      </c>
      <c r="O207" s="4" t="str">
        <f>VLOOKUP(A207,payment_ids!D:E,2,FALSE)</f>
        <v>upi</v>
      </c>
      <c r="P207" s="4" t="s">
        <v>69</v>
      </c>
      <c r="Q207" s="11">
        <v>44321.93472222222</v>
      </c>
      <c r="R207" s="4"/>
      <c r="S207" s="12" t="s">
        <v>2763</v>
      </c>
      <c r="T207" s="4"/>
      <c r="U207" s="4"/>
      <c r="V207" s="11"/>
      <c r="W207" s="4"/>
      <c r="X207" s="11"/>
      <c r="Y207" s="4"/>
      <c r="Z207" s="4"/>
      <c r="AA207" s="4"/>
      <c r="AB207" s="4"/>
      <c r="AC207" s="4"/>
      <c r="AD207" s="4"/>
      <c r="AE207" s="4"/>
      <c r="AF207" s="4"/>
      <c r="AG207" s="4"/>
      <c r="AH207" s="5"/>
      <c r="AI207" s="5"/>
      <c r="AJ207" s="5"/>
      <c r="AK207" s="5"/>
      <c r="AL207" s="5"/>
    </row>
    <row r="208">
      <c r="A208" s="4" t="str">
        <f>VLOOKUP(L208,payment_ids!C:D,2,FALSE)</f>
        <v>pay_H7VlThLvRDzW8j</v>
      </c>
      <c r="B208" s="4"/>
      <c r="C208" s="4" t="s">
        <v>2761</v>
      </c>
      <c r="D208" s="4">
        <v>50029.0</v>
      </c>
      <c r="E208" s="4"/>
      <c r="F208" s="4">
        <v>1.0</v>
      </c>
      <c r="G208" s="4">
        <v>99.0</v>
      </c>
      <c r="H208" s="4"/>
      <c r="I208" s="4">
        <v>99.0</v>
      </c>
      <c r="J208" s="4" t="s">
        <v>2765</v>
      </c>
      <c r="K208" s="6">
        <f>+919619806040</f>
        <v>919619806040</v>
      </c>
      <c r="L208" s="4" t="str">
        <f t="shared" si="1"/>
        <v>surabhi_rana21@yahoo.com919619806040</v>
      </c>
      <c r="M208" s="10" t="s">
        <v>67</v>
      </c>
      <c r="N208" s="4" t="b">
        <v>0</v>
      </c>
      <c r="O208" s="4" t="str">
        <f>VLOOKUP(A208,payment_ids!D:E,2,FALSE)</f>
        <v>card</v>
      </c>
      <c r="P208" s="4" t="s">
        <v>69</v>
      </c>
      <c r="Q208" s="11">
        <v>44352.76111111111</v>
      </c>
      <c r="R208" s="4"/>
      <c r="S208" s="12" t="s">
        <v>2763</v>
      </c>
      <c r="T208" s="4"/>
      <c r="U208" s="4"/>
      <c r="V208" s="11"/>
      <c r="W208" s="4"/>
      <c r="X208" s="11"/>
      <c r="Y208" s="4"/>
      <c r="Z208" s="4"/>
      <c r="AA208" s="4"/>
      <c r="AB208" s="4"/>
      <c r="AC208" s="4"/>
      <c r="AD208" s="4"/>
      <c r="AE208" s="4"/>
      <c r="AF208" s="4"/>
      <c r="AG208" s="4"/>
      <c r="AH208" s="5"/>
      <c r="AI208" s="5"/>
      <c r="AJ208" s="5"/>
      <c r="AK208" s="5"/>
      <c r="AL208" s="5"/>
    </row>
    <row r="209">
      <c r="A209" s="4" t="str">
        <f>VLOOKUP(L209,payment_ids!C:D,2,FALSE)</f>
        <v>pay_H7DRMlhAHelSrX</v>
      </c>
      <c r="B209" s="4"/>
      <c r="C209" s="4" t="s">
        <v>2761</v>
      </c>
      <c r="D209" s="4">
        <v>50029.0</v>
      </c>
      <c r="E209" s="4"/>
      <c r="F209" s="4">
        <v>1.0</v>
      </c>
      <c r="G209" s="4">
        <v>99.0</v>
      </c>
      <c r="H209" s="4"/>
      <c r="I209" s="4">
        <v>99.0</v>
      </c>
      <c r="J209" s="4" t="s">
        <v>2766</v>
      </c>
      <c r="K209" s="6">
        <f>+919555554704</f>
        <v>919555554704</v>
      </c>
      <c r="L209" s="4" t="str">
        <f t="shared" si="1"/>
        <v>manlaksh.inc@gmail.com919555554704</v>
      </c>
      <c r="M209" s="10" t="s">
        <v>67</v>
      </c>
      <c r="N209" s="4" t="b">
        <v>0</v>
      </c>
      <c r="O209" s="4" t="str">
        <f>VLOOKUP(A209,payment_ids!D:E,2,FALSE)</f>
        <v>upi</v>
      </c>
      <c r="P209" s="4" t="s">
        <v>69</v>
      </c>
      <c r="Q209" s="11">
        <v>44352.01388888889</v>
      </c>
      <c r="R209" s="4"/>
      <c r="S209" s="12" t="s">
        <v>2763</v>
      </c>
      <c r="T209" s="4"/>
      <c r="U209" s="4"/>
      <c r="V209" s="11"/>
      <c r="W209" s="4"/>
      <c r="X209" s="11"/>
      <c r="Y209" s="4"/>
      <c r="Z209" s="4"/>
      <c r="AA209" s="4"/>
      <c r="AB209" s="4"/>
      <c r="AC209" s="4"/>
      <c r="AD209" s="4"/>
      <c r="AE209" s="4"/>
      <c r="AF209" s="4"/>
      <c r="AG209" s="4"/>
      <c r="AH209" s="5"/>
      <c r="AI209" s="5"/>
      <c r="AJ209" s="5"/>
      <c r="AK209" s="5"/>
      <c r="AL209" s="5"/>
    </row>
    <row r="210">
      <c r="A210" s="4" t="str">
        <f>VLOOKUP(L210,payment_ids!C:D,2,FALSE)</f>
        <v>pay_H7pytXyTYg5niZ</v>
      </c>
      <c r="B210" s="4"/>
      <c r="C210" s="4" t="s">
        <v>2761</v>
      </c>
      <c r="D210" s="4">
        <v>50029.0</v>
      </c>
      <c r="E210" s="4"/>
      <c r="F210" s="4">
        <v>1.0</v>
      </c>
      <c r="G210" s="4">
        <v>99.0</v>
      </c>
      <c r="H210" s="4"/>
      <c r="I210" s="4">
        <v>99.0</v>
      </c>
      <c r="J210" s="4" t="s">
        <v>2767</v>
      </c>
      <c r="K210" s="6">
        <f>+917738595010</f>
        <v>917738595010</v>
      </c>
      <c r="L210" s="4" t="str">
        <f t="shared" si="1"/>
        <v>nanwanipoonam@gmail.com917738595010</v>
      </c>
      <c r="M210" s="10" t="s">
        <v>67</v>
      </c>
      <c r="N210" s="4" t="b">
        <v>0</v>
      </c>
      <c r="O210" s="4" t="str">
        <f>VLOOKUP(A210,payment_ids!D:E,2,FALSE)</f>
        <v>upi</v>
      </c>
      <c r="P210" s="4" t="s">
        <v>69</v>
      </c>
      <c r="Q210" s="11">
        <v>44382.58472222222</v>
      </c>
      <c r="R210" s="4"/>
      <c r="S210" s="12" t="s">
        <v>2763</v>
      </c>
      <c r="T210" s="4"/>
      <c r="U210" s="4"/>
      <c r="V210" s="11"/>
      <c r="W210" s="4"/>
      <c r="X210" s="11"/>
      <c r="Y210" s="4"/>
      <c r="Z210" s="4"/>
      <c r="AA210" s="4"/>
      <c r="AB210" s="4"/>
      <c r="AC210" s="4"/>
      <c r="AD210" s="4"/>
      <c r="AE210" s="4"/>
      <c r="AF210" s="4"/>
      <c r="AG210" s="4"/>
      <c r="AH210" s="5"/>
      <c r="AI210" s="5"/>
      <c r="AJ210" s="5"/>
      <c r="AK210" s="5"/>
      <c r="AL210" s="5"/>
    </row>
    <row r="211">
      <c r="A211" s="4" t="str">
        <f>VLOOKUP(L211,payment_ids!C:D,2,FALSE)</f>
        <v>pay_H7tfEV5loA8BGL</v>
      </c>
      <c r="B211" s="4"/>
      <c r="C211" s="4" t="s">
        <v>2761</v>
      </c>
      <c r="D211" s="4">
        <v>50029.0</v>
      </c>
      <c r="E211" s="4"/>
      <c r="F211" s="4">
        <v>1.0</v>
      </c>
      <c r="G211" s="4">
        <v>99.0</v>
      </c>
      <c r="H211" s="4"/>
      <c r="I211" s="4">
        <v>99.0</v>
      </c>
      <c r="J211" s="4" t="s">
        <v>2768</v>
      </c>
      <c r="K211" s="6">
        <f>+919868133035</f>
        <v>919868133035</v>
      </c>
      <c r="L211" s="4" t="str">
        <f t="shared" si="1"/>
        <v>anjalityagi2014@gmail.com919868133035</v>
      </c>
      <c r="M211" s="10" t="s">
        <v>67</v>
      </c>
      <c r="N211" s="4" t="b">
        <v>0</v>
      </c>
      <c r="O211" s="4" t="str">
        <f>VLOOKUP(A211,payment_ids!D:E,2,FALSE)</f>
        <v>upi</v>
      </c>
      <c r="P211" s="4" t="s">
        <v>69</v>
      </c>
      <c r="Q211" s="11">
        <v>44382.73819444444</v>
      </c>
      <c r="R211" s="4"/>
      <c r="S211" s="12" t="s">
        <v>2763</v>
      </c>
      <c r="T211" s="4"/>
      <c r="U211" s="4"/>
      <c r="V211" s="11"/>
      <c r="W211" s="4"/>
      <c r="X211" s="11"/>
      <c r="Y211" s="4"/>
      <c r="Z211" s="4"/>
      <c r="AA211" s="4"/>
      <c r="AB211" s="4"/>
      <c r="AC211" s="4"/>
      <c r="AD211" s="4"/>
      <c r="AE211" s="4"/>
      <c r="AF211" s="4"/>
      <c r="AG211" s="4"/>
      <c r="AH211" s="5"/>
      <c r="AI211" s="5"/>
      <c r="AJ211" s="5"/>
      <c r="AK211" s="5"/>
      <c r="AL211" s="5"/>
    </row>
    <row r="212">
      <c r="A212" s="4" t="str">
        <f>VLOOKUP(L212,payment_ids!C:D,2,FALSE)</f>
        <v>pay_H7trhwVRvqAoTH</v>
      </c>
      <c r="B212" s="4"/>
      <c r="C212" s="4" t="s">
        <v>2761</v>
      </c>
      <c r="D212" s="4">
        <v>50029.0</v>
      </c>
      <c r="E212" s="4"/>
      <c r="F212" s="4">
        <v>3.0</v>
      </c>
      <c r="G212" s="4">
        <v>199.0</v>
      </c>
      <c r="H212" s="4"/>
      <c r="I212" s="4">
        <v>199.0</v>
      </c>
      <c r="J212" s="4" t="s">
        <v>2769</v>
      </c>
      <c r="K212" s="6">
        <f>+918978112244</f>
        <v>918978112244</v>
      </c>
      <c r="L212" s="4" t="str">
        <f t="shared" si="1"/>
        <v>chethna.p@gmail.com918978112244</v>
      </c>
      <c r="M212" s="10" t="s">
        <v>67</v>
      </c>
      <c r="N212" s="4" t="b">
        <v>0</v>
      </c>
      <c r="O212" s="4" t="str">
        <f>VLOOKUP(A212,payment_ids!D:E,2,FALSE)</f>
        <v>upi</v>
      </c>
      <c r="P212" s="4" t="s">
        <v>69</v>
      </c>
      <c r="Q212" s="11">
        <v>44382.743055555555</v>
      </c>
      <c r="R212" s="4"/>
      <c r="S212" s="12" t="s">
        <v>2763</v>
      </c>
      <c r="T212" s="4"/>
      <c r="U212" s="4"/>
      <c r="V212" s="11"/>
      <c r="W212" s="4"/>
      <c r="X212" s="11"/>
      <c r="Y212" s="4"/>
      <c r="Z212" s="4"/>
      <c r="AA212" s="4"/>
      <c r="AB212" s="4"/>
      <c r="AC212" s="4"/>
      <c r="AD212" s="4"/>
      <c r="AE212" s="4"/>
      <c r="AF212" s="4"/>
      <c r="AG212" s="4"/>
      <c r="AH212" s="5"/>
      <c r="AI212" s="5"/>
      <c r="AJ212" s="5"/>
      <c r="AK212" s="5"/>
      <c r="AL212" s="5"/>
    </row>
    <row r="213">
      <c r="A213" s="4" t="str">
        <f>VLOOKUP(L213,payment_ids!C:D,2,FALSE)</f>
        <v>pay_H7lYwgqgBz1Zxu</v>
      </c>
      <c r="B213" s="4"/>
      <c r="C213" s="4" t="s">
        <v>2761</v>
      </c>
      <c r="D213" s="4">
        <v>50029.0</v>
      </c>
      <c r="E213" s="4"/>
      <c r="F213" s="4">
        <v>1.0</v>
      </c>
      <c r="G213" s="4">
        <v>99.0</v>
      </c>
      <c r="H213" s="4"/>
      <c r="I213" s="4">
        <v>99.0</v>
      </c>
      <c r="J213" s="4" t="s">
        <v>2770</v>
      </c>
      <c r="K213" s="6">
        <f>+919819940660</f>
        <v>919819940660</v>
      </c>
      <c r="L213" s="4" t="str">
        <f t="shared" si="1"/>
        <v>saifsyd92@gmail.com919819940660</v>
      </c>
      <c r="M213" s="10" t="s">
        <v>67</v>
      </c>
      <c r="N213" s="4" t="b">
        <v>0</v>
      </c>
      <c r="O213" s="4" t="str">
        <f>VLOOKUP(A213,payment_ids!D:E,2,FALSE)</f>
        <v>upi</v>
      </c>
      <c r="P213" s="4" t="s">
        <v>69</v>
      </c>
      <c r="Q213" s="11">
        <v>44382.404861111114</v>
      </c>
      <c r="R213" s="4"/>
      <c r="S213" s="12" t="s">
        <v>2763</v>
      </c>
      <c r="T213" s="4"/>
      <c r="U213" s="4"/>
      <c r="V213" s="11"/>
      <c r="W213" s="4"/>
      <c r="X213" s="11"/>
      <c r="Y213" s="4"/>
      <c r="Z213" s="4"/>
      <c r="AA213" s="4"/>
      <c r="AB213" s="4"/>
      <c r="AC213" s="4"/>
      <c r="AD213" s="4"/>
      <c r="AE213" s="4"/>
      <c r="AF213" s="4"/>
      <c r="AG213" s="4"/>
      <c r="AH213" s="5"/>
      <c r="AI213" s="5"/>
      <c r="AJ213" s="5"/>
      <c r="AK213" s="5"/>
      <c r="AL213" s="5"/>
    </row>
    <row r="214">
      <c r="A214" s="4" t="str">
        <f>VLOOKUP(L214,payment_ids!C:D,2,FALSE)</f>
        <v>pay_H8veVAo2lBTHyJ</v>
      </c>
      <c r="B214" s="4"/>
      <c r="C214" s="4" t="s">
        <v>2761</v>
      </c>
      <c r="D214" s="4">
        <v>50029.0</v>
      </c>
      <c r="E214" s="4"/>
      <c r="F214" s="4">
        <v>3.0</v>
      </c>
      <c r="G214" s="4">
        <v>199.0</v>
      </c>
      <c r="H214" s="4"/>
      <c r="I214" s="4">
        <v>199.0</v>
      </c>
      <c r="J214" s="4" t="s">
        <v>2771</v>
      </c>
      <c r="K214" s="6">
        <f>+918884582987</f>
        <v>918884582987</v>
      </c>
      <c r="L214" s="4" t="str">
        <f t="shared" si="1"/>
        <v>soujannyadiwan121@gmail.com918884582987</v>
      </c>
      <c r="M214" s="10" t="s">
        <v>67</v>
      </c>
      <c r="N214" s="4" t="b">
        <v>0</v>
      </c>
      <c r="O214" s="4" t="str">
        <f>VLOOKUP(A214,payment_ids!D:E,2,FALSE)</f>
        <v>card</v>
      </c>
      <c r="P214" s="4" t="s">
        <v>69</v>
      </c>
      <c r="Q214" s="11">
        <v>44474.58194444444</v>
      </c>
      <c r="R214" s="4"/>
      <c r="S214" s="12" t="s">
        <v>2763</v>
      </c>
      <c r="T214" s="4"/>
      <c r="U214" s="4"/>
      <c r="V214" s="11"/>
      <c r="W214" s="4"/>
      <c r="X214" s="11"/>
      <c r="Y214" s="4"/>
      <c r="Z214" s="4"/>
      <c r="AA214" s="4"/>
      <c r="AB214" s="4"/>
      <c r="AC214" s="4"/>
      <c r="AD214" s="4"/>
      <c r="AE214" s="4"/>
      <c r="AF214" s="4"/>
      <c r="AG214" s="4"/>
      <c r="AH214" s="5"/>
      <c r="AI214" s="5"/>
      <c r="AJ214" s="5"/>
      <c r="AK214" s="5"/>
      <c r="AL214" s="5"/>
    </row>
    <row r="215">
      <c r="A215" s="4" t="str">
        <f>VLOOKUP(L215,payment_ids!C:D,2,FALSE)</f>
        <v>pay_H98iJNYb5VKUDt</v>
      </c>
      <c r="B215" s="4"/>
      <c r="C215" s="4" t="s">
        <v>2761</v>
      </c>
      <c r="D215" s="4">
        <v>50029.0</v>
      </c>
      <c r="E215" s="4"/>
      <c r="F215" s="4">
        <v>1.0</v>
      </c>
      <c r="G215" s="4">
        <v>99.0</v>
      </c>
      <c r="H215" s="4"/>
      <c r="I215" s="4">
        <v>99.0</v>
      </c>
      <c r="J215" s="4" t="s">
        <v>2772</v>
      </c>
      <c r="K215" s="6">
        <f>+919953163759</f>
        <v>919953163759</v>
      </c>
      <c r="L215" s="4" t="str">
        <f t="shared" si="1"/>
        <v>zulfikar.ahmed1@hotmail.com919953163759</v>
      </c>
      <c r="M215" s="10" t="s">
        <v>67</v>
      </c>
      <c r="N215" s="4" t="b">
        <v>0</v>
      </c>
      <c r="O215" s="4" t="str">
        <f>VLOOKUP(A215,payment_ids!D:E,2,FALSE)</f>
        <v>card</v>
      </c>
      <c r="P215" s="4" t="s">
        <v>69</v>
      </c>
      <c r="Q215" s="11">
        <v>44474.87708333333</v>
      </c>
      <c r="R215" s="4"/>
      <c r="S215" s="12" t="s">
        <v>2763</v>
      </c>
      <c r="T215" s="4"/>
      <c r="U215" s="4"/>
      <c r="V215" s="11"/>
      <c r="W215" s="4"/>
      <c r="X215" s="11"/>
      <c r="Y215" s="4"/>
      <c r="Z215" s="4"/>
      <c r="AA215" s="4"/>
      <c r="AB215" s="4"/>
      <c r="AC215" s="7"/>
      <c r="AD215" s="4"/>
      <c r="AE215" s="4"/>
      <c r="AF215" s="4"/>
      <c r="AG215" s="4"/>
      <c r="AH215" s="5"/>
      <c r="AI215" s="5"/>
      <c r="AJ215" s="5"/>
      <c r="AK215" s="5"/>
      <c r="AL215" s="5"/>
    </row>
    <row r="216">
      <c r="A216" s="4" t="str">
        <f>VLOOKUP(L216,payment_ids!C:D,2,FALSE)</f>
        <v>pay_H8y5sCXoPSZA6t</v>
      </c>
      <c r="B216" s="4"/>
      <c r="C216" s="4" t="s">
        <v>2761</v>
      </c>
      <c r="D216" s="4">
        <v>50029.0</v>
      </c>
      <c r="E216" s="4"/>
      <c r="F216" s="4">
        <v>6.0</v>
      </c>
      <c r="G216" s="4">
        <v>349.0</v>
      </c>
      <c r="H216" s="4"/>
      <c r="I216" s="4">
        <v>349.0</v>
      </c>
      <c r="J216" s="4" t="s">
        <v>2773</v>
      </c>
      <c r="K216" s="6">
        <f>+919447672239</f>
        <v>919447672239</v>
      </c>
      <c r="L216" s="4" t="str">
        <f t="shared" si="1"/>
        <v>sanjunairis444@gmail.com919447672239</v>
      </c>
      <c r="M216" s="10" t="s">
        <v>67</v>
      </c>
      <c r="N216" s="4" t="b">
        <v>0</v>
      </c>
      <c r="O216" s="4" t="str">
        <f>VLOOKUP(A216,payment_ids!D:E,2,FALSE)</f>
        <v>upi</v>
      </c>
      <c r="P216" s="4" t="s">
        <v>69</v>
      </c>
      <c r="Q216" s="11">
        <v>44474.44236111111</v>
      </c>
      <c r="R216" s="4"/>
      <c r="S216" s="12" t="s">
        <v>2763</v>
      </c>
      <c r="T216" s="4"/>
      <c r="U216" s="4"/>
      <c r="V216" s="11"/>
      <c r="W216" s="4"/>
      <c r="X216" s="11"/>
      <c r="Y216" s="4"/>
      <c r="Z216" s="4"/>
      <c r="AA216" s="4"/>
      <c r="AB216" s="4"/>
      <c r="AC216" s="4"/>
      <c r="AD216" s="4"/>
      <c r="AE216" s="4"/>
      <c r="AF216" s="4"/>
      <c r="AG216" s="4"/>
      <c r="AH216" s="5"/>
      <c r="AI216" s="5"/>
      <c r="AJ216" s="5"/>
      <c r="AK216" s="5"/>
      <c r="AL216" s="5"/>
    </row>
    <row r="217">
      <c r="A217" s="4" t="str">
        <f>VLOOKUP(L217,payment_ids!C:D,2,FALSE)</f>
        <v>pay_H8y9SFs9eCqGOW</v>
      </c>
      <c r="B217" s="4"/>
      <c r="C217" s="4" t="s">
        <v>2761</v>
      </c>
      <c r="D217" s="4">
        <v>50029.0</v>
      </c>
      <c r="E217" s="4"/>
      <c r="F217" s="4">
        <v>1.0</v>
      </c>
      <c r="G217" s="4">
        <v>99.0</v>
      </c>
      <c r="H217" s="4"/>
      <c r="I217" s="4">
        <v>99.0</v>
      </c>
      <c r="J217" s="4" t="s">
        <v>2774</v>
      </c>
      <c r="K217" s="6">
        <f>+918910129204</f>
        <v>918910129204</v>
      </c>
      <c r="L217" s="4" t="str">
        <f t="shared" si="1"/>
        <v>suk1997.ma@gmail.com918910129204</v>
      </c>
      <c r="M217" s="10" t="s">
        <v>67</v>
      </c>
      <c r="N217" s="4" t="b">
        <v>0</v>
      </c>
      <c r="O217" s="4" t="str">
        <f>VLOOKUP(A217,payment_ids!D:E,2,FALSE)</f>
        <v>upi</v>
      </c>
      <c r="P217" s="4" t="s">
        <v>69</v>
      </c>
      <c r="Q217" s="11">
        <v>44474.44513888889</v>
      </c>
      <c r="R217" s="4"/>
      <c r="S217" s="12" t="s">
        <v>2763</v>
      </c>
      <c r="T217" s="4"/>
      <c r="U217" s="4"/>
      <c r="V217" s="11"/>
      <c r="W217" s="4"/>
      <c r="X217" s="11"/>
      <c r="Y217" s="4"/>
      <c r="Z217" s="4"/>
      <c r="AA217" s="4"/>
      <c r="AB217" s="4"/>
      <c r="AC217" s="4"/>
      <c r="AD217" s="4"/>
      <c r="AE217" s="4"/>
      <c r="AF217" s="4"/>
      <c r="AG217" s="4"/>
      <c r="AH217" s="5"/>
      <c r="AI217" s="5"/>
      <c r="AJ217" s="5"/>
      <c r="AK217" s="5"/>
      <c r="AL217" s="5"/>
    </row>
    <row r="218">
      <c r="A218" s="4" t="str">
        <f>VLOOKUP(L218,payment_ids!C:D,2,FALSE)</f>
        <v>pay_H9Q3C7tKgBZQ5o</v>
      </c>
      <c r="B218" s="4"/>
      <c r="C218" s="4" t="s">
        <v>2761</v>
      </c>
      <c r="D218" s="4">
        <v>50029.0</v>
      </c>
      <c r="E218" s="4"/>
      <c r="F218" s="4">
        <v>1.0</v>
      </c>
      <c r="G218" s="4">
        <v>99.0</v>
      </c>
      <c r="H218" s="4"/>
      <c r="I218" s="4">
        <v>99.0</v>
      </c>
      <c r="J218" s="4" t="s">
        <v>2775</v>
      </c>
      <c r="K218" s="6">
        <f>+918610147050</f>
        <v>918610147050</v>
      </c>
      <c r="L218" s="4" t="str">
        <f t="shared" si="1"/>
        <v>hariprasad3785@gmail.com918610147050</v>
      </c>
      <c r="M218" s="10" t="s">
        <v>67</v>
      </c>
      <c r="N218" s="4" t="b">
        <v>0</v>
      </c>
      <c r="O218" s="4" t="str">
        <f>VLOOKUP(A218,payment_ids!D:E,2,FALSE)</f>
        <v>upi</v>
      </c>
      <c r="P218" s="4" t="s">
        <v>69</v>
      </c>
      <c r="Q218" s="11">
        <v>44505.58194444444</v>
      </c>
      <c r="R218" s="4"/>
      <c r="S218" s="12" t="s">
        <v>2763</v>
      </c>
      <c r="T218" s="4"/>
      <c r="U218" s="4"/>
      <c r="V218" s="11"/>
      <c r="W218" s="4"/>
      <c r="X218" s="11"/>
      <c r="Y218" s="4"/>
      <c r="Z218" s="4"/>
      <c r="AA218" s="4"/>
      <c r="AB218" s="4"/>
      <c r="AC218" s="4"/>
      <c r="AD218" s="4"/>
      <c r="AE218" s="4"/>
      <c r="AF218" s="4"/>
      <c r="AG218" s="4"/>
      <c r="AH218" s="5"/>
      <c r="AI218" s="5"/>
      <c r="AJ218" s="5"/>
      <c r="AK218" s="5"/>
      <c r="AL218" s="5"/>
    </row>
    <row r="219">
      <c r="A219" s="4" t="str">
        <f>VLOOKUP(L219,payment_ids!C:D,2,FALSE)</f>
        <v>pay_H9lUl2AuDknyqn</v>
      </c>
      <c r="B219" s="4"/>
      <c r="C219" s="4" t="s">
        <v>2761</v>
      </c>
      <c r="D219" s="4">
        <v>50029.0</v>
      </c>
      <c r="E219" s="4"/>
      <c r="F219" s="4">
        <v>1.0</v>
      </c>
      <c r="G219" s="4">
        <v>99.0</v>
      </c>
      <c r="H219" s="4"/>
      <c r="I219" s="4">
        <v>99.0</v>
      </c>
      <c r="J219" s="4" t="s">
        <v>2776</v>
      </c>
      <c r="K219" s="6">
        <f>+919004209182</f>
        <v>919004209182</v>
      </c>
      <c r="L219" s="4" t="str">
        <f t="shared" si="1"/>
        <v>singh199386@gmail.com919004209182</v>
      </c>
      <c r="M219" s="10" t="s">
        <v>67</v>
      </c>
      <c r="N219" s="4" t="b">
        <v>0</v>
      </c>
      <c r="O219" s="4" t="str">
        <f>VLOOKUP(A219,payment_ids!D:E,2,FALSE)</f>
        <v>upi</v>
      </c>
      <c r="P219" s="4" t="s">
        <v>69</v>
      </c>
      <c r="Q219" s="11">
        <v>44535.45625</v>
      </c>
      <c r="R219" s="4"/>
      <c r="S219" s="12" t="s">
        <v>2763</v>
      </c>
      <c r="T219" s="4"/>
      <c r="U219" s="4"/>
      <c r="V219" s="11"/>
      <c r="W219" s="4"/>
      <c r="X219" s="11"/>
      <c r="Y219" s="4"/>
      <c r="Z219" s="4"/>
      <c r="AA219" s="4"/>
      <c r="AB219" s="4"/>
      <c r="AC219" s="7"/>
      <c r="AD219" s="4"/>
      <c r="AE219" s="4"/>
      <c r="AF219" s="4"/>
      <c r="AG219" s="4"/>
      <c r="AH219" s="5"/>
      <c r="AI219" s="5"/>
      <c r="AJ219" s="5"/>
      <c r="AK219" s="5"/>
      <c r="AL219" s="5"/>
    </row>
    <row r="220">
      <c r="A220" s="4" t="str">
        <f>VLOOKUP(L220,payment_ids!C:D,2,FALSE)</f>
        <v>pay_H9m7Z1jGODowZP</v>
      </c>
      <c r="B220" s="4"/>
      <c r="C220" s="4" t="s">
        <v>2761</v>
      </c>
      <c r="D220" s="4">
        <v>50029.0</v>
      </c>
      <c r="E220" s="4"/>
      <c r="F220" s="4">
        <v>1.0</v>
      </c>
      <c r="G220" s="4">
        <v>99.0</v>
      </c>
      <c r="H220" s="4"/>
      <c r="I220" s="4">
        <v>99.0</v>
      </c>
      <c r="J220" s="4" t="s">
        <v>2777</v>
      </c>
      <c r="K220" s="6">
        <f>+919757063488</f>
        <v>919757063488</v>
      </c>
      <c r="L220" s="4" t="str">
        <f t="shared" si="1"/>
        <v>phebethomas02@gmail.com919757063488</v>
      </c>
      <c r="M220" s="10" t="s">
        <v>67</v>
      </c>
      <c r="N220" s="4" t="b">
        <v>0</v>
      </c>
      <c r="O220" s="4" t="str">
        <f>VLOOKUP(A220,payment_ids!D:E,2,FALSE)</f>
        <v>upi</v>
      </c>
      <c r="P220" s="4" t="s">
        <v>69</v>
      </c>
      <c r="Q220" s="11">
        <v>44535.48125</v>
      </c>
      <c r="R220" s="4"/>
      <c r="S220" s="12" t="s">
        <v>2763</v>
      </c>
      <c r="T220" s="4"/>
      <c r="U220" s="4"/>
      <c r="V220" s="11"/>
      <c r="W220" s="4"/>
      <c r="X220" s="11"/>
      <c r="Y220" s="4"/>
      <c r="Z220" s="4"/>
      <c r="AA220" s="4"/>
      <c r="AB220" s="4"/>
      <c r="AC220" s="4"/>
      <c r="AD220" s="4"/>
      <c r="AE220" s="4"/>
      <c r="AF220" s="4"/>
      <c r="AG220" s="4"/>
      <c r="AH220" s="5"/>
      <c r="AI220" s="5"/>
      <c r="AJ220" s="5"/>
      <c r="AK220" s="5"/>
      <c r="AL220" s="5"/>
    </row>
    <row r="221">
      <c r="A221" s="4" t="str">
        <f>VLOOKUP(L221,payment_ids!C:D,2,FALSE)</f>
        <v>pay_HAas0AxkBzRwg5</v>
      </c>
      <c r="B221" s="4"/>
      <c r="C221" s="4" t="s">
        <v>2761</v>
      </c>
      <c r="D221" s="4">
        <v>50029.0</v>
      </c>
      <c r="E221" s="4"/>
      <c r="F221" s="4">
        <v>6.0</v>
      </c>
      <c r="G221" s="4">
        <v>349.0</v>
      </c>
      <c r="H221" s="4"/>
      <c r="I221" s="4">
        <v>349.0</v>
      </c>
      <c r="J221" s="4" t="s">
        <v>2778</v>
      </c>
      <c r="K221" s="6">
        <f>+919971589988</f>
        <v>919971589988</v>
      </c>
      <c r="L221" s="4" t="str">
        <f t="shared" si="1"/>
        <v>getmanas.ghosh@gmail.com919971589988</v>
      </c>
      <c r="M221" s="10" t="s">
        <v>67</v>
      </c>
      <c r="N221" s="4" t="b">
        <v>0</v>
      </c>
      <c r="O221" s="4" t="str">
        <f>VLOOKUP(A221,payment_ids!D:E,2,FALSE)</f>
        <v>netbanking</v>
      </c>
      <c r="P221" s="4" t="s">
        <v>69</v>
      </c>
      <c r="Q221" s="4" t="s">
        <v>2779</v>
      </c>
      <c r="R221" s="4"/>
      <c r="S221" s="12" t="s">
        <v>2763</v>
      </c>
      <c r="T221" s="4"/>
      <c r="U221" s="4"/>
      <c r="V221" s="11"/>
      <c r="W221" s="4"/>
      <c r="X221" s="11"/>
      <c r="Y221" s="4"/>
      <c r="Z221" s="4"/>
      <c r="AA221" s="4"/>
      <c r="AB221" s="4"/>
      <c r="AC221" s="4"/>
      <c r="AD221" s="4"/>
      <c r="AE221" s="4"/>
      <c r="AF221" s="4"/>
      <c r="AG221" s="4"/>
      <c r="AH221" s="5"/>
      <c r="AI221" s="5"/>
      <c r="AJ221" s="5"/>
      <c r="AK221" s="5"/>
      <c r="AL221" s="5"/>
    </row>
    <row r="222">
      <c r="A222" s="4" t="str">
        <f>VLOOKUP(L222,payment_ids!C:D,2,FALSE)</f>
        <v>pay_HB1AYAsVtDkte6</v>
      </c>
      <c r="B222" s="4"/>
      <c r="C222" s="4" t="s">
        <v>2761</v>
      </c>
      <c r="D222" s="4">
        <v>50029.0</v>
      </c>
      <c r="E222" s="4"/>
      <c r="F222" s="4">
        <v>3.0</v>
      </c>
      <c r="G222" s="4">
        <v>199.0</v>
      </c>
      <c r="H222" s="4"/>
      <c r="I222" s="4">
        <v>199.0</v>
      </c>
      <c r="J222" s="4" t="s">
        <v>2780</v>
      </c>
      <c r="K222" s="6">
        <f>+919823895856</f>
        <v>919823895856</v>
      </c>
      <c r="L222" s="4" t="str">
        <f t="shared" si="1"/>
        <v>ayushipandey925@gmail.com919823895856</v>
      </c>
      <c r="M222" s="10" t="s">
        <v>67</v>
      </c>
      <c r="N222" s="4" t="b">
        <v>0</v>
      </c>
      <c r="O222" s="4" t="str">
        <f>VLOOKUP(A222,payment_ids!D:E,2,FALSE)</f>
        <v>upi</v>
      </c>
      <c r="P222" s="4" t="s">
        <v>69</v>
      </c>
      <c r="Q222" s="4" t="s">
        <v>2781</v>
      </c>
      <c r="R222" s="4"/>
      <c r="S222" s="12" t="s">
        <v>2763</v>
      </c>
      <c r="T222" s="4"/>
      <c r="U222" s="4"/>
      <c r="V222" s="11"/>
      <c r="W222" s="4"/>
      <c r="X222" s="11"/>
      <c r="Y222" s="4"/>
      <c r="Z222" s="4"/>
      <c r="AA222" s="4"/>
      <c r="AB222" s="4"/>
      <c r="AC222" s="4"/>
      <c r="AD222" s="4"/>
      <c r="AE222" s="4"/>
      <c r="AF222" s="4"/>
      <c r="AG222" s="4"/>
      <c r="AH222" s="5"/>
      <c r="AI222" s="5"/>
      <c r="AJ222" s="5"/>
      <c r="AK222" s="5"/>
      <c r="AL222" s="5"/>
    </row>
    <row r="223">
      <c r="A223" s="4" t="str">
        <f>VLOOKUP(L223,payment_ids!C:D,2,FALSE)</f>
        <v>pay_H6M18PniZZxhuH</v>
      </c>
      <c r="B223" s="4"/>
      <c r="C223" s="4" t="s">
        <v>2761</v>
      </c>
      <c r="D223" s="4">
        <v>50029.0</v>
      </c>
      <c r="E223" s="4"/>
      <c r="F223" s="4">
        <v>1.0</v>
      </c>
      <c r="G223" s="4">
        <v>99.0</v>
      </c>
      <c r="H223" s="4"/>
      <c r="I223" s="4">
        <v>99.0</v>
      </c>
      <c r="J223" s="4" t="s">
        <v>2458</v>
      </c>
      <c r="K223" s="6">
        <f>+919416173796</f>
        <v>919416173796</v>
      </c>
      <c r="L223" s="4" t="str">
        <f t="shared" si="1"/>
        <v>mahirgupta98@gmail.com919416173796</v>
      </c>
      <c r="M223" s="10" t="s">
        <v>67</v>
      </c>
      <c r="N223" s="4" t="b">
        <v>0</v>
      </c>
      <c r="O223" s="4" t="str">
        <f>VLOOKUP(A223,payment_ids!D:E,2,FALSE)</f>
        <v>upi</v>
      </c>
      <c r="P223" s="4" t="s">
        <v>69</v>
      </c>
      <c r="Q223" s="4" t="s">
        <v>2782</v>
      </c>
      <c r="R223" s="4"/>
      <c r="S223" s="12" t="s">
        <v>2763</v>
      </c>
      <c r="T223" s="4"/>
      <c r="U223" s="4"/>
      <c r="V223" s="11"/>
      <c r="W223" s="4"/>
      <c r="X223" s="11"/>
      <c r="Y223" s="4"/>
      <c r="Z223" s="4"/>
      <c r="AA223" s="4"/>
      <c r="AB223" s="4"/>
      <c r="AC223" s="4"/>
      <c r="AD223" s="4"/>
      <c r="AE223" s="4"/>
      <c r="AF223" s="4"/>
      <c r="AG223" s="4"/>
      <c r="AH223" s="5"/>
      <c r="AI223" s="5"/>
      <c r="AJ223" s="5"/>
      <c r="AK223" s="5"/>
      <c r="AL223" s="5"/>
    </row>
    <row r="224">
      <c r="A224" s="4" t="str">
        <f>VLOOKUP(L224,payment_ids!C:D,2,FALSE)</f>
        <v>pay_HB6laR3K1MLRvO</v>
      </c>
      <c r="B224" s="4"/>
      <c r="C224" s="4" t="s">
        <v>2761</v>
      </c>
      <c r="D224" s="4">
        <v>50029.0</v>
      </c>
      <c r="E224" s="4"/>
      <c r="F224" s="4">
        <v>1.0</v>
      </c>
      <c r="G224" s="4">
        <v>99.0</v>
      </c>
      <c r="H224" s="4"/>
      <c r="I224" s="4">
        <v>99.0</v>
      </c>
      <c r="J224" s="4" t="s">
        <v>2783</v>
      </c>
      <c r="K224" s="6">
        <f>+919390664591</f>
        <v>919390664591</v>
      </c>
      <c r="L224" s="4" t="str">
        <f t="shared" si="1"/>
        <v>ejanthkarh@gmail.com919390664591</v>
      </c>
      <c r="M224" s="10" t="s">
        <v>67</v>
      </c>
      <c r="N224" s="4" t="b">
        <v>0</v>
      </c>
      <c r="O224" s="4" t="str">
        <f>VLOOKUP(A224,payment_ids!D:E,2,FALSE)</f>
        <v>upi</v>
      </c>
      <c r="P224" s="4" t="s">
        <v>69</v>
      </c>
      <c r="Q224" s="4" t="s">
        <v>2784</v>
      </c>
      <c r="R224" s="4"/>
      <c r="S224" s="12" t="s">
        <v>2763</v>
      </c>
      <c r="T224" s="4"/>
      <c r="U224" s="4"/>
      <c r="V224" s="11"/>
      <c r="W224" s="4"/>
      <c r="X224" s="11"/>
      <c r="Y224" s="4"/>
      <c r="Z224" s="4"/>
      <c r="AA224" s="4"/>
      <c r="AB224" s="4"/>
      <c r="AC224" s="4"/>
      <c r="AD224" s="4"/>
      <c r="AE224" s="4"/>
      <c r="AF224" s="4"/>
      <c r="AG224" s="4"/>
      <c r="AH224" s="5"/>
      <c r="AI224" s="5"/>
      <c r="AJ224" s="5"/>
      <c r="AK224" s="5"/>
      <c r="AL224" s="5"/>
    </row>
    <row r="225">
      <c r="A225" s="4" t="str">
        <f>VLOOKUP(L225,payment_ids!C:D,2,FALSE)</f>
        <v>pay_HB79umVSzUfGE2</v>
      </c>
      <c r="B225" s="4"/>
      <c r="C225" s="4" t="s">
        <v>2761</v>
      </c>
      <c r="D225" s="4">
        <v>50029.0</v>
      </c>
      <c r="E225" s="4"/>
      <c r="F225" s="4">
        <v>3.0</v>
      </c>
      <c r="G225" s="4">
        <v>199.0</v>
      </c>
      <c r="H225" s="4"/>
      <c r="I225" s="4">
        <v>199.0</v>
      </c>
      <c r="J225" s="4" t="s">
        <v>2785</v>
      </c>
      <c r="K225" s="6">
        <f>+919899969848</f>
        <v>919899969848</v>
      </c>
      <c r="L225" s="4" t="str">
        <f t="shared" si="1"/>
        <v>mahakmittal0526@gmail.com919899969848</v>
      </c>
      <c r="M225" s="10" t="s">
        <v>67</v>
      </c>
      <c r="N225" s="4" t="b">
        <v>0</v>
      </c>
      <c r="O225" s="4" t="str">
        <f>VLOOKUP(A225,payment_ids!D:E,2,FALSE)</f>
        <v>wallet</v>
      </c>
      <c r="P225" s="4" t="s">
        <v>69</v>
      </c>
      <c r="Q225" s="4" t="s">
        <v>2786</v>
      </c>
      <c r="R225" s="4"/>
      <c r="S225" s="12" t="s">
        <v>2763</v>
      </c>
      <c r="T225" s="4"/>
      <c r="U225" s="4"/>
      <c r="V225" s="11"/>
      <c r="W225" s="4"/>
      <c r="X225" s="11"/>
      <c r="Y225" s="4"/>
      <c r="Z225" s="4"/>
      <c r="AA225" s="4"/>
      <c r="AB225" s="4"/>
      <c r="AC225" s="7"/>
      <c r="AD225" s="4"/>
      <c r="AE225" s="4"/>
      <c r="AF225" s="4"/>
      <c r="AG225" s="4"/>
      <c r="AH225" s="5"/>
      <c r="AI225" s="5"/>
      <c r="AJ225" s="5"/>
      <c r="AK225" s="5"/>
      <c r="AL225" s="5"/>
    </row>
    <row r="226">
      <c r="A226" s="4" t="str">
        <f>VLOOKUP(L226,payment_ids!C:D,2,FALSE)</f>
        <v>pay_HAvzTL7kggOssu</v>
      </c>
      <c r="B226" s="4"/>
      <c r="C226" s="4" t="s">
        <v>2761</v>
      </c>
      <c r="D226" s="4">
        <v>50029.0</v>
      </c>
      <c r="E226" s="4"/>
      <c r="F226" s="4">
        <v>1.0</v>
      </c>
      <c r="G226" s="4">
        <v>99.0</v>
      </c>
      <c r="H226" s="4"/>
      <c r="I226" s="4">
        <v>99.0</v>
      </c>
      <c r="J226" s="4" t="s">
        <v>2787</v>
      </c>
      <c r="K226" s="6">
        <f>+919067656403</f>
        <v>919067656403</v>
      </c>
      <c r="L226" s="4" t="str">
        <f t="shared" si="1"/>
        <v>putrada.kulkarni@gmail.com919067656403</v>
      </c>
      <c r="M226" s="10" t="s">
        <v>67</v>
      </c>
      <c r="N226" s="4" t="b">
        <v>0</v>
      </c>
      <c r="O226" s="4" t="str">
        <f>VLOOKUP(A226,payment_ids!D:E,2,FALSE)</f>
        <v>upi</v>
      </c>
      <c r="P226" s="4" t="s">
        <v>69</v>
      </c>
      <c r="Q226" s="4" t="s">
        <v>2788</v>
      </c>
      <c r="R226" s="4"/>
      <c r="S226" s="12" t="s">
        <v>2763</v>
      </c>
      <c r="T226" s="4"/>
      <c r="U226" s="4"/>
      <c r="V226" s="11"/>
      <c r="W226" s="4"/>
      <c r="X226" s="11"/>
      <c r="Y226" s="4"/>
      <c r="Z226" s="4"/>
      <c r="AA226" s="4"/>
      <c r="AB226" s="4"/>
      <c r="AC226" s="7"/>
      <c r="AD226" s="4"/>
      <c r="AE226" s="4"/>
      <c r="AF226" s="4"/>
      <c r="AG226" s="4"/>
      <c r="AH226" s="5"/>
      <c r="AI226" s="5"/>
      <c r="AJ226" s="5"/>
      <c r="AK226" s="5"/>
      <c r="AL226" s="5"/>
    </row>
    <row r="227">
      <c r="A227" s="4" t="str">
        <f>VLOOKUP(L227,payment_ids!C:D,2,FALSE)</f>
        <v>pay_HBmx3Bq9PRGF17</v>
      </c>
      <c r="B227" s="4"/>
      <c r="C227" s="4" t="s">
        <v>2761</v>
      </c>
      <c r="D227" s="4">
        <v>50029.0</v>
      </c>
      <c r="E227" s="4"/>
      <c r="F227" s="4">
        <v>1.0</v>
      </c>
      <c r="G227" s="4">
        <v>99.0</v>
      </c>
      <c r="H227" s="4"/>
      <c r="I227" s="4">
        <v>99.0</v>
      </c>
      <c r="J227" s="4" t="s">
        <v>2789</v>
      </c>
      <c r="K227" s="6">
        <f>+919884384943</f>
        <v>919884384943</v>
      </c>
      <c r="L227" s="4" t="str">
        <f t="shared" si="1"/>
        <v>mano.aug89@gmail.com919884384943</v>
      </c>
      <c r="M227" s="10" t="s">
        <v>67</v>
      </c>
      <c r="N227" s="4" t="b">
        <v>0</v>
      </c>
      <c r="O227" s="4" t="str">
        <f>VLOOKUP(A227,payment_ids!D:E,2,FALSE)</f>
        <v>upi</v>
      </c>
      <c r="P227" s="4" t="s">
        <v>69</v>
      </c>
      <c r="Q227" s="4" t="s">
        <v>2790</v>
      </c>
      <c r="R227" s="4"/>
      <c r="S227" s="12" t="s">
        <v>2763</v>
      </c>
      <c r="T227" s="4"/>
      <c r="U227" s="4"/>
      <c r="V227" s="11"/>
      <c r="W227" s="4"/>
      <c r="X227" s="11"/>
      <c r="Y227" s="4"/>
      <c r="Z227" s="4"/>
      <c r="AA227" s="4"/>
      <c r="AB227" s="4"/>
      <c r="AC227" s="7"/>
      <c r="AD227" s="4"/>
      <c r="AE227" s="4"/>
      <c r="AF227" s="4"/>
      <c r="AG227" s="4"/>
      <c r="AH227" s="5"/>
      <c r="AI227" s="5"/>
      <c r="AJ227" s="5"/>
      <c r="AK227" s="5"/>
      <c r="AL227" s="5"/>
    </row>
    <row r="228">
      <c r="A228" s="4" t="str">
        <f>VLOOKUP(L228,payment_ids!C:D,2,FALSE)</f>
        <v>pay_HBpEK9VDAURLu5</v>
      </c>
      <c r="B228" s="4"/>
      <c r="C228" s="4" t="s">
        <v>2761</v>
      </c>
      <c r="D228" s="4">
        <v>50029.0</v>
      </c>
      <c r="E228" s="4"/>
      <c r="F228" s="4">
        <v>6.0</v>
      </c>
      <c r="G228" s="4">
        <v>349.0</v>
      </c>
      <c r="H228" s="4"/>
      <c r="I228" s="4">
        <v>349.0</v>
      </c>
      <c r="J228" s="4" t="s">
        <v>2791</v>
      </c>
      <c r="K228" s="6">
        <f>+919840103528</f>
        <v>919840103528</v>
      </c>
      <c r="L228" s="4" t="str">
        <f t="shared" si="1"/>
        <v>divya.friendly1@gmail.com919840103528</v>
      </c>
      <c r="M228" s="10" t="s">
        <v>67</v>
      </c>
      <c r="N228" s="4" t="b">
        <v>0</v>
      </c>
      <c r="O228" s="4" t="str">
        <f>VLOOKUP(A228,payment_ids!D:E,2,FALSE)</f>
        <v>upi</v>
      </c>
      <c r="P228" s="4" t="s">
        <v>69</v>
      </c>
      <c r="Q228" s="4" t="s">
        <v>2792</v>
      </c>
      <c r="R228" s="4"/>
      <c r="S228" s="12" t="s">
        <v>2763</v>
      </c>
      <c r="T228" s="4"/>
      <c r="U228" s="4"/>
      <c r="V228" s="11"/>
      <c r="W228" s="4"/>
      <c r="X228" s="11"/>
      <c r="Y228" s="4"/>
      <c r="Z228" s="4"/>
      <c r="AA228" s="4"/>
      <c r="AB228" s="4"/>
      <c r="AC228" s="4"/>
      <c r="AD228" s="4"/>
      <c r="AE228" s="4"/>
      <c r="AF228" s="4"/>
      <c r="AG228" s="4"/>
      <c r="AH228" s="5"/>
      <c r="AI228" s="5"/>
      <c r="AJ228" s="5"/>
      <c r="AK228" s="5"/>
      <c r="AL228" s="5"/>
    </row>
    <row r="229">
      <c r="A229" s="4" t="str">
        <f>VLOOKUP(L229,payment_ids!C:D,2,FALSE)</f>
        <v>pay_HBhr9P9LkO0PvR</v>
      </c>
      <c r="B229" s="4"/>
      <c r="C229" s="4" t="s">
        <v>2761</v>
      </c>
      <c r="D229" s="4">
        <v>50029.0</v>
      </c>
      <c r="E229" s="4"/>
      <c r="F229" s="4">
        <v>1.0</v>
      </c>
      <c r="G229" s="4">
        <v>99.0</v>
      </c>
      <c r="H229" s="4"/>
      <c r="I229" s="4">
        <v>99.0</v>
      </c>
      <c r="J229" s="4" t="s">
        <v>2793</v>
      </c>
      <c r="K229" s="6">
        <f>+918448861208</f>
        <v>918448861208</v>
      </c>
      <c r="L229" s="4" t="str">
        <f t="shared" si="1"/>
        <v>vjanvi09@gmail.com918448861208</v>
      </c>
      <c r="M229" s="10" t="s">
        <v>67</v>
      </c>
      <c r="N229" s="4" t="b">
        <v>0</v>
      </c>
      <c r="O229" s="4" t="str">
        <f>VLOOKUP(A229,payment_ids!D:E,2,FALSE)</f>
        <v>card</v>
      </c>
      <c r="P229" s="4" t="s">
        <v>69</v>
      </c>
      <c r="Q229" s="4" t="s">
        <v>2794</v>
      </c>
      <c r="R229" s="4"/>
      <c r="S229" s="12" t="s">
        <v>2763</v>
      </c>
      <c r="T229" s="4"/>
      <c r="U229" s="4"/>
      <c r="V229" s="11"/>
      <c r="W229" s="4"/>
      <c r="X229" s="11"/>
      <c r="Y229" s="4"/>
      <c r="Z229" s="4"/>
      <c r="AA229" s="4"/>
      <c r="AB229" s="4"/>
      <c r="AC229" s="4"/>
      <c r="AD229" s="4"/>
      <c r="AE229" s="4"/>
      <c r="AF229" s="4"/>
      <c r="AG229" s="4"/>
      <c r="AH229" s="5"/>
      <c r="AI229" s="5"/>
      <c r="AJ229" s="5"/>
      <c r="AK229" s="5"/>
      <c r="AL229" s="5"/>
    </row>
    <row r="230">
      <c r="A230" s="4" t="str">
        <f>VLOOKUP(L230,payment_ids!C:D,2,FALSE)</f>
        <v>pay_HBw679QrOF4YjL</v>
      </c>
      <c r="B230" s="4"/>
      <c r="C230" s="4" t="s">
        <v>2761</v>
      </c>
      <c r="D230" s="4">
        <v>50029.0</v>
      </c>
      <c r="E230" s="4"/>
      <c r="F230" s="4">
        <v>1.0</v>
      </c>
      <c r="G230" s="4">
        <v>99.0</v>
      </c>
      <c r="H230" s="4"/>
      <c r="I230" s="4">
        <v>99.0</v>
      </c>
      <c r="J230" s="4" t="s">
        <v>2795</v>
      </c>
      <c r="K230" s="6">
        <f>+917020209901</f>
        <v>917020209901</v>
      </c>
      <c r="L230" s="4" t="str">
        <f t="shared" si="1"/>
        <v>gaikwadabhishek5@gmail.com917020209901</v>
      </c>
      <c r="M230" s="10" t="s">
        <v>67</v>
      </c>
      <c r="N230" s="4" t="b">
        <v>0</v>
      </c>
      <c r="O230" s="4" t="str">
        <f>VLOOKUP(A230,payment_ids!D:E,2,FALSE)</f>
        <v>upi</v>
      </c>
      <c r="P230" s="4" t="s">
        <v>69</v>
      </c>
      <c r="Q230" s="4" t="s">
        <v>2796</v>
      </c>
      <c r="R230" s="4"/>
      <c r="S230" s="12" t="s">
        <v>2763</v>
      </c>
      <c r="T230" s="4"/>
      <c r="U230" s="4"/>
      <c r="V230" s="11"/>
      <c r="W230" s="4"/>
      <c r="X230" s="11"/>
      <c r="Y230" s="4"/>
      <c r="Z230" s="4"/>
      <c r="AA230" s="4"/>
      <c r="AB230" s="4"/>
      <c r="AC230" s="4"/>
      <c r="AD230" s="4"/>
      <c r="AE230" s="4"/>
      <c r="AF230" s="4"/>
      <c r="AG230" s="4"/>
      <c r="AH230" s="5"/>
      <c r="AI230" s="5"/>
      <c r="AJ230" s="5"/>
      <c r="AK230" s="5"/>
      <c r="AL230" s="5"/>
    </row>
    <row r="231">
      <c r="A231" s="4" t="str">
        <f>VLOOKUP(L231,payment_ids!C:D,2,FALSE)</f>
        <v>pay_HCVrTITJ8gpSbD</v>
      </c>
      <c r="B231" s="4"/>
      <c r="C231" s="4" t="s">
        <v>2761</v>
      </c>
      <c r="D231" s="4">
        <v>50029.0</v>
      </c>
      <c r="E231" s="4"/>
      <c r="F231" s="4">
        <v>3.0</v>
      </c>
      <c r="G231" s="4">
        <v>199.0</v>
      </c>
      <c r="H231" s="4"/>
      <c r="I231" s="4">
        <v>199.0</v>
      </c>
      <c r="J231" s="4" t="s">
        <v>2797</v>
      </c>
      <c r="K231" s="6">
        <f>+918693075945</f>
        <v>918693075945</v>
      </c>
      <c r="L231" s="4" t="str">
        <f t="shared" si="1"/>
        <v>spranali1417@gmail.com918693075945</v>
      </c>
      <c r="M231" s="10" t="s">
        <v>67</v>
      </c>
      <c r="N231" s="4" t="b">
        <v>0</v>
      </c>
      <c r="O231" s="4" t="str">
        <f>VLOOKUP(A231,payment_ids!D:E,2,FALSE)</f>
        <v>upi</v>
      </c>
      <c r="P231" s="4" t="s">
        <v>69</v>
      </c>
      <c r="Q231" s="4" t="s">
        <v>2798</v>
      </c>
      <c r="R231" s="4"/>
      <c r="S231" s="12" t="s">
        <v>2763</v>
      </c>
      <c r="T231" s="4"/>
      <c r="U231" s="4"/>
      <c r="V231" s="11"/>
      <c r="W231" s="4"/>
      <c r="X231" s="11"/>
      <c r="Y231" s="4"/>
      <c r="Z231" s="4"/>
      <c r="AA231" s="4"/>
      <c r="AB231" s="4"/>
      <c r="AC231" s="4"/>
      <c r="AD231" s="4"/>
      <c r="AE231" s="4"/>
      <c r="AF231" s="4"/>
      <c r="AG231" s="4"/>
      <c r="AH231" s="5"/>
      <c r="AI231" s="5"/>
      <c r="AJ231" s="5"/>
      <c r="AK231" s="5"/>
      <c r="AL231" s="5"/>
    </row>
    <row r="232">
      <c r="A232" s="4" t="str">
        <f>VLOOKUP(L232,payment_ids!C:D,2,FALSE)</f>
        <v>pay_HCinWXYhqQl1nJ</v>
      </c>
      <c r="B232" s="4"/>
      <c r="C232" s="4" t="s">
        <v>2761</v>
      </c>
      <c r="D232" s="4">
        <v>50029.0</v>
      </c>
      <c r="E232" s="4"/>
      <c r="F232" s="4">
        <v>6.0</v>
      </c>
      <c r="G232" s="4">
        <v>349.0</v>
      </c>
      <c r="H232" s="4"/>
      <c r="I232" s="4">
        <v>349.0</v>
      </c>
      <c r="J232" s="4" t="s">
        <v>2799</v>
      </c>
      <c r="K232" s="6">
        <f>+919100161455</f>
        <v>919100161455</v>
      </c>
      <c r="L232" s="4" t="str">
        <f t="shared" si="1"/>
        <v>saisree.ballarapu@gmail.com919100161455</v>
      </c>
      <c r="M232" s="10" t="s">
        <v>67</v>
      </c>
      <c r="N232" s="4" t="b">
        <v>0</v>
      </c>
      <c r="O232" s="4" t="str">
        <f>VLOOKUP(A232,payment_ids!D:E,2,FALSE)</f>
        <v>upi</v>
      </c>
      <c r="P232" s="4" t="s">
        <v>69</v>
      </c>
      <c r="Q232" s="4" t="s">
        <v>2800</v>
      </c>
      <c r="R232" s="4"/>
      <c r="S232" s="12" t="s">
        <v>2763</v>
      </c>
      <c r="T232" s="4"/>
      <c r="U232" s="4"/>
      <c r="V232" s="11"/>
      <c r="W232" s="4"/>
      <c r="X232" s="11"/>
      <c r="Y232" s="4"/>
      <c r="Z232" s="4"/>
      <c r="AA232" s="4"/>
      <c r="AB232" s="4"/>
      <c r="AC232" s="4"/>
      <c r="AD232" s="4"/>
      <c r="AE232" s="4"/>
      <c r="AF232" s="4"/>
      <c r="AG232" s="4"/>
      <c r="AH232" s="5"/>
      <c r="AI232" s="5"/>
      <c r="AJ232" s="5"/>
      <c r="AK232" s="5"/>
      <c r="AL232" s="5"/>
    </row>
    <row r="233">
      <c r="A233" s="4" t="str">
        <f>VLOOKUP(L233,payment_ids!C:D,2,FALSE)</f>
        <v>pay_HD1qFK4Lc3Tvtz</v>
      </c>
      <c r="B233" s="4"/>
      <c r="C233" s="4" t="s">
        <v>2761</v>
      </c>
      <c r="D233" s="4">
        <v>50029.0</v>
      </c>
      <c r="E233" s="4"/>
      <c r="F233" s="4">
        <v>1.0</v>
      </c>
      <c r="G233" s="4">
        <v>99.0</v>
      </c>
      <c r="H233" s="4"/>
      <c r="I233" s="4">
        <v>99.0</v>
      </c>
      <c r="J233" s="4" t="s">
        <v>2801</v>
      </c>
      <c r="K233" s="6">
        <f>+918957959326</f>
        <v>918957959326</v>
      </c>
      <c r="L233" s="4" t="str">
        <f t="shared" si="1"/>
        <v>satyamhihtan@gmail.com918957959326</v>
      </c>
      <c r="M233" s="10" t="s">
        <v>67</v>
      </c>
      <c r="N233" s="4" t="b">
        <v>0</v>
      </c>
      <c r="O233" s="4" t="str">
        <f>VLOOKUP(A233,payment_ids!D:E,2,FALSE)</f>
        <v>upi</v>
      </c>
      <c r="P233" s="4" t="s">
        <v>69</v>
      </c>
      <c r="Q233" s="4" t="s">
        <v>2802</v>
      </c>
      <c r="R233" s="4"/>
      <c r="S233" s="12" t="s">
        <v>2763</v>
      </c>
      <c r="T233" s="4"/>
      <c r="U233" s="4"/>
      <c r="V233" s="11"/>
      <c r="W233" s="4"/>
      <c r="X233" s="11"/>
      <c r="Y233" s="4"/>
      <c r="Z233" s="4"/>
      <c r="AA233" s="4"/>
      <c r="AB233" s="4"/>
      <c r="AC233" s="7"/>
      <c r="AD233" s="4"/>
      <c r="AE233" s="4"/>
      <c r="AF233" s="4"/>
      <c r="AG233" s="4"/>
      <c r="AH233" s="5"/>
      <c r="AI233" s="5"/>
      <c r="AJ233" s="5"/>
      <c r="AK233" s="5"/>
      <c r="AL233" s="5"/>
    </row>
    <row r="234">
      <c r="A234" s="4" t="str">
        <f>VLOOKUP(L234,payment_ids!C:D,2,FALSE)</f>
        <v>pay_HD9obQwwYLoOAL</v>
      </c>
      <c r="B234" s="4"/>
      <c r="C234" s="4" t="s">
        <v>2761</v>
      </c>
      <c r="D234" s="4">
        <v>50029.0</v>
      </c>
      <c r="E234" s="4"/>
      <c r="F234" s="4">
        <v>1.0</v>
      </c>
      <c r="G234" s="4">
        <v>99.0</v>
      </c>
      <c r="H234" s="4"/>
      <c r="I234" s="4">
        <v>99.0</v>
      </c>
      <c r="J234" s="4" t="s">
        <v>2803</v>
      </c>
      <c r="K234" s="6">
        <f>+918210973552</f>
        <v>918210973552</v>
      </c>
      <c r="L234" s="4" t="str">
        <f t="shared" si="1"/>
        <v>kayara.me.2213@gmail.com918210973552</v>
      </c>
      <c r="M234" s="10" t="s">
        <v>67</v>
      </c>
      <c r="N234" s="4" t="b">
        <v>0</v>
      </c>
      <c r="O234" s="4" t="str">
        <f>VLOOKUP(A234,payment_ids!D:E,2,FALSE)</f>
        <v>card</v>
      </c>
      <c r="P234" s="4" t="s">
        <v>69</v>
      </c>
      <c r="Q234" s="4" t="s">
        <v>2804</v>
      </c>
      <c r="R234" s="4"/>
      <c r="S234" s="12" t="s">
        <v>2763</v>
      </c>
      <c r="T234" s="4"/>
      <c r="U234" s="4"/>
      <c r="V234" s="11"/>
      <c r="W234" s="4"/>
      <c r="X234" s="11"/>
      <c r="Y234" s="4"/>
      <c r="Z234" s="4"/>
      <c r="AA234" s="4"/>
      <c r="AB234" s="4"/>
      <c r="AC234" s="4"/>
      <c r="AD234" s="4"/>
      <c r="AE234" s="4"/>
      <c r="AF234" s="4"/>
      <c r="AG234" s="4"/>
      <c r="AH234" s="5"/>
      <c r="AI234" s="5"/>
      <c r="AJ234" s="5"/>
      <c r="AK234" s="5"/>
      <c r="AL234" s="5"/>
    </row>
    <row r="235">
      <c r="A235" s="4" t="str">
        <f>VLOOKUP(L235,payment_ids!C:D,2,FALSE)</f>
        <v>pay_HDIdHRTly9mBYI</v>
      </c>
      <c r="B235" s="4"/>
      <c r="C235" s="4" t="s">
        <v>2761</v>
      </c>
      <c r="D235" s="4">
        <v>50029.0</v>
      </c>
      <c r="E235" s="4"/>
      <c r="F235" s="4">
        <v>1.0</v>
      </c>
      <c r="G235" s="4">
        <v>99.0</v>
      </c>
      <c r="H235" s="4"/>
      <c r="I235" s="4">
        <v>99.0</v>
      </c>
      <c r="J235" s="4" t="s">
        <v>2805</v>
      </c>
      <c r="K235" s="6">
        <f>+919776871667</f>
        <v>919776871667</v>
      </c>
      <c r="L235" s="4" t="str">
        <f t="shared" si="1"/>
        <v>archita.nanda17@gmail.com919776871667</v>
      </c>
      <c r="M235" s="10" t="s">
        <v>67</v>
      </c>
      <c r="N235" s="4" t="b">
        <v>0</v>
      </c>
      <c r="O235" s="4" t="str">
        <f>VLOOKUP(A235,payment_ids!D:E,2,FALSE)</f>
        <v>upi</v>
      </c>
      <c r="P235" s="4" t="s">
        <v>69</v>
      </c>
      <c r="Q235" s="4" t="s">
        <v>2806</v>
      </c>
      <c r="R235" s="4"/>
      <c r="S235" s="12" t="s">
        <v>2763</v>
      </c>
      <c r="T235" s="4"/>
      <c r="U235" s="4"/>
      <c r="V235" s="11"/>
      <c r="W235" s="4"/>
      <c r="X235" s="11"/>
      <c r="Y235" s="4"/>
      <c r="Z235" s="4"/>
      <c r="AA235" s="4"/>
      <c r="AB235" s="4"/>
      <c r="AC235" s="4"/>
      <c r="AD235" s="4"/>
      <c r="AE235" s="4"/>
      <c r="AF235" s="4"/>
      <c r="AG235" s="4"/>
      <c r="AH235" s="5"/>
      <c r="AI235" s="5"/>
      <c r="AJ235" s="5"/>
      <c r="AK235" s="5"/>
      <c r="AL235" s="5"/>
    </row>
    <row r="236">
      <c r="A236" s="4" t="str">
        <f>VLOOKUP(L236,payment_ids!C:D,2,FALSE)</f>
        <v>pay_HDNq2t4CnDplyz</v>
      </c>
      <c r="B236" s="4"/>
      <c r="C236" s="4" t="s">
        <v>2761</v>
      </c>
      <c r="D236" s="4">
        <v>50029.0</v>
      </c>
      <c r="E236" s="4"/>
      <c r="F236" s="4">
        <v>1.0</v>
      </c>
      <c r="G236" s="4">
        <v>99.0</v>
      </c>
      <c r="H236" s="4"/>
      <c r="I236" s="4">
        <v>99.0</v>
      </c>
      <c r="J236" s="4" t="s">
        <v>2807</v>
      </c>
      <c r="K236" s="6">
        <f>+918726705763</f>
        <v>918726705763</v>
      </c>
      <c r="L236" s="4" t="str">
        <f t="shared" si="1"/>
        <v>mailrichamail6@gmail.com918726705763</v>
      </c>
      <c r="M236" s="10" t="s">
        <v>67</v>
      </c>
      <c r="N236" s="4" t="b">
        <v>0</v>
      </c>
      <c r="O236" s="4" t="str">
        <f>VLOOKUP(A236,payment_ids!D:E,2,FALSE)</f>
        <v>upi</v>
      </c>
      <c r="P236" s="4" t="s">
        <v>69</v>
      </c>
      <c r="Q236" s="4" t="s">
        <v>2808</v>
      </c>
      <c r="R236" s="4"/>
      <c r="S236" s="12" t="s">
        <v>2763</v>
      </c>
      <c r="T236" s="4"/>
      <c r="U236" s="4"/>
      <c r="V236" s="11"/>
      <c r="W236" s="4"/>
      <c r="X236" s="11"/>
      <c r="Y236" s="4"/>
      <c r="Z236" s="4"/>
      <c r="AA236" s="4"/>
      <c r="AB236" s="4"/>
      <c r="AC236" s="4"/>
      <c r="AD236" s="4"/>
      <c r="AE236" s="4"/>
      <c r="AF236" s="4"/>
      <c r="AG236" s="4"/>
      <c r="AH236" s="5"/>
      <c r="AI236" s="5"/>
      <c r="AJ236" s="5"/>
      <c r="AK236" s="5"/>
      <c r="AL236" s="5"/>
    </row>
    <row r="237">
      <c r="A237" s="4" t="str">
        <f>VLOOKUP(L237,payment_ids!C:D,2,FALSE)</f>
        <v>pay_HDnvooHfIIpabB</v>
      </c>
      <c r="B237" s="4"/>
      <c r="C237" s="4" t="s">
        <v>2761</v>
      </c>
      <c r="D237" s="4">
        <v>50029.0</v>
      </c>
      <c r="E237" s="4"/>
      <c r="F237" s="4">
        <v>1.0</v>
      </c>
      <c r="G237" s="4">
        <v>99.0</v>
      </c>
      <c r="H237" s="4"/>
      <c r="I237" s="4">
        <v>99.0</v>
      </c>
      <c r="J237" s="4" t="s">
        <v>2809</v>
      </c>
      <c r="K237" s="6">
        <f>+917986646235</f>
        <v>917986646235</v>
      </c>
      <c r="L237" s="4" t="str">
        <f t="shared" si="1"/>
        <v>harmanbenipal7@gmail.com917986646235</v>
      </c>
      <c r="M237" s="10" t="s">
        <v>67</v>
      </c>
      <c r="N237" s="4" t="b">
        <v>0</v>
      </c>
      <c r="O237" s="4" t="str">
        <f>VLOOKUP(A237,payment_ids!D:E,2,FALSE)</f>
        <v>card</v>
      </c>
      <c r="P237" s="4" t="s">
        <v>69</v>
      </c>
      <c r="Q237" s="4" t="s">
        <v>2810</v>
      </c>
      <c r="R237" s="4"/>
      <c r="S237" s="12" t="s">
        <v>2763</v>
      </c>
      <c r="T237" s="4"/>
      <c r="U237" s="4"/>
      <c r="V237" s="11"/>
      <c r="W237" s="4"/>
      <c r="X237" s="11"/>
      <c r="Y237" s="4"/>
      <c r="Z237" s="4"/>
      <c r="AA237" s="4"/>
      <c r="AB237" s="4"/>
      <c r="AC237" s="4"/>
      <c r="AD237" s="4"/>
      <c r="AE237" s="4"/>
      <c r="AF237" s="4"/>
      <c r="AG237" s="4"/>
      <c r="AH237" s="5"/>
      <c r="AI237" s="5"/>
      <c r="AJ237" s="5"/>
      <c r="AK237" s="5"/>
      <c r="AL237" s="5"/>
    </row>
    <row r="238">
      <c r="A238" s="4" t="str">
        <f>VLOOKUP(L238,payment_ids!C:D,2,FALSE)</f>
        <v>pay_HDpFHD8kpjYzf7</v>
      </c>
      <c r="B238" s="4"/>
      <c r="C238" s="4" t="s">
        <v>2761</v>
      </c>
      <c r="D238" s="4">
        <v>50029.0</v>
      </c>
      <c r="E238" s="4"/>
      <c r="F238" s="4">
        <v>6.0</v>
      </c>
      <c r="G238" s="4">
        <v>349.0</v>
      </c>
      <c r="H238" s="4"/>
      <c r="I238" s="4">
        <v>349.0</v>
      </c>
      <c r="J238" s="4" t="s">
        <v>908</v>
      </c>
      <c r="K238" s="6">
        <f>+919562106297</f>
        <v>919562106297</v>
      </c>
      <c r="L238" s="4" t="str">
        <f t="shared" si="1"/>
        <v>febaannthomas@gmail.com919562106297</v>
      </c>
      <c r="M238" s="10" t="s">
        <v>67</v>
      </c>
      <c r="N238" s="4" t="b">
        <v>0</v>
      </c>
      <c r="O238" s="4" t="str">
        <f>VLOOKUP(A238,payment_ids!D:E,2,FALSE)</f>
        <v>upi</v>
      </c>
      <c r="P238" s="4" t="s">
        <v>69</v>
      </c>
      <c r="Q238" s="4" t="s">
        <v>2811</v>
      </c>
      <c r="R238" s="4"/>
      <c r="S238" s="12" t="s">
        <v>2763</v>
      </c>
      <c r="T238" s="4"/>
      <c r="U238" s="4"/>
      <c r="V238" s="11"/>
      <c r="W238" s="4"/>
      <c r="X238" s="11"/>
      <c r="Y238" s="4"/>
      <c r="Z238" s="4"/>
      <c r="AA238" s="4"/>
      <c r="AB238" s="4"/>
      <c r="AC238" s="4"/>
      <c r="AD238" s="4"/>
      <c r="AE238" s="4"/>
      <c r="AF238" s="4"/>
      <c r="AG238" s="4"/>
      <c r="AH238" s="5"/>
      <c r="AI238" s="5"/>
      <c r="AJ238" s="5"/>
      <c r="AK238" s="5"/>
      <c r="AL238" s="5"/>
    </row>
    <row r="239">
      <c r="A239" s="4" t="str">
        <f>VLOOKUP(L239,payment_ids!C:D,2,FALSE)</f>
        <v>pay_HDpkf96Jj3IAmp</v>
      </c>
      <c r="B239" s="4"/>
      <c r="C239" s="4" t="s">
        <v>2761</v>
      </c>
      <c r="D239" s="4">
        <v>50029.0</v>
      </c>
      <c r="E239" s="4"/>
      <c r="F239" s="4">
        <v>1.0</v>
      </c>
      <c r="G239" s="4">
        <v>99.0</v>
      </c>
      <c r="H239" s="4"/>
      <c r="I239" s="4">
        <v>99.0</v>
      </c>
      <c r="J239" s="4" t="s">
        <v>2812</v>
      </c>
      <c r="K239" s="6">
        <f>+919872443409</f>
        <v>919872443409</v>
      </c>
      <c r="L239" s="4" t="str">
        <f t="shared" si="1"/>
        <v>mirtahmid18@gmail.com919872443409</v>
      </c>
      <c r="M239" s="10" t="s">
        <v>67</v>
      </c>
      <c r="N239" s="4" t="b">
        <v>0</v>
      </c>
      <c r="O239" s="4" t="str">
        <f>VLOOKUP(A239,payment_ids!D:E,2,FALSE)</f>
        <v>upi</v>
      </c>
      <c r="P239" s="4" t="s">
        <v>69</v>
      </c>
      <c r="Q239" s="4" t="s">
        <v>2813</v>
      </c>
      <c r="R239" s="4"/>
      <c r="S239" s="12" t="s">
        <v>2763</v>
      </c>
      <c r="T239" s="4"/>
      <c r="U239" s="4"/>
      <c r="V239" s="11"/>
      <c r="W239" s="4"/>
      <c r="X239" s="11"/>
      <c r="Y239" s="4"/>
      <c r="Z239" s="4"/>
      <c r="AA239" s="4"/>
      <c r="AB239" s="4"/>
      <c r="AC239" s="4"/>
      <c r="AD239" s="4"/>
      <c r="AE239" s="4"/>
      <c r="AF239" s="4"/>
      <c r="AG239" s="4"/>
      <c r="AH239" s="5"/>
      <c r="AI239" s="5"/>
      <c r="AJ239" s="5"/>
      <c r="AK239" s="5"/>
      <c r="AL239" s="5"/>
    </row>
    <row r="240">
      <c r="A240" s="4" t="str">
        <f>VLOOKUP(L240,payment_ids!C:D,2,FALSE)</f>
        <v>pay_HDrI8hC6crw7Y3</v>
      </c>
      <c r="B240" s="4"/>
      <c r="C240" s="4" t="s">
        <v>2761</v>
      </c>
      <c r="D240" s="4">
        <v>50029.0</v>
      </c>
      <c r="E240" s="4"/>
      <c r="F240" s="4">
        <v>1.0</v>
      </c>
      <c r="G240" s="4">
        <v>99.0</v>
      </c>
      <c r="H240" s="4"/>
      <c r="I240" s="4">
        <v>99.0</v>
      </c>
      <c r="J240" s="4" t="s">
        <v>2814</v>
      </c>
      <c r="K240" s="6">
        <f>+918709528371</f>
        <v>918709528371</v>
      </c>
      <c r="L240" s="4" t="str">
        <f t="shared" si="1"/>
        <v>sukanyamishra3062@gmail.com918709528371</v>
      </c>
      <c r="M240" s="10" t="s">
        <v>67</v>
      </c>
      <c r="N240" s="4" t="b">
        <v>0</v>
      </c>
      <c r="O240" s="4" t="str">
        <f>VLOOKUP(A240,payment_ids!D:E,2,FALSE)</f>
        <v>upi</v>
      </c>
      <c r="P240" s="4" t="s">
        <v>69</v>
      </c>
      <c r="Q240" s="4" t="s">
        <v>2815</v>
      </c>
      <c r="R240" s="4"/>
      <c r="S240" s="12" t="s">
        <v>2763</v>
      </c>
      <c r="T240" s="4"/>
      <c r="U240" s="4"/>
      <c r="V240" s="11"/>
      <c r="W240" s="4"/>
      <c r="X240" s="11"/>
      <c r="Y240" s="4"/>
      <c r="Z240" s="4"/>
      <c r="AA240" s="4"/>
      <c r="AB240" s="4"/>
      <c r="AC240" s="4"/>
      <c r="AD240" s="4"/>
      <c r="AE240" s="4"/>
      <c r="AF240" s="4"/>
      <c r="AG240" s="4"/>
      <c r="AH240" s="5"/>
      <c r="AI240" s="5"/>
      <c r="AJ240" s="5"/>
      <c r="AK240" s="5"/>
      <c r="AL240" s="5"/>
    </row>
    <row r="241">
      <c r="A241" s="4" t="str">
        <f>VLOOKUP(L241,payment_ids!C:D,2,FALSE)</f>
        <v>pay_HE493TXFZ1deun</v>
      </c>
      <c r="B241" s="4"/>
      <c r="C241" s="4" t="s">
        <v>2761</v>
      </c>
      <c r="D241" s="4">
        <v>50029.0</v>
      </c>
      <c r="E241" s="4"/>
      <c r="F241" s="4">
        <v>1.0</v>
      </c>
      <c r="G241" s="4">
        <v>99.0</v>
      </c>
      <c r="H241" s="4"/>
      <c r="I241" s="4">
        <v>99.0</v>
      </c>
      <c r="J241" s="4" t="s">
        <v>2816</v>
      </c>
      <c r="K241" s="6">
        <f>+919036003236</f>
        <v>919036003236</v>
      </c>
      <c r="L241" s="4" t="str">
        <f t="shared" si="1"/>
        <v>imcool.surjeet@gmail.com919036003236</v>
      </c>
      <c r="M241" s="10" t="s">
        <v>67</v>
      </c>
      <c r="N241" s="4" t="b">
        <v>0</v>
      </c>
      <c r="O241" s="4" t="str">
        <f>VLOOKUP(A241,payment_ids!D:E,2,FALSE)</f>
        <v>upi</v>
      </c>
      <c r="P241" s="4" t="s">
        <v>69</v>
      </c>
      <c r="Q241" s="4" t="s">
        <v>2817</v>
      </c>
      <c r="R241" s="4"/>
      <c r="S241" s="12" t="s">
        <v>2763</v>
      </c>
      <c r="T241" s="4"/>
      <c r="U241" s="4"/>
      <c r="V241" s="11"/>
      <c r="W241" s="4"/>
      <c r="X241" s="11"/>
      <c r="Y241" s="4"/>
      <c r="Z241" s="4"/>
      <c r="AA241" s="4"/>
      <c r="AB241" s="4"/>
      <c r="AC241" s="4"/>
      <c r="AD241" s="4"/>
      <c r="AE241" s="4"/>
      <c r="AF241" s="4"/>
      <c r="AG241" s="4"/>
      <c r="AH241" s="5"/>
      <c r="AI241" s="5"/>
      <c r="AJ241" s="5"/>
      <c r="AK241" s="5"/>
      <c r="AL241" s="5"/>
    </row>
    <row r="242">
      <c r="A242" s="4" t="str">
        <f>VLOOKUP(L242,payment_ids!C:D,2,FALSE)</f>
        <v>pay_H81sbs3ohgdyKe</v>
      </c>
      <c r="B242" s="4"/>
      <c r="C242" s="4" t="s">
        <v>2761</v>
      </c>
      <c r="D242" s="4">
        <v>50029.0</v>
      </c>
      <c r="E242" s="4"/>
      <c r="F242" s="4">
        <v>3.0</v>
      </c>
      <c r="G242" s="4">
        <v>199.0</v>
      </c>
      <c r="H242" s="4"/>
      <c r="I242" s="4">
        <v>199.0</v>
      </c>
      <c r="J242" s="4" t="s">
        <v>2818</v>
      </c>
      <c r="K242" s="6">
        <f>+919861041424</f>
        <v>919861041424</v>
      </c>
      <c r="L242" s="4" t="str">
        <f t="shared" si="1"/>
        <v>adyaanuragdas@gmail.com919861041424</v>
      </c>
      <c r="M242" s="10" t="s">
        <v>67</v>
      </c>
      <c r="N242" s="4" t="b">
        <v>0</v>
      </c>
      <c r="O242" s="4" t="str">
        <f>VLOOKUP(A242,payment_ids!D:E,2,FALSE)</f>
        <v>upi</v>
      </c>
      <c r="P242" s="4" t="s">
        <v>69</v>
      </c>
      <c r="Q242" s="4" t="s">
        <v>2819</v>
      </c>
      <c r="R242" s="4"/>
      <c r="S242" s="12" t="s">
        <v>2763</v>
      </c>
      <c r="T242" s="4"/>
      <c r="U242" s="4"/>
      <c r="V242" s="11"/>
      <c r="W242" s="4"/>
      <c r="X242" s="11"/>
      <c r="Y242" s="4"/>
      <c r="Z242" s="4"/>
      <c r="AA242" s="4"/>
      <c r="AB242" s="4"/>
      <c r="AC242" s="4"/>
      <c r="AD242" s="4"/>
      <c r="AE242" s="4"/>
      <c r="AF242" s="4"/>
      <c r="AG242" s="4"/>
      <c r="AH242" s="5"/>
      <c r="AI242" s="5"/>
      <c r="AJ242" s="5"/>
      <c r="AK242" s="5"/>
      <c r="AL242" s="5"/>
    </row>
    <row r="243">
      <c r="A243" s="4" t="str">
        <f>VLOOKUP(L243,payment_ids!C:D,2,FALSE)</f>
        <v>pay_HEARbfbB1NDLIv</v>
      </c>
      <c r="B243" s="4"/>
      <c r="C243" s="4" t="s">
        <v>2761</v>
      </c>
      <c r="D243" s="4">
        <v>50029.0</v>
      </c>
      <c r="E243" s="4"/>
      <c r="F243" s="4">
        <v>1.0</v>
      </c>
      <c r="G243" s="4">
        <v>99.0</v>
      </c>
      <c r="H243" s="4"/>
      <c r="I243" s="4">
        <v>99.0</v>
      </c>
      <c r="J243" s="4" t="s">
        <v>2820</v>
      </c>
      <c r="K243" s="6">
        <f>+918469545958</f>
        <v>918469545958</v>
      </c>
      <c r="L243" s="4" t="str">
        <f t="shared" si="1"/>
        <v>thoriasagar@gmail.com918469545958</v>
      </c>
      <c r="M243" s="10" t="s">
        <v>67</v>
      </c>
      <c r="N243" s="4" t="b">
        <v>0</v>
      </c>
      <c r="O243" s="4" t="str">
        <f>VLOOKUP(A243,payment_ids!D:E,2,FALSE)</f>
        <v>upi</v>
      </c>
      <c r="P243" s="4" t="s">
        <v>69</v>
      </c>
      <c r="Q243" s="4" t="s">
        <v>2821</v>
      </c>
      <c r="R243" s="4"/>
      <c r="S243" s="12" t="s">
        <v>2763</v>
      </c>
      <c r="T243" s="4"/>
      <c r="U243" s="4"/>
      <c r="V243" s="11"/>
      <c r="W243" s="4"/>
      <c r="X243" s="11"/>
      <c r="Y243" s="4"/>
      <c r="Z243" s="4"/>
      <c r="AA243" s="4"/>
      <c r="AB243" s="4"/>
      <c r="AC243" s="4"/>
      <c r="AD243" s="4"/>
      <c r="AE243" s="4"/>
      <c r="AF243" s="4"/>
      <c r="AG243" s="4"/>
      <c r="AH243" s="5"/>
      <c r="AI243" s="5"/>
      <c r="AJ243" s="5"/>
      <c r="AK243" s="5"/>
      <c r="AL243" s="5"/>
    </row>
    <row r="244">
      <c r="A244" s="4" t="str">
        <f>VLOOKUP(L244,payment_ids!C:D,2,FALSE)</f>
        <v>pay_HEAizRrH4489aG</v>
      </c>
      <c r="B244" s="4"/>
      <c r="C244" s="4" t="s">
        <v>2761</v>
      </c>
      <c r="D244" s="4">
        <v>50029.0</v>
      </c>
      <c r="E244" s="4"/>
      <c r="F244" s="4">
        <v>1.0</v>
      </c>
      <c r="G244" s="4">
        <v>99.0</v>
      </c>
      <c r="H244" s="4"/>
      <c r="I244" s="4">
        <v>99.0</v>
      </c>
      <c r="J244" s="4" t="s">
        <v>2822</v>
      </c>
      <c r="K244" s="6">
        <f>+919163408023</f>
        <v>919163408023</v>
      </c>
      <c r="L244" s="4" t="str">
        <f t="shared" si="1"/>
        <v>nedasiraj098@gmail.com919163408023</v>
      </c>
      <c r="M244" s="10" t="s">
        <v>67</v>
      </c>
      <c r="N244" s="4" t="b">
        <v>0</v>
      </c>
      <c r="O244" s="4" t="str">
        <f>VLOOKUP(A244,payment_ids!D:E,2,FALSE)</f>
        <v>upi</v>
      </c>
      <c r="P244" s="4" t="s">
        <v>69</v>
      </c>
      <c r="Q244" s="4" t="s">
        <v>2823</v>
      </c>
      <c r="R244" s="4"/>
      <c r="S244" s="12" t="s">
        <v>2763</v>
      </c>
      <c r="T244" s="4"/>
      <c r="U244" s="4"/>
      <c r="V244" s="11"/>
      <c r="W244" s="4"/>
      <c r="X244" s="11"/>
      <c r="Y244" s="4"/>
      <c r="Z244" s="4"/>
      <c r="AA244" s="4"/>
      <c r="AB244" s="4"/>
      <c r="AC244" s="4"/>
      <c r="AD244" s="4"/>
      <c r="AE244" s="4"/>
      <c r="AF244" s="4"/>
      <c r="AG244" s="4"/>
      <c r="AH244" s="5"/>
      <c r="AI244" s="5"/>
      <c r="AJ244" s="5"/>
      <c r="AK244" s="5"/>
      <c r="AL244" s="5"/>
    </row>
    <row r="245">
      <c r="A245" s="4" t="str">
        <f>VLOOKUP(L245,payment_ids!C:D,2,FALSE)</f>
        <v>pay_HEKzDVoHVr3ciE</v>
      </c>
      <c r="B245" s="4"/>
      <c r="C245" s="4" t="s">
        <v>2761</v>
      </c>
      <c r="D245" s="4">
        <v>50029.0</v>
      </c>
      <c r="E245" s="4"/>
      <c r="F245" s="4">
        <v>1.0</v>
      </c>
      <c r="G245" s="4">
        <v>99.0</v>
      </c>
      <c r="H245" s="4"/>
      <c r="I245" s="4">
        <v>99.0</v>
      </c>
      <c r="J245" s="4" t="s">
        <v>2824</v>
      </c>
      <c r="K245" s="6">
        <f>+919825789088</f>
        <v>919825789088</v>
      </c>
      <c r="L245" s="4" t="str">
        <f t="shared" si="1"/>
        <v>nambiar_jishnu@yahoo.co.in919825789088</v>
      </c>
      <c r="M245" s="10" t="s">
        <v>67</v>
      </c>
      <c r="N245" s="4" t="b">
        <v>0</v>
      </c>
      <c r="O245" s="4" t="str">
        <f>VLOOKUP(A245,payment_ids!D:E,2,FALSE)</f>
        <v>upi</v>
      </c>
      <c r="P245" s="4" t="s">
        <v>69</v>
      </c>
      <c r="Q245" s="4" t="s">
        <v>2825</v>
      </c>
      <c r="R245" s="4"/>
      <c r="S245" s="12" t="s">
        <v>2763</v>
      </c>
      <c r="T245" s="4"/>
      <c r="U245" s="4"/>
      <c r="V245" s="11"/>
      <c r="W245" s="4"/>
      <c r="X245" s="11"/>
      <c r="Y245" s="4"/>
      <c r="Z245" s="4"/>
      <c r="AA245" s="4"/>
      <c r="AB245" s="4"/>
      <c r="AC245" s="4"/>
      <c r="AD245" s="4"/>
      <c r="AE245" s="4"/>
      <c r="AF245" s="4"/>
      <c r="AG245" s="4"/>
      <c r="AH245" s="5"/>
      <c r="AI245" s="5"/>
      <c r="AJ245" s="5"/>
      <c r="AK245" s="5"/>
      <c r="AL245" s="5"/>
    </row>
    <row r="246">
      <c r="A246" s="4" t="str">
        <f>VLOOKUP(L246,payment_ids!C:D,2,FALSE)</f>
        <v>pay_HEUSJkSpT1Ditf</v>
      </c>
      <c r="B246" s="4"/>
      <c r="C246" s="4" t="s">
        <v>2761</v>
      </c>
      <c r="D246" s="4">
        <v>50029.0</v>
      </c>
      <c r="E246" s="4"/>
      <c r="F246" s="4">
        <v>1.0</v>
      </c>
      <c r="G246" s="4">
        <v>99.0</v>
      </c>
      <c r="H246" s="4"/>
      <c r="I246" s="4">
        <v>99.0</v>
      </c>
      <c r="J246" s="4" t="s">
        <v>2826</v>
      </c>
      <c r="K246" s="6">
        <f>+919755744733</f>
        <v>919755744733</v>
      </c>
      <c r="L246" s="4" t="str">
        <f t="shared" si="1"/>
        <v>smsimran626@gmail.com919755744733</v>
      </c>
      <c r="M246" s="10" t="s">
        <v>67</v>
      </c>
      <c r="N246" s="4" t="b">
        <v>0</v>
      </c>
      <c r="O246" s="4" t="str">
        <f>VLOOKUP(A246,payment_ids!D:E,2,FALSE)</f>
        <v>upi</v>
      </c>
      <c r="P246" s="4" t="s">
        <v>69</v>
      </c>
      <c r="Q246" s="4" t="s">
        <v>2827</v>
      </c>
      <c r="R246" s="4"/>
      <c r="S246" s="12" t="s">
        <v>2763</v>
      </c>
      <c r="T246" s="4"/>
      <c r="U246" s="4"/>
      <c r="V246" s="11"/>
      <c r="W246" s="4"/>
      <c r="X246" s="11"/>
      <c r="Y246" s="4"/>
      <c r="Z246" s="4"/>
      <c r="AA246" s="4"/>
      <c r="AB246" s="4"/>
      <c r="AC246" s="4"/>
      <c r="AD246" s="4"/>
      <c r="AE246" s="4"/>
      <c r="AF246" s="4"/>
      <c r="AG246" s="4"/>
      <c r="AH246" s="5"/>
      <c r="AI246" s="5"/>
      <c r="AJ246" s="5"/>
      <c r="AK246" s="5"/>
      <c r="AL246" s="5"/>
    </row>
    <row r="247">
      <c r="A247" s="4" t="str">
        <f>VLOOKUP(L247,payment_ids!C:D,2,FALSE)</f>
        <v>pay_HEUR2uDExZ0TaV</v>
      </c>
      <c r="B247" s="4"/>
      <c r="C247" s="4" t="s">
        <v>2761</v>
      </c>
      <c r="D247" s="4">
        <v>50029.0</v>
      </c>
      <c r="E247" s="4"/>
      <c r="F247" s="4">
        <v>1.0</v>
      </c>
      <c r="G247" s="4">
        <v>99.0</v>
      </c>
      <c r="H247" s="4"/>
      <c r="I247" s="4">
        <v>99.0</v>
      </c>
      <c r="J247" s="4" t="s">
        <v>2828</v>
      </c>
      <c r="K247" s="6">
        <f>+919911098985</f>
        <v>919911098985</v>
      </c>
      <c r="L247" s="4" t="str">
        <f t="shared" si="1"/>
        <v>dakshita.sehgal@gmail.com919911098985</v>
      </c>
      <c r="M247" s="10" t="s">
        <v>67</v>
      </c>
      <c r="N247" s="4" t="b">
        <v>0</v>
      </c>
      <c r="O247" s="4" t="str">
        <f>VLOOKUP(A247,payment_ids!D:E,2,FALSE)</f>
        <v>upi</v>
      </c>
      <c r="P247" s="4" t="s">
        <v>69</v>
      </c>
      <c r="Q247" s="4" t="s">
        <v>2829</v>
      </c>
      <c r="R247" s="4"/>
      <c r="S247" s="12" t="s">
        <v>2763</v>
      </c>
      <c r="T247" s="4"/>
      <c r="U247" s="4"/>
      <c r="V247" s="11"/>
      <c r="W247" s="4"/>
      <c r="X247" s="11"/>
      <c r="Y247" s="4"/>
      <c r="Z247" s="4"/>
      <c r="AA247" s="4"/>
      <c r="AB247" s="4"/>
      <c r="AC247" s="4"/>
      <c r="AD247" s="4"/>
      <c r="AE247" s="4"/>
      <c r="AF247" s="4"/>
      <c r="AG247" s="4"/>
      <c r="AH247" s="5"/>
      <c r="AI247" s="5"/>
      <c r="AJ247" s="5"/>
      <c r="AK247" s="5"/>
      <c r="AL247" s="5"/>
    </row>
    <row r="248">
      <c r="A248" s="4" t="str">
        <f>VLOOKUP(L248,payment_ids!C:D,2,FALSE)</f>
        <v>pay_HEXuNyK5d2699S</v>
      </c>
      <c r="B248" s="4"/>
      <c r="C248" s="4" t="s">
        <v>2761</v>
      </c>
      <c r="D248" s="4">
        <v>50029.0</v>
      </c>
      <c r="E248" s="4"/>
      <c r="F248" s="4">
        <v>1.0</v>
      </c>
      <c r="G248" s="4">
        <v>99.0</v>
      </c>
      <c r="H248" s="4"/>
      <c r="I248" s="4">
        <v>99.0</v>
      </c>
      <c r="J248" s="4" t="s">
        <v>2830</v>
      </c>
      <c r="K248" s="6">
        <f>+919944057573</f>
        <v>919944057573</v>
      </c>
      <c r="L248" s="4" t="str">
        <f t="shared" si="1"/>
        <v>knock4jayashree@gmail.com919944057573</v>
      </c>
      <c r="M248" s="10" t="s">
        <v>67</v>
      </c>
      <c r="N248" s="4" t="b">
        <v>0</v>
      </c>
      <c r="O248" s="4" t="str">
        <f>VLOOKUP(A248,payment_ids!D:E,2,FALSE)</f>
        <v>card</v>
      </c>
      <c r="P248" s="4" t="s">
        <v>69</v>
      </c>
      <c r="Q248" s="4" t="s">
        <v>2831</v>
      </c>
      <c r="R248" s="4"/>
      <c r="S248" s="12" t="s">
        <v>2763</v>
      </c>
      <c r="T248" s="4"/>
      <c r="U248" s="4"/>
      <c r="V248" s="11"/>
      <c r="W248" s="4"/>
      <c r="X248" s="11"/>
      <c r="Y248" s="4"/>
      <c r="Z248" s="4"/>
      <c r="AA248" s="4"/>
      <c r="AB248" s="4"/>
      <c r="AC248" s="4"/>
      <c r="AD248" s="4"/>
      <c r="AE248" s="4"/>
      <c r="AF248" s="4"/>
      <c r="AG248" s="4"/>
      <c r="AH248" s="5"/>
      <c r="AI248" s="5"/>
      <c r="AJ248" s="5"/>
      <c r="AK248" s="5"/>
      <c r="AL248" s="5"/>
    </row>
    <row r="249">
      <c r="A249" s="4" t="str">
        <f>VLOOKUP(L249,payment_ids!C:D,2,FALSE)</f>
        <v>pay_HEaf9GzMOf51cx</v>
      </c>
      <c r="B249" s="4"/>
      <c r="C249" s="4" t="s">
        <v>2761</v>
      </c>
      <c r="D249" s="4">
        <v>50029.0</v>
      </c>
      <c r="E249" s="4"/>
      <c r="F249" s="4">
        <v>1.0</v>
      </c>
      <c r="G249" s="4">
        <v>99.0</v>
      </c>
      <c r="H249" s="4"/>
      <c r="I249" s="4">
        <v>99.0</v>
      </c>
      <c r="J249" s="4" t="s">
        <v>2832</v>
      </c>
      <c r="K249" s="6">
        <f>+919176685727</f>
        <v>919176685727</v>
      </c>
      <c r="L249" s="4" t="str">
        <f t="shared" si="1"/>
        <v>ashokarumugham2000@gmail.com919176685727</v>
      </c>
      <c r="M249" s="10" t="s">
        <v>67</v>
      </c>
      <c r="N249" s="4" t="b">
        <v>0</v>
      </c>
      <c r="O249" s="4" t="str">
        <f>VLOOKUP(A249,payment_ids!D:E,2,FALSE)</f>
        <v>upi</v>
      </c>
      <c r="P249" s="4" t="s">
        <v>69</v>
      </c>
      <c r="Q249" s="4" t="s">
        <v>2833</v>
      </c>
      <c r="R249" s="4"/>
      <c r="S249" s="12" t="s">
        <v>2763</v>
      </c>
      <c r="T249" s="4"/>
      <c r="U249" s="4"/>
      <c r="V249" s="11"/>
      <c r="W249" s="4"/>
      <c r="X249" s="11"/>
      <c r="Y249" s="4"/>
      <c r="Z249" s="4"/>
      <c r="AA249" s="4"/>
      <c r="AB249" s="4"/>
      <c r="AC249" s="4"/>
      <c r="AD249" s="4"/>
      <c r="AE249" s="4"/>
      <c r="AF249" s="4"/>
      <c r="AG249" s="4"/>
      <c r="AH249" s="5"/>
      <c r="AI249" s="5"/>
      <c r="AJ249" s="5"/>
      <c r="AK249" s="5"/>
      <c r="AL249" s="5"/>
    </row>
    <row r="250">
      <c r="A250" s="4" t="str">
        <f>VLOOKUP(L250,payment_ids!C:D,2,FALSE)</f>
        <v>pay_HEefVw6JSGugGi</v>
      </c>
      <c r="B250" s="4"/>
      <c r="C250" s="4" t="s">
        <v>2761</v>
      </c>
      <c r="D250" s="4">
        <v>50029.0</v>
      </c>
      <c r="E250" s="4"/>
      <c r="F250" s="4">
        <v>1.0</v>
      </c>
      <c r="G250" s="4">
        <v>99.0</v>
      </c>
      <c r="H250" s="4"/>
      <c r="I250" s="4">
        <v>99.0</v>
      </c>
      <c r="J250" s="4" t="s">
        <v>2834</v>
      </c>
      <c r="K250" s="6">
        <f>+919980549117</f>
        <v>919980549117</v>
      </c>
      <c r="L250" s="4" t="str">
        <f t="shared" si="1"/>
        <v>suja1223@gmail.com919980549117</v>
      </c>
      <c r="M250" s="10" t="s">
        <v>67</v>
      </c>
      <c r="N250" s="4" t="b">
        <v>0</v>
      </c>
      <c r="O250" s="4" t="str">
        <f>VLOOKUP(A250,payment_ids!D:E,2,FALSE)</f>
        <v>card</v>
      </c>
      <c r="P250" s="4" t="s">
        <v>69</v>
      </c>
      <c r="Q250" s="4" t="s">
        <v>2835</v>
      </c>
      <c r="R250" s="4"/>
      <c r="S250" s="12" t="s">
        <v>2763</v>
      </c>
      <c r="T250" s="4"/>
      <c r="U250" s="4"/>
      <c r="V250" s="11"/>
      <c r="W250" s="4"/>
      <c r="X250" s="11"/>
      <c r="Y250" s="4"/>
      <c r="Z250" s="4"/>
      <c r="AA250" s="4"/>
      <c r="AB250" s="4"/>
      <c r="AC250" s="4"/>
      <c r="AD250" s="4"/>
      <c r="AE250" s="4"/>
      <c r="AF250" s="4"/>
      <c r="AG250" s="4"/>
      <c r="AH250" s="5"/>
      <c r="AI250" s="5"/>
      <c r="AJ250" s="5"/>
      <c r="AK250" s="5"/>
      <c r="AL250" s="5"/>
    </row>
    <row r="251">
      <c r="A251" s="4" t="str">
        <f>VLOOKUP(L251,payment_ids!C:D,2,FALSE)</f>
        <v>pay_HEhwAur0ZGqeDL</v>
      </c>
      <c r="B251" s="4"/>
      <c r="C251" s="4" t="s">
        <v>2761</v>
      </c>
      <c r="D251" s="4">
        <v>50029.0</v>
      </c>
      <c r="E251" s="4"/>
      <c r="F251" s="4">
        <v>1.0</v>
      </c>
      <c r="G251" s="4">
        <v>99.0</v>
      </c>
      <c r="H251" s="4"/>
      <c r="I251" s="4">
        <v>99.0</v>
      </c>
      <c r="J251" s="4" t="s">
        <v>2836</v>
      </c>
      <c r="K251" s="6">
        <f>+919599831074</f>
        <v>919599831074</v>
      </c>
      <c r="L251" s="4" t="str">
        <f t="shared" si="1"/>
        <v>romigupta194@gmail.com919599831074</v>
      </c>
      <c r="M251" s="10" t="s">
        <v>67</v>
      </c>
      <c r="N251" s="4" t="b">
        <v>0</v>
      </c>
      <c r="O251" s="4" t="str">
        <f>VLOOKUP(A251,payment_ids!D:E,2,FALSE)</f>
        <v>upi</v>
      </c>
      <c r="P251" s="4" t="s">
        <v>69</v>
      </c>
      <c r="Q251" s="4" t="s">
        <v>2837</v>
      </c>
      <c r="R251" s="4"/>
      <c r="S251" s="12" t="s">
        <v>2763</v>
      </c>
      <c r="T251" s="4"/>
      <c r="U251" s="4"/>
      <c r="V251" s="11"/>
      <c r="W251" s="4"/>
      <c r="X251" s="11"/>
      <c r="Y251" s="4"/>
      <c r="Z251" s="4"/>
      <c r="AA251" s="4"/>
      <c r="AB251" s="4"/>
      <c r="AC251" s="4"/>
      <c r="AD251" s="4"/>
      <c r="AE251" s="4"/>
      <c r="AF251" s="4"/>
      <c r="AG251" s="4"/>
      <c r="AH251" s="5"/>
      <c r="AI251" s="5"/>
      <c r="AJ251" s="5"/>
      <c r="AK251" s="5"/>
      <c r="AL251" s="5"/>
    </row>
    <row r="252">
      <c r="A252" s="4" t="str">
        <f>VLOOKUP(L252,payment_ids!C:D,2,FALSE)</f>
        <v>pay_HEwe6Kaqem2J6Q</v>
      </c>
      <c r="B252" s="4"/>
      <c r="C252" s="4" t="s">
        <v>2761</v>
      </c>
      <c r="D252" s="4">
        <v>50029.0</v>
      </c>
      <c r="E252" s="4"/>
      <c r="F252" s="4">
        <v>3.0</v>
      </c>
      <c r="G252" s="4">
        <v>199.0</v>
      </c>
      <c r="H252" s="4"/>
      <c r="I252" s="4">
        <v>199.0</v>
      </c>
      <c r="J252" s="4" t="s">
        <v>2838</v>
      </c>
      <c r="K252" s="6">
        <f>+919899849942</f>
        <v>919899849942</v>
      </c>
      <c r="L252" s="4" t="str">
        <f t="shared" si="1"/>
        <v>rashu_mittal@yahoo.com919899849942</v>
      </c>
      <c r="M252" s="10" t="s">
        <v>67</v>
      </c>
      <c r="N252" s="4" t="b">
        <v>0</v>
      </c>
      <c r="O252" s="4" t="str">
        <f>VLOOKUP(A252,payment_ids!D:E,2,FALSE)</f>
        <v>netbanking</v>
      </c>
      <c r="P252" s="4" t="s">
        <v>69</v>
      </c>
      <c r="Q252" s="4" t="s">
        <v>2839</v>
      </c>
      <c r="R252" s="4"/>
      <c r="S252" s="12" t="s">
        <v>2763</v>
      </c>
      <c r="T252" s="4"/>
      <c r="U252" s="4"/>
      <c r="V252" s="11"/>
      <c r="W252" s="4"/>
      <c r="X252" s="11"/>
      <c r="Y252" s="4"/>
      <c r="Z252" s="4"/>
      <c r="AA252" s="4"/>
      <c r="AB252" s="4"/>
      <c r="AC252" s="4"/>
      <c r="AD252" s="4"/>
      <c r="AE252" s="4"/>
      <c r="AF252" s="4"/>
      <c r="AG252" s="4"/>
      <c r="AH252" s="5"/>
      <c r="AI252" s="5"/>
      <c r="AJ252" s="5"/>
      <c r="AK252" s="5"/>
      <c r="AL252" s="5"/>
    </row>
    <row r="253">
      <c r="A253" s="4" t="str">
        <f>VLOOKUP(L253,payment_ids!C:D,2,FALSE)</f>
        <v>pay_HExNDYxRr6cFN5</v>
      </c>
      <c r="B253" s="4"/>
      <c r="C253" s="4" t="s">
        <v>2761</v>
      </c>
      <c r="D253" s="4">
        <v>50029.0</v>
      </c>
      <c r="E253" s="4"/>
      <c r="F253" s="4">
        <v>6.0</v>
      </c>
      <c r="G253" s="4">
        <v>349.0</v>
      </c>
      <c r="H253" s="4"/>
      <c r="I253" s="4">
        <v>349.0</v>
      </c>
      <c r="J253" s="4" t="s">
        <v>2840</v>
      </c>
      <c r="K253" s="6">
        <f>+919594206992</f>
        <v>919594206992</v>
      </c>
      <c r="L253" s="4" t="str">
        <f t="shared" si="1"/>
        <v>zubair.khanfilms@gmail.com919594206992</v>
      </c>
      <c r="M253" s="10" t="s">
        <v>67</v>
      </c>
      <c r="N253" s="4" t="b">
        <v>0</v>
      </c>
      <c r="O253" s="4" t="str">
        <f>VLOOKUP(A253,payment_ids!D:E,2,FALSE)</f>
        <v>netbanking</v>
      </c>
      <c r="P253" s="4" t="s">
        <v>69</v>
      </c>
      <c r="Q253" s="4" t="s">
        <v>2841</v>
      </c>
      <c r="R253" s="4"/>
      <c r="S253" s="12" t="s">
        <v>2763</v>
      </c>
      <c r="T253" s="4"/>
      <c r="U253" s="4"/>
      <c r="V253" s="11"/>
      <c r="W253" s="4"/>
      <c r="X253" s="11"/>
      <c r="Y253" s="4"/>
      <c r="Z253" s="4"/>
      <c r="AA253" s="4"/>
      <c r="AB253" s="4"/>
      <c r="AC253" s="7"/>
      <c r="AD253" s="4"/>
      <c r="AE253" s="4"/>
      <c r="AF253" s="4"/>
      <c r="AG253" s="4"/>
      <c r="AH253" s="5"/>
      <c r="AI253" s="5"/>
      <c r="AJ253" s="5"/>
      <c r="AK253" s="5"/>
      <c r="AL253" s="5"/>
    </row>
    <row r="254">
      <c r="A254" s="4" t="str">
        <f>VLOOKUP(L254,payment_ids!C:D,2,FALSE)</f>
        <v>pay_HF5mGhgqBP1q0H</v>
      </c>
      <c r="B254" s="4"/>
      <c r="C254" s="4" t="s">
        <v>2761</v>
      </c>
      <c r="D254" s="4">
        <v>50029.0</v>
      </c>
      <c r="E254" s="4"/>
      <c r="F254" s="4">
        <v>6.0</v>
      </c>
      <c r="G254" s="4">
        <v>349.0</v>
      </c>
      <c r="H254" s="4"/>
      <c r="I254" s="4">
        <v>349.0</v>
      </c>
      <c r="J254" s="4" t="s">
        <v>2842</v>
      </c>
      <c r="K254" s="6">
        <f>+919644191073</f>
        <v>919644191073</v>
      </c>
      <c r="L254" s="4" t="str">
        <f t="shared" si="1"/>
        <v>anveshas03@gmail.com919644191073</v>
      </c>
      <c r="M254" s="10" t="s">
        <v>67</v>
      </c>
      <c r="N254" s="4" t="b">
        <v>0</v>
      </c>
      <c r="O254" s="4" t="str">
        <f>VLOOKUP(A254,payment_ids!D:E,2,FALSE)</f>
        <v>card</v>
      </c>
      <c r="P254" s="4" t="s">
        <v>69</v>
      </c>
      <c r="Q254" s="4" t="s">
        <v>2843</v>
      </c>
      <c r="R254" s="4"/>
      <c r="S254" s="12" t="s">
        <v>2763</v>
      </c>
      <c r="T254" s="4"/>
      <c r="U254" s="4"/>
      <c r="V254" s="11"/>
      <c r="W254" s="4"/>
      <c r="X254" s="11"/>
      <c r="Y254" s="4"/>
      <c r="Z254" s="4"/>
      <c r="AA254" s="4"/>
      <c r="AB254" s="4"/>
      <c r="AC254" s="4"/>
      <c r="AD254" s="4"/>
      <c r="AE254" s="4"/>
      <c r="AF254" s="4"/>
      <c r="AG254" s="4"/>
      <c r="AH254" s="5"/>
      <c r="AI254" s="5"/>
      <c r="AJ254" s="5"/>
      <c r="AK254" s="5"/>
      <c r="AL254" s="5"/>
    </row>
    <row r="255">
      <c r="A255" s="4" t="str">
        <f>VLOOKUP(L255,payment_ids!C:D,2,FALSE)</f>
        <v>pay_HCrNBRV2URkTeu</v>
      </c>
      <c r="B255" s="4"/>
      <c r="C255" s="4" t="s">
        <v>2761</v>
      </c>
      <c r="D255" s="4">
        <v>50029.0</v>
      </c>
      <c r="E255" s="4"/>
      <c r="F255" s="4">
        <v>1.0</v>
      </c>
      <c r="G255" s="4">
        <v>99.0</v>
      </c>
      <c r="H255" s="4"/>
      <c r="I255" s="4">
        <v>99.0</v>
      </c>
      <c r="J255" s="4" t="s">
        <v>2844</v>
      </c>
      <c r="K255" s="6">
        <f>+917093081109</f>
        <v>917093081109</v>
      </c>
      <c r="L255" s="4" t="str">
        <f t="shared" si="1"/>
        <v>scarysai@gmail.com917093081109</v>
      </c>
      <c r="M255" s="10" t="s">
        <v>67</v>
      </c>
      <c r="N255" s="4" t="b">
        <v>0</v>
      </c>
      <c r="O255" s="4" t="str">
        <f>VLOOKUP(A255,payment_ids!D:E,2,FALSE)</f>
        <v>netbanking</v>
      </c>
      <c r="P255" s="4" t="s">
        <v>69</v>
      </c>
      <c r="Q255" s="4" t="s">
        <v>2845</v>
      </c>
      <c r="R255" s="4"/>
      <c r="S255" s="12" t="s">
        <v>2763</v>
      </c>
      <c r="T255" s="4"/>
      <c r="U255" s="4"/>
      <c r="V255" s="11"/>
      <c r="W255" s="4"/>
      <c r="X255" s="11"/>
      <c r="Y255" s="4"/>
      <c r="Z255" s="4"/>
      <c r="AA255" s="4"/>
      <c r="AB255" s="4"/>
      <c r="AC255" s="4"/>
      <c r="AD255" s="4"/>
      <c r="AE255" s="4"/>
      <c r="AF255" s="4"/>
      <c r="AG255" s="4"/>
      <c r="AH255" s="5"/>
      <c r="AI255" s="5"/>
      <c r="AJ255" s="5"/>
      <c r="AK255" s="5"/>
      <c r="AL255" s="5"/>
    </row>
    <row r="256">
      <c r="A256" s="4" t="str">
        <f>VLOOKUP(L256,payment_ids!C:D,2,FALSE)</f>
        <v>pay_HF6af168a5ADtZ</v>
      </c>
      <c r="B256" s="4"/>
      <c r="C256" s="4" t="s">
        <v>2761</v>
      </c>
      <c r="D256" s="4">
        <v>50029.0</v>
      </c>
      <c r="E256" s="5"/>
      <c r="F256" s="4">
        <v>3.0</v>
      </c>
      <c r="G256" s="4">
        <v>199.0</v>
      </c>
      <c r="H256" s="4"/>
      <c r="I256" s="4">
        <v>199.0</v>
      </c>
      <c r="J256" s="4" t="s">
        <v>2846</v>
      </c>
      <c r="K256" s="5">
        <f>+919275139045</f>
        <v>919275139045</v>
      </c>
      <c r="L256" s="4" t="str">
        <f t="shared" si="1"/>
        <v>dr.dev2210@gmail.com919275139045</v>
      </c>
      <c r="M256" s="10" t="s">
        <v>67</v>
      </c>
      <c r="N256" s="4" t="b">
        <v>0</v>
      </c>
      <c r="O256" s="4" t="str">
        <f>VLOOKUP(A256,payment_ids!D:E,2,FALSE)</f>
        <v>upi</v>
      </c>
      <c r="P256" s="4" t="s">
        <v>69</v>
      </c>
      <c r="Q256" s="4" t="s">
        <v>2847</v>
      </c>
      <c r="R256" s="4"/>
      <c r="S256" s="12" t="s">
        <v>2763</v>
      </c>
      <c r="T256" s="5"/>
      <c r="U256" s="4"/>
      <c r="V256" s="11"/>
      <c r="W256" s="4"/>
      <c r="X256" s="11"/>
      <c r="Y256" s="4"/>
      <c r="Z256" s="4"/>
      <c r="AA256" s="4"/>
      <c r="AB256" s="4"/>
      <c r="AC256" s="4"/>
      <c r="AD256" s="4"/>
      <c r="AE256" s="4"/>
      <c r="AF256" s="4"/>
      <c r="AG256" s="4"/>
      <c r="AH256" s="5"/>
      <c r="AI256" s="5"/>
      <c r="AJ256" s="5"/>
      <c r="AK256" s="5"/>
      <c r="AL256" s="5"/>
    </row>
    <row r="257">
      <c r="A257" s="4" t="str">
        <f>VLOOKUP(L257,payment_ids!C:D,2,FALSE)</f>
        <v>pay_HFQ9OMpedwcTED</v>
      </c>
      <c r="B257" s="4"/>
      <c r="C257" s="4" t="s">
        <v>2761</v>
      </c>
      <c r="D257" s="4">
        <v>50029.0</v>
      </c>
      <c r="E257" s="5"/>
      <c r="F257" s="4">
        <v>1.0</v>
      </c>
      <c r="G257" s="4">
        <v>99.0</v>
      </c>
      <c r="H257" s="4"/>
      <c r="I257" s="4">
        <v>99.0</v>
      </c>
      <c r="J257" s="4" t="s">
        <v>2848</v>
      </c>
      <c r="K257" s="5">
        <f>+918861251545</f>
        <v>918861251545</v>
      </c>
      <c r="L257" s="4" t="str">
        <f t="shared" si="1"/>
        <v>nvpavana@gmail.com918861251545</v>
      </c>
      <c r="M257" s="10" t="s">
        <v>67</v>
      </c>
      <c r="N257" s="4" t="b">
        <v>0</v>
      </c>
      <c r="O257" s="4" t="str">
        <f>VLOOKUP(A257,payment_ids!D:E,2,FALSE)</f>
        <v>upi</v>
      </c>
      <c r="P257" s="4" t="s">
        <v>69</v>
      </c>
      <c r="Q257" s="4" t="s">
        <v>2849</v>
      </c>
      <c r="R257" s="4"/>
      <c r="S257" s="12" t="s">
        <v>2763</v>
      </c>
      <c r="T257" s="5"/>
      <c r="U257" s="4"/>
      <c r="V257" s="11"/>
      <c r="W257" s="4"/>
      <c r="X257" s="11"/>
      <c r="Y257" s="4"/>
      <c r="Z257" s="4"/>
      <c r="AA257" s="4"/>
      <c r="AB257" s="4"/>
      <c r="AC257" s="4"/>
      <c r="AD257" s="4"/>
      <c r="AE257" s="4"/>
      <c r="AF257" s="4"/>
      <c r="AG257" s="4"/>
      <c r="AH257" s="5"/>
      <c r="AI257" s="5"/>
      <c r="AJ257" s="5"/>
      <c r="AK257" s="5"/>
      <c r="AL257" s="5"/>
    </row>
    <row r="258">
      <c r="A258" s="4" t="str">
        <f>VLOOKUP(L258,payment_ids!C:D,2,FALSE)</f>
        <v>pay_HFiGaedmmQBPe0</v>
      </c>
      <c r="B258" s="4"/>
      <c r="C258" s="4" t="s">
        <v>2761</v>
      </c>
      <c r="D258" s="4">
        <v>50029.0</v>
      </c>
      <c r="E258" s="5"/>
      <c r="F258" s="4">
        <v>1.0</v>
      </c>
      <c r="G258" s="4">
        <v>99.0</v>
      </c>
      <c r="H258" s="4"/>
      <c r="I258" s="4">
        <v>99.0</v>
      </c>
      <c r="J258" s="4" t="s">
        <v>2850</v>
      </c>
      <c r="K258" s="5">
        <f>+918587922160</f>
        <v>918587922160</v>
      </c>
      <c r="L258" s="4" t="str">
        <f t="shared" si="1"/>
        <v>sereenekour@gmail.com918587922160</v>
      </c>
      <c r="M258" s="10" t="s">
        <v>67</v>
      </c>
      <c r="N258" s="4" t="b">
        <v>0</v>
      </c>
      <c r="O258" s="4" t="str">
        <f>VLOOKUP(A258,payment_ids!D:E,2,FALSE)</f>
        <v>upi</v>
      </c>
      <c r="P258" s="4" t="s">
        <v>69</v>
      </c>
      <c r="Q258" s="4" t="s">
        <v>2851</v>
      </c>
      <c r="R258" s="4"/>
      <c r="S258" s="12" t="s">
        <v>2763</v>
      </c>
      <c r="T258" s="5"/>
      <c r="U258" s="4"/>
      <c r="V258" s="11"/>
      <c r="W258" s="4"/>
      <c r="X258" s="11"/>
      <c r="Y258" s="4"/>
      <c r="Z258" s="4"/>
      <c r="AA258" s="4"/>
      <c r="AB258" s="4"/>
      <c r="AC258" s="4"/>
      <c r="AD258" s="4"/>
      <c r="AE258" s="4"/>
      <c r="AF258" s="4"/>
      <c r="AG258" s="4"/>
      <c r="AH258" s="5"/>
      <c r="AI258" s="5"/>
      <c r="AJ258" s="5"/>
      <c r="AK258" s="5"/>
      <c r="AL258" s="5"/>
    </row>
    <row r="259">
      <c r="A259" s="4" t="str">
        <f>VLOOKUP(L259,payment_ids!C:D,2,FALSE)</f>
        <v>pay_HG6UrY3twRudvD</v>
      </c>
      <c r="B259" s="4"/>
      <c r="C259" s="4" t="s">
        <v>2761</v>
      </c>
      <c r="D259" s="4">
        <v>50029.0</v>
      </c>
      <c r="E259" s="5"/>
      <c r="F259" s="4">
        <v>1.0</v>
      </c>
      <c r="G259" s="4">
        <v>99.0</v>
      </c>
      <c r="H259" s="4"/>
      <c r="I259" s="4">
        <v>99.0</v>
      </c>
      <c r="J259" s="4" t="s">
        <v>2852</v>
      </c>
      <c r="K259" s="5">
        <f>+917498031008</f>
        <v>917498031008</v>
      </c>
      <c r="L259" s="4" t="str">
        <f t="shared" si="1"/>
        <v>bushra.khan555.bk@gmail.com917498031008</v>
      </c>
      <c r="M259" s="10" t="s">
        <v>67</v>
      </c>
      <c r="N259" s="4" t="b">
        <v>0</v>
      </c>
      <c r="O259" s="4" t="str">
        <f>VLOOKUP(A259,payment_ids!D:E,2,FALSE)</f>
        <v>upi</v>
      </c>
      <c r="P259" s="4" t="s">
        <v>69</v>
      </c>
      <c r="Q259" s="4" t="s">
        <v>2853</v>
      </c>
      <c r="R259" s="4"/>
      <c r="S259" s="12" t="s">
        <v>2763</v>
      </c>
      <c r="T259" s="5"/>
      <c r="U259" s="4"/>
      <c r="V259" s="11"/>
      <c r="W259" s="4"/>
      <c r="X259" s="11"/>
      <c r="Y259" s="4"/>
      <c r="Z259" s="4"/>
      <c r="AA259" s="4"/>
      <c r="AB259" s="4"/>
      <c r="AC259" s="4"/>
      <c r="AD259" s="4"/>
      <c r="AE259" s="4"/>
      <c r="AF259" s="4"/>
      <c r="AG259" s="4"/>
      <c r="AH259" s="5"/>
      <c r="AI259" s="5"/>
      <c r="AJ259" s="5"/>
      <c r="AK259" s="5"/>
      <c r="AL259" s="5"/>
    </row>
    <row r="260">
      <c r="A260" s="4" t="str">
        <f>VLOOKUP(L260,payment_ids!C:D,2,FALSE)</f>
        <v>pay_HG7O40n8ZjdIFw</v>
      </c>
      <c r="B260" s="4"/>
      <c r="C260" s="4" t="s">
        <v>2761</v>
      </c>
      <c r="D260" s="4">
        <v>50029.0</v>
      </c>
      <c r="E260" s="5"/>
      <c r="F260" s="4">
        <v>1.0</v>
      </c>
      <c r="G260" s="4">
        <v>99.0</v>
      </c>
      <c r="H260" s="4"/>
      <c r="I260" s="4">
        <v>99.0</v>
      </c>
      <c r="J260" s="4" t="s">
        <v>2854</v>
      </c>
      <c r="K260" s="5">
        <f>+919371366665</f>
        <v>919371366665</v>
      </c>
      <c r="L260" s="4" t="str">
        <f t="shared" si="1"/>
        <v>noopur.jayaswal@gmail.com919371366665</v>
      </c>
      <c r="M260" s="10" t="s">
        <v>67</v>
      </c>
      <c r="N260" s="4" t="b">
        <v>0</v>
      </c>
      <c r="O260" s="4" t="str">
        <f>VLOOKUP(A260,payment_ids!D:E,2,FALSE)</f>
        <v>netbanking</v>
      </c>
      <c r="P260" s="4" t="s">
        <v>69</v>
      </c>
      <c r="Q260" s="4" t="s">
        <v>2855</v>
      </c>
      <c r="R260" s="4"/>
      <c r="S260" s="12" t="s">
        <v>2763</v>
      </c>
      <c r="T260" s="5"/>
      <c r="U260" s="4"/>
      <c r="V260" s="11"/>
      <c r="W260" s="4"/>
      <c r="X260" s="11"/>
      <c r="Y260" s="4"/>
      <c r="Z260" s="4"/>
      <c r="AA260" s="4"/>
      <c r="AB260" s="4"/>
      <c r="AC260" s="4"/>
      <c r="AD260" s="4"/>
      <c r="AE260" s="4"/>
      <c r="AF260" s="4"/>
      <c r="AG260" s="4"/>
      <c r="AH260" s="5"/>
      <c r="AI260" s="5"/>
      <c r="AJ260" s="5"/>
      <c r="AK260" s="5"/>
      <c r="AL260" s="5"/>
    </row>
    <row r="261">
      <c r="A261" s="4" t="str">
        <f>VLOOKUP(L261,payment_ids!C:D,2,FALSE)</f>
        <v>pay_HG9CqjXPg2zjuK</v>
      </c>
      <c r="B261" s="4"/>
      <c r="C261" s="4" t="s">
        <v>2761</v>
      </c>
      <c r="D261" s="4">
        <v>50029.0</v>
      </c>
      <c r="E261" s="5"/>
      <c r="F261" s="4">
        <v>1.0</v>
      </c>
      <c r="G261" s="4">
        <v>99.0</v>
      </c>
      <c r="H261" s="4"/>
      <c r="I261" s="4">
        <v>99.0</v>
      </c>
      <c r="J261" s="4" t="s">
        <v>2856</v>
      </c>
      <c r="K261" s="5">
        <f>+919766854817</f>
        <v>919766854817</v>
      </c>
      <c r="L261" s="4" t="str">
        <f t="shared" si="1"/>
        <v>deepthip.32@gmail.com919766854817</v>
      </c>
      <c r="M261" s="10" t="s">
        <v>67</v>
      </c>
      <c r="N261" s="4" t="b">
        <v>0</v>
      </c>
      <c r="O261" s="4" t="str">
        <f>VLOOKUP(A261,payment_ids!D:E,2,FALSE)</f>
        <v>upi</v>
      </c>
      <c r="P261" s="4" t="s">
        <v>69</v>
      </c>
      <c r="Q261" s="4" t="s">
        <v>2857</v>
      </c>
      <c r="R261" s="4"/>
      <c r="S261" s="12" t="s">
        <v>2763</v>
      </c>
      <c r="T261" s="5"/>
      <c r="U261" s="4"/>
      <c r="V261" s="11"/>
      <c r="W261" s="4"/>
      <c r="X261" s="11"/>
      <c r="Y261" s="4"/>
      <c r="Z261" s="4"/>
      <c r="AA261" s="4"/>
      <c r="AB261" s="4"/>
      <c r="AC261" s="4"/>
      <c r="AD261" s="4"/>
      <c r="AE261" s="4"/>
      <c r="AF261" s="4"/>
      <c r="AG261" s="4"/>
      <c r="AH261" s="5"/>
      <c r="AI261" s="5"/>
      <c r="AJ261" s="5"/>
      <c r="AK261" s="5"/>
      <c r="AL261" s="5"/>
    </row>
    <row r="262">
      <c r="A262" s="4" t="str">
        <f>VLOOKUP(L262,payment_ids!C:D,2,FALSE)</f>
        <v>pay_HGW9PIjsOWXobs</v>
      </c>
      <c r="B262" s="4"/>
      <c r="C262" s="4" t="s">
        <v>2761</v>
      </c>
      <c r="D262" s="4">
        <v>50029.0</v>
      </c>
      <c r="E262" s="5"/>
      <c r="F262" s="4">
        <v>3.0</v>
      </c>
      <c r="G262" s="4">
        <v>199.0</v>
      </c>
      <c r="H262" s="4"/>
      <c r="I262" s="4">
        <v>199.0</v>
      </c>
      <c r="J262" s="4" t="s">
        <v>2858</v>
      </c>
      <c r="K262" s="5">
        <f>+919494314597</f>
        <v>919494314597</v>
      </c>
      <c r="L262" s="4" t="str">
        <f t="shared" si="1"/>
        <v>vinod.meda777@gmail.com919494314597</v>
      </c>
      <c r="M262" s="10" t="s">
        <v>67</v>
      </c>
      <c r="N262" s="4" t="b">
        <v>0</v>
      </c>
      <c r="O262" s="4" t="str">
        <f>VLOOKUP(A262,payment_ids!D:E,2,FALSE)</f>
        <v>upi</v>
      </c>
      <c r="P262" s="4" t="s">
        <v>69</v>
      </c>
      <c r="Q262" s="4" t="s">
        <v>2859</v>
      </c>
      <c r="R262" s="4"/>
      <c r="S262" s="12" t="s">
        <v>2763</v>
      </c>
      <c r="T262" s="5"/>
      <c r="U262" s="4"/>
      <c r="V262" s="11"/>
      <c r="W262" s="4"/>
      <c r="X262" s="11"/>
      <c r="Y262" s="4"/>
      <c r="Z262" s="4"/>
      <c r="AA262" s="4"/>
      <c r="AB262" s="4"/>
      <c r="AC262" s="4"/>
      <c r="AD262" s="4"/>
      <c r="AE262" s="4"/>
      <c r="AF262" s="4"/>
      <c r="AG262" s="4"/>
      <c r="AH262" s="5"/>
      <c r="AI262" s="5"/>
      <c r="AJ262" s="5"/>
      <c r="AK262" s="5"/>
      <c r="AL262" s="5"/>
    </row>
    <row r="263">
      <c r="A263" s="4" t="str">
        <f>VLOOKUP(L263,payment_ids!C:D,2,FALSE)</f>
        <v>pay_HGWfUEKlooz46o</v>
      </c>
      <c r="B263" s="4"/>
      <c r="C263" s="4" t="s">
        <v>2761</v>
      </c>
      <c r="D263" s="4">
        <v>50029.0</v>
      </c>
      <c r="E263" s="5"/>
      <c r="F263" s="4">
        <v>6.0</v>
      </c>
      <c r="G263" s="4">
        <v>349.0</v>
      </c>
      <c r="H263" s="4"/>
      <c r="I263" s="4">
        <v>349.0</v>
      </c>
      <c r="J263" s="4" t="s">
        <v>2860</v>
      </c>
      <c r="K263" s="5">
        <f>+919962717342</f>
        <v>919962717342</v>
      </c>
      <c r="L263" s="4" t="str">
        <f t="shared" si="1"/>
        <v>jay_chennai@ymail.com919962717342</v>
      </c>
      <c r="M263" s="10" t="s">
        <v>67</v>
      </c>
      <c r="N263" s="4" t="b">
        <v>0</v>
      </c>
      <c r="O263" s="4" t="str">
        <f>VLOOKUP(A263,payment_ids!D:E,2,FALSE)</f>
        <v>upi</v>
      </c>
      <c r="P263" s="4" t="s">
        <v>69</v>
      </c>
      <c r="Q263" s="4" t="s">
        <v>2861</v>
      </c>
      <c r="R263" s="4"/>
      <c r="S263" s="12" t="s">
        <v>2763</v>
      </c>
      <c r="T263" s="5"/>
      <c r="U263" s="4"/>
      <c r="V263" s="11"/>
      <c r="W263" s="4"/>
      <c r="X263" s="11"/>
      <c r="Y263" s="4"/>
      <c r="Z263" s="4"/>
      <c r="AA263" s="4"/>
      <c r="AB263" s="4"/>
      <c r="AC263" s="4"/>
      <c r="AD263" s="4"/>
      <c r="AE263" s="4"/>
      <c r="AF263" s="4"/>
      <c r="AG263" s="4"/>
      <c r="AH263" s="5"/>
      <c r="AI263" s="5"/>
      <c r="AJ263" s="5"/>
      <c r="AK263" s="5"/>
      <c r="AL263" s="5"/>
    </row>
    <row r="264">
      <c r="A264" s="4" t="str">
        <f>VLOOKUP(L264,payment_ids!C:D,2,FALSE)</f>
        <v>pay_HGjU5PTTsJqkk0</v>
      </c>
      <c r="B264" s="4"/>
      <c r="C264" s="4" t="s">
        <v>2761</v>
      </c>
      <c r="D264" s="4">
        <v>50029.0</v>
      </c>
      <c r="E264" s="5"/>
      <c r="F264" s="4">
        <v>3.0</v>
      </c>
      <c r="G264" s="4">
        <v>199.0</v>
      </c>
      <c r="H264" s="4"/>
      <c r="I264" s="4">
        <v>199.0</v>
      </c>
      <c r="J264" s="4" t="s">
        <v>2862</v>
      </c>
      <c r="K264" s="5">
        <f>+919087246985</f>
        <v>919087246985</v>
      </c>
      <c r="L264" s="4" t="str">
        <f t="shared" si="1"/>
        <v>robertbennetwankhar@gmail.com919087246985</v>
      </c>
      <c r="M264" s="10" t="s">
        <v>67</v>
      </c>
      <c r="N264" s="4" t="b">
        <v>0</v>
      </c>
      <c r="O264" s="4" t="str">
        <f>VLOOKUP(A264,payment_ids!D:E,2,FALSE)</f>
        <v>upi</v>
      </c>
      <c r="P264" s="4" t="s">
        <v>69</v>
      </c>
      <c r="Q264" s="4" t="s">
        <v>2863</v>
      </c>
      <c r="R264" s="4"/>
      <c r="S264" s="12" t="s">
        <v>2763</v>
      </c>
      <c r="T264" s="5"/>
      <c r="U264" s="4"/>
      <c r="V264" s="11"/>
      <c r="W264" s="4"/>
      <c r="X264" s="11"/>
      <c r="Y264" s="4"/>
      <c r="Z264" s="4"/>
      <c r="AA264" s="4"/>
      <c r="AB264" s="4"/>
      <c r="AC264" s="4"/>
      <c r="AD264" s="4"/>
      <c r="AE264" s="4"/>
      <c r="AF264" s="4"/>
      <c r="AG264" s="4"/>
      <c r="AH264" s="5"/>
      <c r="AI264" s="5"/>
      <c r="AJ264" s="5"/>
      <c r="AK264" s="5"/>
      <c r="AL264" s="5"/>
    </row>
    <row r="265">
      <c r="A265" s="4" t="str">
        <f>VLOOKUP(L265,payment_ids!C:D,2,FALSE)</f>
        <v>pay_HGsbBgMLKpP0eO</v>
      </c>
      <c r="B265" s="4"/>
      <c r="C265" s="4" t="s">
        <v>2761</v>
      </c>
      <c r="D265" s="4">
        <v>50029.0</v>
      </c>
      <c r="E265" s="5"/>
      <c r="F265" s="4">
        <v>6.0</v>
      </c>
      <c r="G265" s="4">
        <v>349.0</v>
      </c>
      <c r="H265" s="4"/>
      <c r="I265" s="4">
        <v>349.0</v>
      </c>
      <c r="J265" s="4" t="s">
        <v>2864</v>
      </c>
      <c r="K265" s="5">
        <f>+919916368294</f>
        <v>919916368294</v>
      </c>
      <c r="L265" s="4" t="str">
        <f t="shared" si="1"/>
        <v>kellmahesh@gmail.com919916368294</v>
      </c>
      <c r="M265" s="10" t="s">
        <v>67</v>
      </c>
      <c r="N265" s="4" t="b">
        <v>0</v>
      </c>
      <c r="O265" s="4" t="str">
        <f>VLOOKUP(A265,payment_ids!D:E,2,FALSE)</f>
        <v>card</v>
      </c>
      <c r="P265" s="4" t="s">
        <v>69</v>
      </c>
      <c r="Q265" s="4" t="s">
        <v>2865</v>
      </c>
      <c r="R265" s="4"/>
      <c r="S265" s="12" t="s">
        <v>2763</v>
      </c>
      <c r="T265" s="5"/>
      <c r="U265" s="4"/>
      <c r="V265" s="11"/>
      <c r="W265" s="4"/>
      <c r="X265" s="11"/>
      <c r="Y265" s="4"/>
      <c r="Z265" s="4"/>
      <c r="AA265" s="4"/>
      <c r="AB265" s="4"/>
      <c r="AC265" s="4"/>
      <c r="AD265" s="4"/>
      <c r="AE265" s="4"/>
      <c r="AF265" s="4"/>
      <c r="AG265" s="4"/>
      <c r="AH265" s="5"/>
      <c r="AI265" s="5"/>
      <c r="AJ265" s="5"/>
      <c r="AK265" s="5"/>
      <c r="AL265" s="5"/>
    </row>
    <row r="266">
      <c r="A266" s="4" t="str">
        <f>VLOOKUP(L266,payment_ids!C:D,2,FALSE)</f>
        <v>pay_HGZGgdECkXG47I</v>
      </c>
      <c r="B266" s="4"/>
      <c r="C266" s="4" t="s">
        <v>2761</v>
      </c>
      <c r="D266" s="4">
        <v>50029.0</v>
      </c>
      <c r="E266" s="5"/>
      <c r="F266" s="4">
        <v>1.0</v>
      </c>
      <c r="G266" s="4">
        <v>99.0</v>
      </c>
      <c r="H266" s="4"/>
      <c r="I266" s="4">
        <v>99.0</v>
      </c>
      <c r="J266" s="4" t="s">
        <v>2866</v>
      </c>
      <c r="K266" s="5">
        <f>+919892867167</f>
        <v>919892867167</v>
      </c>
      <c r="L266" s="4" t="str">
        <f t="shared" si="1"/>
        <v>melbamendonca@gmail.com919892867167</v>
      </c>
      <c r="M266" s="10" t="s">
        <v>67</v>
      </c>
      <c r="N266" s="4" t="b">
        <v>0</v>
      </c>
      <c r="O266" s="4" t="str">
        <f>VLOOKUP(A266,payment_ids!D:E,2,FALSE)</f>
        <v>card</v>
      </c>
      <c r="P266" s="4" t="s">
        <v>69</v>
      </c>
      <c r="Q266" s="4" t="s">
        <v>2867</v>
      </c>
      <c r="R266" s="4"/>
      <c r="S266" s="12" t="s">
        <v>2763</v>
      </c>
      <c r="T266" s="5"/>
      <c r="U266" s="4"/>
      <c r="V266" s="11"/>
      <c r="W266" s="4"/>
      <c r="X266" s="11"/>
      <c r="Y266" s="4"/>
      <c r="Z266" s="4"/>
      <c r="AA266" s="4"/>
      <c r="AB266" s="4"/>
      <c r="AC266" s="4"/>
      <c r="AD266" s="4"/>
      <c r="AE266" s="4"/>
      <c r="AF266" s="4"/>
      <c r="AG266" s="4"/>
      <c r="AH266" s="5"/>
      <c r="AI266" s="5"/>
      <c r="AJ266" s="5"/>
      <c r="AK266" s="5"/>
      <c r="AL266" s="5"/>
    </row>
    <row r="267">
      <c r="A267" s="4" t="str">
        <f>VLOOKUP(L267,payment_ids!C:D,2,FALSE)</f>
        <v>pay_HH3n0V8JiqiLns</v>
      </c>
      <c r="B267" s="4"/>
      <c r="C267" s="4" t="s">
        <v>2761</v>
      </c>
      <c r="D267" s="4">
        <v>50029.0</v>
      </c>
      <c r="E267" s="5"/>
      <c r="F267" s="4">
        <v>1.0</v>
      </c>
      <c r="G267" s="4">
        <v>99.0</v>
      </c>
      <c r="H267" s="4"/>
      <c r="I267" s="4">
        <v>99.0</v>
      </c>
      <c r="J267" s="4" t="s">
        <v>2868</v>
      </c>
      <c r="K267" s="5">
        <f>+919966696981</f>
        <v>919966696981</v>
      </c>
      <c r="L267" s="4" t="str">
        <f t="shared" si="1"/>
        <v>creativefx87@gmail.com919966696981</v>
      </c>
      <c r="M267" s="10" t="s">
        <v>67</v>
      </c>
      <c r="N267" s="4" t="b">
        <v>0</v>
      </c>
      <c r="O267" s="4" t="str">
        <f>VLOOKUP(A267,payment_ids!D:E,2,FALSE)</f>
        <v>upi</v>
      </c>
      <c r="P267" s="4" t="s">
        <v>69</v>
      </c>
      <c r="Q267" s="4" t="s">
        <v>2869</v>
      </c>
      <c r="R267" s="4"/>
      <c r="S267" s="12" t="s">
        <v>2763</v>
      </c>
      <c r="T267" s="5"/>
      <c r="U267" s="4"/>
      <c r="V267" s="11"/>
      <c r="W267" s="4"/>
      <c r="X267" s="11"/>
      <c r="Y267" s="4"/>
      <c r="Z267" s="4"/>
      <c r="AA267" s="4"/>
      <c r="AB267" s="4"/>
      <c r="AC267" s="4"/>
      <c r="AD267" s="4"/>
      <c r="AE267" s="4"/>
      <c r="AF267" s="4"/>
      <c r="AG267" s="4"/>
      <c r="AH267" s="5"/>
      <c r="AI267" s="5"/>
      <c r="AJ267" s="5"/>
      <c r="AK267" s="5"/>
      <c r="AL267" s="5"/>
    </row>
    <row r="268">
      <c r="A268" s="4" t="str">
        <f>VLOOKUP(L268,payment_ids!C:D,2,FALSE)</f>
        <v>pay_HHdAszMcEI5K5q</v>
      </c>
      <c r="B268" s="4"/>
      <c r="C268" s="4" t="s">
        <v>2761</v>
      </c>
      <c r="D268" s="4">
        <v>50029.0</v>
      </c>
      <c r="E268" s="5"/>
      <c r="F268" s="4">
        <v>1.0</v>
      </c>
      <c r="G268" s="4">
        <v>99.0</v>
      </c>
      <c r="H268" s="4"/>
      <c r="I268" s="4">
        <v>99.0</v>
      </c>
      <c r="J268" s="4" t="s">
        <v>2870</v>
      </c>
      <c r="K268" s="5">
        <f>+919834631453</f>
        <v>919834631453</v>
      </c>
      <c r="L268" s="4" t="str">
        <f t="shared" si="1"/>
        <v>globuscurehealthcare@gmail.com919834631453</v>
      </c>
      <c r="M268" s="10" t="s">
        <v>67</v>
      </c>
      <c r="N268" s="4" t="b">
        <v>0</v>
      </c>
      <c r="O268" s="4" t="str">
        <f>VLOOKUP(A268,payment_ids!D:E,2,FALSE)</f>
        <v>upi</v>
      </c>
      <c r="P268" s="4" t="s">
        <v>69</v>
      </c>
      <c r="Q268" s="11">
        <v>44202.333333333336</v>
      </c>
      <c r="R268" s="4"/>
      <c r="S268" s="12" t="s">
        <v>2763</v>
      </c>
      <c r="T268" s="5"/>
      <c r="U268" s="4"/>
      <c r="V268" s="11"/>
      <c r="W268" s="4"/>
      <c r="X268" s="11"/>
      <c r="Y268" s="4"/>
      <c r="Z268" s="4"/>
      <c r="AA268" s="4"/>
      <c r="AB268" s="4"/>
      <c r="AC268" s="4"/>
      <c r="AD268" s="4"/>
      <c r="AE268" s="4"/>
      <c r="AF268" s="4"/>
      <c r="AG268" s="4"/>
      <c r="AH268" s="5"/>
      <c r="AI268" s="5"/>
      <c r="AJ268" s="5"/>
      <c r="AK268" s="5"/>
      <c r="AL268" s="5"/>
    </row>
    <row r="269">
      <c r="A269" s="4" t="str">
        <f>VLOOKUP(L269,payment_ids!C:D,2,FALSE)</f>
        <v>pay_HHnisD0t0ChNRK</v>
      </c>
      <c r="B269" s="4"/>
      <c r="C269" s="4" t="s">
        <v>2761</v>
      </c>
      <c r="D269" s="4">
        <v>50029.0</v>
      </c>
      <c r="E269" s="5"/>
      <c r="F269" s="4">
        <v>1.0</v>
      </c>
      <c r="G269" s="4">
        <v>99.0</v>
      </c>
      <c r="H269" s="4"/>
      <c r="I269" s="4">
        <v>99.0</v>
      </c>
      <c r="J269" s="4" t="s">
        <v>2871</v>
      </c>
      <c r="K269" s="5">
        <f>+919789036189</f>
        <v>919789036189</v>
      </c>
      <c r="L269" s="4" t="str">
        <f t="shared" si="1"/>
        <v>poornamgk@gmail.com919789036189</v>
      </c>
      <c r="M269" s="10" t="s">
        <v>67</v>
      </c>
      <c r="N269" s="4" t="b">
        <v>0</v>
      </c>
      <c r="O269" s="4" t="str">
        <f>VLOOKUP(A269,payment_ids!D:E,2,FALSE)</f>
        <v>upi</v>
      </c>
      <c r="P269" s="4" t="s">
        <v>69</v>
      </c>
      <c r="Q269" s="11">
        <v>44202.763194444444</v>
      </c>
      <c r="R269" s="4"/>
      <c r="S269" s="12" t="s">
        <v>2763</v>
      </c>
      <c r="T269" s="5"/>
      <c r="U269" s="4"/>
      <c r="V269" s="11"/>
      <c r="W269" s="4"/>
      <c r="X269" s="11"/>
      <c r="Y269" s="4"/>
      <c r="Z269" s="4"/>
      <c r="AA269" s="4"/>
      <c r="AB269" s="4"/>
      <c r="AC269" s="4"/>
      <c r="AD269" s="4"/>
      <c r="AE269" s="4"/>
      <c r="AF269" s="4"/>
      <c r="AG269" s="4"/>
      <c r="AH269" s="5"/>
      <c r="AI269" s="5"/>
      <c r="AJ269" s="5"/>
      <c r="AK269" s="5"/>
      <c r="AL269" s="5"/>
    </row>
    <row r="270">
      <c r="A270" s="4" t="str">
        <f>VLOOKUP(L270,payment_ids!C:D,2,FALSE)</f>
        <v>pay_HHnzbmNX0vSLeL</v>
      </c>
      <c r="B270" s="4"/>
      <c r="C270" s="4" t="s">
        <v>2761</v>
      </c>
      <c r="D270" s="4">
        <v>50029.0</v>
      </c>
      <c r="E270" s="5"/>
      <c r="F270" s="4">
        <v>1.0</v>
      </c>
      <c r="G270" s="4">
        <v>99.0</v>
      </c>
      <c r="H270" s="4"/>
      <c r="I270" s="4">
        <v>99.0</v>
      </c>
      <c r="J270" s="4" t="s">
        <v>2872</v>
      </c>
      <c r="K270" s="5">
        <f>+918618856220</f>
        <v>918618856220</v>
      </c>
      <c r="L270" s="4" t="str">
        <f t="shared" si="1"/>
        <v>srijith.asianp@gmail.com918618856220</v>
      </c>
      <c r="M270" s="10" t="s">
        <v>67</v>
      </c>
      <c r="N270" s="4" t="b">
        <v>0</v>
      </c>
      <c r="O270" s="4" t="str">
        <f>VLOOKUP(A270,payment_ids!D:E,2,FALSE)</f>
        <v>upi</v>
      </c>
      <c r="P270" s="4" t="s">
        <v>69</v>
      </c>
      <c r="Q270" s="11">
        <v>44202.775</v>
      </c>
      <c r="R270" s="4"/>
      <c r="S270" s="12" t="s">
        <v>2763</v>
      </c>
      <c r="T270" s="5"/>
      <c r="U270" s="4"/>
      <c r="V270" s="11"/>
      <c r="W270" s="4"/>
      <c r="X270" s="11"/>
      <c r="Y270" s="4"/>
      <c r="Z270" s="4"/>
      <c r="AA270" s="4"/>
      <c r="AB270" s="4"/>
      <c r="AC270" s="4"/>
      <c r="AD270" s="4"/>
      <c r="AE270" s="4"/>
      <c r="AF270" s="4"/>
      <c r="AG270" s="4"/>
      <c r="AH270" s="5"/>
      <c r="AI270" s="5"/>
      <c r="AJ270" s="5"/>
      <c r="AK270" s="5"/>
      <c r="AL270" s="5"/>
    </row>
    <row r="271">
      <c r="A271" s="4" t="str">
        <f>VLOOKUP(L271,payment_ids!C:D,2,FALSE)</f>
        <v>pay_HI2CizWzsbtOYm</v>
      </c>
      <c r="B271" s="4"/>
      <c r="C271" s="4" t="s">
        <v>2761</v>
      </c>
      <c r="D271" s="4">
        <v>50029.0</v>
      </c>
      <c r="E271" s="5"/>
      <c r="F271" s="4">
        <v>1.0</v>
      </c>
      <c r="G271" s="4">
        <v>99.0</v>
      </c>
      <c r="H271" s="4"/>
      <c r="I271" s="4">
        <v>99.0</v>
      </c>
      <c r="J271" s="4" t="s">
        <v>2873</v>
      </c>
      <c r="K271" s="5">
        <f>+917406252191</f>
        <v>917406252191</v>
      </c>
      <c r="L271" s="4" t="str">
        <f t="shared" si="1"/>
        <v>purplesandblues@gmail.com917406252191</v>
      </c>
      <c r="M271" s="10" t="s">
        <v>67</v>
      </c>
      <c r="N271" s="4" t="b">
        <v>0</v>
      </c>
      <c r="O271" s="4" t="str">
        <f>VLOOKUP(A271,payment_ids!D:E,2,FALSE)</f>
        <v>wallet</v>
      </c>
      <c r="P271" s="4" t="s">
        <v>69</v>
      </c>
      <c r="Q271" s="11">
        <v>44233.354166666664</v>
      </c>
      <c r="R271" s="4"/>
      <c r="S271" s="12" t="s">
        <v>2763</v>
      </c>
      <c r="T271" s="5"/>
      <c r="U271" s="4"/>
      <c r="V271" s="11"/>
      <c r="W271" s="4"/>
      <c r="X271" s="11"/>
      <c r="Y271" s="4"/>
      <c r="Z271" s="4"/>
      <c r="AA271" s="4"/>
      <c r="AB271" s="4"/>
      <c r="AC271" s="4"/>
      <c r="AD271" s="4"/>
      <c r="AE271" s="4"/>
      <c r="AF271" s="4"/>
      <c r="AG271" s="4"/>
      <c r="AH271" s="5"/>
      <c r="AI271" s="5"/>
      <c r="AJ271" s="5"/>
      <c r="AK271" s="5"/>
      <c r="AL271" s="5"/>
    </row>
    <row r="272">
      <c r="A272" s="4" t="str">
        <f>VLOOKUP(L272,payment_ids!C:D,2,FALSE)</f>
        <v>pay_HI7PqLqecwAKYY</v>
      </c>
      <c r="B272" s="4"/>
      <c r="C272" s="4" t="s">
        <v>2761</v>
      </c>
      <c r="D272" s="4">
        <v>50029.0</v>
      </c>
      <c r="E272" s="5"/>
      <c r="F272" s="4">
        <v>1.0</v>
      </c>
      <c r="G272" s="4">
        <v>99.0</v>
      </c>
      <c r="H272" s="4"/>
      <c r="I272" s="4">
        <v>99.0</v>
      </c>
      <c r="J272" s="4" t="s">
        <v>2874</v>
      </c>
      <c r="K272" s="5">
        <f>+919809776147</f>
        <v>919809776147</v>
      </c>
      <c r="L272" s="4" t="str">
        <f t="shared" si="1"/>
        <v>vipindaspd@gmail.com919809776147</v>
      </c>
      <c r="M272" s="10" t="s">
        <v>67</v>
      </c>
      <c r="N272" s="4" t="b">
        <v>0</v>
      </c>
      <c r="O272" s="4" t="str">
        <f>VLOOKUP(A272,payment_ids!D:E,2,FALSE)</f>
        <v>upi</v>
      </c>
      <c r="P272" s="4" t="s">
        <v>69</v>
      </c>
      <c r="Q272" s="11">
        <v>44233.56597222222</v>
      </c>
      <c r="R272" s="4"/>
      <c r="S272" s="12" t="s">
        <v>2763</v>
      </c>
      <c r="T272" s="5"/>
      <c r="U272" s="4"/>
      <c r="V272" s="11"/>
      <c r="W272" s="4"/>
      <c r="X272" s="11"/>
      <c r="Y272" s="4"/>
      <c r="Z272" s="4"/>
      <c r="AA272" s="4"/>
      <c r="AB272" s="4"/>
      <c r="AC272" s="4"/>
      <c r="AD272" s="4"/>
      <c r="AE272" s="4"/>
      <c r="AF272" s="4"/>
      <c r="AG272" s="4"/>
      <c r="AH272" s="5"/>
      <c r="AI272" s="5"/>
      <c r="AJ272" s="5"/>
      <c r="AK272" s="5"/>
      <c r="AL272" s="5"/>
    </row>
    <row r="273">
      <c r="A273" s="4" t="str">
        <f>VLOOKUP(L273,payment_ids!C:D,2,FALSE)</f>
        <v>pay_HID8Kic2qI4s7H</v>
      </c>
      <c r="B273" s="4"/>
      <c r="C273" s="4" t="s">
        <v>2761</v>
      </c>
      <c r="D273" s="4">
        <v>50029.0</v>
      </c>
      <c r="E273" s="5"/>
      <c r="F273" s="4">
        <v>1.0</v>
      </c>
      <c r="G273" s="4">
        <v>99.0</v>
      </c>
      <c r="H273" s="4"/>
      <c r="I273" s="4">
        <v>99.0</v>
      </c>
      <c r="J273" s="4" t="s">
        <v>2875</v>
      </c>
      <c r="K273" s="5">
        <f>+919578500007</f>
        <v>919578500007</v>
      </c>
      <c r="L273" s="4" t="str">
        <f t="shared" si="1"/>
        <v>navdeep2000nk@gmail.com919578500007</v>
      </c>
      <c r="M273" s="10" t="s">
        <v>67</v>
      </c>
      <c r="N273" s="4" t="b">
        <v>0</v>
      </c>
      <c r="O273" s="4" t="str">
        <f>VLOOKUP(A273,payment_ids!D:E,2,FALSE)</f>
        <v>upi</v>
      </c>
      <c r="P273" s="4" t="s">
        <v>69</v>
      </c>
      <c r="Q273" s="11">
        <v>44233.8125</v>
      </c>
      <c r="R273" s="4"/>
      <c r="S273" s="12" t="s">
        <v>2876</v>
      </c>
      <c r="T273" s="5"/>
      <c r="U273" s="4"/>
      <c r="V273" s="11"/>
      <c r="W273" s="4"/>
      <c r="X273" s="11"/>
      <c r="Y273" s="4"/>
      <c r="Z273" s="4"/>
      <c r="AA273" s="4"/>
      <c r="AB273" s="4"/>
      <c r="AC273" s="4"/>
      <c r="AD273" s="4"/>
      <c r="AE273" s="4"/>
      <c r="AF273" s="4"/>
      <c r="AG273" s="4"/>
      <c r="AH273" s="5"/>
      <c r="AI273" s="5"/>
      <c r="AJ273" s="5"/>
      <c r="AK273" s="5"/>
      <c r="AL273" s="5"/>
    </row>
    <row r="274">
      <c r="A274" s="4" t="str">
        <f>VLOOKUP(L274,payment_ids!C:D,2,FALSE)</f>
        <v>pay_HIS3sglx1L7pym</v>
      </c>
      <c r="B274" s="4"/>
      <c r="C274" s="4" t="s">
        <v>2761</v>
      </c>
      <c r="D274" s="4">
        <v>50029.0</v>
      </c>
      <c r="E274" s="5"/>
      <c r="F274" s="4">
        <v>1.0</v>
      </c>
      <c r="G274" s="4">
        <v>99.0</v>
      </c>
      <c r="H274" s="4"/>
      <c r="I274" s="4">
        <v>99.0</v>
      </c>
      <c r="J274" s="4" t="s">
        <v>2877</v>
      </c>
      <c r="K274" s="5">
        <f>+918420041265</f>
        <v>918420041265</v>
      </c>
      <c r="L274" s="4" t="str">
        <f t="shared" si="1"/>
        <v>sonupincha.sp@gmail.com918420041265</v>
      </c>
      <c r="M274" s="10" t="s">
        <v>67</v>
      </c>
      <c r="N274" s="4" t="b">
        <v>0</v>
      </c>
      <c r="O274" s="4" t="str">
        <f>VLOOKUP(A274,payment_ids!D:E,2,FALSE)</f>
        <v>upi</v>
      </c>
      <c r="P274" s="4" t="s">
        <v>69</v>
      </c>
      <c r="Q274" s="11">
        <v>44261.407638888886</v>
      </c>
      <c r="R274" s="4"/>
      <c r="S274" s="12" t="s">
        <v>2763</v>
      </c>
      <c r="T274" s="5"/>
      <c r="U274" s="4"/>
      <c r="V274" s="11"/>
      <c r="W274" s="4"/>
      <c r="X274" s="11"/>
      <c r="Y274" s="4"/>
      <c r="Z274" s="4"/>
      <c r="AA274" s="4"/>
      <c r="AB274" s="4"/>
      <c r="AC274" s="4"/>
      <c r="AD274" s="4"/>
      <c r="AE274" s="4"/>
      <c r="AF274" s="4"/>
      <c r="AG274" s="4"/>
      <c r="AH274" s="5"/>
      <c r="AI274" s="5"/>
      <c r="AJ274" s="5"/>
      <c r="AK274" s="5"/>
      <c r="AL274" s="5"/>
    </row>
    <row r="275">
      <c r="A275" s="4" t="str">
        <f>VLOOKUP(L275,payment_ids!C:D,2,FALSE)</f>
        <v>pay_HIaakkQY14pA8z</v>
      </c>
      <c r="B275" s="4"/>
      <c r="C275" s="4" t="s">
        <v>2761</v>
      </c>
      <c r="D275" s="4">
        <v>50029.0</v>
      </c>
      <c r="E275" s="5"/>
      <c r="F275" s="4">
        <v>1.0</v>
      </c>
      <c r="G275" s="4">
        <v>99.0</v>
      </c>
      <c r="H275" s="4"/>
      <c r="I275" s="4">
        <v>99.0</v>
      </c>
      <c r="J275" s="4" t="s">
        <v>2878</v>
      </c>
      <c r="K275" s="5">
        <f>+918885747184</f>
        <v>918885747184</v>
      </c>
      <c r="L275" s="4" t="str">
        <f t="shared" si="1"/>
        <v>sravani1789@gmail.com918885747184</v>
      </c>
      <c r="M275" s="10" t="s">
        <v>67</v>
      </c>
      <c r="N275" s="4" t="b">
        <v>0</v>
      </c>
      <c r="O275" s="4" t="str">
        <f>VLOOKUP(A275,payment_ids!D:E,2,FALSE)</f>
        <v>upi</v>
      </c>
      <c r="P275" s="4" t="s">
        <v>69</v>
      </c>
      <c r="Q275" s="11">
        <v>44261.75555555556</v>
      </c>
      <c r="R275" s="4"/>
      <c r="S275" s="12" t="s">
        <v>2763</v>
      </c>
      <c r="T275" s="5"/>
      <c r="U275" s="4"/>
      <c r="V275" s="11"/>
      <c r="W275" s="4"/>
      <c r="X275" s="11"/>
      <c r="Y275" s="4"/>
      <c r="Z275" s="4"/>
      <c r="AA275" s="4"/>
      <c r="AB275" s="4"/>
      <c r="AC275" s="4"/>
      <c r="AD275" s="4"/>
      <c r="AE275" s="4"/>
      <c r="AF275" s="4"/>
      <c r="AG275" s="4"/>
      <c r="AH275" s="5"/>
      <c r="AI275" s="5"/>
      <c r="AJ275" s="5"/>
      <c r="AK275" s="5"/>
      <c r="AL275" s="5"/>
    </row>
    <row r="276">
      <c r="A276" s="4" t="str">
        <f>VLOOKUP(L276,payment_ids!C:D,2,FALSE)</f>
        <v>pay_HIbuUwHyTn1UfT</v>
      </c>
      <c r="B276" s="4"/>
      <c r="C276" s="4" t="s">
        <v>2761</v>
      </c>
      <c r="D276" s="4">
        <v>50029.0</v>
      </c>
      <c r="E276" s="5"/>
      <c r="F276" s="4">
        <v>6.0</v>
      </c>
      <c r="G276" s="4">
        <v>349.0</v>
      </c>
      <c r="H276" s="4"/>
      <c r="I276" s="4">
        <v>349.0</v>
      </c>
      <c r="J276" s="4" t="s">
        <v>2879</v>
      </c>
      <c r="K276" s="5">
        <f>+919600183034</f>
        <v>919600183034</v>
      </c>
      <c r="L276" s="4" t="str">
        <f t="shared" si="1"/>
        <v>vishnupriya.st@yahoo.com919600183034</v>
      </c>
      <c r="M276" s="10" t="s">
        <v>67</v>
      </c>
      <c r="N276" s="4" t="b">
        <v>0</v>
      </c>
      <c r="O276" s="4" t="str">
        <f>VLOOKUP(A276,payment_ids!D:E,2,FALSE)</f>
        <v>wallet</v>
      </c>
      <c r="P276" s="4" t="s">
        <v>69</v>
      </c>
      <c r="Q276" s="11">
        <v>44261.80972222222</v>
      </c>
      <c r="R276" s="4"/>
      <c r="S276" s="12" t="s">
        <v>2876</v>
      </c>
      <c r="T276" s="5"/>
      <c r="U276" s="4"/>
      <c r="V276" s="11"/>
      <c r="W276" s="4"/>
      <c r="X276" s="11"/>
      <c r="Y276" s="4"/>
      <c r="Z276" s="4"/>
      <c r="AA276" s="4"/>
      <c r="AB276" s="4"/>
      <c r="AC276" s="4"/>
      <c r="AD276" s="4"/>
      <c r="AE276" s="4"/>
      <c r="AF276" s="4"/>
      <c r="AG276" s="4"/>
      <c r="AH276" s="5"/>
      <c r="AI276" s="5"/>
      <c r="AJ276" s="5"/>
      <c r="AK276" s="5"/>
      <c r="AL276" s="5"/>
    </row>
    <row r="277">
      <c r="A277" s="4" t="str">
        <f>VLOOKUP(L277,payment_ids!C:D,2,FALSE)</f>
        <v>pay_HK1EfoqgWNC6At</v>
      </c>
      <c r="B277" s="4"/>
      <c r="C277" s="4" t="s">
        <v>2761</v>
      </c>
      <c r="D277" s="4">
        <v>50029.0</v>
      </c>
      <c r="E277" s="5"/>
      <c r="F277" s="4">
        <v>1.0</v>
      </c>
      <c r="G277" s="4">
        <v>99.0</v>
      </c>
      <c r="H277" s="4"/>
      <c r="I277" s="4">
        <v>99.0</v>
      </c>
      <c r="J277" s="4" t="s">
        <v>2880</v>
      </c>
      <c r="K277" s="5">
        <f>+919945349064</f>
        <v>919945349064</v>
      </c>
      <c r="L277" s="4" t="str">
        <f t="shared" si="1"/>
        <v>shantna37@gmail.com919945349064</v>
      </c>
      <c r="M277" s="10" t="s">
        <v>67</v>
      </c>
      <c r="N277" s="4" t="b">
        <v>0</v>
      </c>
      <c r="O277" s="4" t="str">
        <f>VLOOKUP(A277,payment_ids!D:E,2,FALSE)</f>
        <v>upi</v>
      </c>
      <c r="P277" s="4" t="s">
        <v>69</v>
      </c>
      <c r="Q277" s="11">
        <v>44383.368055555555</v>
      </c>
      <c r="R277" s="4"/>
      <c r="S277" s="12" t="s">
        <v>2763</v>
      </c>
      <c r="T277" s="5"/>
      <c r="U277" s="4"/>
      <c r="V277" s="11"/>
      <c r="W277" s="4"/>
      <c r="X277" s="11"/>
      <c r="Y277" s="4"/>
      <c r="Z277" s="4"/>
      <c r="AA277" s="4"/>
      <c r="AB277" s="4"/>
      <c r="AC277" s="4"/>
      <c r="AD277" s="4"/>
      <c r="AE277" s="4"/>
      <c r="AF277" s="4"/>
      <c r="AG277" s="4"/>
      <c r="AH277" s="5"/>
      <c r="AI277" s="5"/>
      <c r="AJ277" s="5"/>
      <c r="AK277" s="5"/>
      <c r="AL277" s="5"/>
    </row>
    <row r="278">
      <c r="A278" s="4" t="str">
        <f>VLOOKUP(L278,payment_ids!C:D,2,FALSE)</f>
        <v>pay_HKNjeV35vmSn11</v>
      </c>
      <c r="B278" s="4"/>
      <c r="C278" s="4" t="s">
        <v>2761</v>
      </c>
      <c r="D278" s="4">
        <v>50029.0</v>
      </c>
      <c r="E278" s="5"/>
      <c r="F278" s="4">
        <v>3.0</v>
      </c>
      <c r="G278" s="4">
        <v>199.0</v>
      </c>
      <c r="H278" s="4"/>
      <c r="I278" s="4">
        <v>199.0</v>
      </c>
      <c r="J278" s="4" t="s">
        <v>2881</v>
      </c>
      <c r="K278" s="5">
        <f>+919769140082</f>
        <v>919769140082</v>
      </c>
      <c r="L278" s="4" t="str">
        <f t="shared" si="1"/>
        <v>jyotsnavanjankar@gmail.com919769140082</v>
      </c>
      <c r="M278" s="10" t="s">
        <v>67</v>
      </c>
      <c r="N278" s="4" t="b">
        <v>0</v>
      </c>
      <c r="O278" s="4" t="str">
        <f>VLOOKUP(A278,payment_ids!D:E,2,FALSE)</f>
        <v>upi</v>
      </c>
      <c r="P278" s="4" t="s">
        <v>69</v>
      </c>
      <c r="Q278" s="11">
        <v>44414.28611111111</v>
      </c>
      <c r="R278" s="4"/>
      <c r="S278" s="12" t="s">
        <v>2763</v>
      </c>
      <c r="T278" s="5"/>
      <c r="U278" s="4"/>
      <c r="V278" s="11"/>
      <c r="W278" s="4"/>
      <c r="X278" s="11"/>
      <c r="Y278" s="4"/>
      <c r="Z278" s="4"/>
      <c r="AA278" s="4"/>
      <c r="AB278" s="4"/>
      <c r="AC278" s="4"/>
      <c r="AD278" s="4"/>
      <c r="AE278" s="4"/>
      <c r="AF278" s="4"/>
      <c r="AG278" s="4"/>
      <c r="AH278" s="5"/>
      <c r="AI278" s="5"/>
      <c r="AJ278" s="5"/>
      <c r="AK278" s="5"/>
      <c r="AL278" s="5"/>
    </row>
    <row r="279">
      <c r="A279" s="4" t="str">
        <f>VLOOKUP(L279,payment_ids!C:D,2,FALSE)</f>
        <v>pay_HKTHBoBqQZXfGp</v>
      </c>
      <c r="B279" s="4"/>
      <c r="C279" s="4" t="s">
        <v>2761</v>
      </c>
      <c r="D279" s="4">
        <v>50029.0</v>
      </c>
      <c r="E279" s="5"/>
      <c r="F279" s="4">
        <v>1.0</v>
      </c>
      <c r="G279" s="4">
        <v>99.0</v>
      </c>
      <c r="H279" s="4"/>
      <c r="I279" s="4">
        <v>99.0</v>
      </c>
      <c r="J279" s="4" t="s">
        <v>2882</v>
      </c>
      <c r="K279" s="5">
        <f>+919885039353</f>
        <v>919885039353</v>
      </c>
      <c r="L279" s="4" t="str">
        <f t="shared" si="1"/>
        <v>amar75643@gmail.com919885039353</v>
      </c>
      <c r="M279" s="10" t="s">
        <v>67</v>
      </c>
      <c r="N279" s="4" t="b">
        <v>0</v>
      </c>
      <c r="O279" s="4" t="str">
        <f>VLOOKUP(A279,payment_ids!D:E,2,FALSE)</f>
        <v>upi</v>
      </c>
      <c r="P279" s="4" t="s">
        <v>69</v>
      </c>
      <c r="Q279" s="11">
        <v>44414.51180555556</v>
      </c>
      <c r="R279" s="4"/>
      <c r="S279" s="12" t="s">
        <v>2763</v>
      </c>
      <c r="T279" s="5"/>
      <c r="U279" s="4"/>
      <c r="V279" s="11"/>
      <c r="W279" s="4"/>
      <c r="X279" s="11"/>
      <c r="Y279" s="4"/>
      <c r="Z279" s="4"/>
      <c r="AA279" s="4"/>
      <c r="AB279" s="4"/>
      <c r="AC279" s="4"/>
      <c r="AD279" s="4"/>
      <c r="AE279" s="4"/>
      <c r="AF279" s="4"/>
      <c r="AG279" s="4"/>
      <c r="AH279" s="5"/>
      <c r="AI279" s="5"/>
      <c r="AJ279" s="5"/>
      <c r="AK279" s="5"/>
      <c r="AL279" s="5"/>
    </row>
    <row r="280">
      <c r="A280" s="4" t="str">
        <f>VLOOKUP(L280,payment_ids!C:D,2,FALSE)</f>
        <v>pay_HKtmDI1FZU2MjH</v>
      </c>
      <c r="B280" s="4"/>
      <c r="C280" s="4" t="s">
        <v>2761</v>
      </c>
      <c r="D280" s="4">
        <v>50029.0</v>
      </c>
      <c r="E280" s="5"/>
      <c r="F280" s="4">
        <v>1.0</v>
      </c>
      <c r="G280" s="4">
        <v>99.0</v>
      </c>
      <c r="H280" s="4"/>
      <c r="I280" s="4">
        <v>99.0</v>
      </c>
      <c r="J280" s="4" t="s">
        <v>2883</v>
      </c>
      <c r="K280" s="5">
        <f>+917769805000</f>
        <v>917769805000</v>
      </c>
      <c r="L280" s="4" t="str">
        <f t="shared" si="1"/>
        <v>rutujamukne@gmail.com917769805000</v>
      </c>
      <c r="M280" s="10" t="s">
        <v>67</v>
      </c>
      <c r="N280" s="4" t="b">
        <v>0</v>
      </c>
      <c r="O280" s="4" t="str">
        <f>VLOOKUP(A280,payment_ids!D:E,2,FALSE)</f>
        <v>upi</v>
      </c>
      <c r="P280" s="4" t="s">
        <v>69</v>
      </c>
      <c r="Q280" s="11">
        <v>44445.59166666667</v>
      </c>
      <c r="R280" s="4"/>
      <c r="S280" s="12" t="s">
        <v>2763</v>
      </c>
      <c r="T280" s="4" t="s">
        <v>2444</v>
      </c>
      <c r="U280" s="4"/>
      <c r="V280" s="11"/>
      <c r="W280" s="4"/>
      <c r="X280" s="11"/>
      <c r="Y280" s="4"/>
      <c r="Z280" s="4"/>
      <c r="AA280" s="4"/>
      <c r="AB280" s="4"/>
      <c r="AC280" s="4"/>
      <c r="AD280" s="4"/>
      <c r="AE280" s="4"/>
      <c r="AF280" s="4"/>
      <c r="AG280" s="4"/>
      <c r="AH280" s="5"/>
      <c r="AI280" s="5"/>
      <c r="AJ280" s="5"/>
      <c r="AK280" s="5"/>
      <c r="AL280" s="5"/>
    </row>
    <row r="281">
      <c r="A281" s="4" t="str">
        <f>VLOOKUP(L281,payment_ids!C:D,2,FALSE)</f>
        <v>pay_HLEOpnC7bHkm9k</v>
      </c>
      <c r="B281" s="4"/>
      <c r="C281" s="4" t="s">
        <v>2761</v>
      </c>
      <c r="D281" s="4">
        <v>50029.0</v>
      </c>
      <c r="E281" s="5"/>
      <c r="F281" s="4">
        <v>1.0</v>
      </c>
      <c r="G281" s="4">
        <v>99.0</v>
      </c>
      <c r="H281" s="4"/>
      <c r="I281" s="4">
        <v>99.0</v>
      </c>
      <c r="J281" s="4" t="s">
        <v>2884</v>
      </c>
      <c r="K281" s="5">
        <f>+919986932177</f>
        <v>919986932177</v>
      </c>
      <c r="L281" s="4" t="str">
        <f t="shared" si="1"/>
        <v>prabhakar.mourthy@gmail.com919986932177</v>
      </c>
      <c r="M281" s="10" t="s">
        <v>67</v>
      </c>
      <c r="N281" s="4" t="b">
        <v>0</v>
      </c>
      <c r="O281" s="4" t="str">
        <f>VLOOKUP(A281,payment_ids!D:E,2,FALSE)</f>
        <v>upi</v>
      </c>
      <c r="P281" s="4" t="s">
        <v>69</v>
      </c>
      <c r="Q281" s="11">
        <v>44475.43194444444</v>
      </c>
      <c r="R281" s="4"/>
      <c r="S281" s="12" t="s">
        <v>2763</v>
      </c>
      <c r="T281" s="4" t="s">
        <v>2444</v>
      </c>
      <c r="U281" s="4"/>
      <c r="V281" s="11"/>
      <c r="W281" s="4"/>
      <c r="X281" s="11"/>
      <c r="Y281" s="4"/>
      <c r="Z281" s="4"/>
      <c r="AA281" s="4"/>
      <c r="AB281" s="4"/>
      <c r="AC281" s="4"/>
      <c r="AD281" s="4"/>
      <c r="AE281" s="4"/>
      <c r="AF281" s="4"/>
      <c r="AG281" s="4"/>
      <c r="AH281" s="5"/>
      <c r="AI281" s="5"/>
      <c r="AJ281" s="5"/>
      <c r="AK281" s="5"/>
      <c r="AL281" s="5"/>
    </row>
    <row r="282">
      <c r="A282" s="4" t="str">
        <f>VLOOKUP(L282,payment_ids!C:D,2,FALSE)</f>
        <v>pay_HLG0qAK4Ct2Fjj</v>
      </c>
      <c r="B282" s="4"/>
      <c r="C282" s="4" t="s">
        <v>2761</v>
      </c>
      <c r="D282" s="4">
        <v>50029.0</v>
      </c>
      <c r="E282" s="5"/>
      <c r="F282" s="4">
        <v>1.0</v>
      </c>
      <c r="G282" s="4">
        <v>99.0</v>
      </c>
      <c r="H282" s="4"/>
      <c r="I282" s="4">
        <v>99.0</v>
      </c>
      <c r="J282" s="4" t="s">
        <v>2885</v>
      </c>
      <c r="K282" s="5">
        <f t="shared" ref="K282:K283" si="3">+918921529516</f>
        <v>918921529516</v>
      </c>
      <c r="L282" s="4" t="str">
        <f t="shared" si="1"/>
        <v>kanchanajayan2@gmail.com918921529516</v>
      </c>
      <c r="M282" s="10" t="s">
        <v>67</v>
      </c>
      <c r="N282" s="4" t="b">
        <v>0</v>
      </c>
      <c r="O282" s="4" t="str">
        <f>VLOOKUP(A282,payment_ids!D:E,2,FALSE)</f>
        <v>upi</v>
      </c>
      <c r="P282" s="4" t="s">
        <v>69</v>
      </c>
      <c r="Q282" s="11">
        <v>44475.49791666667</v>
      </c>
      <c r="R282" s="4"/>
      <c r="S282" s="12" t="s">
        <v>2763</v>
      </c>
      <c r="T282" s="4" t="s">
        <v>2444</v>
      </c>
      <c r="U282" s="4"/>
      <c r="V282" s="11"/>
      <c r="W282" s="4"/>
      <c r="X282" s="11"/>
      <c r="Y282" s="4"/>
      <c r="Z282" s="4"/>
      <c r="AA282" s="4"/>
      <c r="AB282" s="4"/>
      <c r="AC282" s="4"/>
      <c r="AD282" s="4"/>
      <c r="AE282" s="4"/>
      <c r="AF282" s="4"/>
      <c r="AG282" s="4"/>
      <c r="AH282" s="5"/>
      <c r="AI282" s="5"/>
      <c r="AJ282" s="5"/>
      <c r="AK282" s="5"/>
      <c r="AL282" s="5"/>
    </row>
    <row r="283">
      <c r="A283" s="4" t="str">
        <f>VLOOKUP(L283,payment_ids!C:D,2,FALSE)</f>
        <v>pay_HLG0qAK4Ct2Fjj</v>
      </c>
      <c r="B283" s="4"/>
      <c r="C283" s="4" t="s">
        <v>2761</v>
      </c>
      <c r="D283" s="4">
        <v>50029.0</v>
      </c>
      <c r="E283" s="5"/>
      <c r="F283" s="4">
        <v>1.0</v>
      </c>
      <c r="G283" s="4">
        <v>99.0</v>
      </c>
      <c r="H283" s="4"/>
      <c r="I283" s="4">
        <v>99.0</v>
      </c>
      <c r="J283" s="4" t="s">
        <v>2885</v>
      </c>
      <c r="K283" s="5">
        <f t="shared" si="3"/>
        <v>918921529516</v>
      </c>
      <c r="L283" s="4" t="str">
        <f t="shared" si="1"/>
        <v>kanchanajayan2@gmail.com918921529516</v>
      </c>
      <c r="M283" s="10" t="s">
        <v>67</v>
      </c>
      <c r="N283" s="4" t="b">
        <v>0</v>
      </c>
      <c r="O283" s="4" t="str">
        <f>VLOOKUP(A283,payment_ids!D:E,2,FALSE)</f>
        <v>upi</v>
      </c>
      <c r="P283" s="4" t="s">
        <v>69</v>
      </c>
      <c r="Q283" s="11">
        <v>44475.49791666667</v>
      </c>
      <c r="R283" s="4"/>
      <c r="S283" s="12" t="s">
        <v>2763</v>
      </c>
      <c r="T283" s="4" t="s">
        <v>2444</v>
      </c>
      <c r="U283" s="4"/>
      <c r="V283" s="11"/>
      <c r="W283" s="4"/>
      <c r="X283" s="11"/>
      <c r="Y283" s="4"/>
      <c r="Z283" s="4"/>
      <c r="AA283" s="4"/>
      <c r="AB283" s="4"/>
      <c r="AC283" s="4"/>
      <c r="AD283" s="4"/>
      <c r="AE283" s="4"/>
      <c r="AF283" s="4"/>
      <c r="AG283" s="4"/>
      <c r="AH283" s="5"/>
      <c r="AI283" s="5"/>
      <c r="AJ283" s="5"/>
      <c r="AK283" s="5"/>
      <c r="AL283" s="5"/>
    </row>
    <row r="284">
      <c r="A284" s="4" t="str">
        <f>VLOOKUP(L284,payment_ids!C:D,2,FALSE)</f>
        <v>pay_HLJUEjHfjt2TTu</v>
      </c>
      <c r="B284" s="4"/>
      <c r="C284" s="4" t="s">
        <v>2761</v>
      </c>
      <c r="D284" s="4">
        <v>50029.0</v>
      </c>
      <c r="E284" s="5"/>
      <c r="F284" s="4">
        <v>1.0</v>
      </c>
      <c r="G284" s="4">
        <v>99.0</v>
      </c>
      <c r="H284" s="4"/>
      <c r="I284" s="4">
        <v>99.0</v>
      </c>
      <c r="J284" s="4" t="s">
        <v>2886</v>
      </c>
      <c r="K284" s="5">
        <f>+918288928554</f>
        <v>918288928554</v>
      </c>
      <c r="L284" s="4" t="str">
        <f t="shared" si="1"/>
        <v>mehaksharma2606@gmail.com918288928554</v>
      </c>
      <c r="M284" s="10" t="s">
        <v>67</v>
      </c>
      <c r="N284" s="4" t="b">
        <v>0</v>
      </c>
      <c r="O284" s="4" t="str">
        <f>VLOOKUP(A284,payment_ids!D:E,2,FALSE)</f>
        <v>upi</v>
      </c>
      <c r="P284" s="4" t="s">
        <v>69</v>
      </c>
      <c r="Q284" s="11">
        <v>44475.63958333333</v>
      </c>
      <c r="R284" s="4"/>
      <c r="S284" s="12" t="s">
        <v>2763</v>
      </c>
      <c r="T284" s="4" t="s">
        <v>2444</v>
      </c>
      <c r="U284" s="4"/>
      <c r="V284" s="11"/>
      <c r="W284" s="4"/>
      <c r="X284" s="11"/>
      <c r="Y284" s="4"/>
      <c r="Z284" s="4"/>
      <c r="AA284" s="4"/>
      <c r="AB284" s="4"/>
      <c r="AC284" s="4"/>
      <c r="AD284" s="4"/>
      <c r="AE284" s="4"/>
      <c r="AF284" s="4"/>
      <c r="AG284" s="4"/>
      <c r="AH284" s="5"/>
      <c r="AI284" s="5"/>
      <c r="AJ284" s="5"/>
      <c r="AK284" s="5"/>
      <c r="AL284" s="5"/>
    </row>
    <row r="285">
      <c r="A285" s="4" t="str">
        <f>VLOOKUP(L285,payment_ids!C:D,2,FALSE)</f>
        <v>pay_HLf0iWhcTahfZc</v>
      </c>
      <c r="B285" s="4"/>
      <c r="C285" s="4" t="s">
        <v>2761</v>
      </c>
      <c r="D285" s="4">
        <v>50029.0</v>
      </c>
      <c r="E285" s="5"/>
      <c r="F285" s="4">
        <v>1.0</v>
      </c>
      <c r="G285" s="4">
        <v>99.0</v>
      </c>
      <c r="H285" s="4"/>
      <c r="I285" s="4">
        <v>99.0</v>
      </c>
      <c r="J285" s="4" t="s">
        <v>2887</v>
      </c>
      <c r="K285" s="5">
        <f>+919900872847</f>
        <v>919900872847</v>
      </c>
      <c r="L285" s="4" t="str">
        <f t="shared" si="1"/>
        <v>hegdevinay96@gmail.com919900872847</v>
      </c>
      <c r="M285" s="10" t="s">
        <v>67</v>
      </c>
      <c r="N285" s="4" t="b">
        <v>0</v>
      </c>
      <c r="O285" s="4" t="str">
        <f>VLOOKUP(A285,payment_ids!D:E,2,FALSE)</f>
        <v>upi</v>
      </c>
      <c r="P285" s="4" t="s">
        <v>69</v>
      </c>
      <c r="Q285" s="11">
        <v>44506.51666666667</v>
      </c>
      <c r="R285" s="4"/>
      <c r="S285" s="12" t="s">
        <v>2763</v>
      </c>
      <c r="T285" s="4" t="s">
        <v>2444</v>
      </c>
      <c r="U285" s="4"/>
      <c r="V285" s="11"/>
      <c r="W285" s="4"/>
      <c r="X285" s="11"/>
      <c r="Y285" s="4"/>
      <c r="Z285" s="4"/>
      <c r="AA285" s="4"/>
      <c r="AB285" s="4"/>
      <c r="AC285" s="4"/>
      <c r="AD285" s="4"/>
      <c r="AE285" s="4"/>
      <c r="AF285" s="4"/>
      <c r="AG285" s="4"/>
      <c r="AH285" s="5"/>
      <c r="AI285" s="5"/>
      <c r="AJ285" s="5"/>
      <c r="AK285" s="5"/>
      <c r="AL285" s="5"/>
    </row>
    <row r="286">
      <c r="A286" s="4" t="str">
        <f>VLOOKUP(L286,payment_ids!C:D,2,FALSE)</f>
        <v>pay_HLosRsygZ0Y0Fv</v>
      </c>
      <c r="B286" s="4"/>
      <c r="C286" s="4" t="s">
        <v>2761</v>
      </c>
      <c r="D286" s="4">
        <v>50029.0</v>
      </c>
      <c r="E286" s="5"/>
      <c r="F286" s="4">
        <v>3.0</v>
      </c>
      <c r="G286" s="4">
        <v>199.0</v>
      </c>
      <c r="H286" s="4"/>
      <c r="I286" s="4">
        <v>199.0</v>
      </c>
      <c r="J286" s="4" t="s">
        <v>2888</v>
      </c>
      <c r="K286" s="5">
        <f>+919866931997</f>
        <v>919866931997</v>
      </c>
      <c r="L286" s="4" t="str">
        <f t="shared" si="1"/>
        <v>manasalbodapati@gmail.com919866931997</v>
      </c>
      <c r="M286" s="10" t="s">
        <v>67</v>
      </c>
      <c r="N286" s="4" t="b">
        <v>0</v>
      </c>
      <c r="O286" s="4" t="str">
        <f>VLOOKUP(A286,payment_ids!D:E,2,FALSE)</f>
        <v>upi</v>
      </c>
      <c r="P286" s="4" t="s">
        <v>69</v>
      </c>
      <c r="Q286" s="11">
        <v>44506.91875</v>
      </c>
      <c r="R286" s="4"/>
      <c r="S286" s="12" t="s">
        <v>2763</v>
      </c>
      <c r="T286" s="4" t="s">
        <v>2444</v>
      </c>
      <c r="U286" s="4"/>
      <c r="V286" s="11"/>
      <c r="W286" s="4"/>
      <c r="X286" s="11"/>
      <c r="Y286" s="4"/>
      <c r="Z286" s="4"/>
      <c r="AA286" s="4"/>
      <c r="AB286" s="4"/>
      <c r="AC286" s="4"/>
      <c r="AD286" s="4"/>
      <c r="AE286" s="4"/>
      <c r="AF286" s="4"/>
      <c r="AG286" s="4"/>
      <c r="AH286" s="5"/>
      <c r="AI286" s="5"/>
      <c r="AJ286" s="5"/>
      <c r="AK286" s="5"/>
      <c r="AL286" s="5"/>
    </row>
    <row r="287">
      <c r="A287" s="4" t="str">
        <f>VLOOKUP(L287,payment_ids!C:D,2,FALSE)</f>
        <v>pay_HM3ni82Z3BHgCA</v>
      </c>
      <c r="B287" s="4"/>
      <c r="C287" s="4" t="s">
        <v>2761</v>
      </c>
      <c r="D287" s="4">
        <v>50029.0</v>
      </c>
      <c r="E287" s="5"/>
      <c r="F287" s="4">
        <v>3.0</v>
      </c>
      <c r="G287" s="4">
        <v>199.0</v>
      </c>
      <c r="H287" s="4"/>
      <c r="I287" s="4">
        <v>199.0</v>
      </c>
      <c r="J287" s="4" t="s">
        <v>287</v>
      </c>
      <c r="K287" s="5">
        <f>+919752391479</f>
        <v>919752391479</v>
      </c>
      <c r="L287" s="4" t="str">
        <f t="shared" si="1"/>
        <v>asim.mathur1002@gmail.com919752391479</v>
      </c>
      <c r="M287" s="10" t="s">
        <v>67</v>
      </c>
      <c r="N287" s="4" t="b">
        <v>0</v>
      </c>
      <c r="O287" s="4" t="str">
        <f>VLOOKUP(A287,payment_ids!D:E,2,FALSE)</f>
        <v>upi</v>
      </c>
      <c r="P287" s="4" t="s">
        <v>69</v>
      </c>
      <c r="Q287" s="11">
        <v>44536.527083333334</v>
      </c>
      <c r="R287" s="4"/>
      <c r="S287" s="12" t="s">
        <v>2876</v>
      </c>
      <c r="T287" s="4" t="s">
        <v>2444</v>
      </c>
      <c r="U287" s="4"/>
      <c r="V287" s="11"/>
      <c r="W287" s="4"/>
      <c r="X287" s="11"/>
      <c r="Y287" s="4"/>
      <c r="Z287" s="4"/>
      <c r="AA287" s="4"/>
      <c r="AB287" s="4"/>
      <c r="AC287" s="4"/>
      <c r="AD287" s="4"/>
      <c r="AE287" s="4"/>
      <c r="AF287" s="4"/>
      <c r="AG287" s="4"/>
      <c r="AH287" s="5"/>
      <c r="AI287" s="5"/>
      <c r="AJ287" s="5"/>
      <c r="AK287" s="5"/>
      <c r="AL287" s="5"/>
    </row>
    <row r="288">
      <c r="A288" s="4" t="str">
        <f>VLOOKUP(L288,payment_ids!C:D,2,FALSE)</f>
        <v>pay_HMCfA1A25Upwei</v>
      </c>
      <c r="B288" s="4"/>
      <c r="C288" s="4" t="s">
        <v>2761</v>
      </c>
      <c r="D288" s="4">
        <v>50029.0</v>
      </c>
      <c r="E288" s="5"/>
      <c r="F288" s="4">
        <v>1.0</v>
      </c>
      <c r="G288" s="4">
        <v>99.0</v>
      </c>
      <c r="H288" s="4"/>
      <c r="I288" s="4">
        <v>99.0</v>
      </c>
      <c r="J288" s="4" t="s">
        <v>2889</v>
      </c>
      <c r="K288" s="5">
        <f>+917228888470</f>
        <v>917228888470</v>
      </c>
      <c r="L288" s="4" t="str">
        <f t="shared" si="1"/>
        <v>ysrehaan@gmail.com917228888470</v>
      </c>
      <c r="M288" s="10" t="s">
        <v>67</v>
      </c>
      <c r="N288" s="4" t="b">
        <v>0</v>
      </c>
      <c r="O288" s="4" t="str">
        <f>VLOOKUP(A288,payment_ids!D:E,2,FALSE)</f>
        <v>upi</v>
      </c>
      <c r="P288" s="4" t="s">
        <v>69</v>
      </c>
      <c r="Q288" s="11">
        <v>44536.88888888889</v>
      </c>
      <c r="R288" s="4"/>
      <c r="S288" s="12" t="s">
        <v>2763</v>
      </c>
      <c r="T288" s="4" t="s">
        <v>2444</v>
      </c>
      <c r="U288" s="4"/>
      <c r="V288" s="11"/>
      <c r="W288" s="4"/>
      <c r="X288" s="11"/>
      <c r="Y288" s="4"/>
      <c r="Z288" s="4"/>
      <c r="AA288" s="4"/>
      <c r="AB288" s="4"/>
      <c r="AC288" s="4"/>
      <c r="AD288" s="4"/>
      <c r="AE288" s="4"/>
      <c r="AF288" s="4"/>
      <c r="AG288" s="4"/>
      <c r="AH288" s="5"/>
      <c r="AI288" s="5"/>
      <c r="AJ288" s="5"/>
      <c r="AK288" s="5"/>
      <c r="AL288" s="5"/>
    </row>
    <row r="289">
      <c r="A289" s="4" t="str">
        <f>VLOOKUP(L289,payment_ids!C:D,2,FALSE)</f>
        <v>pay_HICeD6FQvER5BU</v>
      </c>
      <c r="B289" s="4"/>
      <c r="C289" s="4" t="s">
        <v>2761</v>
      </c>
      <c r="D289" s="4">
        <v>50029.0</v>
      </c>
      <c r="E289" s="5"/>
      <c r="F289" s="4">
        <v>6.0</v>
      </c>
      <c r="G289" s="4">
        <v>349.0</v>
      </c>
      <c r="H289" s="4"/>
      <c r="I289" s="4">
        <v>349.0</v>
      </c>
      <c r="J289" s="4" t="s">
        <v>2890</v>
      </c>
      <c r="K289" s="5">
        <f>+917000039027</f>
        <v>917000039027</v>
      </c>
      <c r="L289" s="4" t="str">
        <f t="shared" si="1"/>
        <v>shirshendubharadwaj@gmail.com917000039027</v>
      </c>
      <c r="M289" s="10" t="s">
        <v>67</v>
      </c>
      <c r="N289" s="4" t="b">
        <v>0</v>
      </c>
      <c r="O289" s="4" t="str">
        <f>VLOOKUP(A289,payment_ids!D:E,2,FALSE)</f>
        <v>card</v>
      </c>
      <c r="P289" s="4" t="s">
        <v>69</v>
      </c>
      <c r="Q289" s="11">
        <v>44536.9125</v>
      </c>
      <c r="R289" s="4"/>
      <c r="S289" s="12" t="s">
        <v>2763</v>
      </c>
      <c r="T289" s="4" t="s">
        <v>2444</v>
      </c>
      <c r="U289" s="4"/>
      <c r="V289" s="11"/>
      <c r="W289" s="4"/>
      <c r="X289" s="11"/>
      <c r="Y289" s="4"/>
      <c r="Z289" s="4"/>
      <c r="AA289" s="4"/>
      <c r="AB289" s="4"/>
      <c r="AC289" s="4"/>
      <c r="AD289" s="4"/>
      <c r="AE289" s="4"/>
      <c r="AF289" s="4"/>
      <c r="AG289" s="4"/>
      <c r="AH289" s="5"/>
      <c r="AI289" s="5"/>
      <c r="AJ289" s="5"/>
      <c r="AK289" s="5"/>
      <c r="AL289" s="5"/>
    </row>
    <row r="290">
      <c r="A290" s="4" t="str">
        <f>VLOOKUP(L290,payment_ids!C:D,2,FALSE)</f>
        <v>pay_HMEbgBUuCUinfn</v>
      </c>
      <c r="B290" s="4"/>
      <c r="C290" s="4" t="s">
        <v>2761</v>
      </c>
      <c r="D290" s="4">
        <v>50029.0</v>
      </c>
      <c r="E290" s="5"/>
      <c r="F290" s="4">
        <v>1.0</v>
      </c>
      <c r="G290" s="4">
        <v>99.0</v>
      </c>
      <c r="H290" s="4"/>
      <c r="I290" s="4">
        <v>99.0</v>
      </c>
      <c r="J290" s="4" t="s">
        <v>2891</v>
      </c>
      <c r="K290" s="5">
        <f>+917573044691</f>
        <v>917573044691</v>
      </c>
      <c r="L290" s="4" t="str">
        <f t="shared" si="1"/>
        <v>dharamehta18@gmail.com917573044691</v>
      </c>
      <c r="M290" s="10" t="s">
        <v>67</v>
      </c>
      <c r="N290" s="4" t="b">
        <v>0</v>
      </c>
      <c r="O290" s="4" t="str">
        <f>VLOOKUP(A290,payment_ids!D:E,2,FALSE)</f>
        <v>upi</v>
      </c>
      <c r="P290" s="4" t="s">
        <v>69</v>
      </c>
      <c r="Q290" s="11">
        <v>44536.96875</v>
      </c>
      <c r="R290" s="4"/>
      <c r="S290" s="12" t="s">
        <v>2763</v>
      </c>
      <c r="T290" s="4" t="s">
        <v>2444</v>
      </c>
      <c r="U290" s="4"/>
      <c r="V290" s="11"/>
      <c r="W290" s="4"/>
      <c r="X290" s="11"/>
      <c r="Y290" s="4"/>
      <c r="Z290" s="4"/>
      <c r="AA290" s="4"/>
      <c r="AB290" s="4"/>
      <c r="AC290" s="4"/>
      <c r="AD290" s="4"/>
      <c r="AE290" s="4"/>
      <c r="AF290" s="4"/>
      <c r="AG290" s="4"/>
      <c r="AH290" s="5"/>
      <c r="AI290" s="5"/>
      <c r="AJ290" s="5"/>
      <c r="AK290" s="5"/>
      <c r="AL290" s="5"/>
    </row>
    <row r="291">
      <c r="A291" s="4" t="str">
        <f>VLOOKUP(L291,payment_ids!C:D,2,FALSE)</f>
        <v>pay_HMP8WmrWMcuiHd</v>
      </c>
      <c r="B291" s="4"/>
      <c r="C291" s="4" t="s">
        <v>2761</v>
      </c>
      <c r="D291" s="4">
        <v>50029.0</v>
      </c>
      <c r="E291" s="5"/>
      <c r="F291" s="4">
        <v>1.0</v>
      </c>
      <c r="G291" s="4">
        <v>99.0</v>
      </c>
      <c r="H291" s="4"/>
      <c r="I291" s="4">
        <v>99.0</v>
      </c>
      <c r="J291" s="4" t="s">
        <v>2892</v>
      </c>
      <c r="K291" s="5">
        <f>+917386272829</f>
        <v>917386272829</v>
      </c>
      <c r="L291" s="4" t="str">
        <f t="shared" si="1"/>
        <v>sudha943@gmail.com917386272829</v>
      </c>
      <c r="M291" s="10" t="s">
        <v>67</v>
      </c>
      <c r="N291" s="4" t="b">
        <v>0</v>
      </c>
      <c r="O291" s="4" t="str">
        <f>VLOOKUP(A291,payment_ids!D:E,2,FALSE)</f>
        <v>upi</v>
      </c>
      <c r="P291" s="4" t="s">
        <v>69</v>
      </c>
      <c r="Q291" s="4" t="s">
        <v>2893</v>
      </c>
      <c r="R291" s="4"/>
      <c r="S291" s="12" t="s">
        <v>2763</v>
      </c>
      <c r="T291" s="4" t="s">
        <v>2444</v>
      </c>
      <c r="U291" s="4"/>
      <c r="V291" s="11"/>
      <c r="W291" s="4"/>
      <c r="X291" s="11"/>
      <c r="Y291" s="4"/>
      <c r="Z291" s="4"/>
      <c r="AA291" s="4"/>
      <c r="AB291" s="4"/>
      <c r="AC291" s="4"/>
      <c r="AD291" s="4"/>
      <c r="AE291" s="4"/>
      <c r="AF291" s="4"/>
      <c r="AG291" s="4"/>
      <c r="AH291" s="5"/>
      <c r="AI291" s="5"/>
      <c r="AJ291" s="5"/>
      <c r="AK291" s="5"/>
      <c r="AL291" s="5"/>
    </row>
    <row r="292">
      <c r="A292" s="4" t="str">
        <f>VLOOKUP(L292,payment_ids!C:D,2,FALSE)</f>
        <v>pay_HNEwrm7zuzwgAA</v>
      </c>
      <c r="B292" s="4"/>
      <c r="C292" s="4" t="s">
        <v>2761</v>
      </c>
      <c r="D292" s="4">
        <v>50029.0</v>
      </c>
      <c r="E292" s="5"/>
      <c r="F292" s="4">
        <v>6.0</v>
      </c>
      <c r="G292" s="4">
        <v>349.0</v>
      </c>
      <c r="H292" s="4"/>
      <c r="I292" s="4">
        <v>349.0</v>
      </c>
      <c r="J292" s="4" t="s">
        <v>2894</v>
      </c>
      <c r="K292" s="5">
        <f>+919823384186</f>
        <v>919823384186</v>
      </c>
      <c r="L292" s="4" t="str">
        <f t="shared" si="1"/>
        <v>elizakdutta@gmail.com919823384186</v>
      </c>
      <c r="M292" s="10" t="s">
        <v>67</v>
      </c>
      <c r="N292" s="4" t="b">
        <v>0</v>
      </c>
      <c r="O292" s="4" t="str">
        <f>VLOOKUP(A292,payment_ids!D:E,2,FALSE)</f>
        <v>upi</v>
      </c>
      <c r="P292" s="4" t="s">
        <v>69</v>
      </c>
      <c r="Q292" s="4" t="s">
        <v>2895</v>
      </c>
      <c r="R292" s="4"/>
      <c r="S292" s="12" t="s">
        <v>2876</v>
      </c>
      <c r="T292" s="4" t="s">
        <v>2444</v>
      </c>
      <c r="U292" s="4"/>
      <c r="V292" s="11"/>
      <c r="W292" s="4"/>
      <c r="X292" s="11"/>
      <c r="Y292" s="4"/>
      <c r="Z292" s="4"/>
      <c r="AA292" s="4"/>
      <c r="AB292" s="4"/>
      <c r="AC292" s="4"/>
      <c r="AD292" s="4"/>
      <c r="AE292" s="4"/>
      <c r="AF292" s="4"/>
      <c r="AG292" s="4"/>
      <c r="AH292" s="5"/>
      <c r="AI292" s="5"/>
      <c r="AJ292" s="5"/>
      <c r="AK292" s="5"/>
      <c r="AL292" s="5"/>
    </row>
    <row r="293">
      <c r="A293" s="4" t="str">
        <f>VLOOKUP(L293,payment_ids!C:D,2,FALSE)</f>
        <v>pay_HNRZd3s2tjRsQb</v>
      </c>
      <c r="B293" s="4"/>
      <c r="C293" s="4" t="s">
        <v>2761</v>
      </c>
      <c r="D293" s="4">
        <v>50029.0</v>
      </c>
      <c r="E293" s="5"/>
      <c r="F293" s="4">
        <v>1.0</v>
      </c>
      <c r="G293" s="4">
        <v>99.0</v>
      </c>
      <c r="H293" s="4"/>
      <c r="I293" s="4">
        <v>99.0</v>
      </c>
      <c r="J293" s="4" t="s">
        <v>2896</v>
      </c>
      <c r="K293" s="5">
        <f>+918871512983</f>
        <v>918871512983</v>
      </c>
      <c r="L293" s="4" t="str">
        <f t="shared" si="1"/>
        <v>asasadaf01@gmail.c918871512983</v>
      </c>
      <c r="M293" s="10" t="s">
        <v>67</v>
      </c>
      <c r="N293" s="4" t="b">
        <v>0</v>
      </c>
      <c r="O293" s="4" t="str">
        <f>VLOOKUP(A293,payment_ids!D:E,2,FALSE)</f>
        <v>upi</v>
      </c>
      <c r="P293" s="4" t="s">
        <v>69</v>
      </c>
      <c r="Q293" s="4" t="s">
        <v>2897</v>
      </c>
      <c r="R293" s="4"/>
      <c r="S293" s="12" t="s">
        <v>2876</v>
      </c>
      <c r="T293" s="4" t="s">
        <v>2444</v>
      </c>
      <c r="U293" s="4"/>
      <c r="V293" s="11"/>
      <c r="W293" s="4"/>
      <c r="X293" s="11"/>
      <c r="Y293" s="4"/>
      <c r="Z293" s="4"/>
      <c r="AA293" s="4"/>
      <c r="AB293" s="4"/>
      <c r="AC293" s="4"/>
      <c r="AD293" s="4"/>
      <c r="AE293" s="4"/>
      <c r="AF293" s="4"/>
      <c r="AG293" s="4"/>
      <c r="AH293" s="5"/>
      <c r="AI293" s="5"/>
      <c r="AJ293" s="5"/>
      <c r="AK293" s="5"/>
      <c r="AL293" s="5"/>
    </row>
    <row r="294">
      <c r="A294" s="4" t="str">
        <f>VLOOKUP(L294,payment_ids!C:D,2,FALSE)</f>
        <v>pay_HNom27U1xf91ps</v>
      </c>
      <c r="B294" s="4"/>
      <c r="C294" s="4" t="s">
        <v>2761</v>
      </c>
      <c r="D294" s="4">
        <v>50029.0</v>
      </c>
      <c r="E294" s="5"/>
      <c r="F294" s="4">
        <v>1.0</v>
      </c>
      <c r="G294" s="4">
        <v>99.0</v>
      </c>
      <c r="H294" s="4"/>
      <c r="I294" s="4">
        <v>99.0</v>
      </c>
      <c r="J294" s="4" t="s">
        <v>2898</v>
      </c>
      <c r="K294" s="5">
        <f>+918884543232</f>
        <v>918884543232</v>
      </c>
      <c r="L294" s="4" t="str">
        <f t="shared" si="1"/>
        <v>chandana.vidz@gmail.com918884543232</v>
      </c>
      <c r="M294" s="10" t="s">
        <v>67</v>
      </c>
      <c r="N294" s="4" t="b">
        <v>0</v>
      </c>
      <c r="O294" s="4" t="str">
        <f>VLOOKUP(A294,payment_ids!D:E,2,FALSE)</f>
        <v>upi</v>
      </c>
      <c r="P294" s="4" t="s">
        <v>69</v>
      </c>
      <c r="Q294" s="4" t="s">
        <v>2899</v>
      </c>
      <c r="R294" s="4"/>
      <c r="S294" s="12" t="s">
        <v>2763</v>
      </c>
      <c r="T294" s="4" t="s">
        <v>2444</v>
      </c>
      <c r="U294" s="4"/>
      <c r="V294" s="11"/>
      <c r="W294" s="4"/>
      <c r="X294" s="11"/>
      <c r="Y294" s="4"/>
      <c r="Z294" s="4"/>
      <c r="AA294" s="4"/>
      <c r="AB294" s="4"/>
      <c r="AC294" s="4"/>
      <c r="AD294" s="4"/>
      <c r="AE294" s="4"/>
      <c r="AF294" s="4"/>
      <c r="AG294" s="4"/>
      <c r="AH294" s="5"/>
      <c r="AI294" s="5"/>
      <c r="AJ294" s="5"/>
      <c r="AK294" s="5"/>
      <c r="AL294" s="5"/>
    </row>
    <row r="295">
      <c r="A295" s="4" t="str">
        <f>VLOOKUP(L295,payment_ids!C:D,2,FALSE)</f>
        <v>pay_HBw679QrOF4YjL</v>
      </c>
      <c r="B295" s="4"/>
      <c r="C295" s="4" t="s">
        <v>2761</v>
      </c>
      <c r="D295" s="4">
        <v>50029.0</v>
      </c>
      <c r="E295" s="5"/>
      <c r="F295" s="4">
        <v>3.0</v>
      </c>
      <c r="G295" s="4">
        <v>199.0</v>
      </c>
      <c r="H295" s="4"/>
      <c r="I295" s="4">
        <v>199.0</v>
      </c>
      <c r="J295" s="4" t="s">
        <v>2795</v>
      </c>
      <c r="K295" s="5">
        <f>+917020209901</f>
        <v>917020209901</v>
      </c>
      <c r="L295" s="4" t="str">
        <f t="shared" si="1"/>
        <v>gaikwadabhishek5@gmail.com917020209901</v>
      </c>
      <c r="M295" s="10" t="s">
        <v>67</v>
      </c>
      <c r="N295" s="4" t="b">
        <v>0</v>
      </c>
      <c r="O295" s="4" t="str">
        <f>VLOOKUP(A295,payment_ids!D:E,2,FALSE)</f>
        <v>upi</v>
      </c>
      <c r="P295" s="4" t="s">
        <v>69</v>
      </c>
      <c r="Q295" s="4" t="s">
        <v>2900</v>
      </c>
      <c r="R295" s="4"/>
      <c r="S295" s="12" t="s">
        <v>2763</v>
      </c>
      <c r="T295" s="4" t="s">
        <v>2444</v>
      </c>
      <c r="U295" s="4"/>
      <c r="V295" s="11"/>
      <c r="W295" s="4"/>
      <c r="X295" s="11"/>
      <c r="Y295" s="4"/>
      <c r="Z295" s="4"/>
      <c r="AA295" s="4"/>
      <c r="AB295" s="4"/>
      <c r="AC295" s="4"/>
      <c r="AD295" s="4"/>
      <c r="AE295" s="4"/>
      <c r="AF295" s="4"/>
      <c r="AG295" s="4"/>
      <c r="AH295" s="5"/>
      <c r="AI295" s="5"/>
      <c r="AJ295" s="5"/>
      <c r="AK295" s="5"/>
      <c r="AL295" s="5"/>
    </row>
    <row r="296">
      <c r="A296" s="4" t="str">
        <f>VLOOKUP(L296,payment_ids!C:D,2,FALSE)</f>
        <v>pay_HOE3h3qhH9pk0M</v>
      </c>
      <c r="B296" s="4"/>
      <c r="C296" s="4" t="s">
        <v>2761</v>
      </c>
      <c r="D296" s="4">
        <v>50029.0</v>
      </c>
      <c r="E296" s="5"/>
      <c r="F296" s="4">
        <v>3.0</v>
      </c>
      <c r="G296" s="4">
        <v>199.0</v>
      </c>
      <c r="H296" s="4"/>
      <c r="I296" s="4">
        <v>199.0</v>
      </c>
      <c r="J296" s="4" t="s">
        <v>2901</v>
      </c>
      <c r="K296" s="5">
        <f>+919882251505</f>
        <v>919882251505</v>
      </c>
      <c r="L296" s="4" t="str">
        <f t="shared" si="1"/>
        <v>liveonishan@gmail.com919882251505</v>
      </c>
      <c r="M296" s="10" t="s">
        <v>67</v>
      </c>
      <c r="N296" s="4" t="b">
        <v>0</v>
      </c>
      <c r="O296" s="4" t="str">
        <f>VLOOKUP(A296,payment_ids!D:E,2,FALSE)</f>
        <v>upi</v>
      </c>
      <c r="P296" s="4" t="s">
        <v>69</v>
      </c>
      <c r="Q296" s="4" t="s">
        <v>2902</v>
      </c>
      <c r="R296" s="4"/>
      <c r="S296" s="12" t="s">
        <v>2763</v>
      </c>
      <c r="T296" s="4" t="s">
        <v>2444</v>
      </c>
      <c r="U296" s="4"/>
      <c r="V296" s="11"/>
      <c r="W296" s="4"/>
      <c r="X296" s="11"/>
      <c r="Y296" s="4"/>
      <c r="Z296" s="4"/>
      <c r="AA296" s="4"/>
      <c r="AB296" s="4"/>
      <c r="AC296" s="4"/>
      <c r="AD296" s="4"/>
      <c r="AE296" s="4"/>
      <c r="AF296" s="4"/>
      <c r="AG296" s="4"/>
      <c r="AH296" s="5"/>
      <c r="AI296" s="5"/>
      <c r="AJ296" s="5"/>
      <c r="AK296" s="5"/>
      <c r="AL296" s="5"/>
    </row>
    <row r="297">
      <c r="A297" s="4" t="str">
        <f>VLOOKUP(L297,payment_ids!C:D,2,FALSE)</f>
        <v>pay_HON5u1fwciWQA7</v>
      </c>
      <c r="B297" s="4"/>
      <c r="C297" s="4" t="s">
        <v>2761</v>
      </c>
      <c r="D297" s="4">
        <v>50029.0</v>
      </c>
      <c r="E297" s="5"/>
      <c r="F297" s="4">
        <v>1.0</v>
      </c>
      <c r="G297" s="4">
        <v>99.0</v>
      </c>
      <c r="H297" s="4"/>
      <c r="I297" s="4">
        <v>99.0</v>
      </c>
      <c r="J297" s="4" t="s">
        <v>2903</v>
      </c>
      <c r="K297" s="5">
        <f>+919819810979</f>
        <v>919819810979</v>
      </c>
      <c r="L297" s="4" t="str">
        <f t="shared" si="1"/>
        <v>janhavi.yadwad@gmail.com919819810979</v>
      </c>
      <c r="M297" s="10" t="s">
        <v>67</v>
      </c>
      <c r="N297" s="4" t="b">
        <v>0</v>
      </c>
      <c r="O297" s="4" t="str">
        <f>VLOOKUP(A297,payment_ids!D:E,2,FALSE)</f>
        <v>card</v>
      </c>
      <c r="P297" s="4" t="s">
        <v>69</v>
      </c>
      <c r="Q297" s="4" t="s">
        <v>2904</v>
      </c>
      <c r="R297" s="4"/>
      <c r="S297" s="12" t="s">
        <v>2763</v>
      </c>
      <c r="T297" s="4" t="s">
        <v>2444</v>
      </c>
      <c r="U297" s="4"/>
      <c r="V297" s="11"/>
      <c r="W297" s="4"/>
      <c r="X297" s="11"/>
      <c r="Y297" s="4"/>
      <c r="Z297" s="4"/>
      <c r="AA297" s="4"/>
      <c r="AB297" s="4"/>
      <c r="AC297" s="4"/>
      <c r="AD297" s="4"/>
      <c r="AE297" s="4"/>
      <c r="AF297" s="4"/>
      <c r="AG297" s="4"/>
      <c r="AH297" s="5"/>
      <c r="AI297" s="5"/>
      <c r="AJ297" s="5"/>
      <c r="AK297" s="5"/>
      <c r="AL297" s="5"/>
    </row>
    <row r="298">
      <c r="A298" s="4" t="str">
        <f>VLOOKUP(L298,payment_ids!C:D,2,FALSE)</f>
        <v>pay_HOQvCOTVzpPX82</v>
      </c>
      <c r="B298" s="4"/>
      <c r="C298" s="4" t="s">
        <v>2761</v>
      </c>
      <c r="D298" s="4">
        <v>50029.0</v>
      </c>
      <c r="E298" s="5"/>
      <c r="F298" s="4">
        <v>6.0</v>
      </c>
      <c r="G298" s="4">
        <v>349.0</v>
      </c>
      <c r="H298" s="4"/>
      <c r="I298" s="4">
        <v>349.0</v>
      </c>
      <c r="J298" s="4" t="s">
        <v>2905</v>
      </c>
      <c r="K298" s="5">
        <f>+919916020232</f>
        <v>919916020232</v>
      </c>
      <c r="L298" s="4" t="str">
        <f t="shared" si="1"/>
        <v>sidthegame@gmail.com919916020232</v>
      </c>
      <c r="M298" s="10" t="s">
        <v>67</v>
      </c>
      <c r="N298" s="4" t="b">
        <v>0</v>
      </c>
      <c r="O298" s="4" t="str">
        <f>VLOOKUP(A298,payment_ids!D:E,2,FALSE)</f>
        <v>wallet</v>
      </c>
      <c r="P298" s="4" t="s">
        <v>69</v>
      </c>
      <c r="Q298" s="4" t="s">
        <v>2906</v>
      </c>
      <c r="R298" s="4"/>
      <c r="S298" s="12" t="s">
        <v>2763</v>
      </c>
      <c r="T298" s="4" t="s">
        <v>2444</v>
      </c>
      <c r="U298" s="4"/>
      <c r="V298" s="11"/>
      <c r="W298" s="4"/>
      <c r="X298" s="11"/>
      <c r="Y298" s="4"/>
      <c r="Z298" s="4"/>
      <c r="AA298" s="4"/>
      <c r="AB298" s="4"/>
      <c r="AC298" s="4"/>
      <c r="AD298" s="4"/>
      <c r="AE298" s="4"/>
      <c r="AF298" s="4"/>
      <c r="AG298" s="4"/>
      <c r="AH298" s="5"/>
      <c r="AI298" s="5"/>
      <c r="AJ298" s="5"/>
      <c r="AK298" s="5"/>
      <c r="AL298" s="5"/>
    </row>
    <row r="299">
      <c r="A299" s="4" t="str">
        <f>VLOOKUP(L299,payment_ids!C:D,2,FALSE)</f>
        <v>pay_H7tfEV5loA8BGL</v>
      </c>
      <c r="B299" s="4"/>
      <c r="C299" s="4" t="s">
        <v>2761</v>
      </c>
      <c r="D299" s="4">
        <v>50029.0</v>
      </c>
      <c r="E299" s="5"/>
      <c r="F299" s="4">
        <v>3.0</v>
      </c>
      <c r="G299" s="4">
        <v>199.0</v>
      </c>
      <c r="H299" s="4"/>
      <c r="I299" s="4">
        <v>199.0</v>
      </c>
      <c r="J299" s="4" t="s">
        <v>2768</v>
      </c>
      <c r="K299" s="5">
        <f>+919868133035</f>
        <v>919868133035</v>
      </c>
      <c r="L299" s="4" t="str">
        <f t="shared" si="1"/>
        <v>anjalityagi2014@gmail.com919868133035</v>
      </c>
      <c r="M299" s="10" t="s">
        <v>67</v>
      </c>
      <c r="N299" s="4" t="b">
        <v>0</v>
      </c>
      <c r="O299" s="4" t="str">
        <f>VLOOKUP(A299,payment_ids!D:E,2,FALSE)</f>
        <v>upi</v>
      </c>
      <c r="P299" s="4" t="s">
        <v>69</v>
      </c>
      <c r="Q299" s="4" t="s">
        <v>2907</v>
      </c>
      <c r="R299" s="4"/>
      <c r="S299" s="12" t="s">
        <v>2763</v>
      </c>
      <c r="T299" s="4" t="s">
        <v>2444</v>
      </c>
      <c r="U299" s="4"/>
      <c r="V299" s="11"/>
      <c r="W299" s="4"/>
      <c r="X299" s="11"/>
      <c r="Y299" s="4"/>
      <c r="Z299" s="4"/>
      <c r="AA299" s="4"/>
      <c r="AB299" s="4"/>
      <c r="AC299" s="4"/>
      <c r="AD299" s="4"/>
      <c r="AE299" s="4"/>
      <c r="AF299" s="4"/>
      <c r="AG299" s="4"/>
      <c r="AH299" s="5"/>
      <c r="AI299" s="5"/>
      <c r="AJ299" s="5"/>
      <c r="AK299" s="5"/>
      <c r="AL299" s="5"/>
    </row>
    <row r="300">
      <c r="A300" s="4" t="str">
        <f>VLOOKUP(L300,payment_ids!C:D,2,FALSE)</f>
        <v>pay_HPI59wny7qffTa</v>
      </c>
      <c r="B300" s="4"/>
      <c r="C300" s="4" t="s">
        <v>2761</v>
      </c>
      <c r="D300" s="4">
        <v>50029.0</v>
      </c>
      <c r="E300" s="5"/>
      <c r="F300" s="4">
        <v>1.0</v>
      </c>
      <c r="G300" s="4">
        <v>99.0</v>
      </c>
      <c r="H300" s="4"/>
      <c r="I300" s="4">
        <v>99.0</v>
      </c>
      <c r="J300" s="4" t="s">
        <v>2297</v>
      </c>
      <c r="K300" s="5">
        <f>+919836155541</f>
        <v>919836155541</v>
      </c>
      <c r="L300" s="4" t="str">
        <f t="shared" si="1"/>
        <v>chakrasou@gmail.com919836155541</v>
      </c>
      <c r="M300" s="10" t="s">
        <v>67</v>
      </c>
      <c r="N300" s="4" t="b">
        <v>0</v>
      </c>
      <c r="O300" s="4" t="str">
        <f>VLOOKUP(A300,payment_ids!D:E,2,FALSE)</f>
        <v>upi</v>
      </c>
      <c r="P300" s="4" t="s">
        <v>69</v>
      </c>
      <c r="Q300" s="4" t="s">
        <v>2908</v>
      </c>
      <c r="R300" s="4"/>
      <c r="S300" s="12" t="s">
        <v>2763</v>
      </c>
      <c r="T300" s="4" t="s">
        <v>2444</v>
      </c>
      <c r="U300" s="4"/>
      <c r="V300" s="11"/>
      <c r="W300" s="4"/>
      <c r="X300" s="11"/>
      <c r="Y300" s="4"/>
      <c r="Z300" s="4"/>
      <c r="AA300" s="4"/>
      <c r="AB300" s="4"/>
      <c r="AC300" s="4"/>
      <c r="AD300" s="4"/>
      <c r="AE300" s="4"/>
      <c r="AF300" s="4"/>
      <c r="AG300" s="4"/>
      <c r="AH300" s="5"/>
      <c r="AI300" s="5"/>
      <c r="AJ300" s="5"/>
      <c r="AK300" s="5"/>
      <c r="AL300" s="5"/>
    </row>
    <row r="301">
      <c r="A301" s="4" t="str">
        <f>VLOOKUP(L301,payment_ids!C:D,2,FALSE)</f>
        <v>pay_HPlPG9JLaySSUB</v>
      </c>
      <c r="B301" s="4"/>
      <c r="C301" s="4" t="s">
        <v>2761</v>
      </c>
      <c r="D301" s="4">
        <v>50029.0</v>
      </c>
      <c r="E301" s="5"/>
      <c r="F301" s="4">
        <v>1.0</v>
      </c>
      <c r="G301" s="4">
        <v>99.0</v>
      </c>
      <c r="H301" s="4"/>
      <c r="I301" s="4">
        <v>99.0</v>
      </c>
      <c r="J301" s="4" t="s">
        <v>2909</v>
      </c>
      <c r="K301" s="5">
        <f>+918328425139</f>
        <v>918328425139</v>
      </c>
      <c r="L301" s="4" t="str">
        <f t="shared" si="1"/>
        <v>sunnyyashu178@gmail.com918328425139</v>
      </c>
      <c r="M301" s="10" t="s">
        <v>67</v>
      </c>
      <c r="N301" s="4" t="b">
        <v>0</v>
      </c>
      <c r="O301" s="4" t="str">
        <f>VLOOKUP(A301,payment_ids!D:E,2,FALSE)</f>
        <v>card</v>
      </c>
      <c r="P301" s="4" t="s">
        <v>69</v>
      </c>
      <c r="Q301" s="4" t="s">
        <v>2910</v>
      </c>
      <c r="R301" s="4"/>
      <c r="S301" s="12" t="s">
        <v>2876</v>
      </c>
      <c r="T301" s="4" t="s">
        <v>2444</v>
      </c>
      <c r="U301" s="4"/>
      <c r="V301" s="11"/>
      <c r="W301" s="4"/>
      <c r="X301" s="11"/>
      <c r="Y301" s="4"/>
      <c r="Z301" s="4"/>
      <c r="AA301" s="4"/>
      <c r="AB301" s="4"/>
      <c r="AC301" s="4"/>
      <c r="AD301" s="4"/>
      <c r="AE301" s="4"/>
      <c r="AF301" s="4"/>
      <c r="AG301" s="4"/>
      <c r="AH301" s="5"/>
      <c r="AI301" s="5"/>
      <c r="AJ301" s="5"/>
      <c r="AK301" s="5"/>
      <c r="AL301" s="5"/>
    </row>
    <row r="302">
      <c r="A302" s="4" t="str">
        <f>VLOOKUP(L302,payment_ids!C:D,2,FALSE)</f>
        <v>pay_H952mOHEyQprez</v>
      </c>
      <c r="B302" s="4"/>
      <c r="C302" s="4" t="s">
        <v>2911</v>
      </c>
      <c r="D302" s="4">
        <v>50066.0</v>
      </c>
      <c r="E302" s="4"/>
      <c r="F302" s="4">
        <v>3.0</v>
      </c>
      <c r="G302" s="4">
        <v>399.0</v>
      </c>
      <c r="H302" s="4"/>
      <c r="I302" s="4">
        <v>399.0</v>
      </c>
      <c r="J302" s="4" t="s">
        <v>2912</v>
      </c>
      <c r="K302" s="6">
        <f>+919818705363</f>
        <v>919818705363</v>
      </c>
      <c r="L302" s="4" t="str">
        <f t="shared" si="1"/>
        <v>drkirtigehlot@yahoo.com919818705363</v>
      </c>
      <c r="M302" s="10" t="s">
        <v>67</v>
      </c>
      <c r="N302" s="4" t="b">
        <v>0</v>
      </c>
      <c r="O302" s="4" t="str">
        <f>VLOOKUP(A302,payment_ids!D:E,2,FALSE)</f>
        <v>upi</v>
      </c>
      <c r="P302" s="4" t="s">
        <v>69</v>
      </c>
      <c r="Q302" s="11">
        <v>44474.72638888889</v>
      </c>
      <c r="R302" s="4"/>
      <c r="S302" s="12" t="s">
        <v>2913</v>
      </c>
      <c r="T302" s="4"/>
      <c r="U302" s="4"/>
      <c r="V302" s="11"/>
      <c r="W302" s="4"/>
      <c r="X302" s="11"/>
      <c r="Y302" s="4"/>
      <c r="Z302" s="4"/>
      <c r="AA302" s="4"/>
      <c r="AB302" s="4"/>
      <c r="AC302" s="4"/>
      <c r="AD302" s="4"/>
      <c r="AE302" s="4"/>
      <c r="AF302" s="4"/>
      <c r="AG302" s="4"/>
      <c r="AH302" s="5"/>
      <c r="AI302" s="5"/>
      <c r="AJ302" s="5"/>
      <c r="AK302" s="5"/>
      <c r="AL302" s="5"/>
    </row>
    <row r="303">
      <c r="A303" s="4" t="str">
        <f>VLOOKUP(L303,payment_ids!C:D,2,FALSE)</f>
        <v>pay_H95OCYb0uqiQZw</v>
      </c>
      <c r="B303" s="4"/>
      <c r="C303" s="4" t="s">
        <v>2911</v>
      </c>
      <c r="D303" s="4">
        <v>50066.0</v>
      </c>
      <c r="E303" s="4"/>
      <c r="F303" s="4">
        <v>6.0</v>
      </c>
      <c r="G303" s="4">
        <v>599.0</v>
      </c>
      <c r="H303" s="4"/>
      <c r="I303" s="4">
        <v>599.0</v>
      </c>
      <c r="J303" s="4" t="s">
        <v>2914</v>
      </c>
      <c r="K303" s="6">
        <f>+919623275666</f>
        <v>919623275666</v>
      </c>
      <c r="L303" s="4" t="str">
        <f t="shared" si="1"/>
        <v>ashutosh.phadke@outlook.com919623275666</v>
      </c>
      <c r="M303" s="10" t="s">
        <v>67</v>
      </c>
      <c r="N303" s="4" t="b">
        <v>0</v>
      </c>
      <c r="O303" s="4" t="str">
        <f>VLOOKUP(A303,payment_ids!D:E,2,FALSE)</f>
        <v>upi</v>
      </c>
      <c r="P303" s="4" t="s">
        <v>69</v>
      </c>
      <c r="Q303" s="11">
        <v>44474.739583333336</v>
      </c>
      <c r="R303" s="4"/>
      <c r="S303" s="12" t="s">
        <v>2913</v>
      </c>
      <c r="T303" s="4"/>
      <c r="U303" s="4"/>
      <c r="V303" s="11"/>
      <c r="W303" s="4"/>
      <c r="X303" s="11"/>
      <c r="Y303" s="4"/>
      <c r="Z303" s="4"/>
      <c r="AA303" s="4"/>
      <c r="AB303" s="4"/>
      <c r="AC303" s="4"/>
      <c r="AD303" s="4"/>
      <c r="AE303" s="4"/>
      <c r="AF303" s="4"/>
      <c r="AG303" s="4"/>
      <c r="AH303" s="5"/>
      <c r="AI303" s="5"/>
      <c r="AJ303" s="5"/>
      <c r="AK303" s="5"/>
      <c r="AL303" s="5"/>
    </row>
    <row r="304">
      <c r="A304" s="4" t="str">
        <f>VLOOKUP(L304,payment_ids!C:D,2,FALSE)</f>
        <v>pay_H95d8zkSYzoZZw</v>
      </c>
      <c r="B304" s="4"/>
      <c r="C304" s="4" t="s">
        <v>2911</v>
      </c>
      <c r="D304" s="4">
        <v>50066.0</v>
      </c>
      <c r="E304" s="4"/>
      <c r="F304" s="4">
        <v>6.0</v>
      </c>
      <c r="G304" s="4">
        <v>599.0</v>
      </c>
      <c r="H304" s="4"/>
      <c r="I304" s="4">
        <v>599.0</v>
      </c>
      <c r="J304" s="4" t="s">
        <v>2915</v>
      </c>
      <c r="K304" s="6">
        <f>+919920996619</f>
        <v>919920996619</v>
      </c>
      <c r="L304" s="4" t="str">
        <f t="shared" si="1"/>
        <v>sumedhapunkar@gmail.com919920996619</v>
      </c>
      <c r="M304" s="10" t="s">
        <v>67</v>
      </c>
      <c r="N304" s="4" t="b">
        <v>0</v>
      </c>
      <c r="O304" s="4" t="str">
        <f>VLOOKUP(A304,payment_ids!D:E,2,FALSE)</f>
        <v>card</v>
      </c>
      <c r="P304" s="4" t="s">
        <v>69</v>
      </c>
      <c r="Q304" s="11">
        <v>44474.74930555555</v>
      </c>
      <c r="R304" s="4"/>
      <c r="S304" s="12" t="s">
        <v>2913</v>
      </c>
      <c r="T304" s="4"/>
      <c r="U304" s="4"/>
      <c r="V304" s="11"/>
      <c r="W304" s="4"/>
      <c r="X304" s="11"/>
      <c r="Y304" s="4"/>
      <c r="Z304" s="4"/>
      <c r="AA304" s="4"/>
      <c r="AB304" s="4"/>
      <c r="AC304" s="4"/>
      <c r="AD304" s="4"/>
      <c r="AE304" s="4"/>
      <c r="AF304" s="4"/>
      <c r="AG304" s="4"/>
      <c r="AH304" s="5"/>
      <c r="AI304" s="5"/>
      <c r="AJ304" s="5"/>
      <c r="AK304" s="5"/>
      <c r="AL304" s="5"/>
    </row>
    <row r="305">
      <c r="A305" s="4" t="str">
        <f>VLOOKUP(L305,payment_ids!C:D,2,FALSE)</f>
        <v>pay_H96AgOMza0aMjd</v>
      </c>
      <c r="B305" s="4"/>
      <c r="C305" s="4" t="s">
        <v>2911</v>
      </c>
      <c r="D305" s="4">
        <v>50066.0</v>
      </c>
      <c r="E305" s="4"/>
      <c r="F305" s="4">
        <v>1.0</v>
      </c>
      <c r="G305" s="4">
        <v>199.0</v>
      </c>
      <c r="H305" s="4"/>
      <c r="I305" s="4">
        <v>199.0</v>
      </c>
      <c r="J305" s="4" t="s">
        <v>2916</v>
      </c>
      <c r="K305" s="6">
        <f>+919592142724</f>
        <v>919592142724</v>
      </c>
      <c r="L305" s="4" t="str">
        <f t="shared" si="1"/>
        <v>ujjwalakasbekar70@gmail.com919592142724</v>
      </c>
      <c r="M305" s="10" t="s">
        <v>67</v>
      </c>
      <c r="N305" s="4" t="b">
        <v>0</v>
      </c>
      <c r="O305" s="4" t="str">
        <f>VLOOKUP(A305,payment_ids!D:E,2,FALSE)</f>
        <v>upi</v>
      </c>
      <c r="P305" s="4" t="s">
        <v>69</v>
      </c>
      <c r="Q305" s="11">
        <v>44474.813888888886</v>
      </c>
      <c r="R305" s="4"/>
      <c r="S305" s="12" t="s">
        <v>2913</v>
      </c>
      <c r="T305" s="4"/>
      <c r="U305" s="4"/>
      <c r="V305" s="11"/>
      <c r="W305" s="4"/>
      <c r="X305" s="11"/>
      <c r="Y305" s="4"/>
      <c r="Z305" s="4"/>
      <c r="AA305" s="4"/>
      <c r="AB305" s="4"/>
      <c r="AC305" s="4"/>
      <c r="AD305" s="4"/>
      <c r="AE305" s="4"/>
      <c r="AF305" s="4"/>
      <c r="AG305" s="4"/>
      <c r="AH305" s="5"/>
      <c r="AI305" s="5"/>
      <c r="AJ305" s="5"/>
      <c r="AK305" s="5"/>
      <c r="AL305" s="5"/>
    </row>
    <row r="306">
      <c r="A306" s="4" t="str">
        <f>VLOOKUP(L306,payment_ids!C:D,2,FALSE)</f>
        <v>pay_H9O7ZkVMGkNQF4</v>
      </c>
      <c r="B306" s="4"/>
      <c r="C306" s="4" t="s">
        <v>2911</v>
      </c>
      <c r="D306" s="4">
        <v>50066.0</v>
      </c>
      <c r="E306" s="4"/>
      <c r="F306" s="4">
        <v>6.0</v>
      </c>
      <c r="G306" s="4">
        <v>599.0</v>
      </c>
      <c r="H306" s="4"/>
      <c r="I306" s="4">
        <v>599.0</v>
      </c>
      <c r="J306" s="4" t="s">
        <v>2917</v>
      </c>
      <c r="K306" s="6">
        <f>+919560291944</f>
        <v>919560291944</v>
      </c>
      <c r="L306" s="4" t="str">
        <f t="shared" si="1"/>
        <v>am3100753@gmail.com919560291944</v>
      </c>
      <c r="M306" s="10" t="s">
        <v>67</v>
      </c>
      <c r="N306" s="4" t="b">
        <v>0</v>
      </c>
      <c r="O306" s="4" t="str">
        <f>VLOOKUP(A306,payment_ids!D:E,2,FALSE)</f>
        <v>wallet</v>
      </c>
      <c r="P306" s="4" t="s">
        <v>69</v>
      </c>
      <c r="Q306" s="11">
        <v>44505.54305555556</v>
      </c>
      <c r="R306" s="4"/>
      <c r="S306" s="12" t="s">
        <v>2913</v>
      </c>
      <c r="T306" s="4"/>
      <c r="U306" s="4"/>
      <c r="V306" s="11"/>
      <c r="W306" s="4"/>
      <c r="X306" s="11"/>
      <c r="Y306" s="4"/>
      <c r="Z306" s="4"/>
      <c r="AA306" s="4"/>
      <c r="AB306" s="4"/>
      <c r="AC306" s="4"/>
      <c r="AD306" s="4"/>
      <c r="AE306" s="4"/>
      <c r="AF306" s="4"/>
      <c r="AG306" s="4"/>
      <c r="AH306" s="5"/>
      <c r="AI306" s="5"/>
      <c r="AJ306" s="5"/>
      <c r="AK306" s="5"/>
      <c r="AL306" s="5"/>
    </row>
    <row r="307">
      <c r="A307" s="4" t="str">
        <f>VLOOKUP(L307,payment_ids!C:D,2,FALSE)</f>
        <v>pay_H94y8Rix062pKR</v>
      </c>
      <c r="B307" s="4"/>
      <c r="C307" s="4" t="s">
        <v>2911</v>
      </c>
      <c r="D307" s="4">
        <v>50066.0</v>
      </c>
      <c r="E307" s="4"/>
      <c r="F307" s="4">
        <v>6.0</v>
      </c>
      <c r="G307" s="4">
        <v>599.0</v>
      </c>
      <c r="H307" s="4"/>
      <c r="I307" s="4">
        <v>599.0</v>
      </c>
      <c r="J307" s="4" t="s">
        <v>2918</v>
      </c>
      <c r="K307" s="6">
        <f>+919511794862</f>
        <v>919511794862</v>
      </c>
      <c r="L307" s="4" t="str">
        <f t="shared" si="1"/>
        <v>joecoolvikram@gmail.com919511794862</v>
      </c>
      <c r="M307" s="10" t="s">
        <v>67</v>
      </c>
      <c r="N307" s="4" t="b">
        <v>0</v>
      </c>
      <c r="O307" s="4" t="str">
        <f>VLOOKUP(A307,payment_ids!D:E,2,FALSE)</f>
        <v>wallet</v>
      </c>
      <c r="P307" s="4" t="s">
        <v>69</v>
      </c>
      <c r="Q307" s="11">
        <v>44505.649305555555</v>
      </c>
      <c r="R307" s="4"/>
      <c r="S307" s="12" t="s">
        <v>2913</v>
      </c>
      <c r="T307" s="4"/>
      <c r="U307" s="4"/>
      <c r="V307" s="11"/>
      <c r="W307" s="4"/>
      <c r="X307" s="11"/>
      <c r="Y307" s="4"/>
      <c r="Z307" s="4"/>
      <c r="AA307" s="4"/>
      <c r="AB307" s="4"/>
      <c r="AC307" s="4"/>
      <c r="AD307" s="4"/>
      <c r="AE307" s="4"/>
      <c r="AF307" s="4"/>
      <c r="AG307" s="4"/>
      <c r="AH307" s="5"/>
      <c r="AI307" s="5"/>
      <c r="AJ307" s="5"/>
      <c r="AK307" s="5"/>
      <c r="AL307" s="5"/>
    </row>
    <row r="308">
      <c r="A308" s="4" t="str">
        <f>VLOOKUP(L308,payment_ids!C:D,2,FALSE)</f>
        <v>pay_H9TvWJmP3DMV9p</v>
      </c>
      <c r="B308" s="4"/>
      <c r="C308" s="4" t="s">
        <v>2911</v>
      </c>
      <c r="D308" s="4">
        <v>50066.0</v>
      </c>
      <c r="E308" s="4"/>
      <c r="F308" s="4">
        <v>1.0</v>
      </c>
      <c r="G308" s="4">
        <v>199.0</v>
      </c>
      <c r="H308" s="4"/>
      <c r="I308" s="4">
        <v>199.0</v>
      </c>
      <c r="J308" s="4" t="s">
        <v>2919</v>
      </c>
      <c r="K308" s="6">
        <f>+919466128319</f>
        <v>919466128319</v>
      </c>
      <c r="L308" s="4" t="str">
        <f t="shared" si="1"/>
        <v>ronakdahiya8@gmail.com919466128319</v>
      </c>
      <c r="M308" s="10" t="s">
        <v>67</v>
      </c>
      <c r="N308" s="4" t="b">
        <v>0</v>
      </c>
      <c r="O308" s="4" t="str">
        <f>VLOOKUP(A308,payment_ids!D:E,2,FALSE)</f>
        <v>wallet</v>
      </c>
      <c r="P308" s="4" t="s">
        <v>69</v>
      </c>
      <c r="Q308" s="11">
        <v>44505.740277777775</v>
      </c>
      <c r="R308" s="4"/>
      <c r="S308" s="12" t="s">
        <v>2913</v>
      </c>
      <c r="T308" s="4"/>
      <c r="U308" s="4"/>
      <c r="V308" s="11"/>
      <c r="W308" s="4"/>
      <c r="X308" s="11"/>
      <c r="Y308" s="4"/>
      <c r="Z308" s="4"/>
      <c r="AA308" s="4"/>
      <c r="AB308" s="4"/>
      <c r="AC308" s="4"/>
      <c r="AD308" s="4"/>
      <c r="AE308" s="4"/>
      <c r="AF308" s="4"/>
      <c r="AG308" s="4"/>
      <c r="AH308" s="5"/>
      <c r="AI308" s="5"/>
      <c r="AJ308" s="5"/>
      <c r="AK308" s="5"/>
      <c r="AL308" s="5"/>
    </row>
    <row r="309">
      <c r="A309" s="4" t="str">
        <f>VLOOKUP(L309,payment_ids!C:D,2,FALSE)</f>
        <v>pay_H9I87XBqaHPqw1</v>
      </c>
      <c r="B309" s="4"/>
      <c r="C309" s="4" t="s">
        <v>2911</v>
      </c>
      <c r="D309" s="4">
        <v>50066.0</v>
      </c>
      <c r="E309" s="4"/>
      <c r="F309" s="4">
        <v>6.0</v>
      </c>
      <c r="G309" s="4">
        <v>599.0</v>
      </c>
      <c r="H309" s="4"/>
      <c r="I309" s="4">
        <v>599.0</v>
      </c>
      <c r="J309" s="4" t="s">
        <v>2920</v>
      </c>
      <c r="K309" s="6">
        <f>+917506179949</f>
        <v>917506179949</v>
      </c>
      <c r="L309" s="4" t="str">
        <f t="shared" si="1"/>
        <v>madhavisoham7@gmail.com917506179949</v>
      </c>
      <c r="M309" s="10" t="s">
        <v>67</v>
      </c>
      <c r="N309" s="4" t="b">
        <v>0</v>
      </c>
      <c r="O309" s="4" t="str">
        <f>VLOOKUP(A309,payment_ids!D:E,2,FALSE)</f>
        <v>netbanking</v>
      </c>
      <c r="P309" s="4" t="s">
        <v>69</v>
      </c>
      <c r="Q309" s="11">
        <v>44505.25902777778</v>
      </c>
      <c r="R309" s="4"/>
      <c r="S309" s="12" t="s">
        <v>2913</v>
      </c>
      <c r="T309" s="4"/>
      <c r="U309" s="4"/>
      <c r="V309" s="11"/>
      <c r="W309" s="4"/>
      <c r="X309" s="11"/>
      <c r="Y309" s="4"/>
      <c r="Z309" s="4"/>
      <c r="AA309" s="4"/>
      <c r="AB309" s="4"/>
      <c r="AC309" s="4"/>
      <c r="AD309" s="4"/>
      <c r="AE309" s="4"/>
      <c r="AF309" s="4"/>
      <c r="AG309" s="4"/>
      <c r="AH309" s="5"/>
      <c r="AI309" s="5"/>
      <c r="AJ309" s="5"/>
      <c r="AK309" s="5"/>
      <c r="AL309" s="5"/>
    </row>
    <row r="310">
      <c r="A310" s="4" t="str">
        <f>VLOOKUP(L310,payment_ids!C:D,2,FALSE)</f>
        <v>pay_H9WTwnqu1VDaQt</v>
      </c>
      <c r="B310" s="4"/>
      <c r="C310" s="4" t="s">
        <v>2911</v>
      </c>
      <c r="D310" s="4">
        <v>50066.0</v>
      </c>
      <c r="E310" s="4"/>
      <c r="F310" s="4">
        <v>3.0</v>
      </c>
      <c r="G310" s="4">
        <v>399.0</v>
      </c>
      <c r="H310" s="4"/>
      <c r="I310" s="4">
        <v>399.0</v>
      </c>
      <c r="J310" s="4" t="s">
        <v>2921</v>
      </c>
      <c r="K310" s="6">
        <f>+919962025450</f>
        <v>919962025450</v>
      </c>
      <c r="L310" s="4" t="str">
        <f t="shared" si="1"/>
        <v>snvetri@gmail.com919962025450</v>
      </c>
      <c r="M310" s="10" t="s">
        <v>67</v>
      </c>
      <c r="N310" s="4" t="b">
        <v>0</v>
      </c>
      <c r="O310" s="4" t="str">
        <f>VLOOKUP(A310,payment_ids!D:E,2,FALSE)</f>
        <v>upi</v>
      </c>
      <c r="P310" s="4" t="s">
        <v>69</v>
      </c>
      <c r="Q310" s="11">
        <v>44505.84444444445</v>
      </c>
      <c r="R310" s="4"/>
      <c r="S310" s="12" t="s">
        <v>2913</v>
      </c>
      <c r="T310" s="4"/>
      <c r="U310" s="4"/>
      <c r="V310" s="11"/>
      <c r="W310" s="4"/>
      <c r="X310" s="11"/>
      <c r="Y310" s="4"/>
      <c r="Z310" s="4"/>
      <c r="AA310" s="4"/>
      <c r="AB310" s="4"/>
      <c r="AC310" s="4"/>
      <c r="AD310" s="4"/>
      <c r="AE310" s="4"/>
      <c r="AF310" s="4"/>
      <c r="AG310" s="4"/>
      <c r="AH310" s="5"/>
      <c r="AI310" s="5"/>
      <c r="AJ310" s="5"/>
      <c r="AK310" s="5"/>
      <c r="AL310" s="5"/>
    </row>
    <row r="311">
      <c r="A311" s="4" t="str">
        <f>VLOOKUP(L311,payment_ids!C:D,2,FALSE)</f>
        <v>pay_H9YKShkiwcR05U</v>
      </c>
      <c r="B311" s="4"/>
      <c r="C311" s="4" t="s">
        <v>2911</v>
      </c>
      <c r="D311" s="4">
        <v>50066.0</v>
      </c>
      <c r="E311" s="4"/>
      <c r="F311" s="4">
        <v>6.0</v>
      </c>
      <c r="G311" s="4">
        <v>599.0</v>
      </c>
      <c r="H311" s="4"/>
      <c r="I311" s="4">
        <v>599.0</v>
      </c>
      <c r="J311" s="4" t="s">
        <v>2922</v>
      </c>
      <c r="K311" s="6">
        <f>+919757231721</f>
        <v>919757231721</v>
      </c>
      <c r="L311" s="4" t="str">
        <f t="shared" si="1"/>
        <v>its_prabha@rediffmail.com919757231721</v>
      </c>
      <c r="M311" s="10" t="s">
        <v>67</v>
      </c>
      <c r="N311" s="4" t="b">
        <v>0</v>
      </c>
      <c r="O311" s="4" t="str">
        <f>VLOOKUP(A311,payment_ids!D:E,2,FALSE)</f>
        <v>netbanking</v>
      </c>
      <c r="P311" s="4" t="s">
        <v>69</v>
      </c>
      <c r="Q311" s="11">
        <v>44505.92013888889</v>
      </c>
      <c r="R311" s="4"/>
      <c r="S311" s="12" t="s">
        <v>2913</v>
      </c>
      <c r="T311" s="4"/>
      <c r="U311" s="4"/>
      <c r="V311" s="11"/>
      <c r="W311" s="4"/>
      <c r="X311" s="11"/>
      <c r="Y311" s="4"/>
      <c r="Z311" s="4"/>
      <c r="AA311" s="4"/>
      <c r="AB311" s="4"/>
      <c r="AC311" s="4"/>
      <c r="AD311" s="4"/>
      <c r="AE311" s="4"/>
      <c r="AF311" s="4"/>
      <c r="AG311" s="4"/>
      <c r="AH311" s="5"/>
      <c r="AI311" s="5"/>
      <c r="AJ311" s="5"/>
      <c r="AK311" s="5"/>
      <c r="AL311" s="5"/>
    </row>
    <row r="312">
      <c r="A312" s="4" t="str">
        <f>VLOOKUP(L312,payment_ids!C:D,2,FALSE)</f>
        <v>pay_H9y8FDUlzttDHD</v>
      </c>
      <c r="B312" s="4"/>
      <c r="C312" s="4" t="s">
        <v>2911</v>
      </c>
      <c r="D312" s="4">
        <v>50066.0</v>
      </c>
      <c r="E312" s="4"/>
      <c r="F312" s="4">
        <v>6.0</v>
      </c>
      <c r="G312" s="4">
        <v>599.0</v>
      </c>
      <c r="H312" s="4"/>
      <c r="I312" s="4">
        <v>599.0</v>
      </c>
      <c r="J312" s="4" t="s">
        <v>2923</v>
      </c>
      <c r="K312" s="6">
        <f>+919424884821</f>
        <v>919424884821</v>
      </c>
      <c r="L312" s="4" t="str">
        <f t="shared" si="1"/>
        <v>sonali.karnik19@gmail.com919424884821</v>
      </c>
      <c r="M312" s="10" t="s">
        <v>67</v>
      </c>
      <c r="N312" s="4" t="b">
        <v>0</v>
      </c>
      <c r="O312" s="4" t="str">
        <f>VLOOKUP(A312,payment_ids!D:E,2,FALSE)</f>
        <v>upi</v>
      </c>
      <c r="P312" s="4" t="s">
        <v>69</v>
      </c>
      <c r="Q312" s="11">
        <v>44535.97083333333</v>
      </c>
      <c r="R312" s="4"/>
      <c r="S312" s="12" t="s">
        <v>2913</v>
      </c>
      <c r="T312" s="4"/>
      <c r="U312" s="4"/>
      <c r="V312" s="11"/>
      <c r="W312" s="4"/>
      <c r="X312" s="11"/>
      <c r="Y312" s="4"/>
      <c r="Z312" s="4"/>
      <c r="AA312" s="4"/>
      <c r="AB312" s="4"/>
      <c r="AC312" s="4"/>
      <c r="AD312" s="4"/>
      <c r="AE312" s="4"/>
      <c r="AF312" s="4"/>
      <c r="AG312" s="4"/>
      <c r="AH312" s="5"/>
      <c r="AI312" s="5"/>
      <c r="AJ312" s="5"/>
      <c r="AK312" s="5"/>
      <c r="AL312" s="5"/>
    </row>
    <row r="313">
      <c r="A313" s="4" t="str">
        <f>VLOOKUP(L313,payment_ids!C:D,2,FALSE)</f>
        <v>pay_HAcJ36EZXCskDJ</v>
      </c>
      <c r="B313" s="4"/>
      <c r="C313" s="4" t="s">
        <v>2911</v>
      </c>
      <c r="D313" s="4">
        <v>50066.0</v>
      </c>
      <c r="E313" s="4"/>
      <c r="F313" s="4">
        <v>3.0</v>
      </c>
      <c r="G313" s="4">
        <v>399.0</v>
      </c>
      <c r="H313" s="4"/>
      <c r="I313" s="4">
        <v>399.0</v>
      </c>
      <c r="J313" s="4" t="s">
        <v>2924</v>
      </c>
      <c r="K313" s="6">
        <f>+919900933095</f>
        <v>919900933095</v>
      </c>
      <c r="L313" s="4" t="str">
        <f t="shared" si="1"/>
        <v>karaashilp@gmail.com919900933095</v>
      </c>
      <c r="M313" s="10" t="s">
        <v>67</v>
      </c>
      <c r="N313" s="4" t="b">
        <v>0</v>
      </c>
      <c r="O313" s="4" t="str">
        <f>VLOOKUP(A313,payment_ids!D:E,2,FALSE)</f>
        <v>upi</v>
      </c>
      <c r="P313" s="4" t="s">
        <v>69</v>
      </c>
      <c r="Q313" s="4" t="s">
        <v>2925</v>
      </c>
      <c r="R313" s="4"/>
      <c r="S313" s="12" t="s">
        <v>2913</v>
      </c>
      <c r="T313" s="4"/>
      <c r="U313" s="4"/>
      <c r="V313" s="11"/>
      <c r="W313" s="4"/>
      <c r="X313" s="11"/>
      <c r="Y313" s="4"/>
      <c r="Z313" s="4"/>
      <c r="AA313" s="4"/>
      <c r="AB313" s="4"/>
      <c r="AC313" s="4"/>
      <c r="AD313" s="4"/>
      <c r="AE313" s="4"/>
      <c r="AF313" s="4"/>
      <c r="AG313" s="4"/>
      <c r="AH313" s="5"/>
      <c r="AI313" s="5"/>
      <c r="AJ313" s="5"/>
      <c r="AK313" s="5"/>
      <c r="AL313" s="5"/>
    </row>
    <row r="314">
      <c r="A314" s="4" t="str">
        <f>VLOOKUP(L314,payment_ids!C:D,2,FALSE)</f>
        <v>pay_HAfX6xfiMov8Ca</v>
      </c>
      <c r="B314" s="4"/>
      <c r="C314" s="4" t="s">
        <v>2911</v>
      </c>
      <c r="D314" s="4">
        <v>50066.0</v>
      </c>
      <c r="E314" s="4"/>
      <c r="F314" s="4">
        <v>6.0</v>
      </c>
      <c r="G314" s="4">
        <v>599.0</v>
      </c>
      <c r="H314" s="4"/>
      <c r="I314" s="4">
        <v>599.0</v>
      </c>
      <c r="J314" s="4" t="s">
        <v>2926</v>
      </c>
      <c r="K314" s="6">
        <f>+919205450954</f>
        <v>919205450954</v>
      </c>
      <c r="L314" s="4" t="str">
        <f t="shared" si="1"/>
        <v>vatsshreedevi@gmail.com919205450954</v>
      </c>
      <c r="M314" s="10" t="s">
        <v>67</v>
      </c>
      <c r="N314" s="4" t="b">
        <v>0</v>
      </c>
      <c r="O314" s="4" t="str">
        <f>VLOOKUP(A314,payment_ids!D:E,2,FALSE)</f>
        <v>upi</v>
      </c>
      <c r="P314" s="4" t="s">
        <v>69</v>
      </c>
      <c r="Q314" s="4" t="s">
        <v>2927</v>
      </c>
      <c r="R314" s="4"/>
      <c r="S314" s="12" t="s">
        <v>2913</v>
      </c>
      <c r="T314" s="4"/>
      <c r="U314" s="4"/>
      <c r="V314" s="11"/>
      <c r="W314" s="4"/>
      <c r="X314" s="11"/>
      <c r="Y314" s="4"/>
      <c r="Z314" s="4"/>
      <c r="AA314" s="4"/>
      <c r="AB314" s="4"/>
      <c r="AC314" s="4"/>
      <c r="AD314" s="4"/>
      <c r="AE314" s="4"/>
      <c r="AF314" s="4"/>
      <c r="AG314" s="4"/>
      <c r="AH314" s="5"/>
      <c r="AI314" s="5"/>
      <c r="AJ314" s="5"/>
      <c r="AK314" s="5"/>
      <c r="AL314" s="5"/>
    </row>
    <row r="315">
      <c r="A315" s="4" t="str">
        <f>VLOOKUP(L315,payment_ids!C:D,2,FALSE)</f>
        <v>pay_HAUNYiHOrZFG8m</v>
      </c>
      <c r="B315" s="4"/>
      <c r="C315" s="4" t="s">
        <v>2911</v>
      </c>
      <c r="D315" s="4">
        <v>50066.0</v>
      </c>
      <c r="E315" s="4"/>
      <c r="F315" s="4">
        <v>6.0</v>
      </c>
      <c r="G315" s="4">
        <v>599.0</v>
      </c>
      <c r="H315" s="4"/>
      <c r="I315" s="4">
        <v>599.0</v>
      </c>
      <c r="J315" s="4" t="s">
        <v>2928</v>
      </c>
      <c r="K315" s="6">
        <f>+919920048346</f>
        <v>919920048346</v>
      </c>
      <c r="L315" s="4" t="str">
        <f t="shared" si="1"/>
        <v>achadha59@gmail.com919920048346</v>
      </c>
      <c r="M315" s="10" t="s">
        <v>67</v>
      </c>
      <c r="N315" s="4" t="b">
        <v>0</v>
      </c>
      <c r="O315" s="4" t="str">
        <f>VLOOKUP(A315,payment_ids!D:E,2,FALSE)</f>
        <v>netbanking</v>
      </c>
      <c r="P315" s="4" t="s">
        <v>69</v>
      </c>
      <c r="Q315" s="4" t="s">
        <v>2929</v>
      </c>
      <c r="R315" s="4"/>
      <c r="S315" s="12" t="s">
        <v>2913</v>
      </c>
      <c r="T315" s="4"/>
      <c r="U315" s="4"/>
      <c r="V315" s="11"/>
      <c r="W315" s="4"/>
      <c r="X315" s="11"/>
      <c r="Y315" s="4"/>
      <c r="Z315" s="4"/>
      <c r="AA315" s="4"/>
      <c r="AB315" s="4"/>
      <c r="AC315" s="4"/>
      <c r="AD315" s="4"/>
      <c r="AE315" s="4"/>
      <c r="AF315" s="4"/>
      <c r="AG315" s="4"/>
      <c r="AH315" s="5"/>
      <c r="AI315" s="5"/>
      <c r="AJ315" s="5"/>
      <c r="AK315" s="5"/>
      <c r="AL315" s="5"/>
    </row>
    <row r="316">
      <c r="A316" s="4" t="str">
        <f>VLOOKUP(L316,payment_ids!C:D,2,FALSE)</f>
        <v>pay_HB2dBF83tcJJop</v>
      </c>
      <c r="B316" s="4"/>
      <c r="C316" s="4" t="s">
        <v>2911</v>
      </c>
      <c r="D316" s="4">
        <v>50066.0</v>
      </c>
      <c r="E316" s="4"/>
      <c r="F316" s="4">
        <v>6.0</v>
      </c>
      <c r="G316" s="4">
        <v>599.0</v>
      </c>
      <c r="H316" s="4"/>
      <c r="I316" s="4">
        <v>599.0</v>
      </c>
      <c r="J316" s="4" t="s">
        <v>2930</v>
      </c>
      <c r="K316" s="6">
        <f>+971504815499</f>
        <v>971504815499</v>
      </c>
      <c r="L316" s="4" t="str">
        <f t="shared" si="1"/>
        <v>shambavsspectrum@gmail.com971504815499</v>
      </c>
      <c r="M316" s="10" t="s">
        <v>67</v>
      </c>
      <c r="N316" s="4" t="b">
        <v>0</v>
      </c>
      <c r="O316" s="4" t="str">
        <f>VLOOKUP(A316,payment_ids!D:E,2,FALSE)</f>
        <v>netbanking</v>
      </c>
      <c r="P316" s="4" t="s">
        <v>69</v>
      </c>
      <c r="Q316" s="4" t="s">
        <v>2931</v>
      </c>
      <c r="R316" s="4"/>
      <c r="S316" s="12" t="s">
        <v>2913</v>
      </c>
      <c r="T316" s="4"/>
      <c r="U316" s="4"/>
      <c r="V316" s="11"/>
      <c r="W316" s="4"/>
      <c r="X316" s="11"/>
      <c r="Y316" s="4"/>
      <c r="Z316" s="4"/>
      <c r="AA316" s="4"/>
      <c r="AB316" s="4"/>
      <c r="AC316" s="4"/>
      <c r="AD316" s="4"/>
      <c r="AE316" s="4"/>
      <c r="AF316" s="4"/>
      <c r="AG316" s="4"/>
      <c r="AH316" s="5"/>
      <c r="AI316" s="5"/>
      <c r="AJ316" s="5"/>
      <c r="AK316" s="5"/>
      <c r="AL316" s="5"/>
    </row>
    <row r="317">
      <c r="A317" s="4" t="str">
        <f>VLOOKUP(L317,payment_ids!C:D,2,FALSE)</f>
        <v>pay_HB2xaYq7kshKCO</v>
      </c>
      <c r="B317" s="4"/>
      <c r="C317" s="4" t="s">
        <v>2911</v>
      </c>
      <c r="D317" s="4">
        <v>50066.0</v>
      </c>
      <c r="E317" s="4"/>
      <c r="F317" s="4">
        <v>6.0</v>
      </c>
      <c r="G317" s="4">
        <v>599.0</v>
      </c>
      <c r="H317" s="4"/>
      <c r="I317" s="4">
        <v>599.0</v>
      </c>
      <c r="J317" s="4" t="s">
        <v>2932</v>
      </c>
      <c r="K317" s="6">
        <f>+918897657529</f>
        <v>918897657529</v>
      </c>
      <c r="L317" s="4" t="str">
        <f t="shared" si="1"/>
        <v>santosh.akellas@gmail.com918897657529</v>
      </c>
      <c r="M317" s="10" t="s">
        <v>67</v>
      </c>
      <c r="N317" s="4" t="b">
        <v>0</v>
      </c>
      <c r="O317" s="4" t="str">
        <f>VLOOKUP(A317,payment_ids!D:E,2,FALSE)</f>
        <v>upi</v>
      </c>
      <c r="P317" s="4" t="s">
        <v>69</v>
      </c>
      <c r="Q317" s="4" t="s">
        <v>2933</v>
      </c>
      <c r="R317" s="4"/>
      <c r="S317" s="12" t="s">
        <v>2913</v>
      </c>
      <c r="T317" s="4"/>
      <c r="U317" s="4"/>
      <c r="V317" s="11"/>
      <c r="W317" s="4"/>
      <c r="X317" s="11"/>
      <c r="Y317" s="4"/>
      <c r="Z317" s="4"/>
      <c r="AA317" s="4"/>
      <c r="AB317" s="4"/>
      <c r="AC317" s="4"/>
      <c r="AD317" s="4"/>
      <c r="AE317" s="4"/>
      <c r="AF317" s="4"/>
      <c r="AG317" s="4"/>
      <c r="AH317" s="5"/>
      <c r="AI317" s="5"/>
      <c r="AJ317" s="5"/>
      <c r="AK317" s="5"/>
      <c r="AL317" s="5"/>
    </row>
    <row r="318">
      <c r="A318" s="4" t="str">
        <f>VLOOKUP(L318,payment_ids!C:D,2,FALSE)</f>
        <v>pay_HB3G061duCziL2</v>
      </c>
      <c r="B318" s="4"/>
      <c r="C318" s="4" t="s">
        <v>2911</v>
      </c>
      <c r="D318" s="4">
        <v>50066.0</v>
      </c>
      <c r="E318" s="4"/>
      <c r="F318" s="4">
        <v>6.0</v>
      </c>
      <c r="G318" s="4">
        <v>599.0</v>
      </c>
      <c r="H318" s="4"/>
      <c r="I318" s="4">
        <v>599.0</v>
      </c>
      <c r="J318" s="4" t="s">
        <v>2934</v>
      </c>
      <c r="K318" s="6">
        <f>+919821470299</f>
        <v>919821470299</v>
      </c>
      <c r="L318" s="4" t="str">
        <f t="shared" si="1"/>
        <v>nishant1211@gmail.com919821470299</v>
      </c>
      <c r="M318" s="10" t="s">
        <v>67</v>
      </c>
      <c r="N318" s="4" t="b">
        <v>0</v>
      </c>
      <c r="O318" s="4" t="str">
        <f>VLOOKUP(A318,payment_ids!D:E,2,FALSE)</f>
        <v>upi</v>
      </c>
      <c r="P318" s="4" t="s">
        <v>69</v>
      </c>
      <c r="Q318" s="4" t="s">
        <v>2935</v>
      </c>
      <c r="R318" s="4"/>
      <c r="S318" s="12" t="s">
        <v>2913</v>
      </c>
      <c r="T318" s="4"/>
      <c r="U318" s="4"/>
      <c r="V318" s="11"/>
      <c r="W318" s="4"/>
      <c r="X318" s="11"/>
      <c r="Y318" s="4"/>
      <c r="Z318" s="4"/>
      <c r="AA318" s="4"/>
      <c r="AB318" s="4"/>
      <c r="AC318" s="4"/>
      <c r="AD318" s="4"/>
      <c r="AE318" s="4"/>
      <c r="AF318" s="4"/>
      <c r="AG318" s="4"/>
      <c r="AH318" s="5"/>
      <c r="AI318" s="5"/>
      <c r="AJ318" s="5"/>
      <c r="AK318" s="5"/>
      <c r="AL318" s="5"/>
    </row>
    <row r="319">
      <c r="A319" s="4" t="str">
        <f>VLOOKUP(L319,payment_ids!C:D,2,FALSE)</f>
        <v>pay_HB4wb4PBtl6U3I</v>
      </c>
      <c r="B319" s="4"/>
      <c r="C319" s="4" t="s">
        <v>2911</v>
      </c>
      <c r="D319" s="4">
        <v>50066.0</v>
      </c>
      <c r="E319" s="4"/>
      <c r="F319" s="4">
        <v>6.0</v>
      </c>
      <c r="G319" s="4">
        <v>599.0</v>
      </c>
      <c r="H319" s="4"/>
      <c r="I319" s="4">
        <v>599.0</v>
      </c>
      <c r="J319" s="4" t="s">
        <v>2936</v>
      </c>
      <c r="K319" s="6">
        <f>+919619615401</f>
        <v>919619615401</v>
      </c>
      <c r="L319" s="4" t="str">
        <f t="shared" si="1"/>
        <v>adwaitpitkar@rediffmail.com919619615401</v>
      </c>
      <c r="M319" s="10" t="s">
        <v>67</v>
      </c>
      <c r="N319" s="4" t="b">
        <v>0</v>
      </c>
      <c r="O319" s="4" t="str">
        <f>VLOOKUP(A319,payment_ids!D:E,2,FALSE)</f>
        <v>card</v>
      </c>
      <c r="P319" s="4" t="s">
        <v>69</v>
      </c>
      <c r="Q319" s="4" t="s">
        <v>2937</v>
      </c>
      <c r="R319" s="4"/>
      <c r="S319" s="12" t="s">
        <v>2913</v>
      </c>
      <c r="T319" s="4"/>
      <c r="U319" s="4"/>
      <c r="V319" s="11"/>
      <c r="W319" s="4"/>
      <c r="X319" s="11"/>
      <c r="Y319" s="4"/>
      <c r="Z319" s="4"/>
      <c r="AA319" s="4"/>
      <c r="AB319" s="4"/>
      <c r="AC319" s="4"/>
      <c r="AD319" s="4"/>
      <c r="AE319" s="4"/>
      <c r="AF319" s="4"/>
      <c r="AG319" s="4"/>
      <c r="AH319" s="5"/>
      <c r="AI319" s="5"/>
      <c r="AJ319" s="5"/>
      <c r="AK319" s="5"/>
      <c r="AL319" s="5"/>
    </row>
    <row r="320">
      <c r="A320" s="4" t="str">
        <f>VLOOKUP(L320,payment_ids!C:D,2,FALSE)</f>
        <v>pay_HB5He8ycWxJxOY</v>
      </c>
      <c r="B320" s="4"/>
      <c r="C320" s="4" t="s">
        <v>2911</v>
      </c>
      <c r="D320" s="4">
        <v>50066.0</v>
      </c>
      <c r="E320" s="4"/>
      <c r="F320" s="4">
        <v>3.0</v>
      </c>
      <c r="G320" s="4">
        <v>399.0</v>
      </c>
      <c r="H320" s="4"/>
      <c r="I320" s="4">
        <v>399.0</v>
      </c>
      <c r="J320" s="4" t="s">
        <v>2938</v>
      </c>
      <c r="K320" s="6">
        <f>+919004601048</f>
        <v>919004601048</v>
      </c>
      <c r="L320" s="4" t="str">
        <f t="shared" si="1"/>
        <v>dashrath.koli@gmail.com919004601048</v>
      </c>
      <c r="M320" s="10" t="s">
        <v>67</v>
      </c>
      <c r="N320" s="4" t="b">
        <v>0</v>
      </c>
      <c r="O320" s="4" t="str">
        <f>VLOOKUP(A320,payment_ids!D:E,2,FALSE)</f>
        <v>upi</v>
      </c>
      <c r="P320" s="4" t="s">
        <v>69</v>
      </c>
      <c r="Q320" s="4" t="s">
        <v>2939</v>
      </c>
      <c r="R320" s="4"/>
      <c r="S320" s="12" t="s">
        <v>2913</v>
      </c>
      <c r="T320" s="4"/>
      <c r="U320" s="4"/>
      <c r="V320" s="11"/>
      <c r="W320" s="4"/>
      <c r="X320" s="11"/>
      <c r="Y320" s="4"/>
      <c r="Z320" s="4"/>
      <c r="AA320" s="4"/>
      <c r="AB320" s="4"/>
      <c r="AC320" s="4"/>
      <c r="AD320" s="4"/>
      <c r="AE320" s="4"/>
      <c r="AF320" s="4"/>
      <c r="AG320" s="4"/>
      <c r="AH320" s="5"/>
      <c r="AI320" s="5"/>
      <c r="AJ320" s="5"/>
      <c r="AK320" s="5"/>
      <c r="AL320" s="5"/>
    </row>
    <row r="321">
      <c r="A321" s="4" t="str">
        <f>VLOOKUP(L321,payment_ids!C:D,2,FALSE)</f>
        <v>pay_HB6KuMy1kd2ZFa</v>
      </c>
      <c r="B321" s="4"/>
      <c r="C321" s="4" t="s">
        <v>2911</v>
      </c>
      <c r="D321" s="4">
        <v>50066.0</v>
      </c>
      <c r="E321" s="4"/>
      <c r="F321" s="4">
        <v>6.0</v>
      </c>
      <c r="G321" s="4">
        <v>599.0</v>
      </c>
      <c r="H321" s="4"/>
      <c r="I321" s="4">
        <v>599.0</v>
      </c>
      <c r="J321" s="4" t="s">
        <v>2940</v>
      </c>
      <c r="K321" s="6">
        <f>+919488846408</f>
        <v>919488846408</v>
      </c>
      <c r="L321" s="4" t="str">
        <f t="shared" si="1"/>
        <v>fif@mediclownacademy.org919488846408</v>
      </c>
      <c r="M321" s="10" t="s">
        <v>67</v>
      </c>
      <c r="N321" s="4" t="b">
        <v>0</v>
      </c>
      <c r="O321" s="4" t="str">
        <f>VLOOKUP(A321,payment_ids!D:E,2,FALSE)</f>
        <v>card</v>
      </c>
      <c r="P321" s="4" t="s">
        <v>69</v>
      </c>
      <c r="Q321" s="4" t="s">
        <v>2941</v>
      </c>
      <c r="R321" s="4"/>
      <c r="S321" s="12" t="s">
        <v>2913</v>
      </c>
      <c r="T321" s="4"/>
      <c r="U321" s="4"/>
      <c r="V321" s="11"/>
      <c r="W321" s="4"/>
      <c r="X321" s="11"/>
      <c r="Y321" s="4"/>
      <c r="Z321" s="4"/>
      <c r="AA321" s="4"/>
      <c r="AB321" s="4"/>
      <c r="AC321" s="4"/>
      <c r="AD321" s="4"/>
      <c r="AE321" s="4"/>
      <c r="AF321" s="4"/>
      <c r="AG321" s="4"/>
      <c r="AH321" s="5"/>
      <c r="AI321" s="5"/>
      <c r="AJ321" s="5"/>
      <c r="AK321" s="5"/>
      <c r="AL321" s="5"/>
    </row>
    <row r="322">
      <c r="A322" s="4" t="str">
        <f>VLOOKUP(L322,payment_ids!C:D,2,FALSE)</f>
        <v>pay_HB6Lp947WAlnEG</v>
      </c>
      <c r="B322" s="4"/>
      <c r="C322" s="4" t="s">
        <v>2911</v>
      </c>
      <c r="D322" s="4">
        <v>50066.0</v>
      </c>
      <c r="E322" s="4"/>
      <c r="F322" s="4">
        <v>1.0</v>
      </c>
      <c r="G322" s="4">
        <v>199.0</v>
      </c>
      <c r="H322" s="4"/>
      <c r="I322" s="4">
        <v>199.0</v>
      </c>
      <c r="J322" s="4" t="s">
        <v>2942</v>
      </c>
      <c r="K322" s="6">
        <f>+919886757329</f>
        <v>919886757329</v>
      </c>
      <c r="L322" s="4" t="str">
        <f t="shared" si="1"/>
        <v>heenadani76@gmail.com919886757329</v>
      </c>
      <c r="M322" s="10" t="s">
        <v>67</v>
      </c>
      <c r="N322" s="4" t="b">
        <v>0</v>
      </c>
      <c r="O322" s="4" t="str">
        <f>VLOOKUP(A322,payment_ids!D:E,2,FALSE)</f>
        <v>wallet</v>
      </c>
      <c r="P322" s="4" t="s">
        <v>69</v>
      </c>
      <c r="Q322" s="4" t="s">
        <v>2943</v>
      </c>
      <c r="R322" s="4"/>
      <c r="S322" s="12" t="s">
        <v>2913</v>
      </c>
      <c r="T322" s="4"/>
      <c r="U322" s="4"/>
      <c r="V322" s="11"/>
      <c r="W322" s="4"/>
      <c r="X322" s="11"/>
      <c r="Y322" s="4"/>
      <c r="Z322" s="4"/>
      <c r="AA322" s="4"/>
      <c r="AB322" s="4"/>
      <c r="AC322" s="4"/>
      <c r="AD322" s="4"/>
      <c r="AE322" s="4"/>
      <c r="AF322" s="4"/>
      <c r="AG322" s="4"/>
      <c r="AH322" s="5"/>
      <c r="AI322" s="5"/>
      <c r="AJ322" s="5"/>
      <c r="AK322" s="5"/>
      <c r="AL322" s="5"/>
    </row>
    <row r="323">
      <c r="A323" s="4" t="str">
        <f>VLOOKUP(L323,payment_ids!C:D,2,FALSE)</f>
        <v>pay_HB6NNLTS9qfKI7</v>
      </c>
      <c r="B323" s="4"/>
      <c r="C323" s="4" t="s">
        <v>2911</v>
      </c>
      <c r="D323" s="4">
        <v>50066.0</v>
      </c>
      <c r="E323" s="4"/>
      <c r="F323" s="4">
        <v>6.0</v>
      </c>
      <c r="G323" s="4">
        <v>599.0</v>
      </c>
      <c r="H323" s="4"/>
      <c r="I323" s="4">
        <v>599.0</v>
      </c>
      <c r="J323" s="4" t="s">
        <v>2944</v>
      </c>
      <c r="K323" s="6">
        <f>+919648323842</f>
        <v>919648323842</v>
      </c>
      <c r="L323" s="4" t="str">
        <f t="shared" si="1"/>
        <v>ushatammu@gmail.com919648323842</v>
      </c>
      <c r="M323" s="10" t="s">
        <v>67</v>
      </c>
      <c r="N323" s="4" t="b">
        <v>0</v>
      </c>
      <c r="O323" s="4" t="str">
        <f>VLOOKUP(A323,payment_ids!D:E,2,FALSE)</f>
        <v>upi</v>
      </c>
      <c r="P323" s="4" t="s">
        <v>69</v>
      </c>
      <c r="Q323" s="4" t="s">
        <v>2943</v>
      </c>
      <c r="R323" s="4"/>
      <c r="S323" s="12" t="s">
        <v>2913</v>
      </c>
      <c r="T323" s="4"/>
      <c r="U323" s="4"/>
      <c r="V323" s="11"/>
      <c r="W323" s="4"/>
      <c r="X323" s="11"/>
      <c r="Y323" s="4"/>
      <c r="Z323" s="4"/>
      <c r="AA323" s="4"/>
      <c r="AB323" s="4"/>
      <c r="AC323" s="4"/>
      <c r="AD323" s="4"/>
      <c r="AE323" s="4"/>
      <c r="AF323" s="4"/>
      <c r="AG323" s="4"/>
      <c r="AH323" s="5"/>
      <c r="AI323" s="5"/>
      <c r="AJ323" s="5"/>
      <c r="AK323" s="5"/>
      <c r="AL323" s="5"/>
    </row>
    <row r="324">
      <c r="A324" s="4" t="str">
        <f>VLOOKUP(L324,payment_ids!C:D,2,FALSE)</f>
        <v>pay_HB6fY6Tyl2T4dx</v>
      </c>
      <c r="B324" s="4"/>
      <c r="C324" s="4" t="s">
        <v>2911</v>
      </c>
      <c r="D324" s="4">
        <v>50066.0</v>
      </c>
      <c r="E324" s="4"/>
      <c r="F324" s="4">
        <v>6.0</v>
      </c>
      <c r="G324" s="4">
        <v>599.0</v>
      </c>
      <c r="H324" s="4"/>
      <c r="I324" s="4">
        <v>599.0</v>
      </c>
      <c r="J324" s="4" t="s">
        <v>2945</v>
      </c>
      <c r="K324" s="6">
        <f>+919732370358</f>
        <v>919732370358</v>
      </c>
      <c r="L324" s="4" t="str">
        <f t="shared" si="1"/>
        <v>debobanib@gmail.com919732370358</v>
      </c>
      <c r="M324" s="10" t="s">
        <v>67</v>
      </c>
      <c r="N324" s="4" t="b">
        <v>0</v>
      </c>
      <c r="O324" s="4" t="str">
        <f>VLOOKUP(A324,payment_ids!D:E,2,FALSE)</f>
        <v>card</v>
      </c>
      <c r="P324" s="4" t="s">
        <v>69</v>
      </c>
      <c r="Q324" s="4" t="s">
        <v>2946</v>
      </c>
      <c r="R324" s="4"/>
      <c r="S324" s="12" t="s">
        <v>2913</v>
      </c>
      <c r="T324" s="4"/>
      <c r="U324" s="4"/>
      <c r="V324" s="11"/>
      <c r="W324" s="4"/>
      <c r="X324" s="11"/>
      <c r="Y324" s="4"/>
      <c r="Z324" s="4"/>
      <c r="AA324" s="4"/>
      <c r="AB324" s="4"/>
      <c r="AC324" s="4"/>
      <c r="AD324" s="4"/>
      <c r="AE324" s="4"/>
      <c r="AF324" s="4"/>
      <c r="AG324" s="4"/>
      <c r="AH324" s="5"/>
      <c r="AI324" s="5"/>
      <c r="AJ324" s="5"/>
      <c r="AK324" s="5"/>
      <c r="AL324" s="5"/>
    </row>
    <row r="325">
      <c r="A325" s="4" t="str">
        <f>VLOOKUP(L325,payment_ids!C:D,2,FALSE)</f>
        <v>pay_HB8deuarNQJ6Es</v>
      </c>
      <c r="B325" s="4"/>
      <c r="C325" s="4" t="s">
        <v>2911</v>
      </c>
      <c r="D325" s="4">
        <v>50066.0</v>
      </c>
      <c r="E325" s="4"/>
      <c r="F325" s="4">
        <v>6.0</v>
      </c>
      <c r="G325" s="4">
        <v>599.0</v>
      </c>
      <c r="H325" s="4"/>
      <c r="I325" s="4">
        <v>599.0</v>
      </c>
      <c r="J325" s="4" t="s">
        <v>2947</v>
      </c>
      <c r="K325" s="6">
        <f>+919849104433</f>
        <v>919849104433</v>
      </c>
      <c r="L325" s="4" t="str">
        <f t="shared" si="1"/>
        <v>nanichouty@gmail.com919849104433</v>
      </c>
      <c r="M325" s="10" t="s">
        <v>67</v>
      </c>
      <c r="N325" s="4" t="b">
        <v>0</v>
      </c>
      <c r="O325" s="4" t="str">
        <f>VLOOKUP(A325,payment_ids!D:E,2,FALSE)</f>
        <v>netbanking</v>
      </c>
      <c r="P325" s="4" t="s">
        <v>69</v>
      </c>
      <c r="Q325" s="4" t="s">
        <v>2948</v>
      </c>
      <c r="R325" s="4"/>
      <c r="S325" s="12" t="s">
        <v>2913</v>
      </c>
      <c r="T325" s="4"/>
      <c r="U325" s="4"/>
      <c r="V325" s="11"/>
      <c r="W325" s="4"/>
      <c r="X325" s="11"/>
      <c r="Y325" s="4"/>
      <c r="Z325" s="4"/>
      <c r="AA325" s="4"/>
      <c r="AB325" s="4"/>
      <c r="AC325" s="4"/>
      <c r="AD325" s="4"/>
      <c r="AE325" s="4"/>
      <c r="AF325" s="4"/>
      <c r="AG325" s="4"/>
      <c r="AH325" s="5"/>
      <c r="AI325" s="5"/>
      <c r="AJ325" s="5"/>
      <c r="AK325" s="5"/>
      <c r="AL325" s="5"/>
    </row>
    <row r="326">
      <c r="A326" s="4" t="str">
        <f>VLOOKUP(L326,payment_ids!C:D,2,FALSE)</f>
        <v>pay_HBF60WYsnBKVyd</v>
      </c>
      <c r="B326" s="4"/>
      <c r="C326" s="4" t="s">
        <v>2911</v>
      </c>
      <c r="D326" s="4">
        <v>50066.0</v>
      </c>
      <c r="E326" s="4"/>
      <c r="F326" s="4">
        <v>1.0</v>
      </c>
      <c r="G326" s="4">
        <v>199.0</v>
      </c>
      <c r="H326" s="4"/>
      <c r="I326" s="4">
        <v>199.0</v>
      </c>
      <c r="J326" s="4" t="s">
        <v>2949</v>
      </c>
      <c r="K326" s="6">
        <f>+919869403282</f>
        <v>919869403282</v>
      </c>
      <c r="L326" s="4" t="str">
        <f t="shared" si="1"/>
        <v>vinayakj@proexceltech.com919869403282</v>
      </c>
      <c r="M326" s="10" t="s">
        <v>67</v>
      </c>
      <c r="N326" s="4" t="b">
        <v>0</v>
      </c>
      <c r="O326" s="4" t="str">
        <f>VLOOKUP(A326,payment_ids!D:E,2,FALSE)</f>
        <v>upi</v>
      </c>
      <c r="P326" s="4" t="s">
        <v>69</v>
      </c>
      <c r="Q326" s="4" t="s">
        <v>2950</v>
      </c>
      <c r="R326" s="4"/>
      <c r="S326" s="12" t="s">
        <v>2913</v>
      </c>
      <c r="T326" s="4"/>
      <c r="U326" s="4"/>
      <c r="V326" s="11"/>
      <c r="W326" s="4"/>
      <c r="X326" s="11"/>
      <c r="Y326" s="4"/>
      <c r="Z326" s="4"/>
      <c r="AA326" s="4"/>
      <c r="AB326" s="4"/>
      <c r="AC326" s="4"/>
      <c r="AD326" s="4"/>
      <c r="AE326" s="4"/>
      <c r="AF326" s="4"/>
      <c r="AG326" s="4"/>
      <c r="AH326" s="5"/>
      <c r="AI326" s="5"/>
      <c r="AJ326" s="5"/>
      <c r="AK326" s="5"/>
      <c r="AL326" s="5"/>
    </row>
    <row r="327">
      <c r="A327" s="4" t="str">
        <f>VLOOKUP(L327,payment_ids!C:D,2,FALSE)</f>
        <v>pay_HBS6c77j4AUGJk</v>
      </c>
      <c r="B327" s="4"/>
      <c r="C327" s="4" t="s">
        <v>2911</v>
      </c>
      <c r="D327" s="4">
        <v>50066.0</v>
      </c>
      <c r="E327" s="4"/>
      <c r="F327" s="4">
        <v>6.0</v>
      </c>
      <c r="G327" s="4">
        <v>599.0</v>
      </c>
      <c r="H327" s="4"/>
      <c r="I327" s="4">
        <v>599.0</v>
      </c>
      <c r="J327" s="4" t="s">
        <v>2951</v>
      </c>
      <c r="K327" s="6">
        <f>+919535574231</f>
        <v>919535574231</v>
      </c>
      <c r="L327" s="4" t="str">
        <f t="shared" si="1"/>
        <v>pavithra@accrescentlpo.com919535574231</v>
      </c>
      <c r="M327" s="10" t="s">
        <v>67</v>
      </c>
      <c r="N327" s="4" t="b">
        <v>0</v>
      </c>
      <c r="O327" s="4" t="str">
        <f>VLOOKUP(A327,payment_ids!D:E,2,FALSE)</f>
        <v>netbanking</v>
      </c>
      <c r="P327" s="4" t="s">
        <v>69</v>
      </c>
      <c r="Q327" s="4" t="s">
        <v>2952</v>
      </c>
      <c r="R327" s="4"/>
      <c r="S327" s="12" t="s">
        <v>2913</v>
      </c>
      <c r="T327" s="4"/>
      <c r="U327" s="4"/>
      <c r="V327" s="11"/>
      <c r="W327" s="4"/>
      <c r="X327" s="11"/>
      <c r="Y327" s="4"/>
      <c r="Z327" s="4"/>
      <c r="AA327" s="4"/>
      <c r="AB327" s="4"/>
      <c r="AC327" s="4"/>
      <c r="AD327" s="4"/>
      <c r="AE327" s="4"/>
      <c r="AF327" s="4"/>
      <c r="AG327" s="4"/>
      <c r="AH327" s="5"/>
      <c r="AI327" s="5"/>
      <c r="AJ327" s="5"/>
      <c r="AK327" s="5"/>
      <c r="AL327" s="5"/>
    </row>
    <row r="328">
      <c r="A328" s="4" t="str">
        <f>VLOOKUP(L328,payment_ids!C:D,2,FALSE)</f>
        <v>pay_HBSDM8SUeTPtI7</v>
      </c>
      <c r="B328" s="4"/>
      <c r="C328" s="4" t="s">
        <v>2911</v>
      </c>
      <c r="D328" s="4">
        <v>50066.0</v>
      </c>
      <c r="E328" s="4"/>
      <c r="F328" s="4">
        <v>3.0</v>
      </c>
      <c r="G328" s="4">
        <v>399.0</v>
      </c>
      <c r="H328" s="4"/>
      <c r="I328" s="4">
        <v>399.0</v>
      </c>
      <c r="J328" s="4" t="s">
        <v>2953</v>
      </c>
      <c r="K328" s="6">
        <f>+917007650421</f>
        <v>917007650421</v>
      </c>
      <c r="L328" s="4" t="str">
        <f t="shared" si="1"/>
        <v>author.tissh.lafp@gmail.com917007650421</v>
      </c>
      <c r="M328" s="10" t="s">
        <v>67</v>
      </c>
      <c r="N328" s="4" t="b">
        <v>0</v>
      </c>
      <c r="O328" s="4" t="str">
        <f>VLOOKUP(A328,payment_ids!D:E,2,FALSE)</f>
        <v>upi</v>
      </c>
      <c r="P328" s="4" t="s">
        <v>69</v>
      </c>
      <c r="Q328" s="4" t="s">
        <v>2954</v>
      </c>
      <c r="R328" s="4"/>
      <c r="S328" s="12" t="s">
        <v>2913</v>
      </c>
      <c r="T328" s="4"/>
      <c r="U328" s="4"/>
      <c r="V328" s="11"/>
      <c r="W328" s="4"/>
      <c r="X328" s="11"/>
      <c r="Y328" s="4"/>
      <c r="Z328" s="4"/>
      <c r="AA328" s="4"/>
      <c r="AB328" s="4"/>
      <c r="AC328" s="4"/>
      <c r="AD328" s="4"/>
      <c r="AE328" s="4"/>
      <c r="AF328" s="4"/>
      <c r="AG328" s="4"/>
      <c r="AH328" s="5"/>
      <c r="AI328" s="5"/>
      <c r="AJ328" s="5"/>
      <c r="AK328" s="5"/>
      <c r="AL328" s="5"/>
    </row>
    <row r="329">
      <c r="A329" s="4" t="str">
        <f>VLOOKUP(L329,payment_ids!C:D,2,FALSE)</f>
        <v>pay_HBV4Xa7B6ypkL9</v>
      </c>
      <c r="B329" s="4"/>
      <c r="C329" s="4" t="s">
        <v>2911</v>
      </c>
      <c r="D329" s="4">
        <v>50066.0</v>
      </c>
      <c r="E329" s="4"/>
      <c r="F329" s="4">
        <v>6.0</v>
      </c>
      <c r="G329" s="4">
        <v>599.0</v>
      </c>
      <c r="H329" s="4"/>
      <c r="I329" s="4">
        <v>599.0</v>
      </c>
      <c r="J329" s="4" t="s">
        <v>2955</v>
      </c>
      <c r="K329" s="6">
        <f>+919901478725</f>
        <v>919901478725</v>
      </c>
      <c r="L329" s="4" t="str">
        <f t="shared" si="1"/>
        <v>cdrvijay123@yahoo.co.in919901478725</v>
      </c>
      <c r="M329" s="10" t="s">
        <v>67</v>
      </c>
      <c r="N329" s="4" t="b">
        <v>0</v>
      </c>
      <c r="O329" s="4" t="str">
        <f>VLOOKUP(A329,payment_ids!D:E,2,FALSE)</f>
        <v>netbanking</v>
      </c>
      <c r="P329" s="4" t="s">
        <v>69</v>
      </c>
      <c r="Q329" s="4" t="s">
        <v>2956</v>
      </c>
      <c r="R329" s="4"/>
      <c r="S329" s="12" t="s">
        <v>2913</v>
      </c>
      <c r="T329" s="4"/>
      <c r="U329" s="4"/>
      <c r="V329" s="11"/>
      <c r="W329" s="4"/>
      <c r="X329" s="11"/>
      <c r="Y329" s="4"/>
      <c r="Z329" s="4"/>
      <c r="AA329" s="4"/>
      <c r="AB329" s="4"/>
      <c r="AC329" s="4"/>
      <c r="AD329" s="4"/>
      <c r="AE329" s="4"/>
      <c r="AF329" s="4"/>
      <c r="AG329" s="4"/>
      <c r="AH329" s="5"/>
      <c r="AI329" s="5"/>
      <c r="AJ329" s="5"/>
      <c r="AK329" s="5"/>
      <c r="AL329" s="5"/>
    </row>
    <row r="330">
      <c r="A330" s="4" t="str">
        <f>VLOOKUP(L330,payment_ids!C:D,2,FALSE)</f>
        <v>pay_HBu1iJCw2bZ7VT</v>
      </c>
      <c r="B330" s="4"/>
      <c r="C330" s="4" t="s">
        <v>2911</v>
      </c>
      <c r="D330" s="4">
        <v>50066.0</v>
      </c>
      <c r="E330" s="4"/>
      <c r="F330" s="4">
        <v>6.0</v>
      </c>
      <c r="G330" s="4">
        <v>599.0</v>
      </c>
      <c r="H330" s="4"/>
      <c r="I330" s="4">
        <v>599.0</v>
      </c>
      <c r="J330" s="4" t="s">
        <v>2957</v>
      </c>
      <c r="K330" s="6">
        <f>+919620901806</f>
        <v>919620901806</v>
      </c>
      <c r="L330" s="4" t="str">
        <f t="shared" si="1"/>
        <v>yasmin.mondol@gmail.com919620901806</v>
      </c>
      <c r="M330" s="10" t="s">
        <v>67</v>
      </c>
      <c r="N330" s="4" t="b">
        <v>0</v>
      </c>
      <c r="O330" s="4" t="str">
        <f>VLOOKUP(A330,payment_ids!D:E,2,FALSE)</f>
        <v>card</v>
      </c>
      <c r="P330" s="4" t="s">
        <v>69</v>
      </c>
      <c r="Q330" s="4" t="s">
        <v>2958</v>
      </c>
      <c r="R330" s="4"/>
      <c r="S330" s="12" t="s">
        <v>2913</v>
      </c>
      <c r="T330" s="4"/>
      <c r="U330" s="4"/>
      <c r="V330" s="11"/>
      <c r="W330" s="4"/>
      <c r="X330" s="11"/>
      <c r="Y330" s="4"/>
      <c r="Z330" s="4"/>
      <c r="AA330" s="4"/>
      <c r="AB330" s="4"/>
      <c r="AC330" s="4"/>
      <c r="AD330" s="4"/>
      <c r="AE330" s="4"/>
      <c r="AF330" s="4"/>
      <c r="AG330" s="4"/>
      <c r="AH330" s="5"/>
      <c r="AI330" s="5"/>
      <c r="AJ330" s="5"/>
      <c r="AK330" s="5"/>
      <c r="AL330" s="5"/>
    </row>
    <row r="331">
      <c r="A331" s="4" t="str">
        <f>VLOOKUP(L331,payment_ids!C:D,2,FALSE)</f>
        <v>pay_HBu9VlfagTzSLQ</v>
      </c>
      <c r="B331" s="4"/>
      <c r="C331" s="4" t="s">
        <v>2911</v>
      </c>
      <c r="D331" s="4">
        <v>50066.0</v>
      </c>
      <c r="E331" s="4"/>
      <c r="F331" s="4">
        <v>6.0</v>
      </c>
      <c r="G331" s="4">
        <v>599.0</v>
      </c>
      <c r="H331" s="4"/>
      <c r="I331" s="4">
        <v>599.0</v>
      </c>
      <c r="J331" s="4" t="s">
        <v>2959</v>
      </c>
      <c r="K331" s="6">
        <f>+918401072115</f>
        <v>918401072115</v>
      </c>
      <c r="L331" s="4" t="str">
        <f t="shared" si="1"/>
        <v>nvigneshamrita@gmail.com918401072115</v>
      </c>
      <c r="M331" s="10" t="s">
        <v>67</v>
      </c>
      <c r="N331" s="4" t="b">
        <v>0</v>
      </c>
      <c r="O331" s="4" t="str">
        <f>VLOOKUP(A331,payment_ids!D:E,2,FALSE)</f>
        <v>netbanking</v>
      </c>
      <c r="P331" s="4" t="s">
        <v>69</v>
      </c>
      <c r="Q331" s="4" t="s">
        <v>2960</v>
      </c>
      <c r="R331" s="4"/>
      <c r="S331" s="12" t="s">
        <v>2913</v>
      </c>
      <c r="T331" s="4"/>
      <c r="U331" s="4"/>
      <c r="V331" s="11"/>
      <c r="W331" s="4"/>
      <c r="X331" s="11"/>
      <c r="Y331" s="4"/>
      <c r="Z331" s="4"/>
      <c r="AA331" s="4"/>
      <c r="AB331" s="4"/>
      <c r="AC331" s="4"/>
      <c r="AD331" s="4"/>
      <c r="AE331" s="4"/>
      <c r="AF331" s="4"/>
      <c r="AG331" s="4"/>
      <c r="AH331" s="5"/>
      <c r="AI331" s="5"/>
      <c r="AJ331" s="5"/>
      <c r="AK331" s="5"/>
      <c r="AL331" s="5"/>
    </row>
    <row r="332">
      <c r="A332" s="4" t="str">
        <f>VLOOKUP(L332,payment_ids!C:D,2,FALSE)</f>
        <v>pay_HBu70itia4qXzJ</v>
      </c>
      <c r="B332" s="4"/>
      <c r="C332" s="4" t="s">
        <v>2911</v>
      </c>
      <c r="D332" s="4">
        <v>50066.0</v>
      </c>
      <c r="E332" s="4"/>
      <c r="F332" s="4">
        <v>6.0</v>
      </c>
      <c r="G332" s="4">
        <v>599.0</v>
      </c>
      <c r="H332" s="4"/>
      <c r="I332" s="4">
        <v>599.0</v>
      </c>
      <c r="J332" s="4" t="s">
        <v>2961</v>
      </c>
      <c r="K332" s="6">
        <f>+918420072488</f>
        <v>918420072488</v>
      </c>
      <c r="L332" s="4" t="str">
        <f t="shared" si="1"/>
        <v>jitendrakumarbothra@gmail.com918420072488</v>
      </c>
      <c r="M332" s="10" t="s">
        <v>67</v>
      </c>
      <c r="N332" s="4" t="b">
        <v>0</v>
      </c>
      <c r="O332" s="4" t="str">
        <f>VLOOKUP(A332,payment_ids!D:E,2,FALSE)</f>
        <v>card</v>
      </c>
      <c r="P332" s="4" t="s">
        <v>69</v>
      </c>
      <c r="Q332" s="4" t="s">
        <v>2962</v>
      </c>
      <c r="R332" s="4"/>
      <c r="S332" s="12" t="s">
        <v>2913</v>
      </c>
      <c r="T332" s="4"/>
      <c r="U332" s="4"/>
      <c r="V332" s="11"/>
      <c r="W332" s="4"/>
      <c r="X332" s="11"/>
      <c r="Y332" s="4"/>
      <c r="Z332" s="4"/>
      <c r="AA332" s="4"/>
      <c r="AB332" s="4"/>
      <c r="AC332" s="4"/>
      <c r="AD332" s="4"/>
      <c r="AE332" s="4"/>
      <c r="AF332" s="4"/>
      <c r="AG332" s="4"/>
      <c r="AH332" s="5"/>
      <c r="AI332" s="5"/>
      <c r="AJ332" s="5"/>
      <c r="AK332" s="5"/>
      <c r="AL332" s="5"/>
    </row>
    <row r="333">
      <c r="A333" s="4" t="str">
        <f>VLOOKUP(L333,payment_ids!C:D,2,FALSE)</f>
        <v>pay_HBuDzhwJAbs0xJ</v>
      </c>
      <c r="B333" s="4"/>
      <c r="C333" s="4" t="s">
        <v>2911</v>
      </c>
      <c r="D333" s="4">
        <v>50066.0</v>
      </c>
      <c r="E333" s="4"/>
      <c r="F333" s="4">
        <v>3.0</v>
      </c>
      <c r="G333" s="4">
        <v>399.0</v>
      </c>
      <c r="H333" s="4"/>
      <c r="I333" s="4">
        <v>399.0</v>
      </c>
      <c r="J333" s="4" t="s">
        <v>2963</v>
      </c>
      <c r="K333" s="6">
        <f>+919743567339</f>
        <v>919743567339</v>
      </c>
      <c r="L333" s="4" t="str">
        <f t="shared" si="1"/>
        <v>kazhar180606@gmail.com919743567339</v>
      </c>
      <c r="M333" s="10" t="s">
        <v>67</v>
      </c>
      <c r="N333" s="4" t="b">
        <v>0</v>
      </c>
      <c r="O333" s="4" t="str">
        <f>VLOOKUP(A333,payment_ids!D:E,2,FALSE)</f>
        <v>card</v>
      </c>
      <c r="P333" s="4" t="s">
        <v>69</v>
      </c>
      <c r="Q333" s="4" t="s">
        <v>2964</v>
      </c>
      <c r="R333" s="4"/>
      <c r="S333" s="12" t="s">
        <v>2913</v>
      </c>
      <c r="T333" s="4"/>
      <c r="U333" s="4"/>
      <c r="V333" s="11"/>
      <c r="W333" s="4"/>
      <c r="X333" s="11"/>
      <c r="Y333" s="4"/>
      <c r="Z333" s="4"/>
      <c r="AA333" s="4"/>
      <c r="AB333" s="4"/>
      <c r="AC333" s="4"/>
      <c r="AD333" s="4"/>
      <c r="AE333" s="4"/>
      <c r="AF333" s="4"/>
      <c r="AG333" s="4"/>
      <c r="AH333" s="5"/>
      <c r="AI333" s="5"/>
      <c r="AJ333" s="5"/>
      <c r="AK333" s="5"/>
      <c r="AL333" s="5"/>
    </row>
    <row r="334">
      <c r="A334" s="4" t="str">
        <f>VLOOKUP(L334,payment_ids!C:D,2,FALSE)</f>
        <v>pay_HBuEa2NQm3f4kQ</v>
      </c>
      <c r="B334" s="4"/>
      <c r="C334" s="4" t="s">
        <v>2911</v>
      </c>
      <c r="D334" s="4">
        <v>50066.0</v>
      </c>
      <c r="E334" s="4"/>
      <c r="F334" s="4">
        <v>6.0</v>
      </c>
      <c r="G334" s="4">
        <v>599.0</v>
      </c>
      <c r="H334" s="4"/>
      <c r="I334" s="4">
        <v>599.0</v>
      </c>
      <c r="J334" s="4" t="s">
        <v>2965</v>
      </c>
      <c r="K334" s="6">
        <f>+919820734962</f>
        <v>919820734962</v>
      </c>
      <c r="L334" s="4" t="str">
        <f t="shared" si="1"/>
        <v>hetalr1982@gmail.com919820734962</v>
      </c>
      <c r="M334" s="10" t="s">
        <v>67</v>
      </c>
      <c r="N334" s="4" t="b">
        <v>0</v>
      </c>
      <c r="O334" s="4" t="str">
        <f>VLOOKUP(A334,payment_ids!D:E,2,FALSE)</f>
        <v>card</v>
      </c>
      <c r="P334" s="4" t="s">
        <v>69</v>
      </c>
      <c r="Q334" s="4" t="s">
        <v>2964</v>
      </c>
      <c r="R334" s="4"/>
      <c r="S334" s="12" t="s">
        <v>2913</v>
      </c>
      <c r="T334" s="4"/>
      <c r="U334" s="4"/>
      <c r="V334" s="11"/>
      <c r="W334" s="4"/>
      <c r="X334" s="11"/>
      <c r="Y334" s="4"/>
      <c r="Z334" s="4"/>
      <c r="AA334" s="4"/>
      <c r="AB334" s="4"/>
      <c r="AC334" s="4"/>
      <c r="AD334" s="4"/>
      <c r="AE334" s="4"/>
      <c r="AF334" s="4"/>
      <c r="AG334" s="4"/>
      <c r="AH334" s="5"/>
      <c r="AI334" s="5"/>
      <c r="AJ334" s="5"/>
      <c r="AK334" s="5"/>
      <c r="AL334" s="5"/>
    </row>
    <row r="335">
      <c r="A335" s="4" t="str">
        <f>VLOOKUP(L335,payment_ids!C:D,2,FALSE)</f>
        <v>pay_HBuHgqwpKEGvyF</v>
      </c>
      <c r="B335" s="4"/>
      <c r="C335" s="4" t="s">
        <v>2911</v>
      </c>
      <c r="D335" s="4">
        <v>50066.0</v>
      </c>
      <c r="E335" s="4"/>
      <c r="F335" s="4">
        <v>6.0</v>
      </c>
      <c r="G335" s="4">
        <v>599.0</v>
      </c>
      <c r="H335" s="4"/>
      <c r="I335" s="4">
        <v>599.0</v>
      </c>
      <c r="J335" s="4" t="s">
        <v>2966</v>
      </c>
      <c r="K335" s="6">
        <f>+60123542236</f>
        <v>60123542236</v>
      </c>
      <c r="L335" s="4" t="str">
        <f t="shared" si="1"/>
        <v>resolveasia@gmail.com60123542236</v>
      </c>
      <c r="M335" s="10" t="s">
        <v>67</v>
      </c>
      <c r="N335" s="4" t="b">
        <v>0</v>
      </c>
      <c r="O335" s="4" t="str">
        <f>VLOOKUP(A335,payment_ids!D:E,2,FALSE)</f>
        <v>card</v>
      </c>
      <c r="P335" s="4" t="s">
        <v>69</v>
      </c>
      <c r="Q335" s="4" t="s">
        <v>2967</v>
      </c>
      <c r="R335" s="4"/>
      <c r="S335" s="12" t="s">
        <v>2913</v>
      </c>
      <c r="T335" s="4"/>
      <c r="U335" s="4"/>
      <c r="V335" s="11"/>
      <c r="W335" s="4"/>
      <c r="X335" s="11"/>
      <c r="Y335" s="4"/>
      <c r="Z335" s="4"/>
      <c r="AA335" s="4"/>
      <c r="AB335" s="4"/>
      <c r="AC335" s="4"/>
      <c r="AD335" s="4"/>
      <c r="AE335" s="4"/>
      <c r="AF335" s="4"/>
      <c r="AG335" s="4"/>
      <c r="AH335" s="5"/>
      <c r="AI335" s="5"/>
      <c r="AJ335" s="5"/>
      <c r="AK335" s="5"/>
      <c r="AL335" s="5"/>
    </row>
    <row r="336">
      <c r="A336" s="4" t="str">
        <f>VLOOKUP(L336,payment_ids!C:D,2,FALSE)</f>
        <v>pay_HBuSrLzlIZOcu8</v>
      </c>
      <c r="B336" s="4"/>
      <c r="C336" s="4" t="s">
        <v>2911</v>
      </c>
      <c r="D336" s="4">
        <v>50066.0</v>
      </c>
      <c r="E336" s="4"/>
      <c r="F336" s="4">
        <v>6.0</v>
      </c>
      <c r="G336" s="4">
        <v>599.0</v>
      </c>
      <c r="H336" s="4"/>
      <c r="I336" s="4">
        <v>599.0</v>
      </c>
      <c r="J336" s="4" t="s">
        <v>2968</v>
      </c>
      <c r="K336" s="6">
        <f>+919886154272</f>
        <v>919886154272</v>
      </c>
      <c r="L336" s="4" t="str">
        <f t="shared" si="1"/>
        <v>radhika.ramakrishnan12@gmail.com919886154272</v>
      </c>
      <c r="M336" s="10" t="s">
        <v>67</v>
      </c>
      <c r="N336" s="4" t="b">
        <v>0</v>
      </c>
      <c r="O336" s="4" t="str">
        <f>VLOOKUP(A336,payment_ids!D:E,2,FALSE)</f>
        <v>netbanking</v>
      </c>
      <c r="P336" s="4" t="s">
        <v>69</v>
      </c>
      <c r="Q336" s="4" t="s">
        <v>2969</v>
      </c>
      <c r="R336" s="4"/>
      <c r="S336" s="12" t="s">
        <v>2913</v>
      </c>
      <c r="T336" s="4"/>
      <c r="U336" s="4"/>
      <c r="V336" s="11"/>
      <c r="W336" s="4"/>
      <c r="X336" s="11"/>
      <c r="Y336" s="4"/>
      <c r="Z336" s="4"/>
      <c r="AA336" s="4"/>
      <c r="AB336" s="4"/>
      <c r="AC336" s="4"/>
      <c r="AD336" s="4"/>
      <c r="AE336" s="4"/>
      <c r="AF336" s="4"/>
      <c r="AG336" s="4"/>
      <c r="AH336" s="5"/>
      <c r="AI336" s="5"/>
      <c r="AJ336" s="5"/>
      <c r="AK336" s="5"/>
      <c r="AL336" s="5"/>
    </row>
    <row r="337">
      <c r="A337" s="4" t="str">
        <f>VLOOKUP(L337,payment_ids!C:D,2,FALSE)</f>
        <v>pay_HBuT1JOqmcpwof</v>
      </c>
      <c r="B337" s="4"/>
      <c r="C337" s="4" t="s">
        <v>2911</v>
      </c>
      <c r="D337" s="4">
        <v>50066.0</v>
      </c>
      <c r="E337" s="4"/>
      <c r="F337" s="4">
        <v>6.0</v>
      </c>
      <c r="G337" s="4">
        <v>599.0</v>
      </c>
      <c r="H337" s="4"/>
      <c r="I337" s="4">
        <v>599.0</v>
      </c>
      <c r="J337" s="4" t="s">
        <v>2970</v>
      </c>
      <c r="K337" s="6">
        <f>+919916011116</f>
        <v>919916011116</v>
      </c>
      <c r="L337" s="4" t="str">
        <f t="shared" si="1"/>
        <v>vivektrivedi05@gmail.com919916011116</v>
      </c>
      <c r="M337" s="10" t="s">
        <v>67</v>
      </c>
      <c r="N337" s="4" t="b">
        <v>0</v>
      </c>
      <c r="O337" s="4" t="str">
        <f>VLOOKUP(A337,payment_ids!D:E,2,FALSE)</f>
        <v>netbanking</v>
      </c>
      <c r="P337" s="4" t="s">
        <v>69</v>
      </c>
      <c r="Q337" s="4" t="s">
        <v>2971</v>
      </c>
      <c r="R337" s="4"/>
      <c r="S337" s="12" t="s">
        <v>2913</v>
      </c>
      <c r="T337" s="4"/>
      <c r="U337" s="4"/>
      <c r="V337" s="11"/>
      <c r="W337" s="4"/>
      <c r="X337" s="11"/>
      <c r="Y337" s="4"/>
      <c r="Z337" s="4"/>
      <c r="AA337" s="4"/>
      <c r="AB337" s="4"/>
      <c r="AC337" s="4"/>
      <c r="AD337" s="4"/>
      <c r="AE337" s="4"/>
      <c r="AF337" s="4"/>
      <c r="AG337" s="4"/>
      <c r="AH337" s="5"/>
      <c r="AI337" s="5"/>
      <c r="AJ337" s="5"/>
      <c r="AK337" s="5"/>
      <c r="AL337" s="5"/>
    </row>
    <row r="338">
      <c r="A338" s="4" t="str">
        <f>VLOOKUP(L338,payment_ids!C:D,2,FALSE)</f>
        <v>pay_HBuSRFNw46FH17</v>
      </c>
      <c r="B338" s="4"/>
      <c r="C338" s="4" t="s">
        <v>2911</v>
      </c>
      <c r="D338" s="4">
        <v>50066.0</v>
      </c>
      <c r="E338" s="4"/>
      <c r="F338" s="4">
        <v>6.0</v>
      </c>
      <c r="G338" s="4">
        <v>599.0</v>
      </c>
      <c r="H338" s="4"/>
      <c r="I338" s="4">
        <v>599.0</v>
      </c>
      <c r="J338" s="4" t="s">
        <v>2972</v>
      </c>
      <c r="K338" s="6">
        <f>+919998011449</f>
        <v>919998011449</v>
      </c>
      <c r="L338" s="4" t="str">
        <f t="shared" si="1"/>
        <v>mnbb9394@gmail.com919998011449</v>
      </c>
      <c r="M338" s="10" t="s">
        <v>67</v>
      </c>
      <c r="N338" s="4" t="b">
        <v>0</v>
      </c>
      <c r="O338" s="4" t="str">
        <f>VLOOKUP(A338,payment_ids!D:E,2,FALSE)</f>
        <v>netbanking</v>
      </c>
      <c r="P338" s="4" t="s">
        <v>69</v>
      </c>
      <c r="Q338" s="4" t="s">
        <v>2971</v>
      </c>
      <c r="R338" s="4"/>
      <c r="S338" s="12" t="s">
        <v>2913</v>
      </c>
      <c r="T338" s="4"/>
      <c r="U338" s="4"/>
      <c r="V338" s="11"/>
      <c r="W338" s="4"/>
      <c r="X338" s="11"/>
      <c r="Y338" s="4"/>
      <c r="Z338" s="4"/>
      <c r="AA338" s="4"/>
      <c r="AB338" s="4"/>
      <c r="AC338" s="7"/>
      <c r="AD338" s="4"/>
      <c r="AE338" s="4"/>
      <c r="AF338" s="4"/>
      <c r="AG338" s="4"/>
      <c r="AH338" s="5"/>
      <c r="AI338" s="5"/>
      <c r="AJ338" s="5"/>
      <c r="AK338" s="5"/>
      <c r="AL338" s="5"/>
    </row>
    <row r="339">
      <c r="A339" s="4" t="str">
        <f>VLOOKUP(L339,payment_ids!C:D,2,FALSE)</f>
        <v>pay_HBuSVZiHNbVolr</v>
      </c>
      <c r="B339" s="4"/>
      <c r="C339" s="4" t="s">
        <v>2911</v>
      </c>
      <c r="D339" s="4">
        <v>50066.0</v>
      </c>
      <c r="E339" s="4"/>
      <c r="F339" s="4">
        <v>6.0</v>
      </c>
      <c r="G339" s="4">
        <v>599.0</v>
      </c>
      <c r="H339" s="4"/>
      <c r="I339" s="4">
        <v>599.0</v>
      </c>
      <c r="J339" s="4" t="s">
        <v>2973</v>
      </c>
      <c r="K339" s="6">
        <f>+919821156059</f>
        <v>919821156059</v>
      </c>
      <c r="L339" s="4" t="str">
        <f t="shared" si="1"/>
        <v>lata3140@gmail.com919821156059</v>
      </c>
      <c r="M339" s="10" t="s">
        <v>67</v>
      </c>
      <c r="N339" s="4" t="b">
        <v>0</v>
      </c>
      <c r="O339" s="4" t="str">
        <f>VLOOKUP(A339,payment_ids!D:E,2,FALSE)</f>
        <v>netbanking</v>
      </c>
      <c r="P339" s="4" t="s">
        <v>69</v>
      </c>
      <c r="Q339" s="4" t="s">
        <v>2974</v>
      </c>
      <c r="R339" s="4"/>
      <c r="S339" s="12" t="s">
        <v>2913</v>
      </c>
      <c r="T339" s="4"/>
      <c r="U339" s="4"/>
      <c r="V339" s="11"/>
      <c r="W339" s="4"/>
      <c r="X339" s="11"/>
      <c r="Y339" s="4"/>
      <c r="Z339" s="4"/>
      <c r="AA339" s="4"/>
      <c r="AB339" s="4"/>
      <c r="AC339" s="4"/>
      <c r="AD339" s="4"/>
      <c r="AE339" s="4"/>
      <c r="AF339" s="4"/>
      <c r="AG339" s="4"/>
      <c r="AH339" s="5"/>
      <c r="AI339" s="5"/>
      <c r="AJ339" s="5"/>
      <c r="AK339" s="5"/>
      <c r="AL339" s="5"/>
    </row>
    <row r="340">
      <c r="A340" s="4" t="str">
        <f>VLOOKUP(L340,payment_ids!C:D,2,FALSE)</f>
        <v>pay_HBuWIWij4EjCxX</v>
      </c>
      <c r="B340" s="4"/>
      <c r="C340" s="4" t="s">
        <v>2911</v>
      </c>
      <c r="D340" s="4">
        <v>50066.0</v>
      </c>
      <c r="E340" s="4"/>
      <c r="F340" s="4">
        <v>6.0</v>
      </c>
      <c r="G340" s="4">
        <v>599.0</v>
      </c>
      <c r="H340" s="4"/>
      <c r="I340" s="4">
        <v>599.0</v>
      </c>
      <c r="J340" s="4" t="s">
        <v>2975</v>
      </c>
      <c r="K340" s="6">
        <f>+919819148445</f>
        <v>919819148445</v>
      </c>
      <c r="L340" s="4" t="str">
        <f t="shared" si="1"/>
        <v>soulfulyogafc@gmail.com919819148445</v>
      </c>
      <c r="M340" s="10" t="s">
        <v>67</v>
      </c>
      <c r="N340" s="4" t="b">
        <v>0</v>
      </c>
      <c r="O340" s="4" t="str">
        <f>VLOOKUP(A340,payment_ids!D:E,2,FALSE)</f>
        <v>upi</v>
      </c>
      <c r="P340" s="4" t="s">
        <v>69</v>
      </c>
      <c r="Q340" s="4" t="s">
        <v>2976</v>
      </c>
      <c r="R340" s="4"/>
      <c r="S340" s="12" t="s">
        <v>2913</v>
      </c>
      <c r="T340" s="4"/>
      <c r="U340" s="4"/>
      <c r="V340" s="11"/>
      <c r="W340" s="4"/>
      <c r="X340" s="11"/>
      <c r="Y340" s="4"/>
      <c r="Z340" s="4"/>
      <c r="AA340" s="4"/>
      <c r="AB340" s="4"/>
      <c r="AC340" s="4"/>
      <c r="AD340" s="4"/>
      <c r="AE340" s="4"/>
      <c r="AF340" s="4"/>
      <c r="AG340" s="4"/>
      <c r="AH340" s="5"/>
      <c r="AI340" s="5"/>
      <c r="AJ340" s="5"/>
      <c r="AK340" s="5"/>
      <c r="AL340" s="5"/>
    </row>
    <row r="341">
      <c r="A341" s="4" t="str">
        <f>VLOOKUP(L341,payment_ids!C:D,2,FALSE)</f>
        <v>pay_HBvCB6R0EjJF0R</v>
      </c>
      <c r="B341" s="4"/>
      <c r="C341" s="4" t="s">
        <v>2911</v>
      </c>
      <c r="D341" s="4">
        <v>50066.0</v>
      </c>
      <c r="E341" s="4"/>
      <c r="F341" s="4">
        <v>3.0</v>
      </c>
      <c r="G341" s="4">
        <v>399.0</v>
      </c>
      <c r="H341" s="4"/>
      <c r="I341" s="4">
        <v>399.0</v>
      </c>
      <c r="J341" s="4" t="s">
        <v>2977</v>
      </c>
      <c r="K341" s="6">
        <f>+919223248831</f>
        <v>919223248831</v>
      </c>
      <c r="L341" s="4" t="str">
        <f t="shared" si="1"/>
        <v>dhrutidedhia.dd@gmail.com919223248831</v>
      </c>
      <c r="M341" s="10" t="s">
        <v>67</v>
      </c>
      <c r="N341" s="4" t="b">
        <v>0</v>
      </c>
      <c r="O341" s="4" t="str">
        <f>VLOOKUP(A341,payment_ids!D:E,2,FALSE)</f>
        <v>netbanking</v>
      </c>
      <c r="P341" s="4" t="s">
        <v>69</v>
      </c>
      <c r="Q341" s="4" t="s">
        <v>2978</v>
      </c>
      <c r="R341" s="4"/>
      <c r="S341" s="12" t="s">
        <v>2913</v>
      </c>
      <c r="T341" s="4"/>
      <c r="U341" s="4"/>
      <c r="V341" s="11"/>
      <c r="W341" s="4"/>
      <c r="X341" s="11"/>
      <c r="Y341" s="4"/>
      <c r="Z341" s="4"/>
      <c r="AA341" s="4"/>
      <c r="AB341" s="4"/>
      <c r="AC341" s="4"/>
      <c r="AD341" s="4"/>
      <c r="AE341" s="4"/>
      <c r="AF341" s="4"/>
      <c r="AG341" s="4"/>
      <c r="AH341" s="5"/>
      <c r="AI341" s="5"/>
      <c r="AJ341" s="5"/>
      <c r="AK341" s="5"/>
      <c r="AL341" s="5"/>
    </row>
    <row r="342">
      <c r="A342" s="4" t="str">
        <f>VLOOKUP(L342,payment_ids!C:D,2,FALSE)</f>
        <v>pay_HBwuQc1N0OW2RA</v>
      </c>
      <c r="B342" s="4"/>
      <c r="C342" s="4" t="s">
        <v>2911</v>
      </c>
      <c r="D342" s="4">
        <v>50066.0</v>
      </c>
      <c r="E342" s="4"/>
      <c r="F342" s="4">
        <v>1.0</v>
      </c>
      <c r="G342" s="4">
        <v>199.0</v>
      </c>
      <c r="H342" s="4"/>
      <c r="I342" s="4">
        <v>199.0</v>
      </c>
      <c r="J342" s="4" t="s">
        <v>2979</v>
      </c>
      <c r="K342" s="6">
        <f>+919821269901</f>
        <v>919821269901</v>
      </c>
      <c r="L342" s="4" t="str">
        <f t="shared" si="1"/>
        <v>alpashah5678@gmail.coml919821269901</v>
      </c>
      <c r="M342" s="10" t="s">
        <v>67</v>
      </c>
      <c r="N342" s="4" t="b">
        <v>0</v>
      </c>
      <c r="O342" s="4" t="str">
        <f>VLOOKUP(A342,payment_ids!D:E,2,FALSE)</f>
        <v>upi</v>
      </c>
      <c r="P342" s="4" t="s">
        <v>69</v>
      </c>
      <c r="Q342" s="4" t="s">
        <v>2980</v>
      </c>
      <c r="R342" s="4"/>
      <c r="S342" s="12" t="s">
        <v>2913</v>
      </c>
      <c r="T342" s="4"/>
      <c r="U342" s="4"/>
      <c r="V342" s="11"/>
      <c r="W342" s="4"/>
      <c r="X342" s="11"/>
      <c r="Y342" s="4"/>
      <c r="Z342" s="4"/>
      <c r="AA342" s="4"/>
      <c r="AB342" s="4"/>
      <c r="AC342" s="4"/>
      <c r="AD342" s="4"/>
      <c r="AE342" s="4"/>
      <c r="AF342" s="4"/>
      <c r="AG342" s="4"/>
      <c r="AH342" s="5"/>
      <c r="AI342" s="5"/>
      <c r="AJ342" s="5"/>
      <c r="AK342" s="5"/>
      <c r="AL342" s="5"/>
    </row>
    <row r="343">
      <c r="A343" s="4" t="str">
        <f>VLOOKUP(L343,payment_ids!C:D,2,FALSE)</f>
        <v>pay_HBlzDLQ9ZBYdqw</v>
      </c>
      <c r="B343" s="4"/>
      <c r="C343" s="4" t="s">
        <v>2911</v>
      </c>
      <c r="D343" s="4">
        <v>50066.0</v>
      </c>
      <c r="E343" s="4"/>
      <c r="F343" s="4">
        <v>6.0</v>
      </c>
      <c r="G343" s="4">
        <v>599.0</v>
      </c>
      <c r="H343" s="4"/>
      <c r="I343" s="4">
        <v>599.0</v>
      </c>
      <c r="J343" s="4" t="s">
        <v>2981</v>
      </c>
      <c r="K343" s="6">
        <f>+919819784355</f>
        <v>919819784355</v>
      </c>
      <c r="L343" s="4" t="str">
        <f t="shared" si="1"/>
        <v>amir@cynergi.org919819784355</v>
      </c>
      <c r="M343" s="10" t="s">
        <v>67</v>
      </c>
      <c r="N343" s="4" t="b">
        <v>0</v>
      </c>
      <c r="O343" s="4" t="str">
        <f>VLOOKUP(A343,payment_ids!D:E,2,FALSE)</f>
        <v>netbanking</v>
      </c>
      <c r="P343" s="4" t="s">
        <v>69</v>
      </c>
      <c r="Q343" s="4" t="s">
        <v>2982</v>
      </c>
      <c r="R343" s="4"/>
      <c r="S343" s="12" t="s">
        <v>2913</v>
      </c>
      <c r="T343" s="4"/>
      <c r="U343" s="4"/>
      <c r="V343" s="11"/>
      <c r="W343" s="4"/>
      <c r="X343" s="11"/>
      <c r="Y343" s="4"/>
      <c r="Z343" s="4"/>
      <c r="AA343" s="4"/>
      <c r="AB343" s="4"/>
      <c r="AC343" s="4"/>
      <c r="AD343" s="4"/>
      <c r="AE343" s="4"/>
      <c r="AF343" s="4"/>
      <c r="AG343" s="4"/>
      <c r="AH343" s="5"/>
      <c r="AI343" s="5"/>
      <c r="AJ343" s="5"/>
      <c r="AK343" s="5"/>
      <c r="AL343" s="5"/>
    </row>
    <row r="344">
      <c r="A344" s="4" t="str">
        <f>VLOOKUP(L344,payment_ids!C:D,2,FALSE)</f>
        <v>pay_HBubUfMEv8XqBz</v>
      </c>
      <c r="B344" s="4"/>
      <c r="C344" s="4" t="s">
        <v>2911</v>
      </c>
      <c r="D344" s="4">
        <v>50066.0</v>
      </c>
      <c r="E344" s="4"/>
      <c r="F344" s="4">
        <v>3.0</v>
      </c>
      <c r="G344" s="4">
        <v>399.0</v>
      </c>
      <c r="H344" s="4"/>
      <c r="I344" s="4">
        <v>399.0</v>
      </c>
      <c r="J344" s="4" t="s">
        <v>2983</v>
      </c>
      <c r="K344" s="6">
        <f>+919810341232</f>
        <v>919810341232</v>
      </c>
      <c r="L344" s="4" t="str">
        <f t="shared" si="1"/>
        <v>kamalmehta17@hotmail.com919810341232</v>
      </c>
      <c r="M344" s="10" t="s">
        <v>67</v>
      </c>
      <c r="N344" s="4" t="b">
        <v>0</v>
      </c>
      <c r="O344" s="4" t="str">
        <f>VLOOKUP(A344,payment_ids!D:E,2,FALSE)</f>
        <v>card</v>
      </c>
      <c r="P344" s="4" t="s">
        <v>69</v>
      </c>
      <c r="Q344" s="4" t="s">
        <v>2984</v>
      </c>
      <c r="R344" s="4"/>
      <c r="S344" s="12" t="s">
        <v>2913</v>
      </c>
      <c r="T344" s="4"/>
      <c r="U344" s="4"/>
      <c r="V344" s="11"/>
      <c r="W344" s="4"/>
      <c r="X344" s="11"/>
      <c r="Y344" s="4"/>
      <c r="Z344" s="4"/>
      <c r="AA344" s="4"/>
      <c r="AB344" s="4"/>
      <c r="AC344" s="7"/>
      <c r="AD344" s="4"/>
      <c r="AE344" s="4"/>
      <c r="AF344" s="4"/>
      <c r="AG344" s="4"/>
      <c r="AH344" s="5"/>
      <c r="AI344" s="5"/>
      <c r="AJ344" s="5"/>
      <c r="AK344" s="5"/>
      <c r="AL344" s="5"/>
    </row>
    <row r="345">
      <c r="A345" s="4" t="str">
        <f>VLOOKUP(L345,payment_ids!C:D,2,FALSE)</f>
        <v>pay_HCJsGT1yYGOv9t</v>
      </c>
      <c r="B345" s="4"/>
      <c r="C345" s="4" t="s">
        <v>2911</v>
      </c>
      <c r="D345" s="4">
        <v>50066.0</v>
      </c>
      <c r="E345" s="4"/>
      <c r="F345" s="4">
        <v>6.0</v>
      </c>
      <c r="G345" s="4">
        <v>599.0</v>
      </c>
      <c r="H345" s="4"/>
      <c r="I345" s="4">
        <v>599.0</v>
      </c>
      <c r="J345" s="4" t="s">
        <v>2985</v>
      </c>
      <c r="K345" s="6">
        <f>+919591545209</f>
        <v>919591545209</v>
      </c>
      <c r="L345" s="4" t="str">
        <f t="shared" si="1"/>
        <v>deepthii.narayan@gmail.com919591545209</v>
      </c>
      <c r="M345" s="10" t="s">
        <v>67</v>
      </c>
      <c r="N345" s="4" t="b">
        <v>0</v>
      </c>
      <c r="O345" s="4" t="str">
        <f>VLOOKUP(A345,payment_ids!D:E,2,FALSE)</f>
        <v>upi</v>
      </c>
      <c r="P345" s="4" t="s">
        <v>69</v>
      </c>
      <c r="Q345" s="4" t="s">
        <v>2986</v>
      </c>
      <c r="R345" s="4"/>
      <c r="S345" s="12" t="s">
        <v>2913</v>
      </c>
      <c r="T345" s="4"/>
      <c r="U345" s="4"/>
      <c r="V345" s="11"/>
      <c r="W345" s="4"/>
      <c r="X345" s="11"/>
      <c r="Y345" s="4"/>
      <c r="Z345" s="4" t="b">
        <v>0</v>
      </c>
      <c r="AA345" s="4"/>
      <c r="AB345" s="4"/>
      <c r="AC345" s="4"/>
      <c r="AD345" s="4"/>
      <c r="AE345" s="4"/>
      <c r="AF345" s="4"/>
      <c r="AG345" s="4"/>
      <c r="AH345" s="5"/>
      <c r="AI345" s="5"/>
      <c r="AJ345" s="5"/>
      <c r="AK345" s="5"/>
      <c r="AL345" s="5"/>
    </row>
    <row r="346">
      <c r="A346" s="4" t="str">
        <f>VLOOKUP(L346,payment_ids!C:D,2,FALSE)</f>
        <v>pay_HCKCxKSRvqc0DC</v>
      </c>
      <c r="B346" s="4"/>
      <c r="C346" s="4" t="s">
        <v>2911</v>
      </c>
      <c r="D346" s="4">
        <v>50066.0</v>
      </c>
      <c r="E346" s="4"/>
      <c r="F346" s="4">
        <v>6.0</v>
      </c>
      <c r="G346" s="4">
        <v>599.0</v>
      </c>
      <c r="H346" s="4"/>
      <c r="I346" s="4">
        <v>599.0</v>
      </c>
      <c r="J346" s="4" t="s">
        <v>2987</v>
      </c>
      <c r="K346" s="6">
        <f>+919823099320</f>
        <v>919823099320</v>
      </c>
      <c r="L346" s="4" t="str">
        <f t="shared" si="1"/>
        <v>madhavisood@gmail.com919823099320</v>
      </c>
      <c r="M346" s="10" t="s">
        <v>67</v>
      </c>
      <c r="N346" s="4" t="b">
        <v>0</v>
      </c>
      <c r="O346" s="4" t="str">
        <f>VLOOKUP(A346,payment_ids!D:E,2,FALSE)</f>
        <v>card</v>
      </c>
      <c r="P346" s="4" t="s">
        <v>69</v>
      </c>
      <c r="Q346" s="4" t="s">
        <v>2988</v>
      </c>
      <c r="R346" s="4"/>
      <c r="S346" s="12" t="s">
        <v>2913</v>
      </c>
      <c r="T346" s="4"/>
      <c r="U346" s="4"/>
      <c r="V346" s="11"/>
      <c r="W346" s="4"/>
      <c r="X346" s="11"/>
      <c r="Y346" s="4"/>
      <c r="Z346" s="4"/>
      <c r="AA346" s="4"/>
      <c r="AB346" s="4"/>
      <c r="AC346" s="4"/>
      <c r="AD346" s="4"/>
      <c r="AE346" s="4"/>
      <c r="AF346" s="4"/>
      <c r="AG346" s="4"/>
      <c r="AH346" s="5"/>
      <c r="AI346" s="5"/>
      <c r="AJ346" s="5"/>
      <c r="AK346" s="5"/>
      <c r="AL346" s="5"/>
    </row>
    <row r="347">
      <c r="A347" s="4" t="str">
        <f>VLOOKUP(L347,payment_ids!C:D,2,FALSE)</f>
        <v>pay_HCMKHzBpbl54Ab</v>
      </c>
      <c r="B347" s="4"/>
      <c r="C347" s="4" t="s">
        <v>2911</v>
      </c>
      <c r="D347" s="4">
        <v>50066.0</v>
      </c>
      <c r="E347" s="4"/>
      <c r="F347" s="4">
        <v>6.0</v>
      </c>
      <c r="G347" s="4">
        <v>599.0</v>
      </c>
      <c r="H347" s="4"/>
      <c r="I347" s="4">
        <v>599.0</v>
      </c>
      <c r="J347" s="4" t="s">
        <v>2989</v>
      </c>
      <c r="K347" s="6">
        <f>+919619069662</f>
        <v>919619069662</v>
      </c>
      <c r="L347" s="4" t="str">
        <f t="shared" si="1"/>
        <v>otsfounder@gmail.com919619069662</v>
      </c>
      <c r="M347" s="10" t="s">
        <v>67</v>
      </c>
      <c r="N347" s="4" t="b">
        <v>0</v>
      </c>
      <c r="O347" s="4" t="str">
        <f>VLOOKUP(A347,payment_ids!D:E,2,FALSE)</f>
        <v>netbanking</v>
      </c>
      <c r="P347" s="4" t="s">
        <v>69</v>
      </c>
      <c r="Q347" s="4" t="s">
        <v>2990</v>
      </c>
      <c r="R347" s="4"/>
      <c r="S347" s="12" t="s">
        <v>2913</v>
      </c>
      <c r="T347" s="4"/>
      <c r="U347" s="4"/>
      <c r="V347" s="11"/>
      <c r="W347" s="4"/>
      <c r="X347" s="11"/>
      <c r="Y347" s="4"/>
      <c r="Z347" s="4"/>
      <c r="AA347" s="4"/>
      <c r="AB347" s="4"/>
      <c r="AC347" s="4"/>
      <c r="AD347" s="4"/>
      <c r="AE347" s="4"/>
      <c r="AF347" s="4"/>
      <c r="AG347" s="4"/>
      <c r="AH347" s="5"/>
      <c r="AI347" s="5"/>
      <c r="AJ347" s="5"/>
      <c r="AK347" s="5"/>
      <c r="AL347" s="5"/>
    </row>
    <row r="348">
      <c r="A348" s="4" t="str">
        <f>VLOOKUP(L348,payment_ids!C:D,2,FALSE)</f>
        <v>pay_HCEEW9g50V0EIe</v>
      </c>
      <c r="B348" s="4"/>
      <c r="C348" s="4" t="s">
        <v>2911</v>
      </c>
      <c r="D348" s="4">
        <v>50066.0</v>
      </c>
      <c r="E348" s="4"/>
      <c r="F348" s="4">
        <v>3.0</v>
      </c>
      <c r="G348" s="4">
        <v>399.0</v>
      </c>
      <c r="H348" s="4"/>
      <c r="I348" s="4">
        <v>399.0</v>
      </c>
      <c r="J348" s="4" t="s">
        <v>2991</v>
      </c>
      <c r="K348" s="6">
        <f>+919930333673</f>
        <v>919930333673</v>
      </c>
      <c r="L348" s="4" t="str">
        <f t="shared" si="1"/>
        <v>poojavsharma25@gmail.com919930333673</v>
      </c>
      <c r="M348" s="10" t="s">
        <v>67</v>
      </c>
      <c r="N348" s="4" t="b">
        <v>0</v>
      </c>
      <c r="O348" s="4" t="str">
        <f>VLOOKUP(A348,payment_ids!D:E,2,FALSE)</f>
        <v>netbanking</v>
      </c>
      <c r="P348" s="4" t="s">
        <v>69</v>
      </c>
      <c r="Q348" s="4" t="s">
        <v>2992</v>
      </c>
      <c r="R348" s="4"/>
      <c r="S348" s="12" t="s">
        <v>2913</v>
      </c>
      <c r="T348" s="4"/>
      <c r="U348" s="4"/>
      <c r="V348" s="11"/>
      <c r="W348" s="4"/>
      <c r="X348" s="11"/>
      <c r="Y348" s="4"/>
      <c r="Z348" s="4"/>
      <c r="AA348" s="4"/>
      <c r="AB348" s="4"/>
      <c r="AC348" s="4"/>
      <c r="AD348" s="4"/>
      <c r="AE348" s="4"/>
      <c r="AF348" s="4"/>
      <c r="AG348" s="4"/>
      <c r="AH348" s="5"/>
      <c r="AI348" s="5"/>
      <c r="AJ348" s="5"/>
      <c r="AK348" s="5"/>
      <c r="AL348" s="5"/>
    </row>
    <row r="349">
      <c r="A349" s="4" t="str">
        <f>VLOOKUP(L349,payment_ids!C:D,2,FALSE)</f>
        <v>pay_HCcgMhxlRzQZ5B</v>
      </c>
      <c r="B349" s="4"/>
      <c r="C349" s="4" t="s">
        <v>2911</v>
      </c>
      <c r="D349" s="4">
        <v>50066.0</v>
      </c>
      <c r="E349" s="4"/>
      <c r="F349" s="4">
        <v>6.0</v>
      </c>
      <c r="G349" s="4">
        <v>599.0</v>
      </c>
      <c r="H349" s="4"/>
      <c r="I349" s="4">
        <v>599.0</v>
      </c>
      <c r="J349" s="4" t="s">
        <v>2993</v>
      </c>
      <c r="K349" s="6">
        <f>+917039019353</f>
        <v>917039019353</v>
      </c>
      <c r="L349" s="4" t="str">
        <f t="shared" si="1"/>
        <v>abs_shri@yahoo.com917039019353</v>
      </c>
      <c r="M349" s="10" t="s">
        <v>67</v>
      </c>
      <c r="N349" s="4" t="b">
        <v>0</v>
      </c>
      <c r="O349" s="4" t="str">
        <f>VLOOKUP(A349,payment_ids!D:E,2,FALSE)</f>
        <v>upi</v>
      </c>
      <c r="P349" s="4" t="s">
        <v>69</v>
      </c>
      <c r="Q349" s="4" t="s">
        <v>2994</v>
      </c>
      <c r="R349" s="4"/>
      <c r="S349" s="12" t="s">
        <v>2913</v>
      </c>
      <c r="T349" s="4"/>
      <c r="U349" s="4"/>
      <c r="V349" s="11"/>
      <c r="W349" s="4"/>
      <c r="X349" s="11"/>
      <c r="Y349" s="4"/>
      <c r="Z349" s="4"/>
      <c r="AA349" s="4"/>
      <c r="AB349" s="4"/>
      <c r="AC349" s="4"/>
      <c r="AD349" s="4"/>
      <c r="AE349" s="4"/>
      <c r="AF349" s="4"/>
      <c r="AG349" s="4"/>
      <c r="AH349" s="5"/>
      <c r="AI349" s="5"/>
      <c r="AJ349" s="5"/>
      <c r="AK349" s="5"/>
      <c r="AL349" s="5"/>
    </row>
    <row r="350">
      <c r="A350" s="4" t="str">
        <f>VLOOKUP(L350,payment_ids!C:D,2,FALSE)</f>
        <v>pay_HCclWy3VfrZb1K</v>
      </c>
      <c r="B350" s="4"/>
      <c r="C350" s="4" t="s">
        <v>2911</v>
      </c>
      <c r="D350" s="4">
        <v>50066.0</v>
      </c>
      <c r="E350" s="4"/>
      <c r="F350" s="4">
        <v>6.0</v>
      </c>
      <c r="G350" s="4">
        <v>599.0</v>
      </c>
      <c r="H350" s="4"/>
      <c r="I350" s="4">
        <v>599.0</v>
      </c>
      <c r="J350" s="4" t="s">
        <v>2995</v>
      </c>
      <c r="K350" s="6">
        <f>+919822457246</f>
        <v>919822457246</v>
      </c>
      <c r="L350" s="4" t="str">
        <f t="shared" si="1"/>
        <v>jyoti.g.tejwani@gmail.com919822457246</v>
      </c>
      <c r="M350" s="10" t="s">
        <v>67</v>
      </c>
      <c r="N350" s="4" t="b">
        <v>0</v>
      </c>
      <c r="O350" s="4" t="str">
        <f>VLOOKUP(A350,payment_ids!D:E,2,FALSE)</f>
        <v>upi</v>
      </c>
      <c r="P350" s="4" t="s">
        <v>69</v>
      </c>
      <c r="Q350" s="4" t="s">
        <v>2996</v>
      </c>
      <c r="R350" s="4"/>
      <c r="S350" s="12" t="s">
        <v>2913</v>
      </c>
      <c r="T350" s="4"/>
      <c r="U350" s="4"/>
      <c r="V350" s="11"/>
      <c r="W350" s="4"/>
      <c r="X350" s="11"/>
      <c r="Y350" s="4"/>
      <c r="Z350" s="4"/>
      <c r="AA350" s="4"/>
      <c r="AB350" s="4"/>
      <c r="AC350" s="4"/>
      <c r="AD350" s="4"/>
      <c r="AE350" s="4"/>
      <c r="AF350" s="4"/>
      <c r="AG350" s="4"/>
      <c r="AH350" s="5"/>
      <c r="AI350" s="5"/>
      <c r="AJ350" s="5"/>
      <c r="AK350" s="5"/>
      <c r="AL350" s="5"/>
    </row>
    <row r="351">
      <c r="A351" s="4" t="str">
        <f>VLOOKUP(L351,payment_ids!C:D,2,FALSE)</f>
        <v>pay_HCcSQ8FHT1SZwJ</v>
      </c>
      <c r="B351" s="4"/>
      <c r="C351" s="4" t="s">
        <v>2911</v>
      </c>
      <c r="D351" s="4">
        <v>50066.0</v>
      </c>
      <c r="E351" s="4"/>
      <c r="F351" s="4">
        <v>6.0</v>
      </c>
      <c r="G351" s="4">
        <v>599.0</v>
      </c>
      <c r="H351" s="4"/>
      <c r="I351" s="4">
        <v>599.0</v>
      </c>
      <c r="J351" s="4" t="s">
        <v>2997</v>
      </c>
      <c r="K351" s="6">
        <f>+918779149037</f>
        <v>918779149037</v>
      </c>
      <c r="L351" s="4" t="str">
        <f t="shared" si="1"/>
        <v>manidip.ganguly@gmail.com918779149037</v>
      </c>
      <c r="M351" s="10" t="s">
        <v>67</v>
      </c>
      <c r="N351" s="4" t="b">
        <v>0</v>
      </c>
      <c r="O351" s="4" t="str">
        <f>VLOOKUP(A351,payment_ids!D:E,2,FALSE)</f>
        <v>upi</v>
      </c>
      <c r="P351" s="4" t="s">
        <v>69</v>
      </c>
      <c r="Q351" s="4" t="s">
        <v>2996</v>
      </c>
      <c r="R351" s="4"/>
      <c r="S351" s="12" t="s">
        <v>2913</v>
      </c>
      <c r="T351" s="4"/>
      <c r="U351" s="4"/>
      <c r="V351" s="11"/>
      <c r="W351" s="4"/>
      <c r="X351" s="11"/>
      <c r="Y351" s="4"/>
      <c r="Z351" s="4"/>
      <c r="AA351" s="4"/>
      <c r="AB351" s="4"/>
      <c r="AC351" s="4"/>
      <c r="AD351" s="4"/>
      <c r="AE351" s="4"/>
      <c r="AF351" s="4"/>
      <c r="AG351" s="4"/>
      <c r="AH351" s="5"/>
      <c r="AI351" s="5"/>
      <c r="AJ351" s="5"/>
      <c r="AK351" s="5"/>
      <c r="AL351" s="5"/>
    </row>
    <row r="352">
      <c r="A352" s="4" t="str">
        <f>VLOOKUP(L352,payment_ids!C:D,2,FALSE)</f>
        <v>pay_HCczEblczZefh9</v>
      </c>
      <c r="B352" s="4"/>
      <c r="C352" s="4" t="s">
        <v>2911</v>
      </c>
      <c r="D352" s="4">
        <v>50066.0</v>
      </c>
      <c r="E352" s="4"/>
      <c r="F352" s="4">
        <v>3.0</v>
      </c>
      <c r="G352" s="4">
        <v>399.0</v>
      </c>
      <c r="H352" s="4"/>
      <c r="I352" s="4">
        <v>399.0</v>
      </c>
      <c r="J352" s="4" t="s">
        <v>2998</v>
      </c>
      <c r="K352" s="6">
        <f>+919959516713</f>
        <v>919959516713</v>
      </c>
      <c r="L352" s="4" t="str">
        <f t="shared" si="1"/>
        <v>sh1@shnworld.in919959516713</v>
      </c>
      <c r="M352" s="10" t="s">
        <v>67</v>
      </c>
      <c r="N352" s="4" t="b">
        <v>0</v>
      </c>
      <c r="O352" s="4" t="str">
        <f>VLOOKUP(A352,payment_ids!D:E,2,FALSE)</f>
        <v>card</v>
      </c>
      <c r="P352" s="4" t="s">
        <v>69</v>
      </c>
      <c r="Q352" s="4" t="s">
        <v>2999</v>
      </c>
      <c r="R352" s="4"/>
      <c r="S352" s="12" t="s">
        <v>2913</v>
      </c>
      <c r="T352" s="4"/>
      <c r="U352" s="4"/>
      <c r="V352" s="11"/>
      <c r="W352" s="4"/>
      <c r="X352" s="11"/>
      <c r="Y352" s="4"/>
      <c r="Z352" s="4"/>
      <c r="AA352" s="4"/>
      <c r="AB352" s="4"/>
      <c r="AC352" s="4"/>
      <c r="AD352" s="4"/>
      <c r="AE352" s="4"/>
      <c r="AF352" s="4"/>
      <c r="AG352" s="4"/>
      <c r="AH352" s="5"/>
      <c r="AI352" s="5"/>
      <c r="AJ352" s="5"/>
      <c r="AK352" s="5"/>
      <c r="AL352" s="5"/>
    </row>
    <row r="353">
      <c r="A353" s="4" t="str">
        <f>VLOOKUP(L353,payment_ids!C:D,2,FALSE)</f>
        <v>pay_HDNDR170Pcgp5S</v>
      </c>
      <c r="B353" s="4"/>
      <c r="C353" s="4" t="s">
        <v>2911</v>
      </c>
      <c r="D353" s="4">
        <v>50066.0</v>
      </c>
      <c r="E353" s="4"/>
      <c r="F353" s="4">
        <v>6.0</v>
      </c>
      <c r="G353" s="13">
        <v>2359.0</v>
      </c>
      <c r="H353" s="4"/>
      <c r="I353" s="13">
        <v>2359.0</v>
      </c>
      <c r="J353" s="4" t="s">
        <v>3000</v>
      </c>
      <c r="K353" s="6">
        <f>+919312664365</f>
        <v>919312664365</v>
      </c>
      <c r="L353" s="4" t="str">
        <f t="shared" si="1"/>
        <v>rubywadhwa50@gmail.com919312664365</v>
      </c>
      <c r="M353" s="10" t="s">
        <v>67</v>
      </c>
      <c r="N353" s="4" t="b">
        <v>0</v>
      </c>
      <c r="O353" s="4" t="str">
        <f>VLOOKUP(A353,payment_ids!D:E,2,FALSE)</f>
        <v>netbanking</v>
      </c>
      <c r="P353" s="4" t="s">
        <v>69</v>
      </c>
      <c r="Q353" s="4" t="s">
        <v>3001</v>
      </c>
      <c r="R353" s="4"/>
      <c r="S353" s="12" t="s">
        <v>2913</v>
      </c>
      <c r="T353" s="4"/>
      <c r="U353" s="4"/>
      <c r="V353" s="11"/>
      <c r="W353" s="4"/>
      <c r="X353" s="11"/>
      <c r="Y353" s="4"/>
      <c r="Z353" s="4"/>
      <c r="AA353" s="4"/>
      <c r="AB353" s="4"/>
      <c r="AC353" s="7"/>
      <c r="AD353" s="4"/>
      <c r="AE353" s="4"/>
      <c r="AF353" s="4"/>
      <c r="AG353" s="4"/>
      <c r="AH353" s="5"/>
      <c r="AI353" s="5"/>
      <c r="AJ353" s="5"/>
      <c r="AK353" s="5"/>
      <c r="AL353" s="5"/>
    </row>
    <row r="354">
      <c r="A354" s="4" t="str">
        <f>VLOOKUP(L354,payment_ids!C:D,2,FALSE)</f>
        <v>pay_H96AgOMza0aMjd</v>
      </c>
      <c r="B354" s="4"/>
      <c r="C354" s="4" t="s">
        <v>2911</v>
      </c>
      <c r="D354" s="4">
        <v>50066.0</v>
      </c>
      <c r="E354" s="5"/>
      <c r="F354" s="4">
        <v>6.0</v>
      </c>
      <c r="G354" s="13">
        <v>2359.0</v>
      </c>
      <c r="H354" s="4"/>
      <c r="I354" s="13">
        <v>2359.0</v>
      </c>
      <c r="J354" s="4" t="s">
        <v>2916</v>
      </c>
      <c r="K354" s="5">
        <f>+919592142724</f>
        <v>919592142724</v>
      </c>
      <c r="L354" s="4" t="str">
        <f t="shared" si="1"/>
        <v>ujjwalakasbekar70@gmail.com919592142724</v>
      </c>
      <c r="M354" s="10" t="s">
        <v>67</v>
      </c>
      <c r="N354" s="4" t="b">
        <v>0</v>
      </c>
      <c r="O354" s="4" t="str">
        <f>VLOOKUP(A354,payment_ids!D:E,2,FALSE)</f>
        <v>upi</v>
      </c>
      <c r="P354" s="4" t="s">
        <v>69</v>
      </c>
      <c r="Q354" s="4" t="s">
        <v>3002</v>
      </c>
      <c r="R354" s="4"/>
      <c r="S354" s="12" t="s">
        <v>2913</v>
      </c>
      <c r="T354" s="5"/>
      <c r="U354" s="4"/>
      <c r="V354" s="11"/>
      <c r="W354" s="4"/>
      <c r="X354" s="11"/>
      <c r="Y354" s="4"/>
      <c r="Z354" s="4"/>
      <c r="AA354" s="4"/>
      <c r="AB354" s="4"/>
      <c r="AC354" s="4"/>
      <c r="AD354" s="4"/>
      <c r="AE354" s="4"/>
      <c r="AF354" s="4"/>
      <c r="AG354" s="4"/>
      <c r="AH354" s="5"/>
      <c r="AI354" s="5"/>
      <c r="AJ354" s="5"/>
      <c r="AK354" s="5"/>
      <c r="AL354" s="5"/>
    </row>
    <row r="355">
      <c r="A355" s="4" t="str">
        <f>VLOOKUP(L355,payment_ids!C:D,2,FALSE)</f>
        <v>pay_HNHcJCE8DNL2wO</v>
      </c>
      <c r="B355" s="4"/>
      <c r="C355" s="4" t="s">
        <v>2911</v>
      </c>
      <c r="D355" s="4">
        <v>50066.0</v>
      </c>
      <c r="E355" s="5"/>
      <c r="F355" s="4">
        <v>6.0</v>
      </c>
      <c r="G355" s="13">
        <v>2359.0</v>
      </c>
      <c r="H355" s="4"/>
      <c r="I355" s="13">
        <v>2359.0</v>
      </c>
      <c r="J355" s="4" t="s">
        <v>3003</v>
      </c>
      <c r="K355" s="5">
        <f>+919371636971</f>
        <v>919371636971</v>
      </c>
      <c r="L355" s="4" t="str">
        <f t="shared" si="1"/>
        <v>sofee9@gmail.com919371636971</v>
      </c>
      <c r="M355" s="10" t="s">
        <v>67</v>
      </c>
      <c r="N355" s="4" t="b">
        <v>0</v>
      </c>
      <c r="O355" s="4" t="str">
        <f>VLOOKUP(A355,payment_ids!D:E,2,FALSE)</f>
        <v>upi</v>
      </c>
      <c r="P355" s="4" t="s">
        <v>69</v>
      </c>
      <c r="Q355" s="4" t="s">
        <v>3004</v>
      </c>
      <c r="R355" s="4"/>
      <c r="S355" s="12" t="s">
        <v>2913</v>
      </c>
      <c r="T355" s="4" t="s">
        <v>2444</v>
      </c>
      <c r="U355" s="4"/>
      <c r="V355" s="11"/>
      <c r="W355" s="4"/>
      <c r="X355" s="11"/>
      <c r="Y355" s="4"/>
      <c r="Z355" s="4"/>
      <c r="AA355" s="4"/>
      <c r="AB355" s="4"/>
      <c r="AC355" s="4"/>
      <c r="AD355" s="4"/>
      <c r="AE355" s="4"/>
      <c r="AF355" s="4"/>
      <c r="AG355" s="4"/>
      <c r="AH355" s="5"/>
      <c r="AI355" s="5"/>
      <c r="AJ355" s="5"/>
      <c r="AK355" s="5"/>
      <c r="AL355" s="5"/>
    </row>
    <row r="356">
      <c r="A356" s="4" t="str">
        <f>VLOOKUP(L356,payment_ids!C:D,2,FALSE)</f>
        <v>pay_HO62TGuwdNhMFg</v>
      </c>
      <c r="B356" s="4"/>
      <c r="C356" s="4" t="s">
        <v>2911</v>
      </c>
      <c r="D356" s="4">
        <v>50066.0</v>
      </c>
      <c r="E356" s="5"/>
      <c r="F356" s="4">
        <v>6.0</v>
      </c>
      <c r="G356" s="13">
        <v>2359.0</v>
      </c>
      <c r="H356" s="4"/>
      <c r="I356" s="13">
        <v>2359.0</v>
      </c>
      <c r="J356" s="4" t="s">
        <v>3005</v>
      </c>
      <c r="K356" s="5">
        <f>+918885882017</f>
        <v>918885882017</v>
      </c>
      <c r="L356" s="4" t="str">
        <f t="shared" si="1"/>
        <v>manthaprak007@gmail.com918885882017</v>
      </c>
      <c r="M356" s="10" t="s">
        <v>67</v>
      </c>
      <c r="N356" s="4" t="b">
        <v>0</v>
      </c>
      <c r="O356" s="4" t="str">
        <f>VLOOKUP(A356,payment_ids!D:E,2,FALSE)</f>
        <v>card</v>
      </c>
      <c r="P356" s="4" t="s">
        <v>69</v>
      </c>
      <c r="Q356" s="4" t="s">
        <v>3006</v>
      </c>
      <c r="R356" s="4"/>
      <c r="S356" s="12" t="s">
        <v>3007</v>
      </c>
      <c r="T356" s="4" t="s">
        <v>2444</v>
      </c>
      <c r="U356" s="4"/>
      <c r="V356" s="11"/>
      <c r="W356" s="4"/>
      <c r="X356" s="11"/>
      <c r="Y356" s="4"/>
      <c r="Z356" s="4"/>
      <c r="AA356" s="4"/>
      <c r="AB356" s="4"/>
      <c r="AC356" s="4"/>
      <c r="AD356" s="4"/>
      <c r="AE356" s="4"/>
      <c r="AF356" s="4"/>
      <c r="AG356" s="4"/>
      <c r="AH356" s="5"/>
      <c r="AI356" s="5"/>
      <c r="AJ356" s="5"/>
      <c r="AK356" s="5"/>
      <c r="AL356" s="5"/>
    </row>
    <row r="357">
      <c r="A357" s="4" t="str">
        <f>VLOOKUP(L357,payment_ids!C:D,2,FALSE)</f>
        <v>pay_H7EL2KDrj7nTDZ</v>
      </c>
      <c r="B357" s="4"/>
      <c r="C357" s="4" t="s">
        <v>3008</v>
      </c>
      <c r="D357" s="4">
        <v>50020.0</v>
      </c>
      <c r="E357" s="4"/>
      <c r="F357" s="4">
        <v>1.0</v>
      </c>
      <c r="G357" s="4">
        <v>99.0</v>
      </c>
      <c r="H357" s="4"/>
      <c r="I357" s="4">
        <v>99.0</v>
      </c>
      <c r="J357" s="4" t="s">
        <v>3009</v>
      </c>
      <c r="K357" s="6">
        <f>+919896034231</f>
        <v>919896034231</v>
      </c>
      <c r="L357" s="4" t="str">
        <f t="shared" si="1"/>
        <v>pjcommerceacademy@gmail.com919896034231</v>
      </c>
      <c r="M357" s="10" t="s">
        <v>67</v>
      </c>
      <c r="N357" s="4" t="b">
        <v>0</v>
      </c>
      <c r="O357" s="4" t="str">
        <f>VLOOKUP(A357,payment_ids!D:E,2,FALSE)</f>
        <v>card</v>
      </c>
      <c r="P357" s="4" t="s">
        <v>69</v>
      </c>
      <c r="Q357" s="11">
        <v>44352.05069444444</v>
      </c>
      <c r="R357" s="4"/>
      <c r="S357" s="12" t="s">
        <v>3010</v>
      </c>
      <c r="T357" s="4"/>
      <c r="U357" s="4"/>
      <c r="V357" s="11"/>
      <c r="W357" s="4"/>
      <c r="X357" s="11"/>
      <c r="Y357" s="4"/>
      <c r="Z357" s="4"/>
      <c r="AA357" s="4"/>
      <c r="AB357" s="4"/>
      <c r="AC357" s="4"/>
      <c r="AD357" s="4"/>
      <c r="AE357" s="4"/>
      <c r="AF357" s="4"/>
      <c r="AG357" s="4"/>
      <c r="AH357" s="5"/>
      <c r="AI357" s="5"/>
      <c r="AJ357" s="5"/>
      <c r="AK357" s="5"/>
      <c r="AL357" s="5"/>
    </row>
    <row r="358">
      <c r="A358" s="4" t="str">
        <f>VLOOKUP(L358,payment_ids!C:D,2,FALSE)</f>
        <v>pay_H7LrwAx0fE1vIX</v>
      </c>
      <c r="B358" s="4"/>
      <c r="C358" s="4" t="s">
        <v>3008</v>
      </c>
      <c r="D358" s="4">
        <v>50020.0</v>
      </c>
      <c r="E358" s="4"/>
      <c r="F358" s="4">
        <v>6.0</v>
      </c>
      <c r="G358" s="4">
        <v>349.0</v>
      </c>
      <c r="H358" s="4"/>
      <c r="I358" s="4">
        <v>349.0</v>
      </c>
      <c r="J358" s="4" t="s">
        <v>3011</v>
      </c>
      <c r="K358" s="6">
        <f>+919486338104</f>
        <v>919486338104</v>
      </c>
      <c r="L358" s="4" t="str">
        <f t="shared" si="1"/>
        <v>raj_mayura68@yahoo.com919486338104</v>
      </c>
      <c r="M358" s="10" t="s">
        <v>67</v>
      </c>
      <c r="N358" s="4" t="b">
        <v>0</v>
      </c>
      <c r="O358" s="4" t="str">
        <f>VLOOKUP(A358,payment_ids!D:E,2,FALSE)</f>
        <v>upi</v>
      </c>
      <c r="P358" s="4" t="s">
        <v>69</v>
      </c>
      <c r="Q358" s="11">
        <v>44352.35763888889</v>
      </c>
      <c r="R358" s="4"/>
      <c r="S358" s="12" t="s">
        <v>3010</v>
      </c>
      <c r="T358" s="4"/>
      <c r="U358" s="4"/>
      <c r="V358" s="11"/>
      <c r="W358" s="4"/>
      <c r="X358" s="11"/>
      <c r="Y358" s="4"/>
      <c r="Z358" s="4"/>
      <c r="AA358" s="4"/>
      <c r="AB358" s="4"/>
      <c r="AC358" s="4"/>
      <c r="AD358" s="4"/>
      <c r="AE358" s="4"/>
      <c r="AF358" s="4"/>
      <c r="AG358" s="4"/>
      <c r="AH358" s="5"/>
      <c r="AI358" s="5"/>
      <c r="AJ358" s="5"/>
      <c r="AK358" s="5"/>
      <c r="AL358" s="5"/>
    </row>
    <row r="359">
      <c r="A359" s="4" t="str">
        <f>VLOOKUP(L359,payment_ids!C:D,2,FALSE)</f>
        <v>pay_H7Z2yXL6ExAtAy</v>
      </c>
      <c r="B359" s="4"/>
      <c r="C359" s="4" t="s">
        <v>3008</v>
      </c>
      <c r="D359" s="4">
        <v>50020.0</v>
      </c>
      <c r="E359" s="4"/>
      <c r="F359" s="4">
        <v>1.0</v>
      </c>
      <c r="G359" s="4">
        <v>99.0</v>
      </c>
      <c r="H359" s="4"/>
      <c r="I359" s="4">
        <v>99.0</v>
      </c>
      <c r="J359" s="4" t="s">
        <v>3012</v>
      </c>
      <c r="K359" s="6">
        <f>+919820237817</f>
        <v>919820237817</v>
      </c>
      <c r="L359" s="4" t="str">
        <f t="shared" si="1"/>
        <v>energenieacademy@gmail.com919820237817</v>
      </c>
      <c r="M359" s="10" t="s">
        <v>67</v>
      </c>
      <c r="N359" s="4" t="b">
        <v>0</v>
      </c>
      <c r="O359" s="4" t="str">
        <f>VLOOKUP(A359,payment_ids!D:E,2,FALSE)</f>
        <v>card</v>
      </c>
      <c r="P359" s="4" t="s">
        <v>69</v>
      </c>
      <c r="Q359" s="11">
        <v>44352.89444444444</v>
      </c>
      <c r="R359" s="4"/>
      <c r="S359" s="12" t="s">
        <v>3010</v>
      </c>
      <c r="T359" s="4"/>
      <c r="U359" s="4"/>
      <c r="V359" s="11"/>
      <c r="W359" s="4"/>
      <c r="X359" s="11"/>
      <c r="Y359" s="4"/>
      <c r="Z359" s="4"/>
      <c r="AA359" s="4"/>
      <c r="AB359" s="4"/>
      <c r="AC359" s="4"/>
      <c r="AD359" s="4"/>
      <c r="AE359" s="4"/>
      <c r="AF359" s="4"/>
      <c r="AG359" s="4"/>
      <c r="AH359" s="5"/>
      <c r="AI359" s="5"/>
      <c r="AJ359" s="5"/>
      <c r="AK359" s="5"/>
      <c r="AL359" s="5"/>
    </row>
    <row r="360">
      <c r="A360" s="4" t="str">
        <f>VLOOKUP(L360,payment_ids!C:D,2,FALSE)</f>
        <v>pay_H8iAVcow2LPF55</v>
      </c>
      <c r="B360" s="4"/>
      <c r="C360" s="4" t="s">
        <v>3008</v>
      </c>
      <c r="D360" s="4">
        <v>50020.0</v>
      </c>
      <c r="E360" s="4"/>
      <c r="F360" s="4">
        <v>1.0</v>
      </c>
      <c r="G360" s="4">
        <v>99.0</v>
      </c>
      <c r="H360" s="4"/>
      <c r="I360" s="4">
        <v>99.0</v>
      </c>
      <c r="J360" s="4" t="s">
        <v>3013</v>
      </c>
      <c r="K360" s="6">
        <f>+917769040442</f>
        <v>917769040442</v>
      </c>
      <c r="L360" s="4" t="str">
        <f t="shared" si="1"/>
        <v>kaushika.badal@gmail.com917769040442</v>
      </c>
      <c r="M360" s="10" t="s">
        <v>67</v>
      </c>
      <c r="N360" s="4" t="b">
        <v>0</v>
      </c>
      <c r="O360" s="4" t="str">
        <f>VLOOKUP(A360,payment_ids!D:E,2,FALSE)</f>
        <v>upi</v>
      </c>
      <c r="P360" s="4" t="s">
        <v>69</v>
      </c>
      <c r="Q360" s="11">
        <v>44444.79305555556</v>
      </c>
      <c r="R360" s="4"/>
      <c r="S360" s="12" t="s">
        <v>3010</v>
      </c>
      <c r="T360" s="4"/>
      <c r="U360" s="4"/>
      <c r="V360" s="11"/>
      <c r="W360" s="4"/>
      <c r="X360" s="11"/>
      <c r="Y360" s="4"/>
      <c r="Z360" s="4"/>
      <c r="AA360" s="4"/>
      <c r="AB360" s="4"/>
      <c r="AC360" s="4"/>
      <c r="AD360" s="4"/>
      <c r="AE360" s="4"/>
      <c r="AF360" s="4"/>
      <c r="AG360" s="4"/>
      <c r="AH360" s="5"/>
      <c r="AI360" s="5"/>
      <c r="AJ360" s="5"/>
      <c r="AK360" s="5"/>
      <c r="AL360" s="5"/>
    </row>
    <row r="361">
      <c r="A361" s="4" t="str">
        <f>VLOOKUP(L361,payment_ids!C:D,2,FALSE)</f>
        <v>pay_H97UoudCNzFDbD</v>
      </c>
      <c r="B361" s="4"/>
      <c r="C361" s="4" t="s">
        <v>3008</v>
      </c>
      <c r="D361" s="4">
        <v>50020.0</v>
      </c>
      <c r="E361" s="4"/>
      <c r="F361" s="4">
        <v>6.0</v>
      </c>
      <c r="G361" s="4">
        <v>349.0</v>
      </c>
      <c r="H361" s="4"/>
      <c r="I361" s="4">
        <v>349.0</v>
      </c>
      <c r="J361" s="4" t="s">
        <v>3014</v>
      </c>
      <c r="K361" s="6">
        <f>+917798824980</f>
        <v>917798824980</v>
      </c>
      <c r="L361" s="4" t="str">
        <f t="shared" si="1"/>
        <v>jayashree.raut2911@gmail.com917798824980</v>
      </c>
      <c r="M361" s="10" t="s">
        <v>67</v>
      </c>
      <c r="N361" s="4" t="b">
        <v>0</v>
      </c>
      <c r="O361" s="4" t="str">
        <f>VLOOKUP(A361,payment_ids!D:E,2,FALSE)</f>
        <v>upi</v>
      </c>
      <c r="P361" s="4" t="s">
        <v>69</v>
      </c>
      <c r="Q361" s="11">
        <v>44474.825694444444</v>
      </c>
      <c r="R361" s="4"/>
      <c r="S361" s="12" t="s">
        <v>3010</v>
      </c>
      <c r="T361" s="4"/>
      <c r="U361" s="4"/>
      <c r="V361" s="11"/>
      <c r="W361" s="4"/>
      <c r="X361" s="11"/>
      <c r="Y361" s="4"/>
      <c r="Z361" s="4"/>
      <c r="AA361" s="4"/>
      <c r="AB361" s="4"/>
      <c r="AC361" s="4"/>
      <c r="AD361" s="4"/>
      <c r="AE361" s="4"/>
      <c r="AF361" s="4"/>
      <c r="AG361" s="4"/>
      <c r="AH361" s="5"/>
      <c r="AI361" s="5"/>
      <c r="AJ361" s="5"/>
      <c r="AK361" s="5"/>
      <c r="AL361" s="5"/>
    </row>
    <row r="362">
      <c r="A362" s="4" t="str">
        <f>VLOOKUP(L362,payment_ids!C:D,2,FALSE)</f>
        <v>pay_H9UzxKvORjPziZ</v>
      </c>
      <c r="B362" s="4"/>
      <c r="C362" s="4" t="s">
        <v>3008</v>
      </c>
      <c r="D362" s="4">
        <v>50020.0</v>
      </c>
      <c r="E362" s="4"/>
      <c r="F362" s="4">
        <v>1.0</v>
      </c>
      <c r="G362" s="4">
        <v>99.0</v>
      </c>
      <c r="H362" s="4"/>
      <c r="I362" s="4">
        <v>99.0</v>
      </c>
      <c r="J362" s="4" t="s">
        <v>3015</v>
      </c>
      <c r="K362" s="6">
        <f>+916283015033</f>
        <v>916283015033</v>
      </c>
      <c r="L362" s="4" t="str">
        <f t="shared" si="1"/>
        <v>hemanthkumarjitta8912@gmail.com916283015033</v>
      </c>
      <c r="M362" s="10" t="s">
        <v>67</v>
      </c>
      <c r="N362" s="4" t="b">
        <v>0</v>
      </c>
      <c r="O362" s="4" t="str">
        <f>VLOOKUP(A362,payment_ids!D:E,2,FALSE)</f>
        <v>upi</v>
      </c>
      <c r="P362" s="4" t="s">
        <v>69</v>
      </c>
      <c r="Q362" s="11">
        <v>44505.78333333333</v>
      </c>
      <c r="R362" s="4"/>
      <c r="S362" s="12" t="s">
        <v>3010</v>
      </c>
      <c r="T362" s="4"/>
      <c r="U362" s="4"/>
      <c r="V362" s="11"/>
      <c r="W362" s="4"/>
      <c r="X362" s="11"/>
      <c r="Y362" s="4"/>
      <c r="Z362" s="4"/>
      <c r="AA362" s="4"/>
      <c r="AB362" s="4"/>
      <c r="AC362" s="4"/>
      <c r="AD362" s="4"/>
      <c r="AE362" s="4"/>
      <c r="AF362" s="4"/>
      <c r="AG362" s="4"/>
      <c r="AH362" s="5"/>
      <c r="AI362" s="5"/>
      <c r="AJ362" s="5"/>
      <c r="AK362" s="5"/>
      <c r="AL362" s="5"/>
    </row>
    <row r="363">
      <c r="A363" s="4" t="str">
        <f>VLOOKUP(L363,payment_ids!C:D,2,FALSE)</f>
        <v>pay_HB0LiOT7xoWR1J</v>
      </c>
      <c r="B363" s="4"/>
      <c r="C363" s="4" t="s">
        <v>3008</v>
      </c>
      <c r="D363" s="4">
        <v>50020.0</v>
      </c>
      <c r="E363" s="4"/>
      <c r="F363" s="4">
        <v>3.0</v>
      </c>
      <c r="G363" s="4">
        <v>199.0</v>
      </c>
      <c r="H363" s="4"/>
      <c r="I363" s="4">
        <v>199.0</v>
      </c>
      <c r="J363" s="4" t="s">
        <v>3016</v>
      </c>
      <c r="K363" s="6">
        <f>+919335925927</f>
        <v>919335925927</v>
      </c>
      <c r="L363" s="4" t="str">
        <f t="shared" si="1"/>
        <v>chandwanisudham@gmail.com919335925927</v>
      </c>
      <c r="M363" s="10" t="s">
        <v>67</v>
      </c>
      <c r="N363" s="4" t="b">
        <v>0</v>
      </c>
      <c r="O363" s="4" t="str">
        <f>VLOOKUP(A363,payment_ids!D:E,2,FALSE)</f>
        <v>upi</v>
      </c>
      <c r="P363" s="4" t="s">
        <v>69</v>
      </c>
      <c r="Q363" s="4" t="s">
        <v>3017</v>
      </c>
      <c r="R363" s="4"/>
      <c r="S363" s="12" t="s">
        <v>3010</v>
      </c>
      <c r="T363" s="4"/>
      <c r="U363" s="4"/>
      <c r="V363" s="11"/>
      <c r="W363" s="4"/>
      <c r="X363" s="11"/>
      <c r="Y363" s="4"/>
      <c r="Z363" s="4"/>
      <c r="AA363" s="4"/>
      <c r="AB363" s="4"/>
      <c r="AC363" s="4"/>
      <c r="AD363" s="4"/>
      <c r="AE363" s="4"/>
      <c r="AF363" s="4"/>
      <c r="AG363" s="4"/>
      <c r="AH363" s="5"/>
      <c r="AI363" s="5"/>
      <c r="AJ363" s="5"/>
      <c r="AK363" s="5"/>
      <c r="AL363" s="5"/>
    </row>
    <row r="364">
      <c r="A364" s="4" t="str">
        <f>VLOOKUP(L364,payment_ids!C:D,2,FALSE)</f>
        <v>pay_HBnTpAJO07q1LZ</v>
      </c>
      <c r="B364" s="4"/>
      <c r="C364" s="4" t="s">
        <v>3008</v>
      </c>
      <c r="D364" s="4">
        <v>50020.0</v>
      </c>
      <c r="E364" s="4"/>
      <c r="F364" s="4">
        <v>1.0</v>
      </c>
      <c r="G364" s="4">
        <v>99.0</v>
      </c>
      <c r="H364" s="4"/>
      <c r="I364" s="4">
        <v>99.0</v>
      </c>
      <c r="J364" s="4" t="s">
        <v>3018</v>
      </c>
      <c r="K364" s="6">
        <f>+918341799731</f>
        <v>918341799731</v>
      </c>
      <c r="L364" s="4" t="str">
        <f t="shared" si="1"/>
        <v>shamsia2082@gmail.com918341799731</v>
      </c>
      <c r="M364" s="10" t="s">
        <v>67</v>
      </c>
      <c r="N364" s="4" t="b">
        <v>0</v>
      </c>
      <c r="O364" s="4" t="str">
        <f>VLOOKUP(A364,payment_ids!D:E,2,FALSE)</f>
        <v>upi</v>
      </c>
      <c r="P364" s="4" t="s">
        <v>69</v>
      </c>
      <c r="Q364" s="4" t="s">
        <v>3019</v>
      </c>
      <c r="R364" s="4"/>
      <c r="S364" s="12" t="s">
        <v>3010</v>
      </c>
      <c r="T364" s="4"/>
      <c r="U364" s="4"/>
      <c r="V364" s="11"/>
      <c r="W364" s="4"/>
      <c r="X364" s="11"/>
      <c r="Y364" s="4"/>
      <c r="Z364" s="4"/>
      <c r="AA364" s="4"/>
      <c r="AB364" s="4"/>
      <c r="AC364" s="4"/>
      <c r="AD364" s="4"/>
      <c r="AE364" s="4"/>
      <c r="AF364" s="4"/>
      <c r="AG364" s="4"/>
      <c r="AH364" s="5"/>
      <c r="AI364" s="5"/>
      <c r="AJ364" s="5"/>
      <c r="AK364" s="5"/>
      <c r="AL364" s="5"/>
    </row>
    <row r="365">
      <c r="A365" s="4" t="str">
        <f>VLOOKUP(L365,payment_ids!C:D,2,FALSE)</f>
        <v>pay_HBpWbrGAYr2PKL</v>
      </c>
      <c r="B365" s="4"/>
      <c r="C365" s="4" t="s">
        <v>3008</v>
      </c>
      <c r="D365" s="4">
        <v>50020.0</v>
      </c>
      <c r="E365" s="4"/>
      <c r="F365" s="4">
        <v>1.0</v>
      </c>
      <c r="G365" s="4">
        <v>99.0</v>
      </c>
      <c r="H365" s="4"/>
      <c r="I365" s="4">
        <v>99.0</v>
      </c>
      <c r="J365" s="4" t="s">
        <v>3020</v>
      </c>
      <c r="K365" s="6">
        <f>+919850880232</f>
        <v>919850880232</v>
      </c>
      <c r="L365" s="4" t="str">
        <f t="shared" si="1"/>
        <v>mepraviien@gmail.com919850880232</v>
      </c>
      <c r="M365" s="10" t="s">
        <v>67</v>
      </c>
      <c r="N365" s="4" t="b">
        <v>0</v>
      </c>
      <c r="O365" s="4" t="str">
        <f>VLOOKUP(A365,payment_ids!D:E,2,FALSE)</f>
        <v>upi</v>
      </c>
      <c r="P365" s="4" t="s">
        <v>69</v>
      </c>
      <c r="Q365" s="4" t="s">
        <v>3021</v>
      </c>
      <c r="R365" s="4"/>
      <c r="S365" s="12" t="s">
        <v>3010</v>
      </c>
      <c r="T365" s="4"/>
      <c r="U365" s="4"/>
      <c r="V365" s="11"/>
      <c r="W365" s="4"/>
      <c r="X365" s="11"/>
      <c r="Y365" s="4"/>
      <c r="Z365" s="4"/>
      <c r="AA365" s="4"/>
      <c r="AB365" s="4"/>
      <c r="AC365" s="4"/>
      <c r="AD365" s="4"/>
      <c r="AE365" s="4"/>
      <c r="AF365" s="4"/>
      <c r="AG365" s="4"/>
      <c r="AH365" s="5"/>
      <c r="AI365" s="5"/>
      <c r="AJ365" s="5"/>
      <c r="AK365" s="5"/>
      <c r="AL365" s="5"/>
    </row>
    <row r="366">
      <c r="A366" s="4" t="str">
        <f>VLOOKUP(L366,payment_ids!C:D,2,FALSE)</f>
        <v>pay_HBxUlUTS0USBoL</v>
      </c>
      <c r="B366" s="4"/>
      <c r="C366" s="4" t="s">
        <v>3008</v>
      </c>
      <c r="D366" s="4">
        <v>50020.0</v>
      </c>
      <c r="E366" s="4"/>
      <c r="F366" s="4">
        <v>3.0</v>
      </c>
      <c r="G366" s="4">
        <v>199.0</v>
      </c>
      <c r="H366" s="4"/>
      <c r="I366" s="4">
        <v>199.0</v>
      </c>
      <c r="J366" s="4" t="s">
        <v>3022</v>
      </c>
      <c r="K366" s="6">
        <f>+919818661390</f>
        <v>919818661390</v>
      </c>
      <c r="L366" s="4" t="str">
        <f t="shared" si="1"/>
        <v>monaharjai@gmail.com919818661390</v>
      </c>
      <c r="M366" s="10" t="s">
        <v>67</v>
      </c>
      <c r="N366" s="4" t="b">
        <v>0</v>
      </c>
      <c r="O366" s="4" t="str">
        <f>VLOOKUP(A366,payment_ids!D:E,2,FALSE)</f>
        <v>card</v>
      </c>
      <c r="P366" s="4" t="s">
        <v>69</v>
      </c>
      <c r="Q366" s="4" t="s">
        <v>3023</v>
      </c>
      <c r="R366" s="4"/>
      <c r="S366" s="12" t="s">
        <v>3010</v>
      </c>
      <c r="T366" s="4"/>
      <c r="U366" s="4"/>
      <c r="V366" s="11"/>
      <c r="W366" s="4"/>
      <c r="X366" s="11"/>
      <c r="Y366" s="4"/>
      <c r="Z366" s="4"/>
      <c r="AA366" s="4"/>
      <c r="AB366" s="4"/>
      <c r="AC366" s="7"/>
      <c r="AD366" s="4"/>
      <c r="AE366" s="4"/>
      <c r="AF366" s="4"/>
      <c r="AG366" s="4"/>
      <c r="AH366" s="5"/>
      <c r="AI366" s="5"/>
      <c r="AJ366" s="5"/>
      <c r="AK366" s="5"/>
      <c r="AL366" s="5"/>
    </row>
    <row r="367">
      <c r="A367" s="4" t="str">
        <f>VLOOKUP(L367,payment_ids!C:D,2,FALSE)</f>
        <v>pay_HC8BDnSUVr5fZh</v>
      </c>
      <c r="B367" s="4"/>
      <c r="C367" s="4" t="s">
        <v>3008</v>
      </c>
      <c r="D367" s="4">
        <v>50020.0</v>
      </c>
      <c r="E367" s="4"/>
      <c r="F367" s="4">
        <v>1.0</v>
      </c>
      <c r="G367" s="4">
        <v>99.0</v>
      </c>
      <c r="H367" s="4"/>
      <c r="I367" s="4">
        <v>99.0</v>
      </c>
      <c r="J367" s="4" t="s">
        <v>3024</v>
      </c>
      <c r="K367" s="6">
        <f>+917006391899</f>
        <v>917006391899</v>
      </c>
      <c r="L367" s="4" t="str">
        <f t="shared" si="1"/>
        <v>naserr.mak2017@gmail.com917006391899</v>
      </c>
      <c r="M367" s="10" t="s">
        <v>67</v>
      </c>
      <c r="N367" s="4" t="b">
        <v>0</v>
      </c>
      <c r="O367" s="4" t="str">
        <f>VLOOKUP(A367,payment_ids!D:E,2,FALSE)</f>
        <v>card</v>
      </c>
      <c r="P367" s="4" t="s">
        <v>69</v>
      </c>
      <c r="Q367" s="4" t="s">
        <v>3025</v>
      </c>
      <c r="R367" s="4"/>
      <c r="S367" s="12" t="s">
        <v>3010</v>
      </c>
      <c r="T367" s="4"/>
      <c r="U367" s="4"/>
      <c r="V367" s="11"/>
      <c r="W367" s="4"/>
      <c r="X367" s="11"/>
      <c r="Y367" s="4"/>
      <c r="Z367" s="4"/>
      <c r="AA367" s="4"/>
      <c r="AB367" s="4"/>
      <c r="AC367" s="7"/>
      <c r="AD367" s="4"/>
      <c r="AE367" s="4"/>
      <c r="AF367" s="4"/>
      <c r="AG367" s="4"/>
      <c r="AH367" s="5"/>
      <c r="AI367" s="5"/>
      <c r="AJ367" s="5"/>
      <c r="AK367" s="5"/>
      <c r="AL367" s="5"/>
    </row>
    <row r="368">
      <c r="A368" s="4" t="str">
        <f>VLOOKUP(L368,payment_ids!C:D,2,FALSE)</f>
        <v>pay_HCz82FwPYHp9uL</v>
      </c>
      <c r="B368" s="4"/>
      <c r="C368" s="4" t="s">
        <v>3008</v>
      </c>
      <c r="D368" s="4">
        <v>50020.0</v>
      </c>
      <c r="E368" s="4"/>
      <c r="F368" s="4">
        <v>1.0</v>
      </c>
      <c r="G368" s="4">
        <v>99.0</v>
      </c>
      <c r="H368" s="4"/>
      <c r="I368" s="4">
        <v>99.0</v>
      </c>
      <c r="J368" s="4" t="s">
        <v>3026</v>
      </c>
      <c r="K368" s="6">
        <f>+918667724397</f>
        <v>918667724397</v>
      </c>
      <c r="L368" s="4" t="str">
        <f t="shared" si="1"/>
        <v>arthikamleshjain@gmail.com918667724397</v>
      </c>
      <c r="M368" s="10" t="s">
        <v>67</v>
      </c>
      <c r="N368" s="4" t="b">
        <v>0</v>
      </c>
      <c r="O368" s="4" t="str">
        <f>VLOOKUP(A368,payment_ids!D:E,2,FALSE)</f>
        <v>upi</v>
      </c>
      <c r="P368" s="4" t="s">
        <v>69</v>
      </c>
      <c r="Q368" s="4" t="s">
        <v>3027</v>
      </c>
      <c r="R368" s="4"/>
      <c r="S368" s="12" t="s">
        <v>3010</v>
      </c>
      <c r="T368" s="4"/>
      <c r="U368" s="4"/>
      <c r="V368" s="11"/>
      <c r="W368" s="4"/>
      <c r="X368" s="11"/>
      <c r="Y368" s="4"/>
      <c r="Z368" s="4"/>
      <c r="AA368" s="4"/>
      <c r="AB368" s="4"/>
      <c r="AC368" s="4"/>
      <c r="AD368" s="4"/>
      <c r="AE368" s="4"/>
      <c r="AF368" s="4"/>
      <c r="AG368" s="4"/>
      <c r="AH368" s="5"/>
      <c r="AI368" s="5"/>
      <c r="AJ368" s="5"/>
      <c r="AK368" s="5"/>
      <c r="AL368" s="5"/>
    </row>
    <row r="369">
      <c r="A369" s="4" t="str">
        <f>VLOOKUP(L369,payment_ids!C:D,2,FALSE)</f>
        <v>pay_HDbStflvffFINK</v>
      </c>
      <c r="B369" s="4"/>
      <c r="C369" s="4" t="s">
        <v>3008</v>
      </c>
      <c r="D369" s="4">
        <v>50020.0</v>
      </c>
      <c r="E369" s="4"/>
      <c r="F369" s="4">
        <v>1.0</v>
      </c>
      <c r="G369" s="4">
        <v>99.0</v>
      </c>
      <c r="H369" s="4"/>
      <c r="I369" s="4">
        <v>99.0</v>
      </c>
      <c r="J369" s="4" t="s">
        <v>3028</v>
      </c>
      <c r="K369" s="6">
        <f>+919971234747</f>
        <v>919971234747</v>
      </c>
      <c r="L369" s="4" t="str">
        <f t="shared" si="1"/>
        <v>ektak2020ahlconintl@gmail.com919971234747</v>
      </c>
      <c r="M369" s="10" t="s">
        <v>67</v>
      </c>
      <c r="N369" s="4" t="b">
        <v>0</v>
      </c>
      <c r="O369" s="4" t="str">
        <f>VLOOKUP(A369,payment_ids!D:E,2,FALSE)</f>
        <v>card</v>
      </c>
      <c r="P369" s="4" t="s">
        <v>69</v>
      </c>
      <c r="Q369" s="4" t="s">
        <v>3029</v>
      </c>
      <c r="R369" s="4"/>
      <c r="S369" s="12" t="s">
        <v>3010</v>
      </c>
      <c r="T369" s="4"/>
      <c r="U369" s="4"/>
      <c r="V369" s="11"/>
      <c r="W369" s="4"/>
      <c r="X369" s="11"/>
      <c r="Y369" s="4"/>
      <c r="Z369" s="4"/>
      <c r="AA369" s="4"/>
      <c r="AB369" s="4"/>
      <c r="AC369" s="4"/>
      <c r="AD369" s="4"/>
      <c r="AE369" s="4"/>
      <c r="AF369" s="4"/>
      <c r="AG369" s="4"/>
      <c r="AH369" s="5"/>
      <c r="AI369" s="5"/>
      <c r="AJ369" s="5"/>
      <c r="AK369" s="5"/>
      <c r="AL369" s="5"/>
    </row>
    <row r="370">
      <c r="A370" s="4" t="str">
        <f>VLOOKUP(L370,payment_ids!C:D,2,FALSE)</f>
        <v>pay_HDprYp2ag8y4Rk</v>
      </c>
      <c r="B370" s="4"/>
      <c r="C370" s="4" t="s">
        <v>3008</v>
      </c>
      <c r="D370" s="4">
        <v>50020.0</v>
      </c>
      <c r="E370" s="4"/>
      <c r="F370" s="4">
        <v>1.0</v>
      </c>
      <c r="G370" s="4">
        <v>99.0</v>
      </c>
      <c r="H370" s="4"/>
      <c r="I370" s="4">
        <v>99.0</v>
      </c>
      <c r="J370" s="4" t="s">
        <v>3030</v>
      </c>
      <c r="K370" s="6">
        <f>+918121461070</f>
        <v>918121461070</v>
      </c>
      <c r="L370" s="4" t="str">
        <f t="shared" si="1"/>
        <v>nagendrababu785@gmail.com918121461070</v>
      </c>
      <c r="M370" s="10" t="s">
        <v>67</v>
      </c>
      <c r="N370" s="4" t="b">
        <v>0</v>
      </c>
      <c r="O370" s="4" t="str">
        <f>VLOOKUP(A370,payment_ids!D:E,2,FALSE)</f>
        <v>wallet</v>
      </c>
      <c r="P370" s="4" t="s">
        <v>69</v>
      </c>
      <c r="Q370" s="4" t="s">
        <v>3031</v>
      </c>
      <c r="R370" s="4"/>
      <c r="S370" s="12" t="s">
        <v>3010</v>
      </c>
      <c r="T370" s="4"/>
      <c r="U370" s="4"/>
      <c r="V370" s="11"/>
      <c r="W370" s="4"/>
      <c r="X370" s="11"/>
      <c r="Y370" s="4"/>
      <c r="Z370" s="4"/>
      <c r="AA370" s="4"/>
      <c r="AB370" s="4"/>
      <c r="AC370" s="4"/>
      <c r="AD370" s="4"/>
      <c r="AE370" s="4"/>
      <c r="AF370" s="4"/>
      <c r="AG370" s="4"/>
      <c r="AH370" s="5"/>
      <c r="AI370" s="5"/>
      <c r="AJ370" s="5"/>
      <c r="AK370" s="5"/>
      <c r="AL370" s="5"/>
    </row>
    <row r="371">
      <c r="A371" s="4" t="str">
        <f>VLOOKUP(L371,payment_ids!C:D,2,FALSE)</f>
        <v>pay_HDu303Vj5q0Zwp</v>
      </c>
      <c r="B371" s="4"/>
      <c r="C371" s="4" t="s">
        <v>3008</v>
      </c>
      <c r="D371" s="4">
        <v>50020.0</v>
      </c>
      <c r="E371" s="4"/>
      <c r="F371" s="4">
        <v>1.0</v>
      </c>
      <c r="G371" s="4">
        <v>99.0</v>
      </c>
      <c r="H371" s="4"/>
      <c r="I371" s="4">
        <v>99.0</v>
      </c>
      <c r="J371" s="4" t="s">
        <v>3032</v>
      </c>
      <c r="K371" s="6">
        <f>+919870672128</f>
        <v>919870672128</v>
      </c>
      <c r="L371" s="4" t="str">
        <f t="shared" si="1"/>
        <v>psiddhita@gmail.com919870672128</v>
      </c>
      <c r="M371" s="10" t="s">
        <v>67</v>
      </c>
      <c r="N371" s="4" t="b">
        <v>0</v>
      </c>
      <c r="O371" s="4" t="str">
        <f>VLOOKUP(A371,payment_ids!D:E,2,FALSE)</f>
        <v>upi</v>
      </c>
      <c r="P371" s="4" t="s">
        <v>69</v>
      </c>
      <c r="Q371" s="4" t="s">
        <v>3033</v>
      </c>
      <c r="R371" s="4"/>
      <c r="S371" s="12" t="s">
        <v>3010</v>
      </c>
      <c r="T371" s="4"/>
      <c r="U371" s="4"/>
      <c r="V371" s="11"/>
      <c r="W371" s="4"/>
      <c r="X371" s="11"/>
      <c r="Y371" s="4"/>
      <c r="Z371" s="4"/>
      <c r="AA371" s="4"/>
      <c r="AB371" s="4"/>
      <c r="AC371" s="4"/>
      <c r="AD371" s="4"/>
      <c r="AE371" s="4"/>
      <c r="AF371" s="4"/>
      <c r="AG371" s="4"/>
      <c r="AH371" s="5"/>
      <c r="AI371" s="5"/>
      <c r="AJ371" s="5"/>
      <c r="AK371" s="5"/>
      <c r="AL371" s="5"/>
    </row>
    <row r="372">
      <c r="A372" s="4" t="str">
        <f>VLOOKUP(L372,payment_ids!C:D,2,FALSE)</f>
        <v>pay_HDtvNmWxgoNGtQ</v>
      </c>
      <c r="B372" s="4"/>
      <c r="C372" s="4" t="s">
        <v>3008</v>
      </c>
      <c r="D372" s="4">
        <v>50020.0</v>
      </c>
      <c r="E372" s="4"/>
      <c r="F372" s="4">
        <v>6.0</v>
      </c>
      <c r="G372" s="4">
        <v>349.0</v>
      </c>
      <c r="H372" s="4"/>
      <c r="I372" s="4">
        <v>349.0</v>
      </c>
      <c r="J372" s="4" t="s">
        <v>3034</v>
      </c>
      <c r="K372" s="6">
        <f>+918144383673</f>
        <v>918144383673</v>
      </c>
      <c r="L372" s="4" t="str">
        <f t="shared" si="1"/>
        <v>lopanayak1993@gmail.com918144383673</v>
      </c>
      <c r="M372" s="10" t="s">
        <v>67</v>
      </c>
      <c r="N372" s="4" t="b">
        <v>0</v>
      </c>
      <c r="O372" s="4" t="str">
        <f>VLOOKUP(A372,payment_ids!D:E,2,FALSE)</f>
        <v>upi</v>
      </c>
      <c r="P372" s="4" t="s">
        <v>69</v>
      </c>
      <c r="Q372" s="4" t="s">
        <v>3035</v>
      </c>
      <c r="R372" s="4"/>
      <c r="S372" s="12" t="s">
        <v>3010</v>
      </c>
      <c r="T372" s="4"/>
      <c r="U372" s="4"/>
      <c r="V372" s="11"/>
      <c r="W372" s="4"/>
      <c r="X372" s="11"/>
      <c r="Y372" s="4"/>
      <c r="Z372" s="4"/>
      <c r="AA372" s="4"/>
      <c r="AB372" s="4"/>
      <c r="AC372" s="4"/>
      <c r="AD372" s="4"/>
      <c r="AE372" s="4"/>
      <c r="AF372" s="4"/>
      <c r="AG372" s="4"/>
      <c r="AH372" s="5"/>
      <c r="AI372" s="5"/>
      <c r="AJ372" s="5"/>
      <c r="AK372" s="5"/>
      <c r="AL372" s="5"/>
    </row>
    <row r="373">
      <c r="A373" s="4" t="str">
        <f>VLOOKUP(L373,payment_ids!C:D,2,FALSE)</f>
        <v>pay_HDlHg1bO3DXoEJ</v>
      </c>
      <c r="B373" s="4"/>
      <c r="C373" s="4" t="s">
        <v>3008</v>
      </c>
      <c r="D373" s="4">
        <v>50020.0</v>
      </c>
      <c r="E373" s="4"/>
      <c r="F373" s="4">
        <v>6.0</v>
      </c>
      <c r="G373" s="4">
        <v>349.0</v>
      </c>
      <c r="H373" s="4"/>
      <c r="I373" s="4">
        <v>349.0</v>
      </c>
      <c r="J373" s="4" t="s">
        <v>3036</v>
      </c>
      <c r="K373" s="6">
        <f>+919004973905</f>
        <v>919004973905</v>
      </c>
      <c r="L373" s="4" t="str">
        <f t="shared" si="1"/>
        <v>bage.education000@gmail.com919004973905</v>
      </c>
      <c r="M373" s="10" t="s">
        <v>67</v>
      </c>
      <c r="N373" s="4" t="b">
        <v>0</v>
      </c>
      <c r="O373" s="4" t="str">
        <f>VLOOKUP(A373,payment_ids!D:E,2,FALSE)</f>
        <v>wallet</v>
      </c>
      <c r="P373" s="4" t="s">
        <v>69</v>
      </c>
      <c r="Q373" s="4" t="s">
        <v>3037</v>
      </c>
      <c r="R373" s="4"/>
      <c r="S373" s="12" t="s">
        <v>3010</v>
      </c>
      <c r="T373" s="4"/>
      <c r="U373" s="4"/>
      <c r="V373" s="11"/>
      <c r="W373" s="4"/>
      <c r="X373" s="11"/>
      <c r="Y373" s="4"/>
      <c r="Z373" s="4"/>
      <c r="AA373" s="4"/>
      <c r="AB373" s="4"/>
      <c r="AC373" s="4"/>
      <c r="AD373" s="4"/>
      <c r="AE373" s="4"/>
      <c r="AF373" s="4"/>
      <c r="AG373" s="4"/>
      <c r="AH373" s="5"/>
      <c r="AI373" s="5"/>
      <c r="AJ373" s="5"/>
      <c r="AK373" s="5"/>
      <c r="AL373" s="5"/>
    </row>
    <row r="374">
      <c r="A374" s="4" t="str">
        <f>VLOOKUP(L374,payment_ids!C:D,2,FALSE)</f>
        <v>pay_HDxciNf7iIn6l8</v>
      </c>
      <c r="B374" s="4"/>
      <c r="C374" s="4" t="s">
        <v>3008</v>
      </c>
      <c r="D374" s="4">
        <v>50020.0</v>
      </c>
      <c r="E374" s="4"/>
      <c r="F374" s="4">
        <v>3.0</v>
      </c>
      <c r="G374" s="4">
        <v>199.0</v>
      </c>
      <c r="H374" s="4"/>
      <c r="I374" s="4">
        <v>199.0</v>
      </c>
      <c r="J374" s="4" t="s">
        <v>3038</v>
      </c>
      <c r="K374" s="6">
        <f>+919833199273</f>
        <v>919833199273</v>
      </c>
      <c r="L374" s="4" t="str">
        <f t="shared" si="1"/>
        <v>sangogishiv@gmail.com919833199273</v>
      </c>
      <c r="M374" s="10" t="s">
        <v>67</v>
      </c>
      <c r="N374" s="4" t="b">
        <v>0</v>
      </c>
      <c r="O374" s="4" t="str">
        <f>VLOOKUP(A374,payment_ids!D:E,2,FALSE)</f>
        <v>card</v>
      </c>
      <c r="P374" s="4" t="s">
        <v>69</v>
      </c>
      <c r="Q374" s="4" t="s">
        <v>3039</v>
      </c>
      <c r="R374" s="4"/>
      <c r="S374" s="12" t="s">
        <v>3010</v>
      </c>
      <c r="T374" s="4"/>
      <c r="U374" s="4"/>
      <c r="V374" s="11"/>
      <c r="W374" s="4"/>
      <c r="X374" s="11"/>
      <c r="Y374" s="4"/>
      <c r="Z374" s="4"/>
      <c r="AA374" s="4"/>
      <c r="AB374" s="4"/>
      <c r="AC374" s="4"/>
      <c r="AD374" s="4"/>
      <c r="AE374" s="4"/>
      <c r="AF374" s="4"/>
      <c r="AG374" s="4"/>
      <c r="AH374" s="5"/>
      <c r="AI374" s="5"/>
      <c r="AJ374" s="5"/>
      <c r="AK374" s="5"/>
      <c r="AL374" s="5"/>
    </row>
    <row r="375">
      <c r="A375" s="4" t="str">
        <f>VLOOKUP(L375,payment_ids!C:D,2,FALSE)</f>
        <v>pay_HEhFVJ52wZWQU5</v>
      </c>
      <c r="B375" s="4"/>
      <c r="C375" s="4" t="s">
        <v>3008</v>
      </c>
      <c r="D375" s="4">
        <v>50020.0</v>
      </c>
      <c r="E375" s="4"/>
      <c r="F375" s="4">
        <v>1.0</v>
      </c>
      <c r="G375" s="4">
        <v>99.0</v>
      </c>
      <c r="H375" s="4"/>
      <c r="I375" s="4">
        <v>99.0</v>
      </c>
      <c r="J375" s="4" t="s">
        <v>3040</v>
      </c>
      <c r="K375" s="6">
        <f>+919823440365</f>
        <v>919823440365</v>
      </c>
      <c r="L375" s="4" t="str">
        <f t="shared" si="1"/>
        <v>saumyasingh7688@gmail.com919823440365</v>
      </c>
      <c r="M375" s="10" t="s">
        <v>67</v>
      </c>
      <c r="N375" s="4" t="b">
        <v>0</v>
      </c>
      <c r="O375" s="4" t="str">
        <f>VLOOKUP(A375,payment_ids!D:E,2,FALSE)</f>
        <v>upi</v>
      </c>
      <c r="P375" s="4" t="s">
        <v>69</v>
      </c>
      <c r="Q375" s="4" t="s">
        <v>3041</v>
      </c>
      <c r="R375" s="4"/>
      <c r="S375" s="12" t="s">
        <v>3010</v>
      </c>
      <c r="T375" s="4"/>
      <c r="U375" s="4"/>
      <c r="V375" s="11"/>
      <c r="W375" s="4"/>
      <c r="X375" s="11"/>
      <c r="Y375" s="4"/>
      <c r="Z375" s="4"/>
      <c r="AA375" s="4"/>
      <c r="AB375" s="4"/>
      <c r="AC375" s="4"/>
      <c r="AD375" s="4"/>
      <c r="AE375" s="4"/>
      <c r="AF375" s="4"/>
      <c r="AG375" s="4"/>
      <c r="AH375" s="5"/>
      <c r="AI375" s="5"/>
      <c r="AJ375" s="5"/>
      <c r="AK375" s="5"/>
      <c r="AL375" s="5"/>
    </row>
    <row r="376">
      <c r="A376" s="4" t="str">
        <f>VLOOKUP(L376,payment_ids!C:D,2,FALSE)</f>
        <v>pay_HEyNtMg57wXFcL</v>
      </c>
      <c r="B376" s="4"/>
      <c r="C376" s="4" t="s">
        <v>3008</v>
      </c>
      <c r="D376" s="4">
        <v>50020.0</v>
      </c>
      <c r="E376" s="4"/>
      <c r="F376" s="4">
        <v>1.0</v>
      </c>
      <c r="G376" s="4">
        <v>99.0</v>
      </c>
      <c r="H376" s="4"/>
      <c r="I376" s="4">
        <v>99.0</v>
      </c>
      <c r="J376" s="4" t="s">
        <v>3042</v>
      </c>
      <c r="K376" s="6">
        <f>+918921870369</f>
        <v>918921870369</v>
      </c>
      <c r="L376" s="4" t="str">
        <f t="shared" si="1"/>
        <v>ralf9219@gmail.com918921870369</v>
      </c>
      <c r="M376" s="10" t="s">
        <v>67</v>
      </c>
      <c r="N376" s="4" t="b">
        <v>0</v>
      </c>
      <c r="O376" s="4" t="str">
        <f>VLOOKUP(A376,payment_ids!D:E,2,FALSE)</f>
        <v>upi</v>
      </c>
      <c r="P376" s="4" t="s">
        <v>69</v>
      </c>
      <c r="Q376" s="4" t="s">
        <v>3043</v>
      </c>
      <c r="R376" s="4"/>
      <c r="S376" s="12" t="s">
        <v>3010</v>
      </c>
      <c r="T376" s="4"/>
      <c r="U376" s="4"/>
      <c r="V376" s="11"/>
      <c r="W376" s="4"/>
      <c r="X376" s="11"/>
      <c r="Y376" s="4"/>
      <c r="Z376" s="4"/>
      <c r="AA376" s="4"/>
      <c r="AB376" s="4"/>
      <c r="AC376" s="4"/>
      <c r="AD376" s="4"/>
      <c r="AE376" s="4"/>
      <c r="AF376" s="4"/>
      <c r="AG376" s="4"/>
      <c r="AH376" s="5"/>
      <c r="AI376" s="5"/>
      <c r="AJ376" s="5"/>
      <c r="AK376" s="5"/>
      <c r="AL376" s="5"/>
    </row>
    <row r="377">
      <c r="A377" s="4" t="str">
        <f>VLOOKUP(L377,payment_ids!C:D,2,FALSE)</f>
        <v>pay_HFewpO44xSpeGo</v>
      </c>
      <c r="B377" s="4"/>
      <c r="C377" s="4" t="s">
        <v>3008</v>
      </c>
      <c r="D377" s="4">
        <v>50020.0</v>
      </c>
      <c r="E377" s="5"/>
      <c r="F377" s="4">
        <v>1.0</v>
      </c>
      <c r="G377" s="4">
        <v>99.0</v>
      </c>
      <c r="H377" s="4"/>
      <c r="I377" s="4">
        <v>99.0</v>
      </c>
      <c r="J377" s="4" t="s">
        <v>3044</v>
      </c>
      <c r="K377" s="5">
        <f>+919867252272</f>
        <v>919867252272</v>
      </c>
      <c r="L377" s="4" t="str">
        <f t="shared" si="1"/>
        <v>bhavnarjha@gmail.com919867252272</v>
      </c>
      <c r="M377" s="10" t="s">
        <v>67</v>
      </c>
      <c r="N377" s="4" t="b">
        <v>0</v>
      </c>
      <c r="O377" s="4" t="str">
        <f>VLOOKUP(A377,payment_ids!D:E,2,FALSE)</f>
        <v>upi</v>
      </c>
      <c r="P377" s="4" t="s">
        <v>69</v>
      </c>
      <c r="Q377" s="4" t="s">
        <v>3045</v>
      </c>
      <c r="R377" s="4"/>
      <c r="S377" s="12" t="s">
        <v>3010</v>
      </c>
      <c r="T377" s="5"/>
      <c r="U377" s="4"/>
      <c r="V377" s="11"/>
      <c r="W377" s="4"/>
      <c r="X377" s="11"/>
      <c r="Y377" s="4"/>
      <c r="Z377" s="4"/>
      <c r="AA377" s="4"/>
      <c r="AB377" s="4"/>
      <c r="AC377" s="4"/>
      <c r="AD377" s="4"/>
      <c r="AE377" s="4"/>
      <c r="AF377" s="4"/>
      <c r="AG377" s="4"/>
      <c r="AH377" s="5"/>
      <c r="AI377" s="5"/>
      <c r="AJ377" s="5"/>
      <c r="AK377" s="5"/>
      <c r="AL377" s="5"/>
    </row>
    <row r="378">
      <c r="A378" s="4" t="str">
        <f>VLOOKUP(L378,payment_ids!C:D,2,FALSE)</f>
        <v>pay_HFz773rCt6JFWT</v>
      </c>
      <c r="B378" s="4"/>
      <c r="C378" s="4" t="s">
        <v>3008</v>
      </c>
      <c r="D378" s="4">
        <v>50020.0</v>
      </c>
      <c r="E378" s="5"/>
      <c r="F378" s="4">
        <v>1.0</v>
      </c>
      <c r="G378" s="4">
        <v>99.0</v>
      </c>
      <c r="H378" s="4"/>
      <c r="I378" s="4">
        <v>99.0</v>
      </c>
      <c r="J378" s="4" t="s">
        <v>3046</v>
      </c>
      <c r="K378" s="5">
        <f>+919840946836</f>
        <v>919840946836</v>
      </c>
      <c r="L378" s="4" t="str">
        <f t="shared" si="1"/>
        <v>akshaya.padma@gmail.com919840946836</v>
      </c>
      <c r="M378" s="10" t="s">
        <v>67</v>
      </c>
      <c r="N378" s="4" t="b">
        <v>0</v>
      </c>
      <c r="O378" s="4" t="str">
        <f>VLOOKUP(A378,payment_ids!D:E,2,FALSE)</f>
        <v>upi</v>
      </c>
      <c r="P378" s="4" t="s">
        <v>69</v>
      </c>
      <c r="Q378" s="4" t="s">
        <v>3047</v>
      </c>
      <c r="R378" s="4"/>
      <c r="S378" s="12" t="s">
        <v>3010</v>
      </c>
      <c r="T378" s="5"/>
      <c r="U378" s="4"/>
      <c r="V378" s="11"/>
      <c r="W378" s="4"/>
      <c r="X378" s="11"/>
      <c r="Y378" s="4"/>
      <c r="Z378" s="4"/>
      <c r="AA378" s="4"/>
      <c r="AB378" s="4"/>
      <c r="AC378" s="4"/>
      <c r="AD378" s="4"/>
      <c r="AE378" s="4"/>
      <c r="AF378" s="4"/>
      <c r="AG378" s="4"/>
      <c r="AH378" s="5"/>
      <c r="AI378" s="5"/>
      <c r="AJ378" s="5"/>
      <c r="AK378" s="5"/>
      <c r="AL378" s="5"/>
    </row>
    <row r="379">
      <c r="A379" s="4" t="str">
        <f>VLOOKUP(L379,payment_ids!C:D,2,FALSE)</f>
        <v>pay_HIwtxX4qCjZazf</v>
      </c>
      <c r="B379" s="4"/>
      <c r="C379" s="4" t="s">
        <v>3008</v>
      </c>
      <c r="D379" s="4">
        <v>50020.0</v>
      </c>
      <c r="E379" s="5"/>
      <c r="F379" s="4">
        <v>6.0</v>
      </c>
      <c r="G379" s="4">
        <v>349.0</v>
      </c>
      <c r="H379" s="4"/>
      <c r="I379" s="4">
        <v>349.0</v>
      </c>
      <c r="J379" s="4" t="s">
        <v>3048</v>
      </c>
      <c r="K379" s="5">
        <f>+919400802624</f>
        <v>919400802624</v>
      </c>
      <c r="L379" s="4" t="str">
        <f t="shared" si="1"/>
        <v>kabeerputhoor@gmail.com919400802624</v>
      </c>
      <c r="M379" s="10" t="s">
        <v>67</v>
      </c>
      <c r="N379" s="4" t="b">
        <v>0</v>
      </c>
      <c r="O379" s="4" t="str">
        <f>VLOOKUP(A379,payment_ids!D:E,2,FALSE)</f>
        <v>upi</v>
      </c>
      <c r="P379" s="4" t="s">
        <v>69</v>
      </c>
      <c r="Q379" s="11">
        <v>44292.665972222225</v>
      </c>
      <c r="R379" s="4"/>
      <c r="S379" s="12" t="s">
        <v>3049</v>
      </c>
      <c r="T379" s="5"/>
      <c r="U379" s="4"/>
      <c r="V379" s="11"/>
      <c r="W379" s="4"/>
      <c r="X379" s="11"/>
      <c r="Y379" s="4"/>
      <c r="Z379" s="4"/>
      <c r="AA379" s="4"/>
      <c r="AB379" s="4"/>
      <c r="AC379" s="4"/>
      <c r="AD379" s="4"/>
      <c r="AE379" s="4"/>
      <c r="AF379" s="4"/>
      <c r="AG379" s="4"/>
      <c r="AH379" s="5"/>
      <c r="AI379" s="5"/>
      <c r="AJ379" s="5"/>
      <c r="AK379" s="5"/>
      <c r="AL379" s="5"/>
    </row>
    <row r="380">
      <c r="A380" s="4" t="str">
        <f>VLOOKUP(L380,payment_ids!C:D,2,FALSE)</f>
        <v>pay_HJmSbN99Y64nmq</v>
      </c>
      <c r="B380" s="4"/>
      <c r="C380" s="4" t="s">
        <v>3008</v>
      </c>
      <c r="D380" s="4">
        <v>50020.0</v>
      </c>
      <c r="E380" s="5"/>
      <c r="F380" s="4">
        <v>3.0</v>
      </c>
      <c r="G380" s="4">
        <v>199.0</v>
      </c>
      <c r="H380" s="4"/>
      <c r="I380" s="4">
        <v>199.0</v>
      </c>
      <c r="J380" s="4" t="s">
        <v>3050</v>
      </c>
      <c r="K380" s="5">
        <f>+919284395413</f>
        <v>919284395413</v>
      </c>
      <c r="L380" s="4" t="str">
        <f t="shared" si="1"/>
        <v>poojaparashar90@gmail.com919284395413</v>
      </c>
      <c r="M380" s="10" t="s">
        <v>67</v>
      </c>
      <c r="N380" s="4" t="b">
        <v>0</v>
      </c>
      <c r="O380" s="4" t="str">
        <f>VLOOKUP(A380,payment_ids!D:E,2,FALSE)</f>
        <v>upi</v>
      </c>
      <c r="P380" s="4" t="s">
        <v>69</v>
      </c>
      <c r="Q380" s="11">
        <v>44353.76736111111</v>
      </c>
      <c r="R380" s="4"/>
      <c r="S380" s="12" t="s">
        <v>3049</v>
      </c>
      <c r="T380" s="5"/>
      <c r="U380" s="4"/>
      <c r="V380" s="11"/>
      <c r="W380" s="4"/>
      <c r="X380" s="11"/>
      <c r="Y380" s="4"/>
      <c r="Z380" s="4"/>
      <c r="AA380" s="4"/>
      <c r="AB380" s="4"/>
      <c r="AC380" s="4"/>
      <c r="AD380" s="4"/>
      <c r="AE380" s="4"/>
      <c r="AF380" s="4"/>
      <c r="AG380" s="4"/>
      <c r="AH380" s="5"/>
      <c r="AI380" s="5"/>
      <c r="AJ380" s="5"/>
      <c r="AK380" s="5"/>
      <c r="AL380" s="5"/>
    </row>
    <row r="381">
      <c r="A381" s="4" t="str">
        <f>VLOOKUP(L381,payment_ids!C:D,2,FALSE)</f>
        <v>pay_HK2rRcyvQGCJaq</v>
      </c>
      <c r="B381" s="4"/>
      <c r="C381" s="4" t="s">
        <v>3008</v>
      </c>
      <c r="D381" s="4">
        <v>50020.0</v>
      </c>
      <c r="E381" s="5"/>
      <c r="F381" s="4">
        <v>1.0</v>
      </c>
      <c r="G381" s="4">
        <v>99.0</v>
      </c>
      <c r="H381" s="4"/>
      <c r="I381" s="4">
        <v>99.0</v>
      </c>
      <c r="J381" s="4" t="s">
        <v>3051</v>
      </c>
      <c r="K381" s="5">
        <f>+917676374459</f>
        <v>917676374459</v>
      </c>
      <c r="L381" s="4" t="str">
        <f t="shared" si="1"/>
        <v>sureka.shubham1@gmail.com917676374459</v>
      </c>
      <c r="M381" s="10" t="s">
        <v>67</v>
      </c>
      <c r="N381" s="4" t="b">
        <v>0</v>
      </c>
      <c r="O381" s="4" t="str">
        <f>VLOOKUP(A381,payment_ids!D:E,2,FALSE)</f>
        <v>upi</v>
      </c>
      <c r="P381" s="4" t="s">
        <v>69</v>
      </c>
      <c r="Q381" s="11">
        <v>44383.43472222222</v>
      </c>
      <c r="R381" s="4"/>
      <c r="S381" s="12" t="s">
        <v>3010</v>
      </c>
      <c r="T381" s="5"/>
      <c r="U381" s="4"/>
      <c r="V381" s="11"/>
      <c r="W381" s="4"/>
      <c r="X381" s="11"/>
      <c r="Y381" s="4"/>
      <c r="Z381" s="4"/>
      <c r="AA381" s="4"/>
      <c r="AB381" s="4"/>
      <c r="AC381" s="4"/>
      <c r="AD381" s="4"/>
      <c r="AE381" s="4"/>
      <c r="AF381" s="4"/>
      <c r="AG381" s="4"/>
      <c r="AH381" s="5"/>
      <c r="AI381" s="5"/>
      <c r="AJ381" s="5"/>
      <c r="AK381" s="5"/>
      <c r="AL381" s="5"/>
    </row>
    <row r="382">
      <c r="A382" s="4" t="str">
        <f>VLOOKUP(L382,payment_ids!C:D,2,FALSE)</f>
        <v>pay_HKCtMfGCBQTiww</v>
      </c>
      <c r="B382" s="4"/>
      <c r="C382" s="4" t="s">
        <v>3008</v>
      </c>
      <c r="D382" s="4">
        <v>50020.0</v>
      </c>
      <c r="E382" s="5"/>
      <c r="F382" s="4">
        <v>3.0</v>
      </c>
      <c r="G382" s="4">
        <v>199.0</v>
      </c>
      <c r="H382" s="4"/>
      <c r="I382" s="4">
        <v>199.0</v>
      </c>
      <c r="J382" s="4" t="s">
        <v>3052</v>
      </c>
      <c r="K382" s="5">
        <f>+919686668283</f>
        <v>919686668283</v>
      </c>
      <c r="L382" s="4" t="str">
        <f t="shared" si="1"/>
        <v>maryamnawaz.in@gmail.com919686668283</v>
      </c>
      <c r="M382" s="10" t="s">
        <v>67</v>
      </c>
      <c r="N382" s="4" t="b">
        <v>0</v>
      </c>
      <c r="O382" s="4" t="str">
        <f>VLOOKUP(A382,payment_ids!D:E,2,FALSE)</f>
        <v>upi</v>
      </c>
      <c r="P382" s="4" t="s">
        <v>69</v>
      </c>
      <c r="Q382" s="11">
        <v>44383.84375</v>
      </c>
      <c r="R382" s="4"/>
      <c r="S382" s="12" t="s">
        <v>3010</v>
      </c>
      <c r="T382" s="5"/>
      <c r="U382" s="4"/>
      <c r="V382" s="11"/>
      <c r="W382" s="4"/>
      <c r="X382" s="11"/>
      <c r="Y382" s="4"/>
      <c r="Z382" s="4"/>
      <c r="AA382" s="4"/>
      <c r="AB382" s="4"/>
      <c r="AC382" s="7"/>
      <c r="AD382" s="4"/>
      <c r="AE382" s="4"/>
      <c r="AF382" s="4"/>
      <c r="AG382" s="4"/>
      <c r="AH382" s="5"/>
      <c r="AI382" s="5"/>
      <c r="AJ382" s="5"/>
      <c r="AK382" s="5"/>
      <c r="AL382" s="5"/>
    </row>
    <row r="383">
      <c r="A383" s="4" t="str">
        <f>VLOOKUP(L383,payment_ids!C:D,2,FALSE)</f>
        <v>pay_HM5jw4J9vzKFNV</v>
      </c>
      <c r="B383" s="4"/>
      <c r="C383" s="4" t="s">
        <v>3008</v>
      </c>
      <c r="D383" s="4">
        <v>50020.0</v>
      </c>
      <c r="E383" s="5"/>
      <c r="F383" s="4">
        <v>1.0</v>
      </c>
      <c r="G383" s="4">
        <v>99.0</v>
      </c>
      <c r="H383" s="4"/>
      <c r="I383" s="4">
        <v>99.0</v>
      </c>
      <c r="J383" s="4" t="s">
        <v>3053</v>
      </c>
      <c r="K383" s="5">
        <f>+918769792927</f>
        <v>918769792927</v>
      </c>
      <c r="L383" s="4" t="str">
        <f t="shared" si="1"/>
        <v>kaustubh.khandelwal4@gmail.com918769792927</v>
      </c>
      <c r="M383" s="10" t="s">
        <v>67</v>
      </c>
      <c r="N383" s="4" t="b">
        <v>0</v>
      </c>
      <c r="O383" s="4" t="str">
        <f>VLOOKUP(A383,payment_ids!D:E,2,FALSE)</f>
        <v>upi</v>
      </c>
      <c r="P383" s="4" t="s">
        <v>69</v>
      </c>
      <c r="Q383" s="4" t="s">
        <v>3054</v>
      </c>
      <c r="R383" s="4"/>
      <c r="S383" s="12" t="s">
        <v>3010</v>
      </c>
      <c r="T383" s="4" t="s">
        <v>2444</v>
      </c>
      <c r="U383" s="4"/>
      <c r="V383" s="11"/>
      <c r="W383" s="4"/>
      <c r="X383" s="11"/>
      <c r="Y383" s="4"/>
      <c r="Z383" s="4"/>
      <c r="AA383" s="4"/>
      <c r="AB383" s="4"/>
      <c r="AC383" s="4"/>
      <c r="AD383" s="4"/>
      <c r="AE383" s="4"/>
      <c r="AF383" s="4"/>
      <c r="AG383" s="4"/>
      <c r="AH383" s="5"/>
      <c r="AI383" s="5"/>
      <c r="AJ383" s="5"/>
      <c r="AK383" s="5"/>
      <c r="AL383" s="5"/>
    </row>
    <row r="384">
      <c r="A384" s="4" t="str">
        <f>VLOOKUP(L384,payment_ids!C:D,2,FALSE)</f>
        <v>pay_H5uhDTPxn4p5GB</v>
      </c>
      <c r="B384" s="4"/>
      <c r="C384" s="4" t="s">
        <v>3055</v>
      </c>
      <c r="D384" s="4">
        <v>49991.0</v>
      </c>
      <c r="E384" s="4"/>
      <c r="F384" s="4">
        <v>1.0</v>
      </c>
      <c r="G384" s="4">
        <v>99.0</v>
      </c>
      <c r="H384" s="4"/>
      <c r="I384" s="4">
        <v>99.0</v>
      </c>
      <c r="J384" s="4" t="s">
        <v>3056</v>
      </c>
      <c r="K384" s="6">
        <f>+919205219728</f>
        <v>919205219728</v>
      </c>
      <c r="L384" s="4" t="str">
        <f t="shared" si="1"/>
        <v>msnidhi.sharma09@gmail.com919205219728</v>
      </c>
      <c r="M384" s="10" t="s">
        <v>67</v>
      </c>
      <c r="N384" s="4" t="b">
        <v>0</v>
      </c>
      <c r="O384" s="4" t="str">
        <f>VLOOKUP(A384,payment_ids!D:E,2,FALSE)</f>
        <v>upi</v>
      </c>
      <c r="P384" s="4" t="s">
        <v>69</v>
      </c>
      <c r="Q384" s="11">
        <v>44232.72361111111</v>
      </c>
      <c r="R384" s="4"/>
      <c r="S384" s="12" t="s">
        <v>3057</v>
      </c>
      <c r="T384" s="4"/>
      <c r="U384" s="4"/>
      <c r="V384" s="11"/>
      <c r="W384" s="4"/>
      <c r="X384" s="11"/>
      <c r="Y384" s="4"/>
      <c r="Z384" s="4"/>
      <c r="AA384" s="4"/>
      <c r="AB384" s="4"/>
      <c r="AC384" s="4"/>
      <c r="AD384" s="4"/>
      <c r="AE384" s="4"/>
      <c r="AF384" s="4"/>
      <c r="AG384" s="4"/>
      <c r="AH384" s="5"/>
      <c r="AI384" s="5"/>
      <c r="AJ384" s="5"/>
      <c r="AK384" s="5"/>
      <c r="AL384" s="5"/>
    </row>
    <row r="385">
      <c r="A385" s="4" t="str">
        <f>VLOOKUP(L385,payment_ids!C:D,2,FALSE)</f>
        <v>pay_H6y92uQ4R8K0fX</v>
      </c>
      <c r="B385" s="4"/>
      <c r="C385" s="4" t="s">
        <v>3055</v>
      </c>
      <c r="D385" s="4">
        <v>49991.0</v>
      </c>
      <c r="E385" s="4"/>
      <c r="F385" s="4">
        <v>1.0</v>
      </c>
      <c r="G385" s="4">
        <v>99.0</v>
      </c>
      <c r="H385" s="4"/>
      <c r="I385" s="4">
        <v>99.0</v>
      </c>
      <c r="J385" s="4" t="s">
        <v>3058</v>
      </c>
      <c r="K385" s="6">
        <f>+919717661421</f>
        <v>919717661421</v>
      </c>
      <c r="L385" s="4" t="str">
        <f t="shared" si="1"/>
        <v>charakmandalrahul@gmail.com919717661421</v>
      </c>
      <c r="M385" s="10" t="s">
        <v>67</v>
      </c>
      <c r="N385" s="4" t="b">
        <v>0</v>
      </c>
      <c r="O385" s="4" t="str">
        <f>VLOOKUP(A385,payment_ids!D:E,2,FALSE)</f>
        <v>upi</v>
      </c>
      <c r="P385" s="4" t="s">
        <v>69</v>
      </c>
      <c r="Q385" s="11">
        <v>44321.39027777778</v>
      </c>
      <c r="R385" s="4"/>
      <c r="S385" s="12" t="s">
        <v>3057</v>
      </c>
      <c r="T385" s="4"/>
      <c r="U385" s="4"/>
      <c r="V385" s="11"/>
      <c r="W385" s="4"/>
      <c r="X385" s="11"/>
      <c r="Y385" s="4"/>
      <c r="Z385" s="4"/>
      <c r="AA385" s="4"/>
      <c r="AB385" s="4"/>
      <c r="AC385" s="4"/>
      <c r="AD385" s="4"/>
      <c r="AE385" s="4"/>
      <c r="AF385" s="4"/>
      <c r="AG385" s="4"/>
      <c r="AH385" s="5"/>
      <c r="AI385" s="5"/>
      <c r="AJ385" s="5"/>
      <c r="AK385" s="5"/>
      <c r="AL385" s="5"/>
    </row>
    <row r="386">
      <c r="A386" s="4" t="str">
        <f>VLOOKUP(L386,payment_ids!C:D,2,FALSE)</f>
        <v>pay_H7WOZFoeRgG2zC</v>
      </c>
      <c r="B386" s="4"/>
      <c r="C386" s="4" t="s">
        <v>3055</v>
      </c>
      <c r="D386" s="4">
        <v>49991.0</v>
      </c>
      <c r="E386" s="4"/>
      <c r="F386" s="4">
        <v>1.0</v>
      </c>
      <c r="G386" s="4">
        <v>99.0</v>
      </c>
      <c r="H386" s="4"/>
      <c r="I386" s="4">
        <v>99.0</v>
      </c>
      <c r="J386" s="4" t="s">
        <v>3059</v>
      </c>
      <c r="K386" s="6">
        <f>+918953547813</f>
        <v>918953547813</v>
      </c>
      <c r="L386" s="4" t="str">
        <f t="shared" si="1"/>
        <v>ajitrai.ajit@gmail.com918953547813</v>
      </c>
      <c r="M386" s="10" t="s">
        <v>67</v>
      </c>
      <c r="N386" s="4" t="b">
        <v>0</v>
      </c>
      <c r="O386" s="4" t="str">
        <f>VLOOKUP(A386,payment_ids!D:E,2,FALSE)</f>
        <v>upi</v>
      </c>
      <c r="P386" s="4" t="s">
        <v>69</v>
      </c>
      <c r="Q386" s="11">
        <v>44352.78611111111</v>
      </c>
      <c r="R386" s="4"/>
      <c r="S386" s="12" t="s">
        <v>3057</v>
      </c>
      <c r="T386" s="4"/>
      <c r="U386" s="4"/>
      <c r="V386" s="11"/>
      <c r="W386" s="4"/>
      <c r="X386" s="11"/>
      <c r="Y386" s="4"/>
      <c r="Z386" s="4"/>
      <c r="AA386" s="4"/>
      <c r="AB386" s="4"/>
      <c r="AC386" s="4"/>
      <c r="AD386" s="4"/>
      <c r="AE386" s="4"/>
      <c r="AF386" s="4"/>
      <c r="AG386" s="4"/>
      <c r="AH386" s="5"/>
      <c r="AI386" s="5"/>
      <c r="AJ386" s="5"/>
      <c r="AK386" s="5"/>
      <c r="AL386" s="5"/>
    </row>
    <row r="387">
      <c r="A387" s="4" t="str">
        <f>VLOOKUP(L387,payment_ids!C:D,2,FALSE)</f>
        <v>pay_H7jChrQnN5Jat8</v>
      </c>
      <c r="B387" s="4"/>
      <c r="C387" s="4" t="s">
        <v>3055</v>
      </c>
      <c r="D387" s="4">
        <v>49991.0</v>
      </c>
      <c r="E387" s="4"/>
      <c r="F387" s="4">
        <v>3.0</v>
      </c>
      <c r="G387" s="4">
        <v>199.0</v>
      </c>
      <c r="H387" s="4"/>
      <c r="I387" s="4">
        <v>199.0</v>
      </c>
      <c r="J387" s="4" t="s">
        <v>3060</v>
      </c>
      <c r="K387" s="6">
        <f>+918140716273</f>
        <v>918140716273</v>
      </c>
      <c r="L387" s="4" t="str">
        <f t="shared" si="1"/>
        <v>pratikbh14@gmail.com918140716273</v>
      </c>
      <c r="M387" s="10" t="s">
        <v>67</v>
      </c>
      <c r="N387" s="4" t="b">
        <v>0</v>
      </c>
      <c r="O387" s="4" t="str">
        <f>VLOOKUP(A387,payment_ids!D:E,2,FALSE)</f>
        <v>upi</v>
      </c>
      <c r="P387" s="4" t="s">
        <v>69</v>
      </c>
      <c r="Q387" s="11">
        <v>44382.30902777778</v>
      </c>
      <c r="R387" s="4"/>
      <c r="S387" s="12" t="s">
        <v>3057</v>
      </c>
      <c r="T387" s="4"/>
      <c r="U387" s="4"/>
      <c r="V387" s="11"/>
      <c r="W387" s="4"/>
      <c r="X387" s="11"/>
      <c r="Y387" s="4"/>
      <c r="Z387" s="4"/>
      <c r="AA387" s="4"/>
      <c r="AB387" s="4"/>
      <c r="AC387" s="4"/>
      <c r="AD387" s="4"/>
      <c r="AE387" s="4"/>
      <c r="AF387" s="4"/>
      <c r="AG387" s="4"/>
      <c r="AH387" s="5"/>
      <c r="AI387" s="5"/>
      <c r="AJ387" s="5"/>
      <c r="AK387" s="5"/>
      <c r="AL387" s="5"/>
    </row>
    <row r="388">
      <c r="A388" s="4" t="str">
        <f>VLOOKUP(L388,payment_ids!C:D,2,FALSE)</f>
        <v>pay_H7kyYgvyXjE6rG</v>
      </c>
      <c r="B388" s="4"/>
      <c r="C388" s="4" t="s">
        <v>3055</v>
      </c>
      <c r="D388" s="4">
        <v>49991.0</v>
      </c>
      <c r="E388" s="4"/>
      <c r="F388" s="4">
        <v>1.0</v>
      </c>
      <c r="G388" s="4">
        <v>99.0</v>
      </c>
      <c r="H388" s="4"/>
      <c r="I388" s="4">
        <v>99.0</v>
      </c>
      <c r="J388" s="4" t="s">
        <v>3061</v>
      </c>
      <c r="K388" s="6">
        <f>+919990308687</f>
        <v>919990308687</v>
      </c>
      <c r="L388" s="4" t="str">
        <f t="shared" si="1"/>
        <v>varun.vkm@gmail.com919990308687</v>
      </c>
      <c r="M388" s="10" t="s">
        <v>67</v>
      </c>
      <c r="N388" s="4" t="b">
        <v>0</v>
      </c>
      <c r="O388" s="4" t="str">
        <f>VLOOKUP(A388,payment_ids!D:E,2,FALSE)</f>
        <v>upi</v>
      </c>
      <c r="P388" s="4" t="s">
        <v>69</v>
      </c>
      <c r="Q388" s="11">
        <v>44382.38055555556</v>
      </c>
      <c r="R388" s="4"/>
      <c r="S388" s="12" t="s">
        <v>3057</v>
      </c>
      <c r="T388" s="4"/>
      <c r="U388" s="4"/>
      <c r="V388" s="11"/>
      <c r="W388" s="4"/>
      <c r="X388" s="11"/>
      <c r="Y388" s="4"/>
      <c r="Z388" s="4"/>
      <c r="AA388" s="4"/>
      <c r="AB388" s="4"/>
      <c r="AC388" s="4"/>
      <c r="AD388" s="4"/>
      <c r="AE388" s="4"/>
      <c r="AF388" s="4"/>
      <c r="AG388" s="4"/>
      <c r="AH388" s="5"/>
      <c r="AI388" s="5"/>
      <c r="AJ388" s="5"/>
      <c r="AK388" s="5"/>
      <c r="AL388" s="5"/>
    </row>
    <row r="389">
      <c r="A389" s="4" t="str">
        <f>VLOOKUP(L389,payment_ids!C:D,2,FALSE)</f>
        <v>pay_H8HgE6aDcM7wp2</v>
      </c>
      <c r="B389" s="4"/>
      <c r="C389" s="4" t="s">
        <v>3055</v>
      </c>
      <c r="D389" s="4">
        <v>49991.0</v>
      </c>
      <c r="E389" s="4"/>
      <c r="F389" s="4">
        <v>1.0</v>
      </c>
      <c r="G389" s="4">
        <v>99.0</v>
      </c>
      <c r="H389" s="4"/>
      <c r="I389" s="4">
        <v>99.0</v>
      </c>
      <c r="J389" s="4" t="s">
        <v>3062</v>
      </c>
      <c r="K389" s="6">
        <f>+918921054861</f>
        <v>918921054861</v>
      </c>
      <c r="L389" s="4" t="str">
        <f t="shared" si="1"/>
        <v>vishaltaswin25@gmail.com918921054861</v>
      </c>
      <c r="M389" s="10" t="s">
        <v>67</v>
      </c>
      <c r="N389" s="4" t="b">
        <v>0</v>
      </c>
      <c r="O389" s="4" t="str">
        <f>VLOOKUP(A389,payment_ids!D:E,2,FALSE)</f>
        <v>upi</v>
      </c>
      <c r="P389" s="4" t="s">
        <v>69</v>
      </c>
      <c r="Q389" s="11">
        <v>44413.71388888889</v>
      </c>
      <c r="R389" s="4"/>
      <c r="S389" s="12" t="s">
        <v>3057</v>
      </c>
      <c r="T389" s="4"/>
      <c r="U389" s="4"/>
      <c r="V389" s="11"/>
      <c r="W389" s="4"/>
      <c r="X389" s="11"/>
      <c r="Y389" s="4"/>
      <c r="Z389" s="4"/>
      <c r="AA389" s="4"/>
      <c r="AB389" s="4"/>
      <c r="AC389" s="7"/>
      <c r="AD389" s="4"/>
      <c r="AE389" s="4"/>
      <c r="AF389" s="4"/>
      <c r="AG389" s="4"/>
      <c r="AH389" s="5"/>
      <c r="AI389" s="5"/>
      <c r="AJ389" s="5"/>
      <c r="AK389" s="5"/>
      <c r="AL389" s="5"/>
    </row>
    <row r="390">
      <c r="A390" s="4" t="str">
        <f>VLOOKUP(L390,payment_ids!C:D,2,FALSE)</f>
        <v>pay_H89Y16qXpbuC8d</v>
      </c>
      <c r="B390" s="4"/>
      <c r="C390" s="4" t="s">
        <v>3055</v>
      </c>
      <c r="D390" s="4">
        <v>49991.0</v>
      </c>
      <c r="E390" s="4"/>
      <c r="F390" s="4">
        <v>1.0</v>
      </c>
      <c r="G390" s="4">
        <v>99.0</v>
      </c>
      <c r="H390" s="4"/>
      <c r="I390" s="4">
        <v>99.0</v>
      </c>
      <c r="J390" s="4" t="s">
        <v>3063</v>
      </c>
      <c r="K390" s="6">
        <f>+918940161192</f>
        <v>918940161192</v>
      </c>
      <c r="L390" s="4" t="str">
        <f t="shared" si="1"/>
        <v>srinidhiisriram712@gmail.com918940161192</v>
      </c>
      <c r="M390" s="10" t="s">
        <v>67</v>
      </c>
      <c r="N390" s="4" t="b">
        <v>0</v>
      </c>
      <c r="O390" s="4" t="str">
        <f>VLOOKUP(A390,payment_ids!D:E,2,FALSE)</f>
        <v>upi</v>
      </c>
      <c r="P390" s="4" t="s">
        <v>69</v>
      </c>
      <c r="Q390" s="11">
        <v>44413.38263888889</v>
      </c>
      <c r="R390" s="4"/>
      <c r="S390" s="12" t="s">
        <v>3057</v>
      </c>
      <c r="T390" s="4"/>
      <c r="U390" s="4"/>
      <c r="V390" s="11"/>
      <c r="W390" s="4"/>
      <c r="X390" s="11"/>
      <c r="Y390" s="4"/>
      <c r="Z390" s="4"/>
      <c r="AA390" s="4"/>
      <c r="AB390" s="4"/>
      <c r="AC390" s="4"/>
      <c r="AD390" s="4"/>
      <c r="AE390" s="4"/>
      <c r="AF390" s="4"/>
      <c r="AG390" s="4"/>
      <c r="AH390" s="5"/>
      <c r="AI390" s="5"/>
      <c r="AJ390" s="5"/>
      <c r="AK390" s="5"/>
      <c r="AL390" s="5"/>
    </row>
    <row r="391">
      <c r="A391" s="4" t="str">
        <f>VLOOKUP(L391,payment_ids!C:D,2,FALSE)</f>
        <v>pay_H8AngWIpB0JrsL</v>
      </c>
      <c r="B391" s="4"/>
      <c r="C391" s="4" t="s">
        <v>3055</v>
      </c>
      <c r="D391" s="4">
        <v>49991.0</v>
      </c>
      <c r="E391" s="4"/>
      <c r="F391" s="4">
        <v>3.0</v>
      </c>
      <c r="G391" s="4">
        <v>199.0</v>
      </c>
      <c r="H391" s="4"/>
      <c r="I391" s="4">
        <v>199.0</v>
      </c>
      <c r="J391" s="4" t="s">
        <v>3064</v>
      </c>
      <c r="K391" s="6">
        <f>+918308431044</f>
        <v>918308431044</v>
      </c>
      <c r="L391" s="4" t="str">
        <f t="shared" si="1"/>
        <v>shreyaskamble2019@gmail.com918308431044</v>
      </c>
      <c r="M391" s="10" t="s">
        <v>67</v>
      </c>
      <c r="N391" s="4" t="b">
        <v>0</v>
      </c>
      <c r="O391" s="4" t="str">
        <f>VLOOKUP(A391,payment_ids!D:E,2,FALSE)</f>
        <v>card</v>
      </c>
      <c r="P391" s="4" t="s">
        <v>69</v>
      </c>
      <c r="Q391" s="11">
        <v>44413.433333333334</v>
      </c>
      <c r="R391" s="4"/>
      <c r="S391" s="12" t="s">
        <v>3057</v>
      </c>
      <c r="T391" s="4"/>
      <c r="U391" s="4"/>
      <c r="V391" s="11"/>
      <c r="W391" s="4"/>
      <c r="X391" s="11"/>
      <c r="Y391" s="4"/>
      <c r="Z391" s="4"/>
      <c r="AA391" s="4"/>
      <c r="AB391" s="4"/>
      <c r="AC391" s="4"/>
      <c r="AD391" s="4"/>
      <c r="AE391" s="4"/>
      <c r="AF391" s="4"/>
      <c r="AG391" s="4"/>
      <c r="AH391" s="5"/>
      <c r="AI391" s="5"/>
      <c r="AJ391" s="5"/>
      <c r="AK391" s="5"/>
      <c r="AL391" s="5"/>
    </row>
    <row r="392">
      <c r="A392" s="4" t="str">
        <f>VLOOKUP(L392,payment_ids!C:D,2,FALSE)</f>
        <v>pay_H8CJeXFsjmhipp</v>
      </c>
      <c r="B392" s="4"/>
      <c r="C392" s="4" t="s">
        <v>3055</v>
      </c>
      <c r="D392" s="4">
        <v>49991.0</v>
      </c>
      <c r="E392" s="4"/>
      <c r="F392" s="4">
        <v>3.0</v>
      </c>
      <c r="G392" s="4">
        <v>199.0</v>
      </c>
      <c r="H392" s="4"/>
      <c r="I392" s="4">
        <v>199.0</v>
      </c>
      <c r="J392" s="4" t="s">
        <v>3065</v>
      </c>
      <c r="K392" s="6">
        <f>+919849373988</f>
        <v>919849373988</v>
      </c>
      <c r="L392" s="4" t="str">
        <f t="shared" si="1"/>
        <v>dbschandana14@gmail.com919849373988</v>
      </c>
      <c r="M392" s="10" t="s">
        <v>67</v>
      </c>
      <c r="N392" s="4" t="b">
        <v>0</v>
      </c>
      <c r="O392" s="4" t="str">
        <f>VLOOKUP(A392,payment_ids!D:E,2,FALSE)</f>
        <v>card</v>
      </c>
      <c r="P392" s="4" t="s">
        <v>69</v>
      </c>
      <c r="Q392" s="11">
        <v>44413.49513888889</v>
      </c>
      <c r="R392" s="4"/>
      <c r="S392" s="12" t="s">
        <v>3057</v>
      </c>
      <c r="T392" s="4"/>
      <c r="U392" s="4"/>
      <c r="V392" s="11"/>
      <c r="W392" s="4"/>
      <c r="X392" s="11"/>
      <c r="Y392" s="4"/>
      <c r="Z392" s="4"/>
      <c r="AA392" s="4"/>
      <c r="AB392" s="4"/>
      <c r="AC392" s="4"/>
      <c r="AD392" s="4"/>
      <c r="AE392" s="4"/>
      <c r="AF392" s="4"/>
      <c r="AG392" s="4"/>
      <c r="AH392" s="5"/>
      <c r="AI392" s="5"/>
      <c r="AJ392" s="5"/>
      <c r="AK392" s="5"/>
      <c r="AL392" s="5"/>
    </row>
    <row r="393">
      <c r="A393" s="4" t="str">
        <f>VLOOKUP(L393,payment_ids!C:D,2,FALSE)</f>
        <v>pay_HB945jX5ftRtYc</v>
      </c>
      <c r="B393" s="4"/>
      <c r="C393" s="4" t="s">
        <v>3055</v>
      </c>
      <c r="D393" s="4">
        <v>49991.0</v>
      </c>
      <c r="E393" s="4"/>
      <c r="F393" s="4">
        <v>1.0</v>
      </c>
      <c r="G393" s="4">
        <v>99.0</v>
      </c>
      <c r="H393" s="4"/>
      <c r="I393" s="4">
        <v>99.0</v>
      </c>
      <c r="J393" s="4" t="s">
        <v>3066</v>
      </c>
      <c r="K393" s="6">
        <f>+917755913456</f>
        <v>917755913456</v>
      </c>
      <c r="L393" s="4" t="str">
        <f t="shared" si="1"/>
        <v>neelimakaur84@gmail.com917755913456</v>
      </c>
      <c r="M393" s="10" t="s">
        <v>67</v>
      </c>
      <c r="N393" s="4" t="b">
        <v>0</v>
      </c>
      <c r="O393" s="4" t="str">
        <f>VLOOKUP(A393,payment_ids!D:E,2,FALSE)</f>
        <v>upi</v>
      </c>
      <c r="P393" s="4" t="s">
        <v>69</v>
      </c>
      <c r="Q393" s="4" t="s">
        <v>3067</v>
      </c>
      <c r="R393" s="4"/>
      <c r="S393" s="12" t="s">
        <v>3057</v>
      </c>
      <c r="T393" s="4"/>
      <c r="U393" s="4"/>
      <c r="V393" s="11"/>
      <c r="W393" s="4"/>
      <c r="X393" s="11"/>
      <c r="Y393" s="4"/>
      <c r="Z393" s="4"/>
      <c r="AA393" s="4"/>
      <c r="AB393" s="4"/>
      <c r="AC393" s="4"/>
      <c r="AD393" s="4"/>
      <c r="AE393" s="4"/>
      <c r="AF393" s="4"/>
      <c r="AG393" s="4"/>
      <c r="AH393" s="5"/>
      <c r="AI393" s="5"/>
      <c r="AJ393" s="5"/>
      <c r="AK393" s="5"/>
      <c r="AL393" s="5"/>
    </row>
    <row r="394">
      <c r="A394" s="4" t="str">
        <f>VLOOKUP(L394,payment_ids!C:D,2,FALSE)</f>
        <v>pay_HAwxzY1Q3X9Gvb</v>
      </c>
      <c r="B394" s="4"/>
      <c r="C394" s="4" t="s">
        <v>3055</v>
      </c>
      <c r="D394" s="4">
        <v>49991.0</v>
      </c>
      <c r="E394" s="4"/>
      <c r="F394" s="4">
        <v>1.0</v>
      </c>
      <c r="G394" s="4">
        <v>99.0</v>
      </c>
      <c r="H394" s="4"/>
      <c r="I394" s="4">
        <v>99.0</v>
      </c>
      <c r="J394" s="4" t="s">
        <v>3068</v>
      </c>
      <c r="K394" s="6">
        <f>+919917711101</f>
        <v>919917711101</v>
      </c>
      <c r="L394" s="4" t="str">
        <f t="shared" si="1"/>
        <v>rmkshyp.rk@gmail.com919917711101</v>
      </c>
      <c r="M394" s="10" t="s">
        <v>67</v>
      </c>
      <c r="N394" s="4" t="b">
        <v>0</v>
      </c>
      <c r="O394" s="4" t="str">
        <f>VLOOKUP(A394,payment_ids!D:E,2,FALSE)</f>
        <v>netbanking</v>
      </c>
      <c r="P394" s="4" t="s">
        <v>69</v>
      </c>
      <c r="Q394" s="4" t="s">
        <v>3069</v>
      </c>
      <c r="R394" s="4"/>
      <c r="S394" s="12" t="s">
        <v>3057</v>
      </c>
      <c r="T394" s="4"/>
      <c r="U394" s="4"/>
      <c r="V394" s="11"/>
      <c r="W394" s="4"/>
      <c r="X394" s="11"/>
      <c r="Y394" s="4"/>
      <c r="Z394" s="4"/>
      <c r="AA394" s="4"/>
      <c r="AB394" s="4"/>
      <c r="AC394" s="4"/>
      <c r="AD394" s="4"/>
      <c r="AE394" s="4"/>
      <c r="AF394" s="4"/>
      <c r="AG394" s="4"/>
      <c r="AH394" s="5"/>
      <c r="AI394" s="5"/>
      <c r="AJ394" s="5"/>
      <c r="AK394" s="5"/>
      <c r="AL394" s="5"/>
    </row>
    <row r="395">
      <c r="A395" s="4" t="str">
        <f>VLOOKUP(L395,payment_ids!C:D,2,FALSE)</f>
        <v>pay_HB9FAWXxEHvi9f</v>
      </c>
      <c r="B395" s="4"/>
      <c r="C395" s="4" t="s">
        <v>3055</v>
      </c>
      <c r="D395" s="4">
        <v>49991.0</v>
      </c>
      <c r="E395" s="4"/>
      <c r="F395" s="4">
        <v>1.0</v>
      </c>
      <c r="G395" s="4">
        <v>99.0</v>
      </c>
      <c r="H395" s="4"/>
      <c r="I395" s="4">
        <v>99.0</v>
      </c>
      <c r="J395" s="4" t="s">
        <v>3070</v>
      </c>
      <c r="K395" s="6">
        <f>+919492427301</f>
        <v>919492427301</v>
      </c>
      <c r="L395" s="4" t="str">
        <f t="shared" si="1"/>
        <v>emunipalli@gmail.com919492427301</v>
      </c>
      <c r="M395" s="10" t="s">
        <v>67</v>
      </c>
      <c r="N395" s="4" t="b">
        <v>0</v>
      </c>
      <c r="O395" s="4" t="str">
        <f>VLOOKUP(A395,payment_ids!D:E,2,FALSE)</f>
        <v>upi</v>
      </c>
      <c r="P395" s="4" t="s">
        <v>69</v>
      </c>
      <c r="Q395" s="4" t="s">
        <v>3071</v>
      </c>
      <c r="R395" s="4"/>
      <c r="S395" s="12" t="s">
        <v>3057</v>
      </c>
      <c r="T395" s="4"/>
      <c r="U395" s="4"/>
      <c r="V395" s="11"/>
      <c r="W395" s="4"/>
      <c r="X395" s="11"/>
      <c r="Y395" s="4"/>
      <c r="Z395" s="4"/>
      <c r="AA395" s="4"/>
      <c r="AB395" s="4"/>
      <c r="AC395" s="4"/>
      <c r="AD395" s="4"/>
      <c r="AE395" s="4"/>
      <c r="AF395" s="4"/>
      <c r="AG395" s="4"/>
      <c r="AH395" s="5"/>
      <c r="AI395" s="5"/>
      <c r="AJ395" s="5"/>
      <c r="AK395" s="5"/>
      <c r="AL395" s="5"/>
    </row>
    <row r="396">
      <c r="A396" s="4" t="str">
        <f>VLOOKUP(L396,payment_ids!C:D,2,FALSE)</f>
        <v>pay_HBAAhB1aBbZlEc</v>
      </c>
      <c r="B396" s="4"/>
      <c r="C396" s="4" t="s">
        <v>3055</v>
      </c>
      <c r="D396" s="4">
        <v>49991.0</v>
      </c>
      <c r="E396" s="4"/>
      <c r="F396" s="4">
        <v>1.0</v>
      </c>
      <c r="G396" s="4">
        <v>99.0</v>
      </c>
      <c r="H396" s="4"/>
      <c r="I396" s="4">
        <v>99.0</v>
      </c>
      <c r="J396" s="4" t="s">
        <v>3072</v>
      </c>
      <c r="K396" s="6">
        <f>+919032873077</f>
        <v>919032873077</v>
      </c>
      <c r="L396" s="4" t="str">
        <f t="shared" si="1"/>
        <v>deepthi.thirukovela@gmail.com919032873077</v>
      </c>
      <c r="M396" s="10" t="s">
        <v>67</v>
      </c>
      <c r="N396" s="4" t="b">
        <v>0</v>
      </c>
      <c r="O396" s="4" t="str">
        <f>VLOOKUP(A396,payment_ids!D:E,2,FALSE)</f>
        <v>upi</v>
      </c>
      <c r="P396" s="4" t="s">
        <v>69</v>
      </c>
      <c r="Q396" s="4" t="s">
        <v>3073</v>
      </c>
      <c r="R396" s="4"/>
      <c r="S396" s="12" t="s">
        <v>3057</v>
      </c>
      <c r="T396" s="4"/>
      <c r="U396" s="4"/>
      <c r="V396" s="11"/>
      <c r="W396" s="4"/>
      <c r="X396" s="11"/>
      <c r="Y396" s="4"/>
      <c r="Z396" s="4"/>
      <c r="AA396" s="4"/>
      <c r="AB396" s="4"/>
      <c r="AC396" s="7"/>
      <c r="AD396" s="4"/>
      <c r="AE396" s="4"/>
      <c r="AF396" s="4"/>
      <c r="AG396" s="4"/>
      <c r="AH396" s="5"/>
      <c r="AI396" s="5"/>
      <c r="AJ396" s="5"/>
      <c r="AK396" s="5"/>
      <c r="AL396" s="5"/>
    </row>
    <row r="397">
      <c r="A397" s="4" t="str">
        <f>VLOOKUP(L397,payment_ids!C:D,2,FALSE)</f>
        <v>pay_HBINW4SoXN3uxu</v>
      </c>
      <c r="B397" s="4"/>
      <c r="C397" s="4" t="s">
        <v>3055</v>
      </c>
      <c r="D397" s="4">
        <v>49991.0</v>
      </c>
      <c r="E397" s="4"/>
      <c r="F397" s="4">
        <v>1.0</v>
      </c>
      <c r="G397" s="4">
        <v>99.0</v>
      </c>
      <c r="H397" s="4"/>
      <c r="I397" s="4">
        <v>99.0</v>
      </c>
      <c r="J397" s="4" t="s">
        <v>3074</v>
      </c>
      <c r="K397" s="6">
        <f>+919121776076</f>
        <v>919121776076</v>
      </c>
      <c r="L397" s="4" t="str">
        <f t="shared" si="1"/>
        <v>karimlakhani99@gmail.com919121776076</v>
      </c>
      <c r="M397" s="10" t="s">
        <v>67</v>
      </c>
      <c r="N397" s="4" t="b">
        <v>0</v>
      </c>
      <c r="O397" s="4" t="str">
        <f>VLOOKUP(A397,payment_ids!D:E,2,FALSE)</f>
        <v>wallet</v>
      </c>
      <c r="P397" s="4" t="s">
        <v>69</v>
      </c>
      <c r="Q397" s="4" t="s">
        <v>3075</v>
      </c>
      <c r="R397" s="4"/>
      <c r="S397" s="12" t="s">
        <v>3057</v>
      </c>
      <c r="T397" s="4"/>
      <c r="U397" s="4"/>
      <c r="V397" s="11"/>
      <c r="W397" s="4"/>
      <c r="X397" s="11"/>
      <c r="Y397" s="4"/>
      <c r="Z397" s="4"/>
      <c r="AA397" s="4"/>
      <c r="AB397" s="4"/>
      <c r="AC397" s="4"/>
      <c r="AD397" s="4"/>
      <c r="AE397" s="4"/>
      <c r="AF397" s="4"/>
      <c r="AG397" s="4"/>
      <c r="AH397" s="5"/>
      <c r="AI397" s="5"/>
      <c r="AJ397" s="5"/>
      <c r="AK397" s="5"/>
      <c r="AL397" s="5"/>
    </row>
    <row r="398">
      <c r="A398" s="4" t="str">
        <f>VLOOKUP(L398,payment_ids!C:D,2,FALSE)</f>
        <v>pay_HBKHVSHAsY7T4j</v>
      </c>
      <c r="B398" s="4"/>
      <c r="C398" s="4" t="s">
        <v>3055</v>
      </c>
      <c r="D398" s="4">
        <v>49991.0</v>
      </c>
      <c r="E398" s="4"/>
      <c r="F398" s="4">
        <v>1.0</v>
      </c>
      <c r="G398" s="4">
        <v>99.0</v>
      </c>
      <c r="H398" s="4"/>
      <c r="I398" s="4">
        <v>99.0</v>
      </c>
      <c r="J398" s="4" t="s">
        <v>3076</v>
      </c>
      <c r="K398" s="6">
        <f>+917004217876</f>
        <v>917004217876</v>
      </c>
      <c r="L398" s="4" t="str">
        <f t="shared" si="1"/>
        <v>ritvik014@gmail.com917004217876</v>
      </c>
      <c r="M398" s="10" t="s">
        <v>67</v>
      </c>
      <c r="N398" s="4" t="b">
        <v>0</v>
      </c>
      <c r="O398" s="4" t="str">
        <f>VLOOKUP(A398,payment_ids!D:E,2,FALSE)</f>
        <v>upi</v>
      </c>
      <c r="P398" s="4" t="s">
        <v>69</v>
      </c>
      <c r="Q398" s="4" t="s">
        <v>3077</v>
      </c>
      <c r="R398" s="4"/>
      <c r="S398" s="12" t="s">
        <v>3057</v>
      </c>
      <c r="T398" s="4"/>
      <c r="U398" s="4"/>
      <c r="V398" s="11"/>
      <c r="W398" s="4"/>
      <c r="X398" s="11"/>
      <c r="Y398" s="4"/>
      <c r="Z398" s="4"/>
      <c r="AA398" s="4"/>
      <c r="AB398" s="4"/>
      <c r="AC398" s="4"/>
      <c r="AD398" s="4"/>
      <c r="AE398" s="4"/>
      <c r="AF398" s="4"/>
      <c r="AG398" s="4"/>
      <c r="AH398" s="5"/>
      <c r="AI398" s="5"/>
      <c r="AJ398" s="5"/>
      <c r="AK398" s="5"/>
      <c r="AL398" s="5"/>
    </row>
    <row r="399">
      <c r="A399" s="4" t="str">
        <f>VLOOKUP(L399,payment_ids!C:D,2,FALSE)</f>
        <v>pay_HBwbKLZos4qcdO</v>
      </c>
      <c r="B399" s="4"/>
      <c r="C399" s="4" t="s">
        <v>3055</v>
      </c>
      <c r="D399" s="4">
        <v>49991.0</v>
      </c>
      <c r="E399" s="4"/>
      <c r="F399" s="4">
        <v>6.0</v>
      </c>
      <c r="G399" s="4">
        <v>349.0</v>
      </c>
      <c r="H399" s="4"/>
      <c r="I399" s="4">
        <v>349.0</v>
      </c>
      <c r="J399" s="4" t="s">
        <v>3078</v>
      </c>
      <c r="K399" s="6">
        <f>+919182272042</f>
        <v>919182272042</v>
      </c>
      <c r="L399" s="4" t="str">
        <f t="shared" si="1"/>
        <v>ghimakarreddy@gmail.com919182272042</v>
      </c>
      <c r="M399" s="10" t="s">
        <v>67</v>
      </c>
      <c r="N399" s="4" t="b">
        <v>0</v>
      </c>
      <c r="O399" s="4" t="str">
        <f>VLOOKUP(A399,payment_ids!D:E,2,FALSE)</f>
        <v>upi</v>
      </c>
      <c r="P399" s="4" t="s">
        <v>69</v>
      </c>
      <c r="Q399" s="4" t="s">
        <v>3079</v>
      </c>
      <c r="R399" s="4"/>
      <c r="S399" s="12" t="s">
        <v>3057</v>
      </c>
      <c r="T399" s="4"/>
      <c r="U399" s="4"/>
      <c r="V399" s="11"/>
      <c r="W399" s="4"/>
      <c r="X399" s="11"/>
      <c r="Y399" s="4"/>
      <c r="Z399" s="4"/>
      <c r="AA399" s="4"/>
      <c r="AB399" s="4"/>
      <c r="AC399" s="4"/>
      <c r="AD399" s="4"/>
      <c r="AE399" s="4"/>
      <c r="AF399" s="4"/>
      <c r="AG399" s="4"/>
      <c r="AH399" s="5"/>
      <c r="AI399" s="5"/>
      <c r="AJ399" s="5"/>
      <c r="AK399" s="5"/>
      <c r="AL399" s="5"/>
    </row>
    <row r="400">
      <c r="A400" s="4" t="str">
        <f>VLOOKUP(L400,payment_ids!C:D,2,FALSE)</f>
        <v>pay_HC4dnobC3ka9z8</v>
      </c>
      <c r="B400" s="4"/>
      <c r="C400" s="4" t="s">
        <v>3055</v>
      </c>
      <c r="D400" s="4">
        <v>49991.0</v>
      </c>
      <c r="E400" s="4"/>
      <c r="F400" s="4">
        <v>3.0</v>
      </c>
      <c r="G400" s="4">
        <v>199.0</v>
      </c>
      <c r="H400" s="4"/>
      <c r="I400" s="4">
        <v>199.0</v>
      </c>
      <c r="J400" s="4" t="s">
        <v>329</v>
      </c>
      <c r="K400" s="6">
        <f>+918492928227</f>
        <v>918492928227</v>
      </c>
      <c r="L400" s="4" t="str">
        <f t="shared" si="1"/>
        <v>gurmeet108@yahoo.com918492928227</v>
      </c>
      <c r="M400" s="10" t="s">
        <v>67</v>
      </c>
      <c r="N400" s="4" t="b">
        <v>0</v>
      </c>
      <c r="O400" s="4" t="str">
        <f>VLOOKUP(A400,payment_ids!D:E,2,FALSE)</f>
        <v>card</v>
      </c>
      <c r="P400" s="4" t="s">
        <v>69</v>
      </c>
      <c r="Q400" s="4" t="s">
        <v>3080</v>
      </c>
      <c r="R400" s="4"/>
      <c r="S400" s="12" t="s">
        <v>3057</v>
      </c>
      <c r="T400" s="4"/>
      <c r="U400" s="4"/>
      <c r="V400" s="11"/>
      <c r="W400" s="4"/>
      <c r="X400" s="11"/>
      <c r="Y400" s="4"/>
      <c r="Z400" s="4"/>
      <c r="AA400" s="4"/>
      <c r="AB400" s="4"/>
      <c r="AC400" s="4"/>
      <c r="AD400" s="4"/>
      <c r="AE400" s="4"/>
      <c r="AF400" s="4"/>
      <c r="AG400" s="4"/>
      <c r="AH400" s="5"/>
      <c r="AI400" s="5"/>
      <c r="AJ400" s="5"/>
      <c r="AK400" s="5"/>
      <c r="AL400" s="5"/>
    </row>
    <row r="401">
      <c r="A401" s="4" t="str">
        <f>VLOOKUP(L401,payment_ids!C:D,2,FALSE)</f>
        <v>pay_HC8RyeuuEJlaBd</v>
      </c>
      <c r="B401" s="4"/>
      <c r="C401" s="4" t="s">
        <v>3055</v>
      </c>
      <c r="D401" s="4">
        <v>49991.0</v>
      </c>
      <c r="E401" s="4"/>
      <c r="F401" s="4">
        <v>1.0</v>
      </c>
      <c r="G401" s="4">
        <v>99.0</v>
      </c>
      <c r="H401" s="4"/>
      <c r="I401" s="4">
        <v>99.0</v>
      </c>
      <c r="J401" s="4" t="s">
        <v>297</v>
      </c>
      <c r="K401" s="6">
        <f>+919866723714</f>
        <v>919866723714</v>
      </c>
      <c r="L401" s="4" t="str">
        <f t="shared" si="1"/>
        <v>nkrishnakishore@gmail.com919866723714</v>
      </c>
      <c r="M401" s="10" t="s">
        <v>67</v>
      </c>
      <c r="N401" s="4" t="b">
        <v>0</v>
      </c>
      <c r="O401" s="4" t="str">
        <f>VLOOKUP(A401,payment_ids!D:E,2,FALSE)</f>
        <v>upi</v>
      </c>
      <c r="P401" s="4" t="s">
        <v>69</v>
      </c>
      <c r="Q401" s="4" t="s">
        <v>3081</v>
      </c>
      <c r="R401" s="4"/>
      <c r="S401" s="12" t="s">
        <v>3057</v>
      </c>
      <c r="T401" s="4"/>
      <c r="U401" s="4"/>
      <c r="V401" s="11"/>
      <c r="W401" s="4"/>
      <c r="X401" s="11"/>
      <c r="Y401" s="4"/>
      <c r="Z401" s="4"/>
      <c r="AA401" s="4"/>
      <c r="AB401" s="4"/>
      <c r="AC401" s="4"/>
      <c r="AD401" s="4"/>
      <c r="AE401" s="4"/>
      <c r="AF401" s="4"/>
      <c r="AG401" s="4"/>
      <c r="AH401" s="5"/>
      <c r="AI401" s="5"/>
      <c r="AJ401" s="5"/>
      <c r="AK401" s="5"/>
      <c r="AL401" s="5"/>
    </row>
    <row r="402">
      <c r="A402" s="4" t="str">
        <f>VLOOKUP(L402,payment_ids!C:D,2,FALSE)</f>
        <v>pay_HCDpjeLvN8iM8r</v>
      </c>
      <c r="B402" s="4"/>
      <c r="C402" s="4" t="s">
        <v>3055</v>
      </c>
      <c r="D402" s="4">
        <v>49991.0</v>
      </c>
      <c r="E402" s="4"/>
      <c r="F402" s="4">
        <v>1.0</v>
      </c>
      <c r="G402" s="4">
        <v>99.0</v>
      </c>
      <c r="H402" s="4"/>
      <c r="I402" s="4">
        <v>99.0</v>
      </c>
      <c r="J402" s="4" t="s">
        <v>3082</v>
      </c>
      <c r="K402" s="6">
        <f>+919024596452</f>
        <v>919024596452</v>
      </c>
      <c r="L402" s="4" t="str">
        <f t="shared" si="1"/>
        <v>malviaravi0000@gmail.com919024596452</v>
      </c>
      <c r="M402" s="10" t="s">
        <v>67</v>
      </c>
      <c r="N402" s="4" t="b">
        <v>0</v>
      </c>
      <c r="O402" s="4" t="str">
        <f>VLOOKUP(A402,payment_ids!D:E,2,FALSE)</f>
        <v>upi</v>
      </c>
      <c r="P402" s="4" t="s">
        <v>69</v>
      </c>
      <c r="Q402" s="4" t="s">
        <v>2618</v>
      </c>
      <c r="R402" s="4"/>
      <c r="S402" s="12" t="s">
        <v>3057</v>
      </c>
      <c r="T402" s="4"/>
      <c r="U402" s="4"/>
      <c r="V402" s="11"/>
      <c r="W402" s="4"/>
      <c r="X402" s="11"/>
      <c r="Y402" s="4"/>
      <c r="Z402" s="4"/>
      <c r="AA402" s="4"/>
      <c r="AB402" s="4"/>
      <c r="AC402" s="4"/>
      <c r="AD402" s="4"/>
      <c r="AE402" s="4"/>
      <c r="AF402" s="4"/>
      <c r="AG402" s="4"/>
      <c r="AH402" s="5"/>
      <c r="AI402" s="5"/>
      <c r="AJ402" s="5"/>
      <c r="AK402" s="5"/>
      <c r="AL402" s="5"/>
    </row>
    <row r="403">
      <c r="A403" s="4" t="str">
        <f>VLOOKUP(L403,payment_ids!C:D,2,FALSE)</f>
        <v>pay_HCIcoMY9bi3MCz</v>
      </c>
      <c r="B403" s="4"/>
      <c r="C403" s="4" t="s">
        <v>3055</v>
      </c>
      <c r="D403" s="4">
        <v>49991.0</v>
      </c>
      <c r="E403" s="4"/>
      <c r="F403" s="4">
        <v>6.0</v>
      </c>
      <c r="G403" s="4">
        <v>349.0</v>
      </c>
      <c r="H403" s="4"/>
      <c r="I403" s="4">
        <v>349.0</v>
      </c>
      <c r="J403" s="4" t="s">
        <v>3083</v>
      </c>
      <c r="K403" s="6">
        <f>+919711131631</f>
        <v>919711131631</v>
      </c>
      <c r="L403" s="4" t="str">
        <f t="shared" si="1"/>
        <v>dipak.biswal@gmail.com919711131631</v>
      </c>
      <c r="M403" s="10" t="s">
        <v>67</v>
      </c>
      <c r="N403" s="4" t="b">
        <v>0</v>
      </c>
      <c r="O403" s="4" t="str">
        <f>VLOOKUP(A403,payment_ids!D:E,2,FALSE)</f>
        <v>upi</v>
      </c>
      <c r="P403" s="4" t="s">
        <v>69</v>
      </c>
      <c r="Q403" s="4" t="s">
        <v>3084</v>
      </c>
      <c r="R403" s="4"/>
      <c r="S403" s="12" t="s">
        <v>3057</v>
      </c>
      <c r="T403" s="4"/>
      <c r="U403" s="4"/>
      <c r="V403" s="11"/>
      <c r="W403" s="4"/>
      <c r="X403" s="11"/>
      <c r="Y403" s="4"/>
      <c r="Z403" s="4"/>
      <c r="AA403" s="4"/>
      <c r="AB403" s="4"/>
      <c r="AC403" s="4"/>
      <c r="AD403" s="4"/>
      <c r="AE403" s="4"/>
      <c r="AF403" s="4"/>
      <c r="AG403" s="4"/>
      <c r="AH403" s="5"/>
      <c r="AI403" s="5"/>
      <c r="AJ403" s="5"/>
      <c r="AK403" s="5"/>
      <c r="AL403" s="5"/>
    </row>
    <row r="404">
      <c r="A404" s="4" t="str">
        <f>VLOOKUP(L404,payment_ids!C:D,2,FALSE)</f>
        <v>pay_HCZ8kQSVAzBLr9</v>
      </c>
      <c r="B404" s="4"/>
      <c r="C404" s="4" t="s">
        <v>3055</v>
      </c>
      <c r="D404" s="4">
        <v>49991.0</v>
      </c>
      <c r="E404" s="4"/>
      <c r="F404" s="4">
        <v>6.0</v>
      </c>
      <c r="G404" s="4">
        <v>349.0</v>
      </c>
      <c r="H404" s="4"/>
      <c r="I404" s="4">
        <v>349.0</v>
      </c>
      <c r="J404" s="4" t="s">
        <v>3085</v>
      </c>
      <c r="K404" s="6">
        <f>+919987202924</f>
        <v>919987202924</v>
      </c>
      <c r="L404" s="4" t="str">
        <f t="shared" si="1"/>
        <v>ashvgr8@gmail.com919987202924</v>
      </c>
      <c r="M404" s="10" t="s">
        <v>67</v>
      </c>
      <c r="N404" s="4" t="b">
        <v>0</v>
      </c>
      <c r="O404" s="4" t="str">
        <f>VLOOKUP(A404,payment_ids!D:E,2,FALSE)</f>
        <v>upi</v>
      </c>
      <c r="P404" s="4" t="s">
        <v>69</v>
      </c>
      <c r="Q404" s="4" t="s">
        <v>3086</v>
      </c>
      <c r="R404" s="4"/>
      <c r="S404" s="12" t="s">
        <v>3057</v>
      </c>
      <c r="T404" s="4"/>
      <c r="U404" s="4"/>
      <c r="V404" s="11"/>
      <c r="W404" s="4"/>
      <c r="X404" s="11"/>
      <c r="Y404" s="4"/>
      <c r="Z404" s="4"/>
      <c r="AA404" s="4"/>
      <c r="AB404" s="4"/>
      <c r="AC404" s="4"/>
      <c r="AD404" s="4"/>
      <c r="AE404" s="4"/>
      <c r="AF404" s="4"/>
      <c r="AG404" s="4"/>
      <c r="AH404" s="5"/>
      <c r="AI404" s="5"/>
      <c r="AJ404" s="5"/>
      <c r="AK404" s="5"/>
      <c r="AL404" s="5"/>
    </row>
    <row r="405">
      <c r="A405" s="4" t="str">
        <f>VLOOKUP(L405,payment_ids!C:D,2,FALSE)</f>
        <v>pay_HCckOYAODDei7b</v>
      </c>
      <c r="B405" s="4"/>
      <c r="C405" s="4" t="s">
        <v>3055</v>
      </c>
      <c r="D405" s="4">
        <v>49991.0</v>
      </c>
      <c r="E405" s="4"/>
      <c r="F405" s="4">
        <v>6.0</v>
      </c>
      <c r="G405" s="4">
        <v>349.0</v>
      </c>
      <c r="H405" s="4"/>
      <c r="I405" s="4">
        <v>349.0</v>
      </c>
      <c r="J405" s="4" t="s">
        <v>3087</v>
      </c>
      <c r="K405" s="6">
        <f t="shared" ref="K405:K406" si="4">+919765037370</f>
        <v>919765037370</v>
      </c>
      <c r="L405" s="4" t="str">
        <f t="shared" si="1"/>
        <v>skagarwal76@gmail.com919765037370</v>
      </c>
      <c r="M405" s="10" t="s">
        <v>67</v>
      </c>
      <c r="N405" s="4" t="b">
        <v>0</v>
      </c>
      <c r="O405" s="4" t="str">
        <f>VLOOKUP(A405,payment_ids!D:E,2,FALSE)</f>
        <v>card</v>
      </c>
      <c r="P405" s="4" t="s">
        <v>69</v>
      </c>
      <c r="Q405" s="4" t="s">
        <v>3088</v>
      </c>
      <c r="R405" s="4"/>
      <c r="S405" s="12" t="s">
        <v>3057</v>
      </c>
      <c r="T405" s="4"/>
      <c r="U405" s="4"/>
      <c r="V405" s="11"/>
      <c r="W405" s="4"/>
      <c r="X405" s="11"/>
      <c r="Y405" s="4"/>
      <c r="Z405" s="4"/>
      <c r="AA405" s="4"/>
      <c r="AB405" s="4"/>
      <c r="AC405" s="7"/>
      <c r="AD405" s="4"/>
      <c r="AE405" s="4"/>
      <c r="AF405" s="4"/>
      <c r="AG405" s="4"/>
      <c r="AH405" s="5"/>
      <c r="AI405" s="5"/>
      <c r="AJ405" s="5"/>
      <c r="AK405" s="5"/>
      <c r="AL405" s="5"/>
    </row>
    <row r="406">
      <c r="A406" s="4" t="str">
        <f>VLOOKUP(L406,payment_ids!C:D,2,FALSE)</f>
        <v>pay_HCckOYAODDei7b</v>
      </c>
      <c r="B406" s="4"/>
      <c r="C406" s="4" t="s">
        <v>3055</v>
      </c>
      <c r="D406" s="4">
        <v>49991.0</v>
      </c>
      <c r="E406" s="4"/>
      <c r="F406" s="4">
        <v>6.0</v>
      </c>
      <c r="G406" s="4">
        <v>349.0</v>
      </c>
      <c r="H406" s="4"/>
      <c r="I406" s="4">
        <v>349.0</v>
      </c>
      <c r="J406" s="4" t="s">
        <v>3087</v>
      </c>
      <c r="K406" s="6">
        <f t="shared" si="4"/>
        <v>919765037370</v>
      </c>
      <c r="L406" s="4" t="str">
        <f t="shared" si="1"/>
        <v>skagarwal76@gmail.com919765037370</v>
      </c>
      <c r="M406" s="10" t="s">
        <v>67</v>
      </c>
      <c r="N406" s="4" t="b">
        <v>0</v>
      </c>
      <c r="O406" s="4" t="str">
        <f>VLOOKUP(A406,payment_ids!D:E,2,FALSE)</f>
        <v>card</v>
      </c>
      <c r="P406" s="4" t="s">
        <v>69</v>
      </c>
      <c r="Q406" s="4" t="s">
        <v>3089</v>
      </c>
      <c r="R406" s="4"/>
      <c r="S406" s="12" t="s">
        <v>3057</v>
      </c>
      <c r="T406" s="4"/>
      <c r="U406" s="4"/>
      <c r="V406" s="11"/>
      <c r="W406" s="4"/>
      <c r="X406" s="11"/>
      <c r="Y406" s="4"/>
      <c r="Z406" s="4"/>
      <c r="AA406" s="4"/>
      <c r="AB406" s="4"/>
      <c r="AC406" s="4"/>
      <c r="AD406" s="4"/>
      <c r="AE406" s="4"/>
      <c r="AF406" s="4"/>
      <c r="AG406" s="4"/>
      <c r="AH406" s="5"/>
      <c r="AI406" s="5"/>
      <c r="AJ406" s="5"/>
      <c r="AK406" s="5"/>
      <c r="AL406" s="5"/>
    </row>
    <row r="407">
      <c r="A407" s="4" t="str">
        <f>VLOOKUP(L407,payment_ids!C:D,2,FALSE)</f>
        <v>pay_HCrNBRV2URkTeu</v>
      </c>
      <c r="B407" s="4"/>
      <c r="C407" s="4" t="s">
        <v>3055</v>
      </c>
      <c r="D407" s="4">
        <v>49991.0</v>
      </c>
      <c r="E407" s="4"/>
      <c r="F407" s="4">
        <v>6.0</v>
      </c>
      <c r="G407" s="4">
        <v>349.0</v>
      </c>
      <c r="H407" s="4"/>
      <c r="I407" s="4">
        <v>349.0</v>
      </c>
      <c r="J407" s="4" t="s">
        <v>2844</v>
      </c>
      <c r="K407" s="6">
        <f>+917093081109</f>
        <v>917093081109</v>
      </c>
      <c r="L407" s="4" t="str">
        <f t="shared" si="1"/>
        <v>scarysai@gmail.com917093081109</v>
      </c>
      <c r="M407" s="10" t="s">
        <v>67</v>
      </c>
      <c r="N407" s="4" t="b">
        <v>0</v>
      </c>
      <c r="O407" s="4" t="str">
        <f>VLOOKUP(A407,payment_ids!D:E,2,FALSE)</f>
        <v>netbanking</v>
      </c>
      <c r="P407" s="4" t="s">
        <v>69</v>
      </c>
      <c r="Q407" s="4" t="s">
        <v>3090</v>
      </c>
      <c r="R407" s="4"/>
      <c r="S407" s="12" t="s">
        <v>3057</v>
      </c>
      <c r="T407" s="4"/>
      <c r="U407" s="4"/>
      <c r="V407" s="11"/>
      <c r="W407" s="4"/>
      <c r="X407" s="11"/>
      <c r="Y407" s="4"/>
      <c r="Z407" s="4"/>
      <c r="AA407" s="4"/>
      <c r="AB407" s="4"/>
      <c r="AC407" s="4"/>
      <c r="AD407" s="4"/>
      <c r="AE407" s="4"/>
      <c r="AF407" s="4"/>
      <c r="AG407" s="4"/>
      <c r="AH407" s="5"/>
      <c r="AI407" s="5"/>
      <c r="AJ407" s="5"/>
      <c r="AK407" s="5"/>
      <c r="AL407" s="5"/>
    </row>
    <row r="408">
      <c r="A408" s="4" t="str">
        <f>VLOOKUP(L408,payment_ids!C:D,2,FALSE)</f>
        <v>pay_HD8MGwhsQS0DJI</v>
      </c>
      <c r="B408" s="4"/>
      <c r="C408" s="4" t="s">
        <v>3055</v>
      </c>
      <c r="D408" s="4">
        <v>49991.0</v>
      </c>
      <c r="E408" s="4"/>
      <c r="F408" s="4">
        <v>1.0</v>
      </c>
      <c r="G408" s="4">
        <v>99.0</v>
      </c>
      <c r="H408" s="4"/>
      <c r="I408" s="4">
        <v>99.0</v>
      </c>
      <c r="J408" s="4" t="s">
        <v>3091</v>
      </c>
      <c r="K408" s="6">
        <f>+918130856083</f>
        <v>918130856083</v>
      </c>
      <c r="L408" s="4" t="str">
        <f t="shared" si="1"/>
        <v>piyush.10895@gmail.com918130856083</v>
      </c>
      <c r="M408" s="10" t="s">
        <v>67</v>
      </c>
      <c r="N408" s="4" t="b">
        <v>0</v>
      </c>
      <c r="O408" s="4" t="str">
        <f>VLOOKUP(A408,payment_ids!D:E,2,FALSE)</f>
        <v>upi</v>
      </c>
      <c r="P408" s="4" t="s">
        <v>69</v>
      </c>
      <c r="Q408" s="4" t="s">
        <v>3092</v>
      </c>
      <c r="R408" s="4"/>
      <c r="S408" s="12" t="s">
        <v>3057</v>
      </c>
      <c r="T408" s="4"/>
      <c r="U408" s="4"/>
      <c r="V408" s="11"/>
      <c r="W408" s="4"/>
      <c r="X408" s="11"/>
      <c r="Y408" s="4"/>
      <c r="Z408" s="4"/>
      <c r="AA408" s="4"/>
      <c r="AB408" s="4"/>
      <c r="AC408" s="4"/>
      <c r="AD408" s="4"/>
      <c r="AE408" s="4"/>
      <c r="AF408" s="4"/>
      <c r="AG408" s="4"/>
      <c r="AH408" s="5"/>
      <c r="AI408" s="5"/>
      <c r="AJ408" s="5"/>
      <c r="AK408" s="5"/>
      <c r="AL408" s="5"/>
    </row>
    <row r="409">
      <c r="A409" s="4" t="str">
        <f>VLOOKUP(L409,payment_ids!C:D,2,FALSE)</f>
        <v>pay_HDlHTJfcZwtamz</v>
      </c>
      <c r="B409" s="4"/>
      <c r="C409" s="4" t="s">
        <v>3055</v>
      </c>
      <c r="D409" s="4">
        <v>49991.0</v>
      </c>
      <c r="E409" s="4"/>
      <c r="F409" s="4">
        <v>1.0</v>
      </c>
      <c r="G409" s="4">
        <v>99.0</v>
      </c>
      <c r="H409" s="4"/>
      <c r="I409" s="4">
        <v>99.0</v>
      </c>
      <c r="J409" s="4" t="s">
        <v>3093</v>
      </c>
      <c r="K409" s="6">
        <f>+917489026376</f>
        <v>917489026376</v>
      </c>
      <c r="L409" s="4" t="str">
        <f t="shared" si="1"/>
        <v>hatim52badshahaa@gmail.com917489026376</v>
      </c>
      <c r="M409" s="10" t="s">
        <v>67</v>
      </c>
      <c r="N409" s="4" t="b">
        <v>0</v>
      </c>
      <c r="O409" s="4" t="str">
        <f>VLOOKUP(A409,payment_ids!D:E,2,FALSE)</f>
        <v>upi</v>
      </c>
      <c r="P409" s="4" t="s">
        <v>69</v>
      </c>
      <c r="Q409" s="4" t="s">
        <v>3094</v>
      </c>
      <c r="R409" s="4"/>
      <c r="S409" s="12" t="s">
        <v>3057</v>
      </c>
      <c r="T409" s="4"/>
      <c r="U409" s="4"/>
      <c r="V409" s="11"/>
      <c r="W409" s="4"/>
      <c r="X409" s="11"/>
      <c r="Y409" s="4"/>
      <c r="Z409" s="4"/>
      <c r="AA409" s="4"/>
      <c r="AB409" s="4"/>
      <c r="AC409" s="4"/>
      <c r="AD409" s="4"/>
      <c r="AE409" s="4"/>
      <c r="AF409" s="4"/>
      <c r="AG409" s="4"/>
      <c r="AH409" s="5"/>
      <c r="AI409" s="5"/>
      <c r="AJ409" s="5"/>
      <c r="AK409" s="5"/>
      <c r="AL409" s="5"/>
    </row>
    <row r="410">
      <c r="A410" s="4" t="str">
        <f>VLOOKUP(L410,payment_ids!C:D,2,FALSE)</f>
        <v>pay_HDnSDQ2hEtNeYy</v>
      </c>
      <c r="B410" s="4"/>
      <c r="C410" s="4" t="s">
        <v>3055</v>
      </c>
      <c r="D410" s="4">
        <v>49991.0</v>
      </c>
      <c r="E410" s="4"/>
      <c r="F410" s="4">
        <v>1.0</v>
      </c>
      <c r="G410" s="4">
        <v>99.0</v>
      </c>
      <c r="H410" s="4"/>
      <c r="I410" s="4">
        <v>99.0</v>
      </c>
      <c r="J410" s="4" t="s">
        <v>3095</v>
      </c>
      <c r="K410" s="6">
        <f>+919648994488</f>
        <v>919648994488</v>
      </c>
      <c r="L410" s="4" t="str">
        <f t="shared" si="1"/>
        <v>smomeerut@gmail.com919648994488</v>
      </c>
      <c r="M410" s="10" t="s">
        <v>67</v>
      </c>
      <c r="N410" s="4" t="b">
        <v>0</v>
      </c>
      <c r="O410" s="4" t="str">
        <f>VLOOKUP(A410,payment_ids!D:E,2,FALSE)</f>
        <v>upi</v>
      </c>
      <c r="P410" s="4" t="s">
        <v>69</v>
      </c>
      <c r="Q410" s="4" t="s">
        <v>3096</v>
      </c>
      <c r="R410" s="4"/>
      <c r="S410" s="12" t="s">
        <v>3057</v>
      </c>
      <c r="T410" s="4"/>
      <c r="U410" s="4"/>
      <c r="V410" s="11"/>
      <c r="W410" s="4"/>
      <c r="X410" s="11"/>
      <c r="Y410" s="4"/>
      <c r="Z410" s="4"/>
      <c r="AA410" s="4"/>
      <c r="AB410" s="4"/>
      <c r="AC410" s="4"/>
      <c r="AD410" s="4"/>
      <c r="AE410" s="4"/>
      <c r="AF410" s="4"/>
      <c r="AG410" s="4"/>
      <c r="AH410" s="5"/>
      <c r="AI410" s="5"/>
      <c r="AJ410" s="5"/>
      <c r="AK410" s="5"/>
      <c r="AL410" s="5"/>
    </row>
    <row r="411">
      <c r="A411" s="4" t="str">
        <f>VLOOKUP(L411,payment_ids!C:D,2,FALSE)</f>
        <v>pay_HDtuJt9LjStnfj</v>
      </c>
      <c r="B411" s="4"/>
      <c r="C411" s="4" t="s">
        <v>3055</v>
      </c>
      <c r="D411" s="4">
        <v>49991.0</v>
      </c>
      <c r="E411" s="4"/>
      <c r="F411" s="4">
        <v>1.0</v>
      </c>
      <c r="G411" s="4">
        <v>99.0</v>
      </c>
      <c r="H411" s="4"/>
      <c r="I411" s="4">
        <v>99.0</v>
      </c>
      <c r="J411" s="4" t="s">
        <v>3097</v>
      </c>
      <c r="K411" s="6">
        <f>+919986438166</f>
        <v>919986438166</v>
      </c>
      <c r="L411" s="4" t="str">
        <f t="shared" si="1"/>
        <v>madhanpradeepn@gmail.com919986438166</v>
      </c>
      <c r="M411" s="10" t="s">
        <v>67</v>
      </c>
      <c r="N411" s="4" t="b">
        <v>0</v>
      </c>
      <c r="O411" s="4" t="str">
        <f>VLOOKUP(A411,payment_ids!D:E,2,FALSE)</f>
        <v>upi</v>
      </c>
      <c r="P411" s="4" t="s">
        <v>69</v>
      </c>
      <c r="Q411" s="4" t="s">
        <v>3098</v>
      </c>
      <c r="R411" s="4"/>
      <c r="S411" s="12" t="s">
        <v>3057</v>
      </c>
      <c r="T411" s="4"/>
      <c r="U411" s="4"/>
      <c r="V411" s="11"/>
      <c r="W411" s="4"/>
      <c r="X411" s="11"/>
      <c r="Y411" s="4"/>
      <c r="Z411" s="4"/>
      <c r="AA411" s="4"/>
      <c r="AB411" s="4"/>
      <c r="AC411" s="4"/>
      <c r="AD411" s="4"/>
      <c r="AE411" s="4"/>
      <c r="AF411" s="4"/>
      <c r="AG411" s="4"/>
      <c r="AH411" s="5"/>
      <c r="AI411" s="5"/>
      <c r="AJ411" s="5"/>
      <c r="AK411" s="5"/>
      <c r="AL411" s="5"/>
    </row>
    <row r="412">
      <c r="A412" s="4" t="str">
        <f>VLOOKUP(L412,payment_ids!C:D,2,FALSE)</f>
        <v>pay_HEAmgbLmgkVv9e</v>
      </c>
      <c r="B412" s="4"/>
      <c r="C412" s="4" t="s">
        <v>3055</v>
      </c>
      <c r="D412" s="4">
        <v>49991.0</v>
      </c>
      <c r="E412" s="4"/>
      <c r="F412" s="4">
        <v>3.0</v>
      </c>
      <c r="G412" s="4">
        <v>199.0</v>
      </c>
      <c r="H412" s="4"/>
      <c r="I412" s="4">
        <v>199.0</v>
      </c>
      <c r="J412" s="4" t="s">
        <v>3099</v>
      </c>
      <c r="K412" s="6">
        <f>+916204516196</f>
        <v>916204516196</v>
      </c>
      <c r="L412" s="4" t="str">
        <f t="shared" si="1"/>
        <v>pujabharara21@gmail.com916204516196</v>
      </c>
      <c r="M412" s="10" t="s">
        <v>67</v>
      </c>
      <c r="N412" s="4" t="b">
        <v>0</v>
      </c>
      <c r="O412" s="4" t="str">
        <f>VLOOKUP(A412,payment_ids!D:E,2,FALSE)</f>
        <v>upi</v>
      </c>
      <c r="P412" s="4" t="s">
        <v>69</v>
      </c>
      <c r="Q412" s="4" t="s">
        <v>3100</v>
      </c>
      <c r="R412" s="4"/>
      <c r="S412" s="12" t="s">
        <v>3057</v>
      </c>
      <c r="T412" s="4"/>
      <c r="U412" s="4"/>
      <c r="V412" s="11"/>
      <c r="W412" s="4"/>
      <c r="X412" s="11"/>
      <c r="Y412" s="4"/>
      <c r="Z412" s="4"/>
      <c r="AA412" s="4"/>
      <c r="AB412" s="4"/>
      <c r="AC412" s="4"/>
      <c r="AD412" s="4"/>
      <c r="AE412" s="4"/>
      <c r="AF412" s="4"/>
      <c r="AG412" s="4"/>
      <c r="AH412" s="5"/>
      <c r="AI412" s="5"/>
      <c r="AJ412" s="5"/>
      <c r="AK412" s="5"/>
      <c r="AL412" s="5"/>
    </row>
    <row r="413">
      <c r="A413" s="4" t="str">
        <f>VLOOKUP(L413,payment_ids!C:D,2,FALSE)</f>
        <v>pay_HEEcAg2pxDwbk1</v>
      </c>
      <c r="B413" s="4"/>
      <c r="C413" s="4" t="s">
        <v>3055</v>
      </c>
      <c r="D413" s="4">
        <v>49991.0</v>
      </c>
      <c r="E413" s="4"/>
      <c r="F413" s="4">
        <v>3.0</v>
      </c>
      <c r="G413" s="4">
        <v>199.0</v>
      </c>
      <c r="H413" s="4"/>
      <c r="I413" s="4">
        <v>199.0</v>
      </c>
      <c r="J413" s="4" t="s">
        <v>3101</v>
      </c>
      <c r="K413" s="6">
        <f>+919498031217</f>
        <v>919498031217</v>
      </c>
      <c r="L413" s="4" t="str">
        <f t="shared" si="1"/>
        <v>aakash.raghu1@gmail.com919498031217</v>
      </c>
      <c r="M413" s="10" t="s">
        <v>67</v>
      </c>
      <c r="N413" s="4" t="b">
        <v>0</v>
      </c>
      <c r="O413" s="4" t="str">
        <f>VLOOKUP(A413,payment_ids!D:E,2,FALSE)</f>
        <v>upi</v>
      </c>
      <c r="P413" s="4" t="s">
        <v>69</v>
      </c>
      <c r="Q413" s="4" t="s">
        <v>3102</v>
      </c>
      <c r="R413" s="4"/>
      <c r="S413" s="12" t="s">
        <v>3057</v>
      </c>
      <c r="T413" s="4"/>
      <c r="U413" s="4"/>
      <c r="V413" s="11"/>
      <c r="W413" s="4"/>
      <c r="X413" s="11"/>
      <c r="Y413" s="4"/>
      <c r="Z413" s="4"/>
      <c r="AA413" s="4"/>
      <c r="AB413" s="4"/>
      <c r="AC413" s="4"/>
      <c r="AD413" s="4"/>
      <c r="AE413" s="4"/>
      <c r="AF413" s="4"/>
      <c r="AG413" s="4"/>
      <c r="AH413" s="5"/>
      <c r="AI413" s="5"/>
      <c r="AJ413" s="5"/>
      <c r="AK413" s="5"/>
      <c r="AL413" s="5"/>
    </row>
    <row r="414">
      <c r="A414" s="4" t="str">
        <f>VLOOKUP(L414,payment_ids!C:D,2,FALSE)</f>
        <v>pay_HEJFfCm7RsVAvl</v>
      </c>
      <c r="B414" s="4"/>
      <c r="C414" s="4" t="s">
        <v>3055</v>
      </c>
      <c r="D414" s="4">
        <v>49991.0</v>
      </c>
      <c r="E414" s="4"/>
      <c r="F414" s="4">
        <v>1.0</v>
      </c>
      <c r="G414" s="4">
        <v>99.0</v>
      </c>
      <c r="H414" s="4"/>
      <c r="I414" s="4">
        <v>99.0</v>
      </c>
      <c r="J414" s="4" t="s">
        <v>3103</v>
      </c>
      <c r="K414" s="6">
        <f>+918746065777</f>
        <v>918746065777</v>
      </c>
      <c r="L414" s="4" t="str">
        <f t="shared" si="1"/>
        <v>vivekbari2@gmail.com918746065777</v>
      </c>
      <c r="M414" s="10" t="s">
        <v>67</v>
      </c>
      <c r="N414" s="4" t="b">
        <v>0</v>
      </c>
      <c r="O414" s="4" t="str">
        <f>VLOOKUP(A414,payment_ids!D:E,2,FALSE)</f>
        <v>card</v>
      </c>
      <c r="P414" s="4" t="s">
        <v>69</v>
      </c>
      <c r="Q414" s="4" t="s">
        <v>3104</v>
      </c>
      <c r="R414" s="4"/>
      <c r="S414" s="12" t="s">
        <v>3057</v>
      </c>
      <c r="T414" s="4"/>
      <c r="U414" s="4"/>
      <c r="V414" s="11"/>
      <c r="W414" s="4"/>
      <c r="X414" s="11"/>
      <c r="Y414" s="4"/>
      <c r="Z414" s="4"/>
      <c r="AA414" s="4"/>
      <c r="AB414" s="4"/>
      <c r="AC414" s="4"/>
      <c r="AD414" s="4"/>
      <c r="AE414" s="4"/>
      <c r="AF414" s="4"/>
      <c r="AG414" s="4"/>
      <c r="AH414" s="5"/>
      <c r="AI414" s="5"/>
      <c r="AJ414" s="5"/>
      <c r="AK414" s="5"/>
      <c r="AL414" s="5"/>
    </row>
    <row r="415">
      <c r="A415" s="4" t="str">
        <f>VLOOKUP(L415,payment_ids!C:D,2,FALSE)</f>
        <v>pay_HETTLvyYIWqQ46</v>
      </c>
      <c r="B415" s="4"/>
      <c r="C415" s="4" t="s">
        <v>3055</v>
      </c>
      <c r="D415" s="4">
        <v>49991.0</v>
      </c>
      <c r="E415" s="4"/>
      <c r="F415" s="4">
        <v>3.0</v>
      </c>
      <c r="G415" s="4">
        <v>199.0</v>
      </c>
      <c r="H415" s="4"/>
      <c r="I415" s="4">
        <v>199.0</v>
      </c>
      <c r="J415" s="4" t="s">
        <v>3105</v>
      </c>
      <c r="K415" s="6">
        <f>+917022925162</f>
        <v>917022925162</v>
      </c>
      <c r="L415" s="4" t="str">
        <f t="shared" si="1"/>
        <v>saurabhd89@gmail.com917022925162</v>
      </c>
      <c r="M415" s="10" t="s">
        <v>67</v>
      </c>
      <c r="N415" s="4" t="b">
        <v>0</v>
      </c>
      <c r="O415" s="4" t="str">
        <f>VLOOKUP(A415,payment_ids!D:E,2,FALSE)</f>
        <v>card</v>
      </c>
      <c r="P415" s="4" t="s">
        <v>69</v>
      </c>
      <c r="Q415" s="4" t="s">
        <v>3106</v>
      </c>
      <c r="R415" s="4"/>
      <c r="S415" s="12" t="s">
        <v>3057</v>
      </c>
      <c r="T415" s="4"/>
      <c r="U415" s="4"/>
      <c r="V415" s="11"/>
      <c r="W415" s="4"/>
      <c r="X415" s="11"/>
      <c r="Y415" s="4"/>
      <c r="Z415" s="4"/>
      <c r="AA415" s="4"/>
      <c r="AB415" s="4"/>
      <c r="AC415" s="4"/>
      <c r="AD415" s="4"/>
      <c r="AE415" s="4"/>
      <c r="AF415" s="4"/>
      <c r="AG415" s="4"/>
      <c r="AH415" s="5"/>
      <c r="AI415" s="5"/>
      <c r="AJ415" s="5"/>
      <c r="AK415" s="5"/>
      <c r="AL415" s="5"/>
    </row>
    <row r="416">
      <c r="A416" s="4" t="str">
        <f>VLOOKUP(L416,payment_ids!C:D,2,FALSE)</f>
        <v>pay_HEWBiRhuBFJKbe</v>
      </c>
      <c r="B416" s="4"/>
      <c r="C416" s="4" t="s">
        <v>3055</v>
      </c>
      <c r="D416" s="4">
        <v>49991.0</v>
      </c>
      <c r="E416" s="4"/>
      <c r="F416" s="4">
        <v>1.0</v>
      </c>
      <c r="G416" s="4">
        <v>99.0</v>
      </c>
      <c r="H416" s="4"/>
      <c r="I416" s="4">
        <v>99.0</v>
      </c>
      <c r="J416" s="4" t="s">
        <v>3107</v>
      </c>
      <c r="K416" s="6">
        <f>+918077565101</f>
        <v>918077565101</v>
      </c>
      <c r="L416" s="4" t="str">
        <f t="shared" si="1"/>
        <v>8007joshi@gmail.com918077565101</v>
      </c>
      <c r="M416" s="10" t="s">
        <v>67</v>
      </c>
      <c r="N416" s="4" t="b">
        <v>0</v>
      </c>
      <c r="O416" s="4" t="str">
        <f>VLOOKUP(A416,payment_ids!D:E,2,FALSE)</f>
        <v>upi</v>
      </c>
      <c r="P416" s="4" t="s">
        <v>69</v>
      </c>
      <c r="Q416" s="4" t="s">
        <v>3108</v>
      </c>
      <c r="R416" s="4"/>
      <c r="S416" s="12" t="s">
        <v>3057</v>
      </c>
      <c r="T416" s="4"/>
      <c r="U416" s="4"/>
      <c r="V416" s="11"/>
      <c r="W416" s="4"/>
      <c r="X416" s="11"/>
      <c r="Y416" s="4"/>
      <c r="Z416" s="4"/>
      <c r="AA416" s="4"/>
      <c r="AB416" s="4"/>
      <c r="AC416" s="4"/>
      <c r="AD416" s="4"/>
      <c r="AE416" s="4"/>
      <c r="AF416" s="4"/>
      <c r="AG416" s="4"/>
      <c r="AH416" s="5"/>
      <c r="AI416" s="5"/>
      <c r="AJ416" s="5"/>
      <c r="AK416" s="5"/>
      <c r="AL416" s="5"/>
    </row>
    <row r="417">
      <c r="A417" s="4" t="str">
        <f>VLOOKUP(L417,payment_ids!C:D,2,FALSE)</f>
        <v>pay_HEbij8JaV7WwiK</v>
      </c>
      <c r="B417" s="4"/>
      <c r="C417" s="4" t="s">
        <v>3055</v>
      </c>
      <c r="D417" s="4">
        <v>49991.0</v>
      </c>
      <c r="E417" s="4"/>
      <c r="F417" s="4">
        <v>1.0</v>
      </c>
      <c r="G417" s="4">
        <v>99.0</v>
      </c>
      <c r="H417" s="4"/>
      <c r="I417" s="4">
        <v>99.0</v>
      </c>
      <c r="J417" s="4" t="s">
        <v>3109</v>
      </c>
      <c r="K417" s="6">
        <f>+917083433883</f>
        <v>917083433883</v>
      </c>
      <c r="L417" s="4" t="str">
        <f t="shared" si="1"/>
        <v>parchakeamit@gmail.com917083433883</v>
      </c>
      <c r="M417" s="10" t="s">
        <v>67</v>
      </c>
      <c r="N417" s="4" t="b">
        <v>0</v>
      </c>
      <c r="O417" s="4" t="str">
        <f>VLOOKUP(A417,payment_ids!D:E,2,FALSE)</f>
        <v>upi</v>
      </c>
      <c r="P417" s="4" t="s">
        <v>69</v>
      </c>
      <c r="Q417" s="4" t="s">
        <v>3110</v>
      </c>
      <c r="R417" s="4"/>
      <c r="S417" s="12" t="s">
        <v>3057</v>
      </c>
      <c r="T417" s="4"/>
      <c r="U417" s="4"/>
      <c r="V417" s="11"/>
      <c r="W417" s="4"/>
      <c r="X417" s="11"/>
      <c r="Y417" s="4"/>
      <c r="Z417" s="4"/>
      <c r="AA417" s="4"/>
      <c r="AB417" s="4"/>
      <c r="AC417" s="4"/>
      <c r="AD417" s="4"/>
      <c r="AE417" s="4"/>
      <c r="AF417" s="4"/>
      <c r="AG417" s="4"/>
      <c r="AH417" s="5"/>
      <c r="AI417" s="5"/>
      <c r="AJ417" s="5"/>
      <c r="AK417" s="5"/>
      <c r="AL417" s="5"/>
    </row>
    <row r="418">
      <c r="A418" s="4" t="str">
        <f>VLOOKUP(L418,payment_ids!C:D,2,FALSE)</f>
        <v>pay_HEkICQs7B7b4uw</v>
      </c>
      <c r="B418" s="4"/>
      <c r="C418" s="4" t="s">
        <v>3055</v>
      </c>
      <c r="D418" s="4">
        <v>49991.0</v>
      </c>
      <c r="E418" s="4"/>
      <c r="F418" s="4">
        <v>1.0</v>
      </c>
      <c r="G418" s="4">
        <v>99.0</v>
      </c>
      <c r="H418" s="4"/>
      <c r="I418" s="4">
        <v>99.0</v>
      </c>
      <c r="J418" s="4" t="s">
        <v>3111</v>
      </c>
      <c r="K418" s="6">
        <f>+918149451725</f>
        <v>918149451725</v>
      </c>
      <c r="L418" s="4" t="str">
        <f t="shared" si="1"/>
        <v>bhavesh.hemnani@gmail.com918149451725</v>
      </c>
      <c r="M418" s="10" t="s">
        <v>67</v>
      </c>
      <c r="N418" s="4" t="b">
        <v>0</v>
      </c>
      <c r="O418" s="4" t="str">
        <f>VLOOKUP(A418,payment_ids!D:E,2,FALSE)</f>
        <v>upi</v>
      </c>
      <c r="P418" s="4" t="s">
        <v>69</v>
      </c>
      <c r="Q418" s="4" t="s">
        <v>3112</v>
      </c>
      <c r="R418" s="4"/>
      <c r="S418" s="12" t="s">
        <v>3057</v>
      </c>
      <c r="T418" s="4"/>
      <c r="U418" s="4"/>
      <c r="V418" s="11"/>
      <c r="W418" s="4"/>
      <c r="X418" s="11"/>
      <c r="Y418" s="4"/>
      <c r="Z418" s="4"/>
      <c r="AA418" s="4"/>
      <c r="AB418" s="4"/>
      <c r="AC418" s="4"/>
      <c r="AD418" s="4"/>
      <c r="AE418" s="4"/>
      <c r="AF418" s="4"/>
      <c r="AG418" s="4"/>
      <c r="AH418" s="5"/>
      <c r="AI418" s="5"/>
      <c r="AJ418" s="5"/>
      <c r="AK418" s="5"/>
      <c r="AL418" s="5"/>
    </row>
    <row r="419">
      <c r="A419" s="4" t="str">
        <f>VLOOKUP(L419,payment_ids!C:D,2,FALSE)</f>
        <v>pay_HEtih0cNQGk3nd</v>
      </c>
      <c r="B419" s="4"/>
      <c r="C419" s="4" t="s">
        <v>3055</v>
      </c>
      <c r="D419" s="4">
        <v>49991.0</v>
      </c>
      <c r="E419" s="4"/>
      <c r="F419" s="4">
        <v>1.0</v>
      </c>
      <c r="G419" s="4">
        <v>99.0</v>
      </c>
      <c r="H419" s="4"/>
      <c r="I419" s="4">
        <v>99.0</v>
      </c>
      <c r="J419" s="4" t="s">
        <v>3113</v>
      </c>
      <c r="K419" s="6">
        <f>+918448753354</f>
        <v>918448753354</v>
      </c>
      <c r="L419" s="4" t="str">
        <f t="shared" si="1"/>
        <v>akshay.mpl@gmail.com918448753354</v>
      </c>
      <c r="M419" s="10" t="s">
        <v>67</v>
      </c>
      <c r="N419" s="4" t="b">
        <v>0</v>
      </c>
      <c r="O419" s="4" t="str">
        <f>VLOOKUP(A419,payment_ids!D:E,2,FALSE)</f>
        <v>upi</v>
      </c>
      <c r="P419" s="4" t="s">
        <v>69</v>
      </c>
      <c r="Q419" s="4" t="s">
        <v>3114</v>
      </c>
      <c r="R419" s="4"/>
      <c r="S419" s="12" t="s">
        <v>3057</v>
      </c>
      <c r="T419" s="4"/>
      <c r="U419" s="4"/>
      <c r="V419" s="11"/>
      <c r="W419" s="4"/>
      <c r="X419" s="11"/>
      <c r="Y419" s="4"/>
      <c r="Z419" s="4"/>
      <c r="AA419" s="4"/>
      <c r="AB419" s="4"/>
      <c r="AC419" s="4"/>
      <c r="AD419" s="4"/>
      <c r="AE419" s="4"/>
      <c r="AF419" s="4"/>
      <c r="AG419" s="4"/>
      <c r="AH419" s="5"/>
      <c r="AI419" s="5"/>
      <c r="AJ419" s="5"/>
      <c r="AK419" s="5"/>
      <c r="AL419" s="5"/>
    </row>
    <row r="420">
      <c r="A420" s="4" t="str">
        <f>VLOOKUP(L420,payment_ids!C:D,2,FALSE)</f>
        <v>pay_HFppggyOgrrnvE</v>
      </c>
      <c r="B420" s="4"/>
      <c r="C420" s="4" t="s">
        <v>3055</v>
      </c>
      <c r="D420" s="4">
        <v>49991.0</v>
      </c>
      <c r="E420" s="5"/>
      <c r="F420" s="4">
        <v>1.0</v>
      </c>
      <c r="G420" s="4">
        <v>99.0</v>
      </c>
      <c r="H420" s="4"/>
      <c r="I420" s="4">
        <v>99.0</v>
      </c>
      <c r="J420" s="4" t="s">
        <v>3115</v>
      </c>
      <c r="K420" s="5">
        <f>+918956468871</f>
        <v>918956468871</v>
      </c>
      <c r="L420" s="4" t="str">
        <f t="shared" si="1"/>
        <v>ritikanair192003@gmail.com918956468871</v>
      </c>
      <c r="M420" s="10" t="s">
        <v>67</v>
      </c>
      <c r="N420" s="4" t="b">
        <v>0</v>
      </c>
      <c r="O420" s="4" t="str">
        <f>VLOOKUP(A420,payment_ids!D:E,2,FALSE)</f>
        <v>card</v>
      </c>
      <c r="P420" s="4" t="s">
        <v>69</v>
      </c>
      <c r="Q420" s="4" t="s">
        <v>3116</v>
      </c>
      <c r="R420" s="4"/>
      <c r="S420" s="12" t="s">
        <v>3057</v>
      </c>
      <c r="T420" s="5"/>
      <c r="U420" s="4"/>
      <c r="V420" s="11"/>
      <c r="W420" s="4"/>
      <c r="X420" s="11"/>
      <c r="Y420" s="4"/>
      <c r="Z420" s="4"/>
      <c r="AA420" s="4"/>
      <c r="AB420" s="4"/>
      <c r="AC420" s="4"/>
      <c r="AD420" s="4"/>
      <c r="AE420" s="4"/>
      <c r="AF420" s="4"/>
      <c r="AG420" s="4"/>
      <c r="AH420" s="5"/>
      <c r="AI420" s="5"/>
      <c r="AJ420" s="5"/>
      <c r="AK420" s="5"/>
      <c r="AL420" s="5"/>
    </row>
    <row r="421">
      <c r="A421" s="4" t="str">
        <f>VLOOKUP(L421,payment_ids!C:D,2,FALSE)</f>
        <v>pay_HGD81DxoQitQif</v>
      </c>
      <c r="B421" s="4"/>
      <c r="C421" s="4" t="s">
        <v>3055</v>
      </c>
      <c r="D421" s="4">
        <v>49991.0</v>
      </c>
      <c r="E421" s="5"/>
      <c r="F421" s="4">
        <v>1.0</v>
      </c>
      <c r="G421" s="4">
        <v>99.0</v>
      </c>
      <c r="H421" s="4"/>
      <c r="I421" s="4">
        <v>99.0</v>
      </c>
      <c r="J421" s="4" t="s">
        <v>3117</v>
      </c>
      <c r="K421" s="5">
        <f>+918105338544</f>
        <v>918105338544</v>
      </c>
      <c r="L421" s="4" t="str">
        <f t="shared" si="1"/>
        <v>amareshnagaral015@gmail.com918105338544</v>
      </c>
      <c r="M421" s="10" t="s">
        <v>67</v>
      </c>
      <c r="N421" s="4" t="b">
        <v>0</v>
      </c>
      <c r="O421" s="4" t="str">
        <f>VLOOKUP(A421,payment_ids!D:E,2,FALSE)</f>
        <v>upi</v>
      </c>
      <c r="P421" s="4" t="s">
        <v>69</v>
      </c>
      <c r="Q421" s="4" t="s">
        <v>3118</v>
      </c>
      <c r="R421" s="4"/>
      <c r="S421" s="12" t="s">
        <v>3057</v>
      </c>
      <c r="T421" s="5"/>
      <c r="U421" s="4"/>
      <c r="V421" s="11"/>
      <c r="W421" s="4"/>
      <c r="X421" s="11"/>
      <c r="Y421" s="4"/>
      <c r="Z421" s="4"/>
      <c r="AA421" s="4"/>
      <c r="AB421" s="4"/>
      <c r="AC421" s="7"/>
      <c r="AD421" s="4"/>
      <c r="AE421" s="4"/>
      <c r="AF421" s="4"/>
      <c r="AG421" s="4"/>
      <c r="AH421" s="5"/>
      <c r="AI421" s="5"/>
      <c r="AJ421" s="5"/>
      <c r="AK421" s="5"/>
      <c r="AL421" s="5"/>
    </row>
    <row r="422">
      <c r="A422" s="4" t="str">
        <f>VLOOKUP(L422,payment_ids!C:D,2,FALSE)</f>
        <v>pay_HGVa9nS9Tidm3r</v>
      </c>
      <c r="B422" s="4"/>
      <c r="C422" s="4" t="s">
        <v>3055</v>
      </c>
      <c r="D422" s="4">
        <v>49991.0</v>
      </c>
      <c r="E422" s="5"/>
      <c r="F422" s="4">
        <v>6.0</v>
      </c>
      <c r="G422" s="4">
        <v>349.0</v>
      </c>
      <c r="H422" s="4"/>
      <c r="I422" s="4">
        <v>349.0</v>
      </c>
      <c r="J422" s="4" t="s">
        <v>150</v>
      </c>
      <c r="K422" s="5">
        <f>+919736012400</f>
        <v>919736012400</v>
      </c>
      <c r="L422" s="4" t="str">
        <f t="shared" si="1"/>
        <v>tarunjee@gmail.com919736012400</v>
      </c>
      <c r="M422" s="10" t="s">
        <v>67</v>
      </c>
      <c r="N422" s="4" t="b">
        <v>0</v>
      </c>
      <c r="O422" s="4" t="str">
        <f>VLOOKUP(A422,payment_ids!D:E,2,FALSE)</f>
        <v>netbanking</v>
      </c>
      <c r="P422" s="4" t="s">
        <v>69</v>
      </c>
      <c r="Q422" s="4" t="s">
        <v>3119</v>
      </c>
      <c r="R422" s="4"/>
      <c r="S422" s="12" t="s">
        <v>3057</v>
      </c>
      <c r="T422" s="5"/>
      <c r="U422" s="4"/>
      <c r="V422" s="11"/>
      <c r="W422" s="4"/>
      <c r="X422" s="11"/>
      <c r="Y422" s="4"/>
      <c r="Z422" s="4"/>
      <c r="AA422" s="4"/>
      <c r="AB422" s="4"/>
      <c r="AC422" s="4"/>
      <c r="AD422" s="4"/>
      <c r="AE422" s="4"/>
      <c r="AF422" s="4"/>
      <c r="AG422" s="4"/>
      <c r="AH422" s="5"/>
      <c r="AI422" s="5"/>
      <c r="AJ422" s="5"/>
      <c r="AK422" s="5"/>
      <c r="AL422" s="5"/>
    </row>
    <row r="423">
      <c r="A423" s="4" t="str">
        <f>VLOOKUP(L423,payment_ids!C:D,2,FALSE)</f>
        <v>pay_HGbCp0lV9yYJG3</v>
      </c>
      <c r="B423" s="4"/>
      <c r="C423" s="4" t="s">
        <v>3055</v>
      </c>
      <c r="D423" s="4">
        <v>49991.0</v>
      </c>
      <c r="E423" s="5"/>
      <c r="F423" s="4">
        <v>6.0</v>
      </c>
      <c r="G423" s="4">
        <v>349.0</v>
      </c>
      <c r="H423" s="4"/>
      <c r="I423" s="4">
        <v>349.0</v>
      </c>
      <c r="J423" s="4" t="s">
        <v>3120</v>
      </c>
      <c r="K423" s="5">
        <f>+919870071615</f>
        <v>919870071615</v>
      </c>
      <c r="L423" s="4" t="str">
        <f t="shared" si="1"/>
        <v>manishkembral@gmail.com919870071615</v>
      </c>
      <c r="M423" s="10" t="s">
        <v>67</v>
      </c>
      <c r="N423" s="4" t="b">
        <v>0</v>
      </c>
      <c r="O423" s="4" t="str">
        <f>VLOOKUP(A423,payment_ids!D:E,2,FALSE)</f>
        <v>upi</v>
      </c>
      <c r="P423" s="4" t="s">
        <v>69</v>
      </c>
      <c r="Q423" s="4" t="s">
        <v>3121</v>
      </c>
      <c r="R423" s="4"/>
      <c r="S423" s="12" t="s">
        <v>3057</v>
      </c>
      <c r="T423" s="5"/>
      <c r="U423" s="4"/>
      <c r="V423" s="11"/>
      <c r="W423" s="4"/>
      <c r="X423" s="11"/>
      <c r="Y423" s="4"/>
      <c r="Z423" s="4"/>
      <c r="AA423" s="4"/>
      <c r="AB423" s="4"/>
      <c r="AC423" s="4"/>
      <c r="AD423" s="4"/>
      <c r="AE423" s="4"/>
      <c r="AF423" s="4"/>
      <c r="AG423" s="4"/>
      <c r="AH423" s="5"/>
      <c r="AI423" s="5"/>
      <c r="AJ423" s="5"/>
      <c r="AK423" s="5"/>
      <c r="AL423" s="5"/>
    </row>
    <row r="424">
      <c r="A424" s="4" t="str">
        <f>VLOOKUP(L424,payment_ids!C:D,2,FALSE)</f>
        <v>pay_HGhsyc0ONDMwvP</v>
      </c>
      <c r="B424" s="4"/>
      <c r="C424" s="4" t="s">
        <v>3055</v>
      </c>
      <c r="D424" s="4">
        <v>49991.0</v>
      </c>
      <c r="E424" s="5"/>
      <c r="F424" s="4">
        <v>1.0</v>
      </c>
      <c r="G424" s="4">
        <v>99.0</v>
      </c>
      <c r="H424" s="4"/>
      <c r="I424" s="4">
        <v>99.0</v>
      </c>
      <c r="J424" s="4" t="s">
        <v>3122</v>
      </c>
      <c r="K424" s="5">
        <f>+919741671908</f>
        <v>919741671908</v>
      </c>
      <c r="L424" s="4" t="str">
        <f t="shared" si="1"/>
        <v>foldministry@gmail.com919741671908</v>
      </c>
      <c r="M424" s="10" t="s">
        <v>67</v>
      </c>
      <c r="N424" s="4" t="b">
        <v>0</v>
      </c>
      <c r="O424" s="4" t="str">
        <f>VLOOKUP(A424,payment_ids!D:E,2,FALSE)</f>
        <v>wallet</v>
      </c>
      <c r="P424" s="4" t="s">
        <v>69</v>
      </c>
      <c r="Q424" s="4" t="s">
        <v>3123</v>
      </c>
      <c r="R424" s="4"/>
      <c r="S424" s="12" t="s">
        <v>3057</v>
      </c>
      <c r="T424" s="5"/>
      <c r="U424" s="4"/>
      <c r="V424" s="11"/>
      <c r="W424" s="4"/>
      <c r="X424" s="11"/>
      <c r="Y424" s="4"/>
      <c r="Z424" s="4"/>
      <c r="AA424" s="4"/>
      <c r="AB424" s="4"/>
      <c r="AC424" s="7"/>
      <c r="AD424" s="4"/>
      <c r="AE424" s="4"/>
      <c r="AF424" s="4"/>
      <c r="AG424" s="4"/>
      <c r="AH424" s="5"/>
      <c r="AI424" s="5"/>
      <c r="AJ424" s="5"/>
      <c r="AK424" s="5"/>
      <c r="AL424" s="5"/>
    </row>
    <row r="425">
      <c r="A425" s="4" t="str">
        <f>VLOOKUP(L425,payment_ids!C:D,2,FALSE)</f>
        <v>pay_HGstrDCt7fbSIA</v>
      </c>
      <c r="B425" s="4"/>
      <c r="C425" s="4" t="s">
        <v>3055</v>
      </c>
      <c r="D425" s="4">
        <v>49991.0</v>
      </c>
      <c r="E425" s="5"/>
      <c r="F425" s="4">
        <v>3.0</v>
      </c>
      <c r="G425" s="4">
        <v>199.0</v>
      </c>
      <c r="H425" s="4"/>
      <c r="I425" s="4">
        <v>199.0</v>
      </c>
      <c r="J425" s="4" t="s">
        <v>3124</v>
      </c>
      <c r="K425" s="5">
        <f>+17059708485</f>
        <v>17059708485</v>
      </c>
      <c r="L425" s="4" t="str">
        <f t="shared" si="1"/>
        <v>p.satya.nitw@gmail.com17059708485</v>
      </c>
      <c r="M425" s="10" t="s">
        <v>67</v>
      </c>
      <c r="N425" s="4" t="b">
        <v>0</v>
      </c>
      <c r="O425" s="4" t="str">
        <f>VLOOKUP(A425,payment_ids!D:E,2,FALSE)</f>
        <v>netbanking</v>
      </c>
      <c r="P425" s="4" t="s">
        <v>69</v>
      </c>
      <c r="Q425" s="4" t="s">
        <v>3125</v>
      </c>
      <c r="R425" s="4"/>
      <c r="S425" s="12" t="s">
        <v>3057</v>
      </c>
      <c r="T425" s="5"/>
      <c r="U425" s="4"/>
      <c r="V425" s="11"/>
      <c r="W425" s="4"/>
      <c r="X425" s="11"/>
      <c r="Y425" s="4"/>
      <c r="Z425" s="4"/>
      <c r="AA425" s="4"/>
      <c r="AB425" s="4"/>
      <c r="AC425" s="4"/>
      <c r="AD425" s="4"/>
      <c r="AE425" s="4"/>
      <c r="AF425" s="4"/>
      <c r="AG425" s="4"/>
      <c r="AH425" s="5"/>
      <c r="AI425" s="5"/>
      <c r="AJ425" s="5"/>
      <c r="AK425" s="5"/>
      <c r="AL425" s="5"/>
    </row>
    <row r="426">
      <c r="A426" s="4" t="str">
        <f>VLOOKUP(L426,payment_ids!C:D,2,FALSE)</f>
        <v>pay_HH4eZ6EUHPnko7</v>
      </c>
      <c r="B426" s="4"/>
      <c r="C426" s="4" t="s">
        <v>3055</v>
      </c>
      <c r="D426" s="4">
        <v>49991.0</v>
      </c>
      <c r="E426" s="5"/>
      <c r="F426" s="4">
        <v>1.0</v>
      </c>
      <c r="G426" s="4">
        <v>99.0</v>
      </c>
      <c r="H426" s="4"/>
      <c r="I426" s="4">
        <v>99.0</v>
      </c>
      <c r="J426" s="4" t="s">
        <v>3126</v>
      </c>
      <c r="K426" s="5">
        <f>+919811669336</f>
        <v>919811669336</v>
      </c>
      <c r="L426" s="4" t="str">
        <f t="shared" si="1"/>
        <v>mehradiya20@gmail.com919811669336</v>
      </c>
      <c r="M426" s="10" t="s">
        <v>67</v>
      </c>
      <c r="N426" s="4" t="b">
        <v>0</v>
      </c>
      <c r="O426" s="4" t="str">
        <f>VLOOKUP(A426,payment_ids!D:E,2,FALSE)</f>
        <v>upi</v>
      </c>
      <c r="P426" s="4" t="s">
        <v>69</v>
      </c>
      <c r="Q426" s="4" t="s">
        <v>3127</v>
      </c>
      <c r="R426" s="4"/>
      <c r="S426" s="12" t="s">
        <v>3057</v>
      </c>
      <c r="T426" s="5"/>
      <c r="U426" s="4"/>
      <c r="V426" s="11"/>
      <c r="W426" s="4"/>
      <c r="X426" s="11"/>
      <c r="Y426" s="4"/>
      <c r="Z426" s="4"/>
      <c r="AA426" s="4"/>
      <c r="AB426" s="4"/>
      <c r="AC426" s="4"/>
      <c r="AD426" s="4"/>
      <c r="AE426" s="4"/>
      <c r="AF426" s="4"/>
      <c r="AG426" s="4"/>
      <c r="AH426" s="5"/>
      <c r="AI426" s="5"/>
      <c r="AJ426" s="5"/>
      <c r="AK426" s="5"/>
      <c r="AL426" s="5"/>
    </row>
    <row r="427">
      <c r="A427" s="4" t="str">
        <f>VLOOKUP(L427,payment_ids!C:D,2,FALSE)</f>
        <v>pay_HH4k0nywbgHqqP</v>
      </c>
      <c r="B427" s="4"/>
      <c r="C427" s="4" t="s">
        <v>3055</v>
      </c>
      <c r="D427" s="4">
        <v>49991.0</v>
      </c>
      <c r="E427" s="5"/>
      <c r="F427" s="4">
        <v>1.0</v>
      </c>
      <c r="G427" s="4">
        <v>99.0</v>
      </c>
      <c r="H427" s="4"/>
      <c r="I427" s="4">
        <v>99.0</v>
      </c>
      <c r="J427" s="4" t="s">
        <v>3128</v>
      </c>
      <c r="K427" s="5">
        <f>+919015142508</f>
        <v>919015142508</v>
      </c>
      <c r="L427" s="4" t="str">
        <f t="shared" si="1"/>
        <v>anuragmal064@gmail.com919015142508</v>
      </c>
      <c r="M427" s="10" t="s">
        <v>67</v>
      </c>
      <c r="N427" s="4" t="b">
        <v>0</v>
      </c>
      <c r="O427" s="4" t="str">
        <f>VLOOKUP(A427,payment_ids!D:E,2,FALSE)</f>
        <v>upi</v>
      </c>
      <c r="P427" s="4" t="s">
        <v>69</v>
      </c>
      <c r="Q427" s="4" t="s">
        <v>3129</v>
      </c>
      <c r="R427" s="4"/>
      <c r="S427" s="12" t="s">
        <v>3057</v>
      </c>
      <c r="T427" s="5"/>
      <c r="U427" s="4"/>
      <c r="V427" s="11"/>
      <c r="W427" s="4"/>
      <c r="X427" s="11"/>
      <c r="Y427" s="4"/>
      <c r="Z427" s="4"/>
      <c r="AA427" s="4"/>
      <c r="AB427" s="4"/>
      <c r="AC427" s="4"/>
      <c r="AD427" s="4"/>
      <c r="AE427" s="4"/>
      <c r="AF427" s="4"/>
      <c r="AG427" s="4"/>
      <c r="AH427" s="5"/>
      <c r="AI427" s="5"/>
      <c r="AJ427" s="5"/>
      <c r="AK427" s="5"/>
      <c r="AL427" s="5"/>
    </row>
    <row r="428">
      <c r="A428" s="4" t="str">
        <f>VLOOKUP(L428,payment_ids!C:D,2,FALSE)</f>
        <v>pay_HHKzjHvbhvwY0W</v>
      </c>
      <c r="B428" s="4"/>
      <c r="C428" s="4" t="s">
        <v>3055</v>
      </c>
      <c r="D428" s="4">
        <v>49991.0</v>
      </c>
      <c r="E428" s="5"/>
      <c r="F428" s="4">
        <v>6.0</v>
      </c>
      <c r="G428" s="4">
        <v>349.0</v>
      </c>
      <c r="H428" s="4"/>
      <c r="I428" s="4">
        <v>349.0</v>
      </c>
      <c r="J428" s="4" t="s">
        <v>3130</v>
      </c>
      <c r="K428" s="5">
        <f>+918660937556</f>
        <v>918660937556</v>
      </c>
      <c r="L428" s="4" t="str">
        <f t="shared" si="1"/>
        <v>pillimaheshratan@gmail.com918660937556</v>
      </c>
      <c r="M428" s="10" t="s">
        <v>67</v>
      </c>
      <c r="N428" s="4" t="b">
        <v>0</v>
      </c>
      <c r="O428" s="4" t="str">
        <f>VLOOKUP(A428,payment_ids!D:E,2,FALSE)</f>
        <v>card</v>
      </c>
      <c r="P428" s="4" t="s">
        <v>69</v>
      </c>
      <c r="Q428" s="4" t="s">
        <v>3131</v>
      </c>
      <c r="R428" s="4"/>
      <c r="S428" s="12" t="s">
        <v>3057</v>
      </c>
      <c r="T428" s="5"/>
      <c r="U428" s="4"/>
      <c r="V428" s="11"/>
      <c r="W428" s="4"/>
      <c r="X428" s="11"/>
      <c r="Y428" s="4"/>
      <c r="Z428" s="4"/>
      <c r="AA428" s="4"/>
      <c r="AB428" s="4"/>
      <c r="AC428" s="4"/>
      <c r="AD428" s="4"/>
      <c r="AE428" s="4"/>
      <c r="AF428" s="4"/>
      <c r="AG428" s="4"/>
      <c r="AH428" s="5"/>
      <c r="AI428" s="5"/>
      <c r="AJ428" s="5"/>
      <c r="AK428" s="5"/>
      <c r="AL428" s="5"/>
    </row>
    <row r="429">
      <c r="A429" s="4" t="str">
        <f>VLOOKUP(L429,payment_ids!C:D,2,FALSE)</f>
        <v>pay_HHLT4vyNozXB1o</v>
      </c>
      <c r="B429" s="4"/>
      <c r="C429" s="4" t="s">
        <v>3055</v>
      </c>
      <c r="D429" s="4">
        <v>49991.0</v>
      </c>
      <c r="E429" s="5"/>
      <c r="F429" s="4">
        <v>3.0</v>
      </c>
      <c r="G429" s="4">
        <v>199.0</v>
      </c>
      <c r="H429" s="4"/>
      <c r="I429" s="4">
        <v>199.0</v>
      </c>
      <c r="J429" s="4" t="s">
        <v>3132</v>
      </c>
      <c r="K429" s="5">
        <f>+919539070608</f>
        <v>919539070608</v>
      </c>
      <c r="L429" s="4" t="str">
        <f t="shared" si="1"/>
        <v>vineethn86@gmail.com919539070608</v>
      </c>
      <c r="M429" s="10" t="s">
        <v>67</v>
      </c>
      <c r="N429" s="4" t="b">
        <v>0</v>
      </c>
      <c r="O429" s="4" t="str">
        <f>VLOOKUP(A429,payment_ids!D:E,2,FALSE)</f>
        <v>upi</v>
      </c>
      <c r="P429" s="4" t="s">
        <v>69</v>
      </c>
      <c r="Q429" s="4" t="s">
        <v>3133</v>
      </c>
      <c r="R429" s="4"/>
      <c r="S429" s="12" t="s">
        <v>3057</v>
      </c>
      <c r="T429" s="5"/>
      <c r="U429" s="4"/>
      <c r="V429" s="11"/>
      <c r="W429" s="4"/>
      <c r="X429" s="11"/>
      <c r="Y429" s="4"/>
      <c r="Z429" s="4"/>
      <c r="AA429" s="4"/>
      <c r="AB429" s="4"/>
      <c r="AC429" s="4"/>
      <c r="AD429" s="4"/>
      <c r="AE429" s="4"/>
      <c r="AF429" s="4"/>
      <c r="AG429" s="4"/>
      <c r="AH429" s="5"/>
      <c r="AI429" s="5"/>
      <c r="AJ429" s="5"/>
      <c r="AK429" s="5"/>
      <c r="AL429" s="5"/>
    </row>
    <row r="430">
      <c r="A430" s="4" t="str">
        <f>VLOOKUP(L430,payment_ids!C:D,2,FALSE)</f>
        <v>pay_HHd04ZBBRKf0il</v>
      </c>
      <c r="B430" s="4"/>
      <c r="C430" s="4" t="s">
        <v>3055</v>
      </c>
      <c r="D430" s="4">
        <v>49991.0</v>
      </c>
      <c r="E430" s="5"/>
      <c r="F430" s="4">
        <v>3.0</v>
      </c>
      <c r="G430" s="4">
        <v>199.0</v>
      </c>
      <c r="H430" s="4"/>
      <c r="I430" s="4">
        <v>199.0</v>
      </c>
      <c r="J430" s="4" t="s">
        <v>3134</v>
      </c>
      <c r="K430" s="5">
        <f>+918460324296</f>
        <v>918460324296</v>
      </c>
      <c r="L430" s="4" t="str">
        <f t="shared" si="1"/>
        <v>jyotidora21@gmail.com918460324296</v>
      </c>
      <c r="M430" s="10" t="s">
        <v>67</v>
      </c>
      <c r="N430" s="4" t="b">
        <v>0</v>
      </c>
      <c r="O430" s="4" t="str">
        <f>VLOOKUP(A430,payment_ids!D:E,2,FALSE)</f>
        <v>card</v>
      </c>
      <c r="P430" s="4" t="s">
        <v>69</v>
      </c>
      <c r="Q430" s="11">
        <v>44202.32638888889</v>
      </c>
      <c r="R430" s="4"/>
      <c r="S430" s="12" t="s">
        <v>3057</v>
      </c>
      <c r="T430" s="5"/>
      <c r="U430" s="4"/>
      <c r="V430" s="11"/>
      <c r="W430" s="4"/>
      <c r="X430" s="11"/>
      <c r="Y430" s="4"/>
      <c r="Z430" s="4"/>
      <c r="AA430" s="4"/>
      <c r="AB430" s="4"/>
      <c r="AC430" s="4"/>
      <c r="AD430" s="4"/>
      <c r="AE430" s="4"/>
      <c r="AF430" s="4"/>
      <c r="AG430" s="4"/>
      <c r="AH430" s="5"/>
      <c r="AI430" s="5"/>
      <c r="AJ430" s="5"/>
      <c r="AK430" s="5"/>
      <c r="AL430" s="5"/>
    </row>
    <row r="431">
      <c r="A431" s="4" t="str">
        <f>VLOOKUP(L431,payment_ids!C:D,2,FALSE)</f>
        <v>pay_HHkrkzZlCzzpZ1</v>
      </c>
      <c r="B431" s="4"/>
      <c r="C431" s="4" t="s">
        <v>3055</v>
      </c>
      <c r="D431" s="4">
        <v>49991.0</v>
      </c>
      <c r="E431" s="5"/>
      <c r="F431" s="4">
        <v>3.0</v>
      </c>
      <c r="G431" s="4">
        <v>199.0</v>
      </c>
      <c r="H431" s="4"/>
      <c r="I431" s="4">
        <v>199.0</v>
      </c>
      <c r="J431" s="4" t="s">
        <v>3135</v>
      </c>
      <c r="K431" s="5">
        <f>+919100252335</f>
        <v>919100252335</v>
      </c>
      <c r="L431" s="4" t="str">
        <f t="shared" si="1"/>
        <v>bajigamd@gmail.com919100252335</v>
      </c>
      <c r="M431" s="10" t="s">
        <v>67</v>
      </c>
      <c r="N431" s="4" t="b">
        <v>0</v>
      </c>
      <c r="O431" s="4" t="str">
        <f>VLOOKUP(A431,payment_ids!D:E,2,FALSE)</f>
        <v>upi</v>
      </c>
      <c r="P431" s="4" t="s">
        <v>69</v>
      </c>
      <c r="Q431" s="11">
        <v>44202.64722222222</v>
      </c>
      <c r="R431" s="4"/>
      <c r="S431" s="12" t="s">
        <v>3057</v>
      </c>
      <c r="T431" s="5"/>
      <c r="U431" s="4"/>
      <c r="V431" s="11"/>
      <c r="W431" s="4"/>
      <c r="X431" s="11"/>
      <c r="Y431" s="4"/>
      <c r="Z431" s="4"/>
      <c r="AA431" s="4"/>
      <c r="AB431" s="4"/>
      <c r="AC431" s="4"/>
      <c r="AD431" s="4"/>
      <c r="AE431" s="4"/>
      <c r="AF431" s="4"/>
      <c r="AG431" s="4"/>
      <c r="AH431" s="5"/>
      <c r="AI431" s="5"/>
      <c r="AJ431" s="5"/>
      <c r="AK431" s="5"/>
      <c r="AL431" s="5"/>
    </row>
    <row r="432">
      <c r="A432" s="4" t="str">
        <f>VLOOKUP(L432,payment_ids!C:D,2,FALSE)</f>
        <v>pay_HHl9R1K2ZD2wkG</v>
      </c>
      <c r="B432" s="4"/>
      <c r="C432" s="4" t="s">
        <v>3055</v>
      </c>
      <c r="D432" s="4">
        <v>49991.0</v>
      </c>
      <c r="E432" s="5"/>
      <c r="F432" s="4">
        <v>3.0</v>
      </c>
      <c r="G432" s="4">
        <v>199.0</v>
      </c>
      <c r="H432" s="4"/>
      <c r="I432" s="4">
        <v>199.0</v>
      </c>
      <c r="J432" s="4" t="s">
        <v>3136</v>
      </c>
      <c r="K432" s="5">
        <f>+917995809689</f>
        <v>917995809689</v>
      </c>
      <c r="L432" s="4" t="str">
        <f t="shared" si="1"/>
        <v>adivipallesravani99@gmail.com917995809689</v>
      </c>
      <c r="M432" s="10" t="s">
        <v>67</v>
      </c>
      <c r="N432" s="4" t="b">
        <v>0</v>
      </c>
      <c r="O432" s="4" t="str">
        <f>VLOOKUP(A432,payment_ids!D:E,2,FALSE)</f>
        <v>upi</v>
      </c>
      <c r="P432" s="4" t="s">
        <v>69</v>
      </c>
      <c r="Q432" s="11">
        <v>44202.65833333333</v>
      </c>
      <c r="R432" s="4"/>
      <c r="S432" s="12" t="s">
        <v>3057</v>
      </c>
      <c r="T432" s="5"/>
      <c r="U432" s="4"/>
      <c r="V432" s="11"/>
      <c r="W432" s="4"/>
      <c r="X432" s="11"/>
      <c r="Y432" s="4"/>
      <c r="Z432" s="4"/>
      <c r="AA432" s="4"/>
      <c r="AB432" s="4"/>
      <c r="AC432" s="7"/>
      <c r="AD432" s="4"/>
      <c r="AE432" s="4"/>
      <c r="AF432" s="4"/>
      <c r="AG432" s="4"/>
      <c r="AH432" s="5"/>
      <c r="AI432" s="5"/>
      <c r="AJ432" s="5"/>
      <c r="AK432" s="5"/>
      <c r="AL432" s="5"/>
    </row>
    <row r="433">
      <c r="A433" s="4" t="str">
        <f>VLOOKUP(L433,payment_ids!C:D,2,FALSE)</f>
        <v>pay_HI1f4RkC2VhZzm</v>
      </c>
      <c r="B433" s="4"/>
      <c r="C433" s="4" t="s">
        <v>3055</v>
      </c>
      <c r="D433" s="4">
        <v>49991.0</v>
      </c>
      <c r="E433" s="5"/>
      <c r="F433" s="4">
        <v>6.0</v>
      </c>
      <c r="G433" s="4">
        <v>349.0</v>
      </c>
      <c r="H433" s="4"/>
      <c r="I433" s="4">
        <v>349.0</v>
      </c>
      <c r="J433" s="4" t="s">
        <v>3137</v>
      </c>
      <c r="K433" s="5">
        <f>+919811770481</f>
        <v>919811770481</v>
      </c>
      <c r="L433" s="4" t="str">
        <f t="shared" si="1"/>
        <v>shireesh_jain@rediffmail.com919811770481</v>
      </c>
      <c r="M433" s="10" t="s">
        <v>67</v>
      </c>
      <c r="N433" s="4" t="b">
        <v>0</v>
      </c>
      <c r="O433" s="4" t="str">
        <f>VLOOKUP(A433,payment_ids!D:E,2,FALSE)</f>
        <v>upi</v>
      </c>
      <c r="P433" s="4" t="s">
        <v>69</v>
      </c>
      <c r="Q433" s="11">
        <v>44233.33194444444</v>
      </c>
      <c r="R433" s="4"/>
      <c r="S433" s="12" t="s">
        <v>3057</v>
      </c>
      <c r="T433" s="5"/>
      <c r="U433" s="4"/>
      <c r="V433" s="11"/>
      <c r="W433" s="4"/>
      <c r="X433" s="11"/>
      <c r="Y433" s="4"/>
      <c r="Z433" s="4"/>
      <c r="AA433" s="4"/>
      <c r="AB433" s="4"/>
      <c r="AC433" s="4"/>
      <c r="AD433" s="4"/>
      <c r="AE433" s="4"/>
      <c r="AF433" s="4"/>
      <c r="AG433" s="4"/>
      <c r="AH433" s="5"/>
      <c r="AI433" s="5"/>
      <c r="AJ433" s="5"/>
      <c r="AK433" s="5"/>
      <c r="AL433" s="5"/>
    </row>
    <row r="434">
      <c r="A434" s="4" t="str">
        <f>VLOOKUP(L434,payment_ids!C:D,2,FALSE)</f>
        <v>pay_HIAvNe7ERT55zU</v>
      </c>
      <c r="B434" s="4"/>
      <c r="C434" s="4" t="s">
        <v>3055</v>
      </c>
      <c r="D434" s="4">
        <v>49991.0</v>
      </c>
      <c r="E434" s="5"/>
      <c r="F434" s="4">
        <v>1.0</v>
      </c>
      <c r="G434" s="4">
        <v>99.0</v>
      </c>
      <c r="H434" s="4"/>
      <c r="I434" s="4">
        <v>99.0</v>
      </c>
      <c r="J434" s="4" t="s">
        <v>3138</v>
      </c>
      <c r="K434" s="5">
        <f>+919983411578</f>
        <v>919983411578</v>
      </c>
      <c r="L434" s="4" t="str">
        <f t="shared" si="1"/>
        <v>hasanzaiba084@gmail.com919983411578</v>
      </c>
      <c r="M434" s="10" t="s">
        <v>67</v>
      </c>
      <c r="N434" s="4" t="b">
        <v>0</v>
      </c>
      <c r="O434" s="4" t="str">
        <f>VLOOKUP(A434,payment_ids!D:E,2,FALSE)</f>
        <v>upi</v>
      </c>
      <c r="P434" s="4" t="s">
        <v>69</v>
      </c>
      <c r="Q434" s="11">
        <v>44233.70972222222</v>
      </c>
      <c r="R434" s="4"/>
      <c r="S434" s="12" t="s">
        <v>3057</v>
      </c>
      <c r="T434" s="5"/>
      <c r="U434" s="4"/>
      <c r="V434" s="11"/>
      <c r="W434" s="4"/>
      <c r="X434" s="11"/>
      <c r="Y434" s="4"/>
      <c r="Z434" s="4"/>
      <c r="AA434" s="4"/>
      <c r="AB434" s="4"/>
      <c r="AC434" s="7"/>
      <c r="AD434" s="4"/>
      <c r="AE434" s="4"/>
      <c r="AF434" s="4"/>
      <c r="AG434" s="4"/>
      <c r="AH434" s="5"/>
      <c r="AI434" s="5"/>
      <c r="AJ434" s="5"/>
      <c r="AK434" s="5"/>
      <c r="AL434" s="5"/>
    </row>
    <row r="435">
      <c r="A435" s="4" t="str">
        <f>VLOOKUP(L435,payment_ids!C:D,2,FALSE)</f>
        <v>pay_HID2bXkigUpaW8</v>
      </c>
      <c r="B435" s="4"/>
      <c r="C435" s="4" t="s">
        <v>3055</v>
      </c>
      <c r="D435" s="4">
        <v>49991.0</v>
      </c>
      <c r="E435" s="5"/>
      <c r="F435" s="4">
        <v>1.0</v>
      </c>
      <c r="G435" s="4">
        <v>99.0</v>
      </c>
      <c r="H435" s="4"/>
      <c r="I435" s="4">
        <v>99.0</v>
      </c>
      <c r="J435" s="4" t="s">
        <v>3139</v>
      </c>
      <c r="K435" s="5">
        <f>+918276030350</f>
        <v>918276030350</v>
      </c>
      <c r="L435" s="4" t="str">
        <f t="shared" si="1"/>
        <v>uparnachatterjee06@gmail.com918276030350</v>
      </c>
      <c r="M435" s="10" t="s">
        <v>67</v>
      </c>
      <c r="N435" s="4" t="b">
        <v>0</v>
      </c>
      <c r="O435" s="4" t="str">
        <f>VLOOKUP(A435,payment_ids!D:E,2,FALSE)</f>
        <v>upi</v>
      </c>
      <c r="P435" s="4" t="s">
        <v>69</v>
      </c>
      <c r="Q435" s="11">
        <v>44233.79513888889</v>
      </c>
      <c r="R435" s="4"/>
      <c r="S435" s="12" t="s">
        <v>3057</v>
      </c>
      <c r="T435" s="5"/>
      <c r="U435" s="4"/>
      <c r="V435" s="11"/>
      <c r="W435" s="4"/>
      <c r="X435" s="11"/>
      <c r="Y435" s="4"/>
      <c r="Z435" s="4"/>
      <c r="AA435" s="4"/>
      <c r="AB435" s="4"/>
      <c r="AC435" s="4"/>
      <c r="AD435" s="4"/>
      <c r="AE435" s="4"/>
      <c r="AF435" s="4"/>
      <c r="AG435" s="4"/>
      <c r="AH435" s="5"/>
      <c r="AI435" s="5"/>
      <c r="AJ435" s="5"/>
      <c r="AK435" s="5"/>
      <c r="AL435" s="5"/>
    </row>
    <row r="436">
      <c r="A436" s="4" t="str">
        <f>VLOOKUP(L436,payment_ids!C:D,2,FALSE)</f>
        <v>pay_HIHcLZ5otiUfQF</v>
      </c>
      <c r="B436" s="4"/>
      <c r="C436" s="4" t="s">
        <v>3055</v>
      </c>
      <c r="D436" s="4">
        <v>49991.0</v>
      </c>
      <c r="E436" s="5"/>
      <c r="F436" s="4">
        <v>1.0</v>
      </c>
      <c r="G436" s="4">
        <v>99.0</v>
      </c>
      <c r="H436" s="4"/>
      <c r="I436" s="4">
        <v>99.0</v>
      </c>
      <c r="J436" s="4" t="s">
        <v>3140</v>
      </c>
      <c r="K436" s="5">
        <f>+917811967779</f>
        <v>917811967779</v>
      </c>
      <c r="L436" s="4" t="str">
        <f t="shared" si="1"/>
        <v>vaheethraj250@gmail.com917811967779</v>
      </c>
      <c r="M436" s="10" t="s">
        <v>67</v>
      </c>
      <c r="N436" s="4" t="b">
        <v>0</v>
      </c>
      <c r="O436" s="4" t="str">
        <f>VLOOKUP(A436,payment_ids!D:E,2,FALSE)</f>
        <v>upi</v>
      </c>
      <c r="P436" s="4" t="s">
        <v>69</v>
      </c>
      <c r="Q436" s="11">
        <v>44233.981944444444</v>
      </c>
      <c r="R436" s="4"/>
      <c r="S436" s="12" t="s">
        <v>3057</v>
      </c>
      <c r="T436" s="5"/>
      <c r="U436" s="4"/>
      <c r="V436" s="11"/>
      <c r="W436" s="4"/>
      <c r="X436" s="11"/>
      <c r="Y436" s="4"/>
      <c r="Z436" s="4"/>
      <c r="AA436" s="4"/>
      <c r="AB436" s="4"/>
      <c r="AC436" s="4"/>
      <c r="AD436" s="4"/>
      <c r="AE436" s="4"/>
      <c r="AF436" s="4"/>
      <c r="AG436" s="4"/>
      <c r="AH436" s="5"/>
      <c r="AI436" s="5"/>
      <c r="AJ436" s="5"/>
      <c r="AK436" s="5"/>
      <c r="AL436" s="5"/>
    </row>
    <row r="437">
      <c r="A437" s="4" t="str">
        <f>VLOOKUP(L437,payment_ids!C:D,2,FALSE)</f>
        <v>pay_HIJ3dlGYqEWorM</v>
      </c>
      <c r="B437" s="4"/>
      <c r="C437" s="4" t="s">
        <v>3055</v>
      </c>
      <c r="D437" s="4">
        <v>49991.0</v>
      </c>
      <c r="E437" s="5"/>
      <c r="F437" s="4">
        <v>1.0</v>
      </c>
      <c r="G437" s="4">
        <v>99.0</v>
      </c>
      <c r="H437" s="4"/>
      <c r="I437" s="4">
        <v>99.0</v>
      </c>
      <c r="J437" s="4" t="s">
        <v>3141</v>
      </c>
      <c r="K437" s="5">
        <f>+917903130415</f>
        <v>917903130415</v>
      </c>
      <c r="L437" s="4" t="str">
        <f t="shared" si="1"/>
        <v>janvimalviya21@gmail.com917903130415</v>
      </c>
      <c r="M437" s="10" t="s">
        <v>67</v>
      </c>
      <c r="N437" s="4" t="b">
        <v>0</v>
      </c>
      <c r="O437" s="4" t="str">
        <f>VLOOKUP(A437,payment_ids!D:E,2,FALSE)</f>
        <v>upi</v>
      </c>
      <c r="P437" s="4" t="s">
        <v>69</v>
      </c>
      <c r="Q437" s="11">
        <v>44261.04375</v>
      </c>
      <c r="R437" s="4"/>
      <c r="S437" s="12" t="s">
        <v>3142</v>
      </c>
      <c r="T437" s="5"/>
      <c r="U437" s="4"/>
      <c r="V437" s="11"/>
      <c r="W437" s="4"/>
      <c r="X437" s="11"/>
      <c r="Y437" s="4"/>
      <c r="Z437" s="4"/>
      <c r="AA437" s="4"/>
      <c r="AB437" s="4"/>
      <c r="AC437" s="7"/>
      <c r="AD437" s="4"/>
      <c r="AE437" s="4"/>
      <c r="AF437" s="4"/>
      <c r="AG437" s="4"/>
      <c r="AH437" s="5"/>
      <c r="AI437" s="5"/>
      <c r="AJ437" s="5"/>
      <c r="AK437" s="5"/>
      <c r="AL437" s="5"/>
    </row>
    <row r="438">
      <c r="A438" s="4" t="str">
        <f>VLOOKUP(L438,payment_ids!C:D,2,FALSE)</f>
        <v>pay_HITQrqemYp0D7W</v>
      </c>
      <c r="B438" s="4"/>
      <c r="C438" s="4" t="s">
        <v>3055</v>
      </c>
      <c r="D438" s="4">
        <v>49991.0</v>
      </c>
      <c r="E438" s="5"/>
      <c r="F438" s="4">
        <v>1.0</v>
      </c>
      <c r="G438" s="4">
        <v>99.0</v>
      </c>
      <c r="H438" s="4"/>
      <c r="I438" s="4">
        <v>99.0</v>
      </c>
      <c r="J438" s="4" t="s">
        <v>3143</v>
      </c>
      <c r="K438" s="5">
        <f>+917505580579</f>
        <v>917505580579</v>
      </c>
      <c r="L438" s="4" t="str">
        <f t="shared" si="1"/>
        <v>shephali864@gmail.com917505580579</v>
      </c>
      <c r="M438" s="10" t="s">
        <v>67</v>
      </c>
      <c r="N438" s="4" t="b">
        <v>0</v>
      </c>
      <c r="O438" s="4" t="str">
        <f>VLOOKUP(A438,payment_ids!D:E,2,FALSE)</f>
        <v>upi</v>
      </c>
      <c r="P438" s="4" t="s">
        <v>69</v>
      </c>
      <c r="Q438" s="11">
        <v>44261.46388888889</v>
      </c>
      <c r="R438" s="4"/>
      <c r="S438" s="12" t="s">
        <v>3057</v>
      </c>
      <c r="T438" s="5"/>
      <c r="U438" s="4"/>
      <c r="V438" s="11"/>
      <c r="W438" s="4"/>
      <c r="X438" s="11"/>
      <c r="Y438" s="4"/>
      <c r="Z438" s="4"/>
      <c r="AA438" s="4"/>
      <c r="AB438" s="4"/>
      <c r="AC438" s="4"/>
      <c r="AD438" s="4"/>
      <c r="AE438" s="4"/>
      <c r="AF438" s="4"/>
      <c r="AG438" s="4"/>
      <c r="AH438" s="5"/>
      <c r="AI438" s="5"/>
      <c r="AJ438" s="5"/>
      <c r="AK438" s="5"/>
      <c r="AL438" s="5"/>
    </row>
    <row r="439">
      <c r="A439" s="4" t="str">
        <f>VLOOKUP(L439,payment_ids!C:D,2,FALSE)</f>
        <v>pay_HITZ8ZdvalXxj9</v>
      </c>
      <c r="B439" s="4"/>
      <c r="C439" s="4" t="s">
        <v>3055</v>
      </c>
      <c r="D439" s="4">
        <v>49991.0</v>
      </c>
      <c r="E439" s="5"/>
      <c r="F439" s="4">
        <v>1.0</v>
      </c>
      <c r="G439" s="4">
        <v>99.0</v>
      </c>
      <c r="H439" s="4"/>
      <c r="I439" s="4">
        <v>99.0</v>
      </c>
      <c r="J439" s="4" t="s">
        <v>3144</v>
      </c>
      <c r="K439" s="5">
        <f>+919810115373</f>
        <v>919810115373</v>
      </c>
      <c r="L439" s="4" t="str">
        <f t="shared" si="1"/>
        <v>arivg25@gmail.com919810115373</v>
      </c>
      <c r="M439" s="10" t="s">
        <v>67</v>
      </c>
      <c r="N439" s="4" t="b">
        <v>0</v>
      </c>
      <c r="O439" s="4" t="str">
        <f>VLOOKUP(A439,payment_ids!D:E,2,FALSE)</f>
        <v>netbanking</v>
      </c>
      <c r="P439" s="4" t="s">
        <v>69</v>
      </c>
      <c r="Q439" s="11">
        <v>44261.46944444445</v>
      </c>
      <c r="R439" s="4"/>
      <c r="S439" s="12" t="s">
        <v>3057</v>
      </c>
      <c r="T439" s="5"/>
      <c r="U439" s="4"/>
      <c r="V439" s="11"/>
      <c r="W439" s="4"/>
      <c r="X439" s="11"/>
      <c r="Y439" s="4"/>
      <c r="Z439" s="4"/>
      <c r="AA439" s="4"/>
      <c r="AB439" s="4"/>
      <c r="AC439" s="4"/>
      <c r="AD439" s="4"/>
      <c r="AE439" s="4"/>
      <c r="AF439" s="4"/>
      <c r="AG439" s="4"/>
      <c r="AH439" s="5"/>
      <c r="AI439" s="5"/>
      <c r="AJ439" s="5"/>
      <c r="AK439" s="5"/>
      <c r="AL439" s="5"/>
    </row>
    <row r="440">
      <c r="A440" s="4" t="str">
        <f>VLOOKUP(L440,payment_ids!C:D,2,FALSE)</f>
        <v>pay_HIaLLWA5T8kmRR</v>
      </c>
      <c r="B440" s="4"/>
      <c r="C440" s="4" t="s">
        <v>3055</v>
      </c>
      <c r="D440" s="4">
        <v>49991.0</v>
      </c>
      <c r="E440" s="5"/>
      <c r="F440" s="4">
        <v>3.0</v>
      </c>
      <c r="G440" s="4">
        <v>199.0</v>
      </c>
      <c r="H440" s="4"/>
      <c r="I440" s="4">
        <v>199.0</v>
      </c>
      <c r="J440" s="4" t="s">
        <v>3145</v>
      </c>
      <c r="K440" s="5">
        <f>+918910275498</f>
        <v>918910275498</v>
      </c>
      <c r="L440" s="4" t="str">
        <f t="shared" si="1"/>
        <v>gunjankr5416@gmail.com918910275498</v>
      </c>
      <c r="M440" s="10" t="s">
        <v>67</v>
      </c>
      <c r="N440" s="4" t="b">
        <v>0</v>
      </c>
      <c r="O440" s="4" t="str">
        <f>VLOOKUP(A440,payment_ids!D:E,2,FALSE)</f>
        <v>card</v>
      </c>
      <c r="P440" s="4" t="s">
        <v>69</v>
      </c>
      <c r="Q440" s="11">
        <v>44261.74513888889</v>
      </c>
      <c r="R440" s="4"/>
      <c r="S440" s="12" t="s">
        <v>3057</v>
      </c>
      <c r="T440" s="5"/>
      <c r="U440" s="4"/>
      <c r="V440" s="11"/>
      <c r="W440" s="4"/>
      <c r="X440" s="11"/>
      <c r="Y440" s="4"/>
      <c r="Z440" s="4"/>
      <c r="AA440" s="4"/>
      <c r="AB440" s="4"/>
      <c r="AC440" s="7"/>
      <c r="AD440" s="4"/>
      <c r="AE440" s="4"/>
      <c r="AF440" s="4"/>
      <c r="AG440" s="4"/>
      <c r="AH440" s="5"/>
      <c r="AI440" s="5"/>
      <c r="AJ440" s="5"/>
      <c r="AK440" s="5"/>
      <c r="AL440" s="5"/>
    </row>
    <row r="441">
      <c r="A441" s="4" t="str">
        <f>VLOOKUP(L441,payment_ids!C:D,2,FALSE)</f>
        <v>pay_HIbMdHivus0mTF</v>
      </c>
      <c r="B441" s="4"/>
      <c r="C441" s="4" t="s">
        <v>3055</v>
      </c>
      <c r="D441" s="4">
        <v>49991.0</v>
      </c>
      <c r="E441" s="5"/>
      <c r="F441" s="4">
        <v>1.0</v>
      </c>
      <c r="G441" s="4">
        <v>99.0</v>
      </c>
      <c r="H441" s="4"/>
      <c r="I441" s="4">
        <v>99.0</v>
      </c>
      <c r="J441" s="4" t="s">
        <v>3146</v>
      </c>
      <c r="K441" s="5">
        <f>+917021122874</f>
        <v>917021122874</v>
      </c>
      <c r="L441" s="4" t="str">
        <f t="shared" si="1"/>
        <v>dilip.rg@hotmail.com917021122874</v>
      </c>
      <c r="M441" s="10" t="s">
        <v>67</v>
      </c>
      <c r="N441" s="4" t="b">
        <v>0</v>
      </c>
      <c r="O441" s="4" t="str">
        <f>VLOOKUP(A441,payment_ids!D:E,2,FALSE)</f>
        <v>upi</v>
      </c>
      <c r="P441" s="4" t="s">
        <v>69</v>
      </c>
      <c r="Q441" s="11">
        <v>44261.7875</v>
      </c>
      <c r="R441" s="4"/>
      <c r="S441" s="12" t="s">
        <v>3057</v>
      </c>
      <c r="T441" s="5"/>
      <c r="U441" s="4"/>
      <c r="V441" s="11"/>
      <c r="W441" s="4"/>
      <c r="X441" s="11"/>
      <c r="Y441" s="4"/>
      <c r="Z441" s="4"/>
      <c r="AA441" s="4"/>
      <c r="AB441" s="4"/>
      <c r="AC441" s="4"/>
      <c r="AD441" s="4"/>
      <c r="AE441" s="4"/>
      <c r="AF441" s="4"/>
      <c r="AG441" s="4"/>
      <c r="AH441" s="5"/>
      <c r="AI441" s="5"/>
      <c r="AJ441" s="5"/>
      <c r="AK441" s="5"/>
      <c r="AL441" s="5"/>
    </row>
    <row r="442">
      <c r="A442" s="4" t="str">
        <f>VLOOKUP(L442,payment_ids!C:D,2,FALSE)</f>
        <v>pay_H7WOZFoeRgG2zC</v>
      </c>
      <c r="B442" s="4"/>
      <c r="C442" s="4" t="s">
        <v>3055</v>
      </c>
      <c r="D442" s="4">
        <v>49991.0</v>
      </c>
      <c r="E442" s="5"/>
      <c r="F442" s="4">
        <v>1.0</v>
      </c>
      <c r="G442" s="4">
        <v>99.0</v>
      </c>
      <c r="H442" s="4"/>
      <c r="I442" s="4">
        <v>99.0</v>
      </c>
      <c r="J442" s="4" t="s">
        <v>3059</v>
      </c>
      <c r="K442" s="5">
        <f>+918953547813</f>
        <v>918953547813</v>
      </c>
      <c r="L442" s="4" t="str">
        <f t="shared" si="1"/>
        <v>ajitrai.ajit@gmail.com918953547813</v>
      </c>
      <c r="M442" s="10" t="s">
        <v>67</v>
      </c>
      <c r="N442" s="4" t="b">
        <v>0</v>
      </c>
      <c r="O442" s="4" t="str">
        <f>VLOOKUP(A442,payment_ids!D:E,2,FALSE)</f>
        <v>upi</v>
      </c>
      <c r="P442" s="4" t="s">
        <v>69</v>
      </c>
      <c r="Q442" s="11">
        <v>44292.419444444444</v>
      </c>
      <c r="R442" s="4"/>
      <c r="S442" s="12" t="s">
        <v>3057</v>
      </c>
      <c r="T442" s="5"/>
      <c r="U442" s="4"/>
      <c r="V442" s="11"/>
      <c r="W442" s="4"/>
      <c r="X442" s="11"/>
      <c r="Y442" s="4"/>
      <c r="Z442" s="4"/>
      <c r="AA442" s="4"/>
      <c r="AB442" s="4"/>
      <c r="AC442" s="4"/>
      <c r="AD442" s="4"/>
      <c r="AE442" s="4"/>
      <c r="AF442" s="4"/>
      <c r="AG442" s="4"/>
      <c r="AH442" s="5"/>
      <c r="AI442" s="5"/>
      <c r="AJ442" s="5"/>
      <c r="AK442" s="5"/>
      <c r="AL442" s="5"/>
    </row>
    <row r="443">
      <c r="A443" s="4" t="str">
        <f>VLOOKUP(L443,payment_ids!C:D,2,FALSE)</f>
        <v>pay_HJnI3iyXiZCHKz</v>
      </c>
      <c r="B443" s="4"/>
      <c r="C443" s="4" t="s">
        <v>3055</v>
      </c>
      <c r="D443" s="4">
        <v>49991.0</v>
      </c>
      <c r="E443" s="5"/>
      <c r="F443" s="4">
        <v>1.0</v>
      </c>
      <c r="G443" s="4">
        <v>99.0</v>
      </c>
      <c r="H443" s="4"/>
      <c r="I443" s="4">
        <v>99.0</v>
      </c>
      <c r="J443" s="4" t="s">
        <v>3147</v>
      </c>
      <c r="K443" s="5">
        <f>+919819557546</f>
        <v>919819557546</v>
      </c>
      <c r="L443" s="4" t="str">
        <f t="shared" si="1"/>
        <v>kavya100899@gmail.com919819557546</v>
      </c>
      <c r="M443" s="10" t="s">
        <v>67</v>
      </c>
      <c r="N443" s="4" t="b">
        <v>0</v>
      </c>
      <c r="O443" s="4" t="str">
        <f>VLOOKUP(A443,payment_ids!D:E,2,FALSE)</f>
        <v>card</v>
      </c>
      <c r="P443" s="4" t="s">
        <v>69</v>
      </c>
      <c r="Q443" s="11">
        <v>44353.8</v>
      </c>
      <c r="R443" s="4"/>
      <c r="S443" s="12" t="s">
        <v>3057</v>
      </c>
      <c r="T443" s="5"/>
      <c r="U443" s="4"/>
      <c r="V443" s="11"/>
      <c r="W443" s="4"/>
      <c r="X443" s="11"/>
      <c r="Y443" s="4"/>
      <c r="Z443" s="4"/>
      <c r="AA443" s="4"/>
      <c r="AB443" s="4"/>
      <c r="AC443" s="4"/>
      <c r="AD443" s="4"/>
      <c r="AE443" s="4"/>
      <c r="AF443" s="4"/>
      <c r="AG443" s="4"/>
      <c r="AH443" s="5"/>
      <c r="AI443" s="5"/>
      <c r="AJ443" s="5"/>
      <c r="AK443" s="5"/>
      <c r="AL443" s="5"/>
    </row>
    <row r="444">
      <c r="A444" s="4" t="str">
        <f>VLOOKUP(L444,payment_ids!C:D,2,FALSE)</f>
        <v>pay_HK0YwyHhgCdIVF</v>
      </c>
      <c r="B444" s="4"/>
      <c r="C444" s="4" t="s">
        <v>3055</v>
      </c>
      <c r="D444" s="4">
        <v>49991.0</v>
      </c>
      <c r="E444" s="5"/>
      <c r="F444" s="4">
        <v>1.0</v>
      </c>
      <c r="G444" s="4">
        <v>99.0</v>
      </c>
      <c r="H444" s="4"/>
      <c r="I444" s="4">
        <v>99.0</v>
      </c>
      <c r="J444" s="4" t="s">
        <v>3148</v>
      </c>
      <c r="K444" s="5">
        <f>+919178852326</f>
        <v>919178852326</v>
      </c>
      <c r="L444" s="4" t="str">
        <f t="shared" si="1"/>
        <v>pragnya199820@gmail.com919178852326</v>
      </c>
      <c r="M444" s="10" t="s">
        <v>67</v>
      </c>
      <c r="N444" s="4" t="b">
        <v>0</v>
      </c>
      <c r="O444" s="4" t="str">
        <f>VLOOKUP(A444,payment_ids!D:E,2,FALSE)</f>
        <v>upi</v>
      </c>
      <c r="P444" s="4" t="s">
        <v>69</v>
      </c>
      <c r="Q444" s="11">
        <v>44383.34097222222</v>
      </c>
      <c r="R444" s="4"/>
      <c r="S444" s="12" t="s">
        <v>3057</v>
      </c>
      <c r="T444" s="5"/>
      <c r="U444" s="4"/>
      <c r="V444" s="11"/>
      <c r="W444" s="4"/>
      <c r="X444" s="11"/>
      <c r="Y444" s="4"/>
      <c r="Z444" s="4"/>
      <c r="AA444" s="4"/>
      <c r="AB444" s="4"/>
      <c r="AC444" s="4"/>
      <c r="AD444" s="4"/>
      <c r="AE444" s="4"/>
      <c r="AF444" s="4"/>
      <c r="AG444" s="4"/>
      <c r="AH444" s="5"/>
      <c r="AI444" s="5"/>
      <c r="AJ444" s="5"/>
      <c r="AK444" s="5"/>
      <c r="AL444" s="5"/>
    </row>
    <row r="445">
      <c r="A445" s="4" t="str">
        <f>VLOOKUP(L445,payment_ids!C:D,2,FALSE)</f>
        <v>pay_HKOMADGYfov7R6</v>
      </c>
      <c r="B445" s="4"/>
      <c r="C445" s="4" t="s">
        <v>3055</v>
      </c>
      <c r="D445" s="4">
        <v>49991.0</v>
      </c>
      <c r="E445" s="5"/>
      <c r="F445" s="4">
        <v>1.0</v>
      </c>
      <c r="G445" s="4">
        <v>99.0</v>
      </c>
      <c r="H445" s="4"/>
      <c r="I445" s="4">
        <v>99.0</v>
      </c>
      <c r="J445" s="4" t="s">
        <v>3149</v>
      </c>
      <c r="K445" s="5">
        <f>+919979379645</f>
        <v>919979379645</v>
      </c>
      <c r="L445" s="4" t="str">
        <f t="shared" si="1"/>
        <v>aashnadhakan00@gmail.com919979379645</v>
      </c>
      <c r="M445" s="10" t="s">
        <v>67</v>
      </c>
      <c r="N445" s="4" t="b">
        <v>0</v>
      </c>
      <c r="O445" s="4" t="str">
        <f>VLOOKUP(A445,payment_ids!D:E,2,FALSE)</f>
        <v>card</v>
      </c>
      <c r="P445" s="4" t="s">
        <v>69</v>
      </c>
      <c r="Q445" s="11">
        <v>44414.311111111114</v>
      </c>
      <c r="R445" s="4"/>
      <c r="S445" s="12" t="s">
        <v>3150</v>
      </c>
      <c r="T445" s="5"/>
      <c r="U445" s="4"/>
      <c r="V445" s="11"/>
      <c r="W445" s="4"/>
      <c r="X445" s="11"/>
      <c r="Y445" s="4"/>
      <c r="Z445" s="4"/>
      <c r="AA445" s="4"/>
      <c r="AB445" s="4"/>
      <c r="AC445" s="4"/>
      <c r="AD445" s="4"/>
      <c r="AE445" s="4"/>
      <c r="AF445" s="4"/>
      <c r="AG445" s="4"/>
      <c r="AH445" s="5"/>
      <c r="AI445" s="5"/>
      <c r="AJ445" s="5"/>
      <c r="AK445" s="5"/>
      <c r="AL445" s="5"/>
    </row>
    <row r="446">
      <c r="A446" s="4" t="str">
        <f>VLOOKUP(L446,payment_ids!C:D,2,FALSE)</f>
        <v>pay_HKZaaklfFetU6J</v>
      </c>
      <c r="B446" s="4"/>
      <c r="C446" s="4" t="s">
        <v>3055</v>
      </c>
      <c r="D446" s="4">
        <v>49991.0</v>
      </c>
      <c r="E446" s="5"/>
      <c r="F446" s="4">
        <v>1.0</v>
      </c>
      <c r="G446" s="4">
        <v>99.0</v>
      </c>
      <c r="H446" s="4"/>
      <c r="I446" s="4">
        <v>99.0</v>
      </c>
      <c r="J446" s="4" t="s">
        <v>3151</v>
      </c>
      <c r="K446" s="5">
        <f>+919540823923</f>
        <v>919540823923</v>
      </c>
      <c r="L446" s="4" t="str">
        <f t="shared" si="1"/>
        <v>abhinavtuteja1997@gmail.com919540823923</v>
      </c>
      <c r="M446" s="10" t="s">
        <v>67</v>
      </c>
      <c r="N446" s="4" t="b">
        <v>0</v>
      </c>
      <c r="O446" s="4" t="str">
        <f>VLOOKUP(A446,payment_ids!D:E,2,FALSE)</f>
        <v>upi</v>
      </c>
      <c r="P446" s="4" t="s">
        <v>69</v>
      </c>
      <c r="Q446" s="11">
        <v>44414.76944444444</v>
      </c>
      <c r="R446" s="4"/>
      <c r="S446" s="12" t="s">
        <v>3150</v>
      </c>
      <c r="T446" s="4" t="s">
        <v>2444</v>
      </c>
      <c r="U446" s="4"/>
      <c r="V446" s="11"/>
      <c r="W446" s="4"/>
      <c r="X446" s="11"/>
      <c r="Y446" s="4"/>
      <c r="Z446" s="4"/>
      <c r="AA446" s="4"/>
      <c r="AB446" s="4"/>
      <c r="AC446" s="4"/>
      <c r="AD446" s="4"/>
      <c r="AE446" s="4"/>
      <c r="AF446" s="4"/>
      <c r="AG446" s="4"/>
      <c r="AH446" s="5"/>
      <c r="AI446" s="5"/>
      <c r="AJ446" s="5"/>
      <c r="AK446" s="5"/>
      <c r="AL446" s="5"/>
    </row>
    <row r="447">
      <c r="A447" s="4" t="str">
        <f>VLOOKUP(L447,payment_ids!C:D,2,FALSE)</f>
        <v>pay_HKoFpPANhPG5Ws</v>
      </c>
      <c r="B447" s="4"/>
      <c r="C447" s="4" t="s">
        <v>3055</v>
      </c>
      <c r="D447" s="4">
        <v>49991.0</v>
      </c>
      <c r="E447" s="5"/>
      <c r="F447" s="4">
        <v>1.0</v>
      </c>
      <c r="G447" s="4">
        <v>99.0</v>
      </c>
      <c r="H447" s="4"/>
      <c r="I447" s="4">
        <v>99.0</v>
      </c>
      <c r="J447" s="4" t="s">
        <v>3152</v>
      </c>
      <c r="K447" s="5">
        <f>+919052925483</f>
        <v>919052925483</v>
      </c>
      <c r="L447" s="4" t="str">
        <f t="shared" si="1"/>
        <v>saidheeraj1998@gmail.com919052925483</v>
      </c>
      <c r="M447" s="10" t="s">
        <v>67</v>
      </c>
      <c r="N447" s="4" t="b">
        <v>0</v>
      </c>
      <c r="O447" s="4" t="str">
        <f>VLOOKUP(A447,payment_ids!D:E,2,FALSE)</f>
        <v>upi</v>
      </c>
      <c r="P447" s="4" t="s">
        <v>69</v>
      </c>
      <c r="Q447" s="11">
        <v>44445.36597222222</v>
      </c>
      <c r="R447" s="4"/>
      <c r="S447" s="12" t="s">
        <v>3057</v>
      </c>
      <c r="T447" s="4" t="s">
        <v>2444</v>
      </c>
      <c r="U447" s="4"/>
      <c r="V447" s="11"/>
      <c r="W447" s="4"/>
      <c r="X447" s="11"/>
      <c r="Y447" s="4"/>
      <c r="Z447" s="4"/>
      <c r="AA447" s="4"/>
      <c r="AB447" s="4"/>
      <c r="AC447" s="4"/>
      <c r="AD447" s="4"/>
      <c r="AE447" s="4"/>
      <c r="AF447" s="4"/>
      <c r="AG447" s="4"/>
      <c r="AH447" s="5"/>
      <c r="AI447" s="5"/>
      <c r="AJ447" s="5"/>
      <c r="AK447" s="5"/>
      <c r="AL447" s="5"/>
    </row>
    <row r="448">
      <c r="A448" s="4" t="str">
        <f>VLOOKUP(L448,payment_ids!C:D,2,FALSE)</f>
        <v>pay_HKcXg1OfxQqgGO</v>
      </c>
      <c r="B448" s="4"/>
      <c r="C448" s="4" t="s">
        <v>3055</v>
      </c>
      <c r="D448" s="4">
        <v>49991.0</v>
      </c>
      <c r="E448" s="5"/>
      <c r="F448" s="4">
        <v>1.0</v>
      </c>
      <c r="G448" s="4">
        <v>99.0</v>
      </c>
      <c r="H448" s="4"/>
      <c r="I448" s="4">
        <v>99.0</v>
      </c>
      <c r="J448" s="4" t="s">
        <v>3153</v>
      </c>
      <c r="K448" s="5">
        <f>+919182259556</f>
        <v>919182259556</v>
      </c>
      <c r="L448" s="4" t="str">
        <f t="shared" si="1"/>
        <v>krishnakantsinha5@gmail.com919182259556</v>
      </c>
      <c r="M448" s="10" t="s">
        <v>67</v>
      </c>
      <c r="N448" s="4" t="b">
        <v>0</v>
      </c>
      <c r="O448" s="4" t="str">
        <f>VLOOKUP(A448,payment_ids!D:E,2,FALSE)</f>
        <v>upi</v>
      </c>
      <c r="P448" s="4" t="s">
        <v>69</v>
      </c>
      <c r="Q448" s="11">
        <v>44445.444444444445</v>
      </c>
      <c r="R448" s="4"/>
      <c r="S448" s="12" t="s">
        <v>3057</v>
      </c>
      <c r="T448" s="4" t="s">
        <v>2444</v>
      </c>
      <c r="U448" s="4"/>
      <c r="V448" s="11"/>
      <c r="W448" s="4"/>
      <c r="X448" s="11"/>
      <c r="Y448" s="4"/>
      <c r="Z448" s="4"/>
      <c r="AA448" s="4"/>
      <c r="AB448" s="4"/>
      <c r="AC448" s="7"/>
      <c r="AD448" s="4"/>
      <c r="AE448" s="4"/>
      <c r="AF448" s="4"/>
      <c r="AG448" s="4"/>
      <c r="AH448" s="5"/>
      <c r="AI448" s="5"/>
      <c r="AJ448" s="5"/>
      <c r="AK448" s="5"/>
      <c r="AL448" s="5"/>
    </row>
    <row r="449">
      <c r="A449" s="4" t="str">
        <f>VLOOKUP(L449,payment_ids!C:D,2,FALSE)</f>
        <v>pay_HKt4IPH8x9b1Fa</v>
      </c>
      <c r="B449" s="4"/>
      <c r="C449" s="4" t="s">
        <v>3055</v>
      </c>
      <c r="D449" s="4">
        <v>49991.0</v>
      </c>
      <c r="E449" s="5"/>
      <c r="F449" s="4">
        <v>1.0</v>
      </c>
      <c r="G449" s="4">
        <v>99.0</v>
      </c>
      <c r="H449" s="4"/>
      <c r="I449" s="4">
        <v>99.0</v>
      </c>
      <c r="J449" s="4" t="s">
        <v>3154</v>
      </c>
      <c r="K449" s="5">
        <f>+919461076550</f>
        <v>919461076550</v>
      </c>
      <c r="L449" s="4" t="str">
        <f t="shared" si="1"/>
        <v>keenlearner2016@gmail.com919461076550</v>
      </c>
      <c r="M449" s="10" t="s">
        <v>67</v>
      </c>
      <c r="N449" s="4" t="b">
        <v>0</v>
      </c>
      <c r="O449" s="4" t="str">
        <f>VLOOKUP(A449,payment_ids!D:E,2,FALSE)</f>
        <v>upi</v>
      </c>
      <c r="P449" s="4" t="s">
        <v>69</v>
      </c>
      <c r="Q449" s="11">
        <v>44445.56319444445</v>
      </c>
      <c r="R449" s="4"/>
      <c r="S449" s="12" t="s">
        <v>3057</v>
      </c>
      <c r="T449" s="4" t="s">
        <v>2444</v>
      </c>
      <c r="U449" s="4"/>
      <c r="V449" s="11"/>
      <c r="W449" s="4"/>
      <c r="X449" s="11"/>
      <c r="Y449" s="4"/>
      <c r="Z449" s="4"/>
      <c r="AA449" s="4"/>
      <c r="AB449" s="4"/>
      <c r="AC449" s="4"/>
      <c r="AD449" s="4"/>
      <c r="AE449" s="4"/>
      <c r="AF449" s="4"/>
      <c r="AG449" s="4"/>
      <c r="AH449" s="5"/>
      <c r="AI449" s="5"/>
      <c r="AJ449" s="5"/>
      <c r="AK449" s="5"/>
      <c r="AL449" s="5"/>
    </row>
    <row r="450">
      <c r="A450" s="4" t="str">
        <f>VLOOKUP(L450,payment_ids!C:D,2,FALSE)</f>
        <v>pay_HKxlRlqGokOhLC</v>
      </c>
      <c r="B450" s="4"/>
      <c r="C450" s="4" t="s">
        <v>3055</v>
      </c>
      <c r="D450" s="4">
        <v>49991.0</v>
      </c>
      <c r="E450" s="5"/>
      <c r="F450" s="4">
        <v>1.0</v>
      </c>
      <c r="G450" s="4">
        <v>99.0</v>
      </c>
      <c r="H450" s="4"/>
      <c r="I450" s="4">
        <v>99.0</v>
      </c>
      <c r="J450" s="4" t="s">
        <v>3155</v>
      </c>
      <c r="K450" s="5">
        <f>+919560033242</f>
        <v>919560033242</v>
      </c>
      <c r="L450" s="4" t="str">
        <f t="shared" si="1"/>
        <v>neeronetop@gmail.com919560033242</v>
      </c>
      <c r="M450" s="10" t="s">
        <v>67</v>
      </c>
      <c r="N450" s="4" t="b">
        <v>0</v>
      </c>
      <c r="O450" s="4" t="str">
        <f>VLOOKUP(A450,payment_ids!D:E,2,FALSE)</f>
        <v>card</v>
      </c>
      <c r="P450" s="4" t="s">
        <v>69</v>
      </c>
      <c r="Q450" s="11">
        <v>44445.754166666666</v>
      </c>
      <c r="R450" s="4"/>
      <c r="S450" s="12" t="s">
        <v>3150</v>
      </c>
      <c r="T450" s="4" t="s">
        <v>2444</v>
      </c>
      <c r="U450" s="4"/>
      <c r="V450" s="11"/>
      <c r="W450" s="4"/>
      <c r="X450" s="11"/>
      <c r="Y450" s="4"/>
      <c r="Z450" s="4"/>
      <c r="AA450" s="4"/>
      <c r="AB450" s="4"/>
      <c r="AC450" s="4"/>
      <c r="AD450" s="4"/>
      <c r="AE450" s="4"/>
      <c r="AF450" s="4"/>
      <c r="AG450" s="4"/>
      <c r="AH450" s="5"/>
      <c r="AI450" s="5"/>
      <c r="AJ450" s="5"/>
      <c r="AK450" s="5"/>
      <c r="AL450" s="5"/>
    </row>
    <row r="451">
      <c r="A451" s="4" t="str">
        <f>VLOOKUP(L451,payment_ids!C:D,2,FALSE)</f>
        <v>pay_HL3P03eydGBtLz</v>
      </c>
      <c r="B451" s="4"/>
      <c r="C451" s="4" t="s">
        <v>3055</v>
      </c>
      <c r="D451" s="4">
        <v>49991.0</v>
      </c>
      <c r="E451" s="5"/>
      <c r="F451" s="4">
        <v>1.0</v>
      </c>
      <c r="G451" s="4">
        <v>99.0</v>
      </c>
      <c r="H451" s="4"/>
      <c r="I451" s="4">
        <v>99.0</v>
      </c>
      <c r="J451" s="4" t="s">
        <v>3156</v>
      </c>
      <c r="K451" s="5">
        <f>+919170902099</f>
        <v>919170902099</v>
      </c>
      <c r="L451" s="4" t="str">
        <f t="shared" si="1"/>
        <v>sashwatp9@gmail.com919170902099</v>
      </c>
      <c r="M451" s="10" t="s">
        <v>67</v>
      </c>
      <c r="N451" s="4" t="b">
        <v>0</v>
      </c>
      <c r="O451" s="4" t="str">
        <f>VLOOKUP(A451,payment_ids!D:E,2,FALSE)</f>
        <v>upi</v>
      </c>
      <c r="P451" s="4" t="s">
        <v>69</v>
      </c>
      <c r="Q451" s="11">
        <v>44445.98333333333</v>
      </c>
      <c r="R451" s="4"/>
      <c r="S451" s="12" t="s">
        <v>3057</v>
      </c>
      <c r="T451" s="4" t="s">
        <v>2444</v>
      </c>
      <c r="U451" s="4"/>
      <c r="V451" s="11"/>
      <c r="W451" s="4"/>
      <c r="X451" s="11"/>
      <c r="Y451" s="4"/>
      <c r="Z451" s="4"/>
      <c r="AA451" s="4"/>
      <c r="AB451" s="4"/>
      <c r="AC451" s="7"/>
      <c r="AD451" s="4"/>
      <c r="AE451" s="4"/>
      <c r="AF451" s="4"/>
      <c r="AG451" s="4"/>
      <c r="AH451" s="5"/>
      <c r="AI451" s="5"/>
      <c r="AJ451" s="5"/>
      <c r="AK451" s="5"/>
      <c r="AL451" s="5"/>
    </row>
    <row r="452">
      <c r="A452" s="4" t="str">
        <f>VLOOKUP(L452,payment_ids!C:D,2,FALSE)</f>
        <v>pay_HL3kITHxvwH7FE</v>
      </c>
      <c r="B452" s="4"/>
      <c r="C452" s="4" t="s">
        <v>3055</v>
      </c>
      <c r="D452" s="4">
        <v>49991.0</v>
      </c>
      <c r="E452" s="5"/>
      <c r="F452" s="4">
        <v>1.0</v>
      </c>
      <c r="G452" s="4">
        <v>99.0</v>
      </c>
      <c r="H452" s="4"/>
      <c r="I452" s="4">
        <v>99.0</v>
      </c>
      <c r="J452" s="4" t="s">
        <v>3157</v>
      </c>
      <c r="K452" s="5">
        <f>+918791606651</f>
        <v>918791606651</v>
      </c>
      <c r="L452" s="4" t="str">
        <f t="shared" si="1"/>
        <v>saijalkaushal@gmail.com918791606651</v>
      </c>
      <c r="M452" s="10" t="s">
        <v>67</v>
      </c>
      <c r="N452" s="4" t="b">
        <v>0</v>
      </c>
      <c r="O452" s="4" t="str">
        <f>VLOOKUP(A452,payment_ids!D:E,2,FALSE)</f>
        <v>upi</v>
      </c>
      <c r="P452" s="4" t="s">
        <v>69</v>
      </c>
      <c r="Q452" s="11">
        <v>44445.99791666667</v>
      </c>
      <c r="R452" s="4"/>
      <c r="S452" s="12" t="s">
        <v>3057</v>
      </c>
      <c r="T452" s="4" t="s">
        <v>2444</v>
      </c>
      <c r="U452" s="4"/>
      <c r="V452" s="11"/>
      <c r="W452" s="4"/>
      <c r="X452" s="11"/>
      <c r="Y452" s="4"/>
      <c r="Z452" s="4"/>
      <c r="AA452" s="4"/>
      <c r="AB452" s="4"/>
      <c r="AC452" s="4"/>
      <c r="AD452" s="4"/>
      <c r="AE452" s="4"/>
      <c r="AF452" s="4"/>
      <c r="AG452" s="4"/>
      <c r="AH452" s="5"/>
      <c r="AI452" s="5"/>
      <c r="AJ452" s="5"/>
      <c r="AK452" s="5"/>
      <c r="AL452" s="5"/>
    </row>
    <row r="453">
      <c r="A453" s="4" t="str">
        <f>VLOOKUP(L453,payment_ids!C:D,2,FALSE)</f>
        <v>pay_HLE8B1ODj8xiHc</v>
      </c>
      <c r="B453" s="4"/>
      <c r="C453" s="4" t="s">
        <v>3055</v>
      </c>
      <c r="D453" s="4">
        <v>49991.0</v>
      </c>
      <c r="E453" s="5"/>
      <c r="F453" s="4">
        <v>1.0</v>
      </c>
      <c r="G453" s="4">
        <v>99.0</v>
      </c>
      <c r="H453" s="4"/>
      <c r="I453" s="4">
        <v>99.0</v>
      </c>
      <c r="J453" s="4" t="s">
        <v>3158</v>
      </c>
      <c r="K453" s="5">
        <f>+919790471941</f>
        <v>919790471941</v>
      </c>
      <c r="L453" s="4" t="str">
        <f t="shared" si="1"/>
        <v>venkidu2012@gmail.com919790471941</v>
      </c>
      <c r="M453" s="10" t="s">
        <v>67</v>
      </c>
      <c r="N453" s="4" t="b">
        <v>0</v>
      </c>
      <c r="O453" s="4" t="str">
        <f>VLOOKUP(A453,payment_ids!D:E,2,FALSE)</f>
        <v>upi</v>
      </c>
      <c r="P453" s="4" t="s">
        <v>69</v>
      </c>
      <c r="Q453" s="11">
        <v>44475.42083333333</v>
      </c>
      <c r="R453" s="4"/>
      <c r="S453" s="12" t="s">
        <v>3150</v>
      </c>
      <c r="T453" s="4" t="s">
        <v>2444</v>
      </c>
      <c r="U453" s="4"/>
      <c r="V453" s="11"/>
      <c r="W453" s="4"/>
      <c r="X453" s="11"/>
      <c r="Y453" s="4"/>
      <c r="Z453" s="4"/>
      <c r="AA453" s="4"/>
      <c r="AB453" s="4"/>
      <c r="AC453" s="4"/>
      <c r="AD453" s="4"/>
      <c r="AE453" s="4"/>
      <c r="AF453" s="4"/>
      <c r="AG453" s="4"/>
      <c r="AH453" s="5"/>
      <c r="AI453" s="5"/>
      <c r="AJ453" s="5"/>
      <c r="AK453" s="5"/>
      <c r="AL453" s="5"/>
    </row>
    <row r="454">
      <c r="A454" s="4" t="str">
        <f>VLOOKUP(L454,payment_ids!C:D,2,FALSE)</f>
        <v>pay_HLFDgOhoZT35ZG</v>
      </c>
      <c r="B454" s="4"/>
      <c r="C454" s="4" t="s">
        <v>3055</v>
      </c>
      <c r="D454" s="4">
        <v>49991.0</v>
      </c>
      <c r="E454" s="5"/>
      <c r="F454" s="4">
        <v>1.0</v>
      </c>
      <c r="G454" s="4">
        <v>99.0</v>
      </c>
      <c r="H454" s="4"/>
      <c r="I454" s="4">
        <v>99.0</v>
      </c>
      <c r="J454" s="4" t="s">
        <v>3159</v>
      </c>
      <c r="K454" s="5">
        <f>+917970772930</f>
        <v>917970772930</v>
      </c>
      <c r="L454" s="4" t="str">
        <f t="shared" si="1"/>
        <v>mishrashruti202@gmail.com917970772930</v>
      </c>
      <c r="M454" s="10" t="s">
        <v>67</v>
      </c>
      <c r="N454" s="4" t="b">
        <v>0</v>
      </c>
      <c r="O454" s="4" t="str">
        <f>VLOOKUP(A454,payment_ids!D:E,2,FALSE)</f>
        <v>upi</v>
      </c>
      <c r="P454" s="4" t="s">
        <v>69</v>
      </c>
      <c r="Q454" s="11">
        <v>44475.46527777778</v>
      </c>
      <c r="R454" s="4"/>
      <c r="S454" s="12" t="s">
        <v>3057</v>
      </c>
      <c r="T454" s="4" t="s">
        <v>2444</v>
      </c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5"/>
      <c r="AI454" s="5"/>
      <c r="AJ454" s="5"/>
      <c r="AK454" s="5"/>
      <c r="AL454" s="5"/>
    </row>
    <row r="455">
      <c r="A455" s="4" t="str">
        <f>VLOOKUP(L455,payment_ids!C:D,2,FALSE)</f>
        <v>pay_HLFJOVFwSdNEOA</v>
      </c>
      <c r="B455" s="4"/>
      <c r="C455" s="4" t="s">
        <v>3055</v>
      </c>
      <c r="D455" s="4">
        <v>49991.0</v>
      </c>
      <c r="E455" s="5"/>
      <c r="F455" s="4">
        <v>1.0</v>
      </c>
      <c r="G455" s="4">
        <v>99.0</v>
      </c>
      <c r="H455" s="4"/>
      <c r="I455" s="4">
        <v>99.0</v>
      </c>
      <c r="J455" s="4" t="s">
        <v>3160</v>
      </c>
      <c r="K455" s="5">
        <f>+918093944003</f>
        <v>918093944003</v>
      </c>
      <c r="L455" s="4" t="str">
        <f t="shared" si="1"/>
        <v>anamika23.t@gmail.com918093944003</v>
      </c>
      <c r="M455" s="10" t="s">
        <v>67</v>
      </c>
      <c r="N455" s="4" t="b">
        <v>0</v>
      </c>
      <c r="O455" s="4" t="str">
        <f>VLOOKUP(A455,payment_ids!D:E,2,FALSE)</f>
        <v>card</v>
      </c>
      <c r="P455" s="4" t="s">
        <v>69</v>
      </c>
      <c r="Q455" s="11">
        <v>44475.47222222222</v>
      </c>
      <c r="R455" s="4"/>
      <c r="S455" s="12" t="s">
        <v>3057</v>
      </c>
      <c r="T455" s="4" t="s">
        <v>2444</v>
      </c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5"/>
      <c r="AI455" s="5"/>
      <c r="AJ455" s="5"/>
      <c r="AK455" s="5"/>
      <c r="AL455" s="5"/>
    </row>
    <row r="456">
      <c r="A456" s="4" t="str">
        <f>VLOOKUP(L456,payment_ids!C:D,2,FALSE)</f>
        <v>pay_HLmf4LJUDiouow</v>
      </c>
      <c r="B456" s="4"/>
      <c r="C456" s="4" t="s">
        <v>3055</v>
      </c>
      <c r="D456" s="4">
        <v>49991.0</v>
      </c>
      <c r="E456" s="5"/>
      <c r="F456" s="4">
        <v>3.0</v>
      </c>
      <c r="G456" s="4">
        <v>199.0</v>
      </c>
      <c r="H456" s="4"/>
      <c r="I456" s="4">
        <v>199.0</v>
      </c>
      <c r="J456" s="4" t="s">
        <v>3161</v>
      </c>
      <c r="K456" s="5">
        <f>+916374455234</f>
        <v>916374455234</v>
      </c>
      <c r="L456" s="4" t="str">
        <f t="shared" si="1"/>
        <v>sathyanarayanan.r2.2019.mct@rajalakshmi.edu.in916374455234</v>
      </c>
      <c r="M456" s="10" t="s">
        <v>67</v>
      </c>
      <c r="N456" s="4" t="b">
        <v>0</v>
      </c>
      <c r="O456" s="4" t="str">
        <f>VLOOKUP(A456,payment_ids!D:E,2,FALSE)</f>
        <v>upi</v>
      </c>
      <c r="P456" s="4" t="s">
        <v>69</v>
      </c>
      <c r="Q456" s="11">
        <v>44506.82847222222</v>
      </c>
      <c r="R456" s="4"/>
      <c r="S456" s="12" t="s">
        <v>3057</v>
      </c>
      <c r="T456" s="4" t="s">
        <v>2444</v>
      </c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5"/>
      <c r="AI456" s="5"/>
      <c r="AJ456" s="5"/>
      <c r="AK456" s="5"/>
      <c r="AL456" s="5"/>
    </row>
    <row r="457">
      <c r="A457" s="4" t="str">
        <f>VLOOKUP(L457,payment_ids!C:D,2,FALSE)</f>
        <v>pay_HLnRDTeTl9nq0O</v>
      </c>
      <c r="B457" s="4"/>
      <c r="C457" s="4" t="s">
        <v>3055</v>
      </c>
      <c r="D457" s="4">
        <v>49991.0</v>
      </c>
      <c r="E457" s="5"/>
      <c r="F457" s="4">
        <v>1.0</v>
      </c>
      <c r="G457" s="4">
        <v>99.0</v>
      </c>
      <c r="H457" s="4"/>
      <c r="I457" s="4">
        <v>99.0</v>
      </c>
      <c r="J457" s="4" t="s">
        <v>3162</v>
      </c>
      <c r="K457" s="5">
        <f>+919971688162</f>
        <v>919971688162</v>
      </c>
      <c r="L457" s="4" t="str">
        <f t="shared" si="1"/>
        <v>kukreja.shreya@gmail.com919971688162</v>
      </c>
      <c r="M457" s="10" t="s">
        <v>67</v>
      </c>
      <c r="N457" s="4" t="b">
        <v>0</v>
      </c>
      <c r="O457" s="4" t="str">
        <f>VLOOKUP(A457,payment_ids!D:E,2,FALSE)</f>
        <v>card</v>
      </c>
      <c r="P457" s="4" t="s">
        <v>69</v>
      </c>
      <c r="Q457" s="11">
        <v>44506.86041666667</v>
      </c>
      <c r="R457" s="4"/>
      <c r="S457" s="12" t="s">
        <v>3057</v>
      </c>
      <c r="T457" s="4" t="s">
        <v>2444</v>
      </c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5"/>
      <c r="AI457" s="5"/>
      <c r="AJ457" s="5"/>
      <c r="AK457" s="5"/>
      <c r="AL457" s="5"/>
    </row>
    <row r="458">
      <c r="A458" s="4" t="str">
        <f>VLOOKUP(L458,payment_ids!C:D,2,FALSE)</f>
        <v>pay_HM5IY7uPHKYOrB</v>
      </c>
      <c r="B458" s="4"/>
      <c r="C458" s="4" t="s">
        <v>3055</v>
      </c>
      <c r="D458" s="4">
        <v>49991.0</v>
      </c>
      <c r="E458" s="5"/>
      <c r="F458" s="4">
        <v>3.0</v>
      </c>
      <c r="G458" s="4">
        <v>199.0</v>
      </c>
      <c r="H458" s="4"/>
      <c r="I458" s="4">
        <v>199.0</v>
      </c>
      <c r="J458" s="4" t="s">
        <v>3163</v>
      </c>
      <c r="K458" s="5">
        <f>+919886040796</f>
        <v>919886040796</v>
      </c>
      <c r="L458" s="4" t="str">
        <f t="shared" si="1"/>
        <v>menon.here@gmail.com919886040796</v>
      </c>
      <c r="M458" s="10" t="s">
        <v>67</v>
      </c>
      <c r="N458" s="4" t="b">
        <v>0</v>
      </c>
      <c r="O458" s="4" t="str">
        <f>VLOOKUP(A458,payment_ids!D:E,2,FALSE)</f>
        <v>upi</v>
      </c>
      <c r="P458" s="4" t="s">
        <v>69</v>
      </c>
      <c r="Q458" s="11">
        <v>44536.58888888889</v>
      </c>
      <c r="R458" s="4"/>
      <c r="S458" s="12" t="s">
        <v>3057</v>
      </c>
      <c r="T458" s="4" t="s">
        <v>2444</v>
      </c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5"/>
      <c r="AI458" s="5"/>
      <c r="AJ458" s="5"/>
      <c r="AK458" s="5"/>
      <c r="AL458" s="5"/>
    </row>
    <row r="459">
      <c r="A459" s="4" t="str">
        <f>VLOOKUP(L459,payment_ids!C:D,2,FALSE)</f>
        <v>pay_HMDG0Itmv5QF5q</v>
      </c>
      <c r="B459" s="4"/>
      <c r="C459" s="4" t="s">
        <v>3055</v>
      </c>
      <c r="D459" s="4">
        <v>49991.0</v>
      </c>
      <c r="E459" s="5"/>
      <c r="F459" s="4">
        <v>6.0</v>
      </c>
      <c r="G459" s="4">
        <v>349.0</v>
      </c>
      <c r="H459" s="4"/>
      <c r="I459" s="4">
        <v>349.0</v>
      </c>
      <c r="J459" s="4" t="s">
        <v>3164</v>
      </c>
      <c r="K459" s="5">
        <f>+917772877279</f>
        <v>917772877279</v>
      </c>
      <c r="L459" s="4" t="str">
        <f t="shared" si="1"/>
        <v>raksever25@gmail.com917772877279</v>
      </c>
      <c r="M459" s="10" t="s">
        <v>67</v>
      </c>
      <c r="N459" s="4" t="b">
        <v>0</v>
      </c>
      <c r="O459" s="4" t="str">
        <f>VLOOKUP(A459,payment_ids!D:E,2,FALSE)</f>
        <v>card</v>
      </c>
      <c r="P459" s="4" t="s">
        <v>69</v>
      </c>
      <c r="Q459" s="11">
        <v>44536.9125</v>
      </c>
      <c r="R459" s="4"/>
      <c r="S459" s="12" t="s">
        <v>3057</v>
      </c>
      <c r="T459" s="4" t="s">
        <v>2444</v>
      </c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5"/>
      <c r="AI459" s="5"/>
      <c r="AJ459" s="5"/>
      <c r="AK459" s="5"/>
      <c r="AL459" s="5"/>
    </row>
    <row r="460">
      <c r="A460" s="4" t="str">
        <f>VLOOKUP(L460,payment_ids!C:D,2,FALSE)</f>
        <v>pay_HMDrDhRqByrF8F</v>
      </c>
      <c r="B460" s="4"/>
      <c r="C460" s="4" t="s">
        <v>3055</v>
      </c>
      <c r="D460" s="4">
        <v>49991.0</v>
      </c>
      <c r="E460" s="5"/>
      <c r="F460" s="4">
        <v>3.0</v>
      </c>
      <c r="G460" s="4">
        <v>199.0</v>
      </c>
      <c r="H460" s="4"/>
      <c r="I460" s="4">
        <v>199.0</v>
      </c>
      <c r="J460" s="4" t="s">
        <v>3165</v>
      </c>
      <c r="K460" s="5">
        <f>+919811667850</f>
        <v>919811667850</v>
      </c>
      <c r="L460" s="4" t="str">
        <f t="shared" si="1"/>
        <v>soniabareja76@gmail.com919811667850</v>
      </c>
      <c r="M460" s="10" t="s">
        <v>67</v>
      </c>
      <c r="N460" s="4" t="b">
        <v>0</v>
      </c>
      <c r="O460" s="4" t="str">
        <f>VLOOKUP(A460,payment_ids!D:E,2,FALSE)</f>
        <v>upi</v>
      </c>
      <c r="P460" s="4" t="s">
        <v>69</v>
      </c>
      <c r="Q460" s="11">
        <v>44536.9375</v>
      </c>
      <c r="R460" s="4"/>
      <c r="S460" s="12" t="s">
        <v>3057</v>
      </c>
      <c r="T460" s="4" t="s">
        <v>2444</v>
      </c>
      <c r="U460" s="4"/>
      <c r="V460" s="11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5"/>
      <c r="AI460" s="5"/>
      <c r="AJ460" s="5"/>
      <c r="AK460" s="5"/>
      <c r="AL460" s="5"/>
    </row>
    <row r="461">
      <c r="A461" s="4" t="str">
        <f>VLOOKUP(L461,payment_ids!C:D,2,FALSE)</f>
        <v>pay_HMSiEXg55SaWI8</v>
      </c>
      <c r="B461" s="4"/>
      <c r="C461" s="4" t="s">
        <v>3055</v>
      </c>
      <c r="D461" s="4">
        <v>49991.0</v>
      </c>
      <c r="E461" s="5"/>
      <c r="F461" s="4">
        <v>6.0</v>
      </c>
      <c r="G461" s="4">
        <v>349.0</v>
      </c>
      <c r="H461" s="4"/>
      <c r="I461" s="4">
        <v>349.0</v>
      </c>
      <c r="J461" s="4" t="s">
        <v>3166</v>
      </c>
      <c r="K461" s="5">
        <f>+919028663456</f>
        <v>919028663456</v>
      </c>
      <c r="L461" s="4" t="str">
        <f t="shared" si="1"/>
        <v>vicky.gk15@gmail.com919028663456</v>
      </c>
      <c r="M461" s="10" t="s">
        <v>67</v>
      </c>
      <c r="N461" s="4" t="b">
        <v>0</v>
      </c>
      <c r="O461" s="4" t="str">
        <f>VLOOKUP(A461,payment_ids!D:E,2,FALSE)</f>
        <v>wallet</v>
      </c>
      <c r="P461" s="4" t="s">
        <v>69</v>
      </c>
      <c r="Q461" s="4" t="s">
        <v>3167</v>
      </c>
      <c r="R461" s="4"/>
      <c r="S461" s="12" t="s">
        <v>3057</v>
      </c>
      <c r="T461" s="4" t="s">
        <v>2444</v>
      </c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5"/>
      <c r="AI461" s="5"/>
      <c r="AJ461" s="5"/>
      <c r="AK461" s="5"/>
      <c r="AL461" s="5"/>
    </row>
    <row r="462">
      <c r="A462" s="4" t="str">
        <f>VLOOKUP(L462,payment_ids!C:D,2,FALSE)</f>
        <v>pay_HMdRRXh9PtRS6H</v>
      </c>
      <c r="B462" s="4"/>
      <c r="C462" s="4" t="s">
        <v>3055</v>
      </c>
      <c r="D462" s="4">
        <v>49991.0</v>
      </c>
      <c r="E462" s="5"/>
      <c r="F462" s="4">
        <v>1.0</v>
      </c>
      <c r="G462" s="4">
        <v>99.0</v>
      </c>
      <c r="H462" s="4"/>
      <c r="I462" s="4">
        <v>99.0</v>
      </c>
      <c r="J462" s="4" t="s">
        <v>3168</v>
      </c>
      <c r="K462" s="5">
        <f>+919924840933</f>
        <v>919924840933</v>
      </c>
      <c r="L462" s="4" t="str">
        <f t="shared" si="1"/>
        <v>anirvan24@gmail.com919924840933</v>
      </c>
      <c r="M462" s="10" t="s">
        <v>67</v>
      </c>
      <c r="N462" s="4" t="b">
        <v>0</v>
      </c>
      <c r="O462" s="4" t="str">
        <f>VLOOKUP(A462,payment_ids!D:E,2,FALSE)</f>
        <v>upi</v>
      </c>
      <c r="P462" s="4" t="s">
        <v>69</v>
      </c>
      <c r="Q462" s="4" t="s">
        <v>3169</v>
      </c>
      <c r="R462" s="4"/>
      <c r="S462" s="12" t="s">
        <v>3057</v>
      </c>
      <c r="T462" s="4" t="s">
        <v>2444</v>
      </c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5"/>
      <c r="AI462" s="5"/>
      <c r="AJ462" s="5"/>
      <c r="AK462" s="5"/>
      <c r="AL462" s="5"/>
    </row>
    <row r="463">
      <c r="A463" s="4" t="str">
        <f>VLOOKUP(L463,payment_ids!C:D,2,FALSE)</f>
        <v>pay_HN4DLwjgqSPHvy</v>
      </c>
      <c r="B463" s="4"/>
      <c r="C463" s="4" t="s">
        <v>3055</v>
      </c>
      <c r="D463" s="4">
        <v>49991.0</v>
      </c>
      <c r="E463" s="5"/>
      <c r="F463" s="4">
        <v>1.0</v>
      </c>
      <c r="G463" s="4">
        <v>99.0</v>
      </c>
      <c r="H463" s="4"/>
      <c r="I463" s="4">
        <v>99.0</v>
      </c>
      <c r="J463" s="4" t="s">
        <v>3170</v>
      </c>
      <c r="K463" s="5">
        <f>+918709040667</f>
        <v>918709040667</v>
      </c>
      <c r="L463" s="4" t="str">
        <f t="shared" si="1"/>
        <v>shreyansh40590@gmail.com918709040667</v>
      </c>
      <c r="M463" s="10" t="s">
        <v>67</v>
      </c>
      <c r="N463" s="4" t="b">
        <v>0</v>
      </c>
      <c r="O463" s="4" t="str">
        <f>VLOOKUP(A463,payment_ids!D:E,2,FALSE)</f>
        <v>upi</v>
      </c>
      <c r="P463" s="4" t="s">
        <v>69</v>
      </c>
      <c r="Q463" s="4" t="s">
        <v>3171</v>
      </c>
      <c r="R463" s="4"/>
      <c r="S463" s="12" t="s">
        <v>3057</v>
      </c>
      <c r="T463" s="4" t="s">
        <v>2444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5"/>
      <c r="AI463" s="5"/>
      <c r="AJ463" s="5"/>
      <c r="AK463" s="5"/>
      <c r="AL463" s="5"/>
    </row>
    <row r="464">
      <c r="A464" s="4" t="str">
        <f>VLOOKUP(L464,payment_ids!C:D,2,FALSE)</f>
        <v>pay_HNHeyL1WPhp0qg</v>
      </c>
      <c r="B464" s="4"/>
      <c r="C464" s="4" t="s">
        <v>3055</v>
      </c>
      <c r="D464" s="4">
        <v>49991.0</v>
      </c>
      <c r="E464" s="5"/>
      <c r="F464" s="4">
        <v>6.0</v>
      </c>
      <c r="G464" s="4">
        <v>349.0</v>
      </c>
      <c r="H464" s="4"/>
      <c r="I464" s="4">
        <v>349.0</v>
      </c>
      <c r="J464" s="4" t="s">
        <v>3172</v>
      </c>
      <c r="K464" s="5">
        <f>+919654036425</f>
        <v>919654036425</v>
      </c>
      <c r="L464" s="4" t="str">
        <f t="shared" si="1"/>
        <v>harish.ag10@gmail.com919654036425</v>
      </c>
      <c r="M464" s="10" t="s">
        <v>67</v>
      </c>
      <c r="N464" s="4" t="b">
        <v>0</v>
      </c>
      <c r="O464" s="4" t="str">
        <f>VLOOKUP(A464,payment_ids!D:E,2,FALSE)</f>
        <v>wallet</v>
      </c>
      <c r="P464" s="4" t="s">
        <v>69</v>
      </c>
      <c r="Q464" s="4" t="s">
        <v>3173</v>
      </c>
      <c r="R464" s="4"/>
      <c r="S464" s="12" t="s">
        <v>3057</v>
      </c>
      <c r="T464" s="4" t="s">
        <v>2444</v>
      </c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5"/>
      <c r="AI464" s="5"/>
      <c r="AJ464" s="5"/>
      <c r="AK464" s="5"/>
      <c r="AL464" s="5"/>
    </row>
    <row r="465">
      <c r="A465" s="4" t="str">
        <f>VLOOKUP(L465,payment_ids!C:D,2,FALSE)</f>
        <v>pay_HNOC3EgaorAid8</v>
      </c>
      <c r="B465" s="4"/>
      <c r="C465" s="4" t="s">
        <v>3055</v>
      </c>
      <c r="D465" s="4">
        <v>49991.0</v>
      </c>
      <c r="E465" s="5"/>
      <c r="F465" s="4">
        <v>1.0</v>
      </c>
      <c r="G465" s="4">
        <v>99.0</v>
      </c>
      <c r="H465" s="4"/>
      <c r="I465" s="4">
        <v>99.0</v>
      </c>
      <c r="J465" s="4" t="s">
        <v>3174</v>
      </c>
      <c r="K465" s="5">
        <f>+919370377299</f>
        <v>919370377299</v>
      </c>
      <c r="L465" s="4" t="str">
        <f t="shared" si="1"/>
        <v>niravmajithia10@gmail.com919370377299</v>
      </c>
      <c r="M465" s="10" t="s">
        <v>67</v>
      </c>
      <c r="N465" s="4" t="b">
        <v>0</v>
      </c>
      <c r="O465" s="4" t="str">
        <f>VLOOKUP(A465,payment_ids!D:E,2,FALSE)</f>
        <v>upi</v>
      </c>
      <c r="P465" s="4" t="s">
        <v>69</v>
      </c>
      <c r="Q465" s="4" t="s">
        <v>3175</v>
      </c>
      <c r="R465" s="4"/>
      <c r="S465" s="12" t="s">
        <v>3057</v>
      </c>
      <c r="T465" s="4" t="s">
        <v>2444</v>
      </c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5"/>
      <c r="AI465" s="5"/>
      <c r="AJ465" s="5"/>
      <c r="AK465" s="5"/>
      <c r="AL465" s="5"/>
    </row>
    <row r="466">
      <c r="A466" s="4" t="str">
        <f>VLOOKUP(L466,payment_ids!C:D,2,FALSE)</f>
        <v>pay_HNZ9bUzzscomFx</v>
      </c>
      <c r="B466" s="4"/>
      <c r="C466" s="4" t="s">
        <v>3055</v>
      </c>
      <c r="D466" s="4">
        <v>49991.0</v>
      </c>
      <c r="E466" s="5"/>
      <c r="F466" s="4">
        <v>1.0</v>
      </c>
      <c r="G466" s="4">
        <v>99.0</v>
      </c>
      <c r="H466" s="4"/>
      <c r="I466" s="4">
        <v>99.0</v>
      </c>
      <c r="J466" s="4" t="s">
        <v>3176</v>
      </c>
      <c r="K466" s="5">
        <f>+919392385479</f>
        <v>919392385479</v>
      </c>
      <c r="L466" s="4" t="str">
        <f t="shared" si="1"/>
        <v>suryavamsireddy000@gmail.com919392385479</v>
      </c>
      <c r="M466" s="10" t="s">
        <v>67</v>
      </c>
      <c r="N466" s="4" t="b">
        <v>0</v>
      </c>
      <c r="O466" s="4" t="str">
        <f>VLOOKUP(A466,payment_ids!D:E,2,FALSE)</f>
        <v>upi</v>
      </c>
      <c r="P466" s="4" t="s">
        <v>69</v>
      </c>
      <c r="Q466" s="4" t="s">
        <v>3177</v>
      </c>
      <c r="R466" s="4"/>
      <c r="S466" s="12" t="s">
        <v>3142</v>
      </c>
      <c r="T466" s="4" t="s">
        <v>2444</v>
      </c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5"/>
      <c r="AI466" s="5"/>
      <c r="AJ466" s="5"/>
      <c r="AK466" s="5"/>
      <c r="AL466" s="5"/>
    </row>
    <row r="467">
      <c r="A467" s="4" t="str">
        <f>VLOOKUP(L467,payment_ids!C:D,2,FALSE)</f>
        <v>pay_HNd4VmrD57eyES</v>
      </c>
      <c r="B467" s="4"/>
      <c r="C467" s="4" t="s">
        <v>3055</v>
      </c>
      <c r="D467" s="4">
        <v>49991.0</v>
      </c>
      <c r="E467" s="5"/>
      <c r="F467" s="4">
        <v>1.0</v>
      </c>
      <c r="G467" s="4">
        <v>99.0</v>
      </c>
      <c r="H467" s="4"/>
      <c r="I467" s="4">
        <v>99.0</v>
      </c>
      <c r="J467" s="4" t="s">
        <v>3178</v>
      </c>
      <c r="K467" s="5">
        <f>+919074555416</f>
        <v>919074555416</v>
      </c>
      <c r="L467" s="4" t="str">
        <f t="shared" si="1"/>
        <v>snehasrahman@gmail.com919074555416</v>
      </c>
      <c r="M467" s="10" t="s">
        <v>67</v>
      </c>
      <c r="N467" s="4" t="b">
        <v>0</v>
      </c>
      <c r="O467" s="4" t="str">
        <f>VLOOKUP(A467,payment_ids!D:E,2,FALSE)</f>
        <v>upi</v>
      </c>
      <c r="P467" s="4" t="s">
        <v>69</v>
      </c>
      <c r="Q467" s="4" t="s">
        <v>3179</v>
      </c>
      <c r="R467" s="4"/>
      <c r="S467" s="12" t="s">
        <v>3057</v>
      </c>
      <c r="T467" s="4" t="s">
        <v>2444</v>
      </c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5"/>
      <c r="AI467" s="5"/>
      <c r="AJ467" s="5"/>
      <c r="AK467" s="5"/>
      <c r="AL467" s="5"/>
    </row>
    <row r="468">
      <c r="A468" s="4" t="str">
        <f>VLOOKUP(L468,payment_ids!C:D,2,FALSE)</f>
        <v>pay_HNdEWSsBxu1IQk</v>
      </c>
      <c r="B468" s="4"/>
      <c r="C468" s="4" t="s">
        <v>3055</v>
      </c>
      <c r="D468" s="4">
        <v>49991.0</v>
      </c>
      <c r="E468" s="5"/>
      <c r="F468" s="4">
        <v>1.0</v>
      </c>
      <c r="G468" s="4">
        <v>99.0</v>
      </c>
      <c r="H468" s="4"/>
      <c r="I468" s="4">
        <v>99.0</v>
      </c>
      <c r="J468" s="4" t="s">
        <v>3180</v>
      </c>
      <c r="K468" s="5">
        <f>+919544855303</f>
        <v>919544855303</v>
      </c>
      <c r="L468" s="4" t="str">
        <f t="shared" si="1"/>
        <v>haripriyavaralakshmi@gmail.com919544855303</v>
      </c>
      <c r="M468" s="10" t="s">
        <v>67</v>
      </c>
      <c r="N468" s="4" t="b">
        <v>0</v>
      </c>
      <c r="O468" s="4" t="str">
        <f>VLOOKUP(A468,payment_ids!D:E,2,FALSE)</f>
        <v>netbanking</v>
      </c>
      <c r="P468" s="4" t="s">
        <v>69</v>
      </c>
      <c r="Q468" s="4" t="s">
        <v>3181</v>
      </c>
      <c r="R468" s="4"/>
      <c r="S468" s="12" t="s">
        <v>3057</v>
      </c>
      <c r="T468" s="4" t="s">
        <v>2444</v>
      </c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5"/>
      <c r="AI468" s="5"/>
      <c r="AJ468" s="5"/>
      <c r="AK468" s="5"/>
      <c r="AL468" s="5"/>
    </row>
    <row r="469">
      <c r="A469" s="4" t="str">
        <f>VLOOKUP(L469,payment_ids!C:D,2,FALSE)</f>
        <v>pay_HNdlAgs9v8kylD</v>
      </c>
      <c r="B469" s="4"/>
      <c r="C469" s="4" t="s">
        <v>3055</v>
      </c>
      <c r="D469" s="4">
        <v>49991.0</v>
      </c>
      <c r="E469" s="5"/>
      <c r="F469" s="4">
        <v>1.0</v>
      </c>
      <c r="G469" s="4">
        <v>99.0</v>
      </c>
      <c r="H469" s="4"/>
      <c r="I469" s="4">
        <v>99.0</v>
      </c>
      <c r="J469" s="4" t="s">
        <v>3182</v>
      </c>
      <c r="K469" s="5">
        <f>+919611132015</f>
        <v>919611132015</v>
      </c>
      <c r="L469" s="4" t="str">
        <f t="shared" si="1"/>
        <v>kapoorshruthi07@gmail.com919611132015</v>
      </c>
      <c r="M469" s="10" t="s">
        <v>67</v>
      </c>
      <c r="N469" s="4" t="b">
        <v>0</v>
      </c>
      <c r="O469" s="4" t="str">
        <f>VLOOKUP(A469,payment_ids!D:E,2,FALSE)</f>
        <v>card</v>
      </c>
      <c r="P469" s="4" t="s">
        <v>69</v>
      </c>
      <c r="Q469" s="4" t="s">
        <v>3183</v>
      </c>
      <c r="R469" s="4"/>
      <c r="S469" s="12" t="s">
        <v>3057</v>
      </c>
      <c r="T469" s="4" t="s">
        <v>2444</v>
      </c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5"/>
      <c r="AI469" s="5"/>
      <c r="AJ469" s="5"/>
      <c r="AK469" s="5"/>
      <c r="AL469" s="5"/>
    </row>
    <row r="470">
      <c r="A470" s="4" t="str">
        <f>VLOOKUP(L470,payment_ids!C:D,2,FALSE)</f>
        <v>pay_HNfv8600KbjpcE</v>
      </c>
      <c r="B470" s="4"/>
      <c r="C470" s="4" t="s">
        <v>3055</v>
      </c>
      <c r="D470" s="4">
        <v>49991.0</v>
      </c>
      <c r="E470" s="5"/>
      <c r="F470" s="4">
        <v>1.0</v>
      </c>
      <c r="G470" s="4">
        <v>99.0</v>
      </c>
      <c r="H470" s="4"/>
      <c r="I470" s="4">
        <v>99.0</v>
      </c>
      <c r="J470" s="4" t="s">
        <v>3184</v>
      </c>
      <c r="K470" s="5">
        <f>+917406710702</f>
        <v>917406710702</v>
      </c>
      <c r="L470" s="4" t="str">
        <f t="shared" si="1"/>
        <v>saiuware@gmail.com917406710702</v>
      </c>
      <c r="M470" s="10" t="s">
        <v>67</v>
      </c>
      <c r="N470" s="4" t="b">
        <v>0</v>
      </c>
      <c r="O470" s="4" t="str">
        <f>VLOOKUP(A470,payment_ids!D:E,2,FALSE)</f>
        <v>upi</v>
      </c>
      <c r="P470" s="4" t="s">
        <v>69</v>
      </c>
      <c r="Q470" s="4" t="s">
        <v>3185</v>
      </c>
      <c r="R470" s="4"/>
      <c r="S470" s="12" t="s">
        <v>3057</v>
      </c>
      <c r="T470" s="4" t="s">
        <v>2444</v>
      </c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5"/>
      <c r="AI470" s="5"/>
      <c r="AJ470" s="5"/>
      <c r="AK470" s="5"/>
      <c r="AL470" s="5"/>
    </row>
    <row r="471">
      <c r="A471" s="4" t="str">
        <f>VLOOKUP(L471,payment_ids!C:D,2,FALSE)</f>
        <v>pay_HO7ZJmBioh6Fpt</v>
      </c>
      <c r="B471" s="4"/>
      <c r="C471" s="4" t="s">
        <v>3055</v>
      </c>
      <c r="D471" s="4">
        <v>49991.0</v>
      </c>
      <c r="E471" s="5"/>
      <c r="F471" s="4">
        <v>1.0</v>
      </c>
      <c r="G471" s="4">
        <v>99.0</v>
      </c>
      <c r="H471" s="4"/>
      <c r="I471" s="4">
        <v>99.0</v>
      </c>
      <c r="J471" s="4" t="s">
        <v>3186</v>
      </c>
      <c r="K471" s="5">
        <f>+919104211102</f>
        <v>919104211102</v>
      </c>
      <c r="L471" s="4" t="str">
        <f t="shared" si="1"/>
        <v>dhruvisatikuvar26@gmail.com919104211102</v>
      </c>
      <c r="M471" s="10" t="s">
        <v>67</v>
      </c>
      <c r="N471" s="4" t="b">
        <v>0</v>
      </c>
      <c r="O471" s="4" t="str">
        <f>VLOOKUP(A471,payment_ids!D:E,2,FALSE)</f>
        <v>card</v>
      </c>
      <c r="P471" s="4" t="s">
        <v>69</v>
      </c>
      <c r="Q471" s="4" t="s">
        <v>3187</v>
      </c>
      <c r="R471" s="4"/>
      <c r="S471" s="12" t="s">
        <v>3150</v>
      </c>
      <c r="T471" s="4" t="s">
        <v>2444</v>
      </c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5"/>
      <c r="AI471" s="5"/>
      <c r="AJ471" s="5"/>
      <c r="AK471" s="5"/>
      <c r="AL471" s="5"/>
    </row>
    <row r="472">
      <c r="A472" s="4" t="str">
        <f>VLOOKUP(L472,payment_ids!C:D,2,FALSE)</f>
        <v>pay_HOQWqTxUkyZVHL</v>
      </c>
      <c r="B472" s="4"/>
      <c r="C472" s="4" t="s">
        <v>3055</v>
      </c>
      <c r="D472" s="4">
        <v>49991.0</v>
      </c>
      <c r="E472" s="5"/>
      <c r="F472" s="4">
        <v>1.0</v>
      </c>
      <c r="G472" s="4">
        <v>99.0</v>
      </c>
      <c r="H472" s="4"/>
      <c r="I472" s="4">
        <v>99.0</v>
      </c>
      <c r="J472" s="4" t="s">
        <v>3188</v>
      </c>
      <c r="K472" s="5">
        <f>+917022733053</f>
        <v>917022733053</v>
      </c>
      <c r="L472" s="4" t="str">
        <f t="shared" si="1"/>
        <v>ekta314@gmail.com917022733053</v>
      </c>
      <c r="M472" s="10" t="s">
        <v>67</v>
      </c>
      <c r="N472" s="4" t="b">
        <v>0</v>
      </c>
      <c r="O472" s="4" t="str">
        <f>VLOOKUP(A472,payment_ids!D:E,2,FALSE)</f>
        <v>upi</v>
      </c>
      <c r="P472" s="4" t="s">
        <v>69</v>
      </c>
      <c r="Q472" s="4" t="s">
        <v>3189</v>
      </c>
      <c r="R472" s="4"/>
      <c r="S472" s="12" t="s">
        <v>3057</v>
      </c>
      <c r="T472" s="4" t="s">
        <v>2444</v>
      </c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5"/>
      <c r="AI472" s="5"/>
      <c r="AJ472" s="5"/>
      <c r="AK472" s="5"/>
      <c r="AL472" s="5"/>
    </row>
    <row r="473">
      <c r="A473" s="4" t="str">
        <f>VLOOKUP(L473,payment_ids!C:D,2,FALSE)</f>
        <v>pay_HPOj4cQSj53WYc</v>
      </c>
      <c r="B473" s="4"/>
      <c r="C473" s="4" t="s">
        <v>3055</v>
      </c>
      <c r="D473" s="4">
        <v>49991.0</v>
      </c>
      <c r="E473" s="5"/>
      <c r="F473" s="4">
        <v>1.0</v>
      </c>
      <c r="G473" s="4">
        <v>99.0</v>
      </c>
      <c r="H473" s="4"/>
      <c r="I473" s="4">
        <v>99.0</v>
      </c>
      <c r="J473" s="4" t="s">
        <v>3190</v>
      </c>
      <c r="K473" s="5">
        <f>+918757475636</f>
        <v>918757475636</v>
      </c>
      <c r="L473" s="4" t="str">
        <f t="shared" si="1"/>
        <v>rakesh.raman94@gmail.com918757475636</v>
      </c>
      <c r="M473" s="10" t="s">
        <v>67</v>
      </c>
      <c r="N473" s="4" t="b">
        <v>0</v>
      </c>
      <c r="O473" s="4" t="str">
        <f>VLOOKUP(A473,payment_ids!D:E,2,FALSE)</f>
        <v>upi</v>
      </c>
      <c r="P473" s="4" t="s">
        <v>69</v>
      </c>
      <c r="Q473" s="4" t="s">
        <v>3191</v>
      </c>
      <c r="R473" s="4"/>
      <c r="S473" s="12" t="s">
        <v>3057</v>
      </c>
      <c r="T473" s="4" t="s">
        <v>2444</v>
      </c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5"/>
      <c r="AI473" s="5"/>
      <c r="AJ473" s="5"/>
      <c r="AK473" s="5"/>
      <c r="AL473" s="5"/>
    </row>
    <row r="474">
      <c r="A474" s="4" t="str">
        <f>VLOOKUP(L474,payment_ids!C:D,2,FALSE)</f>
        <v>pay_HPyq5i8knLkuWR</v>
      </c>
      <c r="B474" s="4"/>
      <c r="C474" s="4" t="s">
        <v>3055</v>
      </c>
      <c r="D474" s="4">
        <v>49991.0</v>
      </c>
      <c r="E474" s="5"/>
      <c r="F474" s="4">
        <v>1.0</v>
      </c>
      <c r="G474" s="4">
        <v>99.0</v>
      </c>
      <c r="H474" s="4"/>
      <c r="I474" s="4">
        <v>99.0</v>
      </c>
      <c r="J474" s="4" t="s">
        <v>3192</v>
      </c>
      <c r="K474" s="5">
        <f>+919967568110</f>
        <v>919967568110</v>
      </c>
      <c r="L474" s="4" t="str">
        <f t="shared" si="1"/>
        <v>rhnbansal@gmail.com919967568110</v>
      </c>
      <c r="M474" s="10" t="s">
        <v>67</v>
      </c>
      <c r="N474" s="4" t="b">
        <v>0</v>
      </c>
      <c r="O474" s="4" t="str">
        <f>VLOOKUP(A474,payment_ids!D:E,2,FALSE)</f>
        <v>upi</v>
      </c>
      <c r="P474" s="4" t="s">
        <v>69</v>
      </c>
      <c r="Q474" s="4" t="s">
        <v>3193</v>
      </c>
      <c r="R474" s="4"/>
      <c r="S474" s="12" t="s">
        <v>3057</v>
      </c>
      <c r="T474" s="4" t="s">
        <v>2444</v>
      </c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5"/>
      <c r="AI474" s="5"/>
      <c r="AJ474" s="5"/>
      <c r="AK474" s="5"/>
      <c r="AL474" s="5"/>
    </row>
    <row r="475">
      <c r="A475" s="4" t="str">
        <f>VLOOKUP(L475,payment_ids!C:D,2,FALSE)</f>
        <v>pay_H8GEYdARdde6u4</v>
      </c>
      <c r="B475" s="4"/>
      <c r="C475" s="4" t="s">
        <v>137</v>
      </c>
      <c r="D475" s="4">
        <v>49831.0</v>
      </c>
      <c r="E475" s="4"/>
      <c r="F475" s="4">
        <v>1.0</v>
      </c>
      <c r="G475" s="4">
        <v>299.0</v>
      </c>
      <c r="H475" s="4"/>
      <c r="I475" s="4">
        <v>299.0</v>
      </c>
      <c r="J475" s="4" t="s">
        <v>3194</v>
      </c>
      <c r="K475" s="6">
        <f>+919902670157</f>
        <v>919902670157</v>
      </c>
      <c r="L475" s="4" t="str">
        <f t="shared" si="1"/>
        <v>sanchit@likeminds.community919902670157</v>
      </c>
      <c r="M475" s="10" t="s">
        <v>67</v>
      </c>
      <c r="N475" s="4" t="b">
        <v>0</v>
      </c>
      <c r="O475" s="4" t="str">
        <f>VLOOKUP(A475,payment_ids!D:E,2,FALSE)</f>
        <v>wallet</v>
      </c>
      <c r="P475" s="4" t="s">
        <v>69</v>
      </c>
      <c r="Q475" s="11">
        <v>44413.65555555555</v>
      </c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5"/>
      <c r="AI475" s="5"/>
      <c r="AJ475" s="5"/>
      <c r="AK475" s="5"/>
      <c r="AL475" s="5"/>
    </row>
    <row r="476">
      <c r="A476" s="4" t="str">
        <f>VLOOKUP(L476,payment_ids!C:D,2,FALSE)</f>
        <v>pay_H6i9yA5bbdm02Z</v>
      </c>
      <c r="B476" s="4"/>
      <c r="C476" s="4" t="s">
        <v>3195</v>
      </c>
      <c r="D476" s="4">
        <v>50047.0</v>
      </c>
      <c r="E476" s="4"/>
      <c r="F476" s="4">
        <v>3.0</v>
      </c>
      <c r="G476" s="4">
        <v>799.0</v>
      </c>
      <c r="H476" s="4"/>
      <c r="I476" s="4">
        <v>799.0</v>
      </c>
      <c r="J476" s="4" t="s">
        <v>3196</v>
      </c>
      <c r="K476" s="6">
        <f>+919481150184</f>
        <v>919481150184</v>
      </c>
      <c r="L476" s="4" t="str">
        <f t="shared" si="1"/>
        <v>abhinav.ux@gmail.com919481150184</v>
      </c>
      <c r="M476" s="10" t="s">
        <v>67</v>
      </c>
      <c r="N476" s="4" t="b">
        <v>0</v>
      </c>
      <c r="O476" s="4" t="str">
        <f>VLOOKUP(A476,payment_ids!D:E,2,FALSE)</f>
        <v>wallet</v>
      </c>
      <c r="P476" s="4" t="s">
        <v>69</v>
      </c>
      <c r="Q476" s="11">
        <v>44291.745833333334</v>
      </c>
      <c r="R476" s="4"/>
      <c r="S476" s="12" t="s">
        <v>3197</v>
      </c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5"/>
      <c r="AI476" s="5"/>
      <c r="AJ476" s="5"/>
      <c r="AK476" s="5"/>
      <c r="AL476" s="5"/>
    </row>
    <row r="477">
      <c r="A477" s="4" t="str">
        <f>VLOOKUP(L477,payment_ids!C:D,2,FALSE)</f>
        <v>pay_H6lHCzii2GCyWz</v>
      </c>
      <c r="B477" s="4"/>
      <c r="C477" s="4" t="s">
        <v>3195</v>
      </c>
      <c r="D477" s="4">
        <v>50047.0</v>
      </c>
      <c r="E477" s="4"/>
      <c r="F477" s="4">
        <v>3.0</v>
      </c>
      <c r="G477" s="4">
        <v>999.0</v>
      </c>
      <c r="H477" s="4"/>
      <c r="I477" s="4">
        <v>999.0</v>
      </c>
      <c r="J477" s="4" t="s">
        <v>3198</v>
      </c>
      <c r="K477" s="6">
        <f>+919008118984</f>
        <v>919008118984</v>
      </c>
      <c r="L477" s="4" t="str">
        <f t="shared" si="1"/>
        <v>saumyaswarup1997@gmail.com919008118984</v>
      </c>
      <c r="M477" s="10" t="s">
        <v>67</v>
      </c>
      <c r="N477" s="4" t="b">
        <v>0</v>
      </c>
      <c r="O477" s="4" t="str">
        <f>VLOOKUP(A477,payment_ids!D:E,2,FALSE)</f>
        <v>upi</v>
      </c>
      <c r="P477" s="4" t="s">
        <v>69</v>
      </c>
      <c r="Q477" s="11">
        <v>44291.86597222222</v>
      </c>
      <c r="R477" s="4"/>
      <c r="S477" s="12" t="s">
        <v>3197</v>
      </c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5"/>
      <c r="AI477" s="5"/>
      <c r="AJ477" s="5"/>
      <c r="AK477" s="5"/>
      <c r="AL477" s="5"/>
    </row>
    <row r="478">
      <c r="A478" s="4" t="str">
        <f>VLOOKUP(L478,payment_ids!C:D,2,FALSE)</f>
        <v>pay_H8lV0JHstwIf1n</v>
      </c>
      <c r="B478" s="4"/>
      <c r="C478" s="4" t="s">
        <v>3195</v>
      </c>
      <c r="D478" s="4">
        <v>50047.0</v>
      </c>
      <c r="E478" s="4"/>
      <c r="F478" s="4">
        <v>3.0</v>
      </c>
      <c r="G478" s="4">
        <v>799.0</v>
      </c>
      <c r="H478" s="4"/>
      <c r="I478" s="4">
        <v>799.0</v>
      </c>
      <c r="J478" s="4" t="s">
        <v>3199</v>
      </c>
      <c r="K478" s="6">
        <f>+919821906559</f>
        <v>919821906559</v>
      </c>
      <c r="L478" s="4" t="str">
        <f t="shared" si="1"/>
        <v>shinjinimudgil@gmail.com919821906559</v>
      </c>
      <c r="M478" s="10" t="s">
        <v>67</v>
      </c>
      <c r="N478" s="4" t="b">
        <v>0</v>
      </c>
      <c r="O478" s="4" t="str">
        <f>VLOOKUP(A478,payment_ids!D:E,2,FALSE)</f>
        <v>upi</v>
      </c>
      <c r="P478" s="4" t="s">
        <v>69</v>
      </c>
      <c r="Q478" s="11">
        <v>44444.92916666667</v>
      </c>
      <c r="R478" s="4"/>
      <c r="S478" s="12" t="s">
        <v>3197</v>
      </c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5"/>
      <c r="AI478" s="5"/>
      <c r="AJ478" s="5"/>
      <c r="AK478" s="5"/>
      <c r="AL478" s="5"/>
    </row>
    <row r="479">
      <c r="A479" s="4" t="str">
        <f>VLOOKUP(L479,payment_ids!C:D,2,FALSE)</f>
        <v>pay_HB0yEI8QZxXWfh</v>
      </c>
      <c r="B479" s="4"/>
      <c r="C479" s="4" t="s">
        <v>3195</v>
      </c>
      <c r="D479" s="4">
        <v>50047.0</v>
      </c>
      <c r="E479" s="4"/>
      <c r="F479" s="4">
        <v>3.0</v>
      </c>
      <c r="G479" s="4">
        <v>799.0</v>
      </c>
      <c r="H479" s="4"/>
      <c r="I479" s="4">
        <v>799.0</v>
      </c>
      <c r="J479" s="4" t="s">
        <v>3200</v>
      </c>
      <c r="K479" s="6">
        <f>+919790880026</f>
        <v>919790880026</v>
      </c>
      <c r="L479" s="4" t="str">
        <f t="shared" si="1"/>
        <v>shreeyogalakkumi1998@gmail.com919790880026</v>
      </c>
      <c r="M479" s="10" t="s">
        <v>67</v>
      </c>
      <c r="N479" s="4" t="b">
        <v>0</v>
      </c>
      <c r="O479" s="4" t="str">
        <f>VLOOKUP(A479,payment_ids!D:E,2,FALSE)</f>
        <v>upi</v>
      </c>
      <c r="P479" s="4" t="s">
        <v>69</v>
      </c>
      <c r="Q479" s="4" t="s">
        <v>3201</v>
      </c>
      <c r="R479" s="4"/>
      <c r="S479" s="12" t="s">
        <v>3197</v>
      </c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5"/>
      <c r="AI479" s="5"/>
      <c r="AJ479" s="5"/>
      <c r="AK479" s="5"/>
      <c r="AL479" s="5"/>
    </row>
    <row r="480">
      <c r="A480" s="4" t="str">
        <f>VLOOKUP(L480,payment_ids!C:D,2,FALSE)</f>
        <v>pay_HBs8xng4Rt6pyU</v>
      </c>
      <c r="B480" s="4"/>
      <c r="C480" s="4" t="s">
        <v>3195</v>
      </c>
      <c r="D480" s="4">
        <v>50047.0</v>
      </c>
      <c r="E480" s="4"/>
      <c r="F480" s="4">
        <v>6.0</v>
      </c>
      <c r="G480" s="4">
        <v>299.0</v>
      </c>
      <c r="H480" s="4"/>
      <c r="I480" s="4">
        <v>299.0</v>
      </c>
      <c r="J480" s="4" t="s">
        <v>3202</v>
      </c>
      <c r="K480" s="6">
        <f>+919681181123</f>
        <v>919681181123</v>
      </c>
      <c r="L480" s="4" t="str">
        <f t="shared" si="1"/>
        <v>tania468m@yahoo.com919681181123</v>
      </c>
      <c r="M480" s="10" t="s">
        <v>67</v>
      </c>
      <c r="N480" s="4" t="b">
        <v>0</v>
      </c>
      <c r="O480" s="4" t="str">
        <f>VLOOKUP(A480,payment_ids!D:E,2,FALSE)</f>
        <v>card</v>
      </c>
      <c r="P480" s="4" t="s">
        <v>69</v>
      </c>
      <c r="Q480" s="4" t="s">
        <v>3203</v>
      </c>
      <c r="R480" s="4"/>
      <c r="S480" s="12" t="s">
        <v>3197</v>
      </c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5"/>
      <c r="AI480" s="5"/>
      <c r="AJ480" s="5"/>
      <c r="AK480" s="5"/>
      <c r="AL480" s="5"/>
    </row>
    <row r="481">
      <c r="A481" s="4" t="str">
        <f>VLOOKUP(L481,payment_ids!C:D,2,FALSE)</f>
        <v>pay_HCvJYEjrvRo7ge</v>
      </c>
      <c r="B481" s="4"/>
      <c r="C481" s="4" t="s">
        <v>3195</v>
      </c>
      <c r="D481" s="4">
        <v>50047.0</v>
      </c>
      <c r="E481" s="4"/>
      <c r="F481" s="4">
        <v>3.0</v>
      </c>
      <c r="G481" s="4">
        <v>199.0</v>
      </c>
      <c r="H481" s="4"/>
      <c r="I481" s="4">
        <v>199.0</v>
      </c>
      <c r="J481" s="4" t="s">
        <v>3204</v>
      </c>
      <c r="K481" s="6">
        <f>+919008764932</f>
        <v>919008764932</v>
      </c>
      <c r="L481" s="4" t="str">
        <f t="shared" si="1"/>
        <v>manyakumar.93@gmail.com919008764932</v>
      </c>
      <c r="M481" s="10" t="s">
        <v>67</v>
      </c>
      <c r="N481" s="4" t="b">
        <v>0</v>
      </c>
      <c r="O481" s="4" t="str">
        <f>VLOOKUP(A481,payment_ids!D:E,2,FALSE)</f>
        <v>upi</v>
      </c>
      <c r="P481" s="4" t="s">
        <v>69</v>
      </c>
      <c r="Q481" s="4" t="s">
        <v>3205</v>
      </c>
      <c r="R481" s="4"/>
      <c r="S481" s="12" t="s">
        <v>3197</v>
      </c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5"/>
      <c r="AI481" s="5"/>
      <c r="AJ481" s="5"/>
      <c r="AK481" s="5"/>
      <c r="AL481" s="5"/>
    </row>
    <row r="482">
      <c r="A482" s="4" t="str">
        <f>VLOOKUP(L482,payment_ids!C:D,2,FALSE)</f>
        <v>pay_HCxAANPbjscxT2</v>
      </c>
      <c r="B482" s="4"/>
      <c r="C482" s="4" t="s">
        <v>3195</v>
      </c>
      <c r="D482" s="4">
        <v>50047.0</v>
      </c>
      <c r="E482" s="4"/>
      <c r="F482" s="4">
        <v>6.0</v>
      </c>
      <c r="G482" s="4">
        <v>299.0</v>
      </c>
      <c r="H482" s="4"/>
      <c r="I482" s="4">
        <v>299.0</v>
      </c>
      <c r="J482" s="4" t="s">
        <v>3206</v>
      </c>
      <c r="K482" s="6">
        <f>+918277456229</f>
        <v>918277456229</v>
      </c>
      <c r="L482" s="4" t="str">
        <f t="shared" si="1"/>
        <v>kalyanijoshi96@gmail.com918277456229</v>
      </c>
      <c r="M482" s="10" t="s">
        <v>67</v>
      </c>
      <c r="N482" s="4" t="b">
        <v>0</v>
      </c>
      <c r="O482" s="4" t="str">
        <f>VLOOKUP(A482,payment_ids!D:E,2,FALSE)</f>
        <v>upi</v>
      </c>
      <c r="P482" s="4" t="s">
        <v>69</v>
      </c>
      <c r="Q482" s="4" t="s">
        <v>3207</v>
      </c>
      <c r="R482" s="4"/>
      <c r="S482" s="12" t="s">
        <v>3197</v>
      </c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5"/>
      <c r="AI482" s="5"/>
      <c r="AJ482" s="5"/>
      <c r="AK482" s="5"/>
      <c r="AL482" s="5"/>
    </row>
    <row r="483">
      <c r="A483" s="4" t="str">
        <f>VLOOKUP(L483,payment_ids!C:D,2,FALSE)</f>
        <v>pay_HD3QRjzmvF6GZG</v>
      </c>
      <c r="B483" s="4"/>
      <c r="C483" s="4" t="s">
        <v>3195</v>
      </c>
      <c r="D483" s="4">
        <v>50047.0</v>
      </c>
      <c r="E483" s="4"/>
      <c r="F483" s="4">
        <v>3.0</v>
      </c>
      <c r="G483" s="4">
        <v>199.0</v>
      </c>
      <c r="H483" s="4"/>
      <c r="I483" s="4">
        <v>199.0</v>
      </c>
      <c r="J483" s="4" t="s">
        <v>3208</v>
      </c>
      <c r="K483" s="6">
        <f>+919829530536</f>
        <v>919829530536</v>
      </c>
      <c r="L483" s="4" t="str">
        <f t="shared" si="1"/>
        <v>shishir.creativemind@gmail.com919829530536</v>
      </c>
      <c r="M483" s="10" t="s">
        <v>67</v>
      </c>
      <c r="N483" s="4" t="b">
        <v>0</v>
      </c>
      <c r="O483" s="4" t="str">
        <f>VLOOKUP(A483,payment_ids!D:E,2,FALSE)</f>
        <v>wallet</v>
      </c>
      <c r="P483" s="4" t="s">
        <v>69</v>
      </c>
      <c r="Q483" s="4" t="s">
        <v>3209</v>
      </c>
      <c r="R483" s="4"/>
      <c r="S483" s="12" t="s">
        <v>3197</v>
      </c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5"/>
      <c r="AI483" s="5"/>
      <c r="AJ483" s="5"/>
      <c r="AK483" s="5"/>
      <c r="AL483" s="5"/>
    </row>
    <row r="484">
      <c r="A484" s="4" t="str">
        <f>VLOOKUP(L484,payment_ids!C:D,2,FALSE)</f>
        <v>pay_HD67lfZNZEkaAs</v>
      </c>
      <c r="B484" s="4"/>
      <c r="C484" s="4" t="s">
        <v>3195</v>
      </c>
      <c r="D484" s="4">
        <v>50047.0</v>
      </c>
      <c r="E484" s="4"/>
      <c r="F484" s="4">
        <v>3.0</v>
      </c>
      <c r="G484" s="4">
        <v>199.0</v>
      </c>
      <c r="H484" s="4"/>
      <c r="I484" s="4">
        <v>199.0</v>
      </c>
      <c r="J484" s="4" t="s">
        <v>3210</v>
      </c>
      <c r="K484" s="6">
        <f>+917978153635</f>
        <v>917978153635</v>
      </c>
      <c r="L484" s="4" t="str">
        <f t="shared" si="1"/>
        <v>venkateshnikhil123@gmail.com917978153635</v>
      </c>
      <c r="M484" s="10" t="s">
        <v>67</v>
      </c>
      <c r="N484" s="4" t="b">
        <v>0</v>
      </c>
      <c r="O484" s="4" t="str">
        <f>VLOOKUP(A484,payment_ids!D:E,2,FALSE)</f>
        <v>upi</v>
      </c>
      <c r="P484" s="4" t="s">
        <v>69</v>
      </c>
      <c r="Q484" s="4" t="s">
        <v>3211</v>
      </c>
      <c r="R484" s="4"/>
      <c r="S484" s="12" t="s">
        <v>3197</v>
      </c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5"/>
      <c r="AI484" s="5"/>
      <c r="AJ484" s="5"/>
      <c r="AK484" s="5"/>
      <c r="AL484" s="5"/>
    </row>
    <row r="485">
      <c r="A485" s="4" t="str">
        <f>VLOOKUP(L485,payment_ids!C:D,2,FALSE)</f>
        <v>pay_HDQnOAWSNmInRk</v>
      </c>
      <c r="B485" s="4"/>
      <c r="C485" s="4" t="s">
        <v>3195</v>
      </c>
      <c r="D485" s="4">
        <v>50047.0</v>
      </c>
      <c r="E485" s="4"/>
      <c r="F485" s="4">
        <v>3.0</v>
      </c>
      <c r="G485" s="4">
        <v>199.0</v>
      </c>
      <c r="H485" s="4"/>
      <c r="I485" s="4">
        <v>199.0</v>
      </c>
      <c r="J485" s="4" t="s">
        <v>3212</v>
      </c>
      <c r="K485" s="6">
        <f>+918850942461</f>
        <v>918850942461</v>
      </c>
      <c r="L485" s="4" t="str">
        <f t="shared" si="1"/>
        <v>prashantkanade00856@gmail.com918850942461</v>
      </c>
      <c r="M485" s="10" t="s">
        <v>67</v>
      </c>
      <c r="N485" s="4" t="b">
        <v>0</v>
      </c>
      <c r="O485" s="4" t="str">
        <f>VLOOKUP(A485,payment_ids!D:E,2,FALSE)</f>
        <v>upi</v>
      </c>
      <c r="P485" s="4" t="s">
        <v>69</v>
      </c>
      <c r="Q485" s="4" t="s">
        <v>3213</v>
      </c>
      <c r="R485" s="4"/>
      <c r="S485" s="12" t="s">
        <v>3197</v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5"/>
      <c r="AI485" s="5"/>
      <c r="AJ485" s="5"/>
      <c r="AK485" s="5"/>
      <c r="AL485" s="5"/>
    </row>
    <row r="486">
      <c r="A486" s="4" t="str">
        <f>VLOOKUP(L486,payment_ids!C:D,2,FALSE)</f>
        <v>pay_HDs9iCdaQ4NfA8</v>
      </c>
      <c r="B486" s="4"/>
      <c r="C486" s="4" t="s">
        <v>3195</v>
      </c>
      <c r="D486" s="4">
        <v>50047.0</v>
      </c>
      <c r="E486" s="4"/>
      <c r="F486" s="4">
        <v>3.0</v>
      </c>
      <c r="G486" s="4">
        <v>199.0</v>
      </c>
      <c r="H486" s="4"/>
      <c r="I486" s="4">
        <v>199.0</v>
      </c>
      <c r="J486" s="4" t="s">
        <v>3214</v>
      </c>
      <c r="K486" s="6">
        <f>+918497041814</f>
        <v>918497041814</v>
      </c>
      <c r="L486" s="4" t="str">
        <f t="shared" si="1"/>
        <v>pradnyavidha88@gmail.com918497041814</v>
      </c>
      <c r="M486" s="10" t="s">
        <v>67</v>
      </c>
      <c r="N486" s="4" t="b">
        <v>0</v>
      </c>
      <c r="O486" s="4" t="str">
        <f>VLOOKUP(A486,payment_ids!D:E,2,FALSE)</f>
        <v>upi</v>
      </c>
      <c r="P486" s="4" t="s">
        <v>69</v>
      </c>
      <c r="Q486" s="4" t="s">
        <v>3215</v>
      </c>
      <c r="R486" s="4"/>
      <c r="S486" s="12" t="s">
        <v>3197</v>
      </c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5"/>
      <c r="AI486" s="5"/>
      <c r="AJ486" s="5"/>
      <c r="AK486" s="5"/>
      <c r="AL486" s="5"/>
    </row>
    <row r="487">
      <c r="A487" s="4" t="str">
        <f>VLOOKUP(L487,payment_ids!C:D,2,FALSE)</f>
        <v>pay_HDseErDw9ykMNy</v>
      </c>
      <c r="B487" s="4"/>
      <c r="C487" s="4" t="s">
        <v>3195</v>
      </c>
      <c r="D487" s="4">
        <v>50047.0</v>
      </c>
      <c r="E487" s="4"/>
      <c r="F487" s="4">
        <v>3.0</v>
      </c>
      <c r="G487" s="4">
        <v>199.0</v>
      </c>
      <c r="H487" s="4"/>
      <c r="I487" s="4">
        <v>199.0</v>
      </c>
      <c r="J487" s="4" t="s">
        <v>3216</v>
      </c>
      <c r="K487" s="6">
        <f>+919840692634</f>
        <v>919840692634</v>
      </c>
      <c r="L487" s="4" t="str">
        <f t="shared" si="1"/>
        <v>swathigurram11@gmail.com919840692634</v>
      </c>
      <c r="M487" s="10" t="s">
        <v>67</v>
      </c>
      <c r="N487" s="4" t="b">
        <v>0</v>
      </c>
      <c r="O487" s="4" t="str">
        <f>VLOOKUP(A487,payment_ids!D:E,2,FALSE)</f>
        <v>upi</v>
      </c>
      <c r="P487" s="4" t="s">
        <v>69</v>
      </c>
      <c r="Q487" s="4" t="s">
        <v>3217</v>
      </c>
      <c r="R487" s="4"/>
      <c r="S487" s="12" t="s">
        <v>3197</v>
      </c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5"/>
      <c r="AI487" s="5"/>
      <c r="AJ487" s="5"/>
      <c r="AK487" s="5"/>
      <c r="AL487" s="5"/>
    </row>
    <row r="488">
      <c r="A488" s="4" t="str">
        <f>VLOOKUP(L488,payment_ids!C:D,2,FALSE)</f>
        <v>pay_HE3tpgakGGPDcL</v>
      </c>
      <c r="B488" s="4"/>
      <c r="C488" s="4" t="s">
        <v>3195</v>
      </c>
      <c r="D488" s="4">
        <v>50047.0</v>
      </c>
      <c r="E488" s="4"/>
      <c r="F488" s="4">
        <v>3.0</v>
      </c>
      <c r="G488" s="4">
        <v>199.0</v>
      </c>
      <c r="H488" s="4"/>
      <c r="I488" s="4">
        <v>199.0</v>
      </c>
      <c r="J488" s="4" t="s">
        <v>3218</v>
      </c>
      <c r="K488" s="6">
        <f>+918600591437</f>
        <v>918600591437</v>
      </c>
      <c r="L488" s="4" t="str">
        <f t="shared" si="1"/>
        <v>shridange21@gmail.com918600591437</v>
      </c>
      <c r="M488" s="10" t="s">
        <v>67</v>
      </c>
      <c r="N488" s="4" t="b">
        <v>0</v>
      </c>
      <c r="O488" s="4" t="str">
        <f>VLOOKUP(A488,payment_ids!D:E,2,FALSE)</f>
        <v>upi</v>
      </c>
      <c r="P488" s="4" t="s">
        <v>69</v>
      </c>
      <c r="Q488" s="4" t="s">
        <v>3219</v>
      </c>
      <c r="R488" s="4"/>
      <c r="S488" s="12" t="s">
        <v>3197</v>
      </c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5"/>
      <c r="AI488" s="5"/>
      <c r="AJ488" s="5"/>
      <c r="AK488" s="5"/>
      <c r="AL488" s="5"/>
    </row>
    <row r="489">
      <c r="A489" s="4" t="str">
        <f>VLOOKUP(L489,payment_ids!C:D,2,FALSE)</f>
        <v>pay_HE7IRwH0xBkbWF</v>
      </c>
      <c r="B489" s="4"/>
      <c r="C489" s="4" t="s">
        <v>3195</v>
      </c>
      <c r="D489" s="4">
        <v>50047.0</v>
      </c>
      <c r="E489" s="4"/>
      <c r="F489" s="4">
        <v>3.0</v>
      </c>
      <c r="G489" s="4">
        <v>199.0</v>
      </c>
      <c r="H489" s="4"/>
      <c r="I489" s="4">
        <v>199.0</v>
      </c>
      <c r="J489" s="4" t="s">
        <v>3220</v>
      </c>
      <c r="K489" s="6">
        <f>+919365094516</f>
        <v>919365094516</v>
      </c>
      <c r="L489" s="4" t="str">
        <f t="shared" si="1"/>
        <v>priyadarshinipradhan1601@gmail.com919365094516</v>
      </c>
      <c r="M489" s="10" t="s">
        <v>67</v>
      </c>
      <c r="N489" s="4" t="b">
        <v>0</v>
      </c>
      <c r="O489" s="4" t="str">
        <f>VLOOKUP(A489,payment_ids!D:E,2,FALSE)</f>
        <v>upi</v>
      </c>
      <c r="P489" s="4" t="s">
        <v>69</v>
      </c>
      <c r="Q489" s="4" t="s">
        <v>3221</v>
      </c>
      <c r="R489" s="4"/>
      <c r="S489" s="12" t="s">
        <v>3197</v>
      </c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5"/>
      <c r="AI489" s="5"/>
      <c r="AJ489" s="5"/>
      <c r="AK489" s="5"/>
      <c r="AL489" s="5"/>
    </row>
    <row r="490">
      <c r="A490" s="4" t="str">
        <f>VLOOKUP(L490,payment_ids!C:D,2,FALSE)</f>
        <v>pay_HEC4tMImSH0aHv</v>
      </c>
      <c r="B490" s="4"/>
      <c r="C490" s="4" t="s">
        <v>3195</v>
      </c>
      <c r="D490" s="4">
        <v>50047.0</v>
      </c>
      <c r="E490" s="4"/>
      <c r="F490" s="4">
        <v>6.0</v>
      </c>
      <c r="G490" s="4">
        <v>299.0</v>
      </c>
      <c r="H490" s="4"/>
      <c r="I490" s="4">
        <v>299.0</v>
      </c>
      <c r="J490" s="4" t="s">
        <v>3222</v>
      </c>
      <c r="K490" s="6">
        <f>+917738987950</f>
        <v>917738987950</v>
      </c>
      <c r="L490" s="4" t="str">
        <f t="shared" si="1"/>
        <v>kuldeepmgoswami@gmail.com917738987950</v>
      </c>
      <c r="M490" s="10" t="s">
        <v>67</v>
      </c>
      <c r="N490" s="4" t="b">
        <v>0</v>
      </c>
      <c r="O490" s="4" t="str">
        <f>VLOOKUP(A490,payment_ids!D:E,2,FALSE)</f>
        <v>upi</v>
      </c>
      <c r="P490" s="4" t="s">
        <v>69</v>
      </c>
      <c r="Q490" s="4" t="s">
        <v>3223</v>
      </c>
      <c r="R490" s="4"/>
      <c r="S490" s="12" t="s">
        <v>3197</v>
      </c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5"/>
      <c r="AI490" s="5"/>
      <c r="AJ490" s="5"/>
      <c r="AK490" s="5"/>
      <c r="AL490" s="5"/>
    </row>
    <row r="491">
      <c r="A491" s="4" t="str">
        <f>VLOOKUP(L491,payment_ids!C:D,2,FALSE)</f>
        <v>pay_HEDe5AO2dZWrfj</v>
      </c>
      <c r="B491" s="4"/>
      <c r="C491" s="4" t="s">
        <v>3195</v>
      </c>
      <c r="D491" s="4">
        <v>50047.0</v>
      </c>
      <c r="E491" s="4"/>
      <c r="F491" s="4">
        <v>6.0</v>
      </c>
      <c r="G491" s="4">
        <v>299.0</v>
      </c>
      <c r="H491" s="4"/>
      <c r="I491" s="4">
        <v>299.0</v>
      </c>
      <c r="J491" s="4" t="s">
        <v>3224</v>
      </c>
      <c r="K491" s="6">
        <f>+919972504265</f>
        <v>919972504265</v>
      </c>
      <c r="L491" s="4" t="str">
        <f t="shared" si="1"/>
        <v>vineethvp.882@gmail.com919972504265</v>
      </c>
      <c r="M491" s="10" t="s">
        <v>67</v>
      </c>
      <c r="N491" s="4" t="b">
        <v>0</v>
      </c>
      <c r="O491" s="4" t="str">
        <f>VLOOKUP(A491,payment_ids!D:E,2,FALSE)</f>
        <v>upi</v>
      </c>
      <c r="P491" s="4" t="s">
        <v>69</v>
      </c>
      <c r="Q491" s="4" t="s">
        <v>3225</v>
      </c>
      <c r="R491" s="4"/>
      <c r="S491" s="12" t="s">
        <v>3197</v>
      </c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5"/>
      <c r="AI491" s="5"/>
      <c r="AJ491" s="5"/>
      <c r="AK491" s="5"/>
      <c r="AL491" s="5"/>
    </row>
    <row r="492">
      <c r="A492" s="4" t="str">
        <f>VLOOKUP(L492,payment_ids!C:D,2,FALSE)</f>
        <v>pay_HELWBe7yChdtkB</v>
      </c>
      <c r="B492" s="4"/>
      <c r="C492" s="4" t="s">
        <v>3195</v>
      </c>
      <c r="D492" s="4">
        <v>50047.0</v>
      </c>
      <c r="E492" s="4"/>
      <c r="F492" s="4">
        <v>3.0</v>
      </c>
      <c r="G492" s="4">
        <v>199.0</v>
      </c>
      <c r="H492" s="4"/>
      <c r="I492" s="4">
        <v>199.0</v>
      </c>
      <c r="J492" s="4" t="s">
        <v>3226</v>
      </c>
      <c r="K492" s="6">
        <f>+917300364932</f>
        <v>917300364932</v>
      </c>
      <c r="L492" s="4" t="str">
        <f t="shared" si="1"/>
        <v>kashi.gyl0905@gmail.com917300364932</v>
      </c>
      <c r="M492" s="10" t="s">
        <v>67</v>
      </c>
      <c r="N492" s="4" t="b">
        <v>0</v>
      </c>
      <c r="O492" s="4" t="str">
        <f>VLOOKUP(A492,payment_ids!D:E,2,FALSE)</f>
        <v>wallet</v>
      </c>
      <c r="P492" s="4" t="s">
        <v>69</v>
      </c>
      <c r="Q492" s="4" t="s">
        <v>3227</v>
      </c>
      <c r="R492" s="4"/>
      <c r="S492" s="12" t="s">
        <v>3197</v>
      </c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5"/>
      <c r="AI492" s="5"/>
      <c r="AJ492" s="5"/>
      <c r="AK492" s="5"/>
      <c r="AL492" s="5"/>
    </row>
    <row r="493">
      <c r="A493" s="4" t="str">
        <f>VLOOKUP(L493,payment_ids!C:D,2,FALSE)</f>
        <v>pay_HEOAsq7e6zAVcI</v>
      </c>
      <c r="B493" s="4"/>
      <c r="C493" s="4" t="s">
        <v>3195</v>
      </c>
      <c r="D493" s="4">
        <v>50047.0</v>
      </c>
      <c r="E493" s="4"/>
      <c r="F493" s="4">
        <v>3.0</v>
      </c>
      <c r="G493" s="4">
        <v>199.0</v>
      </c>
      <c r="H493" s="4"/>
      <c r="I493" s="4">
        <v>199.0</v>
      </c>
      <c r="J493" s="4" t="s">
        <v>3228</v>
      </c>
      <c r="K493" s="6">
        <f>+919646883759</f>
        <v>919646883759</v>
      </c>
      <c r="L493" s="4" t="str">
        <f t="shared" si="1"/>
        <v>sahmi87@gmail.com919646883759</v>
      </c>
      <c r="M493" s="10" t="s">
        <v>67</v>
      </c>
      <c r="N493" s="4" t="b">
        <v>0</v>
      </c>
      <c r="O493" s="4" t="str">
        <f>VLOOKUP(A493,payment_ids!D:E,2,FALSE)</f>
        <v>card</v>
      </c>
      <c r="P493" s="4" t="s">
        <v>69</v>
      </c>
      <c r="Q493" s="4" t="s">
        <v>3229</v>
      </c>
      <c r="R493" s="4"/>
      <c r="S493" s="12" t="s">
        <v>3197</v>
      </c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5"/>
      <c r="AI493" s="5"/>
      <c r="AJ493" s="5"/>
      <c r="AK493" s="5"/>
      <c r="AL493" s="5"/>
    </row>
    <row r="494">
      <c r="A494" s="4" t="str">
        <f>VLOOKUP(L494,payment_ids!C:D,2,FALSE)</f>
        <v>pay_HEX8CW2HdOo7mn</v>
      </c>
      <c r="B494" s="4"/>
      <c r="C494" s="4" t="s">
        <v>3195</v>
      </c>
      <c r="D494" s="4">
        <v>50047.0</v>
      </c>
      <c r="E494" s="4"/>
      <c r="F494" s="4">
        <v>3.0</v>
      </c>
      <c r="G494" s="4">
        <v>199.0</v>
      </c>
      <c r="H494" s="4"/>
      <c r="I494" s="4">
        <v>199.0</v>
      </c>
      <c r="J494" s="4" t="s">
        <v>3230</v>
      </c>
      <c r="K494" s="6">
        <f>+919704301372</f>
        <v>919704301372</v>
      </c>
      <c r="L494" s="4" t="str">
        <f t="shared" si="1"/>
        <v>alururakeshreddy@gmail.com919704301372</v>
      </c>
      <c r="M494" s="10" t="s">
        <v>67</v>
      </c>
      <c r="N494" s="4" t="b">
        <v>0</v>
      </c>
      <c r="O494" s="4" t="str">
        <f>VLOOKUP(A494,payment_ids!D:E,2,FALSE)</f>
        <v>upi</v>
      </c>
      <c r="P494" s="4" t="s">
        <v>69</v>
      </c>
      <c r="Q494" s="4" t="s">
        <v>3231</v>
      </c>
      <c r="R494" s="4"/>
      <c r="S494" s="12" t="s">
        <v>3197</v>
      </c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5"/>
      <c r="AI494" s="5"/>
      <c r="AJ494" s="5"/>
      <c r="AK494" s="5"/>
      <c r="AL494" s="5"/>
    </row>
    <row r="495">
      <c r="A495" s="4" t="str">
        <f>VLOOKUP(L495,payment_ids!C:D,2,FALSE)</f>
        <v>pay_HEaifOAZKFhd1H</v>
      </c>
      <c r="B495" s="4"/>
      <c r="C495" s="4" t="s">
        <v>3195</v>
      </c>
      <c r="D495" s="4">
        <v>50047.0</v>
      </c>
      <c r="E495" s="4"/>
      <c r="F495" s="4">
        <v>3.0</v>
      </c>
      <c r="G495" s="4">
        <v>199.0</v>
      </c>
      <c r="H495" s="4"/>
      <c r="I495" s="4">
        <v>199.0</v>
      </c>
      <c r="J495" s="4" t="s">
        <v>3232</v>
      </c>
      <c r="K495" s="6">
        <f>+917842233099</f>
        <v>917842233099</v>
      </c>
      <c r="L495" s="4" t="str">
        <f t="shared" si="1"/>
        <v>pnavsreddy@gmail.com917842233099</v>
      </c>
      <c r="M495" s="10" t="s">
        <v>67</v>
      </c>
      <c r="N495" s="4" t="b">
        <v>0</v>
      </c>
      <c r="O495" s="4" t="str">
        <f>VLOOKUP(A495,payment_ids!D:E,2,FALSE)</f>
        <v>wallet</v>
      </c>
      <c r="P495" s="4" t="s">
        <v>69</v>
      </c>
      <c r="Q495" s="4" t="s">
        <v>3233</v>
      </c>
      <c r="R495" s="4"/>
      <c r="S495" s="12" t="s">
        <v>3197</v>
      </c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5"/>
      <c r="AI495" s="5"/>
      <c r="AJ495" s="5"/>
      <c r="AK495" s="5"/>
      <c r="AL495" s="5"/>
    </row>
    <row r="496">
      <c r="A496" s="4" t="str">
        <f>VLOOKUP(L496,payment_ids!C:D,2,FALSE)</f>
        <v>pay_HEekb3C0MHecWb</v>
      </c>
      <c r="B496" s="4"/>
      <c r="C496" s="4" t="s">
        <v>3195</v>
      </c>
      <c r="D496" s="4">
        <v>50047.0</v>
      </c>
      <c r="E496" s="4"/>
      <c r="F496" s="4">
        <v>3.0</v>
      </c>
      <c r="G496" s="4">
        <v>199.0</v>
      </c>
      <c r="H496" s="4"/>
      <c r="I496" s="4">
        <v>199.0</v>
      </c>
      <c r="J496" s="4" t="s">
        <v>3234</v>
      </c>
      <c r="K496" s="6">
        <f>+917506464369</f>
        <v>917506464369</v>
      </c>
      <c r="L496" s="4" t="str">
        <f t="shared" si="1"/>
        <v>ruksarshaikh596@gmail.com917506464369</v>
      </c>
      <c r="M496" s="10" t="s">
        <v>67</v>
      </c>
      <c r="N496" s="4" t="b">
        <v>0</v>
      </c>
      <c r="O496" s="4" t="str">
        <f>VLOOKUP(A496,payment_ids!D:E,2,FALSE)</f>
        <v>upi</v>
      </c>
      <c r="P496" s="4" t="s">
        <v>69</v>
      </c>
      <c r="Q496" s="4" t="s">
        <v>3235</v>
      </c>
      <c r="R496" s="4"/>
      <c r="S496" s="12" t="s">
        <v>3197</v>
      </c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5"/>
      <c r="AI496" s="5"/>
      <c r="AJ496" s="5"/>
      <c r="AK496" s="5"/>
      <c r="AL496" s="5"/>
    </row>
    <row r="497">
      <c r="A497" s="4" t="str">
        <f>VLOOKUP(L497,payment_ids!C:D,2,FALSE)</f>
        <v>pay_HF1fnufSRqwZL0</v>
      </c>
      <c r="B497" s="4"/>
      <c r="C497" s="4" t="s">
        <v>3195</v>
      </c>
      <c r="D497" s="4">
        <v>50047.0</v>
      </c>
      <c r="E497" s="4"/>
      <c r="F497" s="4">
        <v>3.0</v>
      </c>
      <c r="G497" s="4">
        <v>199.0</v>
      </c>
      <c r="H497" s="4"/>
      <c r="I497" s="4">
        <v>199.0</v>
      </c>
      <c r="J497" s="4" t="s">
        <v>3236</v>
      </c>
      <c r="K497" s="6">
        <f>+918904427001</f>
        <v>918904427001</v>
      </c>
      <c r="L497" s="4" t="str">
        <f t="shared" si="1"/>
        <v>manasa.vasavakala@gmail.com918904427001</v>
      </c>
      <c r="M497" s="10" t="s">
        <v>67</v>
      </c>
      <c r="N497" s="4" t="b">
        <v>0</v>
      </c>
      <c r="O497" s="4" t="str">
        <f>VLOOKUP(A497,payment_ids!D:E,2,FALSE)</f>
        <v>upi</v>
      </c>
      <c r="P497" s="4" t="s">
        <v>69</v>
      </c>
      <c r="Q497" s="4" t="s">
        <v>3237</v>
      </c>
      <c r="R497" s="4"/>
      <c r="S497" s="12" t="s">
        <v>3197</v>
      </c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5"/>
      <c r="AI497" s="5"/>
      <c r="AJ497" s="5"/>
      <c r="AK497" s="5"/>
      <c r="AL497" s="5"/>
    </row>
    <row r="498">
      <c r="A498" s="4" t="str">
        <f>VLOOKUP(L498,payment_ids!C:D,2,FALSE)</f>
        <v>pay_HF48OnPZj3afLH</v>
      </c>
      <c r="B498" s="4"/>
      <c r="C498" s="4" t="s">
        <v>3195</v>
      </c>
      <c r="D498" s="4">
        <v>50047.0</v>
      </c>
      <c r="E498" s="4"/>
      <c r="F498" s="4">
        <v>3.0</v>
      </c>
      <c r="G498" s="4">
        <v>199.0</v>
      </c>
      <c r="H498" s="4"/>
      <c r="I498" s="4">
        <v>199.0</v>
      </c>
      <c r="J498" s="4" t="s">
        <v>3238</v>
      </c>
      <c r="K498" s="6">
        <f>+919100868183</f>
        <v>919100868183</v>
      </c>
      <c r="L498" s="4" t="str">
        <f t="shared" si="1"/>
        <v>mithrachalla@gmail.com919100868183</v>
      </c>
      <c r="M498" s="10" t="s">
        <v>67</v>
      </c>
      <c r="N498" s="4" t="b">
        <v>0</v>
      </c>
      <c r="O498" s="4" t="str">
        <f>VLOOKUP(A498,payment_ids!D:E,2,FALSE)</f>
        <v>upi</v>
      </c>
      <c r="P498" s="4" t="s">
        <v>69</v>
      </c>
      <c r="Q498" s="4" t="s">
        <v>3239</v>
      </c>
      <c r="R498" s="4"/>
      <c r="S498" s="12" t="s">
        <v>3197</v>
      </c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5"/>
      <c r="AI498" s="5"/>
      <c r="AJ498" s="5"/>
      <c r="AK498" s="5"/>
      <c r="AL498" s="5"/>
    </row>
    <row r="499">
      <c r="A499" s="4" t="str">
        <f>VLOOKUP(L499,payment_ids!C:D,2,FALSE)</f>
        <v>pay_HFqzNegCwhSJTk</v>
      </c>
      <c r="B499" s="4"/>
      <c r="C499" s="4" t="s">
        <v>3195</v>
      </c>
      <c r="D499" s="4">
        <v>50047.0</v>
      </c>
      <c r="E499" s="5"/>
      <c r="F499" s="4">
        <v>3.0</v>
      </c>
      <c r="G499" s="4">
        <v>199.0</v>
      </c>
      <c r="H499" s="4"/>
      <c r="I499" s="4">
        <v>199.0</v>
      </c>
      <c r="J499" s="4" t="s">
        <v>3240</v>
      </c>
      <c r="K499" s="5">
        <f>+919284521783</f>
        <v>919284521783</v>
      </c>
      <c r="L499" s="4" t="str">
        <f t="shared" si="1"/>
        <v>chauhanajitsingh2508@gmail.com919284521783</v>
      </c>
      <c r="M499" s="10" t="s">
        <v>67</v>
      </c>
      <c r="N499" s="4" t="b">
        <v>0</v>
      </c>
      <c r="O499" s="4" t="str">
        <f>VLOOKUP(A499,payment_ids!D:E,2,FALSE)</f>
        <v>upi</v>
      </c>
      <c r="P499" s="4" t="s">
        <v>69</v>
      </c>
      <c r="Q499" s="4" t="s">
        <v>3241</v>
      </c>
      <c r="R499" s="4"/>
      <c r="S499" s="12" t="s">
        <v>3197</v>
      </c>
      <c r="T499" s="5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5"/>
      <c r="AI499" s="5"/>
      <c r="AJ499" s="5"/>
      <c r="AK499" s="5"/>
      <c r="AL499" s="5"/>
    </row>
    <row r="500">
      <c r="A500" s="4" t="str">
        <f>VLOOKUP(L500,payment_ids!C:D,2,FALSE)</f>
        <v>pay_HG7cn1sSl3Ykmk</v>
      </c>
      <c r="B500" s="4"/>
      <c r="C500" s="4" t="s">
        <v>3195</v>
      </c>
      <c r="D500" s="4">
        <v>50047.0</v>
      </c>
      <c r="E500" s="5"/>
      <c r="F500" s="4">
        <v>6.0</v>
      </c>
      <c r="G500" s="4">
        <v>299.0</v>
      </c>
      <c r="H500" s="4"/>
      <c r="I500" s="4">
        <v>299.0</v>
      </c>
      <c r="J500" s="4" t="s">
        <v>3242</v>
      </c>
      <c r="K500" s="5">
        <f>+918412997252</f>
        <v>918412997252</v>
      </c>
      <c r="L500" s="4" t="str">
        <f t="shared" si="1"/>
        <v>deepikag.designer@gmail.com918412997252</v>
      </c>
      <c r="M500" s="10" t="s">
        <v>67</v>
      </c>
      <c r="N500" s="4" t="b">
        <v>0</v>
      </c>
      <c r="O500" s="4" t="str">
        <f>VLOOKUP(A500,payment_ids!D:E,2,FALSE)</f>
        <v>upi</v>
      </c>
      <c r="P500" s="4" t="s">
        <v>69</v>
      </c>
      <c r="Q500" s="4" t="s">
        <v>3243</v>
      </c>
      <c r="R500" s="4"/>
      <c r="S500" s="12" t="s">
        <v>3197</v>
      </c>
      <c r="T500" s="5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5"/>
      <c r="AI500" s="5"/>
      <c r="AJ500" s="5"/>
      <c r="AK500" s="5"/>
      <c r="AL500" s="5"/>
    </row>
    <row r="501">
      <c r="A501" s="4" t="str">
        <f>VLOOKUP(L501,payment_ids!C:D,2,FALSE)</f>
        <v>pay_HG9HagSv6UJxpg</v>
      </c>
      <c r="B501" s="4"/>
      <c r="C501" s="4" t="s">
        <v>3195</v>
      </c>
      <c r="D501" s="4">
        <v>50047.0</v>
      </c>
      <c r="E501" s="5"/>
      <c r="F501" s="4">
        <v>3.0</v>
      </c>
      <c r="G501" s="4">
        <v>199.0</v>
      </c>
      <c r="H501" s="4"/>
      <c r="I501" s="4">
        <v>199.0</v>
      </c>
      <c r="J501" s="4" t="s">
        <v>3244</v>
      </c>
      <c r="K501" s="5">
        <f>+917299908537</f>
        <v>917299908537</v>
      </c>
      <c r="L501" s="4" t="str">
        <f t="shared" si="1"/>
        <v>dineshviswanathan77@gmail.com917299908537</v>
      </c>
      <c r="M501" s="10" t="s">
        <v>67</v>
      </c>
      <c r="N501" s="4" t="b">
        <v>0</v>
      </c>
      <c r="O501" s="4" t="str">
        <f>VLOOKUP(A501,payment_ids!D:E,2,FALSE)</f>
        <v>upi</v>
      </c>
      <c r="P501" s="4" t="s">
        <v>69</v>
      </c>
      <c r="Q501" s="4" t="s">
        <v>3245</v>
      </c>
      <c r="R501" s="4"/>
      <c r="S501" s="12" t="s">
        <v>3197</v>
      </c>
      <c r="T501" s="5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5"/>
      <c r="AI501" s="5"/>
      <c r="AJ501" s="5"/>
      <c r="AK501" s="5"/>
      <c r="AL501" s="5"/>
    </row>
    <row r="502">
      <c r="A502" s="4" t="str">
        <f>VLOOKUP(L502,payment_ids!C:D,2,FALSE)</f>
        <v>pay_HGFNzLXIYgpO13</v>
      </c>
      <c r="B502" s="4"/>
      <c r="C502" s="4" t="s">
        <v>3195</v>
      </c>
      <c r="D502" s="4">
        <v>50047.0</v>
      </c>
      <c r="E502" s="5"/>
      <c r="F502" s="4">
        <v>12.0</v>
      </c>
      <c r="G502" s="4">
        <v>499.0</v>
      </c>
      <c r="H502" s="4"/>
      <c r="I502" s="4">
        <v>499.0</v>
      </c>
      <c r="J502" s="4" t="s">
        <v>3246</v>
      </c>
      <c r="K502" s="5">
        <f>+917387053774</f>
        <v>917387053774</v>
      </c>
      <c r="L502" s="4" t="str">
        <f t="shared" si="1"/>
        <v>vishakhahegde19@gmail.com917387053774</v>
      </c>
      <c r="M502" s="10" t="s">
        <v>67</v>
      </c>
      <c r="N502" s="4" t="b">
        <v>0</v>
      </c>
      <c r="O502" s="4" t="str">
        <f>VLOOKUP(A502,payment_ids!D:E,2,FALSE)</f>
        <v>upi</v>
      </c>
      <c r="P502" s="4" t="s">
        <v>69</v>
      </c>
      <c r="Q502" s="4" t="s">
        <v>3247</v>
      </c>
      <c r="R502" s="4"/>
      <c r="S502" s="12" t="s">
        <v>3197</v>
      </c>
      <c r="T502" s="5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5"/>
      <c r="AI502" s="5"/>
      <c r="AJ502" s="5"/>
      <c r="AK502" s="5"/>
      <c r="AL502" s="5"/>
    </row>
    <row r="503">
      <c r="A503" s="4" t="str">
        <f>VLOOKUP(L503,payment_ids!C:D,2,FALSE)</f>
        <v>pay_HH2mwLX1as50Bd</v>
      </c>
      <c r="B503" s="4"/>
      <c r="C503" s="4" t="s">
        <v>3195</v>
      </c>
      <c r="D503" s="4">
        <v>50047.0</v>
      </c>
      <c r="E503" s="5"/>
      <c r="F503" s="4">
        <v>3.0</v>
      </c>
      <c r="G503" s="4">
        <v>199.0</v>
      </c>
      <c r="H503" s="4"/>
      <c r="I503" s="4">
        <v>199.0</v>
      </c>
      <c r="J503" s="4" t="s">
        <v>3248</v>
      </c>
      <c r="K503" s="5">
        <f>+919167600216</f>
        <v>919167600216</v>
      </c>
      <c r="L503" s="4" t="str">
        <f t="shared" si="1"/>
        <v>rutujanilvarna@gmail.com919167600216</v>
      </c>
      <c r="M503" s="10" t="s">
        <v>67</v>
      </c>
      <c r="N503" s="4" t="b">
        <v>0</v>
      </c>
      <c r="O503" s="4" t="str">
        <f>VLOOKUP(A503,payment_ids!D:E,2,FALSE)</f>
        <v>upi</v>
      </c>
      <c r="P503" s="4" t="s">
        <v>69</v>
      </c>
      <c r="Q503" s="4" t="s">
        <v>3249</v>
      </c>
      <c r="R503" s="4"/>
      <c r="S503" s="12" t="s">
        <v>3197</v>
      </c>
      <c r="T503" s="5"/>
      <c r="U503" s="4"/>
      <c r="V503" s="4"/>
      <c r="W503" s="4"/>
      <c r="X503" s="4"/>
      <c r="Y503" s="4"/>
      <c r="Z503" s="4" t="b">
        <v>0</v>
      </c>
      <c r="AA503" s="4"/>
      <c r="AB503" s="4"/>
      <c r="AC503" s="4"/>
      <c r="AD503" s="4"/>
      <c r="AE503" s="4"/>
      <c r="AF503" s="4"/>
      <c r="AG503" s="4"/>
      <c r="AH503" s="5"/>
      <c r="AI503" s="5"/>
      <c r="AJ503" s="5"/>
      <c r="AK503" s="5"/>
      <c r="AL503" s="5"/>
    </row>
    <row r="504">
      <c r="A504" s="4" t="str">
        <f>VLOOKUP(L504,payment_ids!C:D,2,FALSE)</f>
        <v>pay_HH3Ks45AIq1K5U</v>
      </c>
      <c r="B504" s="4"/>
      <c r="C504" s="4" t="s">
        <v>3195</v>
      </c>
      <c r="D504" s="4">
        <v>50047.0</v>
      </c>
      <c r="E504" s="5"/>
      <c r="F504" s="4">
        <v>12.0</v>
      </c>
      <c r="G504" s="4">
        <v>499.0</v>
      </c>
      <c r="H504" s="4"/>
      <c r="I504" s="4">
        <v>499.0</v>
      </c>
      <c r="J504" s="4" t="s">
        <v>3250</v>
      </c>
      <c r="K504" s="5">
        <f>+919969798944</f>
        <v>919969798944</v>
      </c>
      <c r="L504" s="4" t="str">
        <f t="shared" si="1"/>
        <v>mansviparmani@gmail.com919969798944</v>
      </c>
      <c r="M504" s="10" t="s">
        <v>67</v>
      </c>
      <c r="N504" s="4" t="b">
        <v>0</v>
      </c>
      <c r="O504" s="4" t="str">
        <f>VLOOKUP(A504,payment_ids!D:E,2,FALSE)</f>
        <v>upi</v>
      </c>
      <c r="P504" s="4" t="s">
        <v>69</v>
      </c>
      <c r="Q504" s="4" t="s">
        <v>3251</v>
      </c>
      <c r="R504" s="4"/>
      <c r="S504" s="12" t="s">
        <v>3197</v>
      </c>
      <c r="T504" s="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5"/>
      <c r="AI504" s="5"/>
      <c r="AJ504" s="5"/>
      <c r="AK504" s="5"/>
      <c r="AL504" s="5"/>
    </row>
    <row r="505">
      <c r="A505" s="4" t="str">
        <f>VLOOKUP(L505,payment_ids!C:D,2,FALSE)</f>
        <v>pay_HHMVvMZN1to4K8</v>
      </c>
      <c r="B505" s="4"/>
      <c r="C505" s="4" t="s">
        <v>3195</v>
      </c>
      <c r="D505" s="4">
        <v>50047.0</v>
      </c>
      <c r="E505" s="5"/>
      <c r="F505" s="4">
        <v>3.0</v>
      </c>
      <c r="G505" s="4">
        <v>199.0</v>
      </c>
      <c r="H505" s="4"/>
      <c r="I505" s="4">
        <v>199.0</v>
      </c>
      <c r="J505" s="4" t="s">
        <v>3252</v>
      </c>
      <c r="K505" s="5">
        <f>+919468484432</f>
        <v>919468484432</v>
      </c>
      <c r="L505" s="4" t="str">
        <f t="shared" si="1"/>
        <v>sameer1140@gmail.com919468484432</v>
      </c>
      <c r="M505" s="10" t="s">
        <v>67</v>
      </c>
      <c r="N505" s="4" t="b">
        <v>0</v>
      </c>
      <c r="O505" s="4" t="str">
        <f>VLOOKUP(A505,payment_ids!D:E,2,FALSE)</f>
        <v>upi</v>
      </c>
      <c r="P505" s="4" t="s">
        <v>69</v>
      </c>
      <c r="Q505" s="4" t="s">
        <v>3253</v>
      </c>
      <c r="R505" s="4"/>
      <c r="S505" s="12" t="s">
        <v>3197</v>
      </c>
      <c r="T505" s="5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5"/>
      <c r="AI505" s="5"/>
      <c r="AJ505" s="5"/>
      <c r="AK505" s="5"/>
      <c r="AL505" s="5"/>
    </row>
    <row r="506">
      <c r="A506" s="4" t="str">
        <f>VLOOKUP(L506,payment_ids!C:D,2,FALSE)</f>
        <v>pay_HHVSMrPb3AWvYv</v>
      </c>
      <c r="B506" s="4"/>
      <c r="C506" s="4" t="s">
        <v>3195</v>
      </c>
      <c r="D506" s="4">
        <v>50047.0</v>
      </c>
      <c r="E506" s="5"/>
      <c r="F506" s="4">
        <v>3.0</v>
      </c>
      <c r="G506" s="4">
        <v>199.0</v>
      </c>
      <c r="H506" s="4"/>
      <c r="I506" s="4">
        <v>199.0</v>
      </c>
      <c r="J506" s="4" t="s">
        <v>3254</v>
      </c>
      <c r="K506" s="5">
        <f>+918171626726</f>
        <v>918171626726</v>
      </c>
      <c r="L506" s="4" t="str">
        <f t="shared" si="1"/>
        <v>hunnygrover96@gmail.com918171626726</v>
      </c>
      <c r="M506" s="10" t="s">
        <v>67</v>
      </c>
      <c r="N506" s="4" t="b">
        <v>0</v>
      </c>
      <c r="O506" s="4" t="str">
        <f>VLOOKUP(A506,payment_ids!D:E,2,FALSE)</f>
        <v>upi</v>
      </c>
      <c r="P506" s="4" t="s">
        <v>69</v>
      </c>
      <c r="Q506" s="11">
        <v>44202.01875</v>
      </c>
      <c r="R506" s="4"/>
      <c r="S506" s="12" t="s">
        <v>3197</v>
      </c>
      <c r="T506" s="5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5"/>
      <c r="AI506" s="5"/>
      <c r="AJ506" s="5"/>
      <c r="AK506" s="5"/>
      <c r="AL506" s="5"/>
    </row>
    <row r="507">
      <c r="A507" s="4" t="str">
        <f>VLOOKUP(L507,payment_ids!C:D,2,FALSE)</f>
        <v>pay_HHn4Gg78MqhAQA</v>
      </c>
      <c r="B507" s="4"/>
      <c r="C507" s="4" t="s">
        <v>3195</v>
      </c>
      <c r="D507" s="4">
        <v>50047.0</v>
      </c>
      <c r="E507" s="5"/>
      <c r="F507" s="4">
        <v>3.0</v>
      </c>
      <c r="G507" s="4">
        <v>199.0</v>
      </c>
      <c r="H507" s="4"/>
      <c r="I507" s="4">
        <v>199.0</v>
      </c>
      <c r="J507" s="4" t="s">
        <v>3255</v>
      </c>
      <c r="K507" s="5">
        <f>+919567287965</f>
        <v>919567287965</v>
      </c>
      <c r="L507" s="4" t="str">
        <f t="shared" si="1"/>
        <v>aga972@gmail.com919567287965</v>
      </c>
      <c r="M507" s="10" t="s">
        <v>67</v>
      </c>
      <c r="N507" s="4" t="b">
        <v>0</v>
      </c>
      <c r="O507" s="4" t="str">
        <f>VLOOKUP(A507,payment_ids!D:E,2,FALSE)</f>
        <v>card</v>
      </c>
      <c r="P507" s="4" t="s">
        <v>69</v>
      </c>
      <c r="Q507" s="11">
        <v>44202.736805555556</v>
      </c>
      <c r="R507" s="4"/>
      <c r="S507" s="12" t="s">
        <v>3197</v>
      </c>
      <c r="T507" s="5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5"/>
      <c r="AI507" s="5"/>
      <c r="AJ507" s="5"/>
      <c r="AK507" s="5"/>
      <c r="AL507" s="5"/>
    </row>
    <row r="508">
      <c r="A508" s="4" t="str">
        <f>VLOOKUP(L508,payment_ids!C:D,2,FALSE)</f>
        <v>pay_HHtwtgA6gCNWrP</v>
      </c>
      <c r="B508" s="4"/>
      <c r="C508" s="4" t="s">
        <v>3195</v>
      </c>
      <c r="D508" s="4">
        <v>50047.0</v>
      </c>
      <c r="E508" s="5"/>
      <c r="F508" s="4">
        <v>3.0</v>
      </c>
      <c r="G508" s="4">
        <v>199.0</v>
      </c>
      <c r="H508" s="4"/>
      <c r="I508" s="4">
        <v>199.0</v>
      </c>
      <c r="J508" s="4" t="s">
        <v>3256</v>
      </c>
      <c r="K508" s="5">
        <f>+917993319154</f>
        <v>917993319154</v>
      </c>
      <c r="L508" s="4" t="str">
        <f t="shared" si="1"/>
        <v>akshith.doddi129@gmail.com917993319154</v>
      </c>
      <c r="M508" s="10" t="s">
        <v>67</v>
      </c>
      <c r="N508" s="4" t="b">
        <v>0</v>
      </c>
      <c r="O508" s="4" t="str">
        <f>VLOOKUP(A508,payment_ids!D:E,2,FALSE)</f>
        <v>upi</v>
      </c>
      <c r="P508" s="4" t="s">
        <v>69</v>
      </c>
      <c r="Q508" s="11">
        <v>44233.01736111111</v>
      </c>
      <c r="R508" s="4"/>
      <c r="S508" s="12" t="s">
        <v>3197</v>
      </c>
      <c r="T508" s="5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5"/>
      <c r="AI508" s="5"/>
      <c r="AJ508" s="5"/>
      <c r="AK508" s="5"/>
      <c r="AL508" s="5"/>
    </row>
    <row r="509">
      <c r="A509" s="4" t="str">
        <f>VLOOKUP(L509,payment_ids!C:D,2,FALSE)</f>
        <v>pay_HI6ooPmUamiEVj</v>
      </c>
      <c r="B509" s="4"/>
      <c r="C509" s="4" t="s">
        <v>3195</v>
      </c>
      <c r="D509" s="4">
        <v>50047.0</v>
      </c>
      <c r="E509" s="5"/>
      <c r="F509" s="4">
        <v>3.0</v>
      </c>
      <c r="G509" s="4">
        <v>199.0</v>
      </c>
      <c r="H509" s="4"/>
      <c r="I509" s="4">
        <v>199.0</v>
      </c>
      <c r="J509" s="4" t="s">
        <v>3257</v>
      </c>
      <c r="K509" s="5">
        <f>+919739747733</f>
        <v>919739747733</v>
      </c>
      <c r="L509" s="4" t="str">
        <f t="shared" si="1"/>
        <v>rupa.shakena89@gmail.com919739747733</v>
      </c>
      <c r="M509" s="10" t="s">
        <v>67</v>
      </c>
      <c r="N509" s="4" t="b">
        <v>0</v>
      </c>
      <c r="O509" s="4" t="str">
        <f>VLOOKUP(A509,payment_ids!D:E,2,FALSE)</f>
        <v>upi</v>
      </c>
      <c r="P509" s="4" t="s">
        <v>69</v>
      </c>
      <c r="Q509" s="11">
        <v>44233.541666666664</v>
      </c>
      <c r="R509" s="4"/>
      <c r="S509" s="12" t="s">
        <v>3197</v>
      </c>
      <c r="T509" s="5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5"/>
      <c r="AI509" s="5"/>
      <c r="AJ509" s="5"/>
      <c r="AK509" s="5"/>
      <c r="AL509" s="5"/>
    </row>
    <row r="510">
      <c r="A510" s="4" t="str">
        <f>VLOOKUP(L510,payment_ids!C:D,2,FALSE)</f>
        <v>pay_HIBeLvbqXHxliv</v>
      </c>
      <c r="B510" s="4"/>
      <c r="C510" s="4" t="s">
        <v>3195</v>
      </c>
      <c r="D510" s="4">
        <v>50047.0</v>
      </c>
      <c r="E510" s="5"/>
      <c r="F510" s="4">
        <v>3.0</v>
      </c>
      <c r="G510" s="4">
        <v>199.0</v>
      </c>
      <c r="H510" s="4"/>
      <c r="I510" s="4">
        <v>199.0</v>
      </c>
      <c r="J510" s="4" t="s">
        <v>3258</v>
      </c>
      <c r="K510" s="5">
        <f>+918089408986</f>
        <v>918089408986</v>
      </c>
      <c r="L510" s="4" t="str">
        <f t="shared" si="1"/>
        <v>mercurymonster@gmail.com918089408986</v>
      </c>
      <c r="M510" s="10" t="s">
        <v>67</v>
      </c>
      <c r="N510" s="4" t="b">
        <v>0</v>
      </c>
      <c r="O510" s="4" t="str">
        <f>VLOOKUP(A510,payment_ids!D:E,2,FALSE)</f>
        <v>wallet</v>
      </c>
      <c r="P510" s="4" t="s">
        <v>69</v>
      </c>
      <c r="Q510" s="11">
        <v>44233.739583333336</v>
      </c>
      <c r="R510" s="4"/>
      <c r="S510" s="12" t="s">
        <v>3197</v>
      </c>
      <c r="T510" s="5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5"/>
      <c r="AI510" s="5"/>
      <c r="AJ510" s="5"/>
      <c r="AK510" s="5"/>
      <c r="AL510" s="5"/>
    </row>
    <row r="511">
      <c r="A511" s="4" t="str">
        <f>VLOOKUP(L511,payment_ids!C:D,2,FALSE)</f>
        <v>pay_HIEu9a9TWfDbUT</v>
      </c>
      <c r="B511" s="4"/>
      <c r="C511" s="4" t="s">
        <v>3195</v>
      </c>
      <c r="D511" s="4">
        <v>50047.0</v>
      </c>
      <c r="E511" s="5"/>
      <c r="F511" s="4">
        <v>3.0</v>
      </c>
      <c r="G511" s="4">
        <v>199.0</v>
      </c>
      <c r="H511" s="4"/>
      <c r="I511" s="4">
        <v>199.0</v>
      </c>
      <c r="J511" s="4" t="s">
        <v>3259</v>
      </c>
      <c r="K511" s="5">
        <f>+917000941809</f>
        <v>917000941809</v>
      </c>
      <c r="L511" s="4" t="str">
        <f t="shared" si="1"/>
        <v>gunjanj550@gmail.com917000941809</v>
      </c>
      <c r="M511" s="10" t="s">
        <v>67</v>
      </c>
      <c r="N511" s="4" t="b">
        <v>0</v>
      </c>
      <c r="O511" s="4" t="str">
        <f>VLOOKUP(A511,payment_ids!D:E,2,FALSE)</f>
        <v>upi</v>
      </c>
      <c r="P511" s="4" t="s">
        <v>69</v>
      </c>
      <c r="Q511" s="11">
        <v>44233.87152777778</v>
      </c>
      <c r="R511" s="4"/>
      <c r="S511" s="12" t="s">
        <v>3197</v>
      </c>
      <c r="T511" s="5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5"/>
      <c r="AI511" s="5"/>
      <c r="AJ511" s="5"/>
      <c r="AK511" s="5"/>
      <c r="AL511" s="5"/>
    </row>
    <row r="512">
      <c r="A512" s="4" t="str">
        <f>VLOOKUP(L512,payment_ids!C:D,2,FALSE)</f>
        <v>pay_HEx8VfgRe18Rrm</v>
      </c>
      <c r="B512" s="4"/>
      <c r="C512" s="4" t="s">
        <v>3195</v>
      </c>
      <c r="D512" s="4">
        <v>50047.0</v>
      </c>
      <c r="E512" s="5"/>
      <c r="F512" s="4">
        <v>3.0</v>
      </c>
      <c r="G512" s="4">
        <v>199.0</v>
      </c>
      <c r="H512" s="4"/>
      <c r="I512" s="4">
        <v>199.0</v>
      </c>
      <c r="J512" s="4" t="s">
        <v>3260</v>
      </c>
      <c r="K512" s="5">
        <f>+918107697752</f>
        <v>918107697752</v>
      </c>
      <c r="L512" s="4" t="str">
        <f t="shared" si="1"/>
        <v>chauhany7@gmail.com918107697752</v>
      </c>
      <c r="M512" s="10" t="s">
        <v>67</v>
      </c>
      <c r="N512" s="4" t="b">
        <v>0</v>
      </c>
      <c r="O512" s="4" t="str">
        <f>VLOOKUP(A512,payment_ids!D:E,2,FALSE)</f>
        <v>upi</v>
      </c>
      <c r="P512" s="4" t="s">
        <v>69</v>
      </c>
      <c r="Q512" s="11">
        <v>44261.498611111114</v>
      </c>
      <c r="R512" s="4"/>
      <c r="S512" s="12" t="s">
        <v>3261</v>
      </c>
      <c r="T512" s="5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5"/>
      <c r="AI512" s="5"/>
      <c r="AJ512" s="5"/>
      <c r="AK512" s="5"/>
      <c r="AL512" s="5"/>
    </row>
    <row r="513">
      <c r="A513" s="4" t="str">
        <f>VLOOKUP(L513,payment_ids!C:D,2,FALSE)</f>
        <v>pay_HIWy3d9VKKwazx</v>
      </c>
      <c r="B513" s="4"/>
      <c r="C513" s="4" t="s">
        <v>3195</v>
      </c>
      <c r="D513" s="4">
        <v>50047.0</v>
      </c>
      <c r="E513" s="5"/>
      <c r="F513" s="4">
        <v>3.0</v>
      </c>
      <c r="G513" s="4">
        <v>199.0</v>
      </c>
      <c r="H513" s="4"/>
      <c r="I513" s="4">
        <v>199.0</v>
      </c>
      <c r="J513" s="4" t="s">
        <v>3262</v>
      </c>
      <c r="K513" s="5">
        <f>+918285442983</f>
        <v>918285442983</v>
      </c>
      <c r="L513" s="4" t="str">
        <f t="shared" si="1"/>
        <v>aman.chat335@gmail.com918285442983</v>
      </c>
      <c r="M513" s="10" t="s">
        <v>67</v>
      </c>
      <c r="N513" s="4" t="b">
        <v>0</v>
      </c>
      <c r="O513" s="4" t="str">
        <f>VLOOKUP(A513,payment_ids!D:E,2,FALSE)</f>
        <v>upi</v>
      </c>
      <c r="P513" s="4" t="s">
        <v>69</v>
      </c>
      <c r="Q513" s="11">
        <v>44261.60833333333</v>
      </c>
      <c r="R513" s="4"/>
      <c r="S513" s="12" t="s">
        <v>3197</v>
      </c>
      <c r="T513" s="5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5"/>
      <c r="AI513" s="5"/>
      <c r="AJ513" s="5"/>
      <c r="AK513" s="5"/>
      <c r="AL513" s="5"/>
    </row>
    <row r="514">
      <c r="A514" s="4" t="str">
        <f>VLOOKUP(L514,payment_ids!C:D,2,FALSE)</f>
        <v>pay_HIY84bbEqOk0Cr</v>
      </c>
      <c r="B514" s="4"/>
      <c r="C514" s="4" t="s">
        <v>3195</v>
      </c>
      <c r="D514" s="4">
        <v>50047.0</v>
      </c>
      <c r="E514" s="5"/>
      <c r="F514" s="4">
        <v>12.0</v>
      </c>
      <c r="G514" s="4">
        <v>499.0</v>
      </c>
      <c r="H514" s="4"/>
      <c r="I514" s="4">
        <v>499.0</v>
      </c>
      <c r="J514" s="4" t="s">
        <v>3263</v>
      </c>
      <c r="K514" s="5">
        <f>+919088680160</f>
        <v>919088680160</v>
      </c>
      <c r="L514" s="4" t="str">
        <f t="shared" si="1"/>
        <v>prasenjitbiswas86@gmail.com919088680160</v>
      </c>
      <c r="M514" s="10" t="s">
        <v>67</v>
      </c>
      <c r="N514" s="4" t="b">
        <v>0</v>
      </c>
      <c r="O514" s="4" t="str">
        <f>VLOOKUP(A514,payment_ids!D:E,2,FALSE)</f>
        <v>upi</v>
      </c>
      <c r="P514" s="4" t="s">
        <v>69</v>
      </c>
      <c r="Q514" s="11">
        <v>44261.654861111114</v>
      </c>
      <c r="R514" s="4"/>
      <c r="S514" s="12" t="s">
        <v>3197</v>
      </c>
      <c r="T514" s="5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5"/>
      <c r="AI514" s="5"/>
      <c r="AJ514" s="5"/>
      <c r="AK514" s="5"/>
      <c r="AL514" s="5"/>
    </row>
    <row r="515">
      <c r="A515" s="4" t="str">
        <f>VLOOKUP(L515,payment_ids!C:D,2,FALSE)</f>
        <v>pay_HIsoj3vwwFx3zt</v>
      </c>
      <c r="B515" s="4"/>
      <c r="C515" s="4" t="s">
        <v>3195</v>
      </c>
      <c r="D515" s="4">
        <v>50047.0</v>
      </c>
      <c r="E515" s="5"/>
      <c r="F515" s="4">
        <v>6.0</v>
      </c>
      <c r="G515" s="4">
        <v>299.0</v>
      </c>
      <c r="H515" s="4"/>
      <c r="I515" s="4">
        <v>299.0</v>
      </c>
      <c r="J515" s="4" t="s">
        <v>3264</v>
      </c>
      <c r="K515" s="5">
        <f>+917731841720</f>
        <v>917731841720</v>
      </c>
      <c r="L515" s="4" t="str">
        <f t="shared" si="1"/>
        <v>rvykuntham@gmail.com917731841720</v>
      </c>
      <c r="M515" s="10" t="s">
        <v>67</v>
      </c>
      <c r="N515" s="4" t="b">
        <v>0</v>
      </c>
      <c r="O515" s="4" t="str">
        <f>VLOOKUP(A515,payment_ids!D:E,2,FALSE)</f>
        <v>upi</v>
      </c>
      <c r="P515" s="4" t="s">
        <v>69</v>
      </c>
      <c r="Q515" s="11">
        <v>44292.49791666667</v>
      </c>
      <c r="R515" s="4"/>
      <c r="S515" s="12" t="s">
        <v>3261</v>
      </c>
      <c r="T515" s="5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5"/>
      <c r="AI515" s="5"/>
      <c r="AJ515" s="5"/>
      <c r="AK515" s="5"/>
      <c r="AL515" s="5"/>
    </row>
    <row r="516">
      <c r="A516" s="4" t="str">
        <f>VLOOKUP(L516,payment_ids!C:D,2,FALSE)</f>
        <v>pay_HIvnSCAxcDBGHs</v>
      </c>
      <c r="B516" s="4"/>
      <c r="C516" s="4" t="s">
        <v>3195</v>
      </c>
      <c r="D516" s="4">
        <v>50047.0</v>
      </c>
      <c r="E516" s="5"/>
      <c r="F516" s="4">
        <v>6.0</v>
      </c>
      <c r="G516" s="4">
        <v>299.0</v>
      </c>
      <c r="H516" s="4"/>
      <c r="I516" s="4">
        <v>299.0</v>
      </c>
      <c r="J516" s="4" t="s">
        <v>3265</v>
      </c>
      <c r="K516" s="5">
        <f>+919818154017</f>
        <v>919818154017</v>
      </c>
      <c r="L516" s="4" t="str">
        <f t="shared" si="1"/>
        <v>24mohityadav@gmail.com919818154017</v>
      </c>
      <c r="M516" s="10" t="s">
        <v>67</v>
      </c>
      <c r="N516" s="4" t="b">
        <v>0</v>
      </c>
      <c r="O516" s="4" t="str">
        <f>VLOOKUP(A516,payment_ids!D:E,2,FALSE)</f>
        <v>upi</v>
      </c>
      <c r="P516" s="4" t="s">
        <v>69</v>
      </c>
      <c r="Q516" s="11">
        <v>44292.62222222222</v>
      </c>
      <c r="R516" s="4"/>
      <c r="S516" s="12" t="s">
        <v>3197</v>
      </c>
      <c r="T516" s="5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5"/>
      <c r="AI516" s="5"/>
      <c r="AJ516" s="5"/>
      <c r="AK516" s="5"/>
      <c r="AL516" s="5"/>
    </row>
    <row r="517">
      <c r="A517" s="4" t="str">
        <f>VLOOKUP(L517,payment_ids!C:D,2,FALSE)</f>
        <v>pay_HJjMaRM2y4LBzy</v>
      </c>
      <c r="B517" s="4"/>
      <c r="C517" s="4" t="s">
        <v>3195</v>
      </c>
      <c r="D517" s="4">
        <v>50047.0</v>
      </c>
      <c r="E517" s="5"/>
      <c r="F517" s="4">
        <v>3.0</v>
      </c>
      <c r="G517" s="4">
        <v>199.0</v>
      </c>
      <c r="H517" s="4"/>
      <c r="I517" s="4">
        <v>199.0</v>
      </c>
      <c r="J517" s="4" t="s">
        <v>3266</v>
      </c>
      <c r="K517" s="5">
        <f>+918377944474</f>
        <v>918377944474</v>
      </c>
      <c r="L517" s="4" t="str">
        <f t="shared" si="1"/>
        <v>singh.anuj6@gmail.com918377944474</v>
      </c>
      <c r="M517" s="10" t="s">
        <v>67</v>
      </c>
      <c r="N517" s="4" t="b">
        <v>0</v>
      </c>
      <c r="O517" s="4" t="str">
        <f>VLOOKUP(A517,payment_ids!D:E,2,FALSE)</f>
        <v>upi</v>
      </c>
      <c r="P517" s="4" t="s">
        <v>69</v>
      </c>
      <c r="Q517" s="11">
        <v>44353.64027777778</v>
      </c>
      <c r="R517" s="4"/>
      <c r="S517" s="12" t="s">
        <v>3197</v>
      </c>
      <c r="T517" s="5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5"/>
      <c r="AI517" s="5"/>
      <c r="AJ517" s="5"/>
      <c r="AK517" s="5"/>
      <c r="AL517" s="5"/>
    </row>
    <row r="518">
      <c r="A518" s="4" t="str">
        <f>VLOOKUP(L518,payment_ids!C:D,2,FALSE)</f>
        <v>pay_HK3U1ihircO880</v>
      </c>
      <c r="B518" s="4"/>
      <c r="C518" s="4" t="s">
        <v>3195</v>
      </c>
      <c r="D518" s="4">
        <v>50047.0</v>
      </c>
      <c r="E518" s="5"/>
      <c r="F518" s="4">
        <v>3.0</v>
      </c>
      <c r="G518" s="4">
        <v>199.0</v>
      </c>
      <c r="H518" s="4"/>
      <c r="I518" s="4">
        <v>199.0</v>
      </c>
      <c r="J518" s="4" t="s">
        <v>3267</v>
      </c>
      <c r="K518" s="5">
        <f>+919446339439</f>
        <v>919446339439</v>
      </c>
      <c r="L518" s="4" t="str">
        <f t="shared" si="1"/>
        <v>nohalalex070@gmail.com919446339439</v>
      </c>
      <c r="M518" s="10" t="s">
        <v>67</v>
      </c>
      <c r="N518" s="4" t="b">
        <v>0</v>
      </c>
      <c r="O518" s="4" t="str">
        <f>VLOOKUP(A518,payment_ids!D:E,2,FALSE)</f>
        <v>upi</v>
      </c>
      <c r="P518" s="4" t="s">
        <v>69</v>
      </c>
      <c r="Q518" s="11">
        <v>44383.46041666667</v>
      </c>
      <c r="R518" s="4"/>
      <c r="S518" s="12" t="s">
        <v>3197</v>
      </c>
      <c r="T518" s="5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5"/>
      <c r="AI518" s="5"/>
      <c r="AJ518" s="5"/>
      <c r="AK518" s="5"/>
      <c r="AL518" s="5"/>
    </row>
    <row r="519">
      <c r="A519" s="4" t="str">
        <f>VLOOKUP(L519,payment_ids!C:D,2,FALSE)</f>
        <v>pay_HK565mV787tAeT</v>
      </c>
      <c r="B519" s="4"/>
      <c r="C519" s="4" t="s">
        <v>3195</v>
      </c>
      <c r="D519" s="4">
        <v>50047.0</v>
      </c>
      <c r="E519" s="5"/>
      <c r="F519" s="4">
        <v>3.0</v>
      </c>
      <c r="G519" s="4">
        <v>199.0</v>
      </c>
      <c r="H519" s="4"/>
      <c r="I519" s="4">
        <v>199.0</v>
      </c>
      <c r="J519" s="4" t="s">
        <v>3268</v>
      </c>
      <c r="K519" s="5">
        <f>+919315501711</f>
        <v>919315501711</v>
      </c>
      <c r="L519" s="4" t="str">
        <f t="shared" si="1"/>
        <v>anushkaaa.2701@gmail.com919315501711</v>
      </c>
      <c r="M519" s="10" t="s">
        <v>67</v>
      </c>
      <c r="N519" s="4" t="b">
        <v>0</v>
      </c>
      <c r="O519" s="4" t="str">
        <f>VLOOKUP(A519,payment_ids!D:E,2,FALSE)</f>
        <v>upi</v>
      </c>
      <c r="P519" s="4" t="s">
        <v>69</v>
      </c>
      <c r="Q519" s="11">
        <v>44383.52916666667</v>
      </c>
      <c r="R519" s="4"/>
      <c r="S519" s="12" t="s">
        <v>3197</v>
      </c>
      <c r="T519" s="5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5"/>
      <c r="AI519" s="5"/>
      <c r="AJ519" s="5"/>
      <c r="AK519" s="5"/>
      <c r="AL519" s="5"/>
    </row>
    <row r="520">
      <c r="A520" s="4" t="str">
        <f>VLOOKUP(L520,payment_ids!C:D,2,FALSE)</f>
        <v>pay_HKKY5whMxW5b1U</v>
      </c>
      <c r="B520" s="4"/>
      <c r="C520" s="4" t="s">
        <v>3195</v>
      </c>
      <c r="D520" s="4">
        <v>50047.0</v>
      </c>
      <c r="E520" s="5"/>
      <c r="F520" s="4">
        <v>3.0</v>
      </c>
      <c r="G520" s="4">
        <v>199.0</v>
      </c>
      <c r="H520" s="4"/>
      <c r="I520" s="4">
        <v>199.0</v>
      </c>
      <c r="J520" s="4" t="s">
        <v>3269</v>
      </c>
      <c r="K520" s="5">
        <f>+917265939492</f>
        <v>917265939492</v>
      </c>
      <c r="L520" s="4" t="str">
        <f t="shared" si="1"/>
        <v>sonejikaran2@gmail.com917265939492</v>
      </c>
      <c r="M520" s="10" t="s">
        <v>67</v>
      </c>
      <c r="N520" s="4" t="b">
        <v>0</v>
      </c>
      <c r="O520" s="4" t="str">
        <f>VLOOKUP(A520,payment_ids!D:E,2,FALSE)</f>
        <v>card</v>
      </c>
      <c r="P520" s="4" t="s">
        <v>69</v>
      </c>
      <c r="Q520" s="11">
        <v>44414.15555555555</v>
      </c>
      <c r="R520" s="4"/>
      <c r="S520" s="12" t="s">
        <v>3197</v>
      </c>
      <c r="T520" s="5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5"/>
      <c r="AI520" s="5"/>
      <c r="AJ520" s="5"/>
      <c r="AK520" s="5"/>
      <c r="AL520" s="5"/>
    </row>
    <row r="521">
      <c r="A521" s="4" t="str">
        <f>VLOOKUP(L521,payment_ids!C:D,2,FALSE)</f>
        <v>pay_HKStsql2VkOX4C</v>
      </c>
      <c r="B521" s="4"/>
      <c r="C521" s="4" t="s">
        <v>3195</v>
      </c>
      <c r="D521" s="4">
        <v>50047.0</v>
      </c>
      <c r="E521" s="5"/>
      <c r="F521" s="4">
        <v>3.0</v>
      </c>
      <c r="G521" s="4">
        <v>199.0</v>
      </c>
      <c r="H521" s="4"/>
      <c r="I521" s="4">
        <v>199.0</v>
      </c>
      <c r="J521" s="4" t="s">
        <v>3270</v>
      </c>
      <c r="K521" s="5">
        <f>+916284176946</f>
        <v>916284176946</v>
      </c>
      <c r="L521" s="4" t="str">
        <f t="shared" si="1"/>
        <v>nkalonia5@gmail.com916284176946</v>
      </c>
      <c r="M521" s="10" t="s">
        <v>67</v>
      </c>
      <c r="N521" s="4" t="b">
        <v>0</v>
      </c>
      <c r="O521" s="4" t="str">
        <f>VLOOKUP(A521,payment_ids!D:E,2,FALSE)</f>
        <v>upi</v>
      </c>
      <c r="P521" s="4" t="s">
        <v>69</v>
      </c>
      <c r="Q521" s="11">
        <v>44414.49652777778</v>
      </c>
      <c r="R521" s="4"/>
      <c r="S521" s="12" t="s">
        <v>3197</v>
      </c>
      <c r="T521" s="5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5"/>
      <c r="AI521" s="5"/>
      <c r="AJ521" s="5"/>
      <c r="AK521" s="5"/>
      <c r="AL521" s="5"/>
    </row>
    <row r="522">
      <c r="A522" s="4" t="str">
        <f>VLOOKUP(L522,payment_ids!C:D,2,FALSE)</f>
        <v>pay_HKg6TE5IsGsGZF</v>
      </c>
      <c r="B522" s="4"/>
      <c r="C522" s="4" t="s">
        <v>3195</v>
      </c>
      <c r="D522" s="4">
        <v>50047.0</v>
      </c>
      <c r="E522" s="5"/>
      <c r="F522" s="4">
        <v>3.0</v>
      </c>
      <c r="G522" s="4">
        <v>199.0</v>
      </c>
      <c r="H522" s="4"/>
      <c r="I522" s="4">
        <v>199.0</v>
      </c>
      <c r="J522" s="4" t="s">
        <v>3271</v>
      </c>
      <c r="K522" s="5">
        <f>+919740594324</f>
        <v>919740594324</v>
      </c>
      <c r="L522" s="4" t="str">
        <f t="shared" si="1"/>
        <v>tanuj101199@gmail.com919740594324</v>
      </c>
      <c r="M522" s="10" t="s">
        <v>67</v>
      </c>
      <c r="N522" s="4" t="b">
        <v>0</v>
      </c>
      <c r="O522" s="4" t="str">
        <f>VLOOKUP(A522,payment_ids!D:E,2,FALSE)</f>
        <v>upi</v>
      </c>
      <c r="P522" s="4" t="s">
        <v>69</v>
      </c>
      <c r="Q522" s="11">
        <v>44445.03402777778</v>
      </c>
      <c r="R522" s="4"/>
      <c r="S522" s="12" t="s">
        <v>3197</v>
      </c>
      <c r="T522" s="4" t="s">
        <v>2444</v>
      </c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5"/>
      <c r="AI522" s="5"/>
      <c r="AJ522" s="5"/>
      <c r="AK522" s="5"/>
      <c r="AL522" s="5"/>
    </row>
    <row r="523">
      <c r="A523" s="4" t="str">
        <f>VLOOKUP(L523,payment_ids!C:D,2,FALSE)</f>
        <v>pay_HKtHD005N8tNlu</v>
      </c>
      <c r="B523" s="4"/>
      <c r="C523" s="4" t="s">
        <v>3195</v>
      </c>
      <c r="D523" s="4">
        <v>50047.0</v>
      </c>
      <c r="E523" s="5"/>
      <c r="F523" s="4">
        <v>12.0</v>
      </c>
      <c r="G523" s="4">
        <v>499.0</v>
      </c>
      <c r="H523" s="4"/>
      <c r="I523" s="4">
        <v>499.0</v>
      </c>
      <c r="J523" s="4" t="s">
        <v>3272</v>
      </c>
      <c r="K523" s="5">
        <f>+919923400813</f>
        <v>919923400813</v>
      </c>
      <c r="L523" s="4" t="str">
        <f t="shared" si="1"/>
        <v>drahul.mku@yahoo.com919923400813</v>
      </c>
      <c r="M523" s="10" t="s">
        <v>67</v>
      </c>
      <c r="N523" s="4" t="b">
        <v>0</v>
      </c>
      <c r="O523" s="4" t="str">
        <f>VLOOKUP(A523,payment_ids!D:E,2,FALSE)</f>
        <v>upi</v>
      </c>
      <c r="P523" s="4" t="s">
        <v>69</v>
      </c>
      <c r="Q523" s="11">
        <v>44445.57152777778</v>
      </c>
      <c r="R523" s="4"/>
      <c r="S523" s="12" t="s">
        <v>3197</v>
      </c>
      <c r="T523" s="4" t="s">
        <v>2444</v>
      </c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5"/>
      <c r="AI523" s="5"/>
      <c r="AJ523" s="5"/>
      <c r="AK523" s="5"/>
      <c r="AL523" s="5"/>
    </row>
    <row r="524">
      <c r="A524" s="4" t="str">
        <f>VLOOKUP(L524,payment_ids!C:D,2,FALSE)</f>
        <v>pay_HKvNpXXsLDOLfM</v>
      </c>
      <c r="B524" s="4"/>
      <c r="C524" s="4" t="s">
        <v>3195</v>
      </c>
      <c r="D524" s="4">
        <v>50047.0</v>
      </c>
      <c r="E524" s="5"/>
      <c r="F524" s="4">
        <v>6.0</v>
      </c>
      <c r="G524" s="4">
        <v>299.0</v>
      </c>
      <c r="H524" s="4"/>
      <c r="I524" s="4">
        <v>299.0</v>
      </c>
      <c r="J524" s="4" t="s">
        <v>3273</v>
      </c>
      <c r="K524" s="5">
        <f>+919822354466</f>
        <v>919822354466</v>
      </c>
      <c r="L524" s="4" t="str">
        <f t="shared" si="1"/>
        <v>aishtekawade@gmail.com919822354466</v>
      </c>
      <c r="M524" s="10" t="s">
        <v>67</v>
      </c>
      <c r="N524" s="4" t="b">
        <v>0</v>
      </c>
      <c r="O524" s="4" t="str">
        <f>VLOOKUP(A524,payment_ids!D:E,2,FALSE)</f>
        <v>card</v>
      </c>
      <c r="P524" s="4" t="s">
        <v>69</v>
      </c>
      <c r="Q524" s="11">
        <v>44445.657638888886</v>
      </c>
      <c r="R524" s="4"/>
      <c r="S524" s="12" t="s">
        <v>3197</v>
      </c>
      <c r="T524" s="4" t="s">
        <v>2444</v>
      </c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5"/>
      <c r="AI524" s="5"/>
      <c r="AJ524" s="5"/>
      <c r="AK524" s="5"/>
      <c r="AL524" s="5"/>
    </row>
    <row r="525">
      <c r="A525" s="4" t="str">
        <f>VLOOKUP(L525,payment_ids!C:D,2,FALSE)</f>
        <v>pay_HKx2Eezodarw9H</v>
      </c>
      <c r="B525" s="4"/>
      <c r="C525" s="4" t="s">
        <v>3195</v>
      </c>
      <c r="D525" s="4">
        <v>50047.0</v>
      </c>
      <c r="E525" s="5"/>
      <c r="F525" s="4">
        <v>3.0</v>
      </c>
      <c r="G525" s="4">
        <v>199.0</v>
      </c>
      <c r="H525" s="4"/>
      <c r="I525" s="4">
        <v>199.0</v>
      </c>
      <c r="J525" s="4" t="s">
        <v>3274</v>
      </c>
      <c r="K525" s="5">
        <f>+917893167586</f>
        <v>917893167586</v>
      </c>
      <c r="L525" s="4" t="str">
        <f t="shared" si="1"/>
        <v>sivakrishnamanyam97@gmail.com917893167586</v>
      </c>
      <c r="M525" s="10" t="s">
        <v>67</v>
      </c>
      <c r="N525" s="4" t="b">
        <v>0</v>
      </c>
      <c r="O525" s="4" t="str">
        <f>VLOOKUP(A525,payment_ids!D:E,2,FALSE)</f>
        <v>upi</v>
      </c>
      <c r="P525" s="4" t="s">
        <v>69</v>
      </c>
      <c r="Q525" s="11">
        <v>44445.72430555556</v>
      </c>
      <c r="R525" s="4"/>
      <c r="S525" s="12" t="s">
        <v>3197</v>
      </c>
      <c r="T525" s="4" t="s">
        <v>2444</v>
      </c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5"/>
      <c r="AI525" s="5"/>
      <c r="AJ525" s="5"/>
      <c r="AK525" s="5"/>
      <c r="AL525" s="5"/>
    </row>
    <row r="526">
      <c r="A526" s="4" t="str">
        <f>VLOOKUP(L526,payment_ids!C:D,2,FALSE)</f>
        <v>pay_HKxidmlHaF1kp5</v>
      </c>
      <c r="B526" s="4"/>
      <c r="C526" s="4" t="s">
        <v>3195</v>
      </c>
      <c r="D526" s="4">
        <v>50047.0</v>
      </c>
      <c r="E526" s="5"/>
      <c r="F526" s="4">
        <v>3.0</v>
      </c>
      <c r="G526" s="4">
        <v>199.0</v>
      </c>
      <c r="H526" s="4"/>
      <c r="I526" s="4">
        <v>199.0</v>
      </c>
      <c r="J526" s="4" t="s">
        <v>3275</v>
      </c>
      <c r="K526" s="5">
        <f>+919996521691</f>
        <v>919996521691</v>
      </c>
      <c r="L526" s="4" t="str">
        <f t="shared" si="1"/>
        <v>jahanvi.virmani@gmail.com919996521691</v>
      </c>
      <c r="M526" s="10" t="s">
        <v>67</v>
      </c>
      <c r="N526" s="4" t="b">
        <v>0</v>
      </c>
      <c r="O526" s="4" t="str">
        <f>VLOOKUP(A526,payment_ids!D:E,2,FALSE)</f>
        <v>upi</v>
      </c>
      <c r="P526" s="4" t="s">
        <v>69</v>
      </c>
      <c r="Q526" s="11">
        <v>44445.75208333333</v>
      </c>
      <c r="R526" s="4"/>
      <c r="S526" s="12" t="s">
        <v>3197</v>
      </c>
      <c r="T526" s="4" t="s">
        <v>2444</v>
      </c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5"/>
      <c r="AI526" s="5"/>
      <c r="AJ526" s="5"/>
      <c r="AK526" s="5"/>
      <c r="AL526" s="5"/>
    </row>
    <row r="527">
      <c r="A527" s="4" t="str">
        <f>VLOOKUP(L527,payment_ids!C:D,2,FALSE)</f>
        <v>pay_HL28CzeBf2rx9c</v>
      </c>
      <c r="B527" s="4"/>
      <c r="C527" s="4" t="s">
        <v>3195</v>
      </c>
      <c r="D527" s="4">
        <v>50047.0</v>
      </c>
      <c r="E527" s="5"/>
      <c r="F527" s="4">
        <v>3.0</v>
      </c>
      <c r="G527" s="4">
        <v>199.0</v>
      </c>
      <c r="H527" s="4"/>
      <c r="I527" s="4">
        <v>199.0</v>
      </c>
      <c r="J527" s="4" t="s">
        <v>3276</v>
      </c>
      <c r="K527" s="5">
        <f>+919028748097</f>
        <v>919028748097</v>
      </c>
      <c r="L527" s="4" t="str">
        <f t="shared" si="1"/>
        <v>triptivjadhav@gmail.com919028748097</v>
      </c>
      <c r="M527" s="10" t="s">
        <v>67</v>
      </c>
      <c r="N527" s="4" t="b">
        <v>0</v>
      </c>
      <c r="O527" s="4" t="str">
        <f>VLOOKUP(A527,payment_ids!D:E,2,FALSE)</f>
        <v>upi</v>
      </c>
      <c r="P527" s="4" t="s">
        <v>69</v>
      </c>
      <c r="Q527" s="11">
        <v>44445.93263888889</v>
      </c>
      <c r="R527" s="4"/>
      <c r="S527" s="12" t="s">
        <v>3197</v>
      </c>
      <c r="T527" s="4" t="s">
        <v>2444</v>
      </c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5"/>
      <c r="AI527" s="5"/>
      <c r="AJ527" s="5"/>
      <c r="AK527" s="5"/>
      <c r="AL527" s="5"/>
    </row>
    <row r="528">
      <c r="A528" s="4" t="str">
        <f>VLOOKUP(L528,payment_ids!C:D,2,FALSE)</f>
        <v>pay_HLFT9uEGCaSELY</v>
      </c>
      <c r="B528" s="4"/>
      <c r="C528" s="4" t="s">
        <v>3195</v>
      </c>
      <c r="D528" s="4">
        <v>50047.0</v>
      </c>
      <c r="E528" s="5"/>
      <c r="F528" s="4">
        <v>3.0</v>
      </c>
      <c r="G528" s="4">
        <v>199.0</v>
      </c>
      <c r="H528" s="4"/>
      <c r="I528" s="4">
        <v>199.0</v>
      </c>
      <c r="J528" s="4" t="s">
        <v>3277</v>
      </c>
      <c r="K528" s="5">
        <f>+919900767046</f>
        <v>919900767046</v>
      </c>
      <c r="L528" s="4" t="str">
        <f t="shared" si="1"/>
        <v>dhanushcachar@gmail.com919900767046</v>
      </c>
      <c r="M528" s="10" t="s">
        <v>67</v>
      </c>
      <c r="N528" s="4" t="b">
        <v>0</v>
      </c>
      <c r="O528" s="4" t="str">
        <f>VLOOKUP(A528,payment_ids!D:E,2,FALSE)</f>
        <v>upi</v>
      </c>
      <c r="P528" s="4" t="s">
        <v>69</v>
      </c>
      <c r="Q528" s="11">
        <v>44475.475694444445</v>
      </c>
      <c r="R528" s="4"/>
      <c r="S528" s="12" t="s">
        <v>3197</v>
      </c>
      <c r="T528" s="4" t="s">
        <v>2444</v>
      </c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5"/>
      <c r="AI528" s="5"/>
      <c r="AJ528" s="5"/>
      <c r="AK528" s="5"/>
      <c r="AL528" s="5"/>
    </row>
    <row r="529">
      <c r="A529" s="4" t="str">
        <f>VLOOKUP(L529,payment_ids!C:D,2,FALSE)</f>
        <v>pay_HLJimnNyjMzMRx</v>
      </c>
      <c r="B529" s="4"/>
      <c r="C529" s="4" t="s">
        <v>3195</v>
      </c>
      <c r="D529" s="4">
        <v>50047.0</v>
      </c>
      <c r="E529" s="5"/>
      <c r="F529" s="4">
        <v>3.0</v>
      </c>
      <c r="G529" s="4">
        <v>199.0</v>
      </c>
      <c r="H529" s="4"/>
      <c r="I529" s="4">
        <v>199.0</v>
      </c>
      <c r="J529" s="4" t="s">
        <v>3278</v>
      </c>
      <c r="K529" s="5">
        <f>+917738141260</f>
        <v>917738141260</v>
      </c>
      <c r="L529" s="4" t="str">
        <f t="shared" si="1"/>
        <v>tejshreeamankar@gmail.com917738141260</v>
      </c>
      <c r="M529" s="10" t="s">
        <v>67</v>
      </c>
      <c r="N529" s="4" t="b">
        <v>0</v>
      </c>
      <c r="O529" s="4" t="str">
        <f>VLOOKUP(A529,payment_ids!D:E,2,FALSE)</f>
        <v>upi</v>
      </c>
      <c r="P529" s="4" t="s">
        <v>69</v>
      </c>
      <c r="Q529" s="11">
        <v>44475.649305555555</v>
      </c>
      <c r="R529" s="4"/>
      <c r="S529" s="12" t="s">
        <v>3197</v>
      </c>
      <c r="T529" s="4" t="s">
        <v>2444</v>
      </c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5"/>
      <c r="AI529" s="5"/>
      <c r="AJ529" s="5"/>
      <c r="AK529" s="5"/>
      <c r="AL529" s="5"/>
    </row>
    <row r="530">
      <c r="A530" s="4" t="str">
        <f>VLOOKUP(L530,payment_ids!C:D,2,FALSE)</f>
        <v>pay_HLuL73dqqJGKbs</v>
      </c>
      <c r="B530" s="4"/>
      <c r="C530" s="4" t="s">
        <v>3195</v>
      </c>
      <c r="D530" s="4">
        <v>50047.0</v>
      </c>
      <c r="E530" s="5"/>
      <c r="F530" s="4">
        <v>6.0</v>
      </c>
      <c r="G530" s="4">
        <v>299.0</v>
      </c>
      <c r="H530" s="4"/>
      <c r="I530" s="4">
        <v>299.0</v>
      </c>
      <c r="J530" s="4" t="s">
        <v>3279</v>
      </c>
      <c r="K530" s="5">
        <f>+919995955888</f>
        <v>919995955888</v>
      </c>
      <c r="L530" s="4" t="str">
        <f t="shared" si="1"/>
        <v>rzenjith@gmail.com919995955888</v>
      </c>
      <c r="M530" s="10" t="s">
        <v>67</v>
      </c>
      <c r="N530" s="4" t="b">
        <v>0</v>
      </c>
      <c r="O530" s="4" t="str">
        <f>VLOOKUP(A530,payment_ids!D:E,2,FALSE)</f>
        <v>upi</v>
      </c>
      <c r="P530" s="4" t="s">
        <v>69</v>
      </c>
      <c r="Q530" s="11">
        <v>44536.14444444444</v>
      </c>
      <c r="R530" s="4"/>
      <c r="S530" s="12" t="s">
        <v>3197</v>
      </c>
      <c r="T530" s="4" t="s">
        <v>2444</v>
      </c>
      <c r="U530" s="4"/>
      <c r="V530" s="4"/>
      <c r="W530" s="4"/>
      <c r="X530" s="4"/>
      <c r="Y530" s="4"/>
      <c r="Z530" s="4"/>
      <c r="AA530" s="4"/>
      <c r="AB530" s="4"/>
      <c r="AC530" s="7"/>
      <c r="AD530" s="4"/>
      <c r="AE530" s="4"/>
      <c r="AF530" s="4"/>
      <c r="AG530" s="4"/>
      <c r="AH530" s="5"/>
      <c r="AI530" s="5"/>
      <c r="AJ530" s="5"/>
      <c r="AK530" s="5"/>
      <c r="AL530" s="5"/>
    </row>
    <row r="531">
      <c r="A531" s="4" t="str">
        <f>VLOOKUP(L531,payment_ids!C:D,2,FALSE)</f>
        <v>pay_HMUWXOdACsvDA6</v>
      </c>
      <c r="B531" s="4"/>
      <c r="C531" s="4" t="s">
        <v>3195</v>
      </c>
      <c r="D531" s="4">
        <v>50047.0</v>
      </c>
      <c r="E531" s="5"/>
      <c r="F531" s="4">
        <v>3.0</v>
      </c>
      <c r="G531" s="4">
        <v>199.0</v>
      </c>
      <c r="H531" s="4"/>
      <c r="I531" s="4">
        <v>199.0</v>
      </c>
      <c r="J531" s="4" t="s">
        <v>3280</v>
      </c>
      <c r="K531" s="5">
        <f>+919654434593</f>
        <v>919654434593</v>
      </c>
      <c r="L531" s="4" t="str">
        <f t="shared" si="1"/>
        <v>upasana.gupta1993@gmail.com919654434593</v>
      </c>
      <c r="M531" s="10" t="s">
        <v>67</v>
      </c>
      <c r="N531" s="4" t="b">
        <v>0</v>
      </c>
      <c r="O531" s="4" t="str">
        <f>VLOOKUP(A531,payment_ids!D:E,2,FALSE)</f>
        <v>upi</v>
      </c>
      <c r="P531" s="4" t="s">
        <v>69</v>
      </c>
      <c r="Q531" s="4" t="s">
        <v>3281</v>
      </c>
      <c r="R531" s="4"/>
      <c r="S531" s="12" t="s">
        <v>3197</v>
      </c>
      <c r="T531" s="4" t="s">
        <v>2444</v>
      </c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5"/>
      <c r="AI531" s="5"/>
      <c r="AJ531" s="5"/>
      <c r="AK531" s="5"/>
      <c r="AL531" s="5"/>
    </row>
    <row r="532">
      <c r="A532" s="4" t="str">
        <f>VLOOKUP(L532,payment_ids!C:D,2,FALSE)</f>
        <v>pay_HMx1rIPA8OFPOu</v>
      </c>
      <c r="B532" s="4"/>
      <c r="C532" s="4" t="s">
        <v>3195</v>
      </c>
      <c r="D532" s="4">
        <v>50047.0</v>
      </c>
      <c r="E532" s="5"/>
      <c r="F532" s="4">
        <v>6.0</v>
      </c>
      <c r="G532" s="4">
        <v>299.0</v>
      </c>
      <c r="H532" s="4"/>
      <c r="I532" s="4">
        <v>299.0</v>
      </c>
      <c r="J532" s="4" t="s">
        <v>3282</v>
      </c>
      <c r="K532" s="5">
        <f>+919400008888</f>
        <v>919400008888</v>
      </c>
      <c r="L532" s="4" t="str">
        <f t="shared" si="1"/>
        <v>javadmra@gmail.com919400008888</v>
      </c>
      <c r="M532" s="10" t="s">
        <v>67</v>
      </c>
      <c r="N532" s="4" t="b">
        <v>0</v>
      </c>
      <c r="O532" s="4" t="str">
        <f>VLOOKUP(A532,payment_ids!D:E,2,FALSE)</f>
        <v>card</v>
      </c>
      <c r="P532" s="4" t="s">
        <v>69</v>
      </c>
      <c r="Q532" s="4" t="s">
        <v>3283</v>
      </c>
      <c r="R532" s="4"/>
      <c r="S532" s="12" t="s">
        <v>3197</v>
      </c>
      <c r="T532" s="4" t="s">
        <v>2444</v>
      </c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5"/>
      <c r="AI532" s="5"/>
      <c r="AJ532" s="5"/>
      <c r="AK532" s="5"/>
      <c r="AL532" s="5"/>
    </row>
    <row r="533">
      <c r="A533" s="4" t="str">
        <f>VLOOKUP(L533,payment_ids!C:D,2,FALSE)</f>
        <v>pay_HN4LGG4sht0SAg</v>
      </c>
      <c r="B533" s="4"/>
      <c r="C533" s="4" t="s">
        <v>3195</v>
      </c>
      <c r="D533" s="4">
        <v>50047.0</v>
      </c>
      <c r="E533" s="5"/>
      <c r="F533" s="4">
        <v>3.0</v>
      </c>
      <c r="G533" s="4">
        <v>199.0</v>
      </c>
      <c r="H533" s="4"/>
      <c r="I533" s="4">
        <v>199.0</v>
      </c>
      <c r="J533" s="4" t="s">
        <v>3284</v>
      </c>
      <c r="K533" s="5">
        <f>+919594593197</f>
        <v>919594593197</v>
      </c>
      <c r="L533" s="4" t="str">
        <f t="shared" si="1"/>
        <v>chiragmore7@gmail.com919594593197</v>
      </c>
      <c r="M533" s="10" t="s">
        <v>67</v>
      </c>
      <c r="N533" s="4" t="b">
        <v>0</v>
      </c>
      <c r="O533" s="4" t="str">
        <f>VLOOKUP(A533,payment_ids!D:E,2,FALSE)</f>
        <v>upi</v>
      </c>
      <c r="P533" s="4" t="s">
        <v>69</v>
      </c>
      <c r="Q533" s="4" t="s">
        <v>3285</v>
      </c>
      <c r="R533" s="4"/>
      <c r="S533" s="12" t="s">
        <v>3197</v>
      </c>
      <c r="T533" s="4" t="s">
        <v>2444</v>
      </c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5"/>
      <c r="AI533" s="5"/>
      <c r="AJ533" s="5"/>
      <c r="AK533" s="5"/>
      <c r="AL533" s="5"/>
    </row>
    <row r="534">
      <c r="A534" s="4" t="str">
        <f>VLOOKUP(L534,payment_ids!C:D,2,FALSE)</f>
        <v>pay_H8EU5HKpoznBei</v>
      </c>
      <c r="B534" s="4"/>
      <c r="C534" s="4" t="s">
        <v>3286</v>
      </c>
      <c r="D534" s="4">
        <v>49992.0</v>
      </c>
      <c r="E534" s="4"/>
      <c r="F534" s="4">
        <v>3.0</v>
      </c>
      <c r="G534" s="4">
        <v>199.0</v>
      </c>
      <c r="H534" s="4"/>
      <c r="I534" s="4">
        <v>199.0</v>
      </c>
      <c r="J534" s="4" t="s">
        <v>3287</v>
      </c>
      <c r="K534" s="6">
        <f>+919928017990</f>
        <v>919928017990</v>
      </c>
      <c r="L534" s="4" t="str">
        <f t="shared" si="1"/>
        <v>techp911@gmail.com919928017990</v>
      </c>
      <c r="M534" s="10" t="s">
        <v>67</v>
      </c>
      <c r="N534" s="4" t="b">
        <v>0</v>
      </c>
      <c r="O534" s="4" t="str">
        <f>VLOOKUP(A534,payment_ids!D:E,2,FALSE)</f>
        <v>upi</v>
      </c>
      <c r="P534" s="4" t="s">
        <v>69</v>
      </c>
      <c r="Q534" s="11">
        <v>44413.583333333336</v>
      </c>
      <c r="R534" s="4"/>
      <c r="S534" s="12" t="s">
        <v>3288</v>
      </c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5"/>
      <c r="AI534" s="5"/>
      <c r="AJ534" s="5"/>
      <c r="AK534" s="5"/>
      <c r="AL534" s="5"/>
    </row>
    <row r="535">
      <c r="A535" s="4" t="str">
        <f>VLOOKUP(L535,payment_ids!C:D,2,FALSE)</f>
        <v>pay_H8NLt7pLRpsM9z</v>
      </c>
      <c r="B535" s="4"/>
      <c r="C535" s="4" t="s">
        <v>3286</v>
      </c>
      <c r="D535" s="4">
        <v>49992.0</v>
      </c>
      <c r="E535" s="4"/>
      <c r="F535" s="4">
        <v>3.0</v>
      </c>
      <c r="G535" s="4">
        <v>199.0</v>
      </c>
      <c r="H535" s="4"/>
      <c r="I535" s="4">
        <v>199.0</v>
      </c>
      <c r="J535" s="4" t="s">
        <v>3289</v>
      </c>
      <c r="K535" s="6">
        <f>+919067637673</f>
        <v>919067637673</v>
      </c>
      <c r="L535" s="4" t="str">
        <f t="shared" si="1"/>
        <v>swarask98@gmail.com919067637673</v>
      </c>
      <c r="M535" s="10" t="s">
        <v>67</v>
      </c>
      <c r="N535" s="4" t="b">
        <v>0</v>
      </c>
      <c r="O535" s="4" t="str">
        <f>VLOOKUP(A535,payment_ids!D:E,2,FALSE)</f>
        <v>upi</v>
      </c>
      <c r="P535" s="4" t="s">
        <v>69</v>
      </c>
      <c r="Q535" s="11">
        <v>44413.94513888889</v>
      </c>
      <c r="R535" s="4"/>
      <c r="S535" s="12" t="s">
        <v>3288</v>
      </c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5"/>
      <c r="AI535" s="5"/>
      <c r="AJ535" s="5"/>
      <c r="AK535" s="5"/>
      <c r="AL535" s="5"/>
    </row>
    <row r="536">
      <c r="A536" s="4" t="str">
        <f>VLOOKUP(L536,payment_ids!C:D,2,FALSE)</f>
        <v>pay_H9rZHwM6AQc3Ba</v>
      </c>
      <c r="B536" s="4"/>
      <c r="C536" s="4" t="s">
        <v>3286</v>
      </c>
      <c r="D536" s="4">
        <v>49992.0</v>
      </c>
      <c r="E536" s="4"/>
      <c r="F536" s="4">
        <v>3.0</v>
      </c>
      <c r="G536" s="4">
        <v>199.0</v>
      </c>
      <c r="H536" s="4"/>
      <c r="I536" s="4">
        <v>199.0</v>
      </c>
      <c r="J536" s="4" t="s">
        <v>3290</v>
      </c>
      <c r="K536" s="6">
        <f>+919322845591</f>
        <v>919322845591</v>
      </c>
      <c r="L536" s="4" t="str">
        <f t="shared" si="1"/>
        <v>vrushtimehta05@gmail.com919322845591</v>
      </c>
      <c r="M536" s="10" t="s">
        <v>67</v>
      </c>
      <c r="N536" s="4" t="b">
        <v>0</v>
      </c>
      <c r="O536" s="4" t="str">
        <f>VLOOKUP(A536,payment_ids!D:E,2,FALSE)</f>
        <v>upi</v>
      </c>
      <c r="P536" s="4" t="s">
        <v>69</v>
      </c>
      <c r="Q536" s="11">
        <v>44535.70347222222</v>
      </c>
      <c r="R536" s="4"/>
      <c r="S536" s="12" t="s">
        <v>3288</v>
      </c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5"/>
      <c r="AI536" s="5"/>
      <c r="AJ536" s="5"/>
      <c r="AK536" s="5"/>
      <c r="AL536" s="5"/>
    </row>
    <row r="537">
      <c r="A537" s="4" t="str">
        <f>VLOOKUP(L537,payment_ids!C:D,2,FALSE)</f>
        <v>pay_HBYPKzKYsYsxJb</v>
      </c>
      <c r="B537" s="4"/>
      <c r="C537" s="4" t="s">
        <v>3286</v>
      </c>
      <c r="D537" s="4">
        <v>49992.0</v>
      </c>
      <c r="E537" s="4"/>
      <c r="F537" s="4">
        <v>3.0</v>
      </c>
      <c r="G537" s="4">
        <v>199.0</v>
      </c>
      <c r="H537" s="4"/>
      <c r="I537" s="4">
        <v>199.0</v>
      </c>
      <c r="J537" s="4" t="s">
        <v>3291</v>
      </c>
      <c r="K537" s="6">
        <f>+919162098228</f>
        <v>919162098228</v>
      </c>
      <c r="L537" s="4" t="str">
        <f t="shared" si="1"/>
        <v>shivamtulsyan25@gmail.com919162098228</v>
      </c>
      <c r="M537" s="10" t="s">
        <v>67</v>
      </c>
      <c r="N537" s="4" t="b">
        <v>0</v>
      </c>
      <c r="O537" s="4" t="str">
        <f>VLOOKUP(A537,payment_ids!D:E,2,FALSE)</f>
        <v>upi</v>
      </c>
      <c r="P537" s="4" t="s">
        <v>69</v>
      </c>
      <c r="Q537" s="4" t="s">
        <v>3292</v>
      </c>
      <c r="R537" s="4"/>
      <c r="S537" s="12" t="s">
        <v>3288</v>
      </c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5"/>
      <c r="AI537" s="5"/>
      <c r="AJ537" s="5"/>
      <c r="AK537" s="5"/>
      <c r="AL537" s="5"/>
    </row>
    <row r="538">
      <c r="A538" s="4" t="str">
        <f>VLOOKUP(L538,payment_ids!C:D,2,FALSE)</f>
        <v>pay_HCCDrA3tnlnhsC</v>
      </c>
      <c r="B538" s="4"/>
      <c r="C538" s="4" t="s">
        <v>3286</v>
      </c>
      <c r="D538" s="4">
        <v>49992.0</v>
      </c>
      <c r="E538" s="4"/>
      <c r="F538" s="4">
        <v>3.0</v>
      </c>
      <c r="G538" s="4">
        <v>199.0</v>
      </c>
      <c r="H538" s="4"/>
      <c r="I538" s="4">
        <v>199.0</v>
      </c>
      <c r="J538" s="4" t="s">
        <v>3293</v>
      </c>
      <c r="K538" s="6">
        <f>+919625381774</f>
        <v>919625381774</v>
      </c>
      <c r="L538" s="4" t="str">
        <f t="shared" si="1"/>
        <v>bejaditi@gmail.com919625381774</v>
      </c>
      <c r="M538" s="10" t="s">
        <v>67</v>
      </c>
      <c r="N538" s="4" t="b">
        <v>0</v>
      </c>
      <c r="O538" s="4" t="str">
        <f>VLOOKUP(A538,payment_ids!D:E,2,FALSE)</f>
        <v>card</v>
      </c>
      <c r="P538" s="4" t="s">
        <v>69</v>
      </c>
      <c r="Q538" s="4" t="s">
        <v>3294</v>
      </c>
      <c r="R538" s="4"/>
      <c r="S538" s="12" t="s">
        <v>3288</v>
      </c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5"/>
      <c r="AI538" s="5"/>
      <c r="AJ538" s="5"/>
      <c r="AK538" s="5"/>
      <c r="AL538" s="5"/>
    </row>
    <row r="539">
      <c r="A539" s="4" t="str">
        <f>VLOOKUP(L539,payment_ids!C:D,2,FALSE)</f>
        <v>pay_HCbcJCDzSWbvSp</v>
      </c>
      <c r="B539" s="4"/>
      <c r="C539" s="4" t="s">
        <v>3286</v>
      </c>
      <c r="D539" s="4">
        <v>49992.0</v>
      </c>
      <c r="E539" s="4"/>
      <c r="F539" s="4">
        <v>3.0</v>
      </c>
      <c r="G539" s="4">
        <v>199.0</v>
      </c>
      <c r="H539" s="4"/>
      <c r="I539" s="4">
        <v>199.0</v>
      </c>
      <c r="J539" s="4" t="s">
        <v>3295</v>
      </c>
      <c r="K539" s="6">
        <f>+919978799000</f>
        <v>919978799000</v>
      </c>
      <c r="L539" s="4" t="str">
        <f t="shared" si="1"/>
        <v>geetameer88@gmail.com919978799000</v>
      </c>
      <c r="M539" s="10" t="s">
        <v>67</v>
      </c>
      <c r="N539" s="4" t="b">
        <v>0</v>
      </c>
      <c r="O539" s="4" t="str">
        <f>VLOOKUP(A539,payment_ids!D:E,2,FALSE)</f>
        <v>card</v>
      </c>
      <c r="P539" s="4" t="s">
        <v>69</v>
      </c>
      <c r="Q539" s="4" t="s">
        <v>3296</v>
      </c>
      <c r="R539" s="4"/>
      <c r="S539" s="12" t="s">
        <v>3288</v>
      </c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5"/>
      <c r="AI539" s="5"/>
      <c r="AJ539" s="5"/>
      <c r="AK539" s="5"/>
      <c r="AL539" s="5"/>
    </row>
    <row r="540">
      <c r="A540" s="4" t="str">
        <f>VLOOKUP(L540,payment_ids!C:D,2,FALSE)</f>
        <v>pay_HFzdJgIHKX01f4</v>
      </c>
      <c r="B540" s="4"/>
      <c r="C540" s="4" t="s">
        <v>960</v>
      </c>
      <c r="D540" s="4">
        <v>49834.0</v>
      </c>
      <c r="E540" s="4"/>
      <c r="F540" s="4">
        <v>1.0</v>
      </c>
      <c r="G540" s="4">
        <v>99.0</v>
      </c>
      <c r="H540" s="4"/>
      <c r="I540" s="4">
        <v>99.0</v>
      </c>
      <c r="J540" s="4" t="s">
        <v>2417</v>
      </c>
      <c r="K540" s="6">
        <f>+919011963185</f>
        <v>919011963185</v>
      </c>
      <c r="L540" s="4" t="str">
        <f t="shared" si="1"/>
        <v>vilas.surkule43@gmail.com919011963185</v>
      </c>
      <c r="M540" s="10" t="s">
        <v>67</v>
      </c>
      <c r="N540" s="4" t="b">
        <v>0</v>
      </c>
      <c r="O540" s="4" t="str">
        <f>VLOOKUP(A540,payment_ids!D:E,2,FALSE)</f>
        <v>upi</v>
      </c>
      <c r="P540" s="4" t="s">
        <v>69</v>
      </c>
      <c r="Q540" s="4" t="s">
        <v>3297</v>
      </c>
      <c r="R540" s="4"/>
      <c r="S540" s="12" t="s">
        <v>3298</v>
      </c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5"/>
      <c r="AI540" s="5"/>
      <c r="AJ540" s="5"/>
      <c r="AK540" s="5"/>
      <c r="AL540" s="5"/>
    </row>
    <row r="541">
      <c r="A541" s="4" t="str">
        <f>VLOOKUP(L541,payment_ids!C:D,2,FALSE)</f>
        <v>pay_H5W1QjuPk82Zxu</v>
      </c>
      <c r="B541" s="4"/>
      <c r="C541" s="4" t="s">
        <v>76</v>
      </c>
      <c r="D541" s="4">
        <v>49834.0</v>
      </c>
      <c r="E541" s="4"/>
      <c r="F541" s="4">
        <v>3.0</v>
      </c>
      <c r="G541" s="4">
        <v>199.0</v>
      </c>
      <c r="H541" s="4"/>
      <c r="I541" s="4">
        <v>199.0</v>
      </c>
      <c r="J541" s="4" t="s">
        <v>3299</v>
      </c>
      <c r="K541" s="6">
        <f>+919136513535</f>
        <v>919136513535</v>
      </c>
      <c r="L541" s="4" t="str">
        <f t="shared" si="1"/>
        <v>srishtituteja08@gmail.com919136513535</v>
      </c>
      <c r="M541" s="10" t="s">
        <v>67</v>
      </c>
      <c r="N541" s="4" t="b">
        <v>0</v>
      </c>
      <c r="O541" s="4" t="str">
        <f>VLOOKUP(A541,payment_ids!D:E,2,FALSE)</f>
        <v>upi</v>
      </c>
      <c r="P541" s="4" t="s">
        <v>69</v>
      </c>
      <c r="Q541" s="11">
        <v>44201.717361111114</v>
      </c>
      <c r="R541" s="4"/>
      <c r="S541" s="12" t="s">
        <v>3298</v>
      </c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5"/>
      <c r="AI541" s="5"/>
      <c r="AJ541" s="5"/>
      <c r="AK541" s="5"/>
      <c r="AL541" s="5"/>
    </row>
    <row r="542">
      <c r="A542" s="4" t="str">
        <f>VLOOKUP(L542,payment_ids!C:D,2,FALSE)</f>
        <v>pay_H7CHzofThyu6ch</v>
      </c>
      <c r="B542" s="4"/>
      <c r="C542" s="4" t="s">
        <v>76</v>
      </c>
      <c r="D542" s="4">
        <v>49834.0</v>
      </c>
      <c r="E542" s="4"/>
      <c r="F542" s="4">
        <v>1.0</v>
      </c>
      <c r="G542" s="4">
        <v>99.0</v>
      </c>
      <c r="H542" s="4"/>
      <c r="I542" s="4">
        <v>99.0</v>
      </c>
      <c r="J542" s="4" t="s">
        <v>3300</v>
      </c>
      <c r="K542" s="6">
        <f>+918237771225</f>
        <v>918237771225</v>
      </c>
      <c r="L542" s="4" t="str">
        <f t="shared" si="1"/>
        <v>pkb.bijoy@gmail.com918237771225</v>
      </c>
      <c r="M542" s="10" t="s">
        <v>67</v>
      </c>
      <c r="N542" s="4" t="b">
        <v>0</v>
      </c>
      <c r="O542" s="4" t="str">
        <f>VLOOKUP(A542,payment_ids!D:E,2,FALSE)</f>
        <v>upi</v>
      </c>
      <c r="P542" s="4" t="s">
        <v>69</v>
      </c>
      <c r="Q542" s="11">
        <v>44321.96666666667</v>
      </c>
      <c r="R542" s="4"/>
      <c r="S542" s="12" t="s">
        <v>3298</v>
      </c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5"/>
      <c r="AI542" s="5"/>
      <c r="AJ542" s="5"/>
      <c r="AK542" s="5"/>
      <c r="AL542" s="5"/>
    </row>
    <row r="543">
      <c r="A543" s="4" t="str">
        <f>VLOOKUP(L543,payment_ids!C:D,2,FALSE)</f>
        <v>pay_H7EeuB7TGqmgDs</v>
      </c>
      <c r="B543" s="4"/>
      <c r="C543" s="4" t="s">
        <v>76</v>
      </c>
      <c r="D543" s="4">
        <v>49834.0</v>
      </c>
      <c r="E543" s="4"/>
      <c r="F543" s="4">
        <v>1.0</v>
      </c>
      <c r="G543" s="4">
        <v>99.0</v>
      </c>
      <c r="H543" s="4"/>
      <c r="I543" s="4">
        <v>99.0</v>
      </c>
      <c r="J543" s="4" t="s">
        <v>3301</v>
      </c>
      <c r="K543" s="6">
        <f>+919307638450</f>
        <v>919307638450</v>
      </c>
      <c r="L543" s="4" t="str">
        <f t="shared" si="1"/>
        <v>vaidyasaurabh97@gmail.com919307638450</v>
      </c>
      <c r="M543" s="10" t="s">
        <v>67</v>
      </c>
      <c r="N543" s="4" t="b">
        <v>0</v>
      </c>
      <c r="O543" s="4" t="str">
        <f>VLOOKUP(A543,payment_ids!D:E,2,FALSE)</f>
        <v>upi</v>
      </c>
      <c r="P543" s="4" t="s">
        <v>69</v>
      </c>
      <c r="Q543" s="11">
        <v>44352.06319444445</v>
      </c>
      <c r="R543" s="4"/>
      <c r="S543" s="12" t="s">
        <v>3298</v>
      </c>
      <c r="T543" s="4"/>
      <c r="U543" s="4"/>
      <c r="V543" s="4"/>
      <c r="W543" s="4"/>
      <c r="X543" s="4"/>
      <c r="Y543" s="4"/>
      <c r="Z543" s="4" t="b">
        <v>0</v>
      </c>
      <c r="AA543" s="4"/>
      <c r="AB543" s="4"/>
      <c r="AC543" s="4"/>
      <c r="AD543" s="4"/>
      <c r="AE543" s="4"/>
      <c r="AF543" s="4"/>
      <c r="AG543" s="4"/>
      <c r="AH543" s="5"/>
      <c r="AI543" s="5"/>
      <c r="AJ543" s="5"/>
      <c r="AK543" s="5"/>
      <c r="AL543" s="5"/>
    </row>
    <row r="544">
      <c r="A544" s="4" t="str">
        <f>VLOOKUP(L544,payment_ids!C:D,2,FALSE)</f>
        <v>pay_H7FGXnTPQNHI8M</v>
      </c>
      <c r="B544" s="4"/>
      <c r="C544" s="4" t="s">
        <v>76</v>
      </c>
      <c r="D544" s="4">
        <v>49834.0</v>
      </c>
      <c r="E544" s="4"/>
      <c r="F544" s="4">
        <v>3.0</v>
      </c>
      <c r="G544" s="4">
        <v>199.0</v>
      </c>
      <c r="H544" s="4"/>
      <c r="I544" s="4">
        <v>199.0</v>
      </c>
      <c r="J544" s="4" t="s">
        <v>3302</v>
      </c>
      <c r="K544" s="6">
        <f>+918961374865</f>
        <v>918961374865</v>
      </c>
      <c r="L544" s="4" t="str">
        <f t="shared" si="1"/>
        <v>victor89roy21@gmail.com918961374865</v>
      </c>
      <c r="M544" s="10" t="s">
        <v>67</v>
      </c>
      <c r="N544" s="4" t="b">
        <v>0</v>
      </c>
      <c r="O544" s="4" t="str">
        <f>VLOOKUP(A544,payment_ids!D:E,2,FALSE)</f>
        <v>card</v>
      </c>
      <c r="P544" s="4" t="s">
        <v>69</v>
      </c>
      <c r="Q544" s="11">
        <v>44352.08819444444</v>
      </c>
      <c r="R544" s="4"/>
      <c r="S544" s="12" t="s">
        <v>3298</v>
      </c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5"/>
      <c r="AI544" s="5"/>
      <c r="AJ544" s="5"/>
      <c r="AK544" s="5"/>
      <c r="AL544" s="5"/>
    </row>
    <row r="545">
      <c r="A545" s="4" t="str">
        <f>VLOOKUP(L545,payment_ids!C:D,2,FALSE)</f>
        <v>pay_H7InMGrVCIlFUR</v>
      </c>
      <c r="B545" s="4"/>
      <c r="C545" s="4" t="s">
        <v>76</v>
      </c>
      <c r="D545" s="4">
        <v>49834.0</v>
      </c>
      <c r="E545" s="4"/>
      <c r="F545" s="4">
        <v>1.0</v>
      </c>
      <c r="G545" s="4">
        <v>99.0</v>
      </c>
      <c r="H545" s="4"/>
      <c r="I545" s="4">
        <v>99.0</v>
      </c>
      <c r="J545" s="4" t="s">
        <v>3303</v>
      </c>
      <c r="K545" s="6">
        <f>+918019888930</f>
        <v>918019888930</v>
      </c>
      <c r="L545" s="4" t="str">
        <f t="shared" si="1"/>
        <v>srikarchintalapally@gmail.com918019888930</v>
      </c>
      <c r="M545" s="10" t="s">
        <v>67</v>
      </c>
      <c r="N545" s="4" t="b">
        <v>0</v>
      </c>
      <c r="O545" s="4" t="str">
        <f>VLOOKUP(A545,payment_ids!D:E,2,FALSE)</f>
        <v>upi</v>
      </c>
      <c r="P545" s="4" t="s">
        <v>69</v>
      </c>
      <c r="Q545" s="11">
        <v>44352.231944444444</v>
      </c>
      <c r="R545" s="4"/>
      <c r="S545" s="12" t="s">
        <v>3298</v>
      </c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5"/>
      <c r="AI545" s="5"/>
      <c r="AJ545" s="5"/>
      <c r="AK545" s="5"/>
      <c r="AL545" s="5"/>
    </row>
    <row r="546">
      <c r="A546" s="4" t="str">
        <f>VLOOKUP(L546,payment_ids!C:D,2,FALSE)</f>
        <v>pay_H7J5GCA1SgC641</v>
      </c>
      <c r="B546" s="4"/>
      <c r="C546" s="4" t="s">
        <v>76</v>
      </c>
      <c r="D546" s="4">
        <v>49834.0</v>
      </c>
      <c r="E546" s="4"/>
      <c r="F546" s="4">
        <v>1.0</v>
      </c>
      <c r="G546" s="4">
        <v>99.0</v>
      </c>
      <c r="H546" s="4"/>
      <c r="I546" s="4">
        <v>99.0</v>
      </c>
      <c r="J546" s="4" t="s">
        <v>3304</v>
      </c>
      <c r="K546" s="6">
        <f>+917085885820</f>
        <v>917085885820</v>
      </c>
      <c r="L546" s="4" t="str">
        <f t="shared" si="1"/>
        <v>shreesinha2000@gmail.com917085885820</v>
      </c>
      <c r="M546" s="10" t="s">
        <v>67</v>
      </c>
      <c r="N546" s="4" t="b">
        <v>0</v>
      </c>
      <c r="O546" s="4" t="str">
        <f>VLOOKUP(A546,payment_ids!D:E,2,FALSE)</f>
        <v>upi</v>
      </c>
      <c r="P546" s="4" t="s">
        <v>69</v>
      </c>
      <c r="Q546" s="11">
        <v>44352.24375</v>
      </c>
      <c r="R546" s="4"/>
      <c r="S546" s="12" t="s">
        <v>3298</v>
      </c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5"/>
      <c r="AI546" s="5"/>
      <c r="AJ546" s="5"/>
      <c r="AK546" s="5"/>
      <c r="AL546" s="5"/>
    </row>
    <row r="547">
      <c r="A547" s="4" t="str">
        <f>VLOOKUP(L547,payment_ids!C:D,2,FALSE)</f>
        <v>pay_H7s90KcgRbvZUb</v>
      </c>
      <c r="B547" s="4"/>
      <c r="C547" s="4" t="s">
        <v>76</v>
      </c>
      <c r="D547" s="4">
        <v>49834.0</v>
      </c>
      <c r="E547" s="4"/>
      <c r="F547" s="4">
        <v>3.0</v>
      </c>
      <c r="G547" s="4">
        <v>199.0</v>
      </c>
      <c r="H547" s="4"/>
      <c r="I547" s="4">
        <v>199.0</v>
      </c>
      <c r="J547" s="4" t="s">
        <v>3305</v>
      </c>
      <c r="K547" s="6">
        <f>+917708066310</f>
        <v>917708066310</v>
      </c>
      <c r="L547" s="4" t="str">
        <f t="shared" si="1"/>
        <v>harinsrini@gmail.com917708066310</v>
      </c>
      <c r="M547" s="10" t="s">
        <v>67</v>
      </c>
      <c r="N547" s="4" t="b">
        <v>0</v>
      </c>
      <c r="O547" s="4" t="str">
        <f>VLOOKUP(A547,payment_ids!D:E,2,FALSE)</f>
        <v>upi</v>
      </c>
      <c r="P547" s="4" t="s">
        <v>69</v>
      </c>
      <c r="Q547" s="11">
        <v>44382.67361111111</v>
      </c>
      <c r="R547" s="4"/>
      <c r="S547" s="12" t="s">
        <v>3298</v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5"/>
      <c r="AI547" s="5"/>
      <c r="AJ547" s="5"/>
      <c r="AK547" s="5"/>
      <c r="AL547" s="5"/>
    </row>
    <row r="548">
      <c r="A548" s="4" t="str">
        <f>VLOOKUP(L548,payment_ids!C:D,2,FALSE)</f>
        <v>pay_H7kYIDlL9qm9JT</v>
      </c>
      <c r="B548" s="4"/>
      <c r="C548" s="4" t="s">
        <v>76</v>
      </c>
      <c r="D548" s="4">
        <v>49834.0</v>
      </c>
      <c r="E548" s="4"/>
      <c r="F548" s="4">
        <v>6.0</v>
      </c>
      <c r="G548" s="4">
        <v>349.0</v>
      </c>
      <c r="H548" s="4"/>
      <c r="I548" s="4">
        <v>349.0</v>
      </c>
      <c r="J548" s="4" t="s">
        <v>3306</v>
      </c>
      <c r="K548" s="6">
        <f>+919810736629</f>
        <v>919810736629</v>
      </c>
      <c r="L548" s="4" t="str">
        <f t="shared" si="1"/>
        <v>ridhima7@gmail.com919810736629</v>
      </c>
      <c r="M548" s="10" t="s">
        <v>67</v>
      </c>
      <c r="N548" s="4" t="b">
        <v>0</v>
      </c>
      <c r="O548" s="4" t="str">
        <f>VLOOKUP(A548,payment_ids!D:E,2,FALSE)</f>
        <v>card</v>
      </c>
      <c r="P548" s="4" t="s">
        <v>69</v>
      </c>
      <c r="Q548" s="11">
        <v>44382.36319444444</v>
      </c>
      <c r="R548" s="4"/>
      <c r="S548" s="12" t="s">
        <v>3298</v>
      </c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5"/>
      <c r="AI548" s="5"/>
      <c r="AJ548" s="5"/>
      <c r="AK548" s="5"/>
      <c r="AL548" s="5"/>
    </row>
    <row r="549">
      <c r="A549" s="4" t="str">
        <f>VLOOKUP(L549,payment_ids!C:D,2,FALSE)</f>
        <v>pay_H8dT52j5BvF282</v>
      </c>
      <c r="B549" s="4"/>
      <c r="C549" s="4" t="s">
        <v>76</v>
      </c>
      <c r="D549" s="4">
        <v>49834.0</v>
      </c>
      <c r="E549" s="4"/>
      <c r="F549" s="4">
        <v>1.0</v>
      </c>
      <c r="G549" s="4">
        <v>99.0</v>
      </c>
      <c r="H549" s="4"/>
      <c r="I549" s="4">
        <v>99.0</v>
      </c>
      <c r="J549" s="4" t="s">
        <v>3307</v>
      </c>
      <c r="K549" s="6">
        <f>+919666364632</f>
        <v>919666364632</v>
      </c>
      <c r="L549" s="4" t="str">
        <f t="shared" si="1"/>
        <v>nagarjunaedx@gmail.com919666364632</v>
      </c>
      <c r="M549" s="10" t="s">
        <v>67</v>
      </c>
      <c r="N549" s="4" t="b">
        <v>0</v>
      </c>
      <c r="O549" s="4" t="str">
        <f>VLOOKUP(A549,payment_ids!D:E,2,FALSE)</f>
        <v>upi</v>
      </c>
      <c r="P549" s="4" t="s">
        <v>69</v>
      </c>
      <c r="Q549" s="11">
        <v>44444.60138888889</v>
      </c>
      <c r="R549" s="4"/>
      <c r="S549" s="12" t="s">
        <v>3298</v>
      </c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5"/>
      <c r="AI549" s="5"/>
      <c r="AJ549" s="5"/>
      <c r="AK549" s="5"/>
      <c r="AL549" s="5"/>
    </row>
    <row r="550">
      <c r="A550" s="4" t="str">
        <f>VLOOKUP(L550,payment_ids!C:D,2,FALSE)</f>
        <v>pay_H8RLnpJdb2BR9U</v>
      </c>
      <c r="B550" s="4"/>
      <c r="C550" s="4" t="s">
        <v>76</v>
      </c>
      <c r="D550" s="4">
        <v>49834.0</v>
      </c>
      <c r="E550" s="4"/>
      <c r="F550" s="4">
        <v>6.0</v>
      </c>
      <c r="G550" s="4">
        <v>349.0</v>
      </c>
      <c r="H550" s="4"/>
      <c r="I550" s="4">
        <v>349.0</v>
      </c>
      <c r="J550" s="4" t="s">
        <v>3308</v>
      </c>
      <c r="K550" s="6">
        <f>+919945189438</f>
        <v>919945189438</v>
      </c>
      <c r="L550" s="4" t="str">
        <f t="shared" si="1"/>
        <v>kalsfru@gmail.com919945189438</v>
      </c>
      <c r="M550" s="10" t="s">
        <v>67</v>
      </c>
      <c r="N550" s="4" t="b">
        <v>0</v>
      </c>
      <c r="O550" s="4" t="str">
        <f>VLOOKUP(A550,payment_ids!D:E,2,FALSE)</f>
        <v>wallet</v>
      </c>
      <c r="P550" s="4" t="s">
        <v>69</v>
      </c>
      <c r="Q550" s="11">
        <v>44444.10972222222</v>
      </c>
      <c r="R550" s="4"/>
      <c r="S550" s="12" t="s">
        <v>3298</v>
      </c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5"/>
      <c r="AI550" s="5"/>
      <c r="AJ550" s="5"/>
      <c r="AK550" s="5"/>
      <c r="AL550" s="5"/>
    </row>
    <row r="551">
      <c r="A551" s="4" t="str">
        <f>VLOOKUP(L551,payment_ids!C:D,2,FALSE)</f>
        <v>pay_H8SwwatSMSUgq3</v>
      </c>
      <c r="B551" s="4"/>
      <c r="C551" s="4" t="s">
        <v>76</v>
      </c>
      <c r="D551" s="4">
        <v>49834.0</v>
      </c>
      <c r="E551" s="4"/>
      <c r="F551" s="4">
        <v>1.0</v>
      </c>
      <c r="G551" s="4">
        <v>99.0</v>
      </c>
      <c r="H551" s="4"/>
      <c r="I551" s="4">
        <v>99.0</v>
      </c>
      <c r="J551" s="4" t="s">
        <v>3309</v>
      </c>
      <c r="K551" s="6">
        <f>+919521426840</f>
        <v>919521426840</v>
      </c>
      <c r="L551" s="4" t="str">
        <f t="shared" si="1"/>
        <v>yash.vyas53@gmail.com919521426840</v>
      </c>
      <c r="M551" s="10" t="s">
        <v>67</v>
      </c>
      <c r="N551" s="4" t="b">
        <v>0</v>
      </c>
      <c r="O551" s="4" t="str">
        <f>VLOOKUP(A551,payment_ids!D:E,2,FALSE)</f>
        <v>upi</v>
      </c>
      <c r="P551" s="4" t="s">
        <v>69</v>
      </c>
      <c r="Q551" s="11">
        <v>44444.17291666667</v>
      </c>
      <c r="R551" s="4"/>
      <c r="S551" s="12" t="s">
        <v>3298</v>
      </c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5"/>
      <c r="AI551" s="5"/>
      <c r="AJ551" s="5"/>
      <c r="AK551" s="5"/>
      <c r="AL551" s="5"/>
    </row>
    <row r="552">
      <c r="A552" s="4" t="str">
        <f>VLOOKUP(L552,payment_ids!C:D,2,FALSE)</f>
        <v>pay_H8guijbp0YqFx1</v>
      </c>
      <c r="B552" s="4"/>
      <c r="C552" s="4" t="s">
        <v>76</v>
      </c>
      <c r="D552" s="4">
        <v>49834.0</v>
      </c>
      <c r="E552" s="4"/>
      <c r="F552" s="4">
        <v>3.0</v>
      </c>
      <c r="G552" s="4">
        <v>199.0</v>
      </c>
      <c r="H552" s="4"/>
      <c r="I552" s="4">
        <v>199.0</v>
      </c>
      <c r="J552" s="4" t="s">
        <v>3310</v>
      </c>
      <c r="K552" s="6">
        <f>+918105403746</f>
        <v>918105403746</v>
      </c>
      <c r="L552" s="4" t="str">
        <f t="shared" si="1"/>
        <v>veonaveo@gmail.com918105403746</v>
      </c>
      <c r="M552" s="10" t="s">
        <v>67</v>
      </c>
      <c r="N552" s="4" t="b">
        <v>0</v>
      </c>
      <c r="O552" s="4" t="str">
        <f>VLOOKUP(A552,payment_ids!D:E,2,FALSE)</f>
        <v>upi</v>
      </c>
      <c r="P552" s="4" t="s">
        <v>69</v>
      </c>
      <c r="Q552" s="11">
        <v>44444.74236111111</v>
      </c>
      <c r="R552" s="4"/>
      <c r="S552" s="12" t="s">
        <v>3298</v>
      </c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5"/>
      <c r="AI552" s="5"/>
      <c r="AJ552" s="5"/>
      <c r="AK552" s="5"/>
      <c r="AL552" s="5"/>
    </row>
    <row r="553">
      <c r="A553" s="4" t="str">
        <f>VLOOKUP(L553,payment_ids!C:D,2,FALSE)</f>
        <v>pay_H8mfx09uJqzwJq</v>
      </c>
      <c r="B553" s="4"/>
      <c r="C553" s="4" t="s">
        <v>76</v>
      </c>
      <c r="D553" s="4">
        <v>49834.0</v>
      </c>
      <c r="E553" s="4"/>
      <c r="F553" s="4">
        <v>1.0</v>
      </c>
      <c r="G553" s="4">
        <v>99.0</v>
      </c>
      <c r="H553" s="4"/>
      <c r="I553" s="4">
        <v>99.0</v>
      </c>
      <c r="J553" s="4" t="s">
        <v>3311</v>
      </c>
      <c r="K553" s="6">
        <f>+919560118830</f>
        <v>919560118830</v>
      </c>
      <c r="L553" s="4" t="str">
        <f t="shared" si="1"/>
        <v>martinjoseph26@gmail.com919560118830</v>
      </c>
      <c r="M553" s="10" t="s">
        <v>67</v>
      </c>
      <c r="N553" s="4" t="b">
        <v>0</v>
      </c>
      <c r="O553" s="4" t="str">
        <f>VLOOKUP(A553,payment_ids!D:E,2,FALSE)</f>
        <v>upi</v>
      </c>
      <c r="P553" s="4" t="s">
        <v>69</v>
      </c>
      <c r="Q553" s="11">
        <v>44444.97708333333</v>
      </c>
      <c r="R553" s="4"/>
      <c r="S553" s="12" t="s">
        <v>3298</v>
      </c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5"/>
      <c r="AI553" s="5"/>
      <c r="AJ553" s="5"/>
      <c r="AK553" s="5"/>
      <c r="AL553" s="5"/>
    </row>
    <row r="554">
      <c r="A554" s="4" t="str">
        <f>VLOOKUP(L554,payment_ids!C:D,2,FALSE)</f>
        <v>pay_H97j9AXCI0mA8l</v>
      </c>
      <c r="B554" s="4"/>
      <c r="C554" s="4" t="s">
        <v>76</v>
      </c>
      <c r="D554" s="4">
        <v>49834.0</v>
      </c>
      <c r="E554" s="4"/>
      <c r="F554" s="4">
        <v>3.0</v>
      </c>
      <c r="G554" s="4">
        <v>199.0</v>
      </c>
      <c r="H554" s="4"/>
      <c r="I554" s="4">
        <v>199.0</v>
      </c>
      <c r="J554" s="4" t="s">
        <v>3312</v>
      </c>
      <c r="K554" s="6">
        <f>+918888854828</f>
        <v>918888854828</v>
      </c>
      <c r="L554" s="4" t="str">
        <f t="shared" si="1"/>
        <v>ujagtap@gmail.com918888854828</v>
      </c>
      <c r="M554" s="10" t="s">
        <v>67</v>
      </c>
      <c r="N554" s="4" t="b">
        <v>0</v>
      </c>
      <c r="O554" s="4" t="str">
        <f>VLOOKUP(A554,payment_ids!D:E,2,FALSE)</f>
        <v>upi</v>
      </c>
      <c r="P554" s="4" t="s">
        <v>69</v>
      </c>
      <c r="Q554" s="11">
        <v>44474.83472222222</v>
      </c>
      <c r="R554" s="4"/>
      <c r="S554" s="12" t="s">
        <v>3298</v>
      </c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5"/>
      <c r="AI554" s="5"/>
      <c r="AJ554" s="5"/>
      <c r="AK554" s="5"/>
      <c r="AL554" s="5"/>
    </row>
    <row r="555">
      <c r="A555" s="4" t="str">
        <f>VLOOKUP(L555,payment_ids!C:D,2,FALSE)</f>
        <v>pay_H6M18PniZZxhuH</v>
      </c>
      <c r="B555" s="4"/>
      <c r="C555" s="4" t="s">
        <v>76</v>
      </c>
      <c r="D555" s="4">
        <v>49834.0</v>
      </c>
      <c r="E555" s="4"/>
      <c r="F555" s="4">
        <v>1.0</v>
      </c>
      <c r="G555" s="4">
        <v>99.0</v>
      </c>
      <c r="H555" s="4"/>
      <c r="I555" s="4">
        <v>99.0</v>
      </c>
      <c r="J555" s="4" t="s">
        <v>2458</v>
      </c>
      <c r="K555" s="6">
        <f>+919416173796</f>
        <v>919416173796</v>
      </c>
      <c r="L555" s="4" t="str">
        <f t="shared" si="1"/>
        <v>mahirgupta98@gmail.com919416173796</v>
      </c>
      <c r="M555" s="10" t="s">
        <v>67</v>
      </c>
      <c r="N555" s="4" t="b">
        <v>0</v>
      </c>
      <c r="O555" s="4" t="str">
        <f>VLOOKUP(A555,payment_ids!D:E,2,FALSE)</f>
        <v>upi</v>
      </c>
      <c r="P555" s="4" t="s">
        <v>69</v>
      </c>
      <c r="Q555" s="11">
        <v>44474.85763888889</v>
      </c>
      <c r="R555" s="4"/>
      <c r="S555" s="12" t="s">
        <v>3298</v>
      </c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5"/>
      <c r="AI555" s="5"/>
      <c r="AJ555" s="5"/>
      <c r="AK555" s="5"/>
      <c r="AL555" s="5"/>
    </row>
    <row r="556">
      <c r="A556" s="4" t="str">
        <f>VLOOKUP(L556,payment_ids!C:D,2,FALSE)</f>
        <v>pay_H5seU4HAc7T7Uo</v>
      </c>
      <c r="B556" s="4"/>
      <c r="C556" s="4" t="s">
        <v>76</v>
      </c>
      <c r="D556" s="4">
        <v>49834.0</v>
      </c>
      <c r="E556" s="4"/>
      <c r="F556" s="4">
        <v>1.0</v>
      </c>
      <c r="G556" s="4">
        <v>99.0</v>
      </c>
      <c r="H556" s="4"/>
      <c r="I556" s="4">
        <v>99.0</v>
      </c>
      <c r="J556" s="4" t="s">
        <v>3313</v>
      </c>
      <c r="K556" s="6">
        <f>+919888470272</f>
        <v>919888470272</v>
      </c>
      <c r="L556" s="4" t="str">
        <f t="shared" si="1"/>
        <v>himanshusaleria@gmail.com919888470272</v>
      </c>
      <c r="M556" s="10" t="s">
        <v>67</v>
      </c>
      <c r="N556" s="4" t="b">
        <v>0</v>
      </c>
      <c r="O556" s="4" t="str">
        <f>VLOOKUP(A556,payment_ids!D:E,2,FALSE)</f>
        <v>upi</v>
      </c>
      <c r="P556" s="4" t="s">
        <v>69</v>
      </c>
      <c r="Q556" s="11">
        <v>44505.56597222222</v>
      </c>
      <c r="R556" s="4"/>
      <c r="S556" s="12" t="s">
        <v>3298</v>
      </c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5"/>
      <c r="AI556" s="5"/>
      <c r="AJ556" s="5"/>
      <c r="AK556" s="5"/>
      <c r="AL556" s="5"/>
    </row>
    <row r="557">
      <c r="A557" s="4" t="str">
        <f>VLOOKUP(L557,payment_ids!C:D,2,FALSE)</f>
        <v>pay_H9M5oJD8als9Bk</v>
      </c>
      <c r="B557" s="4"/>
      <c r="C557" s="4" t="s">
        <v>76</v>
      </c>
      <c r="D557" s="4">
        <v>49834.0</v>
      </c>
      <c r="E557" s="4"/>
      <c r="F557" s="4">
        <v>6.0</v>
      </c>
      <c r="G557" s="4">
        <v>349.0</v>
      </c>
      <c r="H557" s="4"/>
      <c r="I557" s="4">
        <v>349.0</v>
      </c>
      <c r="J557" s="4" t="s">
        <v>3314</v>
      </c>
      <c r="K557" s="6">
        <f>+919886346066</f>
        <v>919886346066</v>
      </c>
      <c r="L557" s="4" t="str">
        <f t="shared" si="1"/>
        <v>vinay.vinay.v@gmail.com919886346066</v>
      </c>
      <c r="M557" s="10" t="s">
        <v>67</v>
      </c>
      <c r="N557" s="4" t="b">
        <v>0</v>
      </c>
      <c r="O557" s="4" t="str">
        <f>VLOOKUP(A557,payment_ids!D:E,2,FALSE)</f>
        <v>card</v>
      </c>
      <c r="P557" s="4" t="s">
        <v>69</v>
      </c>
      <c r="Q557" s="11">
        <v>44505.42083333333</v>
      </c>
      <c r="R557" s="4"/>
      <c r="S557" s="12" t="s">
        <v>3298</v>
      </c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5"/>
      <c r="AI557" s="5"/>
      <c r="AJ557" s="5"/>
      <c r="AK557" s="5"/>
      <c r="AL557" s="5"/>
    </row>
    <row r="558">
      <c r="A558" s="4" t="str">
        <f>VLOOKUP(L558,payment_ids!C:D,2,FALSE)</f>
        <v>pay_H9O2dvMT4E86QX</v>
      </c>
      <c r="B558" s="4"/>
      <c r="C558" s="4" t="s">
        <v>76</v>
      </c>
      <c r="D558" s="4">
        <v>49834.0</v>
      </c>
      <c r="E558" s="4"/>
      <c r="F558" s="4">
        <v>6.0</v>
      </c>
      <c r="G558" s="4">
        <v>349.0</v>
      </c>
      <c r="H558" s="4"/>
      <c r="I558" s="4">
        <v>349.0</v>
      </c>
      <c r="J558" s="4" t="s">
        <v>3315</v>
      </c>
      <c r="K558" s="6">
        <f>+919985198322</f>
        <v>919985198322</v>
      </c>
      <c r="L558" s="4" t="str">
        <f t="shared" si="1"/>
        <v>subhakalak@gmail.com919985198322</v>
      </c>
      <c r="M558" s="10" t="s">
        <v>67</v>
      </c>
      <c r="N558" s="4" t="b">
        <v>0</v>
      </c>
      <c r="O558" s="4" t="str">
        <f>VLOOKUP(A558,payment_ids!D:E,2,FALSE)</f>
        <v>upi</v>
      </c>
      <c r="P558" s="4" t="s">
        <v>69</v>
      </c>
      <c r="Q558" s="11">
        <v>44505.5</v>
      </c>
      <c r="R558" s="4"/>
      <c r="S558" s="12" t="s">
        <v>3298</v>
      </c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5"/>
      <c r="AI558" s="5"/>
      <c r="AJ558" s="5"/>
      <c r="AK558" s="5"/>
      <c r="AL558" s="5"/>
    </row>
    <row r="559">
      <c r="A559" s="4" t="str">
        <f>VLOOKUP(L559,payment_ids!C:D,2,FALSE)</f>
        <v>pay_H9C1SDRAVoQFXG</v>
      </c>
      <c r="B559" s="4"/>
      <c r="C559" s="4" t="s">
        <v>76</v>
      </c>
      <c r="D559" s="4">
        <v>49834.0</v>
      </c>
      <c r="E559" s="4"/>
      <c r="F559" s="4">
        <v>6.0</v>
      </c>
      <c r="G559" s="4">
        <v>349.0</v>
      </c>
      <c r="H559" s="4"/>
      <c r="I559" s="4">
        <v>349.0</v>
      </c>
      <c r="J559" s="4" t="s">
        <v>3316</v>
      </c>
      <c r="K559" s="6">
        <f>+919163066773</f>
        <v>919163066773</v>
      </c>
      <c r="L559" s="4" t="str">
        <f t="shared" si="1"/>
        <v>sendsayan1@gmail.com919163066773</v>
      </c>
      <c r="M559" s="10" t="s">
        <v>67</v>
      </c>
      <c r="N559" s="4" t="b">
        <v>0</v>
      </c>
      <c r="O559" s="4" t="str">
        <f>VLOOKUP(A559,payment_ids!D:E,2,FALSE)</f>
        <v>upi</v>
      </c>
      <c r="P559" s="4" t="s">
        <v>69</v>
      </c>
      <c r="Q559" s="11">
        <v>44505.01111111111</v>
      </c>
      <c r="R559" s="4"/>
      <c r="S559" s="12" t="s">
        <v>3298</v>
      </c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5"/>
      <c r="AI559" s="5"/>
      <c r="AJ559" s="5"/>
      <c r="AK559" s="5"/>
      <c r="AL559" s="5"/>
    </row>
    <row r="560">
      <c r="A560" s="4" t="str">
        <f>VLOOKUP(L560,payment_ids!C:D,2,FALSE)</f>
        <v>pay_H9z3HaaJfJCUEC</v>
      </c>
      <c r="B560" s="4"/>
      <c r="C560" s="4" t="s">
        <v>960</v>
      </c>
      <c r="D560" s="4">
        <v>49834.0</v>
      </c>
      <c r="E560" s="4"/>
      <c r="F560" s="4">
        <v>3.0</v>
      </c>
      <c r="G560" s="4">
        <v>199.0</v>
      </c>
      <c r="H560" s="4"/>
      <c r="I560" s="4">
        <v>199.0</v>
      </c>
      <c r="J560" s="4" t="s">
        <v>3317</v>
      </c>
      <c r="K560" s="6">
        <f>+919082137034</f>
        <v>919082137034</v>
      </c>
      <c r="L560" s="4" t="str">
        <f t="shared" si="1"/>
        <v>gangurde.sumit34@gmail.com919082137034</v>
      </c>
      <c r="M560" s="10" t="s">
        <v>67</v>
      </c>
      <c r="N560" s="4" t="b">
        <v>0</v>
      </c>
      <c r="O560" s="4" t="str">
        <f>VLOOKUP(A560,payment_ids!D:E,2,FALSE)</f>
        <v>upi</v>
      </c>
      <c r="P560" s="4" t="s">
        <v>69</v>
      </c>
      <c r="Q560" s="4" t="s">
        <v>3318</v>
      </c>
      <c r="R560" s="4"/>
      <c r="S560" s="12" t="s">
        <v>3298</v>
      </c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5"/>
      <c r="AI560" s="5"/>
      <c r="AJ560" s="5"/>
      <c r="AK560" s="5"/>
      <c r="AL560" s="5"/>
    </row>
    <row r="561">
      <c r="A561" s="4" t="str">
        <f>VLOOKUP(L561,payment_ids!C:D,2,FALSE)</f>
        <v>pay_H5seU4HAc7T7Uo</v>
      </c>
      <c r="B561" s="4"/>
      <c r="C561" s="4" t="s">
        <v>960</v>
      </c>
      <c r="D561" s="4">
        <v>49834.0</v>
      </c>
      <c r="E561" s="4"/>
      <c r="F561" s="4">
        <v>3.0</v>
      </c>
      <c r="G561" s="4">
        <v>199.0</v>
      </c>
      <c r="H561" s="4"/>
      <c r="I561" s="4">
        <v>199.0</v>
      </c>
      <c r="J561" s="4" t="s">
        <v>3313</v>
      </c>
      <c r="K561" s="6">
        <f t="shared" ref="K561:K562" si="5">+919888470272</f>
        <v>919888470272</v>
      </c>
      <c r="L561" s="4" t="str">
        <f t="shared" si="1"/>
        <v>himanshusaleria@gmail.com919888470272</v>
      </c>
      <c r="M561" s="10" t="s">
        <v>67</v>
      </c>
      <c r="N561" s="4" t="b">
        <v>0</v>
      </c>
      <c r="O561" s="4" t="str">
        <f>VLOOKUP(A561,payment_ids!D:E,2,FALSE)</f>
        <v>upi</v>
      </c>
      <c r="P561" s="4" t="s">
        <v>69</v>
      </c>
      <c r="Q561" s="4" t="s">
        <v>3319</v>
      </c>
      <c r="R561" s="4"/>
      <c r="S561" s="12" t="s">
        <v>3298</v>
      </c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5"/>
      <c r="AI561" s="5"/>
      <c r="AJ561" s="5"/>
      <c r="AK561" s="5"/>
      <c r="AL561" s="5"/>
    </row>
    <row r="562">
      <c r="A562" s="4" t="str">
        <f>VLOOKUP(L562,payment_ids!C:D,2,FALSE)</f>
        <v>pay_H5seU4HAc7T7Uo</v>
      </c>
      <c r="B562" s="4"/>
      <c r="C562" s="4" t="s">
        <v>960</v>
      </c>
      <c r="D562" s="4">
        <v>49834.0</v>
      </c>
      <c r="E562" s="4"/>
      <c r="F562" s="4">
        <v>6.0</v>
      </c>
      <c r="G562" s="4">
        <v>349.0</v>
      </c>
      <c r="H562" s="4"/>
      <c r="I562" s="4">
        <v>349.0</v>
      </c>
      <c r="J562" s="4" t="s">
        <v>3313</v>
      </c>
      <c r="K562" s="6">
        <f t="shared" si="5"/>
        <v>919888470272</v>
      </c>
      <c r="L562" s="4" t="str">
        <f t="shared" si="1"/>
        <v>himanshusaleria@gmail.com919888470272</v>
      </c>
      <c r="M562" s="10" t="s">
        <v>67</v>
      </c>
      <c r="N562" s="4" t="b">
        <v>0</v>
      </c>
      <c r="O562" s="4" t="str">
        <f>VLOOKUP(A562,payment_ids!D:E,2,FALSE)</f>
        <v>upi</v>
      </c>
      <c r="P562" s="4" t="s">
        <v>69</v>
      </c>
      <c r="Q562" s="4" t="s">
        <v>3320</v>
      </c>
      <c r="R562" s="4"/>
      <c r="S562" s="12" t="s">
        <v>3298</v>
      </c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5"/>
      <c r="AI562" s="5"/>
      <c r="AJ562" s="5"/>
      <c r="AK562" s="5"/>
      <c r="AL562" s="5"/>
    </row>
    <row r="563">
      <c r="A563" s="4" t="str">
        <f>VLOOKUP(L563,payment_ids!C:D,2,FALSE)</f>
        <v>pay_H6IQ6rjURebAEN</v>
      </c>
      <c r="B563" s="4"/>
      <c r="C563" s="4" t="s">
        <v>960</v>
      </c>
      <c r="D563" s="4">
        <v>49834.0</v>
      </c>
      <c r="E563" s="4"/>
      <c r="F563" s="4">
        <v>3.0</v>
      </c>
      <c r="G563" s="4">
        <v>199.0</v>
      </c>
      <c r="H563" s="4"/>
      <c r="I563" s="4">
        <v>199.0</v>
      </c>
      <c r="J563" s="4" t="s">
        <v>2703</v>
      </c>
      <c r="K563" s="6">
        <f>+917838168936</f>
        <v>917838168936</v>
      </c>
      <c r="L563" s="4" t="str">
        <f t="shared" si="1"/>
        <v>akshita.bpsmv@gmail.com917838168936</v>
      </c>
      <c r="M563" s="10" t="s">
        <v>67</v>
      </c>
      <c r="N563" s="4" t="b">
        <v>0</v>
      </c>
      <c r="O563" s="4" t="str">
        <f>VLOOKUP(A563,payment_ids!D:E,2,FALSE)</f>
        <v>upi</v>
      </c>
      <c r="P563" s="4" t="s">
        <v>69</v>
      </c>
      <c r="Q563" s="4" t="s">
        <v>3321</v>
      </c>
      <c r="R563" s="4"/>
      <c r="S563" s="12" t="s">
        <v>3298</v>
      </c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5"/>
      <c r="AI563" s="5"/>
      <c r="AJ563" s="5"/>
      <c r="AK563" s="5"/>
      <c r="AL563" s="5"/>
    </row>
    <row r="564">
      <c r="A564" s="4" t="str">
        <f>VLOOKUP(L564,payment_ids!C:D,2,FALSE)</f>
        <v>pay_HDYSl8uNHxfubm</v>
      </c>
      <c r="B564" s="4"/>
      <c r="C564" s="4" t="s">
        <v>960</v>
      </c>
      <c r="D564" s="4">
        <v>49834.0</v>
      </c>
      <c r="E564" s="4"/>
      <c r="F564" s="4">
        <v>3.0</v>
      </c>
      <c r="G564" s="4">
        <v>199.0</v>
      </c>
      <c r="H564" s="4"/>
      <c r="I564" s="4">
        <v>199.0</v>
      </c>
      <c r="J564" s="4" t="s">
        <v>3322</v>
      </c>
      <c r="K564" s="6">
        <f t="shared" ref="K564:K565" si="6">+919718265488</f>
        <v>919718265488</v>
      </c>
      <c r="L564" s="4" t="str">
        <f t="shared" si="1"/>
        <v>nipungoyal.iitd@gmail.com919718265488</v>
      </c>
      <c r="M564" s="10" t="s">
        <v>67</v>
      </c>
      <c r="N564" s="4" t="b">
        <v>0</v>
      </c>
      <c r="O564" s="4" t="str">
        <f>VLOOKUP(A564,payment_ids!D:E,2,FALSE)</f>
        <v>upi</v>
      </c>
      <c r="P564" s="4" t="s">
        <v>69</v>
      </c>
      <c r="Q564" s="4" t="s">
        <v>3323</v>
      </c>
      <c r="R564" s="4"/>
      <c r="S564" s="12" t="s">
        <v>3298</v>
      </c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5"/>
      <c r="AI564" s="5"/>
      <c r="AJ564" s="5"/>
      <c r="AK564" s="5"/>
      <c r="AL564" s="5"/>
    </row>
    <row r="565">
      <c r="A565" s="4" t="str">
        <f>VLOOKUP(L565,payment_ids!C:D,2,FALSE)</f>
        <v>pay_HDYSl8uNHxfubm</v>
      </c>
      <c r="B565" s="4"/>
      <c r="C565" s="4" t="s">
        <v>960</v>
      </c>
      <c r="D565" s="4">
        <v>49834.0</v>
      </c>
      <c r="E565" s="4"/>
      <c r="F565" s="4">
        <v>3.0</v>
      </c>
      <c r="G565" s="4">
        <v>199.0</v>
      </c>
      <c r="H565" s="4"/>
      <c r="I565" s="4">
        <v>199.0</v>
      </c>
      <c r="J565" s="4" t="s">
        <v>3322</v>
      </c>
      <c r="K565" s="6">
        <f t="shared" si="6"/>
        <v>919718265488</v>
      </c>
      <c r="L565" s="4" t="str">
        <f t="shared" si="1"/>
        <v>nipungoyal.iitd@gmail.com919718265488</v>
      </c>
      <c r="M565" s="10" t="s">
        <v>67</v>
      </c>
      <c r="N565" s="4" t="b">
        <v>0</v>
      </c>
      <c r="O565" s="4" t="str">
        <f>VLOOKUP(A565,payment_ids!D:E,2,FALSE)</f>
        <v>upi</v>
      </c>
      <c r="P565" s="4" t="s">
        <v>69</v>
      </c>
      <c r="Q565" s="4" t="s">
        <v>3324</v>
      </c>
      <c r="R565" s="4"/>
      <c r="S565" s="12" t="s">
        <v>3298</v>
      </c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5"/>
      <c r="AI565" s="5"/>
      <c r="AJ565" s="5"/>
      <c r="AK565" s="5"/>
      <c r="AL565" s="5"/>
    </row>
    <row r="566">
      <c r="A566" s="4" t="str">
        <f>VLOOKUP(L566,payment_ids!C:D,2,FALSE)</f>
        <v>pay_HHnw9eL16Nmx7G</v>
      </c>
      <c r="B566" s="4"/>
      <c r="C566" s="4" t="s">
        <v>960</v>
      </c>
      <c r="D566" s="4">
        <v>49834.0</v>
      </c>
      <c r="E566" s="5"/>
      <c r="F566" s="4">
        <v>6.0</v>
      </c>
      <c r="G566" s="4">
        <v>349.0</v>
      </c>
      <c r="H566" s="4"/>
      <c r="I566" s="4">
        <v>349.0</v>
      </c>
      <c r="J566" s="4" t="s">
        <v>3325</v>
      </c>
      <c r="K566" s="5">
        <f>+919827215662</f>
        <v>919827215662</v>
      </c>
      <c r="L566" s="4" t="str">
        <f t="shared" si="1"/>
        <v>hpravesh@rediffmail.com919827215662</v>
      </c>
      <c r="M566" s="10" t="s">
        <v>67</v>
      </c>
      <c r="N566" s="4" t="b">
        <v>0</v>
      </c>
      <c r="O566" s="4" t="str">
        <f>VLOOKUP(A566,payment_ids!D:E,2,FALSE)</f>
        <v>wallet</v>
      </c>
      <c r="P566" s="4" t="s">
        <v>69</v>
      </c>
      <c r="Q566" s="11">
        <v>44202.77361111111</v>
      </c>
      <c r="R566" s="4"/>
      <c r="S566" s="12" t="s">
        <v>3298</v>
      </c>
      <c r="T566" s="5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5"/>
      <c r="AI566" s="5"/>
      <c r="AJ566" s="5"/>
      <c r="AK566" s="5"/>
      <c r="AL566" s="5"/>
    </row>
    <row r="567">
      <c r="A567" s="4" t="str">
        <f>VLOOKUP(L567,payment_ids!C:D,2,FALSE)</f>
        <v>pay_H5seU4HAc7T7Uo</v>
      </c>
      <c r="B567" s="4"/>
      <c r="C567" s="4" t="s">
        <v>960</v>
      </c>
      <c r="D567" s="4">
        <v>49834.0</v>
      </c>
      <c r="E567" s="5"/>
      <c r="F567" s="4">
        <v>6.0</v>
      </c>
      <c r="G567" s="4">
        <v>349.0</v>
      </c>
      <c r="H567" s="4"/>
      <c r="I567" s="4">
        <v>349.0</v>
      </c>
      <c r="J567" s="4" t="s">
        <v>3313</v>
      </c>
      <c r="K567" s="5">
        <f>+919888470272</f>
        <v>919888470272</v>
      </c>
      <c r="L567" s="4" t="str">
        <f t="shared" si="1"/>
        <v>himanshusaleria@gmail.com919888470272</v>
      </c>
      <c r="M567" s="10" t="s">
        <v>67</v>
      </c>
      <c r="N567" s="4" t="b">
        <v>0</v>
      </c>
      <c r="O567" s="4" t="str">
        <f>VLOOKUP(A567,payment_ids!D:E,2,FALSE)</f>
        <v>upi</v>
      </c>
      <c r="P567" s="4" t="s">
        <v>69</v>
      </c>
      <c r="Q567" s="11">
        <v>44233.46527777778</v>
      </c>
      <c r="R567" s="4"/>
      <c r="S567" s="12" t="s">
        <v>3298</v>
      </c>
      <c r="T567" s="5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5"/>
      <c r="AI567" s="5"/>
      <c r="AJ567" s="5"/>
      <c r="AK567" s="5"/>
      <c r="AL567" s="5"/>
    </row>
    <row r="568">
      <c r="A568" s="4" t="str">
        <f>VLOOKUP(L568,payment_ids!C:D,2,FALSE)</f>
        <v>pay_H6hG9WBnSD7eC3</v>
      </c>
      <c r="B568" s="4"/>
      <c r="C568" s="4" t="s">
        <v>3326</v>
      </c>
      <c r="D568" s="4">
        <v>50030.0</v>
      </c>
      <c r="E568" s="4"/>
      <c r="F568" s="4">
        <v>1.0</v>
      </c>
      <c r="G568" s="4">
        <v>99.0</v>
      </c>
      <c r="H568" s="4"/>
      <c r="I568" s="4">
        <v>99.0</v>
      </c>
      <c r="J568" s="4" t="s">
        <v>3327</v>
      </c>
      <c r="K568" s="6">
        <f>+919380605339</f>
        <v>919380605339</v>
      </c>
      <c r="L568" s="4" t="str">
        <f t="shared" si="1"/>
        <v>kalyanee.bhake@gmail.com919380605339</v>
      </c>
      <c r="M568" s="10" t="s">
        <v>67</v>
      </c>
      <c r="N568" s="4" t="b">
        <v>0</v>
      </c>
      <c r="O568" s="4" t="str">
        <f>VLOOKUP(A568,payment_ids!D:E,2,FALSE)</f>
        <v>upi</v>
      </c>
      <c r="P568" s="4" t="s">
        <v>69</v>
      </c>
      <c r="Q568" s="11">
        <v>44291.70208333333</v>
      </c>
      <c r="R568" s="4"/>
      <c r="S568" s="12" t="s">
        <v>3328</v>
      </c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5"/>
      <c r="AI568" s="5"/>
      <c r="AJ568" s="5"/>
      <c r="AK568" s="5"/>
      <c r="AL568" s="5"/>
    </row>
    <row r="569">
      <c r="A569" s="4" t="str">
        <f>VLOOKUP(L569,payment_ids!C:D,2,FALSE)</f>
        <v>pay_H74pj2MBvBCp7o</v>
      </c>
      <c r="B569" s="4"/>
      <c r="C569" s="4" t="s">
        <v>3326</v>
      </c>
      <c r="D569" s="4">
        <v>50030.0</v>
      </c>
      <c r="E569" s="4"/>
      <c r="F569" s="4">
        <v>1.0</v>
      </c>
      <c r="G569" s="4">
        <v>99.0</v>
      </c>
      <c r="H569" s="4"/>
      <c r="I569" s="4">
        <v>99.0</v>
      </c>
      <c r="J569" s="4" t="s">
        <v>3329</v>
      </c>
      <c r="K569" s="6">
        <f>+919619773565</f>
        <v>919619773565</v>
      </c>
      <c r="L569" s="4" t="str">
        <f t="shared" si="1"/>
        <v>shwetakarkera.sk@gmail.com919619773565</v>
      </c>
      <c r="M569" s="10" t="s">
        <v>67</v>
      </c>
      <c r="N569" s="4" t="b">
        <v>0</v>
      </c>
      <c r="O569" s="4" t="str">
        <f>VLOOKUP(A569,payment_ids!D:E,2,FALSE)</f>
        <v>upi</v>
      </c>
      <c r="P569" s="4" t="s">
        <v>69</v>
      </c>
      <c r="Q569" s="11">
        <v>44321.663194444445</v>
      </c>
      <c r="R569" s="4"/>
      <c r="S569" s="12" t="s">
        <v>3328</v>
      </c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5"/>
      <c r="AI569" s="5"/>
      <c r="AJ569" s="5"/>
      <c r="AK569" s="5"/>
      <c r="AL569" s="5"/>
    </row>
    <row r="570">
      <c r="A570" s="4" t="str">
        <f>VLOOKUP(L570,payment_ids!C:D,2,FALSE)</f>
        <v>pay_H7Rvw4rPGbqMCa</v>
      </c>
      <c r="B570" s="4"/>
      <c r="C570" s="4" t="s">
        <v>3326</v>
      </c>
      <c r="D570" s="4">
        <v>50030.0</v>
      </c>
      <c r="E570" s="4"/>
      <c r="F570" s="4">
        <v>1.0</v>
      </c>
      <c r="G570" s="4">
        <v>99.0</v>
      </c>
      <c r="H570" s="4"/>
      <c r="I570" s="4">
        <v>99.0</v>
      </c>
      <c r="J570" s="4" t="s">
        <v>3330</v>
      </c>
      <c r="K570" s="6">
        <f>+918221068717</f>
        <v>918221068717</v>
      </c>
      <c r="L570" s="4" t="str">
        <f t="shared" si="1"/>
        <v>bhavikadenod28@gmail.com918221068717</v>
      </c>
      <c r="M570" s="10" t="s">
        <v>67</v>
      </c>
      <c r="N570" s="4" t="b">
        <v>0</v>
      </c>
      <c r="O570" s="4" t="str">
        <f>VLOOKUP(A570,payment_ids!D:E,2,FALSE)</f>
        <v>upi</v>
      </c>
      <c r="P570" s="4" t="s">
        <v>69</v>
      </c>
      <c r="Q570" s="11">
        <v>44352.60486111111</v>
      </c>
      <c r="R570" s="4"/>
      <c r="S570" s="12" t="s">
        <v>3328</v>
      </c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5"/>
      <c r="AI570" s="5"/>
      <c r="AJ570" s="5"/>
      <c r="AK570" s="5"/>
      <c r="AL570" s="5"/>
    </row>
    <row r="571">
      <c r="A571" s="4" t="str">
        <f>VLOOKUP(L571,payment_ids!C:D,2,FALSE)</f>
        <v>pay_H7MEW93wry0nkQ</v>
      </c>
      <c r="B571" s="4"/>
      <c r="C571" s="4" t="s">
        <v>3326</v>
      </c>
      <c r="D571" s="4">
        <v>50030.0</v>
      </c>
      <c r="E571" s="4"/>
      <c r="F571" s="4">
        <v>3.0</v>
      </c>
      <c r="G571" s="4">
        <v>199.0</v>
      </c>
      <c r="H571" s="4"/>
      <c r="I571" s="4">
        <v>199.0</v>
      </c>
      <c r="J571" s="4" t="s">
        <v>3331</v>
      </c>
      <c r="K571" s="6">
        <f>+918087614327</f>
        <v>918087614327</v>
      </c>
      <c r="L571" s="4" t="str">
        <f t="shared" si="1"/>
        <v>123tanveen@gmail.com918087614327</v>
      </c>
      <c r="M571" s="10" t="s">
        <v>67</v>
      </c>
      <c r="N571" s="4" t="b">
        <v>0</v>
      </c>
      <c r="O571" s="4" t="str">
        <f>VLOOKUP(A571,payment_ids!D:E,2,FALSE)</f>
        <v>upi</v>
      </c>
      <c r="P571" s="4" t="s">
        <v>69</v>
      </c>
      <c r="Q571" s="11">
        <v>44352.37222222222</v>
      </c>
      <c r="R571" s="4"/>
      <c r="S571" s="12" t="s">
        <v>3328</v>
      </c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5"/>
      <c r="AI571" s="5"/>
      <c r="AJ571" s="5"/>
      <c r="AK571" s="5"/>
      <c r="AL571" s="5"/>
    </row>
    <row r="572">
      <c r="A572" s="4" t="str">
        <f>VLOOKUP(L572,payment_ids!C:D,2,FALSE)</f>
        <v>pay_H7bF61rvaGeJ8y</v>
      </c>
      <c r="B572" s="4"/>
      <c r="C572" s="4" t="s">
        <v>3326</v>
      </c>
      <c r="D572" s="4">
        <v>50030.0</v>
      </c>
      <c r="E572" s="4"/>
      <c r="F572" s="4">
        <v>3.0</v>
      </c>
      <c r="G572" s="4">
        <v>199.0</v>
      </c>
      <c r="H572" s="4"/>
      <c r="I572" s="4">
        <v>199.0</v>
      </c>
      <c r="J572" s="4" t="s">
        <v>3332</v>
      </c>
      <c r="K572" s="6">
        <f>+917829398430</f>
        <v>917829398430</v>
      </c>
      <c r="L572" s="4" t="str">
        <f t="shared" si="1"/>
        <v>maglinarun04@gmail.com917829398430</v>
      </c>
      <c r="M572" s="10" t="s">
        <v>67</v>
      </c>
      <c r="N572" s="4" t="b">
        <v>0</v>
      </c>
      <c r="O572" s="4" t="str">
        <f>VLOOKUP(A572,payment_ids!D:E,2,FALSE)</f>
        <v>upi</v>
      </c>
      <c r="P572" s="4" t="s">
        <v>69</v>
      </c>
      <c r="Q572" s="11">
        <v>44352.98402777778</v>
      </c>
      <c r="R572" s="4"/>
      <c r="S572" s="12" t="s">
        <v>3328</v>
      </c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5"/>
      <c r="AI572" s="5"/>
      <c r="AJ572" s="5"/>
      <c r="AK572" s="5"/>
      <c r="AL572" s="5"/>
    </row>
    <row r="573">
      <c r="A573" s="4" t="str">
        <f>VLOOKUP(L573,payment_ids!C:D,2,FALSE)</f>
        <v>pay_H7u3JcOH4IOVVG</v>
      </c>
      <c r="B573" s="4"/>
      <c r="C573" s="4" t="s">
        <v>3326</v>
      </c>
      <c r="D573" s="4">
        <v>50030.0</v>
      </c>
      <c r="E573" s="4"/>
      <c r="F573" s="4">
        <v>6.0</v>
      </c>
      <c r="G573" s="4">
        <v>349.0</v>
      </c>
      <c r="H573" s="4"/>
      <c r="I573" s="4">
        <v>349.0</v>
      </c>
      <c r="J573" s="4" t="s">
        <v>3333</v>
      </c>
      <c r="K573" s="6">
        <f>+918318936170</f>
        <v>918318936170</v>
      </c>
      <c r="L573" s="4" t="str">
        <f t="shared" si="1"/>
        <v>omi.sini.7492@gmail.com918318936170</v>
      </c>
      <c r="M573" s="10" t="s">
        <v>67</v>
      </c>
      <c r="N573" s="4" t="b">
        <v>0</v>
      </c>
      <c r="O573" s="4" t="str">
        <f>VLOOKUP(A573,payment_ids!D:E,2,FALSE)</f>
        <v>upi</v>
      </c>
      <c r="P573" s="4" t="s">
        <v>69</v>
      </c>
      <c r="Q573" s="11">
        <v>44382.75069444445</v>
      </c>
      <c r="R573" s="4"/>
      <c r="S573" s="12" t="s">
        <v>3328</v>
      </c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5"/>
      <c r="AI573" s="5"/>
      <c r="AJ573" s="5"/>
      <c r="AK573" s="5"/>
      <c r="AL573" s="5"/>
    </row>
    <row r="574">
      <c r="A574" s="4" t="str">
        <f>VLOOKUP(L574,payment_ids!C:D,2,FALSE)</f>
        <v>pay_H7xVspsPam8GHP</v>
      </c>
      <c r="B574" s="4"/>
      <c r="C574" s="4" t="s">
        <v>3326</v>
      </c>
      <c r="D574" s="4">
        <v>50030.0</v>
      </c>
      <c r="E574" s="4"/>
      <c r="F574" s="4">
        <v>1.0</v>
      </c>
      <c r="G574" s="4">
        <v>99.0</v>
      </c>
      <c r="H574" s="4"/>
      <c r="I574" s="4">
        <v>99.0</v>
      </c>
      <c r="J574" s="4" t="s">
        <v>3334</v>
      </c>
      <c r="K574" s="6">
        <f>+919815342594</f>
        <v>919815342594</v>
      </c>
      <c r="L574" s="4" t="str">
        <f t="shared" si="1"/>
        <v>sonalghai24@gmail.com919815342594</v>
      </c>
      <c r="M574" s="10" t="s">
        <v>67</v>
      </c>
      <c r="N574" s="4" t="b">
        <v>0</v>
      </c>
      <c r="O574" s="4" t="str">
        <f>VLOOKUP(A574,payment_ids!D:E,2,FALSE)</f>
        <v>card</v>
      </c>
      <c r="P574" s="4" t="s">
        <v>69</v>
      </c>
      <c r="Q574" s="11">
        <v>44382.89166666667</v>
      </c>
      <c r="R574" s="4"/>
      <c r="S574" s="12" t="s">
        <v>3328</v>
      </c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5"/>
      <c r="AI574" s="5"/>
      <c r="AJ574" s="5"/>
      <c r="AK574" s="5"/>
      <c r="AL574" s="5"/>
    </row>
    <row r="575">
      <c r="A575" s="4" t="str">
        <f>VLOOKUP(L575,payment_ids!C:D,2,FALSE)</f>
        <v>pay_H7oR2S2EA9S4Ll</v>
      </c>
      <c r="B575" s="4"/>
      <c r="C575" s="4" t="s">
        <v>3326</v>
      </c>
      <c r="D575" s="4">
        <v>50030.0</v>
      </c>
      <c r="E575" s="4"/>
      <c r="F575" s="4">
        <v>1.0</v>
      </c>
      <c r="G575" s="4">
        <v>99.0</v>
      </c>
      <c r="H575" s="4"/>
      <c r="I575" s="4">
        <v>99.0</v>
      </c>
      <c r="J575" s="4" t="s">
        <v>3335</v>
      </c>
      <c r="K575" s="6">
        <f>+918208545560</f>
        <v>918208545560</v>
      </c>
      <c r="L575" s="4" t="str">
        <f t="shared" si="1"/>
        <v>ankithnair05@gmail.com918208545560</v>
      </c>
      <c r="M575" s="10" t="s">
        <v>67</v>
      </c>
      <c r="N575" s="4" t="b">
        <v>0</v>
      </c>
      <c r="O575" s="4" t="str">
        <f>VLOOKUP(A575,payment_ids!D:E,2,FALSE)</f>
        <v>upi</v>
      </c>
      <c r="P575" s="4" t="s">
        <v>69</v>
      </c>
      <c r="Q575" s="11">
        <v>44382.521527777775</v>
      </c>
      <c r="R575" s="4"/>
      <c r="S575" s="12" t="s">
        <v>3328</v>
      </c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5"/>
      <c r="AI575" s="5"/>
      <c r="AJ575" s="5"/>
      <c r="AK575" s="5"/>
      <c r="AL575" s="5"/>
    </row>
    <row r="576">
      <c r="A576" s="4" t="str">
        <f>VLOOKUP(L576,payment_ids!C:D,2,FALSE)</f>
        <v>pay_H89hpsvOwD4ou9</v>
      </c>
      <c r="B576" s="4"/>
      <c r="C576" s="4" t="s">
        <v>3326</v>
      </c>
      <c r="D576" s="4">
        <v>50030.0</v>
      </c>
      <c r="E576" s="4"/>
      <c r="F576" s="4">
        <v>3.0</v>
      </c>
      <c r="G576" s="4">
        <v>199.0</v>
      </c>
      <c r="H576" s="4"/>
      <c r="I576" s="4">
        <v>199.0</v>
      </c>
      <c r="J576" s="4" t="s">
        <v>3336</v>
      </c>
      <c r="K576" s="6">
        <f>+919567535747</f>
        <v>919567535747</v>
      </c>
      <c r="L576" s="4" t="str">
        <f t="shared" si="1"/>
        <v>shyamjithuralath2211@gmail.com919567535747</v>
      </c>
      <c r="M576" s="10" t="s">
        <v>67</v>
      </c>
      <c r="N576" s="4" t="b">
        <v>0</v>
      </c>
      <c r="O576" s="4" t="str">
        <f>VLOOKUP(A576,payment_ids!D:E,2,FALSE)</f>
        <v>upi</v>
      </c>
      <c r="P576" s="4" t="s">
        <v>69</v>
      </c>
      <c r="Q576" s="11">
        <v>44413.38888888889</v>
      </c>
      <c r="R576" s="4"/>
      <c r="S576" s="12" t="s">
        <v>3328</v>
      </c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5"/>
      <c r="AI576" s="5"/>
      <c r="AJ576" s="5"/>
      <c r="AK576" s="5"/>
      <c r="AL576" s="5"/>
    </row>
    <row r="577">
      <c r="A577" s="4" t="str">
        <f>VLOOKUP(L577,payment_ids!C:D,2,FALSE)</f>
        <v>pay_H8dFR9JHtt2Src</v>
      </c>
      <c r="B577" s="4"/>
      <c r="C577" s="4" t="s">
        <v>3326</v>
      </c>
      <c r="D577" s="4">
        <v>50030.0</v>
      </c>
      <c r="E577" s="4"/>
      <c r="F577" s="4">
        <v>1.0</v>
      </c>
      <c r="G577" s="4">
        <v>99.0</v>
      </c>
      <c r="H577" s="4"/>
      <c r="I577" s="4">
        <v>99.0</v>
      </c>
      <c r="J577" s="4" t="s">
        <v>3337</v>
      </c>
      <c r="K577" s="6">
        <f>+917022971161</f>
        <v>917022971161</v>
      </c>
      <c r="L577" s="4" t="str">
        <f t="shared" si="1"/>
        <v>ashwani.acharya.che11@itbhu.ac.in917022971161</v>
      </c>
      <c r="M577" s="10" t="s">
        <v>67</v>
      </c>
      <c r="N577" s="4" t="b">
        <v>0</v>
      </c>
      <c r="O577" s="4" t="str">
        <f>VLOOKUP(A577,payment_ids!D:E,2,FALSE)</f>
        <v>upi</v>
      </c>
      <c r="P577" s="4" t="s">
        <v>69</v>
      </c>
      <c r="Q577" s="11">
        <v>44444.59305555555</v>
      </c>
      <c r="R577" s="4"/>
      <c r="S577" s="12" t="s">
        <v>3328</v>
      </c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5"/>
      <c r="AI577" s="5"/>
      <c r="AJ577" s="5"/>
      <c r="AK577" s="5"/>
      <c r="AL577" s="5"/>
    </row>
    <row r="578">
      <c r="A578" s="4" t="str">
        <f>VLOOKUP(L578,payment_ids!C:D,2,FALSE)</f>
        <v>pay_H8gz4Pgw3STjUd</v>
      </c>
      <c r="B578" s="4"/>
      <c r="C578" s="4" t="s">
        <v>3326</v>
      </c>
      <c r="D578" s="4">
        <v>50030.0</v>
      </c>
      <c r="E578" s="4"/>
      <c r="F578" s="4">
        <v>1.0</v>
      </c>
      <c r="G578" s="4">
        <v>99.0</v>
      </c>
      <c r="H578" s="4"/>
      <c r="I578" s="4">
        <v>99.0</v>
      </c>
      <c r="J578" s="4" t="s">
        <v>3338</v>
      </c>
      <c r="K578" s="6">
        <f>+918527778472</f>
        <v>918527778472</v>
      </c>
      <c r="L578" s="4" t="str">
        <f t="shared" si="1"/>
        <v>srish2225@gmail.com918527778472</v>
      </c>
      <c r="M578" s="10" t="s">
        <v>67</v>
      </c>
      <c r="N578" s="4" t="b">
        <v>0</v>
      </c>
      <c r="O578" s="4" t="str">
        <f>VLOOKUP(A578,payment_ids!D:E,2,FALSE)</f>
        <v>upi</v>
      </c>
      <c r="P578" s="4" t="s">
        <v>69</v>
      </c>
      <c r="Q578" s="11">
        <v>44444.74513888889</v>
      </c>
      <c r="R578" s="4"/>
      <c r="S578" s="12" t="s">
        <v>3328</v>
      </c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5"/>
      <c r="AI578" s="5"/>
      <c r="AJ578" s="5"/>
      <c r="AK578" s="5"/>
      <c r="AL578" s="5"/>
    </row>
    <row r="579">
      <c r="A579" s="4" t="str">
        <f>VLOOKUP(L579,payment_ids!C:D,2,FALSE)</f>
        <v>pay_H8YzqyxtPLgbbq</v>
      </c>
      <c r="B579" s="4"/>
      <c r="C579" s="4" t="s">
        <v>3326</v>
      </c>
      <c r="D579" s="4">
        <v>50030.0</v>
      </c>
      <c r="E579" s="4"/>
      <c r="F579" s="4">
        <v>1.0</v>
      </c>
      <c r="G579" s="4">
        <v>99.0</v>
      </c>
      <c r="H579" s="4"/>
      <c r="I579" s="4">
        <v>99.0</v>
      </c>
      <c r="J579" s="4" t="s">
        <v>3339</v>
      </c>
      <c r="K579" s="6">
        <f>+919560947484</f>
        <v>919560947484</v>
      </c>
      <c r="L579" s="4" t="str">
        <f t="shared" si="1"/>
        <v>imrexankit@gmail.com919560947484</v>
      </c>
      <c r="M579" s="10" t="s">
        <v>67</v>
      </c>
      <c r="N579" s="4" t="b">
        <v>0</v>
      </c>
      <c r="O579" s="4" t="str">
        <f>VLOOKUP(A579,payment_ids!D:E,2,FALSE)</f>
        <v>upi</v>
      </c>
      <c r="P579" s="4" t="s">
        <v>69</v>
      </c>
      <c r="Q579" s="11">
        <v>44444.419444444444</v>
      </c>
      <c r="R579" s="4"/>
      <c r="S579" s="12" t="s">
        <v>3328</v>
      </c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5"/>
      <c r="AI579" s="5"/>
      <c r="AJ579" s="5"/>
      <c r="AK579" s="5"/>
      <c r="AL579" s="5"/>
    </row>
    <row r="580">
      <c r="A580" s="4" t="str">
        <f>VLOOKUP(L580,payment_ids!C:D,2,FALSE)</f>
        <v>pay_H8mC8TDn9cSJWt</v>
      </c>
      <c r="B580" s="4"/>
      <c r="C580" s="4" t="s">
        <v>3326</v>
      </c>
      <c r="D580" s="4">
        <v>50030.0</v>
      </c>
      <c r="E580" s="4"/>
      <c r="F580" s="4">
        <v>3.0</v>
      </c>
      <c r="G580" s="4">
        <v>199.0</v>
      </c>
      <c r="H580" s="4"/>
      <c r="I580" s="4">
        <v>199.0</v>
      </c>
      <c r="J580" s="4" t="s">
        <v>3340</v>
      </c>
      <c r="K580" s="6">
        <f>+918332850364</f>
        <v>918332850364</v>
      </c>
      <c r="L580" s="4" t="str">
        <f t="shared" si="1"/>
        <v>shivalikakant@gmail.com918332850364</v>
      </c>
      <c r="M580" s="10" t="s">
        <v>67</v>
      </c>
      <c r="N580" s="4" t="b">
        <v>0</v>
      </c>
      <c r="O580" s="4" t="str">
        <f>VLOOKUP(A580,payment_ids!D:E,2,FALSE)</f>
        <v>card</v>
      </c>
      <c r="P580" s="4" t="s">
        <v>69</v>
      </c>
      <c r="Q580" s="11">
        <v>44444.95763888889</v>
      </c>
      <c r="R580" s="4"/>
      <c r="S580" s="12" t="s">
        <v>3328</v>
      </c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5"/>
      <c r="AI580" s="5"/>
      <c r="AJ580" s="5"/>
      <c r="AK580" s="5"/>
      <c r="AL580" s="5"/>
    </row>
    <row r="581">
      <c r="A581" s="4" t="str">
        <f>VLOOKUP(L581,payment_ids!C:D,2,FALSE)</f>
        <v>pay_H8bkoEfXL16fZr</v>
      </c>
      <c r="B581" s="4"/>
      <c r="C581" s="4" t="s">
        <v>3326</v>
      </c>
      <c r="D581" s="4">
        <v>50030.0</v>
      </c>
      <c r="E581" s="4"/>
      <c r="F581" s="4">
        <v>1.0</v>
      </c>
      <c r="G581" s="4">
        <v>99.0</v>
      </c>
      <c r="H581" s="4"/>
      <c r="I581" s="4">
        <v>99.0</v>
      </c>
      <c r="J581" s="4" t="s">
        <v>3341</v>
      </c>
      <c r="K581" s="6">
        <f>+919660030025</f>
        <v>919660030025</v>
      </c>
      <c r="L581" s="4" t="str">
        <f t="shared" si="1"/>
        <v>kamalsandhu35@icloud.com919660030025</v>
      </c>
      <c r="M581" s="10" t="s">
        <v>67</v>
      </c>
      <c r="N581" s="4" t="b">
        <v>0</v>
      </c>
      <c r="O581" s="4" t="str">
        <f>VLOOKUP(A581,payment_ids!D:E,2,FALSE)</f>
        <v>upi</v>
      </c>
      <c r="P581" s="4" t="s">
        <v>69</v>
      </c>
      <c r="Q581" s="11">
        <v>44444.53194444445</v>
      </c>
      <c r="R581" s="4"/>
      <c r="S581" s="12" t="s">
        <v>3328</v>
      </c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5"/>
      <c r="AI581" s="5"/>
      <c r="AJ581" s="5"/>
      <c r="AK581" s="5"/>
      <c r="AL581" s="5"/>
    </row>
    <row r="582">
      <c r="A582" s="4" t="str">
        <f>VLOOKUP(L582,payment_ids!C:D,2,FALSE)</f>
        <v>pay_H8qCJdJ6xjtaSh</v>
      </c>
      <c r="B582" s="4"/>
      <c r="C582" s="4" t="s">
        <v>3326</v>
      </c>
      <c r="D582" s="4">
        <v>50030.0</v>
      </c>
      <c r="E582" s="4"/>
      <c r="F582" s="4">
        <v>1.0</v>
      </c>
      <c r="G582" s="4">
        <v>99.0</v>
      </c>
      <c r="H582" s="4"/>
      <c r="I582" s="4">
        <v>99.0</v>
      </c>
      <c r="J582" s="4" t="s">
        <v>3342</v>
      </c>
      <c r="K582" s="6">
        <f>+917000398370</f>
        <v>917000398370</v>
      </c>
      <c r="L582" s="4" t="str">
        <f t="shared" si="1"/>
        <v>rahulluthra8819@gmail.com917000398370</v>
      </c>
      <c r="M582" s="10" t="s">
        <v>67</v>
      </c>
      <c r="N582" s="4" t="b">
        <v>0</v>
      </c>
      <c r="O582" s="4" t="str">
        <f>VLOOKUP(A582,payment_ids!D:E,2,FALSE)</f>
        <v>upi</v>
      </c>
      <c r="P582" s="4" t="s">
        <v>69</v>
      </c>
      <c r="Q582" s="11">
        <v>44474.120833333334</v>
      </c>
      <c r="R582" s="4"/>
      <c r="S582" s="12" t="s">
        <v>3328</v>
      </c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5"/>
      <c r="AI582" s="5"/>
      <c r="AJ582" s="5"/>
      <c r="AK582" s="5"/>
      <c r="AL582" s="5"/>
    </row>
    <row r="583">
      <c r="A583" s="4" t="str">
        <f>VLOOKUP(L583,payment_ids!C:D,2,FALSE)</f>
        <v>pay_H93lnuDSkkybuf</v>
      </c>
      <c r="B583" s="4"/>
      <c r="C583" s="4" t="s">
        <v>3326</v>
      </c>
      <c r="D583" s="4">
        <v>50030.0</v>
      </c>
      <c r="E583" s="4"/>
      <c r="F583" s="4">
        <v>1.0</v>
      </c>
      <c r="G583" s="4">
        <v>99.0</v>
      </c>
      <c r="H583" s="4"/>
      <c r="I583" s="4">
        <v>99.0</v>
      </c>
      <c r="J583" s="4" t="s">
        <v>3343</v>
      </c>
      <c r="K583" s="6">
        <f>+919841558806</f>
        <v>919841558806</v>
      </c>
      <c r="L583" s="4" t="str">
        <f t="shared" si="1"/>
        <v>gc.shyam@gmail.com919841558806</v>
      </c>
      <c r="M583" s="10" t="s">
        <v>67</v>
      </c>
      <c r="N583" s="4" t="b">
        <v>0</v>
      </c>
      <c r="O583" s="4" t="str">
        <f>VLOOKUP(A583,payment_ids!D:E,2,FALSE)</f>
        <v>upi</v>
      </c>
      <c r="P583" s="4" t="s">
        <v>69</v>
      </c>
      <c r="Q583" s="11">
        <v>44474.67361111111</v>
      </c>
      <c r="R583" s="4"/>
      <c r="S583" s="12" t="s">
        <v>3328</v>
      </c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5"/>
      <c r="AI583" s="5"/>
      <c r="AJ583" s="5"/>
      <c r="AK583" s="5"/>
      <c r="AL583" s="5"/>
    </row>
    <row r="584">
      <c r="A584" s="4" t="str">
        <f>VLOOKUP(L584,payment_ids!C:D,2,FALSE)</f>
        <v>pay_H8tC7glDnaOmF5</v>
      </c>
      <c r="B584" s="4"/>
      <c r="C584" s="4" t="s">
        <v>3326</v>
      </c>
      <c r="D584" s="4">
        <v>50030.0</v>
      </c>
      <c r="E584" s="4"/>
      <c r="F584" s="4">
        <v>3.0</v>
      </c>
      <c r="G584" s="4">
        <v>199.0</v>
      </c>
      <c r="H584" s="4"/>
      <c r="I584" s="4">
        <v>199.0</v>
      </c>
      <c r="J584" s="4" t="s">
        <v>3344</v>
      </c>
      <c r="K584" s="6">
        <f>+919987903824</f>
        <v>919987903824</v>
      </c>
      <c r="L584" s="4" t="str">
        <f t="shared" si="1"/>
        <v>kunder.akshay3@gmail.com919987903824</v>
      </c>
      <c r="M584" s="10" t="s">
        <v>67</v>
      </c>
      <c r="N584" s="4" t="b">
        <v>0</v>
      </c>
      <c r="O584" s="4" t="str">
        <f>VLOOKUP(A584,payment_ids!D:E,2,FALSE)</f>
        <v>upi</v>
      </c>
      <c r="P584" s="4" t="s">
        <v>69</v>
      </c>
      <c r="Q584" s="11">
        <v>44474.24236111111</v>
      </c>
      <c r="R584" s="4"/>
      <c r="S584" s="12" t="s">
        <v>3328</v>
      </c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5"/>
      <c r="AI584" s="5"/>
      <c r="AJ584" s="5"/>
      <c r="AK584" s="5"/>
      <c r="AL584" s="5"/>
    </row>
    <row r="585">
      <c r="A585" s="4" t="str">
        <f>VLOOKUP(L585,payment_ids!C:D,2,FALSE)</f>
        <v>pay_H96a43raDnN9q7</v>
      </c>
      <c r="B585" s="4"/>
      <c r="C585" s="4" t="s">
        <v>3326</v>
      </c>
      <c r="D585" s="4">
        <v>50030.0</v>
      </c>
      <c r="E585" s="4"/>
      <c r="F585" s="4">
        <v>1.0</v>
      </c>
      <c r="G585" s="4">
        <v>99.0</v>
      </c>
      <c r="H585" s="4"/>
      <c r="I585" s="4">
        <v>99.0</v>
      </c>
      <c r="J585" s="4" t="s">
        <v>3345</v>
      </c>
      <c r="K585" s="6">
        <f>+919948814777</f>
        <v>919948814777</v>
      </c>
      <c r="L585" s="4" t="str">
        <f t="shared" si="1"/>
        <v>harshita.sripada@gmail.com919948814777</v>
      </c>
      <c r="M585" s="10" t="s">
        <v>67</v>
      </c>
      <c r="N585" s="4" t="b">
        <v>0</v>
      </c>
      <c r="O585" s="4" t="str">
        <f>VLOOKUP(A585,payment_ids!D:E,2,FALSE)</f>
        <v>upi</v>
      </c>
      <c r="P585" s="4" t="s">
        <v>69</v>
      </c>
      <c r="Q585" s="11">
        <v>44474.788194444445</v>
      </c>
      <c r="R585" s="4"/>
      <c r="S585" s="12" t="s">
        <v>3328</v>
      </c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5"/>
      <c r="AI585" s="5"/>
      <c r="AJ585" s="5"/>
      <c r="AK585" s="5"/>
      <c r="AL585" s="5"/>
    </row>
    <row r="586">
      <c r="A586" s="4" t="str">
        <f>VLOOKUP(L586,payment_ids!C:D,2,FALSE)</f>
        <v>pay_H97cMwUhG0ZEFb</v>
      </c>
      <c r="B586" s="4"/>
      <c r="C586" s="4" t="s">
        <v>3326</v>
      </c>
      <c r="D586" s="4">
        <v>50030.0</v>
      </c>
      <c r="E586" s="4"/>
      <c r="F586" s="4">
        <v>3.0</v>
      </c>
      <c r="G586" s="4">
        <v>199.0</v>
      </c>
      <c r="H586" s="4"/>
      <c r="I586" s="4">
        <v>199.0</v>
      </c>
      <c r="J586" s="4" t="s">
        <v>3346</v>
      </c>
      <c r="K586" s="6">
        <f>+918826793818</f>
        <v>918826793818</v>
      </c>
      <c r="L586" s="4" t="str">
        <f t="shared" si="1"/>
        <v>meenakshimanuja@gmail.com918826793818</v>
      </c>
      <c r="M586" s="10" t="s">
        <v>67</v>
      </c>
      <c r="N586" s="4" t="b">
        <v>0</v>
      </c>
      <c r="O586" s="4" t="str">
        <f>VLOOKUP(A586,payment_ids!D:E,2,FALSE)</f>
        <v>upi</v>
      </c>
      <c r="P586" s="4" t="s">
        <v>69</v>
      </c>
      <c r="Q586" s="11">
        <v>44474.83194444444</v>
      </c>
      <c r="R586" s="4"/>
      <c r="S586" s="12" t="s">
        <v>3328</v>
      </c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5"/>
      <c r="AI586" s="5"/>
      <c r="AJ586" s="5"/>
      <c r="AK586" s="5"/>
      <c r="AL586" s="5"/>
    </row>
    <row r="587">
      <c r="A587" s="4" t="str">
        <f>VLOOKUP(L587,payment_ids!C:D,2,FALSE)</f>
        <v>pay_H99QkzWjuo8slO</v>
      </c>
      <c r="B587" s="4"/>
      <c r="C587" s="4" t="s">
        <v>3326</v>
      </c>
      <c r="D587" s="4">
        <v>50030.0</v>
      </c>
      <c r="E587" s="4"/>
      <c r="F587" s="4">
        <v>1.0</v>
      </c>
      <c r="G587" s="4">
        <v>99.0</v>
      </c>
      <c r="H587" s="4"/>
      <c r="I587" s="4">
        <v>99.0</v>
      </c>
      <c r="J587" s="4" t="s">
        <v>3347</v>
      </c>
      <c r="K587" s="6">
        <f>+919527121752</f>
        <v>919527121752</v>
      </c>
      <c r="L587" s="4" t="str">
        <f t="shared" si="1"/>
        <v>cherrykittu06@gmail.com919527121752</v>
      </c>
      <c r="M587" s="10" t="s">
        <v>67</v>
      </c>
      <c r="N587" s="4" t="b">
        <v>0</v>
      </c>
      <c r="O587" s="4" t="str">
        <f>VLOOKUP(A587,payment_ids!D:E,2,FALSE)</f>
        <v>upi</v>
      </c>
      <c r="P587" s="4" t="s">
        <v>69</v>
      </c>
      <c r="Q587" s="11">
        <v>44474.90625</v>
      </c>
      <c r="R587" s="4"/>
      <c r="S587" s="12" t="s">
        <v>3328</v>
      </c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5"/>
      <c r="AI587" s="5"/>
      <c r="AJ587" s="5"/>
      <c r="AK587" s="5"/>
      <c r="AL587" s="5"/>
    </row>
    <row r="588">
      <c r="A588" s="4" t="str">
        <f>VLOOKUP(L588,payment_ids!C:D,2,FALSE)</f>
        <v>pay_H9RAq4iXnmFrFT</v>
      </c>
      <c r="B588" s="4"/>
      <c r="C588" s="4" t="s">
        <v>3326</v>
      </c>
      <c r="D588" s="4">
        <v>50030.0</v>
      </c>
      <c r="E588" s="4"/>
      <c r="F588" s="4">
        <v>6.0</v>
      </c>
      <c r="G588" s="4">
        <v>349.0</v>
      </c>
      <c r="H588" s="4"/>
      <c r="I588" s="4">
        <v>349.0</v>
      </c>
      <c r="J588" s="4" t="s">
        <v>3348</v>
      </c>
      <c r="K588" s="6">
        <f>+919980531190</f>
        <v>919980531190</v>
      </c>
      <c r="L588" s="4" t="str">
        <f t="shared" si="1"/>
        <v>darshiniaa@gmail.com919980531190</v>
      </c>
      <c r="M588" s="10" t="s">
        <v>67</v>
      </c>
      <c r="N588" s="4" t="b">
        <v>0</v>
      </c>
      <c r="O588" s="4" t="str">
        <f>VLOOKUP(A588,payment_ids!D:E,2,FALSE)</f>
        <v>card</v>
      </c>
      <c r="P588" s="4" t="s">
        <v>69</v>
      </c>
      <c r="Q588" s="11">
        <v>44505.62777777778</v>
      </c>
      <c r="R588" s="4"/>
      <c r="S588" s="12" t="s">
        <v>3328</v>
      </c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5"/>
      <c r="AI588" s="5"/>
      <c r="AJ588" s="5"/>
      <c r="AK588" s="5"/>
      <c r="AL588" s="5"/>
    </row>
    <row r="589">
      <c r="A589" s="4" t="str">
        <f>VLOOKUP(L589,payment_ids!C:D,2,FALSE)</f>
        <v>pay_HAJ82V0be3gRxg</v>
      </c>
      <c r="B589" s="4"/>
      <c r="C589" s="4" t="s">
        <v>3326</v>
      </c>
      <c r="D589" s="4">
        <v>50030.0</v>
      </c>
      <c r="E589" s="4"/>
      <c r="F589" s="4">
        <v>1.0</v>
      </c>
      <c r="G589" s="4">
        <v>99.0</v>
      </c>
      <c r="H589" s="4"/>
      <c r="I589" s="4">
        <v>99.0</v>
      </c>
      <c r="J589" s="4" t="s">
        <v>3349</v>
      </c>
      <c r="K589" s="6">
        <f>+919611666005</f>
        <v>919611666005</v>
      </c>
      <c r="L589" s="4" t="str">
        <f t="shared" si="1"/>
        <v>pavan_7719@yahoo.co.in919611666005</v>
      </c>
      <c r="M589" s="10" t="s">
        <v>67</v>
      </c>
      <c r="N589" s="4" t="b">
        <v>0</v>
      </c>
      <c r="O589" s="4" t="str">
        <f>VLOOKUP(A589,payment_ids!D:E,2,FALSE)</f>
        <v>card</v>
      </c>
      <c r="P589" s="4" t="s">
        <v>69</v>
      </c>
      <c r="Q589" s="4" t="s">
        <v>3350</v>
      </c>
      <c r="R589" s="4"/>
      <c r="S589" s="12" t="s">
        <v>3328</v>
      </c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5"/>
      <c r="AI589" s="5"/>
      <c r="AJ589" s="5"/>
      <c r="AK589" s="5"/>
      <c r="AL589" s="5"/>
    </row>
    <row r="590">
      <c r="A590" s="4" t="str">
        <f>VLOOKUP(L590,payment_ids!C:D,2,FALSE)</f>
        <v>pay_HAJC2ukKfcx0ft</v>
      </c>
      <c r="B590" s="4"/>
      <c r="C590" s="4" t="s">
        <v>3326</v>
      </c>
      <c r="D590" s="4">
        <v>50030.0</v>
      </c>
      <c r="E590" s="4"/>
      <c r="F590" s="4">
        <v>1.0</v>
      </c>
      <c r="G590" s="4">
        <v>99.0</v>
      </c>
      <c r="H590" s="4"/>
      <c r="I590" s="4">
        <v>99.0</v>
      </c>
      <c r="J590" s="4" t="s">
        <v>3351</v>
      </c>
      <c r="K590" s="6">
        <f>+919337258173</f>
        <v>919337258173</v>
      </c>
      <c r="L590" s="4" t="str">
        <f t="shared" si="1"/>
        <v>shibangidas119@gmail.com919337258173</v>
      </c>
      <c r="M590" s="10" t="s">
        <v>67</v>
      </c>
      <c r="N590" s="4" t="b">
        <v>0</v>
      </c>
      <c r="O590" s="4" t="str">
        <f>VLOOKUP(A590,payment_ids!D:E,2,FALSE)</f>
        <v>upi</v>
      </c>
      <c r="P590" s="4" t="s">
        <v>69</v>
      </c>
      <c r="Q590" s="4" t="s">
        <v>3352</v>
      </c>
      <c r="R590" s="4"/>
      <c r="S590" s="12" t="s">
        <v>3328</v>
      </c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5"/>
      <c r="AI590" s="5"/>
      <c r="AJ590" s="5"/>
      <c r="AK590" s="5"/>
      <c r="AL590" s="5"/>
    </row>
    <row r="591">
      <c r="A591" s="4" t="str">
        <f>VLOOKUP(L591,payment_ids!C:D,2,FALSE)</f>
        <v>pay_HAKyiJsRxG22oa</v>
      </c>
      <c r="B591" s="4"/>
      <c r="C591" s="4" t="s">
        <v>3326</v>
      </c>
      <c r="D591" s="4">
        <v>50030.0</v>
      </c>
      <c r="E591" s="4"/>
      <c r="F591" s="4">
        <v>1.0</v>
      </c>
      <c r="G591" s="4">
        <v>99.0</v>
      </c>
      <c r="H591" s="4"/>
      <c r="I591" s="4">
        <v>99.0</v>
      </c>
      <c r="J591" s="4" t="s">
        <v>3353</v>
      </c>
      <c r="K591" s="6">
        <f>+919765000553</f>
        <v>919765000553</v>
      </c>
      <c r="L591" s="4" t="str">
        <f t="shared" si="1"/>
        <v>abhilasha.namdeo24@gmail.com919765000553</v>
      </c>
      <c r="M591" s="10" t="s">
        <v>67</v>
      </c>
      <c r="N591" s="4" t="b">
        <v>0</v>
      </c>
      <c r="O591" s="4" t="str">
        <f>VLOOKUP(A591,payment_ids!D:E,2,FALSE)</f>
        <v>upi</v>
      </c>
      <c r="P591" s="4" t="s">
        <v>69</v>
      </c>
      <c r="Q591" s="4" t="s">
        <v>3354</v>
      </c>
      <c r="R591" s="4"/>
      <c r="S591" s="12" t="s">
        <v>3328</v>
      </c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5"/>
      <c r="AI591" s="5"/>
      <c r="AJ591" s="5"/>
      <c r="AK591" s="5"/>
      <c r="AL591" s="5"/>
    </row>
    <row r="592">
      <c r="A592" s="4" t="str">
        <f>VLOOKUP(L592,payment_ids!C:D,2,FALSE)</f>
        <v>pay_HAMQOTnY1D9s47</v>
      </c>
      <c r="B592" s="4"/>
      <c r="C592" s="4" t="s">
        <v>3326</v>
      </c>
      <c r="D592" s="4">
        <v>50030.0</v>
      </c>
      <c r="E592" s="4"/>
      <c r="F592" s="4">
        <v>6.0</v>
      </c>
      <c r="G592" s="4">
        <v>349.0</v>
      </c>
      <c r="H592" s="4"/>
      <c r="I592" s="4">
        <v>349.0</v>
      </c>
      <c r="J592" s="4" t="s">
        <v>3355</v>
      </c>
      <c r="K592" s="6">
        <f>+917980057695</f>
        <v>917980057695</v>
      </c>
      <c r="L592" s="4" t="str">
        <f t="shared" si="1"/>
        <v>arpanprasadrakshit@gmail.com917980057695</v>
      </c>
      <c r="M592" s="10" t="s">
        <v>67</v>
      </c>
      <c r="N592" s="4" t="b">
        <v>0</v>
      </c>
      <c r="O592" s="4" t="str">
        <f>VLOOKUP(A592,payment_ids!D:E,2,FALSE)</f>
        <v>upi</v>
      </c>
      <c r="P592" s="4" t="s">
        <v>69</v>
      </c>
      <c r="Q592" s="4" t="s">
        <v>3356</v>
      </c>
      <c r="R592" s="4"/>
      <c r="S592" s="12" t="s">
        <v>3328</v>
      </c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5"/>
      <c r="AI592" s="5"/>
      <c r="AJ592" s="5"/>
      <c r="AK592" s="5"/>
      <c r="AL592" s="5"/>
    </row>
    <row r="593">
      <c r="A593" s="4" t="str">
        <f>VLOOKUP(L593,payment_ids!C:D,2,FALSE)</f>
        <v>pay_HAd6BrFQGArd86</v>
      </c>
      <c r="B593" s="4"/>
      <c r="C593" s="4" t="s">
        <v>3326</v>
      </c>
      <c r="D593" s="4">
        <v>50030.0</v>
      </c>
      <c r="E593" s="4"/>
      <c r="F593" s="4">
        <v>1.0</v>
      </c>
      <c r="G593" s="4">
        <v>99.0</v>
      </c>
      <c r="H593" s="4"/>
      <c r="I593" s="4">
        <v>99.0</v>
      </c>
      <c r="J593" s="4" t="s">
        <v>3357</v>
      </c>
      <c r="K593" s="6">
        <f>+919850060068</f>
        <v>919850060068</v>
      </c>
      <c r="L593" s="4" t="str">
        <f t="shared" si="1"/>
        <v>sunitachaudhari3@gmail.com919850060068</v>
      </c>
      <c r="M593" s="10" t="s">
        <v>67</v>
      </c>
      <c r="N593" s="4" t="b">
        <v>0</v>
      </c>
      <c r="O593" s="4" t="str">
        <f>VLOOKUP(A593,payment_ids!D:E,2,FALSE)</f>
        <v>upi</v>
      </c>
      <c r="P593" s="4" t="s">
        <v>69</v>
      </c>
      <c r="Q593" s="4" t="s">
        <v>3358</v>
      </c>
      <c r="R593" s="4"/>
      <c r="S593" s="12" t="s">
        <v>3328</v>
      </c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5"/>
      <c r="AI593" s="5"/>
      <c r="AJ593" s="5"/>
      <c r="AK593" s="5"/>
      <c r="AL593" s="5"/>
    </row>
    <row r="594">
      <c r="A594" s="4" t="str">
        <f>VLOOKUP(L594,payment_ids!C:D,2,FALSE)</f>
        <v>pay_HAdlPPrYZgNYtg</v>
      </c>
      <c r="B594" s="4"/>
      <c r="C594" s="4" t="s">
        <v>3326</v>
      </c>
      <c r="D594" s="4">
        <v>50030.0</v>
      </c>
      <c r="E594" s="4"/>
      <c r="F594" s="4">
        <v>1.0</v>
      </c>
      <c r="G594" s="4">
        <v>99.0</v>
      </c>
      <c r="H594" s="4"/>
      <c r="I594" s="4">
        <v>99.0</v>
      </c>
      <c r="J594" s="4" t="s">
        <v>3359</v>
      </c>
      <c r="K594" s="6">
        <f>+918859876060</f>
        <v>918859876060</v>
      </c>
      <c r="L594" s="4" t="str">
        <f t="shared" si="1"/>
        <v>swati.khandelwal4@gmail.com918859876060</v>
      </c>
      <c r="M594" s="10" t="s">
        <v>67</v>
      </c>
      <c r="N594" s="4" t="b">
        <v>0</v>
      </c>
      <c r="O594" s="4" t="str">
        <f>VLOOKUP(A594,payment_ids!D:E,2,FALSE)</f>
        <v>upi</v>
      </c>
      <c r="P594" s="4" t="s">
        <v>69</v>
      </c>
      <c r="Q594" s="4" t="s">
        <v>3360</v>
      </c>
      <c r="R594" s="4"/>
      <c r="S594" s="12" t="s">
        <v>3328</v>
      </c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5"/>
      <c r="AI594" s="5"/>
      <c r="AJ594" s="5"/>
      <c r="AK594" s="5"/>
      <c r="AL594" s="5"/>
    </row>
    <row r="595">
      <c r="A595" s="4" t="str">
        <f>VLOOKUP(L595,payment_ids!C:D,2,FALSE)</f>
        <v>pay_HAe9miSRpeUev0</v>
      </c>
      <c r="B595" s="4"/>
      <c r="C595" s="4" t="s">
        <v>3326</v>
      </c>
      <c r="D595" s="4">
        <v>50030.0</v>
      </c>
      <c r="E595" s="4"/>
      <c r="F595" s="4">
        <v>1.0</v>
      </c>
      <c r="G595" s="4">
        <v>99.0</v>
      </c>
      <c r="H595" s="4"/>
      <c r="I595" s="4">
        <v>99.0</v>
      </c>
      <c r="J595" s="4" t="s">
        <v>3361</v>
      </c>
      <c r="K595" s="6">
        <f>+917987396421</f>
        <v>917987396421</v>
      </c>
      <c r="L595" s="4" t="str">
        <f t="shared" si="1"/>
        <v>rajeevnayan1632@gmail.com917987396421</v>
      </c>
      <c r="M595" s="10" t="s">
        <v>67</v>
      </c>
      <c r="N595" s="4" t="b">
        <v>0</v>
      </c>
      <c r="O595" s="4" t="str">
        <f>VLOOKUP(A595,payment_ids!D:E,2,FALSE)</f>
        <v>netbanking</v>
      </c>
      <c r="P595" s="4" t="s">
        <v>69</v>
      </c>
      <c r="Q595" s="4" t="s">
        <v>3362</v>
      </c>
      <c r="R595" s="4"/>
      <c r="S595" s="12" t="s">
        <v>3328</v>
      </c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5"/>
      <c r="AI595" s="5"/>
      <c r="AJ595" s="5"/>
      <c r="AK595" s="5"/>
      <c r="AL595" s="5"/>
    </row>
    <row r="596">
      <c r="A596" s="4" t="str">
        <f>VLOOKUP(L596,payment_ids!C:D,2,FALSE)</f>
        <v>pay_HAecQ1L4OICnDH</v>
      </c>
      <c r="B596" s="4"/>
      <c r="C596" s="4" t="s">
        <v>3326</v>
      </c>
      <c r="D596" s="4">
        <v>50030.0</v>
      </c>
      <c r="E596" s="4"/>
      <c r="F596" s="4">
        <v>6.0</v>
      </c>
      <c r="G596" s="4">
        <v>349.0</v>
      </c>
      <c r="H596" s="4"/>
      <c r="I596" s="4">
        <v>349.0</v>
      </c>
      <c r="J596" s="4" t="s">
        <v>3363</v>
      </c>
      <c r="K596" s="6">
        <f>+919841835351</f>
        <v>919841835351</v>
      </c>
      <c r="L596" s="4" t="str">
        <f t="shared" si="1"/>
        <v>royalnavin@gmail.com919841835351</v>
      </c>
      <c r="M596" s="10" t="s">
        <v>67</v>
      </c>
      <c r="N596" s="4" t="b">
        <v>0</v>
      </c>
      <c r="O596" s="4" t="str">
        <f>VLOOKUP(A596,payment_ids!D:E,2,FALSE)</f>
        <v>card</v>
      </c>
      <c r="P596" s="4" t="s">
        <v>69</v>
      </c>
      <c r="Q596" s="4" t="s">
        <v>3364</v>
      </c>
      <c r="R596" s="4"/>
      <c r="S596" s="12" t="s">
        <v>3328</v>
      </c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5"/>
      <c r="AI596" s="5"/>
      <c r="AJ596" s="5"/>
      <c r="AK596" s="5"/>
      <c r="AL596" s="5"/>
    </row>
    <row r="597">
      <c r="A597" s="4" t="str">
        <f>VLOOKUP(L597,payment_ids!C:D,2,FALSE)</f>
        <v>pay_HAiUXdBR3aUMJK</v>
      </c>
      <c r="B597" s="4"/>
      <c r="C597" s="4" t="s">
        <v>3326</v>
      </c>
      <c r="D597" s="4">
        <v>50030.0</v>
      </c>
      <c r="E597" s="4"/>
      <c r="F597" s="4">
        <v>1.0</v>
      </c>
      <c r="G597" s="4">
        <v>99.0</v>
      </c>
      <c r="H597" s="4"/>
      <c r="I597" s="4">
        <v>99.0</v>
      </c>
      <c r="J597" s="4" t="s">
        <v>3365</v>
      </c>
      <c r="K597" s="6">
        <f>+919007150286</f>
        <v>919007150286</v>
      </c>
      <c r="L597" s="4" t="str">
        <f t="shared" si="1"/>
        <v>titasg2013@gmail.com919007150286</v>
      </c>
      <c r="M597" s="10" t="s">
        <v>67</v>
      </c>
      <c r="N597" s="4" t="b">
        <v>0</v>
      </c>
      <c r="O597" s="4" t="str">
        <f>VLOOKUP(A597,payment_ids!D:E,2,FALSE)</f>
        <v>card</v>
      </c>
      <c r="P597" s="4" t="s">
        <v>69</v>
      </c>
      <c r="Q597" s="4" t="s">
        <v>3366</v>
      </c>
      <c r="R597" s="4"/>
      <c r="S597" s="12" t="s">
        <v>3328</v>
      </c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5"/>
      <c r="AI597" s="5"/>
      <c r="AJ597" s="5"/>
      <c r="AK597" s="5"/>
      <c r="AL597" s="5"/>
    </row>
    <row r="598">
      <c r="A598" s="4" t="str">
        <f>VLOOKUP(L598,payment_ids!C:D,2,FALSE)</f>
        <v>pay_H94ufDfJileniq</v>
      </c>
      <c r="B598" s="4"/>
      <c r="C598" s="4" t="s">
        <v>3326</v>
      </c>
      <c r="D598" s="4">
        <v>50030.0</v>
      </c>
      <c r="E598" s="4"/>
      <c r="F598" s="4">
        <v>1.0</v>
      </c>
      <c r="G598" s="4">
        <v>99.0</v>
      </c>
      <c r="H598" s="4"/>
      <c r="I598" s="4">
        <v>99.0</v>
      </c>
      <c r="J598" s="4" t="s">
        <v>3367</v>
      </c>
      <c r="K598" s="6">
        <f>+919425308887</f>
        <v>919425308887</v>
      </c>
      <c r="L598" s="4" t="str">
        <f t="shared" si="1"/>
        <v>prvnbhtngr@gmail.com919425308887</v>
      </c>
      <c r="M598" s="10" t="s">
        <v>67</v>
      </c>
      <c r="N598" s="4" t="b">
        <v>0</v>
      </c>
      <c r="O598" s="4" t="str">
        <f>VLOOKUP(A598,payment_ids!D:E,2,FALSE)</f>
        <v>upi</v>
      </c>
      <c r="P598" s="4" t="s">
        <v>69</v>
      </c>
      <c r="Q598" s="4" t="s">
        <v>3368</v>
      </c>
      <c r="R598" s="4"/>
      <c r="S598" s="12" t="s">
        <v>3328</v>
      </c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5"/>
      <c r="AI598" s="5"/>
      <c r="AJ598" s="5"/>
      <c r="AK598" s="5"/>
      <c r="AL598" s="5"/>
    </row>
    <row r="599">
      <c r="A599" s="4" t="str">
        <f>VLOOKUP(L599,payment_ids!C:D,2,FALSE)</f>
        <v>pay_HAzMNyxv6uC59Z</v>
      </c>
      <c r="B599" s="4"/>
      <c r="C599" s="4" t="s">
        <v>3326</v>
      </c>
      <c r="D599" s="4">
        <v>50030.0</v>
      </c>
      <c r="E599" s="4"/>
      <c r="F599" s="4">
        <v>3.0</v>
      </c>
      <c r="G599" s="4">
        <v>199.0</v>
      </c>
      <c r="H599" s="4"/>
      <c r="I599" s="4">
        <v>199.0</v>
      </c>
      <c r="J599" s="4" t="s">
        <v>3369</v>
      </c>
      <c r="K599" s="6">
        <f>+917432060844</f>
        <v>917432060844</v>
      </c>
      <c r="L599" s="4" t="str">
        <f t="shared" si="1"/>
        <v>ghoshalsuchismita019@gmail.com917432060844</v>
      </c>
      <c r="M599" s="10" t="s">
        <v>67</v>
      </c>
      <c r="N599" s="4" t="b">
        <v>0</v>
      </c>
      <c r="O599" s="4" t="str">
        <f>VLOOKUP(A599,payment_ids!D:E,2,FALSE)</f>
        <v>upi</v>
      </c>
      <c r="P599" s="4" t="s">
        <v>69</v>
      </c>
      <c r="Q599" s="4" t="s">
        <v>3370</v>
      </c>
      <c r="R599" s="4"/>
      <c r="S599" s="12" t="s">
        <v>3328</v>
      </c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5"/>
      <c r="AI599" s="5"/>
      <c r="AJ599" s="5"/>
      <c r="AK599" s="5"/>
      <c r="AL599" s="5"/>
    </row>
    <row r="600">
      <c r="A600" s="4" t="str">
        <f>VLOOKUP(L600,payment_ids!C:D,2,FALSE)</f>
        <v>pay_HAzwT3outZ2ukW</v>
      </c>
      <c r="B600" s="4"/>
      <c r="C600" s="4" t="s">
        <v>3326</v>
      </c>
      <c r="D600" s="4">
        <v>50030.0</v>
      </c>
      <c r="E600" s="4"/>
      <c r="F600" s="4">
        <v>1.0</v>
      </c>
      <c r="G600" s="4">
        <v>99.0</v>
      </c>
      <c r="H600" s="4"/>
      <c r="I600" s="4">
        <v>99.0</v>
      </c>
      <c r="J600" s="4" t="s">
        <v>3371</v>
      </c>
      <c r="K600" s="6">
        <f>+917760461129</f>
        <v>917760461129</v>
      </c>
      <c r="L600" s="4" t="str">
        <f t="shared" si="1"/>
        <v>workemails.93@gmail.com917760461129</v>
      </c>
      <c r="M600" s="10" t="s">
        <v>67</v>
      </c>
      <c r="N600" s="4" t="b">
        <v>0</v>
      </c>
      <c r="O600" s="4" t="str">
        <f>VLOOKUP(A600,payment_ids!D:E,2,FALSE)</f>
        <v>upi</v>
      </c>
      <c r="P600" s="4" t="s">
        <v>69</v>
      </c>
      <c r="Q600" s="4" t="s">
        <v>3372</v>
      </c>
      <c r="R600" s="4"/>
      <c r="S600" s="12" t="s">
        <v>3328</v>
      </c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5"/>
      <c r="AI600" s="5"/>
      <c r="AJ600" s="5"/>
      <c r="AK600" s="5"/>
      <c r="AL600" s="5"/>
    </row>
    <row r="601">
      <c r="A601" s="4" t="str">
        <f>VLOOKUP(L601,payment_ids!C:D,2,FALSE)</f>
        <v>pay_HB6EPDGk1qaO3c</v>
      </c>
      <c r="B601" s="4"/>
      <c r="C601" s="4" t="s">
        <v>3326</v>
      </c>
      <c r="D601" s="4">
        <v>50030.0</v>
      </c>
      <c r="E601" s="4"/>
      <c r="F601" s="4">
        <v>3.0</v>
      </c>
      <c r="G601" s="4">
        <v>199.0</v>
      </c>
      <c r="H601" s="4"/>
      <c r="I601" s="4">
        <v>199.0</v>
      </c>
      <c r="J601" s="4" t="s">
        <v>3373</v>
      </c>
      <c r="K601" s="6">
        <f>+917978907149</f>
        <v>917978907149</v>
      </c>
      <c r="L601" s="4" t="str">
        <f t="shared" si="1"/>
        <v>skarchie09@gmail.com917978907149</v>
      </c>
      <c r="M601" s="10" t="s">
        <v>67</v>
      </c>
      <c r="N601" s="4" t="b">
        <v>0</v>
      </c>
      <c r="O601" s="4" t="str">
        <f>VLOOKUP(A601,payment_ids!D:E,2,FALSE)</f>
        <v>upi</v>
      </c>
      <c r="P601" s="4" t="s">
        <v>69</v>
      </c>
      <c r="Q601" s="4" t="s">
        <v>3374</v>
      </c>
      <c r="R601" s="4"/>
      <c r="S601" s="12" t="s">
        <v>3328</v>
      </c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5"/>
      <c r="AI601" s="5"/>
      <c r="AJ601" s="5"/>
      <c r="AK601" s="5"/>
      <c r="AL601" s="5"/>
    </row>
    <row r="602">
      <c r="A602" s="4" t="str">
        <f>VLOOKUP(L602,payment_ids!C:D,2,FALSE)</f>
        <v>pay_HAuM6yBeXInvTJ</v>
      </c>
      <c r="B602" s="4"/>
      <c r="C602" s="4" t="s">
        <v>3326</v>
      </c>
      <c r="D602" s="4">
        <v>50030.0</v>
      </c>
      <c r="E602" s="4"/>
      <c r="F602" s="4">
        <v>1.0</v>
      </c>
      <c r="G602" s="4">
        <v>99.0</v>
      </c>
      <c r="H602" s="4"/>
      <c r="I602" s="4">
        <v>99.0</v>
      </c>
      <c r="J602" s="4" t="s">
        <v>3375</v>
      </c>
      <c r="K602" s="6">
        <f>+917019983344</f>
        <v>917019983344</v>
      </c>
      <c r="L602" s="4" t="str">
        <f t="shared" si="1"/>
        <v>arajasantosh.16@gmail.com917019983344</v>
      </c>
      <c r="M602" s="10" t="s">
        <v>67</v>
      </c>
      <c r="N602" s="4" t="b">
        <v>0</v>
      </c>
      <c r="O602" s="4" t="str">
        <f>VLOOKUP(A602,payment_ids!D:E,2,FALSE)</f>
        <v>upi</v>
      </c>
      <c r="P602" s="4" t="s">
        <v>69</v>
      </c>
      <c r="Q602" s="4" t="s">
        <v>3376</v>
      </c>
      <c r="R602" s="4"/>
      <c r="S602" s="12" t="s">
        <v>3328</v>
      </c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5"/>
      <c r="AI602" s="5"/>
      <c r="AJ602" s="5"/>
      <c r="AK602" s="5"/>
      <c r="AL602" s="5"/>
    </row>
    <row r="603">
      <c r="A603" s="4" t="str">
        <f>VLOOKUP(L603,payment_ids!C:D,2,FALSE)</f>
        <v>pay_HAwdZT1MKfKFmF</v>
      </c>
      <c r="B603" s="4"/>
      <c r="C603" s="4" t="s">
        <v>3326</v>
      </c>
      <c r="D603" s="4">
        <v>50030.0</v>
      </c>
      <c r="E603" s="4"/>
      <c r="F603" s="4">
        <v>1.0</v>
      </c>
      <c r="G603" s="4">
        <v>99.0</v>
      </c>
      <c r="H603" s="4"/>
      <c r="I603" s="4">
        <v>99.0</v>
      </c>
      <c r="J603" s="4" t="s">
        <v>3377</v>
      </c>
      <c r="K603" s="6">
        <f>+919096622911</f>
        <v>919096622911</v>
      </c>
      <c r="L603" s="4" t="str">
        <f t="shared" si="1"/>
        <v>amol.joshi.v@gmail.com919096622911</v>
      </c>
      <c r="M603" s="10" t="s">
        <v>67</v>
      </c>
      <c r="N603" s="4" t="b">
        <v>0</v>
      </c>
      <c r="O603" s="4" t="str">
        <f>VLOOKUP(A603,payment_ids!D:E,2,FALSE)</f>
        <v>upi</v>
      </c>
      <c r="P603" s="4" t="s">
        <v>69</v>
      </c>
      <c r="Q603" s="4" t="s">
        <v>3378</v>
      </c>
      <c r="R603" s="4"/>
      <c r="S603" s="12" t="s">
        <v>3328</v>
      </c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5"/>
      <c r="AI603" s="5"/>
      <c r="AJ603" s="5"/>
      <c r="AK603" s="5"/>
      <c r="AL603" s="5"/>
    </row>
    <row r="604">
      <c r="A604" s="4" t="str">
        <f>VLOOKUP(L604,payment_ids!C:D,2,FALSE)</f>
        <v>pay_HAx9J6Mna3002q</v>
      </c>
      <c r="B604" s="4"/>
      <c r="C604" s="4" t="s">
        <v>3326</v>
      </c>
      <c r="D604" s="4">
        <v>50030.0</v>
      </c>
      <c r="E604" s="4"/>
      <c r="F604" s="4">
        <v>1.0</v>
      </c>
      <c r="G604" s="4">
        <v>99.0</v>
      </c>
      <c r="H604" s="4"/>
      <c r="I604" s="4">
        <v>99.0</v>
      </c>
      <c r="J604" s="4" t="s">
        <v>3379</v>
      </c>
      <c r="K604" s="6">
        <f>+919443100747</f>
        <v>919443100747</v>
      </c>
      <c r="L604" s="4" t="str">
        <f t="shared" si="1"/>
        <v>duraickkd@gmail.com919443100747</v>
      </c>
      <c r="M604" s="10" t="s">
        <v>67</v>
      </c>
      <c r="N604" s="4" t="b">
        <v>0</v>
      </c>
      <c r="O604" s="4" t="str">
        <f>VLOOKUP(A604,payment_ids!D:E,2,FALSE)</f>
        <v>card</v>
      </c>
      <c r="P604" s="4" t="s">
        <v>69</v>
      </c>
      <c r="Q604" s="4" t="s">
        <v>3380</v>
      </c>
      <c r="R604" s="4"/>
      <c r="S604" s="12" t="s">
        <v>3328</v>
      </c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5"/>
      <c r="AI604" s="5"/>
      <c r="AJ604" s="5"/>
      <c r="AK604" s="5"/>
      <c r="AL604" s="5"/>
    </row>
    <row r="605">
      <c r="A605" s="4" t="str">
        <f>VLOOKUP(L605,payment_ids!C:D,2,FALSE)</f>
        <v>pay_HAy7JWq4jvaVcK</v>
      </c>
      <c r="B605" s="4"/>
      <c r="C605" s="4" t="s">
        <v>3326</v>
      </c>
      <c r="D605" s="4">
        <v>50030.0</v>
      </c>
      <c r="E605" s="4"/>
      <c r="F605" s="4">
        <v>1.0</v>
      </c>
      <c r="G605" s="4">
        <v>99.0</v>
      </c>
      <c r="H605" s="4"/>
      <c r="I605" s="4">
        <v>99.0</v>
      </c>
      <c r="J605" s="4" t="s">
        <v>3381</v>
      </c>
      <c r="K605" s="6">
        <f>+918383924883</f>
        <v>918383924883</v>
      </c>
      <c r="L605" s="4" t="str">
        <f t="shared" si="1"/>
        <v>rohankalonia@gmail.com918383924883</v>
      </c>
      <c r="M605" s="10" t="s">
        <v>67</v>
      </c>
      <c r="N605" s="4" t="b">
        <v>0</v>
      </c>
      <c r="O605" s="4" t="str">
        <f>VLOOKUP(A605,payment_ids!D:E,2,FALSE)</f>
        <v>upi</v>
      </c>
      <c r="P605" s="4" t="s">
        <v>69</v>
      </c>
      <c r="Q605" s="4" t="s">
        <v>3382</v>
      </c>
      <c r="R605" s="4"/>
      <c r="S605" s="12" t="s">
        <v>3328</v>
      </c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5"/>
      <c r="AI605" s="5"/>
      <c r="AJ605" s="5"/>
      <c r="AK605" s="5"/>
      <c r="AL605" s="5"/>
    </row>
    <row r="606">
      <c r="A606" s="4" t="str">
        <f>VLOOKUP(L606,payment_ids!C:D,2,FALSE)</f>
        <v>pay_HAyDvuTWKUcYxu</v>
      </c>
      <c r="B606" s="4"/>
      <c r="C606" s="4" t="s">
        <v>3326</v>
      </c>
      <c r="D606" s="4">
        <v>50030.0</v>
      </c>
      <c r="E606" s="4"/>
      <c r="F606" s="4">
        <v>3.0</v>
      </c>
      <c r="G606" s="4">
        <v>199.0</v>
      </c>
      <c r="H606" s="4"/>
      <c r="I606" s="4">
        <v>199.0</v>
      </c>
      <c r="J606" s="4" t="s">
        <v>3383</v>
      </c>
      <c r="K606" s="6">
        <f>+919998930457</f>
        <v>919998930457</v>
      </c>
      <c r="L606" s="4" t="str">
        <f t="shared" si="1"/>
        <v>thehirald@gmail.com919998930457</v>
      </c>
      <c r="M606" s="10" t="s">
        <v>67</v>
      </c>
      <c r="N606" s="4" t="b">
        <v>0</v>
      </c>
      <c r="O606" s="4" t="str">
        <f>VLOOKUP(A606,payment_ids!D:E,2,FALSE)</f>
        <v>card</v>
      </c>
      <c r="P606" s="4" t="s">
        <v>69</v>
      </c>
      <c r="Q606" s="4" t="s">
        <v>3384</v>
      </c>
      <c r="R606" s="4"/>
      <c r="S606" s="12" t="s">
        <v>3328</v>
      </c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5"/>
      <c r="AI606" s="5"/>
      <c r="AJ606" s="5"/>
      <c r="AK606" s="5"/>
      <c r="AL606" s="5"/>
    </row>
    <row r="607">
      <c r="A607" s="4" t="str">
        <f>VLOOKUP(L607,payment_ids!C:D,2,FALSE)</f>
        <v>pay_HAykhK8PJ9aaKo</v>
      </c>
      <c r="B607" s="4"/>
      <c r="C607" s="4" t="s">
        <v>3326</v>
      </c>
      <c r="D607" s="4">
        <v>50030.0</v>
      </c>
      <c r="E607" s="4"/>
      <c r="F607" s="4">
        <v>3.0</v>
      </c>
      <c r="G607" s="4">
        <v>199.0</v>
      </c>
      <c r="H607" s="4"/>
      <c r="I607" s="4">
        <v>199.0</v>
      </c>
      <c r="J607" s="4" t="s">
        <v>3385</v>
      </c>
      <c r="K607" s="6">
        <f>+918754406926</f>
        <v>918754406926</v>
      </c>
      <c r="L607" s="4" t="str">
        <f t="shared" si="1"/>
        <v>saruna24@gmail.com918754406926</v>
      </c>
      <c r="M607" s="10" t="s">
        <v>67</v>
      </c>
      <c r="N607" s="4" t="b">
        <v>0</v>
      </c>
      <c r="O607" s="4" t="str">
        <f>VLOOKUP(A607,payment_ids!D:E,2,FALSE)</f>
        <v>upi</v>
      </c>
      <c r="P607" s="4" t="s">
        <v>69</v>
      </c>
      <c r="Q607" s="4" t="s">
        <v>3386</v>
      </c>
      <c r="R607" s="4"/>
      <c r="S607" s="12" t="s">
        <v>3328</v>
      </c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5"/>
      <c r="AI607" s="5"/>
      <c r="AJ607" s="5"/>
      <c r="AK607" s="5"/>
      <c r="AL607" s="5"/>
    </row>
    <row r="608">
      <c r="A608" s="4" t="str">
        <f>VLOOKUP(L608,payment_ids!C:D,2,FALSE)</f>
        <v>pay_HBOcpGZ6EW6n8t</v>
      </c>
      <c r="B608" s="4"/>
      <c r="C608" s="4" t="s">
        <v>3326</v>
      </c>
      <c r="D608" s="4">
        <v>50030.0</v>
      </c>
      <c r="E608" s="4"/>
      <c r="F608" s="4">
        <v>1.0</v>
      </c>
      <c r="G608" s="4">
        <v>99.0</v>
      </c>
      <c r="H608" s="4"/>
      <c r="I608" s="4">
        <v>99.0</v>
      </c>
      <c r="J608" s="4" t="s">
        <v>3387</v>
      </c>
      <c r="K608" s="6">
        <f>+919831992287</f>
        <v>919831992287</v>
      </c>
      <c r="L608" s="4" t="str">
        <f t="shared" si="1"/>
        <v>iacharya1998@gmail.com919831992287</v>
      </c>
      <c r="M608" s="10" t="s">
        <v>67</v>
      </c>
      <c r="N608" s="4" t="b">
        <v>0</v>
      </c>
      <c r="O608" s="4" t="str">
        <f>VLOOKUP(A608,payment_ids!D:E,2,FALSE)</f>
        <v>upi</v>
      </c>
      <c r="P608" s="4" t="s">
        <v>69</v>
      </c>
      <c r="Q608" s="4" t="s">
        <v>3388</v>
      </c>
      <c r="R608" s="4"/>
      <c r="S608" s="12" t="s">
        <v>3328</v>
      </c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5"/>
      <c r="AI608" s="5"/>
      <c r="AJ608" s="5"/>
      <c r="AK608" s="5"/>
      <c r="AL608" s="5"/>
    </row>
    <row r="609">
      <c r="A609" s="4" t="str">
        <f>VLOOKUP(L609,payment_ids!C:D,2,FALSE)</f>
        <v>pay_HBOfaK6iJBNGIy</v>
      </c>
      <c r="B609" s="4"/>
      <c r="C609" s="4" t="s">
        <v>3326</v>
      </c>
      <c r="D609" s="4">
        <v>50030.0</v>
      </c>
      <c r="E609" s="4"/>
      <c r="F609" s="4">
        <v>6.0</v>
      </c>
      <c r="G609" s="4">
        <v>349.0</v>
      </c>
      <c r="H609" s="4"/>
      <c r="I609" s="4">
        <v>349.0</v>
      </c>
      <c r="J609" s="4" t="s">
        <v>3389</v>
      </c>
      <c r="K609" s="6">
        <f>+919737405025</f>
        <v>919737405025</v>
      </c>
      <c r="L609" s="4" t="str">
        <f t="shared" si="1"/>
        <v>p20ashish@iimnagpur.ac.in919737405025</v>
      </c>
      <c r="M609" s="10" t="s">
        <v>67</v>
      </c>
      <c r="N609" s="4" t="b">
        <v>0</v>
      </c>
      <c r="O609" s="4" t="str">
        <f>VLOOKUP(A609,payment_ids!D:E,2,FALSE)</f>
        <v>upi</v>
      </c>
      <c r="P609" s="4" t="s">
        <v>69</v>
      </c>
      <c r="Q609" s="4" t="s">
        <v>3390</v>
      </c>
      <c r="R609" s="4"/>
      <c r="S609" s="12" t="s">
        <v>3328</v>
      </c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5"/>
      <c r="AI609" s="5"/>
      <c r="AJ609" s="5"/>
      <c r="AK609" s="5"/>
      <c r="AL609" s="5"/>
    </row>
    <row r="610">
      <c r="A610" s="4" t="str">
        <f>VLOOKUP(L610,payment_ids!C:D,2,FALSE)</f>
        <v>pay_HBL0CaPUsCIbIA</v>
      </c>
      <c r="B610" s="4"/>
      <c r="C610" s="4" t="s">
        <v>3326</v>
      </c>
      <c r="D610" s="4">
        <v>50030.0</v>
      </c>
      <c r="E610" s="4"/>
      <c r="F610" s="4">
        <v>1.0</v>
      </c>
      <c r="G610" s="4">
        <v>99.0</v>
      </c>
      <c r="H610" s="4"/>
      <c r="I610" s="4">
        <v>99.0</v>
      </c>
      <c r="J610" s="4" t="s">
        <v>3391</v>
      </c>
      <c r="K610" s="6">
        <f>+918168592496</f>
        <v>918168592496</v>
      </c>
      <c r="L610" s="4" t="str">
        <f t="shared" si="1"/>
        <v>akreddu065@gmail.com918168592496</v>
      </c>
      <c r="M610" s="10" t="s">
        <v>67</v>
      </c>
      <c r="N610" s="4" t="b">
        <v>0</v>
      </c>
      <c r="O610" s="4" t="str">
        <f>VLOOKUP(A610,payment_ids!D:E,2,FALSE)</f>
        <v>card</v>
      </c>
      <c r="P610" s="4" t="s">
        <v>69</v>
      </c>
      <c r="Q610" s="4" t="s">
        <v>3392</v>
      </c>
      <c r="R610" s="4"/>
      <c r="S610" s="12" t="s">
        <v>3328</v>
      </c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5"/>
      <c r="AI610" s="5"/>
      <c r="AJ610" s="5"/>
      <c r="AK610" s="5"/>
      <c r="AL610" s="5"/>
    </row>
    <row r="611">
      <c r="A611" s="4" t="str">
        <f>VLOOKUP(L611,payment_ids!C:D,2,FALSE)</f>
        <v>pay_HBLBbAPGXB1fNi</v>
      </c>
      <c r="B611" s="4"/>
      <c r="C611" s="4" t="s">
        <v>3326</v>
      </c>
      <c r="D611" s="4">
        <v>50030.0</v>
      </c>
      <c r="E611" s="4"/>
      <c r="F611" s="4">
        <v>1.0</v>
      </c>
      <c r="G611" s="4">
        <v>99.0</v>
      </c>
      <c r="H611" s="4"/>
      <c r="I611" s="4">
        <v>99.0</v>
      </c>
      <c r="J611" s="4" t="s">
        <v>3393</v>
      </c>
      <c r="K611" s="6">
        <f>+919420147211</f>
        <v>919420147211</v>
      </c>
      <c r="L611" s="4" t="str">
        <f t="shared" si="1"/>
        <v>skkady@gmail.com919420147211</v>
      </c>
      <c r="M611" s="10" t="s">
        <v>67</v>
      </c>
      <c r="N611" s="4" t="b">
        <v>0</v>
      </c>
      <c r="O611" s="4" t="str">
        <f>VLOOKUP(A611,payment_ids!D:E,2,FALSE)</f>
        <v>upi</v>
      </c>
      <c r="P611" s="4" t="s">
        <v>69</v>
      </c>
      <c r="Q611" s="4" t="s">
        <v>3394</v>
      </c>
      <c r="R611" s="4"/>
      <c r="S611" s="12" t="s">
        <v>3328</v>
      </c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5"/>
      <c r="AI611" s="5"/>
      <c r="AJ611" s="5"/>
      <c r="AK611" s="5"/>
      <c r="AL611" s="5"/>
    </row>
    <row r="612">
      <c r="A612" s="4" t="str">
        <f>VLOOKUP(L612,payment_ids!C:D,2,FALSE)</f>
        <v>pay_HBAZyFpEIFrfm6</v>
      </c>
      <c r="B612" s="4"/>
      <c r="C612" s="4" t="s">
        <v>3326</v>
      </c>
      <c r="D612" s="4">
        <v>50030.0</v>
      </c>
      <c r="E612" s="4"/>
      <c r="F612" s="4">
        <v>1.0</v>
      </c>
      <c r="G612" s="4">
        <v>99.0</v>
      </c>
      <c r="H612" s="4"/>
      <c r="I612" s="4">
        <v>99.0</v>
      </c>
      <c r="J612" s="4" t="s">
        <v>3395</v>
      </c>
      <c r="K612" s="6">
        <f>+919921834904</f>
        <v>919921834904</v>
      </c>
      <c r="L612" s="4" t="str">
        <f t="shared" si="1"/>
        <v>ameykavathekar12@gmail.com919921834904</v>
      </c>
      <c r="M612" s="10" t="s">
        <v>67</v>
      </c>
      <c r="N612" s="4" t="b">
        <v>0</v>
      </c>
      <c r="O612" s="4" t="str">
        <f>VLOOKUP(A612,payment_ids!D:E,2,FALSE)</f>
        <v>upi</v>
      </c>
      <c r="P612" s="4" t="s">
        <v>69</v>
      </c>
      <c r="Q612" s="4" t="s">
        <v>3396</v>
      </c>
      <c r="R612" s="4"/>
      <c r="S612" s="12" t="s">
        <v>3328</v>
      </c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5"/>
      <c r="AI612" s="5"/>
      <c r="AJ612" s="5"/>
      <c r="AK612" s="5"/>
      <c r="AL612" s="5"/>
    </row>
    <row r="613">
      <c r="A613" s="4" t="str">
        <f>VLOOKUP(L613,payment_ids!C:D,2,FALSE)</f>
        <v>pay_HCXivRH2u4oHLx</v>
      </c>
      <c r="B613" s="4"/>
      <c r="C613" s="4" t="s">
        <v>3326</v>
      </c>
      <c r="D613" s="4">
        <v>50030.0</v>
      </c>
      <c r="E613" s="4"/>
      <c r="F613" s="4">
        <v>1.0</v>
      </c>
      <c r="G613" s="4">
        <v>99.0</v>
      </c>
      <c r="H613" s="4"/>
      <c r="I613" s="4">
        <v>99.0</v>
      </c>
      <c r="J613" s="4" t="s">
        <v>3397</v>
      </c>
      <c r="K613" s="6">
        <f>+918093785688</f>
        <v>918093785688</v>
      </c>
      <c r="L613" s="4" t="str">
        <f t="shared" si="1"/>
        <v>ankitabehera73@gmail.com918093785688</v>
      </c>
      <c r="M613" s="10" t="s">
        <v>67</v>
      </c>
      <c r="N613" s="4" t="b">
        <v>0</v>
      </c>
      <c r="O613" s="4" t="str">
        <f>VLOOKUP(A613,payment_ids!D:E,2,FALSE)</f>
        <v>upi</v>
      </c>
      <c r="P613" s="4" t="s">
        <v>69</v>
      </c>
      <c r="Q613" s="4" t="s">
        <v>3398</v>
      </c>
      <c r="R613" s="4"/>
      <c r="S613" s="12" t="s">
        <v>3328</v>
      </c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5"/>
      <c r="AI613" s="5"/>
      <c r="AJ613" s="5"/>
      <c r="AK613" s="5"/>
      <c r="AL613" s="5"/>
    </row>
    <row r="614">
      <c r="A614" s="4" t="str">
        <f>VLOOKUP(L614,payment_ids!C:D,2,FALSE)</f>
        <v>pay_HCA44cmYdMUabb</v>
      </c>
      <c r="B614" s="4"/>
      <c r="C614" s="4" t="s">
        <v>3326</v>
      </c>
      <c r="D614" s="4">
        <v>50030.0</v>
      </c>
      <c r="E614" s="4"/>
      <c r="F614" s="4">
        <v>3.0</v>
      </c>
      <c r="G614" s="4">
        <v>597.0</v>
      </c>
      <c r="H614" s="4"/>
      <c r="I614" s="4">
        <v>597.0</v>
      </c>
      <c r="J614" s="4" t="s">
        <v>3399</v>
      </c>
      <c r="K614" s="6">
        <f>+918489914323</f>
        <v>918489914323</v>
      </c>
      <c r="L614" s="4" t="str">
        <f t="shared" si="1"/>
        <v>jacob.reshma@gmail.com918489914323</v>
      </c>
      <c r="M614" s="10" t="s">
        <v>67</v>
      </c>
      <c r="N614" s="4" t="b">
        <v>0</v>
      </c>
      <c r="O614" s="4" t="str">
        <f>VLOOKUP(A614,payment_ids!D:E,2,FALSE)</f>
        <v>card</v>
      </c>
      <c r="P614" s="4" t="s">
        <v>69</v>
      </c>
      <c r="Q614" s="4" t="s">
        <v>3400</v>
      </c>
      <c r="R614" s="4"/>
      <c r="S614" s="12" t="s">
        <v>3328</v>
      </c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5"/>
      <c r="AI614" s="5"/>
      <c r="AJ614" s="5"/>
      <c r="AK614" s="5"/>
      <c r="AL614" s="5"/>
    </row>
    <row r="615">
      <c r="A615" s="4" t="str">
        <f>VLOOKUP(L615,payment_ids!C:D,2,FALSE)</f>
        <v>pay_HCYiDv6TODaDfC</v>
      </c>
      <c r="B615" s="4"/>
      <c r="C615" s="4" t="s">
        <v>3326</v>
      </c>
      <c r="D615" s="4">
        <v>50030.0</v>
      </c>
      <c r="E615" s="4"/>
      <c r="F615" s="4">
        <v>1.0</v>
      </c>
      <c r="G615" s="4">
        <v>197.0</v>
      </c>
      <c r="H615" s="4"/>
      <c r="I615" s="4">
        <v>197.0</v>
      </c>
      <c r="J615" s="4" t="s">
        <v>3401</v>
      </c>
      <c r="K615" s="6">
        <f>+919897045822</f>
        <v>919897045822</v>
      </c>
      <c r="L615" s="4" t="str">
        <f t="shared" si="1"/>
        <v>ajay45822@gmail.com919897045822</v>
      </c>
      <c r="M615" s="10" t="s">
        <v>67</v>
      </c>
      <c r="N615" s="4" t="b">
        <v>0</v>
      </c>
      <c r="O615" s="4" t="str">
        <f>VLOOKUP(A615,payment_ids!D:E,2,FALSE)</f>
        <v>card</v>
      </c>
      <c r="P615" s="4" t="s">
        <v>69</v>
      </c>
      <c r="Q615" s="4" t="s">
        <v>3402</v>
      </c>
      <c r="R615" s="4"/>
      <c r="S615" s="12" t="s">
        <v>3328</v>
      </c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5"/>
      <c r="AI615" s="5"/>
      <c r="AJ615" s="5"/>
      <c r="AK615" s="5"/>
      <c r="AL615" s="5"/>
    </row>
    <row r="616">
      <c r="A616" s="4" t="str">
        <f>VLOOKUP(L616,payment_ids!C:D,2,FALSE)</f>
        <v>pay_HD4tMJIw8GoTGQ</v>
      </c>
      <c r="B616" s="4"/>
      <c r="C616" s="4" t="s">
        <v>3326</v>
      </c>
      <c r="D616" s="4">
        <v>50030.0</v>
      </c>
      <c r="E616" s="4"/>
      <c r="F616" s="4">
        <v>3.0</v>
      </c>
      <c r="G616" s="4">
        <v>199.0</v>
      </c>
      <c r="H616" s="4"/>
      <c r="I616" s="4">
        <v>199.0</v>
      </c>
      <c r="J616" s="4" t="s">
        <v>3403</v>
      </c>
      <c r="K616" s="6">
        <f>+919538000167</f>
        <v>919538000167</v>
      </c>
      <c r="L616" s="4" t="str">
        <f t="shared" si="1"/>
        <v>raks921@gmail.com919538000167</v>
      </c>
      <c r="M616" s="10" t="s">
        <v>67</v>
      </c>
      <c r="N616" s="4" t="b">
        <v>0</v>
      </c>
      <c r="O616" s="4" t="str">
        <f>VLOOKUP(A616,payment_ids!D:E,2,FALSE)</f>
        <v>card</v>
      </c>
      <c r="P616" s="4" t="s">
        <v>69</v>
      </c>
      <c r="Q616" s="4" t="s">
        <v>3404</v>
      </c>
      <c r="R616" s="4"/>
      <c r="S616" s="12" t="s">
        <v>3328</v>
      </c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5"/>
      <c r="AI616" s="5"/>
      <c r="AJ616" s="5"/>
      <c r="AK616" s="5"/>
      <c r="AL616" s="5"/>
    </row>
    <row r="617">
      <c r="A617" s="4" t="str">
        <f>VLOOKUP(L617,payment_ids!C:D,2,FALSE)</f>
        <v>pay_HBnHaIMIUU8jKc</v>
      </c>
      <c r="B617" s="4"/>
      <c r="C617" s="4" t="s">
        <v>3326</v>
      </c>
      <c r="D617" s="4">
        <v>50030.0</v>
      </c>
      <c r="E617" s="4"/>
      <c r="F617" s="4">
        <v>1.0</v>
      </c>
      <c r="G617" s="4">
        <v>99.0</v>
      </c>
      <c r="H617" s="4"/>
      <c r="I617" s="4">
        <v>99.0</v>
      </c>
      <c r="J617" s="4" t="s">
        <v>3405</v>
      </c>
      <c r="K617" s="6">
        <f>+919110266512</f>
        <v>919110266512</v>
      </c>
      <c r="L617" s="4" t="str">
        <f t="shared" si="1"/>
        <v>anubhat268@gmail.com919110266512</v>
      </c>
      <c r="M617" s="10" t="s">
        <v>67</v>
      </c>
      <c r="N617" s="4" t="b">
        <v>0</v>
      </c>
      <c r="O617" s="4" t="str">
        <f>VLOOKUP(A617,payment_ids!D:E,2,FALSE)</f>
        <v>upi</v>
      </c>
      <c r="P617" s="4" t="s">
        <v>69</v>
      </c>
      <c r="Q617" s="4" t="s">
        <v>3406</v>
      </c>
      <c r="R617" s="4"/>
      <c r="S617" s="12" t="s">
        <v>3328</v>
      </c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5"/>
      <c r="AI617" s="5"/>
      <c r="AJ617" s="5"/>
      <c r="AK617" s="5"/>
      <c r="AL617" s="5"/>
    </row>
    <row r="618">
      <c r="A618" s="4" t="str">
        <f>VLOOKUP(L618,payment_ids!C:D,2,FALSE)</f>
        <v>pay_HDRcEOMzbhooVk</v>
      </c>
      <c r="B618" s="4"/>
      <c r="C618" s="4" t="s">
        <v>3326</v>
      </c>
      <c r="D618" s="4">
        <v>50030.0</v>
      </c>
      <c r="E618" s="4"/>
      <c r="F618" s="4">
        <v>1.0</v>
      </c>
      <c r="G618" s="4">
        <v>99.0</v>
      </c>
      <c r="H618" s="4"/>
      <c r="I618" s="4">
        <v>99.0</v>
      </c>
      <c r="J618" s="4" t="s">
        <v>3407</v>
      </c>
      <c r="K618" s="6">
        <f>+919833833899</f>
        <v>919833833899</v>
      </c>
      <c r="L618" s="4" t="str">
        <f t="shared" si="1"/>
        <v>awi00@hotmail.com919833833899</v>
      </c>
      <c r="M618" s="10" t="s">
        <v>67</v>
      </c>
      <c r="N618" s="4" t="b">
        <v>0</v>
      </c>
      <c r="O618" s="4" t="str">
        <f>VLOOKUP(A618,payment_ids!D:E,2,FALSE)</f>
        <v>card</v>
      </c>
      <c r="P618" s="4" t="s">
        <v>69</v>
      </c>
      <c r="Q618" s="4" t="s">
        <v>3408</v>
      </c>
      <c r="R618" s="4"/>
      <c r="S618" s="12" t="s">
        <v>3328</v>
      </c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5"/>
      <c r="AI618" s="5"/>
      <c r="AJ618" s="5"/>
      <c r="AK618" s="5"/>
      <c r="AL618" s="5"/>
    </row>
    <row r="619">
      <c r="A619" s="4" t="str">
        <f>VLOOKUP(L619,payment_ids!C:D,2,FALSE)</f>
        <v>pay_HDYNBdGQOtBwn7</v>
      </c>
      <c r="B619" s="4"/>
      <c r="C619" s="4" t="s">
        <v>3326</v>
      </c>
      <c r="D619" s="4">
        <v>50030.0</v>
      </c>
      <c r="E619" s="4"/>
      <c r="F619" s="4">
        <v>6.0</v>
      </c>
      <c r="G619" s="4">
        <v>349.0</v>
      </c>
      <c r="H619" s="4"/>
      <c r="I619" s="4">
        <v>349.0</v>
      </c>
      <c r="J619" s="4" t="s">
        <v>3409</v>
      </c>
      <c r="K619" s="6">
        <f>+918792841622</f>
        <v>918792841622</v>
      </c>
      <c r="L619" s="4" t="str">
        <f t="shared" si="1"/>
        <v>bibhursamal@gmail.com918792841622</v>
      </c>
      <c r="M619" s="10" t="s">
        <v>67</v>
      </c>
      <c r="N619" s="4" t="b">
        <v>0</v>
      </c>
      <c r="O619" s="4" t="str">
        <f>VLOOKUP(A619,payment_ids!D:E,2,FALSE)</f>
        <v>upi</v>
      </c>
      <c r="P619" s="4" t="s">
        <v>69</v>
      </c>
      <c r="Q619" s="4" t="s">
        <v>3410</v>
      </c>
      <c r="R619" s="4"/>
      <c r="S619" s="12" t="s">
        <v>3328</v>
      </c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5"/>
      <c r="AI619" s="5"/>
      <c r="AJ619" s="5"/>
      <c r="AK619" s="5"/>
      <c r="AL619" s="5"/>
    </row>
    <row r="620">
      <c r="A620" s="4" t="str">
        <f>VLOOKUP(L620,payment_ids!C:D,2,FALSE)</f>
        <v>pay_HDg3SMRCR9Pyuo</v>
      </c>
      <c r="B620" s="4"/>
      <c r="C620" s="4" t="s">
        <v>3326</v>
      </c>
      <c r="D620" s="4">
        <v>50030.0</v>
      </c>
      <c r="E620" s="4"/>
      <c r="F620" s="4">
        <v>1.0</v>
      </c>
      <c r="G620" s="4">
        <v>99.0</v>
      </c>
      <c r="H620" s="4"/>
      <c r="I620" s="4">
        <v>99.0</v>
      </c>
      <c r="J620" s="4" t="s">
        <v>3411</v>
      </c>
      <c r="K620" s="6">
        <f>+919847222503</f>
        <v>919847222503</v>
      </c>
      <c r="L620" s="4" t="str">
        <f t="shared" si="1"/>
        <v>nandini18prabhu@gmail.com919847222503</v>
      </c>
      <c r="M620" s="10" t="s">
        <v>67</v>
      </c>
      <c r="N620" s="4" t="b">
        <v>0</v>
      </c>
      <c r="O620" s="4" t="str">
        <f>VLOOKUP(A620,payment_ids!D:E,2,FALSE)</f>
        <v>upi</v>
      </c>
      <c r="P620" s="4" t="s">
        <v>69</v>
      </c>
      <c r="Q620" s="4" t="s">
        <v>3412</v>
      </c>
      <c r="R620" s="4"/>
      <c r="S620" s="12" t="s">
        <v>3328</v>
      </c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5"/>
      <c r="AI620" s="5"/>
      <c r="AJ620" s="5"/>
      <c r="AK620" s="5"/>
      <c r="AL620" s="5"/>
    </row>
    <row r="621">
      <c r="A621" s="4" t="str">
        <f>VLOOKUP(L621,payment_ids!C:D,2,FALSE)</f>
        <v>pay_HDktF2vm93p17v</v>
      </c>
      <c r="B621" s="4"/>
      <c r="C621" s="4" t="s">
        <v>3326</v>
      </c>
      <c r="D621" s="4">
        <v>50030.0</v>
      </c>
      <c r="E621" s="4"/>
      <c r="F621" s="4">
        <v>1.0</v>
      </c>
      <c r="G621" s="4">
        <v>99.0</v>
      </c>
      <c r="H621" s="4"/>
      <c r="I621" s="4">
        <v>99.0</v>
      </c>
      <c r="J621" s="4" t="s">
        <v>3413</v>
      </c>
      <c r="K621" s="6">
        <f>+918076029328</f>
        <v>918076029328</v>
      </c>
      <c r="L621" s="4" t="str">
        <f t="shared" si="1"/>
        <v>viplove1998bhardwaj@gmail.com918076029328</v>
      </c>
      <c r="M621" s="10" t="s">
        <v>67</v>
      </c>
      <c r="N621" s="4" t="b">
        <v>0</v>
      </c>
      <c r="O621" s="4" t="str">
        <f>VLOOKUP(A621,payment_ids!D:E,2,FALSE)</f>
        <v>upi</v>
      </c>
      <c r="P621" s="4" t="s">
        <v>69</v>
      </c>
      <c r="Q621" s="4" t="s">
        <v>3414</v>
      </c>
      <c r="R621" s="4"/>
      <c r="S621" s="12" t="s">
        <v>3328</v>
      </c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5"/>
      <c r="AI621" s="5"/>
      <c r="AJ621" s="5"/>
      <c r="AK621" s="5"/>
      <c r="AL621" s="5"/>
    </row>
    <row r="622">
      <c r="A622" s="4" t="str">
        <f>VLOOKUP(L622,payment_ids!C:D,2,FALSE)</f>
        <v>pay_HDlSn5vhNVAIwE</v>
      </c>
      <c r="B622" s="4"/>
      <c r="C622" s="4" t="s">
        <v>3326</v>
      </c>
      <c r="D622" s="4">
        <v>50030.0</v>
      </c>
      <c r="E622" s="4"/>
      <c r="F622" s="4">
        <v>1.0</v>
      </c>
      <c r="G622" s="4">
        <v>99.0</v>
      </c>
      <c r="H622" s="4"/>
      <c r="I622" s="4">
        <v>99.0</v>
      </c>
      <c r="J622" s="4" t="s">
        <v>3415</v>
      </c>
      <c r="K622" s="6">
        <f>+917017531711</f>
        <v>917017531711</v>
      </c>
      <c r="L622" s="4" t="str">
        <f t="shared" si="1"/>
        <v>tarunchauhan199908@gmail.com917017531711</v>
      </c>
      <c r="M622" s="10" t="s">
        <v>67</v>
      </c>
      <c r="N622" s="4" t="b">
        <v>0</v>
      </c>
      <c r="O622" s="4" t="str">
        <f>VLOOKUP(A622,payment_ids!D:E,2,FALSE)</f>
        <v>upi</v>
      </c>
      <c r="P622" s="4" t="s">
        <v>69</v>
      </c>
      <c r="Q622" s="4" t="s">
        <v>3416</v>
      </c>
      <c r="R622" s="4"/>
      <c r="S622" s="12" t="s">
        <v>3328</v>
      </c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5"/>
      <c r="AI622" s="5"/>
      <c r="AJ622" s="5"/>
      <c r="AK622" s="5"/>
      <c r="AL622" s="5"/>
    </row>
    <row r="623">
      <c r="A623" s="4" t="str">
        <f>VLOOKUP(L623,payment_ids!C:D,2,FALSE)</f>
        <v>pay_HE4j9pBCNtXhXv</v>
      </c>
      <c r="B623" s="4"/>
      <c r="C623" s="4" t="s">
        <v>3326</v>
      </c>
      <c r="D623" s="4">
        <v>50030.0</v>
      </c>
      <c r="E623" s="4"/>
      <c r="F623" s="4">
        <v>3.0</v>
      </c>
      <c r="G623" s="4">
        <v>199.0</v>
      </c>
      <c r="H623" s="4"/>
      <c r="I623" s="4">
        <v>199.0</v>
      </c>
      <c r="J623" s="4" t="s">
        <v>3417</v>
      </c>
      <c r="K623" s="6">
        <f>+919789864634</f>
        <v>919789864634</v>
      </c>
      <c r="L623" s="4" t="str">
        <f t="shared" si="1"/>
        <v>manojjraja.m@gmail.com919789864634</v>
      </c>
      <c r="M623" s="10" t="s">
        <v>67</v>
      </c>
      <c r="N623" s="4" t="b">
        <v>0</v>
      </c>
      <c r="O623" s="4" t="str">
        <f>VLOOKUP(A623,payment_ids!D:E,2,FALSE)</f>
        <v>upi</v>
      </c>
      <c r="P623" s="4" t="s">
        <v>69</v>
      </c>
      <c r="Q623" s="4" t="s">
        <v>3418</v>
      </c>
      <c r="R623" s="4"/>
      <c r="S623" s="12" t="s">
        <v>3328</v>
      </c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5"/>
      <c r="AI623" s="5"/>
      <c r="AJ623" s="5"/>
      <c r="AK623" s="5"/>
      <c r="AL623" s="5"/>
    </row>
    <row r="624">
      <c r="A624" s="4" t="str">
        <f>VLOOKUP(L624,payment_ids!C:D,2,FALSE)</f>
        <v>pay_HEHXBlUdF2HV3Z</v>
      </c>
      <c r="B624" s="4"/>
      <c r="C624" s="4" t="s">
        <v>3326</v>
      </c>
      <c r="D624" s="4">
        <v>50030.0</v>
      </c>
      <c r="E624" s="4"/>
      <c r="F624" s="4">
        <v>1.0</v>
      </c>
      <c r="G624" s="4">
        <v>99.0</v>
      </c>
      <c r="H624" s="4"/>
      <c r="I624" s="4">
        <v>99.0</v>
      </c>
      <c r="J624" s="4" t="s">
        <v>3419</v>
      </c>
      <c r="K624" s="6">
        <f>+919954245724</f>
        <v>919954245724</v>
      </c>
      <c r="L624" s="4" t="str">
        <f t="shared" si="1"/>
        <v>rsraviravi555@gmail.com919954245724</v>
      </c>
      <c r="M624" s="10" t="s">
        <v>67</v>
      </c>
      <c r="N624" s="4" t="b">
        <v>0</v>
      </c>
      <c r="O624" s="4" t="str">
        <f>VLOOKUP(A624,payment_ids!D:E,2,FALSE)</f>
        <v>wallet</v>
      </c>
      <c r="P624" s="4" t="s">
        <v>69</v>
      </c>
      <c r="Q624" s="4" t="s">
        <v>3420</v>
      </c>
      <c r="R624" s="4"/>
      <c r="S624" s="12" t="s">
        <v>3328</v>
      </c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5"/>
      <c r="AI624" s="5"/>
      <c r="AJ624" s="5"/>
      <c r="AK624" s="5"/>
      <c r="AL624" s="5"/>
    </row>
    <row r="625">
      <c r="A625" s="4" t="str">
        <f>VLOOKUP(L625,payment_ids!C:D,2,FALSE)</f>
        <v>pay_HDtvNmWxgoNGtQ</v>
      </c>
      <c r="B625" s="4"/>
      <c r="C625" s="4" t="s">
        <v>3326</v>
      </c>
      <c r="D625" s="4">
        <v>50030.0</v>
      </c>
      <c r="E625" s="4"/>
      <c r="F625" s="4">
        <v>6.0</v>
      </c>
      <c r="G625" s="4">
        <v>349.0</v>
      </c>
      <c r="H625" s="4"/>
      <c r="I625" s="4">
        <v>349.0</v>
      </c>
      <c r="J625" s="4" t="s">
        <v>3034</v>
      </c>
      <c r="K625" s="6">
        <f>+918144383673</f>
        <v>918144383673</v>
      </c>
      <c r="L625" s="4" t="str">
        <f t="shared" si="1"/>
        <v>lopanayak1993@gmail.com918144383673</v>
      </c>
      <c r="M625" s="10" t="s">
        <v>67</v>
      </c>
      <c r="N625" s="4" t="b">
        <v>0</v>
      </c>
      <c r="O625" s="4" t="str">
        <f>VLOOKUP(A625,payment_ids!D:E,2,FALSE)</f>
        <v>upi</v>
      </c>
      <c r="P625" s="4" t="s">
        <v>69</v>
      </c>
      <c r="Q625" s="4" t="s">
        <v>3421</v>
      </c>
      <c r="R625" s="4"/>
      <c r="S625" s="12" t="s">
        <v>3328</v>
      </c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5"/>
      <c r="AI625" s="5"/>
      <c r="AJ625" s="5"/>
      <c r="AK625" s="5"/>
      <c r="AL625" s="5"/>
    </row>
    <row r="626">
      <c r="A626" s="4" t="str">
        <f>VLOOKUP(L626,payment_ids!C:D,2,FALSE)</f>
        <v>pay_HESvy44GM9VR1s</v>
      </c>
      <c r="B626" s="4"/>
      <c r="C626" s="4" t="s">
        <v>3326</v>
      </c>
      <c r="D626" s="4">
        <v>50030.0</v>
      </c>
      <c r="E626" s="4"/>
      <c r="F626" s="4">
        <v>1.0</v>
      </c>
      <c r="G626" s="4">
        <v>99.0</v>
      </c>
      <c r="H626" s="4"/>
      <c r="I626" s="4">
        <v>99.0</v>
      </c>
      <c r="J626" s="4" t="s">
        <v>3422</v>
      </c>
      <c r="K626" s="6">
        <f>+919940179422</f>
        <v>919940179422</v>
      </c>
      <c r="L626" s="4" t="str">
        <f t="shared" si="1"/>
        <v>devi.senth17@gmail.com919940179422</v>
      </c>
      <c r="M626" s="10" t="s">
        <v>67</v>
      </c>
      <c r="N626" s="4" t="b">
        <v>0</v>
      </c>
      <c r="O626" s="4" t="str">
        <f>VLOOKUP(A626,payment_ids!D:E,2,FALSE)</f>
        <v>upi</v>
      </c>
      <c r="P626" s="4" t="s">
        <v>69</v>
      </c>
      <c r="Q626" s="4" t="s">
        <v>3423</v>
      </c>
      <c r="R626" s="4"/>
      <c r="S626" s="12" t="s">
        <v>3328</v>
      </c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5"/>
      <c r="AI626" s="5"/>
      <c r="AJ626" s="5"/>
      <c r="AK626" s="5"/>
      <c r="AL626" s="5"/>
    </row>
    <row r="627">
      <c r="A627" s="4" t="str">
        <f>VLOOKUP(L627,payment_ids!C:D,2,FALSE)</f>
        <v>pay_HETw6G5IiSfsBQ</v>
      </c>
      <c r="B627" s="4"/>
      <c r="C627" s="4" t="s">
        <v>3326</v>
      </c>
      <c r="D627" s="4">
        <v>50030.0</v>
      </c>
      <c r="E627" s="4"/>
      <c r="F627" s="4">
        <v>1.0</v>
      </c>
      <c r="G627" s="4">
        <v>99.0</v>
      </c>
      <c r="H627" s="4"/>
      <c r="I627" s="4">
        <v>99.0</v>
      </c>
      <c r="J627" s="4" t="s">
        <v>3424</v>
      </c>
      <c r="K627" s="6">
        <f>+919535490066</f>
        <v>919535490066</v>
      </c>
      <c r="L627" s="4" t="str">
        <f t="shared" si="1"/>
        <v>srishti.tomar2209@gmail.com919535490066</v>
      </c>
      <c r="M627" s="10" t="s">
        <v>67</v>
      </c>
      <c r="N627" s="4" t="b">
        <v>0</v>
      </c>
      <c r="O627" s="4" t="str">
        <f>VLOOKUP(A627,payment_ids!D:E,2,FALSE)</f>
        <v>upi</v>
      </c>
      <c r="P627" s="4" t="s">
        <v>69</v>
      </c>
      <c r="Q627" s="4" t="s">
        <v>3425</v>
      </c>
      <c r="R627" s="4"/>
      <c r="S627" s="12" t="s">
        <v>3328</v>
      </c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5"/>
      <c r="AI627" s="5"/>
      <c r="AJ627" s="5"/>
      <c r="AK627" s="5"/>
      <c r="AL627" s="5"/>
    </row>
    <row r="628">
      <c r="A628" s="4" t="str">
        <f>VLOOKUP(L628,payment_ids!C:D,2,FALSE)</f>
        <v>pay_HEX1mQq07ksPqd</v>
      </c>
      <c r="B628" s="4"/>
      <c r="C628" s="4" t="s">
        <v>3326</v>
      </c>
      <c r="D628" s="4">
        <v>50030.0</v>
      </c>
      <c r="E628" s="4"/>
      <c r="F628" s="4">
        <v>3.0</v>
      </c>
      <c r="G628" s="4">
        <v>199.0</v>
      </c>
      <c r="H628" s="4"/>
      <c r="I628" s="4">
        <v>199.0</v>
      </c>
      <c r="J628" s="4" t="s">
        <v>3426</v>
      </c>
      <c r="K628" s="6">
        <f>+917397163084</f>
        <v>917397163084</v>
      </c>
      <c r="L628" s="4" t="str">
        <f t="shared" si="1"/>
        <v>yasodhavijibhat@gmail.com917397163084</v>
      </c>
      <c r="M628" s="10" t="s">
        <v>67</v>
      </c>
      <c r="N628" s="4" t="b">
        <v>0</v>
      </c>
      <c r="O628" s="4" t="str">
        <f>VLOOKUP(A628,payment_ids!D:E,2,FALSE)</f>
        <v>upi</v>
      </c>
      <c r="P628" s="4" t="s">
        <v>69</v>
      </c>
      <c r="Q628" s="4" t="s">
        <v>3427</v>
      </c>
      <c r="R628" s="4"/>
      <c r="S628" s="12" t="s">
        <v>3328</v>
      </c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5"/>
      <c r="AI628" s="5"/>
      <c r="AJ628" s="5"/>
      <c r="AK628" s="5"/>
      <c r="AL628" s="5"/>
    </row>
    <row r="629">
      <c r="A629" s="4" t="str">
        <f>VLOOKUP(L629,payment_ids!C:D,2,FALSE)</f>
        <v>pay_HEcN3Ndf8aTXTA</v>
      </c>
      <c r="B629" s="4"/>
      <c r="C629" s="4" t="s">
        <v>3326</v>
      </c>
      <c r="D629" s="4">
        <v>50030.0</v>
      </c>
      <c r="E629" s="4"/>
      <c r="F629" s="4">
        <v>6.0</v>
      </c>
      <c r="G629" s="4">
        <v>349.0</v>
      </c>
      <c r="H629" s="4"/>
      <c r="I629" s="4">
        <v>349.0</v>
      </c>
      <c r="J629" s="4" t="s">
        <v>3428</v>
      </c>
      <c r="K629" s="6">
        <f>+917415506133</f>
        <v>917415506133</v>
      </c>
      <c r="L629" s="4" t="str">
        <f t="shared" si="1"/>
        <v>ambitiousshefali131@gmail.com917415506133</v>
      </c>
      <c r="M629" s="10" t="s">
        <v>67</v>
      </c>
      <c r="N629" s="4" t="b">
        <v>0</v>
      </c>
      <c r="O629" s="4" t="str">
        <f>VLOOKUP(A629,payment_ids!D:E,2,FALSE)</f>
        <v>upi</v>
      </c>
      <c r="P629" s="4" t="s">
        <v>69</v>
      </c>
      <c r="Q629" s="4" t="s">
        <v>3429</v>
      </c>
      <c r="R629" s="4"/>
      <c r="S629" s="12" t="s">
        <v>3328</v>
      </c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5"/>
      <c r="AI629" s="5"/>
      <c r="AJ629" s="5"/>
      <c r="AK629" s="5"/>
      <c r="AL629" s="5"/>
    </row>
    <row r="630">
      <c r="A630" s="4" t="str">
        <f>VLOOKUP(L630,payment_ids!C:D,2,FALSE)</f>
        <v>pay_HEf08GQakXF7FR</v>
      </c>
      <c r="B630" s="4"/>
      <c r="C630" s="4" t="s">
        <v>3326</v>
      </c>
      <c r="D630" s="4">
        <v>50030.0</v>
      </c>
      <c r="E630" s="4"/>
      <c r="F630" s="4">
        <v>1.0</v>
      </c>
      <c r="G630" s="4">
        <v>99.0</v>
      </c>
      <c r="H630" s="4"/>
      <c r="I630" s="4">
        <v>99.0</v>
      </c>
      <c r="J630" s="4" t="s">
        <v>3430</v>
      </c>
      <c r="K630" s="6">
        <f>+918826229592</f>
        <v>918826229592</v>
      </c>
      <c r="L630" s="4" t="str">
        <f t="shared" si="1"/>
        <v>ankitishan14@gmail.com918826229592</v>
      </c>
      <c r="M630" s="10" t="s">
        <v>67</v>
      </c>
      <c r="N630" s="4" t="b">
        <v>0</v>
      </c>
      <c r="O630" s="4" t="str">
        <f>VLOOKUP(A630,payment_ids!D:E,2,FALSE)</f>
        <v>upi</v>
      </c>
      <c r="P630" s="4" t="s">
        <v>69</v>
      </c>
      <c r="Q630" s="4" t="s">
        <v>3431</v>
      </c>
      <c r="R630" s="4"/>
      <c r="S630" s="12" t="s">
        <v>3328</v>
      </c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5"/>
      <c r="AI630" s="5"/>
      <c r="AJ630" s="5"/>
      <c r="AK630" s="5"/>
      <c r="AL630" s="5"/>
    </row>
    <row r="631">
      <c r="A631" s="4" t="str">
        <f>VLOOKUP(L631,payment_ids!C:D,2,FALSE)</f>
        <v>pay_HEjbUbgh4VEDzN</v>
      </c>
      <c r="B631" s="4"/>
      <c r="C631" s="4" t="s">
        <v>3326</v>
      </c>
      <c r="D631" s="4">
        <v>50030.0</v>
      </c>
      <c r="E631" s="4"/>
      <c r="F631" s="4">
        <v>6.0</v>
      </c>
      <c r="G631" s="4">
        <v>349.0</v>
      </c>
      <c r="H631" s="4"/>
      <c r="I631" s="4">
        <v>349.0</v>
      </c>
      <c r="J631" s="4" t="s">
        <v>3432</v>
      </c>
      <c r="K631" s="6">
        <f>+919000993239</f>
        <v>919000993239</v>
      </c>
      <c r="L631" s="4" t="str">
        <f t="shared" si="1"/>
        <v>sambraninagraj@gmail.com919000993239</v>
      </c>
      <c r="M631" s="10" t="s">
        <v>67</v>
      </c>
      <c r="N631" s="4" t="b">
        <v>0</v>
      </c>
      <c r="O631" s="4" t="str">
        <f>VLOOKUP(A631,payment_ids!D:E,2,FALSE)</f>
        <v>wallet</v>
      </c>
      <c r="P631" s="4" t="s">
        <v>69</v>
      </c>
      <c r="Q631" s="4" t="s">
        <v>3433</v>
      </c>
      <c r="R631" s="4"/>
      <c r="S631" s="12" t="s">
        <v>3328</v>
      </c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5"/>
      <c r="AI631" s="5"/>
      <c r="AJ631" s="5"/>
      <c r="AK631" s="5"/>
      <c r="AL631" s="5"/>
    </row>
    <row r="632">
      <c r="A632" s="4" t="str">
        <f>VLOOKUP(L632,payment_ids!C:D,2,FALSE)</f>
        <v>pay_HCelYpG84OQq37</v>
      </c>
      <c r="B632" s="4"/>
      <c r="C632" s="4" t="s">
        <v>3326</v>
      </c>
      <c r="D632" s="4">
        <v>50030.0</v>
      </c>
      <c r="E632" s="4"/>
      <c r="F632" s="4">
        <v>1.0</v>
      </c>
      <c r="G632" s="4">
        <v>99.0</v>
      </c>
      <c r="H632" s="4"/>
      <c r="I632" s="4">
        <v>99.0</v>
      </c>
      <c r="J632" s="4" t="s">
        <v>3434</v>
      </c>
      <c r="K632" s="6">
        <f>+918308570267</f>
        <v>918308570267</v>
      </c>
      <c r="L632" s="4" t="str">
        <f t="shared" si="1"/>
        <v>varunmahale1993@gmail.com918308570267</v>
      </c>
      <c r="M632" s="10" t="s">
        <v>67</v>
      </c>
      <c r="N632" s="4" t="b">
        <v>0</v>
      </c>
      <c r="O632" s="4" t="str">
        <f>VLOOKUP(A632,payment_ids!D:E,2,FALSE)</f>
        <v>card</v>
      </c>
      <c r="P632" s="4" t="s">
        <v>69</v>
      </c>
      <c r="Q632" s="4" t="s">
        <v>3435</v>
      </c>
      <c r="R632" s="4"/>
      <c r="S632" s="12" t="s">
        <v>3328</v>
      </c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5"/>
      <c r="AI632" s="5"/>
      <c r="AJ632" s="5"/>
      <c r="AK632" s="5"/>
      <c r="AL632" s="5"/>
    </row>
    <row r="633">
      <c r="A633" s="4" t="str">
        <f>VLOOKUP(L633,payment_ids!C:D,2,FALSE)</f>
        <v>pay_HF3JwZ9JrlBp3v</v>
      </c>
      <c r="B633" s="4"/>
      <c r="C633" s="4" t="s">
        <v>3326</v>
      </c>
      <c r="D633" s="4">
        <v>50030.0</v>
      </c>
      <c r="E633" s="4"/>
      <c r="F633" s="4">
        <v>6.0</v>
      </c>
      <c r="G633" s="4">
        <v>349.0</v>
      </c>
      <c r="H633" s="4"/>
      <c r="I633" s="4">
        <v>349.0</v>
      </c>
      <c r="J633" s="4" t="s">
        <v>3436</v>
      </c>
      <c r="K633" s="6">
        <f>+919354634683</f>
        <v>919354634683</v>
      </c>
      <c r="L633" s="4" t="str">
        <f t="shared" si="1"/>
        <v>nitu@decluttersolutions.in919354634683</v>
      </c>
      <c r="M633" s="10" t="s">
        <v>67</v>
      </c>
      <c r="N633" s="4" t="b">
        <v>0</v>
      </c>
      <c r="O633" s="4" t="str">
        <f>VLOOKUP(A633,payment_ids!D:E,2,FALSE)</f>
        <v>upi</v>
      </c>
      <c r="P633" s="4" t="s">
        <v>69</v>
      </c>
      <c r="Q633" s="4" t="s">
        <v>3437</v>
      </c>
      <c r="R633" s="4"/>
      <c r="S633" s="12" t="s">
        <v>3328</v>
      </c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5"/>
      <c r="AI633" s="5"/>
      <c r="AJ633" s="5"/>
      <c r="AK633" s="5"/>
      <c r="AL633" s="5"/>
    </row>
    <row r="634">
      <c r="A634" s="4" t="str">
        <f>VLOOKUP(L634,payment_ids!C:D,2,FALSE)</f>
        <v>pay_HF5lnE9GiUzzvt</v>
      </c>
      <c r="B634" s="4"/>
      <c r="C634" s="4" t="s">
        <v>3326</v>
      </c>
      <c r="D634" s="4">
        <v>50030.0</v>
      </c>
      <c r="E634" s="4"/>
      <c r="F634" s="4">
        <v>1.0</v>
      </c>
      <c r="G634" s="4">
        <v>99.0</v>
      </c>
      <c r="H634" s="4"/>
      <c r="I634" s="4">
        <v>99.0</v>
      </c>
      <c r="J634" s="4" t="s">
        <v>3438</v>
      </c>
      <c r="K634" s="6">
        <f>+919855171712</f>
        <v>919855171712</v>
      </c>
      <c r="L634" s="4" t="str">
        <f t="shared" si="1"/>
        <v>manvinder.minni78@gmail.com919855171712</v>
      </c>
      <c r="M634" s="10" t="s">
        <v>67</v>
      </c>
      <c r="N634" s="4" t="b">
        <v>0</v>
      </c>
      <c r="O634" s="4" t="str">
        <f>VLOOKUP(A634,payment_ids!D:E,2,FALSE)</f>
        <v>card</v>
      </c>
      <c r="P634" s="4" t="s">
        <v>69</v>
      </c>
      <c r="Q634" s="4" t="s">
        <v>3439</v>
      </c>
      <c r="R634" s="4"/>
      <c r="S634" s="12" t="s">
        <v>3328</v>
      </c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5"/>
      <c r="AI634" s="5"/>
      <c r="AJ634" s="5"/>
      <c r="AK634" s="5"/>
      <c r="AL634" s="5"/>
    </row>
    <row r="635">
      <c r="A635" s="4" t="str">
        <f>VLOOKUP(L635,payment_ids!C:D,2,FALSE)</f>
        <v>pay_HFHYyskt6G0hkh</v>
      </c>
      <c r="B635" s="4"/>
      <c r="C635" s="4" t="s">
        <v>3326</v>
      </c>
      <c r="D635" s="4">
        <v>50030.0</v>
      </c>
      <c r="E635" s="5"/>
      <c r="F635" s="4">
        <v>1.0</v>
      </c>
      <c r="G635" s="4">
        <v>99.0</v>
      </c>
      <c r="H635" s="4"/>
      <c r="I635" s="4">
        <v>99.0</v>
      </c>
      <c r="J635" s="4" t="s">
        <v>3440</v>
      </c>
      <c r="K635" s="5">
        <f>+919408686381</f>
        <v>919408686381</v>
      </c>
      <c r="L635" s="4" t="str">
        <f t="shared" si="1"/>
        <v>bhumip4@gmail.com919408686381</v>
      </c>
      <c r="M635" s="10" t="s">
        <v>67</v>
      </c>
      <c r="N635" s="4" t="b">
        <v>0</v>
      </c>
      <c r="O635" s="4" t="str">
        <f>VLOOKUP(A635,payment_ids!D:E,2,FALSE)</f>
        <v>upi</v>
      </c>
      <c r="P635" s="4" t="s">
        <v>69</v>
      </c>
      <c r="Q635" s="4" t="s">
        <v>3441</v>
      </c>
      <c r="R635" s="4"/>
      <c r="S635" s="12" t="s">
        <v>3328</v>
      </c>
      <c r="T635" s="5"/>
      <c r="U635" s="4"/>
      <c r="V635" s="4"/>
      <c r="W635" s="4"/>
      <c r="X635" s="4"/>
      <c r="Y635" s="4"/>
      <c r="Z635" s="4"/>
      <c r="AA635" s="4"/>
      <c r="AB635" s="4"/>
      <c r="AC635" s="7"/>
      <c r="AD635" s="4"/>
      <c r="AE635" s="4"/>
      <c r="AF635" s="4"/>
      <c r="AG635" s="4"/>
      <c r="AH635" s="5"/>
      <c r="AI635" s="5"/>
      <c r="AJ635" s="5"/>
      <c r="AK635" s="5"/>
      <c r="AL635" s="5"/>
    </row>
    <row r="636">
      <c r="A636" s="4" t="str">
        <f>VLOOKUP(L636,payment_ids!C:D,2,FALSE)</f>
        <v>pay_HFK73Hr2cp6ORK</v>
      </c>
      <c r="B636" s="4"/>
      <c r="C636" s="4" t="s">
        <v>3326</v>
      </c>
      <c r="D636" s="4">
        <v>50030.0</v>
      </c>
      <c r="E636" s="5"/>
      <c r="F636" s="4">
        <v>1.0</v>
      </c>
      <c r="G636" s="4">
        <v>99.0</v>
      </c>
      <c r="H636" s="4"/>
      <c r="I636" s="4">
        <v>99.0</v>
      </c>
      <c r="J636" s="4" t="s">
        <v>3442</v>
      </c>
      <c r="K636" s="5">
        <f>+918545904323</f>
        <v>918545904323</v>
      </c>
      <c r="L636" s="4" t="str">
        <f t="shared" si="1"/>
        <v>anmol.agnihotri.98@gmail.com918545904323</v>
      </c>
      <c r="M636" s="10" t="s">
        <v>67</v>
      </c>
      <c r="N636" s="4" t="b">
        <v>0</v>
      </c>
      <c r="O636" s="4" t="str">
        <f>VLOOKUP(A636,payment_ids!D:E,2,FALSE)</f>
        <v>upi</v>
      </c>
      <c r="P636" s="4" t="s">
        <v>69</v>
      </c>
      <c r="Q636" s="4" t="s">
        <v>3443</v>
      </c>
      <c r="R636" s="4"/>
      <c r="S636" s="12" t="s">
        <v>3328</v>
      </c>
      <c r="T636" s="5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5"/>
      <c r="AI636" s="5"/>
      <c r="AJ636" s="5"/>
      <c r="AK636" s="5"/>
      <c r="AL636" s="5"/>
    </row>
    <row r="637">
      <c r="A637" s="4" t="str">
        <f>VLOOKUP(L637,payment_ids!C:D,2,FALSE)</f>
        <v>pay_HG4oQIKrOxQQpe</v>
      </c>
      <c r="B637" s="4"/>
      <c r="C637" s="4" t="s">
        <v>3326</v>
      </c>
      <c r="D637" s="4">
        <v>50030.0</v>
      </c>
      <c r="E637" s="5"/>
      <c r="F637" s="4">
        <v>1.0</v>
      </c>
      <c r="G637" s="4">
        <v>99.0</v>
      </c>
      <c r="H637" s="4"/>
      <c r="I637" s="4">
        <v>99.0</v>
      </c>
      <c r="J637" s="4" t="s">
        <v>3444</v>
      </c>
      <c r="K637" s="5">
        <f>+919088084580</f>
        <v>919088084580</v>
      </c>
      <c r="L637" s="4" t="str">
        <f t="shared" si="1"/>
        <v>aditisharmaaadi1735@gmail.com919088084580</v>
      </c>
      <c r="M637" s="10" t="s">
        <v>67</v>
      </c>
      <c r="N637" s="4" t="b">
        <v>0</v>
      </c>
      <c r="O637" s="4" t="str">
        <f>VLOOKUP(A637,payment_ids!D:E,2,FALSE)</f>
        <v>upi</v>
      </c>
      <c r="P637" s="4" t="s">
        <v>69</v>
      </c>
      <c r="Q637" s="4" t="s">
        <v>3445</v>
      </c>
      <c r="R637" s="4"/>
      <c r="S637" s="12" t="s">
        <v>3328</v>
      </c>
      <c r="T637" s="5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5"/>
      <c r="AI637" s="5"/>
      <c r="AJ637" s="5"/>
      <c r="AK637" s="5"/>
      <c r="AL637" s="5"/>
    </row>
    <row r="638">
      <c r="A638" s="4" t="str">
        <f>VLOOKUP(L638,payment_ids!C:D,2,FALSE)</f>
        <v>pay_HG5CYB6bGM0VWj</v>
      </c>
      <c r="B638" s="4"/>
      <c r="C638" s="4" t="s">
        <v>3326</v>
      </c>
      <c r="D638" s="4">
        <v>50030.0</v>
      </c>
      <c r="E638" s="5"/>
      <c r="F638" s="4">
        <v>1.0</v>
      </c>
      <c r="G638" s="4">
        <v>99.0</v>
      </c>
      <c r="H638" s="4"/>
      <c r="I638" s="4">
        <v>99.0</v>
      </c>
      <c r="J638" s="4" t="s">
        <v>3446</v>
      </c>
      <c r="K638" s="5">
        <f>+917347377674</f>
        <v>917347377674</v>
      </c>
      <c r="L638" s="4" t="str">
        <f t="shared" si="1"/>
        <v>krunika07@gmail.com917347377674</v>
      </c>
      <c r="M638" s="10" t="s">
        <v>67</v>
      </c>
      <c r="N638" s="4" t="b">
        <v>0</v>
      </c>
      <c r="O638" s="4" t="str">
        <f>VLOOKUP(A638,payment_ids!D:E,2,FALSE)</f>
        <v>card</v>
      </c>
      <c r="P638" s="4" t="s">
        <v>69</v>
      </c>
      <c r="Q638" s="4" t="s">
        <v>3447</v>
      </c>
      <c r="R638" s="4"/>
      <c r="S638" s="12" t="s">
        <v>3328</v>
      </c>
      <c r="T638" s="5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5"/>
      <c r="AI638" s="5"/>
      <c r="AJ638" s="5"/>
      <c r="AK638" s="5"/>
      <c r="AL638" s="5"/>
    </row>
    <row r="639">
      <c r="A639" s="4" t="str">
        <f>VLOOKUP(L639,payment_ids!C:D,2,FALSE)</f>
        <v>pay_HG7tEmYc14EwKX</v>
      </c>
      <c r="B639" s="4"/>
      <c r="C639" s="4" t="s">
        <v>3326</v>
      </c>
      <c r="D639" s="4">
        <v>50030.0</v>
      </c>
      <c r="E639" s="5"/>
      <c r="F639" s="4">
        <v>1.0</v>
      </c>
      <c r="G639" s="4">
        <v>99.0</v>
      </c>
      <c r="H639" s="4"/>
      <c r="I639" s="4">
        <v>99.0</v>
      </c>
      <c r="J639" s="4" t="s">
        <v>3448</v>
      </c>
      <c r="K639" s="5">
        <f>+919933845766</f>
        <v>919933845766</v>
      </c>
      <c r="L639" s="4" t="str">
        <f t="shared" si="1"/>
        <v>suserifuchimoto@gmail.com919933845766</v>
      </c>
      <c r="M639" s="10" t="s">
        <v>67</v>
      </c>
      <c r="N639" s="4" t="b">
        <v>0</v>
      </c>
      <c r="O639" s="4" t="str">
        <f>VLOOKUP(A639,payment_ids!D:E,2,FALSE)</f>
        <v>upi</v>
      </c>
      <c r="P639" s="4" t="s">
        <v>69</v>
      </c>
      <c r="Q639" s="4" t="s">
        <v>3449</v>
      </c>
      <c r="R639" s="4"/>
      <c r="S639" s="12" t="s">
        <v>3328</v>
      </c>
      <c r="T639" s="5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5"/>
      <c r="AI639" s="5"/>
      <c r="AJ639" s="5"/>
      <c r="AK639" s="5"/>
      <c r="AL639" s="5"/>
    </row>
    <row r="640">
      <c r="A640" s="4" t="str">
        <f>VLOOKUP(L640,payment_ids!C:D,2,FALSE)</f>
        <v>pay_HG9GCt31CTVRrF</v>
      </c>
      <c r="B640" s="4"/>
      <c r="C640" s="4" t="s">
        <v>3326</v>
      </c>
      <c r="D640" s="4">
        <v>50030.0</v>
      </c>
      <c r="E640" s="5"/>
      <c r="F640" s="4">
        <v>6.0</v>
      </c>
      <c r="G640" s="4">
        <v>349.0</v>
      </c>
      <c r="H640" s="4"/>
      <c r="I640" s="4">
        <v>349.0</v>
      </c>
      <c r="J640" s="4" t="s">
        <v>3450</v>
      </c>
      <c r="K640" s="5">
        <f>+919340735274</f>
        <v>919340735274</v>
      </c>
      <c r="L640" s="4" t="str">
        <f t="shared" si="1"/>
        <v>s31.korekar@gmail.com919340735274</v>
      </c>
      <c r="M640" s="10" t="s">
        <v>67</v>
      </c>
      <c r="N640" s="4" t="b">
        <v>0</v>
      </c>
      <c r="O640" s="4" t="str">
        <f>VLOOKUP(A640,payment_ids!D:E,2,FALSE)</f>
        <v>card</v>
      </c>
      <c r="P640" s="4" t="s">
        <v>69</v>
      </c>
      <c r="Q640" s="4" t="s">
        <v>3245</v>
      </c>
      <c r="R640" s="4"/>
      <c r="S640" s="12" t="s">
        <v>3328</v>
      </c>
      <c r="T640" s="5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5"/>
      <c r="AI640" s="5"/>
      <c r="AJ640" s="5"/>
      <c r="AK640" s="5"/>
      <c r="AL640" s="5"/>
    </row>
    <row r="641">
      <c r="A641" s="4" t="str">
        <f>VLOOKUP(L641,payment_ids!C:D,2,FALSE)</f>
        <v>pay_HGC6eLlrAsrgcC</v>
      </c>
      <c r="B641" s="4"/>
      <c r="C641" s="4" t="s">
        <v>3326</v>
      </c>
      <c r="D641" s="4">
        <v>50030.0</v>
      </c>
      <c r="E641" s="5"/>
      <c r="F641" s="4">
        <v>6.0</v>
      </c>
      <c r="G641" s="4">
        <v>349.0</v>
      </c>
      <c r="H641" s="4"/>
      <c r="I641" s="4">
        <v>349.0</v>
      </c>
      <c r="J641" s="4" t="s">
        <v>3451</v>
      </c>
      <c r="K641" s="5">
        <f>+918745008120</f>
        <v>918745008120</v>
      </c>
      <c r="L641" s="4" t="str">
        <f t="shared" si="1"/>
        <v>anshu.baliyan@gmail.com918745008120</v>
      </c>
      <c r="M641" s="10" t="s">
        <v>67</v>
      </c>
      <c r="N641" s="4" t="b">
        <v>0</v>
      </c>
      <c r="O641" s="4" t="str">
        <f>VLOOKUP(A641,payment_ids!D:E,2,FALSE)</f>
        <v>upi</v>
      </c>
      <c r="P641" s="4" t="s">
        <v>69</v>
      </c>
      <c r="Q641" s="4" t="s">
        <v>3452</v>
      </c>
      <c r="R641" s="4"/>
      <c r="S641" s="12" t="s">
        <v>3328</v>
      </c>
      <c r="T641" s="5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5"/>
      <c r="AI641" s="5"/>
      <c r="AJ641" s="5"/>
      <c r="AK641" s="5"/>
      <c r="AL641" s="5"/>
    </row>
    <row r="642">
      <c r="A642" s="4" t="str">
        <f>VLOOKUP(L642,payment_ids!C:D,2,FALSE)</f>
        <v>pay_HGDNT4eQEjya6X</v>
      </c>
      <c r="B642" s="4"/>
      <c r="C642" s="4" t="s">
        <v>3326</v>
      </c>
      <c r="D642" s="4">
        <v>50030.0</v>
      </c>
      <c r="E642" s="5"/>
      <c r="F642" s="4">
        <v>6.0</v>
      </c>
      <c r="G642" s="4">
        <v>349.0</v>
      </c>
      <c r="H642" s="4"/>
      <c r="I642" s="4">
        <v>349.0</v>
      </c>
      <c r="J642" s="4" t="s">
        <v>3453</v>
      </c>
      <c r="K642" s="5">
        <f>+916382324023</f>
        <v>916382324023</v>
      </c>
      <c r="L642" s="4" t="str">
        <f t="shared" si="1"/>
        <v>gklaavanyakesavan@gmail.com916382324023</v>
      </c>
      <c r="M642" s="10" t="s">
        <v>67</v>
      </c>
      <c r="N642" s="4" t="b">
        <v>0</v>
      </c>
      <c r="O642" s="4" t="str">
        <f>VLOOKUP(A642,payment_ids!D:E,2,FALSE)</f>
        <v>upi</v>
      </c>
      <c r="P642" s="4" t="s">
        <v>69</v>
      </c>
      <c r="Q642" s="4" t="s">
        <v>3454</v>
      </c>
      <c r="R642" s="4"/>
      <c r="S642" s="12" t="s">
        <v>3328</v>
      </c>
      <c r="T642" s="5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5"/>
      <c r="AI642" s="5"/>
      <c r="AJ642" s="5"/>
      <c r="AK642" s="5"/>
      <c r="AL642" s="5"/>
    </row>
    <row r="643">
      <c r="A643" s="4" t="str">
        <f>VLOOKUP(L643,payment_ids!C:D,2,FALSE)</f>
        <v>pay_HGDqkzvcIlKigF</v>
      </c>
      <c r="B643" s="4"/>
      <c r="C643" s="4" t="s">
        <v>3326</v>
      </c>
      <c r="D643" s="4">
        <v>50030.0</v>
      </c>
      <c r="E643" s="5"/>
      <c r="F643" s="4">
        <v>3.0</v>
      </c>
      <c r="G643" s="4">
        <v>199.0</v>
      </c>
      <c r="H643" s="4"/>
      <c r="I643" s="4">
        <v>199.0</v>
      </c>
      <c r="J643" s="4" t="s">
        <v>3455</v>
      </c>
      <c r="K643" s="5">
        <f>+919838075566</f>
        <v>919838075566</v>
      </c>
      <c r="L643" s="4" t="str">
        <f t="shared" si="1"/>
        <v>aditibhadury3@gmail.com919838075566</v>
      </c>
      <c r="M643" s="10" t="s">
        <v>67</v>
      </c>
      <c r="N643" s="4" t="b">
        <v>0</v>
      </c>
      <c r="O643" s="4" t="str">
        <f>VLOOKUP(A643,payment_ids!D:E,2,FALSE)</f>
        <v>upi</v>
      </c>
      <c r="P643" s="4" t="s">
        <v>69</v>
      </c>
      <c r="Q643" s="4" t="s">
        <v>3456</v>
      </c>
      <c r="R643" s="4"/>
      <c r="S643" s="12" t="s">
        <v>3328</v>
      </c>
      <c r="T643" s="5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5"/>
      <c r="AI643" s="5"/>
      <c r="AJ643" s="5"/>
      <c r="AK643" s="5"/>
      <c r="AL643" s="5"/>
    </row>
    <row r="644">
      <c r="A644" s="4" t="str">
        <f>VLOOKUP(L644,payment_ids!C:D,2,FALSE)</f>
        <v>pay_HGTKNhb4Hm4bwT</v>
      </c>
      <c r="B644" s="4"/>
      <c r="C644" s="4" t="s">
        <v>3326</v>
      </c>
      <c r="D644" s="4">
        <v>50030.0</v>
      </c>
      <c r="E644" s="5"/>
      <c r="F644" s="4">
        <v>1.0</v>
      </c>
      <c r="G644" s="4">
        <v>99.0</v>
      </c>
      <c r="H644" s="4"/>
      <c r="I644" s="4">
        <v>99.0</v>
      </c>
      <c r="J644" s="4" t="s">
        <v>3457</v>
      </c>
      <c r="K644" s="5">
        <f>+917353757717</f>
        <v>917353757717</v>
      </c>
      <c r="L644" s="4" t="str">
        <f t="shared" si="1"/>
        <v>roofnraft@gmail.com917353757717</v>
      </c>
      <c r="M644" s="10" t="s">
        <v>67</v>
      </c>
      <c r="N644" s="4" t="b">
        <v>0</v>
      </c>
      <c r="O644" s="4" t="str">
        <f>VLOOKUP(A644,payment_ids!D:E,2,FALSE)</f>
        <v>upi</v>
      </c>
      <c r="P644" s="4" t="s">
        <v>69</v>
      </c>
      <c r="Q644" s="4" t="s">
        <v>3458</v>
      </c>
      <c r="R644" s="4"/>
      <c r="S644" s="12" t="s">
        <v>3328</v>
      </c>
      <c r="T644" s="5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5"/>
      <c r="AI644" s="5"/>
      <c r="AJ644" s="5"/>
      <c r="AK644" s="5"/>
      <c r="AL644" s="5"/>
    </row>
    <row r="645">
      <c r="A645" s="4" t="str">
        <f>VLOOKUP(L645,payment_ids!C:D,2,FALSE)</f>
        <v>pay_HGXic9jXxiNhXw</v>
      </c>
      <c r="B645" s="4"/>
      <c r="C645" s="4" t="s">
        <v>3326</v>
      </c>
      <c r="D645" s="4">
        <v>50030.0</v>
      </c>
      <c r="E645" s="5"/>
      <c r="F645" s="4">
        <v>1.0</v>
      </c>
      <c r="G645" s="4">
        <v>99.0</v>
      </c>
      <c r="H645" s="4"/>
      <c r="I645" s="4">
        <v>99.0</v>
      </c>
      <c r="J645" s="4" t="s">
        <v>3459</v>
      </c>
      <c r="K645" s="5">
        <f>+919873295069</f>
        <v>919873295069</v>
      </c>
      <c r="L645" s="4" t="str">
        <f t="shared" si="1"/>
        <v>arpitawadhawan@gmail.com919873295069</v>
      </c>
      <c r="M645" s="10" t="s">
        <v>67</v>
      </c>
      <c r="N645" s="4" t="b">
        <v>0</v>
      </c>
      <c r="O645" s="4" t="str">
        <f>VLOOKUP(A645,payment_ids!D:E,2,FALSE)</f>
        <v>upi</v>
      </c>
      <c r="P645" s="4" t="s">
        <v>69</v>
      </c>
      <c r="Q645" s="4" t="s">
        <v>3460</v>
      </c>
      <c r="R645" s="4"/>
      <c r="S645" s="12" t="s">
        <v>3328</v>
      </c>
      <c r="T645" s="5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5"/>
      <c r="AI645" s="5"/>
      <c r="AJ645" s="5"/>
      <c r="AK645" s="5"/>
      <c r="AL645" s="5"/>
    </row>
    <row r="646">
      <c r="A646" s="4" t="str">
        <f>VLOOKUP(L646,payment_ids!C:D,2,FALSE)</f>
        <v>pay_HGbPkLuwl8n4s4</v>
      </c>
      <c r="B646" s="4"/>
      <c r="C646" s="4" t="s">
        <v>3326</v>
      </c>
      <c r="D646" s="4">
        <v>50030.0</v>
      </c>
      <c r="E646" s="5"/>
      <c r="F646" s="4">
        <v>6.0</v>
      </c>
      <c r="G646" s="4">
        <v>349.0</v>
      </c>
      <c r="H646" s="4"/>
      <c r="I646" s="4">
        <v>349.0</v>
      </c>
      <c r="J646" s="4" t="s">
        <v>3461</v>
      </c>
      <c r="K646" s="5">
        <f>+919585813459</f>
        <v>919585813459</v>
      </c>
      <c r="L646" s="4" t="str">
        <f t="shared" si="1"/>
        <v>ganeshkumarakvip@gmail.com919585813459</v>
      </c>
      <c r="M646" s="10" t="s">
        <v>67</v>
      </c>
      <c r="N646" s="4" t="b">
        <v>0</v>
      </c>
      <c r="O646" s="4" t="str">
        <f>VLOOKUP(A646,payment_ids!D:E,2,FALSE)</f>
        <v>upi</v>
      </c>
      <c r="P646" s="4" t="s">
        <v>69</v>
      </c>
      <c r="Q646" s="4" t="s">
        <v>3462</v>
      </c>
      <c r="R646" s="4"/>
      <c r="S646" s="12" t="s">
        <v>3328</v>
      </c>
      <c r="T646" s="5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5"/>
      <c r="AI646" s="5"/>
      <c r="AJ646" s="5"/>
      <c r="AK646" s="5"/>
      <c r="AL646" s="5"/>
    </row>
    <row r="647">
      <c r="A647" s="4" t="str">
        <f>VLOOKUP(L647,payment_ids!C:D,2,FALSE)</f>
        <v>pay_HGuhmVrLS9efo8</v>
      </c>
      <c r="B647" s="4"/>
      <c r="C647" s="4" t="s">
        <v>3326</v>
      </c>
      <c r="D647" s="4">
        <v>50030.0</v>
      </c>
      <c r="E647" s="5"/>
      <c r="F647" s="4">
        <v>1.0</v>
      </c>
      <c r="G647" s="4">
        <v>99.0</v>
      </c>
      <c r="H647" s="4"/>
      <c r="I647" s="4">
        <v>99.0</v>
      </c>
      <c r="J647" s="4" t="s">
        <v>3463</v>
      </c>
      <c r="K647" s="5">
        <f>+917499846057</f>
        <v>917499846057</v>
      </c>
      <c r="L647" s="4" t="str">
        <f t="shared" si="1"/>
        <v>saisiddha81@gmail.com917499846057</v>
      </c>
      <c r="M647" s="10" t="s">
        <v>67</v>
      </c>
      <c r="N647" s="4" t="b">
        <v>0</v>
      </c>
      <c r="O647" s="4" t="str">
        <f>VLOOKUP(A647,payment_ids!D:E,2,FALSE)</f>
        <v>upi</v>
      </c>
      <c r="P647" s="4" t="s">
        <v>69</v>
      </c>
      <c r="Q647" s="4" t="s">
        <v>3464</v>
      </c>
      <c r="R647" s="4"/>
      <c r="S647" s="12" t="s">
        <v>3328</v>
      </c>
      <c r="T647" s="5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5"/>
      <c r="AI647" s="5"/>
      <c r="AJ647" s="5"/>
      <c r="AK647" s="5"/>
      <c r="AL647" s="5"/>
    </row>
    <row r="648">
      <c r="A648" s="4" t="str">
        <f>VLOOKUP(L648,payment_ids!C:D,2,FALSE)</f>
        <v>pay_HEesMztuvM6cJL</v>
      </c>
      <c r="B648" s="4"/>
      <c r="C648" s="4" t="s">
        <v>3326</v>
      </c>
      <c r="D648" s="4">
        <v>50030.0</v>
      </c>
      <c r="E648" s="5"/>
      <c r="F648" s="4">
        <v>1.0</v>
      </c>
      <c r="G648" s="4">
        <v>99.0</v>
      </c>
      <c r="H648" s="4"/>
      <c r="I648" s="4">
        <v>99.0</v>
      </c>
      <c r="J648" s="4" t="s">
        <v>3465</v>
      </c>
      <c r="K648" s="5">
        <f>+918882330659</f>
        <v>918882330659</v>
      </c>
      <c r="L648" s="4" t="str">
        <f t="shared" si="1"/>
        <v>jyotsna077@gmail.com918882330659</v>
      </c>
      <c r="M648" s="10" t="s">
        <v>67</v>
      </c>
      <c r="N648" s="4" t="b">
        <v>0</v>
      </c>
      <c r="O648" s="4" t="str">
        <f>VLOOKUP(A648,payment_ids!D:E,2,FALSE)</f>
        <v>upi</v>
      </c>
      <c r="P648" s="4" t="s">
        <v>69</v>
      </c>
      <c r="Q648" s="4" t="s">
        <v>3466</v>
      </c>
      <c r="R648" s="4"/>
      <c r="S648" s="12" t="s">
        <v>3328</v>
      </c>
      <c r="T648" s="5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5"/>
      <c r="AI648" s="5"/>
      <c r="AJ648" s="5"/>
      <c r="AK648" s="5"/>
      <c r="AL648" s="5"/>
    </row>
    <row r="649">
      <c r="A649" s="4" t="str">
        <f>VLOOKUP(L649,payment_ids!C:D,2,FALSE)</f>
        <v>pay_HGwY8hFd4P2Pkf</v>
      </c>
      <c r="B649" s="4"/>
      <c r="C649" s="4" t="s">
        <v>3326</v>
      </c>
      <c r="D649" s="4">
        <v>50030.0</v>
      </c>
      <c r="E649" s="5"/>
      <c r="F649" s="4">
        <v>1.0</v>
      </c>
      <c r="G649" s="4">
        <v>99.0</v>
      </c>
      <c r="H649" s="4"/>
      <c r="I649" s="4">
        <v>99.0</v>
      </c>
      <c r="J649" s="4" t="s">
        <v>3467</v>
      </c>
      <c r="K649" s="5">
        <f>+917908815346</f>
        <v>917908815346</v>
      </c>
      <c r="L649" s="4" t="str">
        <f t="shared" si="1"/>
        <v>pritiwork1995@gmail.com917908815346</v>
      </c>
      <c r="M649" s="10" t="s">
        <v>67</v>
      </c>
      <c r="N649" s="4" t="b">
        <v>0</v>
      </c>
      <c r="O649" s="4" t="str">
        <f>VLOOKUP(A649,payment_ids!D:E,2,FALSE)</f>
        <v>upi</v>
      </c>
      <c r="P649" s="4" t="s">
        <v>69</v>
      </c>
      <c r="Q649" s="4" t="s">
        <v>3468</v>
      </c>
      <c r="R649" s="4"/>
      <c r="S649" s="12" t="s">
        <v>3328</v>
      </c>
      <c r="T649" s="5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5"/>
      <c r="AI649" s="5"/>
      <c r="AJ649" s="5"/>
      <c r="AK649" s="5"/>
      <c r="AL649" s="5"/>
    </row>
    <row r="650">
      <c r="A650" s="4" t="str">
        <f>VLOOKUP(L650,payment_ids!C:D,2,FALSE)</f>
        <v>pay_HGzKSLmmIjX3z3</v>
      </c>
      <c r="B650" s="4"/>
      <c r="C650" s="4" t="s">
        <v>3326</v>
      </c>
      <c r="D650" s="4">
        <v>50030.0</v>
      </c>
      <c r="E650" s="5"/>
      <c r="F650" s="4">
        <v>1.0</v>
      </c>
      <c r="G650" s="4">
        <v>99.0</v>
      </c>
      <c r="H650" s="4"/>
      <c r="I650" s="4">
        <v>99.0</v>
      </c>
      <c r="J650" s="4" t="s">
        <v>3469</v>
      </c>
      <c r="K650" s="5">
        <f>+919090810461</f>
        <v>919090810461</v>
      </c>
      <c r="L650" s="4" t="str">
        <f t="shared" si="1"/>
        <v>springshines11@gmail.com919090810461</v>
      </c>
      <c r="M650" s="10" t="s">
        <v>67</v>
      </c>
      <c r="N650" s="4" t="b">
        <v>0</v>
      </c>
      <c r="O650" s="4" t="str">
        <f>VLOOKUP(A650,payment_ids!D:E,2,FALSE)</f>
        <v>upi</v>
      </c>
      <c r="P650" s="4" t="s">
        <v>69</v>
      </c>
      <c r="Q650" s="4" t="s">
        <v>3470</v>
      </c>
      <c r="R650" s="4"/>
      <c r="S650" s="12" t="s">
        <v>3328</v>
      </c>
      <c r="T650" s="5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5"/>
      <c r="AI650" s="5"/>
      <c r="AJ650" s="5"/>
      <c r="AK650" s="5"/>
      <c r="AL650" s="5"/>
    </row>
    <row r="651">
      <c r="A651" s="4" t="str">
        <f>VLOOKUP(L651,payment_ids!C:D,2,FALSE)</f>
        <v>pay_HH3RGHwqKR7YvX</v>
      </c>
      <c r="B651" s="4"/>
      <c r="C651" s="4" t="s">
        <v>3326</v>
      </c>
      <c r="D651" s="4">
        <v>50030.0</v>
      </c>
      <c r="E651" s="5"/>
      <c r="F651" s="4">
        <v>1.0</v>
      </c>
      <c r="G651" s="4">
        <v>99.0</v>
      </c>
      <c r="H651" s="4"/>
      <c r="I651" s="4">
        <v>99.0</v>
      </c>
      <c r="J651" s="4" t="s">
        <v>3471</v>
      </c>
      <c r="K651" s="5">
        <f>+918113970778</f>
        <v>918113970778</v>
      </c>
      <c r="L651" s="4" t="str">
        <f t="shared" si="1"/>
        <v>hariajv_007@hotmail.com918113970778</v>
      </c>
      <c r="M651" s="10" t="s">
        <v>67</v>
      </c>
      <c r="N651" s="4" t="b">
        <v>0</v>
      </c>
      <c r="O651" s="4" t="str">
        <f>VLOOKUP(A651,payment_ids!D:E,2,FALSE)</f>
        <v>upi</v>
      </c>
      <c r="P651" s="4" t="s">
        <v>69</v>
      </c>
      <c r="Q651" s="4" t="s">
        <v>3472</v>
      </c>
      <c r="R651" s="4"/>
      <c r="S651" s="12" t="s">
        <v>3328</v>
      </c>
      <c r="T651" s="5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5"/>
      <c r="AI651" s="5"/>
      <c r="AJ651" s="5"/>
      <c r="AK651" s="5"/>
      <c r="AL651" s="5"/>
    </row>
    <row r="652">
      <c r="A652" s="4" t="str">
        <f>VLOOKUP(L652,payment_ids!C:D,2,FALSE)</f>
        <v>pay_HHG0OCepSoJK8B</v>
      </c>
      <c r="B652" s="4"/>
      <c r="C652" s="4" t="s">
        <v>3326</v>
      </c>
      <c r="D652" s="4">
        <v>50030.0</v>
      </c>
      <c r="E652" s="5"/>
      <c r="F652" s="4">
        <v>3.0</v>
      </c>
      <c r="G652" s="4">
        <v>199.0</v>
      </c>
      <c r="H652" s="4"/>
      <c r="I652" s="4">
        <v>199.0</v>
      </c>
      <c r="J652" s="4" t="s">
        <v>3473</v>
      </c>
      <c r="K652" s="5">
        <f>+919880578819</f>
        <v>919880578819</v>
      </c>
      <c r="L652" s="4" t="str">
        <f t="shared" si="1"/>
        <v>khanhamujahid@gmail.com919880578819</v>
      </c>
      <c r="M652" s="10" t="s">
        <v>67</v>
      </c>
      <c r="N652" s="4" t="b">
        <v>0</v>
      </c>
      <c r="O652" s="4" t="str">
        <f>VLOOKUP(A652,payment_ids!D:E,2,FALSE)</f>
        <v>upi</v>
      </c>
      <c r="P652" s="4" t="s">
        <v>69</v>
      </c>
      <c r="Q652" s="4" t="s">
        <v>3474</v>
      </c>
      <c r="R652" s="4"/>
      <c r="S652" s="12" t="s">
        <v>3328</v>
      </c>
      <c r="T652" s="5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5"/>
      <c r="AI652" s="5"/>
      <c r="AJ652" s="5"/>
      <c r="AK652" s="5"/>
      <c r="AL652" s="5"/>
    </row>
    <row r="653">
      <c r="A653" s="4" t="str">
        <f>VLOOKUP(L653,payment_ids!C:D,2,FALSE)</f>
        <v>pay_HHG3U6F8XXiY2z</v>
      </c>
      <c r="B653" s="4"/>
      <c r="C653" s="4" t="s">
        <v>3326</v>
      </c>
      <c r="D653" s="4">
        <v>50030.0</v>
      </c>
      <c r="E653" s="5"/>
      <c r="F653" s="4">
        <v>6.0</v>
      </c>
      <c r="G653" s="4">
        <v>349.0</v>
      </c>
      <c r="H653" s="4"/>
      <c r="I653" s="4">
        <v>349.0</v>
      </c>
      <c r="J653" s="4" t="s">
        <v>3475</v>
      </c>
      <c r="K653" s="5">
        <f>+916397591198</f>
        <v>916397591198</v>
      </c>
      <c r="L653" s="4" t="str">
        <f t="shared" si="1"/>
        <v>sarathlearner@gmail.com916397591198</v>
      </c>
      <c r="M653" s="10" t="s">
        <v>67</v>
      </c>
      <c r="N653" s="4" t="b">
        <v>0</v>
      </c>
      <c r="O653" s="4" t="str">
        <f>VLOOKUP(A653,payment_ids!D:E,2,FALSE)</f>
        <v>netbanking</v>
      </c>
      <c r="P653" s="4" t="s">
        <v>69</v>
      </c>
      <c r="Q653" s="4" t="s">
        <v>3476</v>
      </c>
      <c r="R653" s="4"/>
      <c r="S653" s="12" t="s">
        <v>3328</v>
      </c>
      <c r="T653" s="5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5"/>
      <c r="AI653" s="5"/>
      <c r="AJ653" s="5"/>
      <c r="AK653" s="5"/>
      <c r="AL653" s="5"/>
    </row>
    <row r="654">
      <c r="A654" s="4" t="str">
        <f>VLOOKUP(L654,payment_ids!C:D,2,FALSE)</f>
        <v>pay_HHRAywIAGg3WRU</v>
      </c>
      <c r="B654" s="4"/>
      <c r="C654" s="4" t="s">
        <v>3326</v>
      </c>
      <c r="D654" s="4">
        <v>50030.0</v>
      </c>
      <c r="E654" s="5"/>
      <c r="F654" s="4">
        <v>6.0</v>
      </c>
      <c r="G654" s="4">
        <v>349.0</v>
      </c>
      <c r="H654" s="4"/>
      <c r="I654" s="4">
        <v>349.0</v>
      </c>
      <c r="J654" s="4" t="s">
        <v>3477</v>
      </c>
      <c r="K654" s="5">
        <f>+917683879897</f>
        <v>917683879897</v>
      </c>
      <c r="L654" s="4" t="str">
        <f t="shared" si="1"/>
        <v>alishaahmad588@gmail.com917683879897</v>
      </c>
      <c r="M654" s="10" t="s">
        <v>67</v>
      </c>
      <c r="N654" s="4" t="b">
        <v>0</v>
      </c>
      <c r="O654" s="4" t="str">
        <f>VLOOKUP(A654,payment_ids!D:E,2,FALSE)</f>
        <v>card</v>
      </c>
      <c r="P654" s="4" t="s">
        <v>69</v>
      </c>
      <c r="Q654" s="4" t="s">
        <v>3478</v>
      </c>
      <c r="R654" s="4"/>
      <c r="S654" s="12" t="s">
        <v>3328</v>
      </c>
      <c r="T654" s="5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5"/>
      <c r="AI654" s="5"/>
      <c r="AJ654" s="5"/>
      <c r="AK654" s="5"/>
      <c r="AL654" s="5"/>
    </row>
    <row r="655">
      <c r="A655" s="4" t="str">
        <f>VLOOKUP(L655,payment_ids!C:D,2,FALSE)</f>
        <v>pay_HHgoC9yuTpwImK</v>
      </c>
      <c r="B655" s="4"/>
      <c r="C655" s="4" t="s">
        <v>3326</v>
      </c>
      <c r="D655" s="4">
        <v>50030.0</v>
      </c>
      <c r="E655" s="5"/>
      <c r="F655" s="4">
        <v>6.0</v>
      </c>
      <c r="G655" s="4">
        <v>349.0</v>
      </c>
      <c r="H655" s="4"/>
      <c r="I655" s="4">
        <v>349.0</v>
      </c>
      <c r="J655" s="4" t="s">
        <v>3479</v>
      </c>
      <c r="K655" s="5">
        <f>+919097552007</f>
        <v>919097552007</v>
      </c>
      <c r="L655" s="4" t="str">
        <f t="shared" si="1"/>
        <v>luckycharm846003@gmail.com919097552007</v>
      </c>
      <c r="M655" s="10" t="s">
        <v>67</v>
      </c>
      <c r="N655" s="4" t="b">
        <v>0</v>
      </c>
      <c r="O655" s="4" t="str">
        <f>VLOOKUP(A655,payment_ids!D:E,2,FALSE)</f>
        <v>card</v>
      </c>
      <c r="P655" s="4" t="s">
        <v>69</v>
      </c>
      <c r="Q655" s="11">
        <v>44202.52013888889</v>
      </c>
      <c r="R655" s="4"/>
      <c r="S655" s="12" t="s">
        <v>3328</v>
      </c>
      <c r="T655" s="5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5"/>
      <c r="AI655" s="5"/>
      <c r="AJ655" s="5"/>
      <c r="AK655" s="5"/>
      <c r="AL655" s="5"/>
    </row>
    <row r="656">
      <c r="A656" s="4" t="str">
        <f>VLOOKUP(L656,payment_ids!C:D,2,FALSE)</f>
        <v>pay_HHrcwqkIteQL5e</v>
      </c>
      <c r="B656" s="4"/>
      <c r="C656" s="4" t="s">
        <v>3326</v>
      </c>
      <c r="D656" s="4">
        <v>50030.0</v>
      </c>
      <c r="E656" s="5"/>
      <c r="F656" s="4">
        <v>3.0</v>
      </c>
      <c r="G656" s="4">
        <v>199.0</v>
      </c>
      <c r="H656" s="4"/>
      <c r="I656" s="4">
        <v>199.0</v>
      </c>
      <c r="J656" s="4" t="s">
        <v>3480</v>
      </c>
      <c r="K656" s="5">
        <f>+917337464892</f>
        <v>917337464892</v>
      </c>
      <c r="L656" s="4" t="str">
        <f t="shared" si="1"/>
        <v>pwani365@outlook.com917337464892</v>
      </c>
      <c r="M656" s="10" t="s">
        <v>67</v>
      </c>
      <c r="N656" s="4" t="b">
        <v>0</v>
      </c>
      <c r="O656" s="4" t="str">
        <f>VLOOKUP(A656,payment_ids!D:E,2,FALSE)</f>
        <v>upi</v>
      </c>
      <c r="P656" s="4" t="s">
        <v>69</v>
      </c>
      <c r="Q656" s="11">
        <v>44202.924305555556</v>
      </c>
      <c r="R656" s="4"/>
      <c r="S656" s="12" t="s">
        <v>3328</v>
      </c>
      <c r="T656" s="5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5"/>
      <c r="AI656" s="5"/>
      <c r="AJ656" s="5"/>
      <c r="AK656" s="5"/>
      <c r="AL656" s="5"/>
    </row>
    <row r="657">
      <c r="A657" s="4" t="str">
        <f>VLOOKUP(L657,payment_ids!C:D,2,FALSE)</f>
        <v>pay_HHtq6RHiYKbQB8</v>
      </c>
      <c r="B657" s="4"/>
      <c r="C657" s="4" t="s">
        <v>3326</v>
      </c>
      <c r="D657" s="4">
        <v>50030.0</v>
      </c>
      <c r="E657" s="5"/>
      <c r="F657" s="4">
        <v>1.0</v>
      </c>
      <c r="G657" s="4">
        <v>99.0</v>
      </c>
      <c r="H657" s="4"/>
      <c r="I657" s="4">
        <v>99.0</v>
      </c>
      <c r="J657" s="4" t="s">
        <v>3481</v>
      </c>
      <c r="K657" s="5">
        <f>+919815342237</f>
        <v>919815342237</v>
      </c>
      <c r="L657" s="4" t="str">
        <f t="shared" si="1"/>
        <v>bridgingthespace@gmail.com919815342237</v>
      </c>
      <c r="M657" s="10" t="s">
        <v>67</v>
      </c>
      <c r="N657" s="4" t="b">
        <v>0</v>
      </c>
      <c r="O657" s="4" t="str">
        <f>VLOOKUP(A657,payment_ids!D:E,2,FALSE)</f>
        <v>upi</v>
      </c>
      <c r="P657" s="4" t="s">
        <v>69</v>
      </c>
      <c r="Q657" s="11">
        <v>44233.013194444444</v>
      </c>
      <c r="R657" s="4"/>
      <c r="S657" s="12" t="s">
        <v>3328</v>
      </c>
      <c r="T657" s="5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5"/>
      <c r="AI657" s="5"/>
      <c r="AJ657" s="5"/>
      <c r="AK657" s="5"/>
      <c r="AL657" s="5"/>
    </row>
    <row r="658">
      <c r="A658" s="4" t="str">
        <f>VLOOKUP(L658,payment_ids!C:D,2,FALSE)</f>
        <v>pay_HIKXUzngIDkviu</v>
      </c>
      <c r="B658" s="4"/>
      <c r="C658" s="4" t="s">
        <v>3326</v>
      </c>
      <c r="D658" s="4">
        <v>50030.0</v>
      </c>
      <c r="E658" s="5"/>
      <c r="F658" s="4">
        <v>1.0</v>
      </c>
      <c r="G658" s="4">
        <v>99.0</v>
      </c>
      <c r="H658" s="4"/>
      <c r="I658" s="4">
        <v>99.0</v>
      </c>
      <c r="J658" s="4" t="s">
        <v>3482</v>
      </c>
      <c r="K658" s="5">
        <f>+917899164935</f>
        <v>917899164935</v>
      </c>
      <c r="L658" s="4" t="str">
        <f t="shared" si="1"/>
        <v>gokkulnathts@gmail.com917899164935</v>
      </c>
      <c r="M658" s="10" t="s">
        <v>67</v>
      </c>
      <c r="N658" s="4" t="b">
        <v>0</v>
      </c>
      <c r="O658" s="4" t="str">
        <f>VLOOKUP(A658,payment_ids!D:E,2,FALSE)</f>
        <v>upi</v>
      </c>
      <c r="P658" s="4" t="s">
        <v>69</v>
      </c>
      <c r="Q658" s="11">
        <v>44261.10138888889</v>
      </c>
      <c r="R658" s="4"/>
      <c r="S658" s="12" t="s">
        <v>3328</v>
      </c>
      <c r="T658" s="5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5"/>
      <c r="AI658" s="5"/>
      <c r="AJ658" s="5"/>
      <c r="AK658" s="5"/>
      <c r="AL658" s="5"/>
    </row>
    <row r="659">
      <c r="A659" s="4" t="str">
        <f>VLOOKUP(L659,payment_ids!C:D,2,FALSE)</f>
        <v>pay_HJHUozOpNdJYH6</v>
      </c>
      <c r="B659" s="4"/>
      <c r="C659" s="4" t="s">
        <v>3326</v>
      </c>
      <c r="D659" s="4">
        <v>50030.0</v>
      </c>
      <c r="E659" s="5"/>
      <c r="F659" s="4">
        <v>6.0</v>
      </c>
      <c r="G659" s="4">
        <v>349.0</v>
      </c>
      <c r="H659" s="4"/>
      <c r="I659" s="4">
        <v>349.0</v>
      </c>
      <c r="J659" s="4" t="s">
        <v>3483</v>
      </c>
      <c r="K659" s="5">
        <f>+917002080824</f>
        <v>917002080824</v>
      </c>
      <c r="L659" s="4" t="str">
        <f t="shared" si="1"/>
        <v>phukanpuja744@gmail.com917002080824</v>
      </c>
      <c r="M659" s="10" t="s">
        <v>67</v>
      </c>
      <c r="N659" s="4" t="b">
        <v>0</v>
      </c>
      <c r="O659" s="4" t="str">
        <f>VLOOKUP(A659,payment_ids!D:E,2,FALSE)</f>
        <v>upi</v>
      </c>
      <c r="P659" s="4" t="s">
        <v>69</v>
      </c>
      <c r="Q659" s="11">
        <v>44322.504166666666</v>
      </c>
      <c r="R659" s="4"/>
      <c r="S659" s="12" t="s">
        <v>3328</v>
      </c>
      <c r="T659" s="5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5"/>
      <c r="AI659" s="5"/>
      <c r="AJ659" s="5"/>
      <c r="AK659" s="5"/>
      <c r="AL659" s="5"/>
    </row>
    <row r="660">
      <c r="A660" s="4" t="str">
        <f>VLOOKUP(L660,payment_ids!C:D,2,FALSE)</f>
        <v>pay_HJe14bAwIKmneN</v>
      </c>
      <c r="B660" s="4"/>
      <c r="C660" s="4" t="s">
        <v>3326</v>
      </c>
      <c r="D660" s="4">
        <v>50030.0</v>
      </c>
      <c r="E660" s="5"/>
      <c r="F660" s="4">
        <v>6.0</v>
      </c>
      <c r="G660" s="4">
        <v>349.0</v>
      </c>
      <c r="H660" s="4"/>
      <c r="I660" s="4">
        <v>349.0</v>
      </c>
      <c r="J660" s="4" t="s">
        <v>3484</v>
      </c>
      <c r="K660" s="5">
        <f>+919591248618</f>
        <v>919591248618</v>
      </c>
      <c r="L660" s="4" t="str">
        <f t="shared" si="1"/>
        <v>arpithadas@gmail.com919591248618</v>
      </c>
      <c r="M660" s="10" t="s">
        <v>67</v>
      </c>
      <c r="N660" s="4" t="b">
        <v>0</v>
      </c>
      <c r="O660" s="4" t="str">
        <f>VLOOKUP(A660,payment_ids!D:E,2,FALSE)</f>
        <v>upi</v>
      </c>
      <c r="P660" s="4" t="s">
        <v>69</v>
      </c>
      <c r="Q660" s="11">
        <v>44353.44930555556</v>
      </c>
      <c r="R660" s="4"/>
      <c r="S660" s="12" t="s">
        <v>3328</v>
      </c>
      <c r="T660" s="5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5"/>
      <c r="AI660" s="5"/>
      <c r="AJ660" s="5"/>
      <c r="AK660" s="5"/>
      <c r="AL660" s="5"/>
    </row>
    <row r="661">
      <c r="A661" s="4" t="str">
        <f>VLOOKUP(L661,payment_ids!C:D,2,FALSE)</f>
        <v>pay_HJiPTVQF2xAupe</v>
      </c>
      <c r="B661" s="4"/>
      <c r="C661" s="4" t="s">
        <v>3326</v>
      </c>
      <c r="D661" s="4">
        <v>50030.0</v>
      </c>
      <c r="E661" s="5"/>
      <c r="F661" s="4">
        <v>3.0</v>
      </c>
      <c r="G661" s="4">
        <v>199.0</v>
      </c>
      <c r="H661" s="4"/>
      <c r="I661" s="4">
        <v>199.0</v>
      </c>
      <c r="J661" s="4" t="s">
        <v>3485</v>
      </c>
      <c r="K661" s="5">
        <f>+919438055598</f>
        <v>919438055598</v>
      </c>
      <c r="L661" s="4" t="str">
        <f t="shared" si="1"/>
        <v>ankitadas.ib@gmail.com919438055598</v>
      </c>
      <c r="M661" s="10" t="s">
        <v>67</v>
      </c>
      <c r="N661" s="4" t="b">
        <v>0</v>
      </c>
      <c r="O661" s="4" t="str">
        <f>VLOOKUP(A661,payment_ids!D:E,2,FALSE)</f>
        <v>upi</v>
      </c>
      <c r="P661" s="4" t="s">
        <v>69</v>
      </c>
      <c r="Q661" s="11">
        <v>44353.60138888889</v>
      </c>
      <c r="R661" s="4"/>
      <c r="S661" s="12" t="s">
        <v>3328</v>
      </c>
      <c r="T661" s="5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5"/>
      <c r="AI661" s="5"/>
      <c r="AJ661" s="5"/>
      <c r="AK661" s="5"/>
      <c r="AL661" s="5"/>
    </row>
    <row r="662">
      <c r="A662" s="4" t="str">
        <f>VLOOKUP(L662,payment_ids!C:D,2,FALSE)</f>
        <v>pay_HJknThjGn0wxad</v>
      </c>
      <c r="B662" s="4"/>
      <c r="C662" s="4" t="s">
        <v>3326</v>
      </c>
      <c r="D662" s="4">
        <v>50030.0</v>
      </c>
      <c r="E662" s="5"/>
      <c r="F662" s="4">
        <v>1.0</v>
      </c>
      <c r="G662" s="4">
        <v>99.0</v>
      </c>
      <c r="H662" s="4"/>
      <c r="I662" s="4">
        <v>99.0</v>
      </c>
      <c r="J662" s="4" t="s">
        <v>3486</v>
      </c>
      <c r="K662" s="5">
        <f>+918870399810</f>
        <v>918870399810</v>
      </c>
      <c r="L662" s="4" t="str">
        <f t="shared" si="1"/>
        <v>ramapriyassj@gmail.com918870399810</v>
      </c>
      <c r="M662" s="10" t="s">
        <v>67</v>
      </c>
      <c r="N662" s="4" t="b">
        <v>0</v>
      </c>
      <c r="O662" s="4" t="str">
        <f>VLOOKUP(A662,payment_ids!D:E,2,FALSE)</f>
        <v>upi</v>
      </c>
      <c r="P662" s="4" t="s">
        <v>69</v>
      </c>
      <c r="Q662" s="11">
        <v>44353.70625</v>
      </c>
      <c r="R662" s="4"/>
      <c r="S662" s="12" t="s">
        <v>3328</v>
      </c>
      <c r="T662" s="5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5"/>
      <c r="AI662" s="5"/>
      <c r="AJ662" s="5"/>
      <c r="AK662" s="5"/>
      <c r="AL662" s="5"/>
    </row>
    <row r="663">
      <c r="A663" s="4" t="str">
        <f>VLOOKUP(L663,payment_ids!C:D,2,FALSE)</f>
        <v>pay_HJlugKlinOcW2i</v>
      </c>
      <c r="B663" s="4"/>
      <c r="C663" s="4" t="s">
        <v>3326</v>
      </c>
      <c r="D663" s="4">
        <v>50030.0</v>
      </c>
      <c r="E663" s="5"/>
      <c r="F663" s="4">
        <v>1.0</v>
      </c>
      <c r="G663" s="4">
        <v>99.0</v>
      </c>
      <c r="H663" s="4"/>
      <c r="I663" s="4">
        <v>99.0</v>
      </c>
      <c r="J663" s="4" t="s">
        <v>3487</v>
      </c>
      <c r="K663" s="5">
        <f>+917052727179</f>
        <v>917052727179</v>
      </c>
      <c r="L663" s="4" t="str">
        <f t="shared" si="1"/>
        <v>kushagrarastogi17@gmail.com917052727179</v>
      </c>
      <c r="M663" s="10" t="s">
        <v>67</v>
      </c>
      <c r="N663" s="4" t="b">
        <v>0</v>
      </c>
      <c r="O663" s="4" t="str">
        <f>VLOOKUP(A663,payment_ids!D:E,2,FALSE)</f>
        <v>upi</v>
      </c>
      <c r="P663" s="4" t="s">
        <v>69</v>
      </c>
      <c r="Q663" s="11">
        <v>44353.74444444444</v>
      </c>
      <c r="R663" s="4"/>
      <c r="S663" s="12" t="s">
        <v>3328</v>
      </c>
      <c r="T663" s="5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5"/>
      <c r="AI663" s="5"/>
      <c r="AJ663" s="5"/>
      <c r="AK663" s="5"/>
      <c r="AL663" s="5"/>
    </row>
    <row r="664">
      <c r="A664" s="4" t="str">
        <f>VLOOKUP(L664,payment_ids!C:D,2,FALSE)</f>
        <v>pay_HJmc6Fc318nI0G</v>
      </c>
      <c r="B664" s="4"/>
      <c r="C664" s="4" t="s">
        <v>3326</v>
      </c>
      <c r="D664" s="4">
        <v>50030.0</v>
      </c>
      <c r="E664" s="5"/>
      <c r="F664" s="4">
        <v>1.0</v>
      </c>
      <c r="G664" s="4">
        <v>99.0</v>
      </c>
      <c r="H664" s="4"/>
      <c r="I664" s="4">
        <v>99.0</v>
      </c>
      <c r="J664" s="4" t="s">
        <v>3488</v>
      </c>
      <c r="K664" s="5">
        <f>+919620937640</f>
        <v>919620937640</v>
      </c>
      <c r="L664" s="4" t="str">
        <f t="shared" si="1"/>
        <v>shilpaprabhakar991@gmail.com919620937640</v>
      </c>
      <c r="M664" s="10" t="s">
        <v>67</v>
      </c>
      <c r="N664" s="4" t="b">
        <v>0</v>
      </c>
      <c r="O664" s="4" t="str">
        <f>VLOOKUP(A664,payment_ids!D:E,2,FALSE)</f>
        <v>upi</v>
      </c>
      <c r="P664" s="4" t="s">
        <v>69</v>
      </c>
      <c r="Q664" s="11">
        <v>44353.774305555555</v>
      </c>
      <c r="R664" s="4"/>
      <c r="S664" s="12" t="s">
        <v>3328</v>
      </c>
      <c r="T664" s="5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5"/>
      <c r="AI664" s="5"/>
      <c r="AJ664" s="5"/>
      <c r="AK664" s="5"/>
      <c r="AL664" s="5"/>
    </row>
    <row r="665">
      <c r="A665" s="4" t="str">
        <f>VLOOKUP(L665,payment_ids!C:D,2,FALSE)</f>
        <v>pay_HJrfNJmum1Nei7</v>
      </c>
      <c r="B665" s="4"/>
      <c r="C665" s="4" t="s">
        <v>3326</v>
      </c>
      <c r="D665" s="4">
        <v>50030.0</v>
      </c>
      <c r="E665" s="5"/>
      <c r="F665" s="4">
        <v>1.0</v>
      </c>
      <c r="G665" s="4">
        <v>99.0</v>
      </c>
      <c r="H665" s="4"/>
      <c r="I665" s="4">
        <v>99.0</v>
      </c>
      <c r="J665" s="4" t="s">
        <v>3489</v>
      </c>
      <c r="K665" s="5">
        <f>+919618219528</f>
        <v>919618219528</v>
      </c>
      <c r="L665" s="4" t="str">
        <f t="shared" si="1"/>
        <v>h.vipparla3@gmail.com919618219528</v>
      </c>
      <c r="M665" s="10" t="s">
        <v>67</v>
      </c>
      <c r="N665" s="4" t="b">
        <v>0</v>
      </c>
      <c r="O665" s="4" t="str">
        <f>VLOOKUP(A665,payment_ids!D:E,2,FALSE)</f>
        <v>upi</v>
      </c>
      <c r="P665" s="4" t="s">
        <v>69</v>
      </c>
      <c r="Q665" s="11">
        <v>44353.978472222225</v>
      </c>
      <c r="R665" s="4"/>
      <c r="S665" s="12" t="s">
        <v>3328</v>
      </c>
      <c r="T665" s="5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5"/>
      <c r="AI665" s="5"/>
      <c r="AJ665" s="5"/>
      <c r="AK665" s="5"/>
      <c r="AL665" s="5"/>
    </row>
    <row r="666">
      <c r="A666" s="4" t="str">
        <f>VLOOKUP(L666,payment_ids!C:D,2,FALSE)</f>
        <v>pay_HJryEPXBm8gn7a</v>
      </c>
      <c r="B666" s="4"/>
      <c r="C666" s="4" t="s">
        <v>3326</v>
      </c>
      <c r="D666" s="4">
        <v>50030.0</v>
      </c>
      <c r="E666" s="5"/>
      <c r="F666" s="4">
        <v>1.0</v>
      </c>
      <c r="G666" s="4">
        <v>99.0</v>
      </c>
      <c r="H666" s="4"/>
      <c r="I666" s="4">
        <v>99.0</v>
      </c>
      <c r="J666" s="4" t="s">
        <v>3490</v>
      </c>
      <c r="K666" s="5">
        <f>+919650598794</f>
        <v>919650598794</v>
      </c>
      <c r="L666" s="4" t="str">
        <f t="shared" si="1"/>
        <v>specialmeah1@gmail.com919650598794</v>
      </c>
      <c r="M666" s="10" t="s">
        <v>67</v>
      </c>
      <c r="N666" s="4" t="b">
        <v>0</v>
      </c>
      <c r="O666" s="4" t="str">
        <f>VLOOKUP(A666,payment_ids!D:E,2,FALSE)</f>
        <v>upi</v>
      </c>
      <c r="P666" s="4" t="s">
        <v>69</v>
      </c>
      <c r="Q666" s="11">
        <v>44353.99166666667</v>
      </c>
      <c r="R666" s="4"/>
      <c r="S666" s="12" t="s">
        <v>3328</v>
      </c>
      <c r="T666" s="5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5"/>
      <c r="AI666" s="5"/>
      <c r="AJ666" s="5"/>
      <c r="AK666" s="5"/>
      <c r="AL666" s="5"/>
    </row>
    <row r="667">
      <c r="A667" s="4" t="str">
        <f>VLOOKUP(L667,payment_ids!C:D,2,FALSE)</f>
        <v>pay_HK0QQ3Va0ntveX</v>
      </c>
      <c r="B667" s="4"/>
      <c r="C667" s="4" t="s">
        <v>3326</v>
      </c>
      <c r="D667" s="4">
        <v>50030.0</v>
      </c>
      <c r="E667" s="5"/>
      <c r="F667" s="4">
        <v>1.0</v>
      </c>
      <c r="G667" s="4">
        <v>99.0</v>
      </c>
      <c r="H667" s="4"/>
      <c r="I667" s="4">
        <v>99.0</v>
      </c>
      <c r="J667" s="4" t="s">
        <v>3491</v>
      </c>
      <c r="K667" s="5">
        <f>+919064181482</f>
        <v>919064181482</v>
      </c>
      <c r="L667" s="4" t="str">
        <f t="shared" si="1"/>
        <v>swarnl567@gmail.com919064181482</v>
      </c>
      <c r="M667" s="10" t="s">
        <v>67</v>
      </c>
      <c r="N667" s="4" t="b">
        <v>0</v>
      </c>
      <c r="O667" s="4" t="str">
        <f>VLOOKUP(A667,payment_ids!D:E,2,FALSE)</f>
        <v>upi</v>
      </c>
      <c r="P667" s="4" t="s">
        <v>69</v>
      </c>
      <c r="Q667" s="11">
        <v>44383.34722222222</v>
      </c>
      <c r="R667" s="4"/>
      <c r="S667" s="12" t="s">
        <v>3328</v>
      </c>
      <c r="T667" s="5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5"/>
      <c r="AI667" s="5"/>
      <c r="AJ667" s="5"/>
      <c r="AK667" s="5"/>
      <c r="AL667" s="5"/>
    </row>
    <row r="668">
      <c r="A668" s="4" t="str">
        <f>VLOOKUP(L668,payment_ids!C:D,2,FALSE)</f>
        <v>pay_HK0hygMUn9LWLl</v>
      </c>
      <c r="B668" s="4"/>
      <c r="C668" s="4" t="s">
        <v>3326</v>
      </c>
      <c r="D668" s="4">
        <v>50030.0</v>
      </c>
      <c r="E668" s="5"/>
      <c r="F668" s="4">
        <v>1.0</v>
      </c>
      <c r="G668" s="4">
        <v>99.0</v>
      </c>
      <c r="H668" s="4"/>
      <c r="I668" s="4">
        <v>99.0</v>
      </c>
      <c r="J668" s="4" t="s">
        <v>3492</v>
      </c>
      <c r="K668" s="5">
        <f>+919894686997</f>
        <v>919894686997</v>
      </c>
      <c r="L668" s="4" t="str">
        <f t="shared" si="1"/>
        <v>priyaparjapath@gmail.com919894686997</v>
      </c>
      <c r="M668" s="10" t="s">
        <v>67</v>
      </c>
      <c r="N668" s="4" t="b">
        <v>0</v>
      </c>
      <c r="O668" s="4" t="str">
        <f>VLOOKUP(A668,payment_ids!D:E,2,FALSE)</f>
        <v>upi</v>
      </c>
      <c r="P668" s="4" t="s">
        <v>69</v>
      </c>
      <c r="Q668" s="11">
        <v>44383.34722222222</v>
      </c>
      <c r="R668" s="4"/>
      <c r="S668" s="12" t="s">
        <v>3328</v>
      </c>
      <c r="T668" s="5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5"/>
      <c r="AI668" s="5"/>
      <c r="AJ668" s="5"/>
      <c r="AK668" s="5"/>
      <c r="AL668" s="5"/>
    </row>
    <row r="669">
      <c r="A669" s="4" t="str">
        <f>VLOOKUP(L669,payment_ids!C:D,2,FALSE)</f>
        <v>pay_HKF52eRjc9As4g</v>
      </c>
      <c r="B669" s="4"/>
      <c r="C669" s="4" t="s">
        <v>3326</v>
      </c>
      <c r="D669" s="4">
        <v>50030.0</v>
      </c>
      <c r="E669" s="5"/>
      <c r="F669" s="4">
        <v>1.0</v>
      </c>
      <c r="G669" s="4">
        <v>99.0</v>
      </c>
      <c r="H669" s="4"/>
      <c r="I669" s="4">
        <v>99.0</v>
      </c>
      <c r="J669" s="4" t="s">
        <v>3493</v>
      </c>
      <c r="K669" s="5">
        <f>+919511799363</f>
        <v>919511799363</v>
      </c>
      <c r="L669" s="4" t="str">
        <f t="shared" si="1"/>
        <v>chaitalisinghthakur@gmail.com919511799363</v>
      </c>
      <c r="M669" s="10" t="s">
        <v>67</v>
      </c>
      <c r="N669" s="4" t="b">
        <v>0</v>
      </c>
      <c r="O669" s="4" t="str">
        <f>VLOOKUP(A669,payment_ids!D:E,2,FALSE)</f>
        <v>upi</v>
      </c>
      <c r="P669" s="4" t="s">
        <v>69</v>
      </c>
      <c r="Q669" s="11">
        <v>44383.93263888889</v>
      </c>
      <c r="R669" s="4"/>
      <c r="S669" s="12" t="s">
        <v>3328</v>
      </c>
      <c r="T669" s="5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5"/>
      <c r="AI669" s="5"/>
      <c r="AJ669" s="5"/>
      <c r="AK669" s="5"/>
      <c r="AL669" s="5"/>
    </row>
    <row r="670">
      <c r="A670" s="4" t="str">
        <f>VLOOKUP(L670,payment_ids!C:D,2,FALSE)</f>
        <v>pay_HKZClwGdILOW1d</v>
      </c>
      <c r="B670" s="4"/>
      <c r="C670" s="4" t="s">
        <v>3326</v>
      </c>
      <c r="D670" s="4">
        <v>50030.0</v>
      </c>
      <c r="E670" s="5"/>
      <c r="F670" s="4">
        <v>3.0</v>
      </c>
      <c r="G670" s="4">
        <v>199.0</v>
      </c>
      <c r="H670" s="4"/>
      <c r="I670" s="4">
        <v>199.0</v>
      </c>
      <c r="J670" s="4" t="s">
        <v>3494</v>
      </c>
      <c r="K670" s="5">
        <f>+919667948057</f>
        <v>919667948057</v>
      </c>
      <c r="L670" s="4" t="str">
        <f t="shared" si="1"/>
        <v>shashankgupta598@gmail.com919667948057</v>
      </c>
      <c r="M670" s="10" t="s">
        <v>67</v>
      </c>
      <c r="N670" s="4" t="b">
        <v>0</v>
      </c>
      <c r="O670" s="4" t="str">
        <f>VLOOKUP(A670,payment_ids!D:E,2,FALSE)</f>
        <v>upi</v>
      </c>
      <c r="P670" s="4" t="s">
        <v>69</v>
      </c>
      <c r="Q670" s="11">
        <v>44414.75277777778</v>
      </c>
      <c r="R670" s="4"/>
      <c r="S670" s="12" t="s">
        <v>3328</v>
      </c>
      <c r="T670" s="4" t="s">
        <v>2444</v>
      </c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5"/>
      <c r="AI670" s="5"/>
      <c r="AJ670" s="5"/>
      <c r="AK670" s="5"/>
      <c r="AL670" s="5"/>
    </row>
    <row r="671">
      <c r="A671" s="4" t="str">
        <f>VLOOKUP(L671,payment_ids!C:D,2,FALSE)</f>
        <v>pay_HKaqQjHkCgkdXY</v>
      </c>
      <c r="B671" s="4"/>
      <c r="C671" s="4" t="s">
        <v>3326</v>
      </c>
      <c r="D671" s="4">
        <v>50030.0</v>
      </c>
      <c r="E671" s="5"/>
      <c r="F671" s="4">
        <v>6.0</v>
      </c>
      <c r="G671" s="4">
        <v>349.0</v>
      </c>
      <c r="H671" s="4"/>
      <c r="I671" s="4">
        <v>349.0</v>
      </c>
      <c r="J671" s="4" t="s">
        <v>3495</v>
      </c>
      <c r="K671" s="5">
        <f>+919818435102</f>
        <v>919818435102</v>
      </c>
      <c r="L671" s="4" t="str">
        <f t="shared" si="1"/>
        <v>satnam8698@gmail.com919818435102</v>
      </c>
      <c r="M671" s="10" t="s">
        <v>67</v>
      </c>
      <c r="N671" s="4" t="b">
        <v>0</v>
      </c>
      <c r="O671" s="4" t="str">
        <f>VLOOKUP(A671,payment_ids!D:E,2,FALSE)</f>
        <v>upi</v>
      </c>
      <c r="P671" s="4" t="s">
        <v>69</v>
      </c>
      <c r="Q671" s="11">
        <v>44414.822916666664</v>
      </c>
      <c r="R671" s="4"/>
      <c r="S671" s="12" t="s">
        <v>3328</v>
      </c>
      <c r="T671" s="4" t="s">
        <v>2444</v>
      </c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5"/>
      <c r="AI671" s="5"/>
      <c r="AJ671" s="5"/>
      <c r="AK671" s="5"/>
      <c r="AL671" s="5"/>
    </row>
    <row r="672">
      <c r="A672" s="4" t="str">
        <f>VLOOKUP(L672,payment_ids!C:D,2,FALSE)</f>
        <v>pay_HKq9suQYySlldz</v>
      </c>
      <c r="B672" s="4"/>
      <c r="C672" s="4" t="s">
        <v>3326</v>
      </c>
      <c r="D672" s="4">
        <v>50030.0</v>
      </c>
      <c r="E672" s="5"/>
      <c r="F672" s="4">
        <v>1.0</v>
      </c>
      <c r="G672" s="4">
        <v>99.0</v>
      </c>
      <c r="H672" s="4"/>
      <c r="I672" s="4">
        <v>99.0</v>
      </c>
      <c r="J672" s="4" t="s">
        <v>3496</v>
      </c>
      <c r="K672" s="5">
        <f>+919130055145</f>
        <v>919130055145</v>
      </c>
      <c r="L672" s="4" t="str">
        <f t="shared" si="1"/>
        <v>dixitarya02@gmail.com919130055145</v>
      </c>
      <c r="M672" s="10" t="s">
        <v>67</v>
      </c>
      <c r="N672" s="4" t="b">
        <v>0</v>
      </c>
      <c r="O672" s="4" t="str">
        <f>VLOOKUP(A672,payment_ids!D:E,2,FALSE)</f>
        <v>upi</v>
      </c>
      <c r="P672" s="4" t="s">
        <v>69</v>
      </c>
      <c r="Q672" s="11">
        <v>44445.44375</v>
      </c>
      <c r="R672" s="4"/>
      <c r="S672" s="12" t="s">
        <v>3328</v>
      </c>
      <c r="T672" s="4" t="s">
        <v>2444</v>
      </c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5"/>
      <c r="AI672" s="5"/>
      <c r="AJ672" s="5"/>
      <c r="AK672" s="5"/>
      <c r="AL672" s="5"/>
    </row>
    <row r="673">
      <c r="A673" s="4" t="str">
        <f>VLOOKUP(L673,payment_ids!C:D,2,FALSE)</f>
        <v>pay_HKvm0230BILtCg</v>
      </c>
      <c r="B673" s="4"/>
      <c r="C673" s="4" t="s">
        <v>3326</v>
      </c>
      <c r="D673" s="4">
        <v>50030.0</v>
      </c>
      <c r="E673" s="5"/>
      <c r="F673" s="4">
        <v>6.0</v>
      </c>
      <c r="G673" s="4">
        <v>349.0</v>
      </c>
      <c r="H673" s="4"/>
      <c r="I673" s="4">
        <v>349.0</v>
      </c>
      <c r="J673" s="4" t="s">
        <v>3497</v>
      </c>
      <c r="K673" s="5">
        <f>+919619725570</f>
        <v>919619725570</v>
      </c>
      <c r="L673" s="4" t="str">
        <f t="shared" si="1"/>
        <v>ashrith.writes@gmail.com919619725570</v>
      </c>
      <c r="M673" s="10" t="s">
        <v>67</v>
      </c>
      <c r="N673" s="4" t="b">
        <v>0</v>
      </c>
      <c r="O673" s="4" t="str">
        <f>VLOOKUP(A673,payment_ids!D:E,2,FALSE)</f>
        <v>wallet</v>
      </c>
      <c r="P673" s="4" t="s">
        <v>69</v>
      </c>
      <c r="Q673" s="11">
        <v>44445.677083333336</v>
      </c>
      <c r="R673" s="4"/>
      <c r="S673" s="12" t="s">
        <v>3328</v>
      </c>
      <c r="T673" s="4" t="s">
        <v>2444</v>
      </c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5"/>
      <c r="AI673" s="5"/>
      <c r="AJ673" s="5"/>
      <c r="AK673" s="5"/>
      <c r="AL673" s="5"/>
    </row>
    <row r="674">
      <c r="A674" s="4" t="str">
        <f>VLOOKUP(L674,payment_ids!C:D,2,FALSE)</f>
        <v>pay_HL43Mbwl5yYqNh</v>
      </c>
      <c r="B674" s="4"/>
      <c r="C674" s="4" t="s">
        <v>3326</v>
      </c>
      <c r="D674" s="4">
        <v>50030.0</v>
      </c>
      <c r="E674" s="5"/>
      <c r="F674" s="4">
        <v>3.0</v>
      </c>
      <c r="G674" s="4">
        <v>199.0</v>
      </c>
      <c r="H674" s="4"/>
      <c r="I674" s="4">
        <v>199.0</v>
      </c>
      <c r="J674" s="4" t="s">
        <v>3498</v>
      </c>
      <c r="K674" s="5">
        <f>+919899927413</f>
        <v>919899927413</v>
      </c>
      <c r="L674" s="4" t="str">
        <f t="shared" si="1"/>
        <v>k.jaitly07@gmail.com919899927413</v>
      </c>
      <c r="M674" s="10" t="s">
        <v>67</v>
      </c>
      <c r="N674" s="4" t="b">
        <v>0</v>
      </c>
      <c r="O674" s="4" t="str">
        <f>VLOOKUP(A674,payment_ids!D:E,2,FALSE)</f>
        <v>upi</v>
      </c>
      <c r="P674" s="4" t="s">
        <v>69</v>
      </c>
      <c r="Q674" s="11">
        <v>44475.01111111111</v>
      </c>
      <c r="R674" s="4"/>
      <c r="S674" s="12" t="s">
        <v>3328</v>
      </c>
      <c r="T674" s="4" t="s">
        <v>2444</v>
      </c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5"/>
      <c r="AI674" s="5"/>
      <c r="AJ674" s="5"/>
      <c r="AK674" s="5"/>
      <c r="AL674" s="5"/>
    </row>
    <row r="675">
      <c r="A675" s="4" t="str">
        <f>VLOOKUP(L675,payment_ids!C:D,2,FALSE)</f>
        <v>pay_HLCG444v3lEJgm</v>
      </c>
      <c r="B675" s="4"/>
      <c r="C675" s="4" t="s">
        <v>3326</v>
      </c>
      <c r="D675" s="4">
        <v>50030.0</v>
      </c>
      <c r="E675" s="5"/>
      <c r="F675" s="4">
        <v>6.0</v>
      </c>
      <c r="G675" s="4">
        <v>349.0</v>
      </c>
      <c r="H675" s="4"/>
      <c r="I675" s="4">
        <v>349.0</v>
      </c>
      <c r="J675" s="4" t="s">
        <v>3499</v>
      </c>
      <c r="K675" s="5">
        <f>+919337946722</f>
        <v>919337946722</v>
      </c>
      <c r="L675" s="4" t="str">
        <f t="shared" si="1"/>
        <v>subhalaxmi.sr@gmail.com919337946722</v>
      </c>
      <c r="M675" s="10" t="s">
        <v>67</v>
      </c>
      <c r="N675" s="4" t="b">
        <v>0</v>
      </c>
      <c r="O675" s="4" t="str">
        <f>VLOOKUP(A675,payment_ids!D:E,2,FALSE)</f>
        <v>card</v>
      </c>
      <c r="P675" s="4" t="s">
        <v>69</v>
      </c>
      <c r="Q675" s="11">
        <v>44475.34444444445</v>
      </c>
      <c r="R675" s="4"/>
      <c r="S675" s="12" t="s">
        <v>3328</v>
      </c>
      <c r="T675" s="4" t="s">
        <v>2444</v>
      </c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5"/>
      <c r="AI675" s="5"/>
      <c r="AJ675" s="5"/>
      <c r="AK675" s="5"/>
      <c r="AL675" s="5"/>
    </row>
    <row r="676">
      <c r="A676" s="4" t="str">
        <f>VLOOKUP(L676,payment_ids!C:D,2,FALSE)</f>
        <v>pay_HLJ7dRLxdOXihz</v>
      </c>
      <c r="B676" s="4"/>
      <c r="C676" s="4" t="s">
        <v>3326</v>
      </c>
      <c r="D676" s="4">
        <v>50030.0</v>
      </c>
      <c r="E676" s="5"/>
      <c r="F676" s="4">
        <v>1.0</v>
      </c>
      <c r="G676" s="4">
        <v>99.0</v>
      </c>
      <c r="H676" s="4"/>
      <c r="I676" s="4">
        <v>99.0</v>
      </c>
      <c r="J676" s="4" t="s">
        <v>3500</v>
      </c>
      <c r="K676" s="5">
        <f>+918317432829</f>
        <v>918317432829</v>
      </c>
      <c r="L676" s="4" t="str">
        <f t="shared" si="1"/>
        <v>ritusneha9@gmail.com918317432829</v>
      </c>
      <c r="M676" s="10" t="s">
        <v>67</v>
      </c>
      <c r="N676" s="4" t="b">
        <v>0</v>
      </c>
      <c r="O676" s="4" t="str">
        <f>VLOOKUP(A676,payment_ids!D:E,2,FALSE)</f>
        <v>upi</v>
      </c>
      <c r="P676" s="4" t="s">
        <v>69</v>
      </c>
      <c r="Q676" s="11">
        <v>44475.62430555555</v>
      </c>
      <c r="R676" s="4"/>
      <c r="S676" s="12" t="s">
        <v>3328</v>
      </c>
      <c r="T676" s="4" t="s">
        <v>2444</v>
      </c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5"/>
      <c r="AI676" s="5"/>
      <c r="AJ676" s="5"/>
      <c r="AK676" s="5"/>
      <c r="AL676" s="5"/>
    </row>
    <row r="677">
      <c r="A677" s="4" t="str">
        <f>VLOOKUP(L677,payment_ids!C:D,2,FALSE)</f>
        <v>pay_HLOG09vaaRnGXR</v>
      </c>
      <c r="B677" s="4"/>
      <c r="C677" s="4" t="s">
        <v>3326</v>
      </c>
      <c r="D677" s="4">
        <v>50030.0</v>
      </c>
      <c r="E677" s="5"/>
      <c r="F677" s="4">
        <v>1.0</v>
      </c>
      <c r="G677" s="4">
        <v>99.0</v>
      </c>
      <c r="H677" s="4"/>
      <c r="I677" s="4">
        <v>99.0</v>
      </c>
      <c r="J677" s="4" t="s">
        <v>3501</v>
      </c>
      <c r="K677" s="5">
        <f>+919987116121</f>
        <v>919987116121</v>
      </c>
      <c r="L677" s="4" t="str">
        <f t="shared" si="1"/>
        <v>shailleshtannu@gmail.com919987116121</v>
      </c>
      <c r="M677" s="10" t="s">
        <v>67</v>
      </c>
      <c r="N677" s="4" t="b">
        <v>0</v>
      </c>
      <c r="O677" s="4" t="str">
        <f>VLOOKUP(A677,payment_ids!D:E,2,FALSE)</f>
        <v>upi</v>
      </c>
      <c r="P677" s="4" t="s">
        <v>69</v>
      </c>
      <c r="Q677" s="11">
        <v>44475.834027777775</v>
      </c>
      <c r="R677" s="4"/>
      <c r="S677" s="12" t="s">
        <v>3328</v>
      </c>
      <c r="T677" s="4" t="s">
        <v>2444</v>
      </c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5"/>
      <c r="AI677" s="5"/>
      <c r="AJ677" s="5"/>
      <c r="AK677" s="5"/>
      <c r="AL677" s="5"/>
    </row>
    <row r="678">
      <c r="A678" s="4" t="str">
        <f>VLOOKUP(L678,payment_ids!C:D,2,FALSE)</f>
        <v>pay_HLQ1GZ4kgJb6H2</v>
      </c>
      <c r="B678" s="4"/>
      <c r="C678" s="4" t="s">
        <v>3326</v>
      </c>
      <c r="D678" s="4">
        <v>50030.0</v>
      </c>
      <c r="E678" s="5"/>
      <c r="F678" s="4">
        <v>1.0</v>
      </c>
      <c r="G678" s="4">
        <v>99.0</v>
      </c>
      <c r="H678" s="4"/>
      <c r="I678" s="4">
        <v>99.0</v>
      </c>
      <c r="J678" s="4" t="s">
        <v>3502</v>
      </c>
      <c r="K678" s="5">
        <f>+919769683159</f>
        <v>919769683159</v>
      </c>
      <c r="L678" s="4" t="str">
        <f t="shared" si="1"/>
        <v>komal20kharat@gmail.com919769683159</v>
      </c>
      <c r="M678" s="10" t="s">
        <v>67</v>
      </c>
      <c r="N678" s="4" t="b">
        <v>0</v>
      </c>
      <c r="O678" s="4" t="str">
        <f>VLOOKUP(A678,payment_ids!D:E,2,FALSE)</f>
        <v>upi</v>
      </c>
      <c r="P678" s="4" t="s">
        <v>69</v>
      </c>
      <c r="Q678" s="11">
        <v>44475.90555555555</v>
      </c>
      <c r="R678" s="4"/>
      <c r="S678" s="12" t="s">
        <v>3328</v>
      </c>
      <c r="T678" s="4" t="s">
        <v>2444</v>
      </c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5"/>
      <c r="AI678" s="5"/>
      <c r="AJ678" s="5"/>
      <c r="AK678" s="5"/>
      <c r="AL678" s="5"/>
    </row>
    <row r="679">
      <c r="A679" s="4" t="str">
        <f>VLOOKUP(L679,payment_ids!C:D,2,FALSE)</f>
        <v>pay_HLQgqTfihkLyU1</v>
      </c>
      <c r="B679" s="4"/>
      <c r="C679" s="4" t="s">
        <v>3326</v>
      </c>
      <c r="D679" s="4">
        <v>50030.0</v>
      </c>
      <c r="E679" s="5"/>
      <c r="F679" s="4">
        <v>1.0</v>
      </c>
      <c r="G679" s="4">
        <v>99.0</v>
      </c>
      <c r="H679" s="4"/>
      <c r="I679" s="4">
        <v>99.0</v>
      </c>
      <c r="J679" s="4" t="s">
        <v>3503</v>
      </c>
      <c r="K679" s="5">
        <f>+919749886626</f>
        <v>919749886626</v>
      </c>
      <c r="L679" s="4" t="str">
        <f t="shared" si="1"/>
        <v>mainaktito9@gmail.com919749886626</v>
      </c>
      <c r="M679" s="10" t="s">
        <v>67</v>
      </c>
      <c r="N679" s="4" t="b">
        <v>0</v>
      </c>
      <c r="O679" s="4" t="str">
        <f>VLOOKUP(A679,payment_ids!D:E,2,FALSE)</f>
        <v>upi</v>
      </c>
      <c r="P679" s="4" t="s">
        <v>69</v>
      </c>
      <c r="Q679" s="11">
        <v>44475.93263888889</v>
      </c>
      <c r="R679" s="4"/>
      <c r="S679" s="12" t="s">
        <v>3328</v>
      </c>
      <c r="T679" s="4" t="s">
        <v>2444</v>
      </c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5"/>
      <c r="AI679" s="5"/>
      <c r="AJ679" s="5"/>
      <c r="AK679" s="5"/>
      <c r="AL679" s="5"/>
    </row>
    <row r="680">
      <c r="A680" s="4" t="str">
        <f>VLOOKUP(L680,payment_ids!C:D,2,FALSE)</f>
        <v>pay_HLg7OujA1BafTt</v>
      </c>
      <c r="B680" s="4"/>
      <c r="C680" s="4" t="s">
        <v>3326</v>
      </c>
      <c r="D680" s="4">
        <v>50030.0</v>
      </c>
      <c r="E680" s="5"/>
      <c r="F680" s="4">
        <v>6.0</v>
      </c>
      <c r="G680" s="4">
        <v>349.0</v>
      </c>
      <c r="H680" s="4"/>
      <c r="I680" s="4">
        <v>349.0</v>
      </c>
      <c r="J680" s="4" t="s">
        <v>3504</v>
      </c>
      <c r="K680" s="5">
        <f>+919811303373</f>
        <v>919811303373</v>
      </c>
      <c r="L680" s="4" t="str">
        <f t="shared" si="1"/>
        <v>shailendra.vijay@gmail.com919811303373</v>
      </c>
      <c r="M680" s="10" t="s">
        <v>67</v>
      </c>
      <c r="N680" s="4" t="b">
        <v>0</v>
      </c>
      <c r="O680" s="4" t="str">
        <f>VLOOKUP(A680,payment_ids!D:E,2,FALSE)</f>
        <v>upi</v>
      </c>
      <c r="P680" s="4" t="s">
        <v>69</v>
      </c>
      <c r="Q680" s="11">
        <v>44506.56180555555</v>
      </c>
      <c r="R680" s="4"/>
      <c r="S680" s="12" t="s">
        <v>3505</v>
      </c>
      <c r="T680" s="4" t="s">
        <v>2444</v>
      </c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5"/>
      <c r="AI680" s="5"/>
      <c r="AJ680" s="5"/>
      <c r="AK680" s="5"/>
      <c r="AL680" s="5"/>
    </row>
    <row r="681">
      <c r="A681" s="4" t="str">
        <f>VLOOKUP(L681,payment_ids!C:D,2,FALSE)</f>
        <v>pay_HLheCxOn72RSxd</v>
      </c>
      <c r="B681" s="4"/>
      <c r="C681" s="4" t="s">
        <v>3326</v>
      </c>
      <c r="D681" s="4">
        <v>50030.0</v>
      </c>
      <c r="E681" s="5"/>
      <c r="F681" s="4">
        <v>1.0</v>
      </c>
      <c r="G681" s="4">
        <v>99.0</v>
      </c>
      <c r="H681" s="4"/>
      <c r="I681" s="4">
        <v>99.0</v>
      </c>
      <c r="J681" s="4" t="s">
        <v>3506</v>
      </c>
      <c r="K681" s="5">
        <f>+919307241591</f>
        <v>919307241591</v>
      </c>
      <c r="L681" s="4" t="str">
        <f t="shared" si="1"/>
        <v>ashishg.jnv@gmail.com919307241591</v>
      </c>
      <c r="M681" s="10" t="s">
        <v>67</v>
      </c>
      <c r="N681" s="4" t="b">
        <v>0</v>
      </c>
      <c r="O681" s="4" t="str">
        <f>VLOOKUP(A681,payment_ids!D:E,2,FALSE)</f>
        <v>upi</v>
      </c>
      <c r="P681" s="4" t="s">
        <v>69</v>
      </c>
      <c r="Q681" s="11">
        <v>44506.62430555555</v>
      </c>
      <c r="R681" s="4"/>
      <c r="S681" s="12" t="s">
        <v>3328</v>
      </c>
      <c r="T681" s="4" t="s">
        <v>2444</v>
      </c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5"/>
      <c r="AI681" s="5"/>
      <c r="AJ681" s="5"/>
      <c r="AK681" s="5"/>
      <c r="AL681" s="5"/>
    </row>
    <row r="682">
      <c r="A682" s="4" t="str">
        <f>VLOOKUP(L682,payment_ids!C:D,2,FALSE)</f>
        <v>pay_HLitR3n7dKtyQd</v>
      </c>
      <c r="B682" s="4"/>
      <c r="C682" s="4" t="s">
        <v>3326</v>
      </c>
      <c r="D682" s="4">
        <v>50030.0</v>
      </c>
      <c r="E682" s="5"/>
      <c r="F682" s="4">
        <v>1.0</v>
      </c>
      <c r="G682" s="4">
        <v>99.0</v>
      </c>
      <c r="H682" s="4"/>
      <c r="I682" s="4">
        <v>99.0</v>
      </c>
      <c r="J682" s="4" t="s">
        <v>3507</v>
      </c>
      <c r="K682" s="5">
        <f>+919910056385</f>
        <v>919910056385</v>
      </c>
      <c r="L682" s="4" t="str">
        <f t="shared" si="1"/>
        <v>wordzone335@gmail.com919910056385</v>
      </c>
      <c r="M682" s="10" t="s">
        <v>67</v>
      </c>
      <c r="N682" s="4" t="b">
        <v>0</v>
      </c>
      <c r="O682" s="4" t="str">
        <f>VLOOKUP(A682,payment_ids!D:E,2,FALSE)</f>
        <v>upi</v>
      </c>
      <c r="P682" s="4" t="s">
        <v>69</v>
      </c>
      <c r="Q682" s="11">
        <v>44506.67569444444</v>
      </c>
      <c r="R682" s="4"/>
      <c r="S682" s="12" t="s">
        <v>3505</v>
      </c>
      <c r="T682" s="4" t="s">
        <v>2444</v>
      </c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5"/>
      <c r="AI682" s="5"/>
      <c r="AJ682" s="5"/>
      <c r="AK682" s="5"/>
      <c r="AL682" s="5"/>
    </row>
    <row r="683">
      <c r="A683" s="4" t="str">
        <f>VLOOKUP(L683,payment_ids!C:D,2,FALSE)</f>
        <v>pay_HLilQ7zVXUN9mU</v>
      </c>
      <c r="B683" s="4"/>
      <c r="C683" s="4" t="s">
        <v>3326</v>
      </c>
      <c r="D683" s="4">
        <v>50030.0</v>
      </c>
      <c r="E683" s="5"/>
      <c r="F683" s="4">
        <v>6.0</v>
      </c>
      <c r="G683" s="4">
        <v>349.0</v>
      </c>
      <c r="H683" s="4"/>
      <c r="I683" s="4">
        <v>349.0</v>
      </c>
      <c r="J683" s="4" t="s">
        <v>3508</v>
      </c>
      <c r="K683" s="5">
        <f>+919711114851</f>
        <v>919711114851</v>
      </c>
      <c r="L683" s="4" t="str">
        <f t="shared" si="1"/>
        <v>dsaijari@gmail.com919711114851</v>
      </c>
      <c r="M683" s="10" t="s">
        <v>67</v>
      </c>
      <c r="N683" s="4" t="b">
        <v>0</v>
      </c>
      <c r="O683" s="4" t="str">
        <f>VLOOKUP(A683,payment_ids!D:E,2,FALSE)</f>
        <v>upi</v>
      </c>
      <c r="P683" s="4" t="s">
        <v>69</v>
      </c>
      <c r="Q683" s="11">
        <v>44506.67569444444</v>
      </c>
      <c r="R683" s="4"/>
      <c r="S683" s="12" t="s">
        <v>3505</v>
      </c>
      <c r="T683" s="4" t="s">
        <v>2444</v>
      </c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5"/>
      <c r="AI683" s="5"/>
      <c r="AJ683" s="5"/>
      <c r="AK683" s="5"/>
      <c r="AL683" s="5"/>
    </row>
    <row r="684">
      <c r="A684" s="4" t="str">
        <f>VLOOKUP(L684,payment_ids!C:D,2,FALSE)</f>
        <v>pay_HLix8V38VqRYay</v>
      </c>
      <c r="B684" s="4"/>
      <c r="C684" s="4" t="s">
        <v>3326</v>
      </c>
      <c r="D684" s="4">
        <v>50030.0</v>
      </c>
      <c r="E684" s="5"/>
      <c r="F684" s="4">
        <v>1.0</v>
      </c>
      <c r="G684" s="4">
        <v>99.0</v>
      </c>
      <c r="H684" s="4"/>
      <c r="I684" s="4">
        <v>99.0</v>
      </c>
      <c r="J684" s="4" t="s">
        <v>3509</v>
      </c>
      <c r="K684" s="5">
        <f>+917835860107</f>
        <v>917835860107</v>
      </c>
      <c r="L684" s="4" t="str">
        <f t="shared" si="1"/>
        <v>adityasanyal.bits@gmail.com917835860107</v>
      </c>
      <c r="M684" s="10" t="s">
        <v>67</v>
      </c>
      <c r="N684" s="4" t="b">
        <v>0</v>
      </c>
      <c r="O684" s="4" t="str">
        <f>VLOOKUP(A684,payment_ids!D:E,2,FALSE)</f>
        <v>card</v>
      </c>
      <c r="P684" s="4" t="s">
        <v>69</v>
      </c>
      <c r="Q684" s="11">
        <v>44506.677777777775</v>
      </c>
      <c r="R684" s="4"/>
      <c r="S684" s="12" t="s">
        <v>3505</v>
      </c>
      <c r="T684" s="4" t="s">
        <v>2444</v>
      </c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5"/>
      <c r="AI684" s="5"/>
      <c r="AJ684" s="5"/>
      <c r="AK684" s="5"/>
      <c r="AL684" s="5"/>
    </row>
    <row r="685">
      <c r="A685" s="4" t="str">
        <f>VLOOKUP(L685,payment_ids!C:D,2,FALSE)</f>
        <v>pay_HLmYQ34SqWwXis</v>
      </c>
      <c r="B685" s="4"/>
      <c r="C685" s="4" t="s">
        <v>3326</v>
      </c>
      <c r="D685" s="4">
        <v>50030.0</v>
      </c>
      <c r="E685" s="5"/>
      <c r="F685" s="4">
        <v>1.0</v>
      </c>
      <c r="G685" s="4">
        <v>99.0</v>
      </c>
      <c r="H685" s="4"/>
      <c r="I685" s="4">
        <v>99.0</v>
      </c>
      <c r="J685" s="4" t="s">
        <v>3510</v>
      </c>
      <c r="K685" s="5">
        <f>+918660231308</f>
        <v>918660231308</v>
      </c>
      <c r="L685" s="4" t="str">
        <f t="shared" si="1"/>
        <v>pavangk308@gmail.com918660231308</v>
      </c>
      <c r="M685" s="10" t="s">
        <v>67</v>
      </c>
      <c r="N685" s="4" t="b">
        <v>0</v>
      </c>
      <c r="O685" s="4" t="str">
        <f>VLOOKUP(A685,payment_ids!D:E,2,FALSE)</f>
        <v>upi</v>
      </c>
      <c r="P685" s="4" t="s">
        <v>69</v>
      </c>
      <c r="Q685" s="11">
        <v>44506.825</v>
      </c>
      <c r="R685" s="4"/>
      <c r="S685" s="12" t="s">
        <v>3328</v>
      </c>
      <c r="T685" s="4" t="s">
        <v>2444</v>
      </c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5"/>
      <c r="AI685" s="5"/>
      <c r="AJ685" s="5"/>
      <c r="AK685" s="5"/>
      <c r="AL685" s="5"/>
    </row>
    <row r="686">
      <c r="A686" s="4" t="str">
        <f>VLOOKUP(L686,payment_ids!C:D,2,FALSE)</f>
        <v>pay_HLt3SuUENXSNnv</v>
      </c>
      <c r="B686" s="4"/>
      <c r="C686" s="4" t="s">
        <v>3326</v>
      </c>
      <c r="D686" s="4">
        <v>50030.0</v>
      </c>
      <c r="E686" s="5"/>
      <c r="F686" s="4">
        <v>1.0</v>
      </c>
      <c r="G686" s="4">
        <v>99.0</v>
      </c>
      <c r="H686" s="4"/>
      <c r="I686" s="4">
        <v>99.0</v>
      </c>
      <c r="J686" s="4" t="s">
        <v>3511</v>
      </c>
      <c r="K686" s="5">
        <f>+918111077416</f>
        <v>918111077416</v>
      </c>
      <c r="L686" s="4" t="str">
        <f t="shared" si="1"/>
        <v>ramnath2609@gmail.com918111077416</v>
      </c>
      <c r="M686" s="10" t="s">
        <v>67</v>
      </c>
      <c r="N686" s="4" t="b">
        <v>0</v>
      </c>
      <c r="O686" s="4" t="str">
        <f>VLOOKUP(A686,payment_ids!D:E,2,FALSE)</f>
        <v>upi</v>
      </c>
      <c r="P686" s="4" t="s">
        <v>69</v>
      </c>
      <c r="Q686" s="11">
        <v>44536.08888888889</v>
      </c>
      <c r="R686" s="4"/>
      <c r="S686" s="12" t="s">
        <v>3328</v>
      </c>
      <c r="T686" s="4" t="s">
        <v>2444</v>
      </c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5"/>
      <c r="AI686" s="5"/>
      <c r="AJ686" s="5"/>
      <c r="AK686" s="5"/>
      <c r="AL686" s="5"/>
    </row>
    <row r="687">
      <c r="A687" s="4" t="str">
        <f>VLOOKUP(L687,payment_ids!C:D,2,FALSE)</f>
        <v>pay_HM0qLiWZORO70d</v>
      </c>
      <c r="B687" s="4"/>
      <c r="C687" s="4" t="s">
        <v>3326</v>
      </c>
      <c r="D687" s="4">
        <v>50030.0</v>
      </c>
      <c r="E687" s="5"/>
      <c r="F687" s="4">
        <v>1.0</v>
      </c>
      <c r="G687" s="4">
        <v>99.0</v>
      </c>
      <c r="H687" s="4"/>
      <c r="I687" s="4">
        <v>99.0</v>
      </c>
      <c r="J687" s="4" t="s">
        <v>3512</v>
      </c>
      <c r="K687" s="5">
        <f>+919899626999</f>
        <v>919899626999</v>
      </c>
      <c r="L687" s="4" t="str">
        <f t="shared" si="1"/>
        <v>bkvaani@gmail.com919899626999</v>
      </c>
      <c r="M687" s="10" t="s">
        <v>67</v>
      </c>
      <c r="N687" s="4" t="b">
        <v>0</v>
      </c>
      <c r="O687" s="4" t="str">
        <f>VLOOKUP(A687,payment_ids!D:E,2,FALSE)</f>
        <v>upi</v>
      </c>
      <c r="P687" s="4" t="s">
        <v>69</v>
      </c>
      <c r="Q687" s="11">
        <v>44536.40625</v>
      </c>
      <c r="R687" s="4"/>
      <c r="S687" s="12" t="s">
        <v>3328</v>
      </c>
      <c r="T687" s="4" t="s">
        <v>2444</v>
      </c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5"/>
      <c r="AI687" s="5"/>
      <c r="AJ687" s="5"/>
      <c r="AK687" s="5"/>
      <c r="AL687" s="5"/>
    </row>
    <row r="688">
      <c r="A688" s="4" t="str">
        <f>VLOOKUP(L688,payment_ids!C:D,2,FALSE)</f>
        <v>pay_HM2SJLk55FbBJk</v>
      </c>
      <c r="B688" s="4"/>
      <c r="C688" s="4" t="s">
        <v>3326</v>
      </c>
      <c r="D688" s="4">
        <v>50030.0</v>
      </c>
      <c r="E688" s="5"/>
      <c r="F688" s="4">
        <v>1.0</v>
      </c>
      <c r="G688" s="4">
        <v>99.0</v>
      </c>
      <c r="H688" s="4"/>
      <c r="I688" s="4">
        <v>99.0</v>
      </c>
      <c r="J688" s="4" t="s">
        <v>3513</v>
      </c>
      <c r="K688" s="5">
        <f>+919628433919</f>
        <v>919628433919</v>
      </c>
      <c r="L688" s="4" t="str">
        <f t="shared" si="1"/>
        <v>sauravd40@gmail.com919628433919</v>
      </c>
      <c r="M688" s="10" t="s">
        <v>67</v>
      </c>
      <c r="N688" s="4" t="b">
        <v>0</v>
      </c>
      <c r="O688" s="4" t="str">
        <f>VLOOKUP(A688,payment_ids!D:E,2,FALSE)</f>
        <v>upi</v>
      </c>
      <c r="P688" s="4" t="s">
        <v>69</v>
      </c>
      <c r="Q688" s="11">
        <v>44536.47222222222</v>
      </c>
      <c r="R688" s="4"/>
      <c r="S688" s="12" t="s">
        <v>3328</v>
      </c>
      <c r="T688" s="4" t="s">
        <v>2444</v>
      </c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5"/>
      <c r="AI688" s="5"/>
      <c r="AJ688" s="5"/>
      <c r="AK688" s="5"/>
      <c r="AL688" s="5"/>
    </row>
    <row r="689">
      <c r="A689" s="4" t="str">
        <f>VLOOKUP(L689,payment_ids!C:D,2,FALSE)</f>
        <v>pay_HMBhbyfGbf54b1</v>
      </c>
      <c r="B689" s="4"/>
      <c r="C689" s="4" t="s">
        <v>3326</v>
      </c>
      <c r="D689" s="4">
        <v>50030.0</v>
      </c>
      <c r="E689" s="5"/>
      <c r="F689" s="4">
        <v>1.0</v>
      </c>
      <c r="G689" s="4">
        <v>99.0</v>
      </c>
      <c r="H689" s="4"/>
      <c r="I689" s="4">
        <v>99.0</v>
      </c>
      <c r="J689" s="4" t="s">
        <v>3514</v>
      </c>
      <c r="K689" s="5">
        <f>+917908193780</f>
        <v>917908193780</v>
      </c>
      <c r="L689" s="4" t="str">
        <f t="shared" si="1"/>
        <v>ats.talha20@gmail.com917908193780</v>
      </c>
      <c r="M689" s="10" t="s">
        <v>67</v>
      </c>
      <c r="N689" s="4" t="b">
        <v>0</v>
      </c>
      <c r="O689" s="4" t="str">
        <f>VLOOKUP(A689,payment_ids!D:E,2,FALSE)</f>
        <v>wallet</v>
      </c>
      <c r="P689" s="4" t="s">
        <v>69</v>
      </c>
      <c r="Q689" s="11">
        <v>44536.85</v>
      </c>
      <c r="R689" s="4"/>
      <c r="S689" s="12" t="s">
        <v>3505</v>
      </c>
      <c r="T689" s="4" t="s">
        <v>2444</v>
      </c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5"/>
      <c r="AI689" s="5"/>
      <c r="AJ689" s="5"/>
      <c r="AK689" s="5"/>
      <c r="AL689" s="5"/>
    </row>
    <row r="690">
      <c r="A690" s="4" t="str">
        <f>VLOOKUP(L690,payment_ids!C:D,2,FALSE)</f>
        <v>pay_HME2FWnsCMk2mf</v>
      </c>
      <c r="B690" s="4"/>
      <c r="C690" s="4" t="s">
        <v>3326</v>
      </c>
      <c r="D690" s="4">
        <v>50030.0</v>
      </c>
      <c r="E690" s="5"/>
      <c r="F690" s="4">
        <v>1.0</v>
      </c>
      <c r="G690" s="4">
        <v>99.0</v>
      </c>
      <c r="H690" s="4"/>
      <c r="I690" s="4">
        <v>99.0</v>
      </c>
      <c r="J690" s="4" t="s">
        <v>3515</v>
      </c>
      <c r="K690" s="5">
        <f>+919597055662</f>
        <v>919597055662</v>
      </c>
      <c r="L690" s="4" t="str">
        <f t="shared" si="1"/>
        <v>dipti.david@gmail.com919597055662</v>
      </c>
      <c r="M690" s="10" t="s">
        <v>67</v>
      </c>
      <c r="N690" s="4" t="b">
        <v>0</v>
      </c>
      <c r="O690" s="4" t="str">
        <f>VLOOKUP(A690,payment_ids!D:E,2,FALSE)</f>
        <v>card</v>
      </c>
      <c r="P690" s="4" t="s">
        <v>69</v>
      </c>
      <c r="Q690" s="11">
        <v>44536.95486111111</v>
      </c>
      <c r="R690" s="4"/>
      <c r="S690" s="12" t="s">
        <v>3505</v>
      </c>
      <c r="T690" s="4" t="s">
        <v>2444</v>
      </c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5"/>
      <c r="AI690" s="5"/>
      <c r="AJ690" s="5"/>
      <c r="AK690" s="5"/>
      <c r="AL690" s="5"/>
    </row>
    <row r="691">
      <c r="A691" s="4" t="str">
        <f>VLOOKUP(L691,payment_ids!C:D,2,FALSE)</f>
        <v>pay_HMJ9PaZDS4sXLY</v>
      </c>
      <c r="B691" s="4"/>
      <c r="C691" s="4" t="s">
        <v>3326</v>
      </c>
      <c r="D691" s="4">
        <v>50030.0</v>
      </c>
      <c r="E691" s="5"/>
      <c r="F691" s="4">
        <v>6.0</v>
      </c>
      <c r="G691" s="4">
        <v>349.0</v>
      </c>
      <c r="H691" s="4"/>
      <c r="I691" s="4">
        <v>349.0</v>
      </c>
      <c r="J691" s="4" t="s">
        <v>3516</v>
      </c>
      <c r="K691" s="5">
        <f>+919643233737</f>
        <v>919643233737</v>
      </c>
      <c r="L691" s="4" t="str">
        <f t="shared" si="1"/>
        <v>20ba013@nluo.ac.in919643233737</v>
      </c>
      <c r="M691" s="10" t="s">
        <v>67</v>
      </c>
      <c r="N691" s="4" t="b">
        <v>0</v>
      </c>
      <c r="O691" s="4" t="str">
        <f>VLOOKUP(A691,payment_ids!D:E,2,FALSE)</f>
        <v>upi</v>
      </c>
      <c r="P691" s="4" t="s">
        <v>69</v>
      </c>
      <c r="Q691" s="4" t="s">
        <v>3517</v>
      </c>
      <c r="R691" s="4"/>
      <c r="S691" s="12" t="s">
        <v>3328</v>
      </c>
      <c r="T691" s="4" t="s">
        <v>2444</v>
      </c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5"/>
      <c r="AI691" s="5"/>
      <c r="AJ691" s="5"/>
      <c r="AK691" s="5"/>
      <c r="AL691" s="5"/>
    </row>
    <row r="692">
      <c r="A692" s="4" t="str">
        <f>VLOOKUP(L692,payment_ids!C:D,2,FALSE)</f>
        <v>pay_HMWuwEV6wZPPMn</v>
      </c>
      <c r="B692" s="4"/>
      <c r="C692" s="4" t="s">
        <v>3326</v>
      </c>
      <c r="D692" s="4">
        <v>50030.0</v>
      </c>
      <c r="E692" s="5"/>
      <c r="F692" s="4">
        <v>1.0</v>
      </c>
      <c r="G692" s="4">
        <v>99.0</v>
      </c>
      <c r="H692" s="4"/>
      <c r="I692" s="4">
        <v>99.0</v>
      </c>
      <c r="J692" s="4" t="s">
        <v>3518</v>
      </c>
      <c r="K692" s="5">
        <f>+917093159311</f>
        <v>917093159311</v>
      </c>
      <c r="L692" s="4" t="str">
        <f t="shared" si="1"/>
        <v>smitamahto@gmail.com917093159311</v>
      </c>
      <c r="M692" s="10" t="s">
        <v>67</v>
      </c>
      <c r="N692" s="4" t="b">
        <v>0</v>
      </c>
      <c r="O692" s="4" t="str">
        <f>VLOOKUP(A692,payment_ids!D:E,2,FALSE)</f>
        <v>upi</v>
      </c>
      <c r="P692" s="4" t="s">
        <v>69</v>
      </c>
      <c r="Q692" s="4" t="s">
        <v>3519</v>
      </c>
      <c r="R692" s="4"/>
      <c r="S692" s="12" t="s">
        <v>3328</v>
      </c>
      <c r="T692" s="4" t="s">
        <v>2444</v>
      </c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5"/>
      <c r="AI692" s="5"/>
      <c r="AJ692" s="5"/>
      <c r="AK692" s="5"/>
      <c r="AL692" s="5"/>
    </row>
    <row r="693">
      <c r="A693" s="4" t="str">
        <f>VLOOKUP(L693,payment_ids!C:D,2,FALSE)</f>
        <v>pay_HMZuOiGfS6bRLS</v>
      </c>
      <c r="B693" s="4"/>
      <c r="C693" s="4" t="s">
        <v>3326</v>
      </c>
      <c r="D693" s="4">
        <v>50030.0</v>
      </c>
      <c r="E693" s="5"/>
      <c r="F693" s="4">
        <v>1.0</v>
      </c>
      <c r="G693" s="4">
        <v>99.0</v>
      </c>
      <c r="H693" s="4"/>
      <c r="I693" s="4">
        <v>99.0</v>
      </c>
      <c r="J693" s="4" t="s">
        <v>3520</v>
      </c>
      <c r="K693" s="5">
        <f>+919638223553</f>
        <v>919638223553</v>
      </c>
      <c r="L693" s="4" t="str">
        <f t="shared" si="1"/>
        <v>namratalib08@gmail.com919638223553</v>
      </c>
      <c r="M693" s="10" t="s">
        <v>67</v>
      </c>
      <c r="N693" s="4" t="b">
        <v>0</v>
      </c>
      <c r="O693" s="4" t="str">
        <f>VLOOKUP(A693,payment_ids!D:E,2,FALSE)</f>
        <v>upi</v>
      </c>
      <c r="P693" s="4" t="s">
        <v>69</v>
      </c>
      <c r="Q693" s="4" t="s">
        <v>3521</v>
      </c>
      <c r="R693" s="4"/>
      <c r="S693" s="12" t="s">
        <v>3328</v>
      </c>
      <c r="T693" s="4" t="s">
        <v>2444</v>
      </c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5"/>
      <c r="AI693" s="5"/>
      <c r="AJ693" s="5"/>
      <c r="AK693" s="5"/>
      <c r="AL693" s="5"/>
    </row>
    <row r="694">
      <c r="A694" s="4" t="str">
        <f>VLOOKUP(L694,payment_ids!C:D,2,FALSE)</f>
        <v>pay_HMcDbfyYhIy1gn</v>
      </c>
      <c r="B694" s="4"/>
      <c r="C694" s="4" t="s">
        <v>3326</v>
      </c>
      <c r="D694" s="4">
        <v>50030.0</v>
      </c>
      <c r="E694" s="5"/>
      <c r="F694" s="4">
        <v>1.0</v>
      </c>
      <c r="G694" s="4">
        <v>99.0</v>
      </c>
      <c r="H694" s="4"/>
      <c r="I694" s="4">
        <v>99.0</v>
      </c>
      <c r="J694" s="4" t="s">
        <v>3522</v>
      </c>
      <c r="K694" s="5">
        <f>+919739963138</f>
        <v>919739963138</v>
      </c>
      <c r="L694" s="4" t="str">
        <f t="shared" si="1"/>
        <v>elvina.densy@gmail.com919739963138</v>
      </c>
      <c r="M694" s="10" t="s">
        <v>67</v>
      </c>
      <c r="N694" s="4" t="b">
        <v>0</v>
      </c>
      <c r="O694" s="4" t="str">
        <f>VLOOKUP(A694,payment_ids!D:E,2,FALSE)</f>
        <v>upi</v>
      </c>
      <c r="P694" s="4" t="s">
        <v>69</v>
      </c>
      <c r="Q694" s="4" t="s">
        <v>3523</v>
      </c>
      <c r="R694" s="4"/>
      <c r="S694" s="12" t="s">
        <v>3328</v>
      </c>
      <c r="T694" s="4" t="s">
        <v>2444</v>
      </c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5"/>
      <c r="AI694" s="5"/>
      <c r="AJ694" s="5"/>
      <c r="AK694" s="5"/>
      <c r="AL694" s="5"/>
    </row>
    <row r="695">
      <c r="A695" s="4" t="str">
        <f>VLOOKUP(L695,payment_ids!C:D,2,FALSE)</f>
        <v>pay_HMcRcZhArcZ74S</v>
      </c>
      <c r="B695" s="4"/>
      <c r="C695" s="4" t="s">
        <v>3326</v>
      </c>
      <c r="D695" s="4">
        <v>50030.0</v>
      </c>
      <c r="E695" s="5"/>
      <c r="F695" s="4">
        <v>1.0</v>
      </c>
      <c r="G695" s="4">
        <v>99.0</v>
      </c>
      <c r="H695" s="4"/>
      <c r="I695" s="4">
        <v>99.0</v>
      </c>
      <c r="J695" s="4" t="s">
        <v>3524</v>
      </c>
      <c r="K695" s="5">
        <f>+919529934008</f>
        <v>919529934008</v>
      </c>
      <c r="L695" s="4" t="str">
        <f t="shared" si="1"/>
        <v>pragatiagarwal30@gmail.com919529934008</v>
      </c>
      <c r="M695" s="10" t="s">
        <v>67</v>
      </c>
      <c r="N695" s="4" t="b">
        <v>0</v>
      </c>
      <c r="O695" s="4" t="str">
        <f>VLOOKUP(A695,payment_ids!D:E,2,FALSE)</f>
        <v>upi</v>
      </c>
      <c r="P695" s="4" t="s">
        <v>69</v>
      </c>
      <c r="Q695" s="4" t="s">
        <v>3525</v>
      </c>
      <c r="R695" s="4"/>
      <c r="S695" s="12" t="s">
        <v>3328</v>
      </c>
      <c r="T695" s="4" t="s">
        <v>2444</v>
      </c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5"/>
      <c r="AI695" s="5"/>
      <c r="AJ695" s="5"/>
      <c r="AK695" s="5"/>
      <c r="AL695" s="5"/>
    </row>
    <row r="696">
      <c r="A696" s="4" t="str">
        <f>VLOOKUP(L696,payment_ids!C:D,2,FALSE)</f>
        <v>pay_HMfxRmxrNareKj</v>
      </c>
      <c r="B696" s="4"/>
      <c r="C696" s="4" t="s">
        <v>3326</v>
      </c>
      <c r="D696" s="4">
        <v>50030.0</v>
      </c>
      <c r="E696" s="5"/>
      <c r="F696" s="4">
        <v>1.0</v>
      </c>
      <c r="G696" s="4">
        <v>99.0</v>
      </c>
      <c r="H696" s="4"/>
      <c r="I696" s="4">
        <v>99.0</v>
      </c>
      <c r="J696" s="4" t="s">
        <v>3526</v>
      </c>
      <c r="K696" s="5">
        <f>+919532289158</f>
        <v>919532289158</v>
      </c>
      <c r="L696" s="4" t="str">
        <f t="shared" si="1"/>
        <v>aashij809@gmail.com919532289158</v>
      </c>
      <c r="M696" s="10" t="s">
        <v>67</v>
      </c>
      <c r="N696" s="4" t="b">
        <v>0</v>
      </c>
      <c r="O696" s="4" t="str">
        <f>VLOOKUP(A696,payment_ids!D:E,2,FALSE)</f>
        <v>upi</v>
      </c>
      <c r="P696" s="4" t="s">
        <v>69</v>
      </c>
      <c r="Q696" s="4" t="s">
        <v>3527</v>
      </c>
      <c r="R696" s="4"/>
      <c r="S696" s="12" t="s">
        <v>3505</v>
      </c>
      <c r="T696" s="4" t="s">
        <v>2444</v>
      </c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5"/>
      <c r="AI696" s="5"/>
      <c r="AJ696" s="5"/>
      <c r="AK696" s="5"/>
      <c r="AL696" s="5"/>
    </row>
    <row r="697">
      <c r="A697" s="4" t="str">
        <f>VLOOKUP(L697,payment_ids!C:D,2,FALSE)</f>
        <v>pay_HMpNlxFfXqEFCe</v>
      </c>
      <c r="B697" s="4"/>
      <c r="C697" s="4" t="s">
        <v>3326</v>
      </c>
      <c r="D697" s="4">
        <v>50030.0</v>
      </c>
      <c r="E697" s="5"/>
      <c r="F697" s="4">
        <v>6.0</v>
      </c>
      <c r="G697" s="4">
        <v>349.0</v>
      </c>
      <c r="H697" s="4"/>
      <c r="I697" s="4">
        <v>349.0</v>
      </c>
      <c r="J697" s="4" t="s">
        <v>3528</v>
      </c>
      <c r="K697" s="5">
        <f>+918121895951</f>
        <v>918121895951</v>
      </c>
      <c r="L697" s="4" t="str">
        <f t="shared" si="1"/>
        <v>sreyak.1998@gmail.com918121895951</v>
      </c>
      <c r="M697" s="10" t="s">
        <v>67</v>
      </c>
      <c r="N697" s="4" t="b">
        <v>0</v>
      </c>
      <c r="O697" s="4" t="str">
        <f>VLOOKUP(A697,payment_ids!D:E,2,FALSE)</f>
        <v>card</v>
      </c>
      <c r="P697" s="4" t="s">
        <v>69</v>
      </c>
      <c r="Q697" s="4" t="s">
        <v>3529</v>
      </c>
      <c r="R697" s="4"/>
      <c r="S697" s="12" t="s">
        <v>3505</v>
      </c>
      <c r="T697" s="4" t="s">
        <v>2444</v>
      </c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5"/>
      <c r="AI697" s="5"/>
      <c r="AJ697" s="5"/>
      <c r="AK697" s="5"/>
      <c r="AL697" s="5"/>
    </row>
    <row r="698">
      <c r="A698" s="4" t="str">
        <f>VLOOKUP(L698,payment_ids!C:D,2,FALSE)</f>
        <v>pay_HMuKh70J5RYq8m</v>
      </c>
      <c r="B698" s="4"/>
      <c r="C698" s="4" t="s">
        <v>3326</v>
      </c>
      <c r="D698" s="4">
        <v>50030.0</v>
      </c>
      <c r="E698" s="5"/>
      <c r="F698" s="4">
        <v>1.0</v>
      </c>
      <c r="G698" s="4">
        <v>99.0</v>
      </c>
      <c r="H698" s="4"/>
      <c r="I698" s="4">
        <v>99.0</v>
      </c>
      <c r="J698" s="4" t="s">
        <v>3530</v>
      </c>
      <c r="K698" s="5">
        <f>+917840841999</f>
        <v>917840841999</v>
      </c>
      <c r="L698" s="4" t="str">
        <f t="shared" si="1"/>
        <v>rahulkkarn@gmail.com917840841999</v>
      </c>
      <c r="M698" s="10" t="s">
        <v>67</v>
      </c>
      <c r="N698" s="4" t="b">
        <v>0</v>
      </c>
      <c r="O698" s="4" t="str">
        <f>VLOOKUP(A698,payment_ids!D:E,2,FALSE)</f>
        <v>wallet</v>
      </c>
      <c r="P698" s="4" t="s">
        <v>69</v>
      </c>
      <c r="Q698" s="4" t="s">
        <v>3531</v>
      </c>
      <c r="R698" s="4"/>
      <c r="S698" s="12" t="s">
        <v>3505</v>
      </c>
      <c r="T698" s="4" t="s">
        <v>2444</v>
      </c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5"/>
      <c r="AI698" s="5"/>
      <c r="AJ698" s="5"/>
      <c r="AK698" s="5"/>
      <c r="AL698" s="5"/>
    </row>
    <row r="699">
      <c r="A699" s="4" t="str">
        <f>VLOOKUP(L699,payment_ids!C:D,2,FALSE)</f>
        <v>pay_HMvnsezrJfBs9c</v>
      </c>
      <c r="B699" s="4"/>
      <c r="C699" s="4" t="s">
        <v>3326</v>
      </c>
      <c r="D699" s="4">
        <v>50030.0</v>
      </c>
      <c r="E699" s="5"/>
      <c r="F699" s="4">
        <v>1.0</v>
      </c>
      <c r="G699" s="4">
        <v>99.0</v>
      </c>
      <c r="H699" s="4"/>
      <c r="I699" s="4">
        <v>99.0</v>
      </c>
      <c r="J699" s="4" t="s">
        <v>3532</v>
      </c>
      <c r="K699" s="5">
        <f>+919874883791</f>
        <v>919874883791</v>
      </c>
      <c r="L699" s="4" t="str">
        <f t="shared" si="1"/>
        <v>arnaba.saha@gmail.com919874883791</v>
      </c>
      <c r="M699" s="10" t="s">
        <v>67</v>
      </c>
      <c r="N699" s="4" t="b">
        <v>0</v>
      </c>
      <c r="O699" s="4" t="str">
        <f>VLOOKUP(A699,payment_ids!D:E,2,FALSE)</f>
        <v>upi</v>
      </c>
      <c r="P699" s="4" t="s">
        <v>69</v>
      </c>
      <c r="Q699" s="4" t="s">
        <v>3533</v>
      </c>
      <c r="R699" s="4"/>
      <c r="S699" s="12" t="s">
        <v>3505</v>
      </c>
      <c r="T699" s="4" t="s">
        <v>2444</v>
      </c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5"/>
      <c r="AI699" s="5"/>
      <c r="AJ699" s="5"/>
      <c r="AK699" s="5"/>
      <c r="AL699" s="5"/>
    </row>
    <row r="700">
      <c r="A700" s="4" t="str">
        <f>VLOOKUP(L700,payment_ids!C:D,2,FALSE)</f>
        <v>pay_HMvu42wm5f8aKS</v>
      </c>
      <c r="B700" s="4"/>
      <c r="C700" s="4" t="s">
        <v>3326</v>
      </c>
      <c r="D700" s="4">
        <v>50030.0</v>
      </c>
      <c r="E700" s="5"/>
      <c r="F700" s="4">
        <v>1.0</v>
      </c>
      <c r="G700" s="4">
        <v>99.0</v>
      </c>
      <c r="H700" s="4"/>
      <c r="I700" s="4">
        <v>99.0</v>
      </c>
      <c r="J700" s="4" t="s">
        <v>3534</v>
      </c>
      <c r="K700" s="5">
        <f>+919686891279</f>
        <v>919686891279</v>
      </c>
      <c r="L700" s="4" t="str">
        <f t="shared" si="1"/>
        <v>nastyfriendraza@gmail.com919686891279</v>
      </c>
      <c r="M700" s="10" t="s">
        <v>67</v>
      </c>
      <c r="N700" s="4" t="b">
        <v>0</v>
      </c>
      <c r="O700" s="4" t="str">
        <f>VLOOKUP(A700,payment_ids!D:E,2,FALSE)</f>
        <v>upi</v>
      </c>
      <c r="P700" s="4" t="s">
        <v>69</v>
      </c>
      <c r="Q700" s="4" t="s">
        <v>3535</v>
      </c>
      <c r="R700" s="4"/>
      <c r="S700" s="12" t="s">
        <v>3328</v>
      </c>
      <c r="T700" s="4" t="s">
        <v>2444</v>
      </c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5"/>
      <c r="AI700" s="5"/>
      <c r="AJ700" s="5"/>
      <c r="AK700" s="5"/>
      <c r="AL700" s="5"/>
    </row>
    <row r="701">
      <c r="A701" s="4" t="str">
        <f>VLOOKUP(L701,payment_ids!C:D,2,FALSE)</f>
        <v>pay_HMzdjGfu5vWDh2</v>
      </c>
      <c r="B701" s="4"/>
      <c r="C701" s="4" t="s">
        <v>3326</v>
      </c>
      <c r="D701" s="4">
        <v>50030.0</v>
      </c>
      <c r="E701" s="5"/>
      <c r="F701" s="4">
        <v>3.0</v>
      </c>
      <c r="G701" s="4">
        <v>199.0</v>
      </c>
      <c r="H701" s="4"/>
      <c r="I701" s="4">
        <v>199.0</v>
      </c>
      <c r="J701" s="4" t="s">
        <v>3536</v>
      </c>
      <c r="K701" s="5">
        <f>+917906047649</f>
        <v>917906047649</v>
      </c>
      <c r="L701" s="4" t="str">
        <f t="shared" si="1"/>
        <v>prashantbunty21@gmail.com917906047649</v>
      </c>
      <c r="M701" s="10" t="s">
        <v>67</v>
      </c>
      <c r="N701" s="4" t="b">
        <v>0</v>
      </c>
      <c r="O701" s="4" t="str">
        <f>VLOOKUP(A701,payment_ids!D:E,2,FALSE)</f>
        <v>upi</v>
      </c>
      <c r="P701" s="4" t="s">
        <v>69</v>
      </c>
      <c r="Q701" s="4" t="s">
        <v>3537</v>
      </c>
      <c r="R701" s="4"/>
      <c r="S701" s="12" t="s">
        <v>3328</v>
      </c>
      <c r="T701" s="4" t="s">
        <v>2444</v>
      </c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5"/>
      <c r="AI701" s="5"/>
      <c r="AJ701" s="5"/>
      <c r="AK701" s="5"/>
      <c r="AL701" s="5"/>
    </row>
    <row r="702">
      <c r="A702" s="4" t="str">
        <f>VLOOKUP(L702,payment_ids!C:D,2,FALSE)</f>
        <v>pay_HN32U25Rxce8QW</v>
      </c>
      <c r="B702" s="4"/>
      <c r="C702" s="4" t="s">
        <v>3326</v>
      </c>
      <c r="D702" s="4">
        <v>50030.0</v>
      </c>
      <c r="E702" s="5"/>
      <c r="F702" s="4">
        <v>1.0</v>
      </c>
      <c r="G702" s="4">
        <v>99.0</v>
      </c>
      <c r="H702" s="4"/>
      <c r="I702" s="4">
        <v>99.0</v>
      </c>
      <c r="J702" s="4" t="s">
        <v>3538</v>
      </c>
      <c r="K702" s="5">
        <f>+918610981633</f>
        <v>918610981633</v>
      </c>
      <c r="L702" s="4" t="str">
        <f t="shared" si="1"/>
        <v>grenu89@gmail.com918610981633</v>
      </c>
      <c r="M702" s="10" t="s">
        <v>67</v>
      </c>
      <c r="N702" s="4" t="b">
        <v>0</v>
      </c>
      <c r="O702" s="4" t="str">
        <f>VLOOKUP(A702,payment_ids!D:E,2,FALSE)</f>
        <v>upi</v>
      </c>
      <c r="P702" s="4" t="s">
        <v>69</v>
      </c>
      <c r="Q702" s="4" t="s">
        <v>3539</v>
      </c>
      <c r="R702" s="4"/>
      <c r="S702" s="12" t="s">
        <v>3328</v>
      </c>
      <c r="T702" s="4" t="s">
        <v>2444</v>
      </c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5"/>
      <c r="AI702" s="5"/>
      <c r="AJ702" s="5"/>
      <c r="AK702" s="5"/>
      <c r="AL702" s="5"/>
    </row>
    <row r="703">
      <c r="A703" s="4" t="str">
        <f>VLOOKUP(L703,payment_ids!C:D,2,FALSE)</f>
        <v>pay_H5seU4HAc7T7Uo</v>
      </c>
      <c r="B703" s="4"/>
      <c r="C703" s="4" t="s">
        <v>3326</v>
      </c>
      <c r="D703" s="4">
        <v>50030.0</v>
      </c>
      <c r="E703" s="5"/>
      <c r="F703" s="4">
        <v>3.0</v>
      </c>
      <c r="G703" s="4">
        <v>199.0</v>
      </c>
      <c r="H703" s="4"/>
      <c r="I703" s="4">
        <v>199.0</v>
      </c>
      <c r="J703" s="4" t="s">
        <v>3313</v>
      </c>
      <c r="K703" s="5">
        <f>+919888470272</f>
        <v>919888470272</v>
      </c>
      <c r="L703" s="4" t="str">
        <f t="shared" si="1"/>
        <v>himanshusaleria@gmail.com919888470272</v>
      </c>
      <c r="M703" s="10" t="s">
        <v>67</v>
      </c>
      <c r="N703" s="4" t="b">
        <v>0</v>
      </c>
      <c r="O703" s="4" t="str">
        <f>VLOOKUP(A703,payment_ids!D:E,2,FALSE)</f>
        <v>upi</v>
      </c>
      <c r="P703" s="4" t="s">
        <v>69</v>
      </c>
      <c r="Q703" s="4" t="s">
        <v>3540</v>
      </c>
      <c r="R703" s="4"/>
      <c r="S703" s="12" t="s">
        <v>3328</v>
      </c>
      <c r="T703" s="4" t="s">
        <v>2444</v>
      </c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5"/>
      <c r="AI703" s="5"/>
      <c r="AJ703" s="5"/>
      <c r="AK703" s="5"/>
      <c r="AL703" s="5"/>
    </row>
    <row r="704">
      <c r="A704" s="4" t="str">
        <f>VLOOKUP(L704,payment_ids!C:D,2,FALSE)</f>
        <v>pay_HM0Wt6CTRo51HY</v>
      </c>
      <c r="B704" s="4"/>
      <c r="C704" s="4" t="s">
        <v>3326</v>
      </c>
      <c r="D704" s="4">
        <v>50030.0</v>
      </c>
      <c r="E704" s="5"/>
      <c r="F704" s="4">
        <v>1.0</v>
      </c>
      <c r="G704" s="4">
        <v>349.0</v>
      </c>
      <c r="H704" s="4"/>
      <c r="I704" s="4">
        <v>349.0</v>
      </c>
      <c r="J704" s="4" t="s">
        <v>3541</v>
      </c>
      <c r="K704" s="5">
        <f>+919503201603</f>
        <v>919503201603</v>
      </c>
      <c r="L704" s="4" t="str">
        <f t="shared" si="1"/>
        <v>sarahmcwann@gmail.com919503201603</v>
      </c>
      <c r="M704" s="10" t="s">
        <v>67</v>
      </c>
      <c r="N704" s="4" t="b">
        <v>0</v>
      </c>
      <c r="O704" s="4" t="str">
        <f>VLOOKUP(A704,payment_ids!D:E,2,FALSE)</f>
        <v>upi</v>
      </c>
      <c r="P704" s="4" t="s">
        <v>69</v>
      </c>
      <c r="Q704" s="4" t="s">
        <v>3542</v>
      </c>
      <c r="R704" s="4"/>
      <c r="S704" s="12" t="s">
        <v>3328</v>
      </c>
      <c r="T704" s="4" t="s">
        <v>2444</v>
      </c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5"/>
      <c r="AI704" s="5"/>
      <c r="AJ704" s="5"/>
      <c r="AK704" s="5"/>
      <c r="AL704" s="5"/>
    </row>
    <row r="705">
      <c r="A705" s="4" t="str">
        <f>VLOOKUP(L705,payment_ids!C:D,2,FALSE)</f>
        <v>pay_HNKarPpuMv3KjB</v>
      </c>
      <c r="B705" s="4"/>
      <c r="C705" s="4" t="s">
        <v>3326</v>
      </c>
      <c r="D705" s="4">
        <v>50030.0</v>
      </c>
      <c r="E705" s="5"/>
      <c r="F705" s="4">
        <v>1.0</v>
      </c>
      <c r="G705" s="4">
        <v>99.0</v>
      </c>
      <c r="H705" s="4"/>
      <c r="I705" s="4">
        <v>99.0</v>
      </c>
      <c r="J705" s="4" t="s">
        <v>3543</v>
      </c>
      <c r="K705" s="5">
        <f>+918806757528</f>
        <v>918806757528</v>
      </c>
      <c r="L705" s="4" t="str">
        <f t="shared" si="1"/>
        <v>i.nnooori@gmail.com918806757528</v>
      </c>
      <c r="M705" s="10" t="s">
        <v>67</v>
      </c>
      <c r="N705" s="4" t="b">
        <v>0</v>
      </c>
      <c r="O705" s="4" t="str">
        <f>VLOOKUP(A705,payment_ids!D:E,2,FALSE)</f>
        <v>card</v>
      </c>
      <c r="P705" s="4" t="s">
        <v>69</v>
      </c>
      <c r="Q705" s="4" t="s">
        <v>3544</v>
      </c>
      <c r="R705" s="4"/>
      <c r="S705" s="12" t="s">
        <v>3328</v>
      </c>
      <c r="T705" s="4" t="s">
        <v>2444</v>
      </c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5"/>
      <c r="AI705" s="5"/>
      <c r="AJ705" s="5"/>
      <c r="AK705" s="5"/>
      <c r="AL705" s="5"/>
    </row>
    <row r="706">
      <c r="A706" s="4" t="str">
        <f>VLOOKUP(L706,payment_ids!C:D,2,FALSE)</f>
        <v>pay_HNTvk5Cjvw8BXl</v>
      </c>
      <c r="B706" s="4"/>
      <c r="C706" s="4" t="s">
        <v>3326</v>
      </c>
      <c r="D706" s="4">
        <v>50030.0</v>
      </c>
      <c r="E706" s="5"/>
      <c r="F706" s="4">
        <v>6.0</v>
      </c>
      <c r="G706" s="4">
        <v>349.0</v>
      </c>
      <c r="H706" s="4"/>
      <c r="I706" s="4">
        <v>349.0</v>
      </c>
      <c r="J706" s="4" t="s">
        <v>3545</v>
      </c>
      <c r="K706" s="5">
        <f>+918108094720</f>
        <v>918108094720</v>
      </c>
      <c r="L706" s="4" t="str">
        <f t="shared" si="1"/>
        <v>pagarkarapsara@gmail.com918108094720</v>
      </c>
      <c r="M706" s="10" t="s">
        <v>67</v>
      </c>
      <c r="N706" s="4" t="b">
        <v>0</v>
      </c>
      <c r="O706" s="4" t="str">
        <f>VLOOKUP(A706,payment_ids!D:E,2,FALSE)</f>
        <v>card</v>
      </c>
      <c r="P706" s="4" t="s">
        <v>69</v>
      </c>
      <c r="Q706" s="4" t="s">
        <v>3546</v>
      </c>
      <c r="R706" s="4"/>
      <c r="S706" s="12" t="s">
        <v>3328</v>
      </c>
      <c r="T706" s="4" t="s">
        <v>2444</v>
      </c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5"/>
      <c r="AI706" s="5"/>
      <c r="AJ706" s="5"/>
      <c r="AK706" s="5"/>
      <c r="AL706" s="5"/>
    </row>
    <row r="707">
      <c r="A707" s="4" t="str">
        <f>VLOOKUP(L707,payment_ids!C:D,2,FALSE)</f>
        <v>pay_HNaBEQ8kEQuG1f</v>
      </c>
      <c r="B707" s="4"/>
      <c r="C707" s="4" t="s">
        <v>3326</v>
      </c>
      <c r="D707" s="4">
        <v>50030.0</v>
      </c>
      <c r="E707" s="5"/>
      <c r="F707" s="4">
        <v>1.0</v>
      </c>
      <c r="G707" s="4">
        <v>99.0</v>
      </c>
      <c r="H707" s="4"/>
      <c r="I707" s="4">
        <v>99.0</v>
      </c>
      <c r="J707" s="4" t="s">
        <v>3547</v>
      </c>
      <c r="K707" s="5">
        <f>+918368147772</f>
        <v>918368147772</v>
      </c>
      <c r="L707" s="4" t="str">
        <f t="shared" si="1"/>
        <v>tandon.aakansha1910@gmail.com918368147772</v>
      </c>
      <c r="M707" s="10" t="s">
        <v>67</v>
      </c>
      <c r="N707" s="4" t="b">
        <v>0</v>
      </c>
      <c r="O707" s="4" t="str">
        <f>VLOOKUP(A707,payment_ids!D:E,2,FALSE)</f>
        <v>upi</v>
      </c>
      <c r="P707" s="4" t="s">
        <v>69</v>
      </c>
      <c r="Q707" s="4" t="s">
        <v>3548</v>
      </c>
      <c r="R707" s="4"/>
      <c r="S707" s="12" t="s">
        <v>3328</v>
      </c>
      <c r="T707" s="4" t="s">
        <v>2444</v>
      </c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5"/>
      <c r="AI707" s="5"/>
      <c r="AJ707" s="5"/>
      <c r="AK707" s="5"/>
      <c r="AL707" s="5"/>
    </row>
    <row r="708">
      <c r="A708" s="4" t="str">
        <f>VLOOKUP(L708,payment_ids!C:D,2,FALSE)</f>
        <v>pay_HNdL77xaFikJCI</v>
      </c>
      <c r="B708" s="4"/>
      <c r="C708" s="4" t="s">
        <v>3326</v>
      </c>
      <c r="D708" s="4">
        <v>50030.0</v>
      </c>
      <c r="E708" s="5"/>
      <c r="F708" s="4">
        <v>1.0</v>
      </c>
      <c r="G708" s="4">
        <v>99.0</v>
      </c>
      <c r="H708" s="4"/>
      <c r="I708" s="4">
        <v>99.0</v>
      </c>
      <c r="J708" s="4" t="s">
        <v>3549</v>
      </c>
      <c r="K708" s="5">
        <f>+919858262364</f>
        <v>919858262364</v>
      </c>
      <c r="L708" s="4" t="str">
        <f t="shared" si="1"/>
        <v>charuchauhan1103@gmail.com919858262364</v>
      </c>
      <c r="M708" s="10" t="s">
        <v>67</v>
      </c>
      <c r="N708" s="4" t="b">
        <v>0</v>
      </c>
      <c r="O708" s="4" t="str">
        <f>VLOOKUP(A708,payment_ids!D:E,2,FALSE)</f>
        <v>upi</v>
      </c>
      <c r="P708" s="4" t="s">
        <v>69</v>
      </c>
      <c r="Q708" s="4" t="s">
        <v>3550</v>
      </c>
      <c r="R708" s="4"/>
      <c r="S708" s="12" t="s">
        <v>3328</v>
      </c>
      <c r="T708" s="4" t="s">
        <v>2444</v>
      </c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5"/>
      <c r="AI708" s="5"/>
      <c r="AJ708" s="5"/>
      <c r="AK708" s="5"/>
      <c r="AL708" s="5"/>
    </row>
    <row r="709">
      <c r="A709" s="4" t="str">
        <f>VLOOKUP(L709,payment_ids!C:D,2,FALSE)</f>
        <v>pay_HNdS41xjDxtg8u</v>
      </c>
      <c r="B709" s="4"/>
      <c r="C709" s="4" t="s">
        <v>3326</v>
      </c>
      <c r="D709" s="4">
        <v>50030.0</v>
      </c>
      <c r="E709" s="5"/>
      <c r="F709" s="4">
        <v>1.0</v>
      </c>
      <c r="G709" s="4">
        <v>99.0</v>
      </c>
      <c r="H709" s="4"/>
      <c r="I709" s="4">
        <v>99.0</v>
      </c>
      <c r="J709" s="4" t="s">
        <v>3551</v>
      </c>
      <c r="K709" s="5">
        <f>+919497584977</f>
        <v>919497584977</v>
      </c>
      <c r="L709" s="4" t="str">
        <f t="shared" si="1"/>
        <v>shilpagaya1@gmail.com919497584977</v>
      </c>
      <c r="M709" s="10" t="s">
        <v>67</v>
      </c>
      <c r="N709" s="4" t="b">
        <v>0</v>
      </c>
      <c r="O709" s="4" t="str">
        <f>VLOOKUP(A709,payment_ids!D:E,2,FALSE)</f>
        <v>upi</v>
      </c>
      <c r="P709" s="4" t="s">
        <v>69</v>
      </c>
      <c r="Q709" s="4" t="s">
        <v>3552</v>
      </c>
      <c r="R709" s="4"/>
      <c r="S709" s="12" t="s">
        <v>3328</v>
      </c>
      <c r="T709" s="4" t="s">
        <v>2444</v>
      </c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5"/>
      <c r="AI709" s="5"/>
      <c r="AJ709" s="5"/>
      <c r="AK709" s="5"/>
      <c r="AL709" s="5"/>
    </row>
    <row r="710">
      <c r="A710" s="4" t="str">
        <f>VLOOKUP(L710,payment_ids!C:D,2,FALSE)</f>
        <v>pay_HNedvyyF9xjqlx</v>
      </c>
      <c r="B710" s="4"/>
      <c r="C710" s="4" t="s">
        <v>3326</v>
      </c>
      <c r="D710" s="4">
        <v>50030.0</v>
      </c>
      <c r="E710" s="5"/>
      <c r="F710" s="4">
        <v>1.0</v>
      </c>
      <c r="G710" s="4">
        <v>99.0</v>
      </c>
      <c r="H710" s="4"/>
      <c r="I710" s="4">
        <v>99.0</v>
      </c>
      <c r="J710" s="4" t="s">
        <v>3553</v>
      </c>
      <c r="K710" s="5">
        <f>+917903413739</f>
        <v>917903413739</v>
      </c>
      <c r="L710" s="4" t="str">
        <f t="shared" si="1"/>
        <v>ankitasinghdhn@gmail.com917903413739</v>
      </c>
      <c r="M710" s="10" t="s">
        <v>67</v>
      </c>
      <c r="N710" s="4" t="b">
        <v>0</v>
      </c>
      <c r="O710" s="4" t="str">
        <f>VLOOKUP(A710,payment_ids!D:E,2,FALSE)</f>
        <v>upi</v>
      </c>
      <c r="P710" s="4" t="s">
        <v>69</v>
      </c>
      <c r="Q710" s="4" t="s">
        <v>3554</v>
      </c>
      <c r="R710" s="4"/>
      <c r="S710" s="12" t="s">
        <v>3328</v>
      </c>
      <c r="T710" s="4" t="s">
        <v>2444</v>
      </c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5"/>
      <c r="AI710" s="5"/>
      <c r="AJ710" s="5"/>
      <c r="AK710" s="5"/>
      <c r="AL710" s="5"/>
    </row>
    <row r="711">
      <c r="A711" s="4" t="str">
        <f>VLOOKUP(L711,payment_ids!C:D,2,FALSE)</f>
        <v>pay_HNeh4ubaVoEzTW</v>
      </c>
      <c r="B711" s="4"/>
      <c r="C711" s="4" t="s">
        <v>3326</v>
      </c>
      <c r="D711" s="4">
        <v>50030.0</v>
      </c>
      <c r="E711" s="5"/>
      <c r="F711" s="4">
        <v>1.0</v>
      </c>
      <c r="G711" s="4">
        <v>99.0</v>
      </c>
      <c r="H711" s="4"/>
      <c r="I711" s="4">
        <v>99.0</v>
      </c>
      <c r="J711" s="4" t="s">
        <v>3555</v>
      </c>
      <c r="K711" s="5">
        <f>+919876195757</f>
        <v>919876195757</v>
      </c>
      <c r="L711" s="4" t="str">
        <f t="shared" si="1"/>
        <v>pushvinder1606@gmail.com919876195757</v>
      </c>
      <c r="M711" s="10" t="s">
        <v>67</v>
      </c>
      <c r="N711" s="4" t="b">
        <v>0</v>
      </c>
      <c r="O711" s="4" t="str">
        <f>VLOOKUP(A711,payment_ids!D:E,2,FALSE)</f>
        <v>upi</v>
      </c>
      <c r="P711" s="4" t="s">
        <v>69</v>
      </c>
      <c r="Q711" s="4" t="s">
        <v>3556</v>
      </c>
      <c r="R711" s="4"/>
      <c r="S711" s="12" t="s">
        <v>3328</v>
      </c>
      <c r="T711" s="4" t="s">
        <v>2444</v>
      </c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5"/>
      <c r="AI711" s="5"/>
      <c r="AJ711" s="5"/>
      <c r="AK711" s="5"/>
      <c r="AL711" s="5"/>
    </row>
    <row r="712">
      <c r="A712" s="4" t="str">
        <f>VLOOKUP(L712,payment_ids!C:D,2,FALSE)</f>
        <v>pay_HNgQoQUtagS6Ng</v>
      </c>
      <c r="B712" s="4"/>
      <c r="C712" s="4" t="s">
        <v>3326</v>
      </c>
      <c r="D712" s="4">
        <v>50030.0</v>
      </c>
      <c r="E712" s="5"/>
      <c r="F712" s="4">
        <v>1.0</v>
      </c>
      <c r="G712" s="4">
        <v>99.0</v>
      </c>
      <c r="H712" s="4"/>
      <c r="I712" s="4">
        <v>99.0</v>
      </c>
      <c r="J712" s="4" t="s">
        <v>3557</v>
      </c>
      <c r="K712" s="5">
        <f>+918617481346</f>
        <v>918617481346</v>
      </c>
      <c r="L712" s="4" t="str">
        <f t="shared" si="1"/>
        <v>shubhamghosh9304@gmail.com918617481346</v>
      </c>
      <c r="M712" s="10" t="s">
        <v>67</v>
      </c>
      <c r="N712" s="4" t="b">
        <v>0</v>
      </c>
      <c r="O712" s="4" t="str">
        <f>VLOOKUP(A712,payment_ids!D:E,2,FALSE)</f>
        <v>upi</v>
      </c>
      <c r="P712" s="4" t="s">
        <v>69</v>
      </c>
      <c r="Q712" s="4" t="s">
        <v>3558</v>
      </c>
      <c r="R712" s="4"/>
      <c r="S712" s="12" t="s">
        <v>3328</v>
      </c>
      <c r="T712" s="4" t="s">
        <v>2444</v>
      </c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5"/>
      <c r="AI712" s="5"/>
      <c r="AJ712" s="5"/>
      <c r="AK712" s="5"/>
      <c r="AL712" s="5"/>
    </row>
    <row r="713">
      <c r="A713" s="4" t="str">
        <f>VLOOKUP(L713,payment_ids!C:D,2,FALSE)</f>
        <v>pay_HNhNREENfpaQ7t</v>
      </c>
      <c r="B713" s="4"/>
      <c r="C713" s="4" t="s">
        <v>3326</v>
      </c>
      <c r="D713" s="4">
        <v>50030.0</v>
      </c>
      <c r="E713" s="5"/>
      <c r="F713" s="4">
        <v>1.0</v>
      </c>
      <c r="G713" s="4">
        <v>99.0</v>
      </c>
      <c r="H713" s="4"/>
      <c r="I713" s="4">
        <v>99.0</v>
      </c>
      <c r="J713" s="4" t="s">
        <v>3559</v>
      </c>
      <c r="K713" s="5">
        <f>+919847272029</f>
        <v>919847272029</v>
      </c>
      <c r="L713" s="4" t="str">
        <f t="shared" si="1"/>
        <v>shahabaspengattiri@gmail.com919847272029</v>
      </c>
      <c r="M713" s="10" t="s">
        <v>67</v>
      </c>
      <c r="N713" s="4" t="b">
        <v>0</v>
      </c>
      <c r="O713" s="4" t="str">
        <f>VLOOKUP(A713,payment_ids!D:E,2,FALSE)</f>
        <v>upi</v>
      </c>
      <c r="P713" s="4" t="s">
        <v>69</v>
      </c>
      <c r="Q713" s="4" t="s">
        <v>3560</v>
      </c>
      <c r="R713" s="4"/>
      <c r="S713" s="12" t="s">
        <v>3328</v>
      </c>
      <c r="T713" s="4" t="s">
        <v>2444</v>
      </c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5"/>
      <c r="AI713" s="5"/>
      <c r="AJ713" s="5"/>
      <c r="AK713" s="5"/>
      <c r="AL713" s="5"/>
    </row>
    <row r="714">
      <c r="A714" s="4" t="str">
        <f>VLOOKUP(L714,payment_ids!C:D,2,FALSE)</f>
        <v>pay_HNkVxbGxBVPG1h</v>
      </c>
      <c r="B714" s="4"/>
      <c r="C714" s="4" t="s">
        <v>3326</v>
      </c>
      <c r="D714" s="4">
        <v>50030.0</v>
      </c>
      <c r="E714" s="5"/>
      <c r="F714" s="4">
        <v>1.0</v>
      </c>
      <c r="G714" s="4">
        <v>99.0</v>
      </c>
      <c r="H714" s="4"/>
      <c r="I714" s="4">
        <v>99.0</v>
      </c>
      <c r="J714" s="4" t="s">
        <v>3561</v>
      </c>
      <c r="K714" s="5">
        <f>+918700046907</f>
        <v>918700046907</v>
      </c>
      <c r="L714" s="4" t="str">
        <f t="shared" si="1"/>
        <v>nikhil.joshi.339@gmail.com918700046907</v>
      </c>
      <c r="M714" s="10" t="s">
        <v>67</v>
      </c>
      <c r="N714" s="4" t="b">
        <v>0</v>
      </c>
      <c r="O714" s="4" t="str">
        <f>VLOOKUP(A714,payment_ids!D:E,2,FALSE)</f>
        <v>upi</v>
      </c>
      <c r="P714" s="4" t="s">
        <v>69</v>
      </c>
      <c r="Q714" s="4" t="s">
        <v>3562</v>
      </c>
      <c r="R714" s="4"/>
      <c r="S714" s="12" t="s">
        <v>3328</v>
      </c>
      <c r="T714" s="4" t="s">
        <v>2444</v>
      </c>
      <c r="U714" s="4"/>
      <c r="V714" s="4"/>
      <c r="W714" s="4"/>
      <c r="X714" s="4"/>
      <c r="Y714" s="4"/>
      <c r="Z714" s="4"/>
      <c r="AA714" s="4"/>
      <c r="AB714" s="4"/>
      <c r="AC714" s="7"/>
      <c r="AD714" s="4"/>
      <c r="AE714" s="4"/>
      <c r="AF714" s="4"/>
      <c r="AG714" s="4"/>
      <c r="AH714" s="5"/>
      <c r="AI714" s="5"/>
      <c r="AJ714" s="5"/>
      <c r="AK714" s="5"/>
      <c r="AL714" s="5"/>
    </row>
    <row r="715">
      <c r="A715" s="4" t="str">
        <f>VLOOKUP(L715,payment_ids!C:D,2,FALSE)</f>
        <v>pay_HNklmHGKtOLZsH</v>
      </c>
      <c r="B715" s="4"/>
      <c r="C715" s="4" t="s">
        <v>3326</v>
      </c>
      <c r="D715" s="4">
        <v>50030.0</v>
      </c>
      <c r="E715" s="5"/>
      <c r="F715" s="4">
        <v>3.0</v>
      </c>
      <c r="G715" s="4">
        <v>199.0</v>
      </c>
      <c r="H715" s="4"/>
      <c r="I715" s="4">
        <v>199.0</v>
      </c>
      <c r="J715" s="4" t="s">
        <v>3563</v>
      </c>
      <c r="K715" s="5">
        <f>+918408850686</f>
        <v>918408850686</v>
      </c>
      <c r="L715" s="4" t="str">
        <f t="shared" si="1"/>
        <v>janorikartejshree@gmail.com918408850686</v>
      </c>
      <c r="M715" s="10" t="s">
        <v>67</v>
      </c>
      <c r="N715" s="4" t="b">
        <v>0</v>
      </c>
      <c r="O715" s="4" t="str">
        <f>VLOOKUP(A715,payment_ids!D:E,2,FALSE)</f>
        <v>upi</v>
      </c>
      <c r="P715" s="4" t="s">
        <v>69</v>
      </c>
      <c r="Q715" s="4" t="s">
        <v>3564</v>
      </c>
      <c r="R715" s="4"/>
      <c r="S715" s="12" t="s">
        <v>3328</v>
      </c>
      <c r="T715" s="4" t="s">
        <v>2444</v>
      </c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5"/>
      <c r="AI715" s="5"/>
      <c r="AJ715" s="5"/>
      <c r="AK715" s="5"/>
      <c r="AL715" s="5"/>
    </row>
    <row r="716">
      <c r="A716" s="4" t="str">
        <f>VLOOKUP(L716,payment_ids!C:D,2,FALSE)</f>
        <v>pay_HAx9J6Mna3002q</v>
      </c>
      <c r="B716" s="4"/>
      <c r="C716" s="4" t="s">
        <v>3326</v>
      </c>
      <c r="D716" s="4">
        <v>50030.0</v>
      </c>
      <c r="E716" s="5"/>
      <c r="F716" s="4">
        <v>6.0</v>
      </c>
      <c r="G716" s="4">
        <v>349.0</v>
      </c>
      <c r="H716" s="4"/>
      <c r="I716" s="4">
        <v>349.0</v>
      </c>
      <c r="J716" s="4" t="s">
        <v>3379</v>
      </c>
      <c r="K716" s="5">
        <f>+919443100747</f>
        <v>919443100747</v>
      </c>
      <c r="L716" s="4" t="str">
        <f t="shared" si="1"/>
        <v>duraickkd@gmail.com919443100747</v>
      </c>
      <c r="M716" s="10" t="s">
        <v>67</v>
      </c>
      <c r="N716" s="4" t="b">
        <v>0</v>
      </c>
      <c r="O716" s="4" t="str">
        <f>VLOOKUP(A716,payment_ids!D:E,2,FALSE)</f>
        <v>card</v>
      </c>
      <c r="P716" s="4" t="s">
        <v>69</v>
      </c>
      <c r="Q716" s="4" t="s">
        <v>3565</v>
      </c>
      <c r="R716" s="4"/>
      <c r="S716" s="12" t="s">
        <v>3328</v>
      </c>
      <c r="T716" s="4" t="s">
        <v>2444</v>
      </c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5"/>
      <c r="AI716" s="5"/>
      <c r="AJ716" s="5"/>
      <c r="AK716" s="5"/>
      <c r="AL716" s="5"/>
    </row>
    <row r="717">
      <c r="A717" s="4" t="str">
        <f>VLOOKUP(L717,payment_ids!C:D,2,FALSE)</f>
        <v>pay_HNzE1fHvc0vMJG</v>
      </c>
      <c r="B717" s="4"/>
      <c r="C717" s="4" t="s">
        <v>3326</v>
      </c>
      <c r="D717" s="4">
        <v>50030.0</v>
      </c>
      <c r="E717" s="5"/>
      <c r="F717" s="4">
        <v>1.0</v>
      </c>
      <c r="G717" s="4">
        <v>99.0</v>
      </c>
      <c r="H717" s="4"/>
      <c r="I717" s="4">
        <v>99.0</v>
      </c>
      <c r="J717" s="4" t="s">
        <v>3566</v>
      </c>
      <c r="K717" s="5">
        <f>+919993727672</f>
        <v>919993727672</v>
      </c>
      <c r="L717" s="4" t="str">
        <f t="shared" si="1"/>
        <v>gunmeet.muchhal@gmail.com919993727672</v>
      </c>
      <c r="M717" s="10" t="s">
        <v>67</v>
      </c>
      <c r="N717" s="4" t="b">
        <v>0</v>
      </c>
      <c r="O717" s="4" t="str">
        <f>VLOOKUP(A717,payment_ids!D:E,2,FALSE)</f>
        <v>card</v>
      </c>
      <c r="P717" s="4" t="s">
        <v>69</v>
      </c>
      <c r="Q717" s="4" t="s">
        <v>3567</v>
      </c>
      <c r="R717" s="4"/>
      <c r="S717" s="12" t="s">
        <v>3328</v>
      </c>
      <c r="T717" s="4" t="s">
        <v>2444</v>
      </c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5"/>
      <c r="AI717" s="5"/>
      <c r="AJ717" s="5"/>
      <c r="AK717" s="5"/>
      <c r="AL717" s="5"/>
    </row>
    <row r="718">
      <c r="A718" s="4" t="str">
        <f>VLOOKUP(L718,payment_ids!C:D,2,FALSE)</f>
        <v>pay_HLAB5xZjxvr7hu</v>
      </c>
      <c r="B718" s="4"/>
      <c r="C718" s="4" t="s">
        <v>3326</v>
      </c>
      <c r="D718" s="4">
        <v>50030.0</v>
      </c>
      <c r="E718" s="5"/>
      <c r="F718" s="4">
        <v>6.0</v>
      </c>
      <c r="G718" s="4">
        <v>349.0</v>
      </c>
      <c r="H718" s="4"/>
      <c r="I718" s="4">
        <v>349.0</v>
      </c>
      <c r="J718" s="4" t="s">
        <v>3568</v>
      </c>
      <c r="K718" s="5">
        <f>+917760461129</f>
        <v>917760461129</v>
      </c>
      <c r="L718" s="4" t="str">
        <f t="shared" si="1"/>
        <v>premrajaparna@gmail.com917760461129</v>
      </c>
      <c r="M718" s="10" t="s">
        <v>67</v>
      </c>
      <c r="N718" s="4" t="b">
        <v>0</v>
      </c>
      <c r="O718" s="4" t="str">
        <f>VLOOKUP(A718,payment_ids!D:E,2,FALSE)</f>
        <v>wallet</v>
      </c>
      <c r="P718" s="4" t="s">
        <v>69</v>
      </c>
      <c r="Q718" s="4" t="s">
        <v>3569</v>
      </c>
      <c r="R718" s="4"/>
      <c r="S718" s="12" t="s">
        <v>3328</v>
      </c>
      <c r="T718" s="4" t="s">
        <v>2444</v>
      </c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5"/>
      <c r="AI718" s="5"/>
      <c r="AJ718" s="5"/>
      <c r="AK718" s="5"/>
      <c r="AL718" s="5"/>
    </row>
    <row r="719">
      <c r="A719" s="4" t="str">
        <f>VLOOKUP(L719,payment_ids!C:D,2,FALSE)</f>
        <v>pay_HO2v42wLVj2980</v>
      </c>
      <c r="B719" s="4"/>
      <c r="C719" s="4" t="s">
        <v>3326</v>
      </c>
      <c r="D719" s="4">
        <v>50030.0</v>
      </c>
      <c r="E719" s="5"/>
      <c r="F719" s="4">
        <v>6.0</v>
      </c>
      <c r="G719" s="4">
        <v>349.0</v>
      </c>
      <c r="H719" s="4"/>
      <c r="I719" s="4">
        <v>349.0</v>
      </c>
      <c r="J719" s="4" t="s">
        <v>3570</v>
      </c>
      <c r="K719" s="5">
        <f>+918867784378</f>
        <v>918867784378</v>
      </c>
      <c r="L719" s="4" t="str">
        <f t="shared" si="1"/>
        <v>anjummulla70@gmail.com918867784378</v>
      </c>
      <c r="M719" s="10" t="s">
        <v>67</v>
      </c>
      <c r="N719" s="4" t="b">
        <v>0</v>
      </c>
      <c r="O719" s="4" t="str">
        <f>VLOOKUP(A719,payment_ids!D:E,2,FALSE)</f>
        <v>upi</v>
      </c>
      <c r="P719" s="4" t="s">
        <v>69</v>
      </c>
      <c r="Q719" s="4" t="s">
        <v>3571</v>
      </c>
      <c r="R719" s="4"/>
      <c r="S719" s="12" t="s">
        <v>3328</v>
      </c>
      <c r="T719" s="4" t="s">
        <v>2444</v>
      </c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5"/>
      <c r="AI719" s="5"/>
      <c r="AJ719" s="5"/>
      <c r="AK719" s="5"/>
      <c r="AL719" s="5"/>
    </row>
    <row r="720">
      <c r="A720" s="4" t="str">
        <f>VLOOKUP(L720,payment_ids!C:D,2,FALSE)</f>
        <v>pay_HO5E34kKly5RI9</v>
      </c>
      <c r="B720" s="4"/>
      <c r="C720" s="4" t="s">
        <v>3326</v>
      </c>
      <c r="D720" s="4">
        <v>50030.0</v>
      </c>
      <c r="E720" s="5"/>
      <c r="F720" s="4">
        <v>6.0</v>
      </c>
      <c r="G720" s="4">
        <v>349.0</v>
      </c>
      <c r="H720" s="4"/>
      <c r="I720" s="4">
        <v>349.0</v>
      </c>
      <c r="J720" s="4" t="s">
        <v>3572</v>
      </c>
      <c r="K720" s="5">
        <f>+919466513189</f>
        <v>919466513189</v>
      </c>
      <c r="L720" s="4" t="str">
        <f t="shared" si="1"/>
        <v>kartikvasisht12597@gmail.com919466513189</v>
      </c>
      <c r="M720" s="10" t="s">
        <v>67</v>
      </c>
      <c r="N720" s="4" t="b">
        <v>0</v>
      </c>
      <c r="O720" s="4" t="str">
        <f>VLOOKUP(A720,payment_ids!D:E,2,FALSE)</f>
        <v>upi</v>
      </c>
      <c r="P720" s="4" t="s">
        <v>69</v>
      </c>
      <c r="Q720" s="4" t="s">
        <v>3573</v>
      </c>
      <c r="R720" s="4"/>
      <c r="S720" s="12" t="s">
        <v>3328</v>
      </c>
      <c r="T720" s="4" t="s">
        <v>2444</v>
      </c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5"/>
      <c r="AI720" s="5"/>
      <c r="AJ720" s="5"/>
      <c r="AK720" s="5"/>
      <c r="AL720" s="5"/>
    </row>
    <row r="721">
      <c r="A721" s="4" t="str">
        <f>VLOOKUP(L721,payment_ids!C:D,2,FALSE)</f>
        <v>pay_HO5L4Dg35Fx9qy</v>
      </c>
      <c r="B721" s="4"/>
      <c r="C721" s="4" t="s">
        <v>3326</v>
      </c>
      <c r="D721" s="4">
        <v>50030.0</v>
      </c>
      <c r="E721" s="5"/>
      <c r="F721" s="4">
        <v>3.0</v>
      </c>
      <c r="G721" s="4">
        <v>199.0</v>
      </c>
      <c r="H721" s="4"/>
      <c r="I721" s="4">
        <v>199.0</v>
      </c>
      <c r="J721" s="4" t="s">
        <v>3574</v>
      </c>
      <c r="K721" s="5">
        <f>+917030755524</f>
        <v>917030755524</v>
      </c>
      <c r="L721" s="4" t="str">
        <f t="shared" si="1"/>
        <v>ya.yogesh.patil@gmail.com917030755524</v>
      </c>
      <c r="M721" s="10" t="s">
        <v>67</v>
      </c>
      <c r="N721" s="4" t="b">
        <v>0</v>
      </c>
      <c r="O721" s="4" t="str">
        <f>VLOOKUP(A721,payment_ids!D:E,2,FALSE)</f>
        <v>upi</v>
      </c>
      <c r="P721" s="4" t="s">
        <v>69</v>
      </c>
      <c r="Q721" s="4" t="s">
        <v>3575</v>
      </c>
      <c r="R721" s="4"/>
      <c r="S721" s="12" t="s">
        <v>3328</v>
      </c>
      <c r="T721" s="4" t="s">
        <v>2444</v>
      </c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5"/>
      <c r="AI721" s="5"/>
      <c r="AJ721" s="5"/>
      <c r="AK721" s="5"/>
      <c r="AL721" s="5"/>
    </row>
    <row r="722">
      <c r="A722" s="4" t="str">
        <f>VLOOKUP(L722,payment_ids!C:D,2,FALSE)</f>
        <v>pay_HO63Xns3dRjZF2</v>
      </c>
      <c r="B722" s="4"/>
      <c r="C722" s="4" t="s">
        <v>3326</v>
      </c>
      <c r="D722" s="4">
        <v>50030.0</v>
      </c>
      <c r="E722" s="5"/>
      <c r="F722" s="4">
        <v>6.0</v>
      </c>
      <c r="G722" s="4">
        <v>349.0</v>
      </c>
      <c r="H722" s="4"/>
      <c r="I722" s="4">
        <v>349.0</v>
      </c>
      <c r="J722" s="4" t="s">
        <v>3576</v>
      </c>
      <c r="K722" s="5">
        <f>+919686674084</f>
        <v>919686674084</v>
      </c>
      <c r="L722" s="4" t="str">
        <f t="shared" si="1"/>
        <v>sowrabhalakshman@gmail.com919686674084</v>
      </c>
      <c r="M722" s="10" t="s">
        <v>67</v>
      </c>
      <c r="N722" s="4" t="b">
        <v>0</v>
      </c>
      <c r="O722" s="4" t="str">
        <f>VLOOKUP(A722,payment_ids!D:E,2,FALSE)</f>
        <v>upi</v>
      </c>
      <c r="P722" s="4" t="s">
        <v>69</v>
      </c>
      <c r="Q722" s="4" t="s">
        <v>3577</v>
      </c>
      <c r="R722" s="4"/>
      <c r="S722" s="12" t="s">
        <v>3328</v>
      </c>
      <c r="T722" s="4" t="s">
        <v>2444</v>
      </c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5"/>
      <c r="AI722" s="5"/>
      <c r="AJ722" s="5"/>
      <c r="AK722" s="5"/>
      <c r="AL722" s="5"/>
    </row>
    <row r="723">
      <c r="A723" s="4" t="str">
        <f>VLOOKUP(L723,payment_ids!C:D,2,FALSE)</f>
        <v>pay_HODMkyigzfMCL8</v>
      </c>
      <c r="B723" s="4"/>
      <c r="C723" s="4" t="s">
        <v>3326</v>
      </c>
      <c r="D723" s="4">
        <v>50030.0</v>
      </c>
      <c r="E723" s="5"/>
      <c r="F723" s="4">
        <v>1.0</v>
      </c>
      <c r="G723" s="4">
        <v>99.0</v>
      </c>
      <c r="H723" s="4"/>
      <c r="I723" s="4">
        <v>99.0</v>
      </c>
      <c r="J723" s="4" t="s">
        <v>3578</v>
      </c>
      <c r="K723" s="5">
        <f>+919811251859</f>
        <v>919811251859</v>
      </c>
      <c r="L723" s="4" t="str">
        <f t="shared" si="1"/>
        <v>kanika.galena@gmail.com919811251859</v>
      </c>
      <c r="M723" s="10" t="s">
        <v>67</v>
      </c>
      <c r="N723" s="4" t="b">
        <v>0</v>
      </c>
      <c r="O723" s="4" t="str">
        <f>VLOOKUP(A723,payment_ids!D:E,2,FALSE)</f>
        <v>upi</v>
      </c>
      <c r="P723" s="4" t="s">
        <v>69</v>
      </c>
      <c r="Q723" s="4" t="s">
        <v>3579</v>
      </c>
      <c r="R723" s="4"/>
      <c r="S723" s="12" t="s">
        <v>3328</v>
      </c>
      <c r="T723" s="4" t="s">
        <v>2444</v>
      </c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5"/>
      <c r="AI723" s="5"/>
      <c r="AJ723" s="5"/>
      <c r="AK723" s="5"/>
      <c r="AL723" s="5"/>
    </row>
    <row r="724">
      <c r="A724" s="4" t="str">
        <f>VLOOKUP(L724,payment_ids!C:D,2,FALSE)</f>
        <v>pay_HOOv0F1svQwAu2</v>
      </c>
      <c r="B724" s="4"/>
      <c r="C724" s="4" t="s">
        <v>3326</v>
      </c>
      <c r="D724" s="4">
        <v>50030.0</v>
      </c>
      <c r="E724" s="5"/>
      <c r="F724" s="4">
        <v>1.0</v>
      </c>
      <c r="G724" s="4">
        <v>99.0</v>
      </c>
      <c r="H724" s="4"/>
      <c r="I724" s="4">
        <v>99.0</v>
      </c>
      <c r="J724" s="4" t="s">
        <v>3580</v>
      </c>
      <c r="K724" s="5">
        <f>+918939651321</f>
        <v>918939651321</v>
      </c>
      <c r="L724" s="4" t="str">
        <f t="shared" si="1"/>
        <v>moitrarashi@gmail.com918939651321</v>
      </c>
      <c r="M724" s="10" t="s">
        <v>67</v>
      </c>
      <c r="N724" s="4" t="b">
        <v>0</v>
      </c>
      <c r="O724" s="4" t="str">
        <f>VLOOKUP(A724,payment_ids!D:E,2,FALSE)</f>
        <v>card</v>
      </c>
      <c r="P724" s="4" t="s">
        <v>69</v>
      </c>
      <c r="Q724" s="4" t="s">
        <v>3581</v>
      </c>
      <c r="R724" s="4"/>
      <c r="S724" s="12" t="s">
        <v>3328</v>
      </c>
      <c r="T724" s="4" t="s">
        <v>2444</v>
      </c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5"/>
      <c r="AI724" s="5"/>
      <c r="AJ724" s="5"/>
      <c r="AK724" s="5"/>
      <c r="AL724" s="5"/>
    </row>
    <row r="725">
      <c r="A725" s="4" t="str">
        <f>VLOOKUP(L725,payment_ids!C:D,2,FALSE)</f>
        <v>pay_HOXSoDv10VKWee</v>
      </c>
      <c r="B725" s="4"/>
      <c r="C725" s="4" t="s">
        <v>3326</v>
      </c>
      <c r="D725" s="4">
        <v>50030.0</v>
      </c>
      <c r="E725" s="5"/>
      <c r="F725" s="4">
        <v>1.0</v>
      </c>
      <c r="G725" s="4">
        <v>99.0</v>
      </c>
      <c r="H725" s="4"/>
      <c r="I725" s="4">
        <v>99.0</v>
      </c>
      <c r="J725" s="4" t="s">
        <v>3582</v>
      </c>
      <c r="K725" s="5">
        <f>+918014422643</f>
        <v>918014422643</v>
      </c>
      <c r="L725" s="4" t="str">
        <f t="shared" si="1"/>
        <v>kchamling15@gmail.com918014422643</v>
      </c>
      <c r="M725" s="10" t="s">
        <v>67</v>
      </c>
      <c r="N725" s="4" t="b">
        <v>0</v>
      </c>
      <c r="O725" s="4" t="str">
        <f>VLOOKUP(A725,payment_ids!D:E,2,FALSE)</f>
        <v>upi</v>
      </c>
      <c r="P725" s="4" t="s">
        <v>69</v>
      </c>
      <c r="Q725" s="4" t="s">
        <v>3583</v>
      </c>
      <c r="R725" s="4"/>
      <c r="S725" s="12" t="s">
        <v>3328</v>
      </c>
      <c r="T725" s="4" t="s">
        <v>2444</v>
      </c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5"/>
      <c r="AI725" s="5"/>
      <c r="AJ725" s="5"/>
      <c r="AK725" s="5"/>
      <c r="AL725" s="5"/>
    </row>
    <row r="726">
      <c r="A726" s="4" t="str">
        <f>VLOOKUP(L726,payment_ids!C:D,2,FALSE)</f>
        <v>pay_HOp2Qvymu01hcw</v>
      </c>
      <c r="B726" s="4"/>
      <c r="C726" s="4" t="s">
        <v>3326</v>
      </c>
      <c r="D726" s="4">
        <v>50030.0</v>
      </c>
      <c r="E726" s="5"/>
      <c r="F726" s="4">
        <v>1.0</v>
      </c>
      <c r="G726" s="4">
        <v>99.0</v>
      </c>
      <c r="H726" s="4"/>
      <c r="I726" s="4">
        <v>99.0</v>
      </c>
      <c r="J726" s="4" t="s">
        <v>3584</v>
      </c>
      <c r="K726" s="5">
        <f>+919082173436</f>
        <v>919082173436</v>
      </c>
      <c r="L726" s="4" t="str">
        <f t="shared" si="1"/>
        <v>prathameshkamble0002@gmail.com919082173436</v>
      </c>
      <c r="M726" s="10" t="s">
        <v>67</v>
      </c>
      <c r="N726" s="4" t="b">
        <v>0</v>
      </c>
      <c r="O726" s="4" t="str">
        <f>VLOOKUP(A726,payment_ids!D:E,2,FALSE)</f>
        <v>upi</v>
      </c>
      <c r="P726" s="4" t="s">
        <v>69</v>
      </c>
      <c r="Q726" s="4" t="s">
        <v>3585</v>
      </c>
      <c r="R726" s="4"/>
      <c r="S726" s="12" t="s">
        <v>3328</v>
      </c>
      <c r="T726" s="4" t="s">
        <v>2444</v>
      </c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5"/>
      <c r="AI726" s="5"/>
      <c r="AJ726" s="5"/>
      <c r="AK726" s="5"/>
      <c r="AL726" s="5"/>
    </row>
    <row r="727">
      <c r="A727" s="4" t="str">
        <f>VLOOKUP(L727,payment_ids!C:D,2,FALSE)</f>
        <v>pay_HOuVOdzPjvumXb</v>
      </c>
      <c r="B727" s="4"/>
      <c r="C727" s="4" t="s">
        <v>3326</v>
      </c>
      <c r="D727" s="4">
        <v>50030.0</v>
      </c>
      <c r="E727" s="5"/>
      <c r="F727" s="4">
        <v>3.0</v>
      </c>
      <c r="G727" s="4">
        <v>199.0</v>
      </c>
      <c r="H727" s="4"/>
      <c r="I727" s="4">
        <v>199.0</v>
      </c>
      <c r="J727" s="4" t="s">
        <v>3586</v>
      </c>
      <c r="K727" s="5">
        <f>+918770632502</f>
        <v>918770632502</v>
      </c>
      <c r="L727" s="4" t="str">
        <f t="shared" si="1"/>
        <v>arpit.shrivastava93@gmail.com918770632502</v>
      </c>
      <c r="M727" s="10" t="s">
        <v>67</v>
      </c>
      <c r="N727" s="4" t="b">
        <v>0</v>
      </c>
      <c r="O727" s="4" t="str">
        <f>VLOOKUP(A727,payment_ids!D:E,2,FALSE)</f>
        <v>upi</v>
      </c>
      <c r="P727" s="4" t="s">
        <v>69</v>
      </c>
      <c r="Q727" s="4" t="s">
        <v>3587</v>
      </c>
      <c r="R727" s="4"/>
      <c r="S727" s="12" t="s">
        <v>3328</v>
      </c>
      <c r="T727" s="4" t="s">
        <v>2444</v>
      </c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5"/>
      <c r="AI727" s="5"/>
      <c r="AJ727" s="5"/>
      <c r="AK727" s="5"/>
      <c r="AL727" s="5"/>
    </row>
    <row r="728">
      <c r="A728" s="4" t="str">
        <f>VLOOKUP(L728,payment_ids!C:D,2,FALSE)</f>
        <v>pay_HOwiuCkbf8T041</v>
      </c>
      <c r="B728" s="4"/>
      <c r="C728" s="4" t="s">
        <v>3326</v>
      </c>
      <c r="D728" s="4">
        <v>50030.0</v>
      </c>
      <c r="E728" s="5"/>
      <c r="F728" s="4">
        <v>1.0</v>
      </c>
      <c r="G728" s="4">
        <v>99.0</v>
      </c>
      <c r="H728" s="4"/>
      <c r="I728" s="4">
        <v>99.0</v>
      </c>
      <c r="J728" s="4" t="s">
        <v>3588</v>
      </c>
      <c r="K728" s="5">
        <f>+919752585428</f>
        <v>919752585428</v>
      </c>
      <c r="L728" s="4" t="str">
        <f t="shared" si="1"/>
        <v>nekramsen@gmail.com919752585428</v>
      </c>
      <c r="M728" s="10" t="s">
        <v>67</v>
      </c>
      <c r="N728" s="4" t="b">
        <v>0</v>
      </c>
      <c r="O728" s="4" t="str">
        <f>VLOOKUP(A728,payment_ids!D:E,2,FALSE)</f>
        <v>upi</v>
      </c>
      <c r="P728" s="4" t="s">
        <v>69</v>
      </c>
      <c r="Q728" s="4" t="s">
        <v>3589</v>
      </c>
      <c r="R728" s="4"/>
      <c r="S728" s="12" t="s">
        <v>3328</v>
      </c>
      <c r="T728" s="4" t="s">
        <v>2444</v>
      </c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5"/>
      <c r="AI728" s="5"/>
      <c r="AJ728" s="5"/>
      <c r="AK728" s="5"/>
      <c r="AL728" s="5"/>
    </row>
    <row r="729">
      <c r="A729" s="4" t="str">
        <f>VLOOKUP(L729,payment_ids!C:D,2,FALSE)</f>
        <v>pay_HOzYEhxVRvqABE</v>
      </c>
      <c r="B729" s="4"/>
      <c r="C729" s="4" t="s">
        <v>3326</v>
      </c>
      <c r="D729" s="4">
        <v>50030.0</v>
      </c>
      <c r="E729" s="5"/>
      <c r="F729" s="4">
        <v>6.0</v>
      </c>
      <c r="G729" s="4">
        <v>349.0</v>
      </c>
      <c r="H729" s="4"/>
      <c r="I729" s="4">
        <v>349.0</v>
      </c>
      <c r="J729" s="4" t="s">
        <v>3590</v>
      </c>
      <c r="K729" s="5">
        <f>+918957777612</f>
        <v>918957777612</v>
      </c>
      <c r="L729" s="4" t="str">
        <f t="shared" si="1"/>
        <v>shalini.maurya41@gmail.com918957777612</v>
      </c>
      <c r="M729" s="10" t="s">
        <v>67</v>
      </c>
      <c r="N729" s="4" t="b">
        <v>0</v>
      </c>
      <c r="O729" s="4" t="str">
        <f>VLOOKUP(A729,payment_ids!D:E,2,FALSE)</f>
        <v>upi</v>
      </c>
      <c r="P729" s="4" t="s">
        <v>69</v>
      </c>
      <c r="Q729" s="4" t="s">
        <v>3591</v>
      </c>
      <c r="R729" s="4"/>
      <c r="S729" s="12" t="s">
        <v>3328</v>
      </c>
      <c r="T729" s="4" t="s">
        <v>2444</v>
      </c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5"/>
      <c r="AI729" s="5"/>
      <c r="AJ729" s="5"/>
      <c r="AK729" s="5"/>
      <c r="AL729" s="5"/>
    </row>
    <row r="730">
      <c r="A730" s="4" t="str">
        <f>VLOOKUP(L730,payment_ids!C:D,2,FALSE)</f>
        <v>pay_HPbYMbtWERjvkW</v>
      </c>
      <c r="B730" s="4"/>
      <c r="C730" s="4" t="s">
        <v>3326</v>
      </c>
      <c r="D730" s="4">
        <v>50030.0</v>
      </c>
      <c r="E730" s="5"/>
      <c r="F730" s="4">
        <v>1.0</v>
      </c>
      <c r="G730" s="4">
        <v>99.0</v>
      </c>
      <c r="H730" s="4"/>
      <c r="I730" s="4">
        <v>99.0</v>
      </c>
      <c r="J730" s="4" t="s">
        <v>3592</v>
      </c>
      <c r="K730" s="5">
        <f>+919422396771</f>
        <v>919422396771</v>
      </c>
      <c r="L730" s="4" t="str">
        <f t="shared" si="1"/>
        <v>shindevinita357@gmail.com919422396771</v>
      </c>
      <c r="M730" s="10" t="s">
        <v>67</v>
      </c>
      <c r="N730" s="4" t="b">
        <v>0</v>
      </c>
      <c r="O730" s="4" t="str">
        <f>VLOOKUP(A730,payment_ids!D:E,2,FALSE)</f>
        <v>upi</v>
      </c>
      <c r="P730" s="4" t="s">
        <v>69</v>
      </c>
      <c r="Q730" s="4" t="s">
        <v>3593</v>
      </c>
      <c r="R730" s="4"/>
      <c r="S730" s="12" t="s">
        <v>3328</v>
      </c>
      <c r="T730" s="4" t="s">
        <v>2444</v>
      </c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5"/>
      <c r="AI730" s="5"/>
      <c r="AJ730" s="5"/>
      <c r="AK730" s="5"/>
      <c r="AL730" s="5"/>
    </row>
    <row r="731">
      <c r="A731" s="4" t="str">
        <f>VLOOKUP(L731,payment_ids!C:D,2,FALSE)</f>
        <v>pay_HPdGrmGO085nTR</v>
      </c>
      <c r="B731" s="4"/>
      <c r="C731" s="4" t="s">
        <v>3326</v>
      </c>
      <c r="D731" s="4">
        <v>50030.0</v>
      </c>
      <c r="E731" s="5"/>
      <c r="F731" s="4">
        <v>1.0</v>
      </c>
      <c r="G731" s="4">
        <v>99.0</v>
      </c>
      <c r="H731" s="4"/>
      <c r="I731" s="4">
        <v>99.0</v>
      </c>
      <c r="J731" s="4" t="s">
        <v>3594</v>
      </c>
      <c r="K731" s="5">
        <f>+918077245841</f>
        <v>918077245841</v>
      </c>
      <c r="L731" s="4" t="str">
        <f t="shared" si="1"/>
        <v>moll964y@gmail.com918077245841</v>
      </c>
      <c r="M731" s="10" t="s">
        <v>67</v>
      </c>
      <c r="N731" s="4" t="b">
        <v>0</v>
      </c>
      <c r="O731" s="4" t="str">
        <f>VLOOKUP(A731,payment_ids!D:E,2,FALSE)</f>
        <v>upi</v>
      </c>
      <c r="P731" s="4" t="s">
        <v>69</v>
      </c>
      <c r="Q731" s="4" t="s">
        <v>3595</v>
      </c>
      <c r="R731" s="4"/>
      <c r="S731" s="12" t="s">
        <v>3328</v>
      </c>
      <c r="T731" s="4" t="s">
        <v>2444</v>
      </c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5"/>
      <c r="AI731" s="5"/>
      <c r="AJ731" s="5"/>
      <c r="AK731" s="5"/>
      <c r="AL731" s="5"/>
    </row>
    <row r="732">
      <c r="A732" s="4" t="str">
        <f>VLOOKUP(L732,payment_ids!C:D,2,FALSE)</f>
        <v>pay_HPg1ScGVWpUTHC</v>
      </c>
      <c r="B732" s="4"/>
      <c r="C732" s="4" t="s">
        <v>3326</v>
      </c>
      <c r="D732" s="4">
        <v>50030.0</v>
      </c>
      <c r="E732" s="5"/>
      <c r="F732" s="4">
        <v>3.0</v>
      </c>
      <c r="G732" s="4">
        <v>199.0</v>
      </c>
      <c r="H732" s="4"/>
      <c r="I732" s="4">
        <v>199.0</v>
      </c>
      <c r="J732" s="4" t="s">
        <v>3596</v>
      </c>
      <c r="K732" s="5">
        <f>+917842238944</f>
        <v>917842238944</v>
      </c>
      <c r="L732" s="4" t="str">
        <f t="shared" si="1"/>
        <v>sunny619jp@gmail.com917842238944</v>
      </c>
      <c r="M732" s="10" t="s">
        <v>67</v>
      </c>
      <c r="N732" s="4" t="b">
        <v>0</v>
      </c>
      <c r="O732" s="4" t="str">
        <f>VLOOKUP(A732,payment_ids!D:E,2,FALSE)</f>
        <v>upi</v>
      </c>
      <c r="P732" s="4" t="s">
        <v>69</v>
      </c>
      <c r="Q732" s="4" t="s">
        <v>3597</v>
      </c>
      <c r="R732" s="4"/>
      <c r="S732" s="12" t="s">
        <v>3328</v>
      </c>
      <c r="T732" s="4" t="s">
        <v>2444</v>
      </c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5"/>
      <c r="AI732" s="5"/>
      <c r="AJ732" s="5"/>
      <c r="AK732" s="5"/>
      <c r="AL732" s="5"/>
    </row>
    <row r="733">
      <c r="A733" s="4" t="str">
        <f>VLOOKUP(L733,payment_ids!C:D,2,FALSE)</f>
        <v>pay_HPguhZ4mHWg97j</v>
      </c>
      <c r="B733" s="4"/>
      <c r="C733" s="4" t="s">
        <v>3326</v>
      </c>
      <c r="D733" s="4">
        <v>50030.0</v>
      </c>
      <c r="E733" s="5"/>
      <c r="F733" s="4">
        <v>6.0</v>
      </c>
      <c r="G733" s="4">
        <v>349.0</v>
      </c>
      <c r="H733" s="4"/>
      <c r="I733" s="4">
        <v>349.0</v>
      </c>
      <c r="J733" s="4" t="s">
        <v>3598</v>
      </c>
      <c r="K733" s="5">
        <f>+917904570793</f>
        <v>917904570793</v>
      </c>
      <c r="L733" s="4" t="str">
        <f t="shared" si="1"/>
        <v>varshaamohan@gmail.com917904570793</v>
      </c>
      <c r="M733" s="10" t="s">
        <v>67</v>
      </c>
      <c r="N733" s="4" t="b">
        <v>0</v>
      </c>
      <c r="O733" s="4" t="str">
        <f>VLOOKUP(A733,payment_ids!D:E,2,FALSE)</f>
        <v>upi</v>
      </c>
      <c r="P733" s="4" t="s">
        <v>69</v>
      </c>
      <c r="Q733" s="4" t="s">
        <v>3599</v>
      </c>
      <c r="R733" s="4"/>
      <c r="S733" s="12" t="s">
        <v>3328</v>
      </c>
      <c r="T733" s="4" t="s">
        <v>2444</v>
      </c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5"/>
      <c r="AI733" s="5"/>
      <c r="AJ733" s="5"/>
      <c r="AK733" s="5"/>
      <c r="AL733" s="5"/>
    </row>
    <row r="734">
      <c r="A734" s="4" t="str">
        <f>VLOOKUP(L734,payment_ids!C:D,2,FALSE)</f>
        <v>pay_HPh04Ci4iDbLfF</v>
      </c>
      <c r="B734" s="4"/>
      <c r="C734" s="4" t="s">
        <v>3326</v>
      </c>
      <c r="D734" s="4">
        <v>50030.0</v>
      </c>
      <c r="E734" s="5"/>
      <c r="F734" s="4">
        <v>1.0</v>
      </c>
      <c r="G734" s="4">
        <v>99.0</v>
      </c>
      <c r="H734" s="4"/>
      <c r="I734" s="4">
        <v>99.0</v>
      </c>
      <c r="J734" s="4" t="s">
        <v>3600</v>
      </c>
      <c r="K734" s="5">
        <f>+919945441387</f>
        <v>919945441387</v>
      </c>
      <c r="L734" s="4" t="str">
        <f t="shared" si="1"/>
        <v>incharasukumar20@gmail.com919945441387</v>
      </c>
      <c r="M734" s="10" t="s">
        <v>67</v>
      </c>
      <c r="N734" s="4" t="b">
        <v>0</v>
      </c>
      <c r="O734" s="4" t="str">
        <f>VLOOKUP(A734,payment_ids!D:E,2,FALSE)</f>
        <v>upi</v>
      </c>
      <c r="P734" s="4" t="s">
        <v>69</v>
      </c>
      <c r="Q734" s="4" t="s">
        <v>3601</v>
      </c>
      <c r="R734" s="4"/>
      <c r="S734" s="12" t="s">
        <v>3328</v>
      </c>
      <c r="T734" s="4" t="s">
        <v>2444</v>
      </c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5"/>
      <c r="AI734" s="5"/>
      <c r="AJ734" s="5"/>
      <c r="AK734" s="5"/>
      <c r="AL734" s="5"/>
    </row>
    <row r="735">
      <c r="A735" s="4" t="str">
        <f>VLOOKUP(L735,payment_ids!C:D,2,FALSE)</f>
        <v>pay_HPm7SFFs21w8S8</v>
      </c>
      <c r="B735" s="4"/>
      <c r="C735" s="4" t="s">
        <v>3326</v>
      </c>
      <c r="D735" s="4">
        <v>50030.0</v>
      </c>
      <c r="E735" s="5"/>
      <c r="F735" s="4">
        <v>1.0</v>
      </c>
      <c r="G735" s="4">
        <v>99.0</v>
      </c>
      <c r="H735" s="4"/>
      <c r="I735" s="4">
        <v>99.0</v>
      </c>
      <c r="J735" s="4" t="s">
        <v>3602</v>
      </c>
      <c r="K735" s="5">
        <f>+917347302993</f>
        <v>917347302993</v>
      </c>
      <c r="L735" s="4" t="str">
        <f t="shared" si="1"/>
        <v>mukherjee.uma01@gmail.com917347302993</v>
      </c>
      <c r="M735" s="10" t="s">
        <v>67</v>
      </c>
      <c r="N735" s="4" t="b">
        <v>0</v>
      </c>
      <c r="O735" s="4" t="str">
        <f>VLOOKUP(A735,payment_ids!D:E,2,FALSE)</f>
        <v>upi</v>
      </c>
      <c r="P735" s="4" t="s">
        <v>69</v>
      </c>
      <c r="Q735" s="4" t="s">
        <v>3603</v>
      </c>
      <c r="R735" s="4"/>
      <c r="S735" s="12" t="s">
        <v>3328</v>
      </c>
      <c r="T735" s="4" t="s">
        <v>2444</v>
      </c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5"/>
      <c r="AI735" s="5"/>
      <c r="AJ735" s="5"/>
      <c r="AK735" s="5"/>
      <c r="AL735" s="5"/>
    </row>
    <row r="736">
      <c r="A736" s="4" t="str">
        <f>VLOOKUP(L736,payment_ids!C:D,2,FALSE)</f>
        <v>pay_HPmecWyFyYRhV1</v>
      </c>
      <c r="B736" s="4"/>
      <c r="C736" s="4" t="s">
        <v>3326</v>
      </c>
      <c r="D736" s="4">
        <v>50030.0</v>
      </c>
      <c r="E736" s="5"/>
      <c r="F736" s="4">
        <v>1.0</v>
      </c>
      <c r="G736" s="4">
        <v>99.0</v>
      </c>
      <c r="H736" s="4"/>
      <c r="I736" s="4">
        <v>99.0</v>
      </c>
      <c r="J736" s="4" t="s">
        <v>3604</v>
      </c>
      <c r="K736" s="5">
        <f>+918553510830</f>
        <v>918553510830</v>
      </c>
      <c r="L736" s="4" t="str">
        <f t="shared" si="1"/>
        <v>krismaniar84@gmail.com918553510830</v>
      </c>
      <c r="M736" s="10" t="s">
        <v>67</v>
      </c>
      <c r="N736" s="4" t="b">
        <v>0</v>
      </c>
      <c r="O736" s="4" t="str">
        <f>VLOOKUP(A736,payment_ids!D:E,2,FALSE)</f>
        <v>upi</v>
      </c>
      <c r="P736" s="4" t="s">
        <v>69</v>
      </c>
      <c r="Q736" s="4" t="s">
        <v>3605</v>
      </c>
      <c r="R736" s="4"/>
      <c r="S736" s="12" t="s">
        <v>3328</v>
      </c>
      <c r="T736" s="4" t="s">
        <v>2444</v>
      </c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5"/>
      <c r="AI736" s="5"/>
      <c r="AJ736" s="5"/>
      <c r="AK736" s="5"/>
      <c r="AL736" s="5"/>
    </row>
    <row r="737">
      <c r="A737" s="4" t="str">
        <f>VLOOKUP(L737,payment_ids!C:D,2,FALSE)</f>
        <v>pay_HQ3HHdm5xQDcim</v>
      </c>
      <c r="B737" s="4"/>
      <c r="C737" s="4" t="s">
        <v>3326</v>
      </c>
      <c r="D737" s="4">
        <v>50030.0</v>
      </c>
      <c r="E737" s="5"/>
      <c r="F737" s="4">
        <v>1.0</v>
      </c>
      <c r="G737" s="4">
        <v>99.0</v>
      </c>
      <c r="H737" s="4"/>
      <c r="I737" s="4">
        <v>99.0</v>
      </c>
      <c r="J737" s="4" t="s">
        <v>3606</v>
      </c>
      <c r="K737" s="5">
        <f>+918859268442</f>
        <v>918859268442</v>
      </c>
      <c r="L737" s="4" t="str">
        <f t="shared" si="1"/>
        <v>jainkaushiki88@gmail.com918859268442</v>
      </c>
      <c r="M737" s="10" t="s">
        <v>67</v>
      </c>
      <c r="N737" s="4" t="b">
        <v>0</v>
      </c>
      <c r="O737" s="4" t="str">
        <f>VLOOKUP(A737,payment_ids!D:E,2,FALSE)</f>
        <v>upi</v>
      </c>
      <c r="P737" s="4" t="s">
        <v>69</v>
      </c>
      <c r="Q737" s="4" t="s">
        <v>3607</v>
      </c>
      <c r="R737" s="4"/>
      <c r="S737" s="12" t="s">
        <v>3328</v>
      </c>
      <c r="T737" s="4" t="s">
        <v>2444</v>
      </c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5"/>
      <c r="AI737" s="5"/>
      <c r="AJ737" s="5"/>
      <c r="AK737" s="5"/>
      <c r="AL737" s="5"/>
    </row>
    <row r="738">
      <c r="A738" s="4" t="str">
        <f>VLOOKUP(L738,payment_ids!C:D,2,FALSE)</f>
        <v>pay_HQ3th7TrWwYo4K</v>
      </c>
      <c r="B738" s="4"/>
      <c r="C738" s="4" t="s">
        <v>3326</v>
      </c>
      <c r="D738" s="4">
        <v>50030.0</v>
      </c>
      <c r="E738" s="5"/>
      <c r="F738" s="4">
        <v>6.0</v>
      </c>
      <c r="G738" s="4">
        <v>349.0</v>
      </c>
      <c r="H738" s="4"/>
      <c r="I738" s="4">
        <v>349.0</v>
      </c>
      <c r="J738" s="4" t="s">
        <v>3608</v>
      </c>
      <c r="K738" s="5">
        <f>+919945180168</f>
        <v>919945180168</v>
      </c>
      <c r="L738" s="4" t="str">
        <f t="shared" si="1"/>
        <v>babbithaaks@gmail.com919945180168</v>
      </c>
      <c r="M738" s="10" t="s">
        <v>67</v>
      </c>
      <c r="N738" s="4" t="b">
        <v>0</v>
      </c>
      <c r="O738" s="4" t="str">
        <f>VLOOKUP(A738,payment_ids!D:E,2,FALSE)</f>
        <v>card</v>
      </c>
      <c r="P738" s="4" t="s">
        <v>69</v>
      </c>
      <c r="Q738" s="4" t="s">
        <v>3609</v>
      </c>
      <c r="R738" s="4"/>
      <c r="S738" s="12" t="s">
        <v>3328</v>
      </c>
      <c r="T738" s="4" t="s">
        <v>2444</v>
      </c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5"/>
      <c r="AI738" s="5"/>
      <c r="AJ738" s="5"/>
      <c r="AK738" s="5"/>
      <c r="AL738" s="5"/>
    </row>
    <row r="739">
      <c r="A739" s="4" t="str">
        <f>VLOOKUP(L739,payment_ids!C:D,2,FALSE)</f>
        <v>pay_H6qzgrdHqxixwf</v>
      </c>
      <c r="B739" s="4"/>
      <c r="C739" s="4" t="s">
        <v>3610</v>
      </c>
      <c r="D739" s="4">
        <v>49992.0</v>
      </c>
      <c r="E739" s="4"/>
      <c r="F739" s="4">
        <v>1.0</v>
      </c>
      <c r="G739" s="4">
        <v>99.0</v>
      </c>
      <c r="H739" s="4"/>
      <c r="I739" s="4">
        <v>99.0</v>
      </c>
      <c r="J739" s="4" t="s">
        <v>3611</v>
      </c>
      <c r="K739" s="6">
        <f>+917337511411</f>
        <v>917337511411</v>
      </c>
      <c r="L739" s="4" t="str">
        <f t="shared" si="1"/>
        <v>rohan.reginald@gmail.com917337511411</v>
      </c>
      <c r="M739" s="10" t="s">
        <v>67</v>
      </c>
      <c r="N739" s="4" t="b">
        <v>0</v>
      </c>
      <c r="O739" s="4" t="str">
        <f>VLOOKUP(A739,payment_ids!D:E,2,FALSE)</f>
        <v>upi</v>
      </c>
      <c r="P739" s="4" t="s">
        <v>69</v>
      </c>
      <c r="Q739" s="11">
        <v>44321.09930555556</v>
      </c>
      <c r="R739" s="4"/>
      <c r="S739" s="12" t="s">
        <v>3288</v>
      </c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5"/>
      <c r="AI739" s="5"/>
      <c r="AJ739" s="5"/>
      <c r="AK739" s="5"/>
      <c r="AL739" s="5"/>
    </row>
    <row r="740">
      <c r="A740" s="4" t="str">
        <f>VLOOKUP(L740,payment_ids!C:D,2,FALSE)</f>
        <v>pay_H759KIW1qocg67</v>
      </c>
      <c r="B740" s="4"/>
      <c r="C740" s="4" t="s">
        <v>3610</v>
      </c>
      <c r="D740" s="4">
        <v>49992.0</v>
      </c>
      <c r="E740" s="4"/>
      <c r="F740" s="4">
        <v>1.0</v>
      </c>
      <c r="G740" s="4">
        <v>99.0</v>
      </c>
      <c r="H740" s="4"/>
      <c r="I740" s="4">
        <v>99.0</v>
      </c>
      <c r="J740" s="4" t="s">
        <v>3612</v>
      </c>
      <c r="K740" s="6">
        <f>+919987757185</f>
        <v>919987757185</v>
      </c>
      <c r="L740" s="4" t="str">
        <f t="shared" si="1"/>
        <v>aditya.ketan@gmail.com919987757185</v>
      </c>
      <c r="M740" s="10" t="s">
        <v>67</v>
      </c>
      <c r="N740" s="4" t="b">
        <v>0</v>
      </c>
      <c r="O740" s="4" t="str">
        <f>VLOOKUP(A740,payment_ids!D:E,2,FALSE)</f>
        <v>upi</v>
      </c>
      <c r="P740" s="4" t="s">
        <v>69</v>
      </c>
      <c r="Q740" s="11">
        <v>44321.67638888889</v>
      </c>
      <c r="R740" s="4"/>
      <c r="S740" s="12" t="s">
        <v>3288</v>
      </c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5"/>
      <c r="AI740" s="5"/>
      <c r="AJ740" s="5"/>
      <c r="AK740" s="5"/>
      <c r="AL740" s="5"/>
    </row>
    <row r="741">
      <c r="A741" s="4" t="str">
        <f>VLOOKUP(L741,payment_ids!C:D,2,FALSE)</f>
        <v>pay_H6vqOrOdRHnijW</v>
      </c>
      <c r="B741" s="4"/>
      <c r="C741" s="4" t="s">
        <v>3610</v>
      </c>
      <c r="D741" s="4">
        <v>49992.0</v>
      </c>
      <c r="E741" s="4"/>
      <c r="F741" s="4">
        <v>1.0</v>
      </c>
      <c r="G741" s="4">
        <v>99.0</v>
      </c>
      <c r="H741" s="4"/>
      <c r="I741" s="4">
        <v>99.0</v>
      </c>
      <c r="J741" s="4" t="s">
        <v>3613</v>
      </c>
      <c r="K741" s="6">
        <f>+918328361154</f>
        <v>918328361154</v>
      </c>
      <c r="L741" s="4" t="str">
        <f t="shared" si="1"/>
        <v>yoshitha.k11@gmail.com918328361154</v>
      </c>
      <c r="M741" s="10" t="s">
        <v>67</v>
      </c>
      <c r="N741" s="4" t="b">
        <v>0</v>
      </c>
      <c r="O741" s="4" t="str">
        <f>VLOOKUP(A741,payment_ids!D:E,2,FALSE)</f>
        <v>upi</v>
      </c>
      <c r="P741" s="4" t="s">
        <v>69</v>
      </c>
      <c r="Q741" s="11">
        <v>44321.29652777778</v>
      </c>
      <c r="R741" s="4"/>
      <c r="S741" s="12" t="s">
        <v>3288</v>
      </c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5"/>
      <c r="AI741" s="5"/>
      <c r="AJ741" s="5"/>
      <c r="AK741" s="5"/>
      <c r="AL741" s="5"/>
    </row>
    <row r="742">
      <c r="A742" s="4" t="str">
        <f>VLOOKUP(L742,payment_ids!C:D,2,FALSE)</f>
        <v>pay_H7QYpAnwTTgTZd</v>
      </c>
      <c r="B742" s="4"/>
      <c r="C742" s="4" t="s">
        <v>3610</v>
      </c>
      <c r="D742" s="4">
        <v>49992.0</v>
      </c>
      <c r="E742" s="4"/>
      <c r="F742" s="4">
        <v>1.0</v>
      </c>
      <c r="G742" s="4">
        <v>99.0</v>
      </c>
      <c r="H742" s="4"/>
      <c r="I742" s="4">
        <v>99.0</v>
      </c>
      <c r="J742" s="4" t="s">
        <v>3614</v>
      </c>
      <c r="K742" s="6">
        <f>+918591340000</f>
        <v>918591340000</v>
      </c>
      <c r="L742" s="4" t="str">
        <f t="shared" si="1"/>
        <v>dhanpreet@apexemail.net918591340000</v>
      </c>
      <c r="M742" s="10" t="s">
        <v>67</v>
      </c>
      <c r="N742" s="4" t="b">
        <v>0</v>
      </c>
      <c r="O742" s="4" t="str">
        <f>VLOOKUP(A742,payment_ids!D:E,2,FALSE)</f>
        <v>card</v>
      </c>
      <c r="P742" s="4" t="s">
        <v>69</v>
      </c>
      <c r="Q742" s="11">
        <v>44352.54861111111</v>
      </c>
      <c r="R742" s="4"/>
      <c r="S742" s="12" t="s">
        <v>3288</v>
      </c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5"/>
      <c r="AI742" s="5"/>
      <c r="AJ742" s="5"/>
      <c r="AK742" s="5"/>
      <c r="AL742" s="5"/>
    </row>
    <row r="743">
      <c r="A743" s="4" t="str">
        <f>VLOOKUP(L743,payment_ids!C:D,2,FALSE)</f>
        <v>pay_H7NnqxEWxMz4pZ</v>
      </c>
      <c r="B743" s="4"/>
      <c r="C743" s="4" t="s">
        <v>3610</v>
      </c>
      <c r="D743" s="4">
        <v>49992.0</v>
      </c>
      <c r="E743" s="4"/>
      <c r="F743" s="4">
        <v>1.0</v>
      </c>
      <c r="G743" s="4">
        <v>99.0</v>
      </c>
      <c r="H743" s="4"/>
      <c r="I743" s="4">
        <v>99.0</v>
      </c>
      <c r="J743" s="4" t="s">
        <v>3615</v>
      </c>
      <c r="K743" s="6">
        <f>+916291779883</f>
        <v>916291779883</v>
      </c>
      <c r="L743" s="4" t="str">
        <f t="shared" si="1"/>
        <v>prernasaraf7@gmail.com916291779883</v>
      </c>
      <c r="M743" s="10" t="s">
        <v>67</v>
      </c>
      <c r="N743" s="4" t="b">
        <v>0</v>
      </c>
      <c r="O743" s="4" t="str">
        <f>VLOOKUP(A743,payment_ids!D:E,2,FALSE)</f>
        <v>upi</v>
      </c>
      <c r="P743" s="4" t="s">
        <v>69</v>
      </c>
      <c r="Q743" s="11">
        <v>44352.436111111114</v>
      </c>
      <c r="R743" s="4"/>
      <c r="S743" s="12" t="s">
        <v>3288</v>
      </c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5"/>
      <c r="AI743" s="5"/>
      <c r="AJ743" s="5"/>
      <c r="AK743" s="5"/>
      <c r="AL743" s="5"/>
    </row>
    <row r="744">
      <c r="A744" s="4" t="str">
        <f>VLOOKUP(L744,payment_ids!C:D,2,FALSE)</f>
        <v>pay_HDkHInE3Iy9GOM</v>
      </c>
      <c r="B744" s="4"/>
      <c r="C744" s="4" t="s">
        <v>3610</v>
      </c>
      <c r="D744" s="4">
        <v>49992.0</v>
      </c>
      <c r="E744" s="4"/>
      <c r="F744" s="4">
        <v>1.0</v>
      </c>
      <c r="G744" s="4">
        <v>99.0</v>
      </c>
      <c r="H744" s="4"/>
      <c r="I744" s="4">
        <v>99.0</v>
      </c>
      <c r="J744" s="4" t="s">
        <v>3616</v>
      </c>
      <c r="K744" s="6">
        <f>+918530358886</f>
        <v>918530358886</v>
      </c>
      <c r="L744" s="4" t="str">
        <f t="shared" si="1"/>
        <v>itzshaikhaayat12@gmail.com918530358886</v>
      </c>
      <c r="M744" s="10" t="s">
        <v>67</v>
      </c>
      <c r="N744" s="4" t="b">
        <v>0</v>
      </c>
      <c r="O744" s="4" t="str">
        <f>VLOOKUP(A744,payment_ids!D:E,2,FALSE)</f>
        <v>upi</v>
      </c>
      <c r="P744" s="4" t="s">
        <v>69</v>
      </c>
      <c r="Q744" s="4" t="s">
        <v>3617</v>
      </c>
      <c r="R744" s="4"/>
      <c r="S744" s="12" t="s">
        <v>3288</v>
      </c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5"/>
      <c r="AI744" s="5"/>
      <c r="AJ744" s="5"/>
      <c r="AK744" s="5"/>
      <c r="AL744" s="5"/>
    </row>
    <row r="745">
      <c r="A745" s="4" t="str">
        <f>VLOOKUP(L745,payment_ids!C:D,2,FALSE)</f>
        <v>pay_HMpGDEtb4R1sc5</v>
      </c>
      <c r="B745" s="4"/>
      <c r="C745" s="4" t="s">
        <v>3618</v>
      </c>
      <c r="D745" s="4">
        <v>50136.0</v>
      </c>
      <c r="E745" s="5"/>
      <c r="F745" s="4">
        <v>1.0</v>
      </c>
      <c r="G745" s="4">
        <v>99.0</v>
      </c>
      <c r="H745" s="4"/>
      <c r="I745" s="4">
        <v>99.0</v>
      </c>
      <c r="J745" s="4" t="s">
        <v>3619</v>
      </c>
      <c r="K745" s="5">
        <f>+918264960042</f>
        <v>918264960042</v>
      </c>
      <c r="L745" s="4" t="str">
        <f t="shared" si="1"/>
        <v>99jainansh@gmail.com918264960042</v>
      </c>
      <c r="M745" s="10" t="s">
        <v>67</v>
      </c>
      <c r="N745" s="4" t="b">
        <v>0</v>
      </c>
      <c r="O745" s="4" t="str">
        <f>VLOOKUP(A745,payment_ids!D:E,2,FALSE)</f>
        <v>wallet</v>
      </c>
      <c r="P745" s="4" t="s">
        <v>69</v>
      </c>
      <c r="Q745" s="4" t="s">
        <v>3620</v>
      </c>
      <c r="R745" s="4"/>
      <c r="S745" s="12" t="s">
        <v>3621</v>
      </c>
      <c r="T745" s="4" t="s">
        <v>2444</v>
      </c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5"/>
      <c r="AI745" s="5"/>
      <c r="AJ745" s="5"/>
      <c r="AK745" s="5"/>
      <c r="AL745" s="5"/>
    </row>
    <row r="746">
      <c r="A746" s="4" t="str">
        <f>VLOOKUP(L746,payment_ids!C:D,2,FALSE)</f>
        <v>pay_HNGSFUZgDmqasu</v>
      </c>
      <c r="B746" s="4"/>
      <c r="C746" s="4" t="s">
        <v>3618</v>
      </c>
      <c r="D746" s="4">
        <v>50136.0</v>
      </c>
      <c r="E746" s="5"/>
      <c r="F746" s="4">
        <v>6.0</v>
      </c>
      <c r="G746" s="4">
        <v>349.0</v>
      </c>
      <c r="H746" s="4"/>
      <c r="I746" s="4">
        <v>349.0</v>
      </c>
      <c r="J746" s="4" t="s">
        <v>3622</v>
      </c>
      <c r="K746" s="5">
        <f>+919885769857</f>
        <v>919885769857</v>
      </c>
      <c r="L746" s="4" t="str">
        <f t="shared" si="1"/>
        <v>hafiz06@gmail.com919885769857</v>
      </c>
      <c r="M746" s="10" t="s">
        <v>67</v>
      </c>
      <c r="N746" s="4" t="b">
        <v>0</v>
      </c>
      <c r="O746" s="4" t="str">
        <f>VLOOKUP(A746,payment_ids!D:E,2,FALSE)</f>
        <v>upi</v>
      </c>
      <c r="P746" s="4" t="s">
        <v>69</v>
      </c>
      <c r="Q746" s="4" t="s">
        <v>3623</v>
      </c>
      <c r="R746" s="4"/>
      <c r="S746" s="12" t="s">
        <v>3624</v>
      </c>
      <c r="T746" s="4" t="s">
        <v>2444</v>
      </c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5"/>
      <c r="AI746" s="5"/>
      <c r="AJ746" s="5"/>
      <c r="AK746" s="5"/>
      <c r="AL746" s="5"/>
    </row>
    <row r="747">
      <c r="A747" s="4" t="str">
        <f>VLOOKUP(L747,payment_ids!C:D,2,FALSE)</f>
        <v>pay_HKD2WzMSzg8Fhv</v>
      </c>
      <c r="B747" s="4"/>
      <c r="C747" s="4" t="s">
        <v>3618</v>
      </c>
      <c r="D747" s="4">
        <v>50136.0</v>
      </c>
      <c r="E747" s="5"/>
      <c r="F747" s="4">
        <v>6.0</v>
      </c>
      <c r="G747" s="4">
        <v>349.0</v>
      </c>
      <c r="H747" s="4"/>
      <c r="I747" s="4">
        <v>349.0</v>
      </c>
      <c r="J747" s="4" t="s">
        <v>3625</v>
      </c>
      <c r="K747" s="5">
        <f>+919930432551</f>
        <v>919930432551</v>
      </c>
      <c r="L747" s="4" t="str">
        <f t="shared" si="1"/>
        <v>salilt.001@gmail.com919930432551</v>
      </c>
      <c r="M747" s="10" t="s">
        <v>67</v>
      </c>
      <c r="N747" s="4" t="b">
        <v>0</v>
      </c>
      <c r="O747" s="4" t="str">
        <f>VLOOKUP(A747,payment_ids!D:E,2,FALSE)</f>
        <v>upi</v>
      </c>
      <c r="P747" s="4" t="s">
        <v>69</v>
      </c>
      <c r="Q747" s="4" t="s">
        <v>3626</v>
      </c>
      <c r="R747" s="4"/>
      <c r="S747" s="12" t="s">
        <v>3624</v>
      </c>
      <c r="T747" s="4" t="s">
        <v>2444</v>
      </c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5"/>
      <c r="AI747" s="5"/>
      <c r="AJ747" s="5"/>
      <c r="AK747" s="5"/>
      <c r="AL747" s="5"/>
    </row>
    <row r="748">
      <c r="A748" s="4" t="str">
        <f>VLOOKUP(L748,payment_ids!C:D,2,FALSE)</f>
        <v>pay_HNHA19OeUE3I9m</v>
      </c>
      <c r="B748" s="4"/>
      <c r="C748" s="4" t="s">
        <v>3618</v>
      </c>
      <c r="D748" s="4">
        <v>50136.0</v>
      </c>
      <c r="E748" s="5"/>
      <c r="F748" s="4">
        <v>6.0</v>
      </c>
      <c r="G748" s="4">
        <v>349.0</v>
      </c>
      <c r="H748" s="4"/>
      <c r="I748" s="4">
        <v>349.0</v>
      </c>
      <c r="J748" s="4" t="s">
        <v>3627</v>
      </c>
      <c r="K748" s="5">
        <f>+919538153644</f>
        <v>919538153644</v>
      </c>
      <c r="L748" s="4" t="str">
        <f t="shared" si="1"/>
        <v>mehranmajeed06@gmail.com919538153644</v>
      </c>
      <c r="M748" s="10" t="s">
        <v>67</v>
      </c>
      <c r="N748" s="4" t="b">
        <v>0</v>
      </c>
      <c r="O748" s="4" t="str">
        <f>VLOOKUP(A748,payment_ids!D:E,2,FALSE)</f>
        <v>upi</v>
      </c>
      <c r="P748" s="4" t="s">
        <v>69</v>
      </c>
      <c r="Q748" s="4" t="s">
        <v>3628</v>
      </c>
      <c r="R748" s="4"/>
      <c r="S748" s="12" t="s">
        <v>3624</v>
      </c>
      <c r="T748" s="4" t="s">
        <v>2444</v>
      </c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5"/>
      <c r="AI748" s="5"/>
      <c r="AJ748" s="5"/>
      <c r="AK748" s="5"/>
      <c r="AL748" s="5"/>
    </row>
    <row r="749">
      <c r="A749" s="4" t="str">
        <f>VLOOKUP(L749,payment_ids!C:D,2,FALSE)</f>
        <v>pay_HNHRdZt7rxcUBQ</v>
      </c>
      <c r="B749" s="4"/>
      <c r="C749" s="4" t="s">
        <v>3618</v>
      </c>
      <c r="D749" s="4">
        <v>50136.0</v>
      </c>
      <c r="E749" s="5"/>
      <c r="F749" s="4">
        <v>6.0</v>
      </c>
      <c r="G749" s="4">
        <v>349.0</v>
      </c>
      <c r="H749" s="4"/>
      <c r="I749" s="4">
        <v>349.0</v>
      </c>
      <c r="J749" s="4" t="s">
        <v>3629</v>
      </c>
      <c r="K749" s="5">
        <f>+918210336536</f>
        <v>918210336536</v>
      </c>
      <c r="L749" s="4" t="str">
        <f t="shared" si="1"/>
        <v>rksarpit@gmail.com918210336536</v>
      </c>
      <c r="M749" s="10" t="s">
        <v>67</v>
      </c>
      <c r="N749" s="4" t="b">
        <v>0</v>
      </c>
      <c r="O749" s="4" t="str">
        <f>VLOOKUP(A749,payment_ids!D:E,2,FALSE)</f>
        <v>upi</v>
      </c>
      <c r="P749" s="4" t="s">
        <v>69</v>
      </c>
      <c r="Q749" s="4" t="s">
        <v>3630</v>
      </c>
      <c r="R749" s="4"/>
      <c r="S749" s="12" t="s">
        <v>3624</v>
      </c>
      <c r="T749" s="4" t="s">
        <v>2444</v>
      </c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5"/>
      <c r="AI749" s="5"/>
      <c r="AJ749" s="5"/>
      <c r="AK749" s="5"/>
      <c r="AL749" s="5"/>
    </row>
    <row r="750">
      <c r="A750" s="4" t="str">
        <f>VLOOKUP(L750,payment_ids!C:D,2,FALSE)</f>
        <v>pay_HNHwIFTp4JUudu</v>
      </c>
      <c r="B750" s="4"/>
      <c r="C750" s="4" t="s">
        <v>3618</v>
      </c>
      <c r="D750" s="4">
        <v>50136.0</v>
      </c>
      <c r="E750" s="5"/>
      <c r="F750" s="4">
        <v>1.0</v>
      </c>
      <c r="G750" s="4">
        <v>99.0</v>
      </c>
      <c r="H750" s="4"/>
      <c r="I750" s="4">
        <v>99.0</v>
      </c>
      <c r="J750" s="4" t="s">
        <v>3631</v>
      </c>
      <c r="K750" s="5">
        <f>+919694278272</f>
        <v>919694278272</v>
      </c>
      <c r="L750" s="4" t="str">
        <f t="shared" si="1"/>
        <v>tusharagrawal147@gmail.com919694278272</v>
      </c>
      <c r="M750" s="10" t="s">
        <v>67</v>
      </c>
      <c r="N750" s="4" t="b">
        <v>0</v>
      </c>
      <c r="O750" s="4" t="str">
        <f>VLOOKUP(A750,payment_ids!D:E,2,FALSE)</f>
        <v>upi</v>
      </c>
      <c r="P750" s="4" t="s">
        <v>69</v>
      </c>
      <c r="Q750" s="4" t="s">
        <v>3632</v>
      </c>
      <c r="R750" s="4"/>
      <c r="S750" s="12" t="s">
        <v>3633</v>
      </c>
      <c r="T750" s="4" t="s">
        <v>2444</v>
      </c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5"/>
      <c r="AI750" s="5"/>
      <c r="AJ750" s="5"/>
      <c r="AK750" s="5"/>
      <c r="AL750" s="5"/>
    </row>
    <row r="751">
      <c r="A751" s="4" t="str">
        <f>VLOOKUP(L751,payment_ids!C:D,2,FALSE)</f>
        <v>pay_HNM0F5JEJPS6O8</v>
      </c>
      <c r="B751" s="4"/>
      <c r="C751" s="4" t="s">
        <v>3618</v>
      </c>
      <c r="D751" s="4">
        <v>50136.0</v>
      </c>
      <c r="E751" s="5"/>
      <c r="F751" s="4">
        <v>1.0</v>
      </c>
      <c r="G751" s="4">
        <v>99.0</v>
      </c>
      <c r="H751" s="4"/>
      <c r="I751" s="4">
        <v>99.0</v>
      </c>
      <c r="J751" s="4" t="s">
        <v>3634</v>
      </c>
      <c r="K751" s="5">
        <f>+919003063063</f>
        <v>919003063063</v>
      </c>
      <c r="L751" s="4" t="str">
        <f t="shared" si="1"/>
        <v>gowrishkar@gmail.com919003063063</v>
      </c>
      <c r="M751" s="10" t="s">
        <v>67</v>
      </c>
      <c r="N751" s="4" t="b">
        <v>0</v>
      </c>
      <c r="O751" s="4" t="str">
        <f>VLOOKUP(A751,payment_ids!D:E,2,FALSE)</f>
        <v>upi</v>
      </c>
      <c r="P751" s="4" t="s">
        <v>69</v>
      </c>
      <c r="Q751" s="4" t="s">
        <v>3635</v>
      </c>
      <c r="R751" s="4"/>
      <c r="S751" s="12" t="s">
        <v>3624</v>
      </c>
      <c r="T751" s="4" t="s">
        <v>2444</v>
      </c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5"/>
      <c r="AI751" s="5"/>
      <c r="AJ751" s="5"/>
      <c r="AK751" s="5"/>
      <c r="AL751" s="5"/>
    </row>
    <row r="752">
      <c r="A752" s="4" t="str">
        <f>VLOOKUP(L752,payment_ids!C:D,2,FALSE)</f>
        <v>pay_HNMdeBi69143tU</v>
      </c>
      <c r="B752" s="4"/>
      <c r="C752" s="4" t="s">
        <v>3618</v>
      </c>
      <c r="D752" s="4">
        <v>50136.0</v>
      </c>
      <c r="E752" s="5"/>
      <c r="F752" s="4">
        <v>1.0</v>
      </c>
      <c r="G752" s="4">
        <v>99.0</v>
      </c>
      <c r="H752" s="4"/>
      <c r="I752" s="4">
        <v>99.0</v>
      </c>
      <c r="J752" s="4" t="s">
        <v>3636</v>
      </c>
      <c r="K752" s="5">
        <f>+917993141136</f>
        <v>917993141136</v>
      </c>
      <c r="L752" s="4" t="str">
        <f t="shared" si="1"/>
        <v>harisud1313@gmail.com917993141136</v>
      </c>
      <c r="M752" s="10" t="s">
        <v>67</v>
      </c>
      <c r="N752" s="4" t="b">
        <v>0</v>
      </c>
      <c r="O752" s="4" t="str">
        <f>VLOOKUP(A752,payment_ids!D:E,2,FALSE)</f>
        <v>upi</v>
      </c>
      <c r="P752" s="4" t="s">
        <v>69</v>
      </c>
      <c r="Q752" s="4" t="s">
        <v>3637</v>
      </c>
      <c r="R752" s="4"/>
      <c r="S752" s="12" t="s">
        <v>3624</v>
      </c>
      <c r="T752" s="4" t="s">
        <v>2444</v>
      </c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5"/>
      <c r="AI752" s="5"/>
      <c r="AJ752" s="5"/>
      <c r="AK752" s="5"/>
      <c r="AL752" s="5"/>
    </row>
    <row r="753">
      <c r="A753" s="4" t="str">
        <f>VLOOKUP(L753,payment_ids!C:D,2,FALSE)</f>
        <v>pay_HNO9dmkBp2CO7p</v>
      </c>
      <c r="B753" s="4"/>
      <c r="C753" s="4" t="s">
        <v>3618</v>
      </c>
      <c r="D753" s="4">
        <v>50136.0</v>
      </c>
      <c r="E753" s="5"/>
      <c r="F753" s="4">
        <v>1.0</v>
      </c>
      <c r="G753" s="4">
        <v>99.0</v>
      </c>
      <c r="H753" s="4"/>
      <c r="I753" s="4">
        <v>99.0</v>
      </c>
      <c r="J753" s="4" t="s">
        <v>3638</v>
      </c>
      <c r="K753" s="5">
        <f>+918954084727</f>
        <v>918954084727</v>
      </c>
      <c r="L753" s="4" t="str">
        <f t="shared" si="1"/>
        <v>4727abhi@gmail.com918954084727</v>
      </c>
      <c r="M753" s="10" t="s">
        <v>67</v>
      </c>
      <c r="N753" s="4" t="b">
        <v>0</v>
      </c>
      <c r="O753" s="4" t="str">
        <f>VLOOKUP(A753,payment_ids!D:E,2,FALSE)</f>
        <v>upi</v>
      </c>
      <c r="P753" s="4" t="s">
        <v>69</v>
      </c>
      <c r="Q753" s="4" t="s">
        <v>3639</v>
      </c>
      <c r="R753" s="4"/>
      <c r="S753" s="12" t="s">
        <v>3624</v>
      </c>
      <c r="T753" s="4" t="s">
        <v>2444</v>
      </c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5"/>
      <c r="AI753" s="5"/>
      <c r="AJ753" s="5"/>
      <c r="AK753" s="5"/>
      <c r="AL753" s="5"/>
    </row>
    <row r="754">
      <c r="A754" s="4" t="str">
        <f>VLOOKUP(L754,payment_ids!C:D,2,FALSE)</f>
        <v>pay_HNQBHnLE6a4gOH</v>
      </c>
      <c r="B754" s="4"/>
      <c r="C754" s="4" t="s">
        <v>3618</v>
      </c>
      <c r="D754" s="4">
        <v>50136.0</v>
      </c>
      <c r="E754" s="5"/>
      <c r="F754" s="4">
        <v>3.0</v>
      </c>
      <c r="G754" s="4">
        <v>199.0</v>
      </c>
      <c r="H754" s="4"/>
      <c r="I754" s="4">
        <v>199.0</v>
      </c>
      <c r="J754" s="4" t="s">
        <v>3640</v>
      </c>
      <c r="K754" s="5">
        <f>+919790912347</f>
        <v>919790912347</v>
      </c>
      <c r="L754" s="4" t="str">
        <f t="shared" si="1"/>
        <v>igvikas@gmail.com919790912347</v>
      </c>
      <c r="M754" s="10" t="s">
        <v>67</v>
      </c>
      <c r="N754" s="4" t="b">
        <v>0</v>
      </c>
      <c r="O754" s="4" t="str">
        <f>VLOOKUP(A754,payment_ids!D:E,2,FALSE)</f>
        <v>upi</v>
      </c>
      <c r="P754" s="4" t="s">
        <v>69</v>
      </c>
      <c r="Q754" s="4" t="s">
        <v>3641</v>
      </c>
      <c r="R754" s="4"/>
      <c r="S754" s="12" t="s">
        <v>3624</v>
      </c>
      <c r="T754" s="4" t="s">
        <v>2444</v>
      </c>
      <c r="U754" s="4"/>
      <c r="V754" s="4"/>
      <c r="W754" s="4"/>
      <c r="X754" s="4"/>
      <c r="Y754" s="4"/>
      <c r="Z754" s="4"/>
      <c r="AA754" s="4"/>
      <c r="AB754" s="4"/>
      <c r="AC754" s="8"/>
      <c r="AD754" s="4"/>
      <c r="AE754" s="4"/>
      <c r="AF754" s="4"/>
      <c r="AG754" s="4"/>
      <c r="AH754" s="5"/>
      <c r="AI754" s="5"/>
      <c r="AJ754" s="5"/>
      <c r="AK754" s="5"/>
      <c r="AL754" s="5"/>
    </row>
    <row r="755">
      <c r="A755" s="4" t="str">
        <f>VLOOKUP(L755,payment_ids!C:D,2,FALSE)</f>
        <v>pay_HNU8Hkt7rtdvWU</v>
      </c>
      <c r="B755" s="4"/>
      <c r="C755" s="4" t="s">
        <v>3618</v>
      </c>
      <c r="D755" s="4">
        <v>50136.0</v>
      </c>
      <c r="E755" s="5"/>
      <c r="F755" s="4">
        <v>1.0</v>
      </c>
      <c r="G755" s="4">
        <v>99.0</v>
      </c>
      <c r="H755" s="4"/>
      <c r="I755" s="4">
        <v>99.0</v>
      </c>
      <c r="J755" s="4" t="s">
        <v>3642</v>
      </c>
      <c r="K755" s="5">
        <f>+919985674473</f>
        <v>919985674473</v>
      </c>
      <c r="L755" s="4" t="str">
        <f t="shared" si="1"/>
        <v>saikiran3963@gmail.com919985674473</v>
      </c>
      <c r="M755" s="10" t="s">
        <v>67</v>
      </c>
      <c r="N755" s="4" t="b">
        <v>0</v>
      </c>
      <c r="O755" s="4" t="str">
        <f>VLOOKUP(A755,payment_ids!D:E,2,FALSE)</f>
        <v>upi</v>
      </c>
      <c r="P755" s="4" t="s">
        <v>69</v>
      </c>
      <c r="Q755" s="4" t="s">
        <v>3643</v>
      </c>
      <c r="R755" s="4"/>
      <c r="S755" s="12" t="s">
        <v>3624</v>
      </c>
      <c r="T755" s="4" t="s">
        <v>2444</v>
      </c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5"/>
      <c r="AI755" s="5"/>
      <c r="AJ755" s="5"/>
      <c r="AK755" s="5"/>
      <c r="AL755" s="5"/>
    </row>
    <row r="756">
      <c r="A756" s="4" t="str">
        <f>VLOOKUP(L756,payment_ids!C:D,2,FALSE)</f>
        <v>pay_HNgPDjGoeBXA0J</v>
      </c>
      <c r="B756" s="4"/>
      <c r="C756" s="4" t="s">
        <v>3618</v>
      </c>
      <c r="D756" s="4">
        <v>50136.0</v>
      </c>
      <c r="E756" s="5"/>
      <c r="F756" s="4">
        <v>1.0</v>
      </c>
      <c r="G756" s="4">
        <v>99.0</v>
      </c>
      <c r="H756" s="4"/>
      <c r="I756" s="4">
        <v>99.0</v>
      </c>
      <c r="J756" s="4" t="s">
        <v>3644</v>
      </c>
      <c r="K756" s="5">
        <f>+917018326866</f>
        <v>917018326866</v>
      </c>
      <c r="L756" s="4" t="str">
        <f t="shared" si="1"/>
        <v>chauhanvinod87@ymail.com917018326866</v>
      </c>
      <c r="M756" s="10" t="s">
        <v>67</v>
      </c>
      <c r="N756" s="4" t="b">
        <v>0</v>
      </c>
      <c r="O756" s="4" t="str">
        <f>VLOOKUP(A756,payment_ids!D:E,2,FALSE)</f>
        <v>wallet</v>
      </c>
      <c r="P756" s="4" t="s">
        <v>69</v>
      </c>
      <c r="Q756" s="4" t="s">
        <v>3645</v>
      </c>
      <c r="R756" s="4"/>
      <c r="S756" s="12" t="s">
        <v>3624</v>
      </c>
      <c r="T756" s="4" t="s">
        <v>2444</v>
      </c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5"/>
      <c r="AI756" s="5"/>
      <c r="AJ756" s="5"/>
      <c r="AK756" s="5"/>
      <c r="AL756" s="5"/>
    </row>
    <row r="757">
      <c r="A757" s="4" t="str">
        <f>VLOOKUP(L757,payment_ids!C:D,2,FALSE)</f>
        <v>pay_HNkM6XU8Eict9Q</v>
      </c>
      <c r="B757" s="4"/>
      <c r="C757" s="4" t="s">
        <v>3618</v>
      </c>
      <c r="D757" s="4">
        <v>50136.0</v>
      </c>
      <c r="E757" s="5"/>
      <c r="F757" s="4">
        <v>6.0</v>
      </c>
      <c r="G757" s="4">
        <v>349.0</v>
      </c>
      <c r="H757" s="4"/>
      <c r="I757" s="4">
        <v>349.0</v>
      </c>
      <c r="J757" s="4" t="s">
        <v>3646</v>
      </c>
      <c r="K757" s="5">
        <f>+919620953312</f>
        <v>919620953312</v>
      </c>
      <c r="L757" s="4" t="str">
        <f t="shared" si="1"/>
        <v>cs.akshata18@gmail.com919620953312</v>
      </c>
      <c r="M757" s="10" t="s">
        <v>67</v>
      </c>
      <c r="N757" s="4" t="b">
        <v>0</v>
      </c>
      <c r="O757" s="4" t="str">
        <f>VLOOKUP(A757,payment_ids!D:E,2,FALSE)</f>
        <v>upi</v>
      </c>
      <c r="P757" s="4" t="s">
        <v>69</v>
      </c>
      <c r="Q757" s="4" t="s">
        <v>3647</v>
      </c>
      <c r="R757" s="4"/>
      <c r="S757" s="12" t="s">
        <v>3624</v>
      </c>
      <c r="T757" s="4" t="s">
        <v>2444</v>
      </c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5"/>
      <c r="AI757" s="5"/>
      <c r="AJ757" s="5"/>
      <c r="AK757" s="5"/>
      <c r="AL757" s="5"/>
    </row>
    <row r="758">
      <c r="A758" s="4" t="str">
        <f>VLOOKUP(L758,payment_ids!C:D,2,FALSE)</f>
        <v>pay_HNkXTmNIsA2XxE</v>
      </c>
      <c r="B758" s="4"/>
      <c r="C758" s="4" t="s">
        <v>3618</v>
      </c>
      <c r="D758" s="4">
        <v>50136.0</v>
      </c>
      <c r="E758" s="5"/>
      <c r="F758" s="4">
        <v>1.0</v>
      </c>
      <c r="G758" s="4">
        <v>99.0</v>
      </c>
      <c r="H758" s="4"/>
      <c r="I758" s="4">
        <v>99.0</v>
      </c>
      <c r="J758" s="4" t="s">
        <v>3648</v>
      </c>
      <c r="K758" s="5">
        <f>+918097002242</f>
        <v>918097002242</v>
      </c>
      <c r="L758" s="4" t="str">
        <f t="shared" si="1"/>
        <v>sudhanshu.maheshwari23@gmail.com918097002242</v>
      </c>
      <c r="M758" s="10" t="s">
        <v>67</v>
      </c>
      <c r="N758" s="4" t="b">
        <v>0</v>
      </c>
      <c r="O758" s="4" t="str">
        <f>VLOOKUP(A758,payment_ids!D:E,2,FALSE)</f>
        <v>upi</v>
      </c>
      <c r="P758" s="4" t="s">
        <v>69</v>
      </c>
      <c r="Q758" s="4" t="s">
        <v>3649</v>
      </c>
      <c r="R758" s="4"/>
      <c r="S758" s="12" t="s">
        <v>3624</v>
      </c>
      <c r="T758" s="4" t="s">
        <v>2444</v>
      </c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5"/>
      <c r="AI758" s="5"/>
      <c r="AJ758" s="5"/>
      <c r="AK758" s="5"/>
      <c r="AL758" s="5"/>
    </row>
    <row r="759">
      <c r="A759" s="4" t="str">
        <f>VLOOKUP(L759,payment_ids!C:D,2,FALSE)</f>
        <v>pay_HNlWAKxdsCW0An</v>
      </c>
      <c r="B759" s="4"/>
      <c r="C759" s="4" t="s">
        <v>3618</v>
      </c>
      <c r="D759" s="4">
        <v>50136.0</v>
      </c>
      <c r="E759" s="5"/>
      <c r="F759" s="4">
        <v>1.0</v>
      </c>
      <c r="G759" s="4">
        <v>99.0</v>
      </c>
      <c r="H759" s="4"/>
      <c r="I759" s="4">
        <v>99.0</v>
      </c>
      <c r="J759" s="4" t="s">
        <v>3650</v>
      </c>
      <c r="K759" s="5">
        <f>+919629165061</f>
        <v>919629165061</v>
      </c>
      <c r="L759" s="4" t="str">
        <f t="shared" si="1"/>
        <v>akash.e2912@gmail.com919629165061</v>
      </c>
      <c r="M759" s="10" t="s">
        <v>67</v>
      </c>
      <c r="N759" s="4" t="b">
        <v>0</v>
      </c>
      <c r="O759" s="4" t="str">
        <f>VLOOKUP(A759,payment_ids!D:E,2,FALSE)</f>
        <v>upi</v>
      </c>
      <c r="P759" s="4" t="s">
        <v>69</v>
      </c>
      <c r="Q759" s="4" t="s">
        <v>3651</v>
      </c>
      <c r="R759" s="4"/>
      <c r="S759" s="12" t="s">
        <v>3624</v>
      </c>
      <c r="T759" s="4" t="s">
        <v>2444</v>
      </c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5"/>
      <c r="AI759" s="5"/>
      <c r="AJ759" s="5"/>
      <c r="AK759" s="5"/>
      <c r="AL759" s="5"/>
    </row>
    <row r="760">
      <c r="A760" s="4" t="str">
        <f>VLOOKUP(L760,payment_ids!C:D,2,FALSE)</f>
        <v>pay_HNnMGuReY7ZEM9</v>
      </c>
      <c r="B760" s="4"/>
      <c r="C760" s="4" t="s">
        <v>3618</v>
      </c>
      <c r="D760" s="4">
        <v>50136.0</v>
      </c>
      <c r="E760" s="5"/>
      <c r="F760" s="4">
        <v>1.0</v>
      </c>
      <c r="G760" s="4">
        <v>99.0</v>
      </c>
      <c r="H760" s="4"/>
      <c r="I760" s="4">
        <v>99.0</v>
      </c>
      <c r="J760" s="4" t="s">
        <v>3652</v>
      </c>
      <c r="K760" s="5">
        <f>+919093109714</f>
        <v>919093109714</v>
      </c>
      <c r="L760" s="4" t="str">
        <f t="shared" si="1"/>
        <v>ghoshrudrakshi@gmail.com919093109714</v>
      </c>
      <c r="M760" s="10" t="s">
        <v>67</v>
      </c>
      <c r="N760" s="4" t="b">
        <v>0</v>
      </c>
      <c r="O760" s="4" t="str">
        <f>VLOOKUP(A760,payment_ids!D:E,2,FALSE)</f>
        <v>upi</v>
      </c>
      <c r="P760" s="4" t="s">
        <v>69</v>
      </c>
      <c r="Q760" s="4" t="s">
        <v>3653</v>
      </c>
      <c r="R760" s="4"/>
      <c r="S760" s="12" t="s">
        <v>3621</v>
      </c>
      <c r="T760" s="4" t="s">
        <v>2444</v>
      </c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5"/>
      <c r="AI760" s="5"/>
      <c r="AJ760" s="5"/>
      <c r="AK760" s="5"/>
      <c r="AL760" s="5"/>
    </row>
    <row r="761">
      <c r="A761" s="4" t="str">
        <f>VLOOKUP(L761,payment_ids!C:D,2,FALSE)</f>
        <v>pay_HD3BG0TWAnA8jO</v>
      </c>
      <c r="B761" s="4"/>
      <c r="C761" s="4" t="s">
        <v>3618</v>
      </c>
      <c r="D761" s="4">
        <v>50136.0</v>
      </c>
      <c r="E761" s="5"/>
      <c r="F761" s="4">
        <v>3.0</v>
      </c>
      <c r="G761" s="4">
        <v>199.0</v>
      </c>
      <c r="H761" s="4"/>
      <c r="I761" s="4">
        <v>199.0</v>
      </c>
      <c r="J761" s="4" t="s">
        <v>3654</v>
      </c>
      <c r="K761" s="5">
        <f>+918981287494</f>
        <v>918981287494</v>
      </c>
      <c r="L761" s="4" t="str">
        <f t="shared" si="1"/>
        <v>rahul.prasad59336@gmail.com918981287494</v>
      </c>
      <c r="M761" s="10" t="s">
        <v>67</v>
      </c>
      <c r="N761" s="4" t="b">
        <v>0</v>
      </c>
      <c r="O761" s="4" t="str">
        <f>VLOOKUP(A761,payment_ids!D:E,2,FALSE)</f>
        <v>upi</v>
      </c>
      <c r="P761" s="4" t="s">
        <v>69</v>
      </c>
      <c r="Q761" s="4" t="s">
        <v>3655</v>
      </c>
      <c r="R761" s="4"/>
      <c r="S761" s="12" t="s">
        <v>3624</v>
      </c>
      <c r="T761" s="4" t="s">
        <v>2444</v>
      </c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5"/>
      <c r="AI761" s="5"/>
      <c r="AJ761" s="5"/>
      <c r="AK761" s="5"/>
      <c r="AL761" s="5"/>
    </row>
    <row r="762">
      <c r="A762" s="4" t="str">
        <f>VLOOKUP(L762,payment_ids!C:D,2,FALSE)</f>
        <v>pay_HNyeN4hyech8Nf</v>
      </c>
      <c r="B762" s="4"/>
      <c r="C762" s="4" t="s">
        <v>3618</v>
      </c>
      <c r="D762" s="4">
        <v>50136.0</v>
      </c>
      <c r="E762" s="5"/>
      <c r="F762" s="4">
        <v>1.0</v>
      </c>
      <c r="G762" s="4">
        <v>99.0</v>
      </c>
      <c r="H762" s="4"/>
      <c r="I762" s="4">
        <v>99.0</v>
      </c>
      <c r="J762" s="4" t="s">
        <v>3656</v>
      </c>
      <c r="K762" s="5">
        <f>+918700007979</f>
        <v>918700007979</v>
      </c>
      <c r="L762" s="4" t="str">
        <f t="shared" si="1"/>
        <v>vamsi.palems@gmail.com918700007979</v>
      </c>
      <c r="M762" s="10" t="s">
        <v>67</v>
      </c>
      <c r="N762" s="4" t="b">
        <v>0</v>
      </c>
      <c r="O762" s="4" t="str">
        <f>VLOOKUP(A762,payment_ids!D:E,2,FALSE)</f>
        <v>upi</v>
      </c>
      <c r="P762" s="4" t="s">
        <v>69</v>
      </c>
      <c r="Q762" s="4" t="s">
        <v>3657</v>
      </c>
      <c r="R762" s="4"/>
      <c r="S762" s="12" t="s">
        <v>3624</v>
      </c>
      <c r="T762" s="4" t="s">
        <v>2444</v>
      </c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5"/>
      <c r="AI762" s="5"/>
      <c r="AJ762" s="5"/>
      <c r="AK762" s="5"/>
      <c r="AL762" s="5"/>
    </row>
    <row r="763">
      <c r="A763" s="4" t="str">
        <f>VLOOKUP(L763,payment_ids!C:D,2,FALSE)</f>
        <v>pay_HNz1a7NEJKtudY</v>
      </c>
      <c r="B763" s="4"/>
      <c r="C763" s="4" t="s">
        <v>3618</v>
      </c>
      <c r="D763" s="4">
        <v>50136.0</v>
      </c>
      <c r="E763" s="5"/>
      <c r="F763" s="4">
        <v>1.0</v>
      </c>
      <c r="G763" s="4">
        <v>99.0</v>
      </c>
      <c r="H763" s="4"/>
      <c r="I763" s="4">
        <v>99.0</v>
      </c>
      <c r="J763" s="4" t="s">
        <v>3658</v>
      </c>
      <c r="K763" s="5">
        <f>+918971990104</f>
        <v>918971990104</v>
      </c>
      <c r="L763" s="4" t="str">
        <f t="shared" si="1"/>
        <v>duttguru085@gmail.com918971990104</v>
      </c>
      <c r="M763" s="10" t="s">
        <v>67</v>
      </c>
      <c r="N763" s="4" t="b">
        <v>0</v>
      </c>
      <c r="O763" s="4" t="str">
        <f>VLOOKUP(A763,payment_ids!D:E,2,FALSE)</f>
        <v>upi</v>
      </c>
      <c r="P763" s="4" t="s">
        <v>69</v>
      </c>
      <c r="Q763" s="4" t="s">
        <v>3659</v>
      </c>
      <c r="R763" s="4"/>
      <c r="S763" s="12" t="s">
        <v>3624</v>
      </c>
      <c r="T763" s="4" t="s">
        <v>2444</v>
      </c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5"/>
      <c r="AI763" s="5"/>
      <c r="AJ763" s="5"/>
      <c r="AK763" s="5"/>
      <c r="AL763" s="5"/>
    </row>
    <row r="764">
      <c r="A764" s="4" t="str">
        <f>VLOOKUP(L764,payment_ids!C:D,2,FALSE)</f>
        <v>pay_HO7jhWToA2mWPM</v>
      </c>
      <c r="B764" s="4"/>
      <c r="C764" s="4" t="s">
        <v>3618</v>
      </c>
      <c r="D764" s="4">
        <v>50136.0</v>
      </c>
      <c r="E764" s="5"/>
      <c r="F764" s="4">
        <v>1.0</v>
      </c>
      <c r="G764" s="4">
        <v>99.0</v>
      </c>
      <c r="H764" s="4"/>
      <c r="I764" s="4">
        <v>99.0</v>
      </c>
      <c r="J764" s="4" t="s">
        <v>3660</v>
      </c>
      <c r="K764" s="5">
        <f>+917020858997</f>
        <v>917020858997</v>
      </c>
      <c r="L764" s="4" t="str">
        <f t="shared" si="1"/>
        <v>jainamgandhi54@gmail.com917020858997</v>
      </c>
      <c r="M764" s="10" t="s">
        <v>67</v>
      </c>
      <c r="N764" s="4" t="b">
        <v>0</v>
      </c>
      <c r="O764" s="4" t="str">
        <f>VLOOKUP(A764,payment_ids!D:E,2,FALSE)</f>
        <v>upi</v>
      </c>
      <c r="P764" s="4" t="s">
        <v>69</v>
      </c>
      <c r="Q764" s="4" t="s">
        <v>3661</v>
      </c>
      <c r="R764" s="4"/>
      <c r="S764" s="12" t="s">
        <v>3624</v>
      </c>
      <c r="T764" s="4" t="s">
        <v>2444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5"/>
      <c r="AI764" s="5"/>
      <c r="AJ764" s="5"/>
      <c r="AK764" s="5"/>
      <c r="AL764" s="5"/>
    </row>
    <row r="765">
      <c r="A765" s="4" t="str">
        <f>VLOOKUP(L765,payment_ids!C:D,2,FALSE)</f>
        <v>pay_HOB1EckGhMsZYz</v>
      </c>
      <c r="B765" s="4"/>
      <c r="C765" s="4" t="s">
        <v>3618</v>
      </c>
      <c r="D765" s="4">
        <v>50136.0</v>
      </c>
      <c r="E765" s="5"/>
      <c r="F765" s="4">
        <v>1.0</v>
      </c>
      <c r="G765" s="4">
        <v>99.0</v>
      </c>
      <c r="H765" s="4"/>
      <c r="I765" s="4">
        <v>99.0</v>
      </c>
      <c r="J765" s="4" t="s">
        <v>3662</v>
      </c>
      <c r="K765" s="5">
        <f>+919833421869</f>
        <v>919833421869</v>
      </c>
      <c r="L765" s="4" t="str">
        <f t="shared" si="1"/>
        <v>iifasarfaraz@gmail.com919833421869</v>
      </c>
      <c r="M765" s="10" t="s">
        <v>67</v>
      </c>
      <c r="N765" s="4" t="b">
        <v>0</v>
      </c>
      <c r="O765" s="4" t="str">
        <f>VLOOKUP(A765,payment_ids!D:E,2,FALSE)</f>
        <v>upi</v>
      </c>
      <c r="P765" s="4" t="s">
        <v>69</v>
      </c>
      <c r="Q765" s="4" t="s">
        <v>3663</v>
      </c>
      <c r="R765" s="4"/>
      <c r="S765" s="12" t="s">
        <v>3624</v>
      </c>
      <c r="T765" s="4" t="s">
        <v>2444</v>
      </c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5"/>
      <c r="AI765" s="5"/>
      <c r="AJ765" s="5"/>
      <c r="AK765" s="5"/>
      <c r="AL765" s="5"/>
    </row>
    <row r="766">
      <c r="A766" s="4" t="str">
        <f>VLOOKUP(L766,payment_ids!C:D,2,FALSE)</f>
        <v>pay_HOBFgFweFJLxFx</v>
      </c>
      <c r="B766" s="4"/>
      <c r="C766" s="4" t="s">
        <v>3618</v>
      </c>
      <c r="D766" s="4">
        <v>50136.0</v>
      </c>
      <c r="E766" s="5"/>
      <c r="F766" s="4">
        <v>1.0</v>
      </c>
      <c r="G766" s="4">
        <v>99.0</v>
      </c>
      <c r="H766" s="4"/>
      <c r="I766" s="4">
        <v>99.0</v>
      </c>
      <c r="J766" s="4" t="s">
        <v>3664</v>
      </c>
      <c r="K766" s="5">
        <f>+918447569208</f>
        <v>918447569208</v>
      </c>
      <c r="L766" s="4" t="str">
        <f t="shared" si="1"/>
        <v>niteshmahalwal@yahoo.com918447569208</v>
      </c>
      <c r="M766" s="10" t="s">
        <v>67</v>
      </c>
      <c r="N766" s="4" t="b">
        <v>0</v>
      </c>
      <c r="O766" s="4" t="str">
        <f>VLOOKUP(A766,payment_ids!D:E,2,FALSE)</f>
        <v>upi</v>
      </c>
      <c r="P766" s="4" t="s">
        <v>69</v>
      </c>
      <c r="Q766" s="4" t="s">
        <v>3665</v>
      </c>
      <c r="R766" s="4"/>
      <c r="S766" s="12" t="s">
        <v>3624</v>
      </c>
      <c r="T766" s="4" t="s">
        <v>2444</v>
      </c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5"/>
      <c r="AI766" s="5"/>
      <c r="AJ766" s="5"/>
      <c r="AK766" s="5"/>
      <c r="AL766" s="5"/>
    </row>
    <row r="767">
      <c r="A767" s="4" t="str">
        <f>VLOOKUP(L767,payment_ids!C:D,2,FALSE)</f>
        <v>pay_H9AvgGD3qpIRZN</v>
      </c>
      <c r="B767" s="4"/>
      <c r="C767" s="4" t="s">
        <v>3618</v>
      </c>
      <c r="D767" s="4">
        <v>50136.0</v>
      </c>
      <c r="E767" s="5"/>
      <c r="F767" s="4">
        <v>1.0</v>
      </c>
      <c r="G767" s="4">
        <v>99.0</v>
      </c>
      <c r="H767" s="4"/>
      <c r="I767" s="4">
        <v>99.0</v>
      </c>
      <c r="J767" s="4" t="s">
        <v>632</v>
      </c>
      <c r="K767" s="5">
        <f>+919989716007</f>
        <v>919989716007</v>
      </c>
      <c r="L767" s="4" t="str">
        <f t="shared" si="1"/>
        <v>buntyboy.1990@gmail.com919989716007</v>
      </c>
      <c r="M767" s="10" t="s">
        <v>67</v>
      </c>
      <c r="N767" s="4" t="b">
        <v>0</v>
      </c>
      <c r="O767" s="4" t="str">
        <f>VLOOKUP(A767,payment_ids!D:E,2,FALSE)</f>
        <v>upi</v>
      </c>
      <c r="P767" s="4" t="s">
        <v>69</v>
      </c>
      <c r="Q767" s="4" t="s">
        <v>3666</v>
      </c>
      <c r="R767" s="4"/>
      <c r="S767" s="12" t="s">
        <v>3624</v>
      </c>
      <c r="T767" s="4" t="s">
        <v>2444</v>
      </c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5"/>
      <c r="AI767" s="5"/>
      <c r="AJ767" s="5"/>
      <c r="AK767" s="5"/>
      <c r="AL767" s="5"/>
    </row>
    <row r="768">
      <c r="A768" s="4" t="str">
        <f>VLOOKUP(L768,payment_ids!C:D,2,FALSE)</f>
        <v>pay_HODMUQpfru3FC3</v>
      </c>
      <c r="B768" s="4"/>
      <c r="C768" s="4" t="s">
        <v>3618</v>
      </c>
      <c r="D768" s="4">
        <v>50136.0</v>
      </c>
      <c r="E768" s="5"/>
      <c r="F768" s="4">
        <v>1.0</v>
      </c>
      <c r="G768" s="4">
        <v>99.0</v>
      </c>
      <c r="H768" s="4"/>
      <c r="I768" s="4">
        <v>99.0</v>
      </c>
      <c r="J768" s="4" t="s">
        <v>676</v>
      </c>
      <c r="K768" s="5">
        <f>+919951010183</f>
        <v>919951010183</v>
      </c>
      <c r="L768" s="4" t="str">
        <f t="shared" si="1"/>
        <v>ganelskumar@gmail.com919951010183</v>
      </c>
      <c r="M768" s="10" t="s">
        <v>67</v>
      </c>
      <c r="N768" s="4" t="b">
        <v>0</v>
      </c>
      <c r="O768" s="4" t="str">
        <f>VLOOKUP(A768,payment_ids!D:E,2,FALSE)</f>
        <v>upi</v>
      </c>
      <c r="P768" s="4" t="s">
        <v>69</v>
      </c>
      <c r="Q768" s="4" t="s">
        <v>3667</v>
      </c>
      <c r="R768" s="4"/>
      <c r="S768" s="12" t="s">
        <v>3624</v>
      </c>
      <c r="T768" s="4" t="s">
        <v>2444</v>
      </c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5"/>
      <c r="AI768" s="5"/>
      <c r="AJ768" s="5"/>
      <c r="AK768" s="5"/>
      <c r="AL768" s="5"/>
    </row>
    <row r="769">
      <c r="A769" s="4" t="str">
        <f>VLOOKUP(L769,payment_ids!C:D,2,FALSE)</f>
        <v>pay_HOGajp6QmQsi9l</v>
      </c>
      <c r="B769" s="4"/>
      <c r="C769" s="4" t="s">
        <v>3618</v>
      </c>
      <c r="D769" s="4">
        <v>50136.0</v>
      </c>
      <c r="E769" s="5"/>
      <c r="F769" s="4">
        <v>1.0</v>
      </c>
      <c r="G769" s="4">
        <v>99.0</v>
      </c>
      <c r="H769" s="4"/>
      <c r="I769" s="4">
        <v>99.0</v>
      </c>
      <c r="J769" s="4" t="s">
        <v>3668</v>
      </c>
      <c r="K769" s="5">
        <f>+919445686162</f>
        <v>919445686162</v>
      </c>
      <c r="L769" s="4" t="str">
        <f t="shared" si="1"/>
        <v>nishi2827@gmail.com919445686162</v>
      </c>
      <c r="M769" s="10" t="s">
        <v>67</v>
      </c>
      <c r="N769" s="4" t="b">
        <v>0</v>
      </c>
      <c r="O769" s="4" t="str">
        <f>VLOOKUP(A769,payment_ids!D:E,2,FALSE)</f>
        <v>upi</v>
      </c>
      <c r="P769" s="4" t="s">
        <v>69</v>
      </c>
      <c r="Q769" s="4" t="s">
        <v>3669</v>
      </c>
      <c r="R769" s="4"/>
      <c r="S769" s="12" t="s">
        <v>3624</v>
      </c>
      <c r="T769" s="4" t="s">
        <v>2444</v>
      </c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5"/>
      <c r="AI769" s="5"/>
      <c r="AJ769" s="5"/>
      <c r="AK769" s="5"/>
      <c r="AL769" s="5"/>
    </row>
    <row r="770">
      <c r="A770" s="4" t="str">
        <f>VLOOKUP(L770,payment_ids!C:D,2,FALSE)</f>
        <v>pay_HOLN5ADRhOkfe0</v>
      </c>
      <c r="B770" s="4"/>
      <c r="C770" s="4" t="s">
        <v>3618</v>
      </c>
      <c r="D770" s="4">
        <v>50136.0</v>
      </c>
      <c r="E770" s="5"/>
      <c r="F770" s="4">
        <v>1.0</v>
      </c>
      <c r="G770" s="4">
        <v>99.0</v>
      </c>
      <c r="H770" s="4"/>
      <c r="I770" s="4">
        <v>99.0</v>
      </c>
      <c r="J770" s="4" t="s">
        <v>3670</v>
      </c>
      <c r="K770" s="5">
        <f>+918837497650</f>
        <v>918837497650</v>
      </c>
      <c r="L770" s="4" t="str">
        <f t="shared" si="1"/>
        <v>thoibanong.122@gmail.com918837497650</v>
      </c>
      <c r="M770" s="10" t="s">
        <v>67</v>
      </c>
      <c r="N770" s="4" t="b">
        <v>0</v>
      </c>
      <c r="O770" s="4" t="str">
        <f>VLOOKUP(A770,payment_ids!D:E,2,FALSE)</f>
        <v>card</v>
      </c>
      <c r="P770" s="4" t="s">
        <v>69</v>
      </c>
      <c r="Q770" s="4" t="s">
        <v>3671</v>
      </c>
      <c r="R770" s="4"/>
      <c r="S770" s="12" t="s">
        <v>3624</v>
      </c>
      <c r="T770" s="4" t="s">
        <v>2444</v>
      </c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5"/>
      <c r="AI770" s="5"/>
      <c r="AJ770" s="5"/>
      <c r="AK770" s="5"/>
      <c r="AL770" s="5"/>
    </row>
    <row r="771">
      <c r="A771" s="4" t="str">
        <f>VLOOKUP(L771,payment_ids!C:D,2,FALSE)</f>
        <v>pay_HOTMNHydz5dLFv</v>
      </c>
      <c r="B771" s="4"/>
      <c r="C771" s="4" t="s">
        <v>3618</v>
      </c>
      <c r="D771" s="4">
        <v>50136.0</v>
      </c>
      <c r="E771" s="5"/>
      <c r="F771" s="4">
        <v>6.0</v>
      </c>
      <c r="G771" s="4">
        <v>349.0</v>
      </c>
      <c r="H771" s="4"/>
      <c r="I771" s="4">
        <v>349.0</v>
      </c>
      <c r="J771" s="4" t="s">
        <v>3672</v>
      </c>
      <c r="K771" s="5">
        <f>+918334979168</f>
        <v>918334979168</v>
      </c>
      <c r="L771" s="4" t="str">
        <f t="shared" si="1"/>
        <v>rajeshatmakuri@gmail.com918334979168</v>
      </c>
      <c r="M771" s="10" t="s">
        <v>67</v>
      </c>
      <c r="N771" s="4" t="b">
        <v>0</v>
      </c>
      <c r="O771" s="4" t="str">
        <f>VLOOKUP(A771,payment_ids!D:E,2,FALSE)</f>
        <v>upi</v>
      </c>
      <c r="P771" s="4" t="s">
        <v>69</v>
      </c>
      <c r="Q771" s="4" t="s">
        <v>3673</v>
      </c>
      <c r="R771" s="4"/>
      <c r="S771" s="12" t="s">
        <v>3624</v>
      </c>
      <c r="T771" s="4" t="s">
        <v>2444</v>
      </c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5"/>
      <c r="AI771" s="5"/>
      <c r="AJ771" s="5"/>
      <c r="AK771" s="5"/>
      <c r="AL771" s="5"/>
    </row>
    <row r="772">
      <c r="A772" s="4" t="str">
        <f>VLOOKUP(L772,payment_ids!C:D,2,FALSE)</f>
        <v>pay_HOb1RgsHxsrIDN</v>
      </c>
      <c r="B772" s="4"/>
      <c r="C772" s="4" t="s">
        <v>3618</v>
      </c>
      <c r="D772" s="4">
        <v>50136.0</v>
      </c>
      <c r="E772" s="5"/>
      <c r="F772" s="4">
        <v>1.0</v>
      </c>
      <c r="G772" s="4">
        <v>99.0</v>
      </c>
      <c r="H772" s="4"/>
      <c r="I772" s="4">
        <v>99.0</v>
      </c>
      <c r="J772" s="4" t="s">
        <v>3674</v>
      </c>
      <c r="K772" s="5">
        <f>+919156760744</f>
        <v>919156760744</v>
      </c>
      <c r="L772" s="4" t="str">
        <f t="shared" si="1"/>
        <v>venkateshambala14@gmail.com919156760744</v>
      </c>
      <c r="M772" s="10" t="s">
        <v>67</v>
      </c>
      <c r="N772" s="4" t="b">
        <v>0</v>
      </c>
      <c r="O772" s="4" t="str">
        <f>VLOOKUP(A772,payment_ids!D:E,2,FALSE)</f>
        <v>upi</v>
      </c>
      <c r="P772" s="4" t="s">
        <v>69</v>
      </c>
      <c r="Q772" s="4" t="s">
        <v>3675</v>
      </c>
      <c r="R772" s="4"/>
      <c r="S772" s="12" t="s">
        <v>3624</v>
      </c>
      <c r="T772" s="4" t="s">
        <v>2444</v>
      </c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5"/>
      <c r="AI772" s="5"/>
      <c r="AJ772" s="5"/>
      <c r="AK772" s="5"/>
      <c r="AL772" s="5"/>
    </row>
    <row r="773">
      <c r="A773" s="4" t="str">
        <f>VLOOKUP(L773,payment_ids!C:D,2,FALSE)</f>
        <v>pay_H81sbs3ohgdyKe</v>
      </c>
      <c r="B773" s="4"/>
      <c r="C773" s="4" t="s">
        <v>3618</v>
      </c>
      <c r="D773" s="4">
        <v>50136.0</v>
      </c>
      <c r="E773" s="5"/>
      <c r="F773" s="4">
        <v>3.0</v>
      </c>
      <c r="G773" s="4">
        <v>199.0</v>
      </c>
      <c r="H773" s="4"/>
      <c r="I773" s="4">
        <v>199.0</v>
      </c>
      <c r="J773" s="4" t="s">
        <v>2818</v>
      </c>
      <c r="K773" s="5">
        <f>+919861041424</f>
        <v>919861041424</v>
      </c>
      <c r="L773" s="4" t="str">
        <f t="shared" si="1"/>
        <v>adyaanuragdas@gmail.com919861041424</v>
      </c>
      <c r="M773" s="10" t="s">
        <v>67</v>
      </c>
      <c r="N773" s="4" t="b">
        <v>0</v>
      </c>
      <c r="O773" s="4" t="str">
        <f>VLOOKUP(A773,payment_ids!D:E,2,FALSE)</f>
        <v>upi</v>
      </c>
      <c r="P773" s="4" t="s">
        <v>69</v>
      </c>
      <c r="Q773" s="4" t="s">
        <v>3676</v>
      </c>
      <c r="R773" s="4"/>
      <c r="S773" s="12" t="s">
        <v>3624</v>
      </c>
      <c r="T773" s="4" t="s">
        <v>2444</v>
      </c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5"/>
      <c r="AI773" s="5"/>
      <c r="AJ773" s="5"/>
      <c r="AK773" s="5"/>
      <c r="AL773" s="5"/>
    </row>
    <row r="774">
      <c r="A774" s="4" t="str">
        <f>VLOOKUP(L774,payment_ids!C:D,2,FALSE)</f>
        <v>pay_HOqP03poWzao6F</v>
      </c>
      <c r="B774" s="4"/>
      <c r="C774" s="4" t="s">
        <v>3618</v>
      </c>
      <c r="D774" s="4">
        <v>50136.0</v>
      </c>
      <c r="E774" s="5"/>
      <c r="F774" s="4">
        <v>1.0</v>
      </c>
      <c r="G774" s="4">
        <v>99.0</v>
      </c>
      <c r="H774" s="4"/>
      <c r="I774" s="4">
        <v>99.0</v>
      </c>
      <c r="J774" s="4" t="s">
        <v>3677</v>
      </c>
      <c r="K774" s="5">
        <f>+919818026344</f>
        <v>919818026344</v>
      </c>
      <c r="L774" s="4" t="str">
        <f t="shared" si="1"/>
        <v>sukriti2626@yahoo.in919818026344</v>
      </c>
      <c r="M774" s="10" t="s">
        <v>67</v>
      </c>
      <c r="N774" s="4" t="b">
        <v>0</v>
      </c>
      <c r="O774" s="4" t="str">
        <f>VLOOKUP(A774,payment_ids!D:E,2,FALSE)</f>
        <v>upi</v>
      </c>
      <c r="P774" s="4" t="s">
        <v>69</v>
      </c>
      <c r="Q774" s="4" t="s">
        <v>3678</v>
      </c>
      <c r="R774" s="4"/>
      <c r="S774" s="12" t="s">
        <v>3624</v>
      </c>
      <c r="T774" s="4" t="s">
        <v>2444</v>
      </c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5"/>
      <c r="AI774" s="5"/>
      <c r="AJ774" s="5"/>
      <c r="AK774" s="5"/>
      <c r="AL774" s="5"/>
    </row>
    <row r="775">
      <c r="A775" s="4" t="str">
        <f>VLOOKUP(L775,payment_ids!C:D,2,FALSE)</f>
        <v>pay_HOqXpIcdPrm4fJ</v>
      </c>
      <c r="B775" s="4"/>
      <c r="C775" s="4" t="s">
        <v>3618</v>
      </c>
      <c r="D775" s="4">
        <v>50136.0</v>
      </c>
      <c r="E775" s="5"/>
      <c r="F775" s="4">
        <v>1.0</v>
      </c>
      <c r="G775" s="4">
        <v>99.0</v>
      </c>
      <c r="H775" s="4"/>
      <c r="I775" s="4">
        <v>99.0</v>
      </c>
      <c r="J775" s="4" t="s">
        <v>3679</v>
      </c>
      <c r="K775" s="5">
        <f>+918087144416</f>
        <v>918087144416</v>
      </c>
      <c r="L775" s="4" t="str">
        <f t="shared" si="1"/>
        <v>nirajshah51@gmail.com918087144416</v>
      </c>
      <c r="M775" s="10" t="s">
        <v>67</v>
      </c>
      <c r="N775" s="4" t="b">
        <v>0</v>
      </c>
      <c r="O775" s="4" t="str">
        <f>VLOOKUP(A775,payment_ids!D:E,2,FALSE)</f>
        <v>upi</v>
      </c>
      <c r="P775" s="4" t="s">
        <v>69</v>
      </c>
      <c r="Q775" s="4" t="s">
        <v>3680</v>
      </c>
      <c r="R775" s="4"/>
      <c r="S775" s="12" t="s">
        <v>3624</v>
      </c>
      <c r="T775" s="4" t="s">
        <v>2444</v>
      </c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5"/>
      <c r="AI775" s="5"/>
      <c r="AJ775" s="5"/>
      <c r="AK775" s="5"/>
      <c r="AL775" s="5"/>
    </row>
    <row r="776">
      <c r="A776" s="4" t="str">
        <f>VLOOKUP(L776,payment_ids!C:D,2,FALSE)</f>
        <v>pay_HOtYZnPzNgOTyl</v>
      </c>
      <c r="B776" s="4"/>
      <c r="C776" s="4" t="s">
        <v>3618</v>
      </c>
      <c r="D776" s="4">
        <v>50136.0</v>
      </c>
      <c r="E776" s="5"/>
      <c r="F776" s="4">
        <v>6.0</v>
      </c>
      <c r="G776" s="4">
        <v>349.0</v>
      </c>
      <c r="H776" s="4"/>
      <c r="I776" s="4">
        <v>349.0</v>
      </c>
      <c r="J776" s="4" t="s">
        <v>3681</v>
      </c>
      <c r="K776" s="5">
        <f>+919005800063</f>
        <v>919005800063</v>
      </c>
      <c r="L776" s="4" t="str">
        <f t="shared" si="1"/>
        <v>soodio@neogi.com919005800063</v>
      </c>
      <c r="M776" s="10" t="s">
        <v>67</v>
      </c>
      <c r="N776" s="4" t="b">
        <v>0</v>
      </c>
      <c r="O776" s="4" t="str">
        <f>VLOOKUP(A776,payment_ids!D:E,2,FALSE)</f>
        <v>upi</v>
      </c>
      <c r="P776" s="4" t="s">
        <v>69</v>
      </c>
      <c r="Q776" s="4" t="s">
        <v>3682</v>
      </c>
      <c r="R776" s="4"/>
      <c r="S776" s="12" t="s">
        <v>3624</v>
      </c>
      <c r="T776" s="4" t="s">
        <v>2444</v>
      </c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5"/>
      <c r="AI776" s="5"/>
      <c r="AJ776" s="5"/>
      <c r="AK776" s="5"/>
      <c r="AL776" s="5"/>
    </row>
    <row r="777">
      <c r="A777" s="4" t="str">
        <f>VLOOKUP(L777,payment_ids!C:D,2,FALSE)</f>
        <v>pay_HOzGvCd0RAXOxi</v>
      </c>
      <c r="B777" s="4"/>
      <c r="C777" s="4" t="s">
        <v>3618</v>
      </c>
      <c r="D777" s="4">
        <v>50136.0</v>
      </c>
      <c r="E777" s="5"/>
      <c r="F777" s="4">
        <v>1.0</v>
      </c>
      <c r="G777" s="4">
        <v>99.0</v>
      </c>
      <c r="H777" s="4"/>
      <c r="I777" s="4">
        <v>99.0</v>
      </c>
      <c r="J777" s="4" t="s">
        <v>3683</v>
      </c>
      <c r="K777" s="5">
        <f>+919059990307</f>
        <v>919059990307</v>
      </c>
      <c r="L777" s="4" t="str">
        <f t="shared" si="1"/>
        <v>kbsdental@gmail.com919059990307</v>
      </c>
      <c r="M777" s="10" t="s">
        <v>67</v>
      </c>
      <c r="N777" s="4" t="b">
        <v>0</v>
      </c>
      <c r="O777" s="4" t="str">
        <f>VLOOKUP(A777,payment_ids!D:E,2,FALSE)</f>
        <v>upi</v>
      </c>
      <c r="P777" s="4" t="s">
        <v>69</v>
      </c>
      <c r="Q777" s="4" t="s">
        <v>3684</v>
      </c>
      <c r="R777" s="4"/>
      <c r="S777" s="12" t="s">
        <v>3624</v>
      </c>
      <c r="T777" s="4" t="s">
        <v>2444</v>
      </c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5"/>
      <c r="AI777" s="5"/>
      <c r="AJ777" s="5"/>
      <c r="AK777" s="5"/>
      <c r="AL777" s="5"/>
    </row>
    <row r="778">
      <c r="A778" s="4" t="str">
        <f>VLOOKUP(L778,payment_ids!C:D,2,FALSE)</f>
        <v>pay_HFZmTRAoEVhHle</v>
      </c>
      <c r="B778" s="4"/>
      <c r="C778" s="4" t="s">
        <v>3618</v>
      </c>
      <c r="D778" s="4">
        <v>50136.0</v>
      </c>
      <c r="E778" s="5"/>
      <c r="F778" s="4">
        <v>1.0</v>
      </c>
      <c r="G778" s="4">
        <v>99.0</v>
      </c>
      <c r="H778" s="4"/>
      <c r="I778" s="4">
        <v>99.0</v>
      </c>
      <c r="J778" s="4" t="s">
        <v>374</v>
      </c>
      <c r="K778" s="5">
        <f>+918454085091</f>
        <v>918454085091</v>
      </c>
      <c r="L778" s="4" t="str">
        <f t="shared" si="1"/>
        <v>satish37.tripathi@gmail.com918454085091</v>
      </c>
      <c r="M778" s="10" t="s">
        <v>67</v>
      </c>
      <c r="N778" s="4" t="b">
        <v>0</v>
      </c>
      <c r="O778" s="4" t="str">
        <f>VLOOKUP(A778,payment_ids!D:E,2,FALSE)</f>
        <v>upi</v>
      </c>
      <c r="P778" s="4" t="s">
        <v>69</v>
      </c>
      <c r="Q778" s="4" t="s">
        <v>3685</v>
      </c>
      <c r="R778" s="4"/>
      <c r="S778" s="12" t="s">
        <v>3621</v>
      </c>
      <c r="T778" s="4" t="s">
        <v>2444</v>
      </c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5"/>
      <c r="AI778" s="5"/>
      <c r="AJ778" s="5"/>
      <c r="AK778" s="5"/>
      <c r="AL778" s="5"/>
    </row>
    <row r="779">
      <c r="A779" s="4" t="str">
        <f>VLOOKUP(L779,payment_ids!C:D,2,FALSE)</f>
        <v>pay_HPCUVsWeIBuOKq</v>
      </c>
      <c r="B779" s="4"/>
      <c r="C779" s="4" t="s">
        <v>3618</v>
      </c>
      <c r="D779" s="4">
        <v>50136.0</v>
      </c>
      <c r="E779" s="5"/>
      <c r="F779" s="4">
        <v>6.0</v>
      </c>
      <c r="G779" s="4">
        <v>349.0</v>
      </c>
      <c r="H779" s="4"/>
      <c r="I779" s="4">
        <v>349.0</v>
      </c>
      <c r="J779" s="4" t="s">
        <v>3686</v>
      </c>
      <c r="K779" s="5">
        <f>+919168499108</f>
        <v>919168499108</v>
      </c>
      <c r="L779" s="4" t="str">
        <f t="shared" si="1"/>
        <v>venkattadkod@yahoo.com919168499108</v>
      </c>
      <c r="M779" s="10" t="s">
        <v>67</v>
      </c>
      <c r="N779" s="4" t="b">
        <v>0</v>
      </c>
      <c r="O779" s="4" t="str">
        <f>VLOOKUP(A779,payment_ids!D:E,2,FALSE)</f>
        <v>upi</v>
      </c>
      <c r="P779" s="4" t="s">
        <v>69</v>
      </c>
      <c r="Q779" s="4" t="s">
        <v>3687</v>
      </c>
      <c r="R779" s="4"/>
      <c r="S779" s="12" t="s">
        <v>3624</v>
      </c>
      <c r="T779" s="4" t="s">
        <v>2444</v>
      </c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5"/>
      <c r="AI779" s="5"/>
      <c r="AJ779" s="5"/>
      <c r="AK779" s="5"/>
      <c r="AL779" s="5"/>
    </row>
    <row r="780">
      <c r="A780" s="4" t="str">
        <f>VLOOKUP(L780,payment_ids!C:D,2,FALSE)</f>
        <v>pay_HPH1bk9GIrygaX</v>
      </c>
      <c r="B780" s="4"/>
      <c r="C780" s="4" t="s">
        <v>3618</v>
      </c>
      <c r="D780" s="4">
        <v>50136.0</v>
      </c>
      <c r="E780" s="5"/>
      <c r="F780" s="4">
        <v>1.0</v>
      </c>
      <c r="G780" s="4">
        <v>99.0</v>
      </c>
      <c r="H780" s="4"/>
      <c r="I780" s="4">
        <v>99.0</v>
      </c>
      <c r="J780" s="4" t="s">
        <v>3688</v>
      </c>
      <c r="K780" s="5">
        <f>+919769249122</f>
        <v>919769249122</v>
      </c>
      <c r="L780" s="4" t="str">
        <f t="shared" si="1"/>
        <v>arvindreddy191@gmail.com919769249122</v>
      </c>
      <c r="M780" s="10" t="s">
        <v>67</v>
      </c>
      <c r="N780" s="4" t="b">
        <v>0</v>
      </c>
      <c r="O780" s="4" t="str">
        <f>VLOOKUP(A780,payment_ids!D:E,2,FALSE)</f>
        <v>upi</v>
      </c>
      <c r="P780" s="4" t="s">
        <v>69</v>
      </c>
      <c r="Q780" s="4" t="s">
        <v>3689</v>
      </c>
      <c r="R780" s="4"/>
      <c r="S780" s="12" t="s">
        <v>3621</v>
      </c>
      <c r="T780" s="4" t="s">
        <v>2444</v>
      </c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5"/>
      <c r="AI780" s="5"/>
      <c r="AJ780" s="5"/>
      <c r="AK780" s="5"/>
      <c r="AL780" s="5"/>
    </row>
    <row r="781">
      <c r="A781" s="4" t="str">
        <f>VLOOKUP(L781,payment_ids!C:D,2,FALSE)</f>
        <v>pay_HPMsHyHFweyhMH</v>
      </c>
      <c r="B781" s="4"/>
      <c r="C781" s="4" t="s">
        <v>3618</v>
      </c>
      <c r="D781" s="4">
        <v>50136.0</v>
      </c>
      <c r="E781" s="5"/>
      <c r="F781" s="4">
        <v>1.0</v>
      </c>
      <c r="G781" s="4">
        <v>99.0</v>
      </c>
      <c r="H781" s="4"/>
      <c r="I781" s="4">
        <v>99.0</v>
      </c>
      <c r="J781" s="4" t="s">
        <v>3690</v>
      </c>
      <c r="K781" s="5">
        <f>+919037375497</f>
        <v>919037375497</v>
      </c>
      <c r="L781" s="4" t="str">
        <f t="shared" si="1"/>
        <v>harikumar.vishnu46@gmail.com919037375497</v>
      </c>
      <c r="M781" s="10" t="s">
        <v>67</v>
      </c>
      <c r="N781" s="4" t="b">
        <v>0</v>
      </c>
      <c r="O781" s="4" t="str">
        <f>VLOOKUP(A781,payment_ids!D:E,2,FALSE)</f>
        <v>upi</v>
      </c>
      <c r="P781" s="4" t="s">
        <v>69</v>
      </c>
      <c r="Q781" s="4" t="s">
        <v>3691</v>
      </c>
      <c r="R781" s="4"/>
      <c r="S781" s="12" t="s">
        <v>3624</v>
      </c>
      <c r="T781" s="4" t="s">
        <v>2444</v>
      </c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5"/>
      <c r="AI781" s="5"/>
      <c r="AJ781" s="5"/>
      <c r="AK781" s="5"/>
      <c r="AL781" s="5"/>
    </row>
    <row r="782">
      <c r="A782" s="4" t="str">
        <f>VLOOKUP(L782,payment_ids!C:D,2,FALSE)</f>
        <v>pay_HPN7DaVBxGAMOc</v>
      </c>
      <c r="B782" s="4"/>
      <c r="C782" s="4" t="s">
        <v>3618</v>
      </c>
      <c r="D782" s="4">
        <v>50136.0</v>
      </c>
      <c r="E782" s="5"/>
      <c r="F782" s="4">
        <v>1.0</v>
      </c>
      <c r="G782" s="4">
        <v>99.0</v>
      </c>
      <c r="H782" s="4"/>
      <c r="I782" s="4">
        <v>99.0</v>
      </c>
      <c r="J782" s="4" t="s">
        <v>3692</v>
      </c>
      <c r="K782" s="5">
        <f>+919820023714</f>
        <v>919820023714</v>
      </c>
      <c r="L782" s="4" t="str">
        <f t="shared" si="1"/>
        <v>keswanik@gmail.com919820023714</v>
      </c>
      <c r="M782" s="10" t="s">
        <v>67</v>
      </c>
      <c r="N782" s="4" t="b">
        <v>0</v>
      </c>
      <c r="O782" s="4" t="str">
        <f>VLOOKUP(A782,payment_ids!D:E,2,FALSE)</f>
        <v>card</v>
      </c>
      <c r="P782" s="4" t="s">
        <v>69</v>
      </c>
      <c r="Q782" s="4" t="s">
        <v>3693</v>
      </c>
      <c r="R782" s="4"/>
      <c r="S782" s="12" t="s">
        <v>3624</v>
      </c>
      <c r="T782" s="4" t="s">
        <v>2444</v>
      </c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5"/>
      <c r="AI782" s="5"/>
      <c r="AJ782" s="5"/>
      <c r="AK782" s="5"/>
      <c r="AL782" s="5"/>
    </row>
    <row r="783">
      <c r="A783" s="4" t="str">
        <f>VLOOKUP(L783,payment_ids!C:D,2,FALSE)</f>
        <v>pay_HPNEF6iTht0JGN</v>
      </c>
      <c r="B783" s="4"/>
      <c r="C783" s="4" t="s">
        <v>3618</v>
      </c>
      <c r="D783" s="4">
        <v>50136.0</v>
      </c>
      <c r="E783" s="5"/>
      <c r="F783" s="4">
        <v>1.0</v>
      </c>
      <c r="G783" s="4">
        <v>99.0</v>
      </c>
      <c r="H783" s="4"/>
      <c r="I783" s="4">
        <v>99.0</v>
      </c>
      <c r="J783" s="4" t="s">
        <v>3694</v>
      </c>
      <c r="K783" s="5">
        <f>+919026811234</f>
        <v>919026811234</v>
      </c>
      <c r="L783" s="4" t="str">
        <f t="shared" si="1"/>
        <v>ksuriya0304@gmail.com919026811234</v>
      </c>
      <c r="M783" s="10" t="s">
        <v>67</v>
      </c>
      <c r="N783" s="4" t="b">
        <v>0</v>
      </c>
      <c r="O783" s="4" t="str">
        <f>VLOOKUP(A783,payment_ids!D:E,2,FALSE)</f>
        <v>upi</v>
      </c>
      <c r="P783" s="4" t="s">
        <v>69</v>
      </c>
      <c r="Q783" s="4" t="s">
        <v>3695</v>
      </c>
      <c r="R783" s="4"/>
      <c r="S783" s="12" t="s">
        <v>3621</v>
      </c>
      <c r="T783" s="4" t="s">
        <v>2444</v>
      </c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5"/>
      <c r="AI783" s="5"/>
      <c r="AJ783" s="5"/>
      <c r="AK783" s="5"/>
      <c r="AL783" s="5"/>
    </row>
    <row r="784">
      <c r="A784" s="4" t="str">
        <f>VLOOKUP(L784,payment_ids!C:D,2,FALSE)</f>
        <v>pay_HPYpgUdzRDhlVI</v>
      </c>
      <c r="B784" s="4"/>
      <c r="C784" s="4" t="s">
        <v>3618</v>
      </c>
      <c r="D784" s="4">
        <v>50136.0</v>
      </c>
      <c r="E784" s="5"/>
      <c r="F784" s="4">
        <v>1.0</v>
      </c>
      <c r="G784" s="4">
        <v>99.0</v>
      </c>
      <c r="H784" s="4"/>
      <c r="I784" s="4">
        <v>99.0</v>
      </c>
      <c r="J784" s="4" t="s">
        <v>3696</v>
      </c>
      <c r="K784" s="5">
        <f>+919810013434</f>
        <v>919810013434</v>
      </c>
      <c r="L784" s="4" t="str">
        <f t="shared" si="1"/>
        <v>sandeep1872@gmail.com919810013434</v>
      </c>
      <c r="M784" s="10" t="s">
        <v>67</v>
      </c>
      <c r="N784" s="4" t="b">
        <v>0</v>
      </c>
      <c r="O784" s="4" t="str">
        <f>VLOOKUP(A784,payment_ids!D:E,2,FALSE)</f>
        <v>card</v>
      </c>
      <c r="P784" s="4" t="s">
        <v>69</v>
      </c>
      <c r="Q784" s="4" t="s">
        <v>3697</v>
      </c>
      <c r="R784" s="4"/>
      <c r="S784" s="12" t="s">
        <v>3624</v>
      </c>
      <c r="T784" s="4" t="s">
        <v>2444</v>
      </c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5"/>
      <c r="AI784" s="5"/>
      <c r="AJ784" s="5"/>
      <c r="AK784" s="5"/>
      <c r="AL784" s="5"/>
    </row>
    <row r="785">
      <c r="A785" s="4" t="str">
        <f>VLOOKUP(L785,payment_ids!C:D,2,FALSE)</f>
        <v>pay_HPc9VpxWDntq1c</v>
      </c>
      <c r="B785" s="4"/>
      <c r="C785" s="4" t="s">
        <v>3618</v>
      </c>
      <c r="D785" s="4">
        <v>50136.0</v>
      </c>
      <c r="E785" s="5"/>
      <c r="F785" s="4">
        <v>1.0</v>
      </c>
      <c r="G785" s="4">
        <v>99.0</v>
      </c>
      <c r="H785" s="4"/>
      <c r="I785" s="4">
        <v>99.0</v>
      </c>
      <c r="J785" s="4" t="s">
        <v>3698</v>
      </c>
      <c r="K785" s="5">
        <f>+919168114657</f>
        <v>919168114657</v>
      </c>
      <c r="L785" s="4" t="str">
        <f t="shared" si="1"/>
        <v>amaansakware4249@gmail.com919168114657</v>
      </c>
      <c r="M785" s="10" t="s">
        <v>67</v>
      </c>
      <c r="N785" s="4" t="b">
        <v>0</v>
      </c>
      <c r="O785" s="4" t="str">
        <f>VLOOKUP(A785,payment_ids!D:E,2,FALSE)</f>
        <v>upi</v>
      </c>
      <c r="P785" s="4" t="s">
        <v>69</v>
      </c>
      <c r="Q785" s="4" t="s">
        <v>3699</v>
      </c>
      <c r="R785" s="4"/>
      <c r="S785" s="12" t="s">
        <v>3624</v>
      </c>
      <c r="T785" s="4" t="s">
        <v>2444</v>
      </c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5"/>
      <c r="AI785" s="5"/>
      <c r="AJ785" s="5"/>
      <c r="AK785" s="5"/>
      <c r="AL785" s="5"/>
    </row>
    <row r="786">
      <c r="A786" s="4" t="str">
        <f>VLOOKUP(L786,payment_ids!C:D,2,FALSE)</f>
        <v>pay_HPdoQTO2dy697L</v>
      </c>
      <c r="B786" s="4"/>
      <c r="C786" s="4" t="s">
        <v>3618</v>
      </c>
      <c r="D786" s="4">
        <v>50136.0</v>
      </c>
      <c r="E786" s="5"/>
      <c r="F786" s="4">
        <v>1.0</v>
      </c>
      <c r="G786" s="4">
        <v>99.0</v>
      </c>
      <c r="H786" s="4"/>
      <c r="I786" s="4">
        <v>99.0</v>
      </c>
      <c r="J786" s="4" t="s">
        <v>3700</v>
      </c>
      <c r="K786" s="5">
        <f>+919338244662</f>
        <v>919338244662</v>
      </c>
      <c r="L786" s="4" t="str">
        <f t="shared" si="1"/>
        <v>bibhudutt.pattnaik@gmail.com919338244662</v>
      </c>
      <c r="M786" s="10" t="s">
        <v>67</v>
      </c>
      <c r="N786" s="4" t="b">
        <v>0</v>
      </c>
      <c r="O786" s="4" t="str">
        <f>VLOOKUP(A786,payment_ids!D:E,2,FALSE)</f>
        <v>upi</v>
      </c>
      <c r="P786" s="4" t="s">
        <v>69</v>
      </c>
      <c r="Q786" s="4" t="s">
        <v>3701</v>
      </c>
      <c r="R786" s="4"/>
      <c r="S786" s="12" t="s">
        <v>3624</v>
      </c>
      <c r="T786" s="4" t="s">
        <v>2444</v>
      </c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5"/>
      <c r="AI786" s="5"/>
      <c r="AJ786" s="5"/>
      <c r="AK786" s="5"/>
      <c r="AL786" s="5"/>
    </row>
    <row r="787">
      <c r="A787" s="4" t="str">
        <f>VLOOKUP(L787,payment_ids!C:D,2,FALSE)</f>
        <v>pay_HPtQg3GUcwKXXd</v>
      </c>
      <c r="B787" s="4"/>
      <c r="C787" s="4" t="s">
        <v>3618</v>
      </c>
      <c r="D787" s="4">
        <v>50136.0</v>
      </c>
      <c r="E787" s="5"/>
      <c r="F787" s="4">
        <v>6.0</v>
      </c>
      <c r="G787" s="4">
        <v>349.0</v>
      </c>
      <c r="H787" s="4"/>
      <c r="I787" s="4">
        <v>349.0</v>
      </c>
      <c r="J787" s="4" t="s">
        <v>3702</v>
      </c>
      <c r="K787" s="5">
        <f>+918512082767</f>
        <v>918512082767</v>
      </c>
      <c r="L787" s="4" t="str">
        <f t="shared" si="1"/>
        <v>ashish.dsc@gmail.com918512082767</v>
      </c>
      <c r="M787" s="10" t="s">
        <v>67</v>
      </c>
      <c r="N787" s="4" t="b">
        <v>0</v>
      </c>
      <c r="O787" s="4" t="str">
        <f>VLOOKUP(A787,payment_ids!D:E,2,FALSE)</f>
        <v>wallet</v>
      </c>
      <c r="P787" s="4" t="s">
        <v>69</v>
      </c>
      <c r="Q787" s="4" t="s">
        <v>3703</v>
      </c>
      <c r="R787" s="4"/>
      <c r="S787" s="12" t="s">
        <v>3624</v>
      </c>
      <c r="T787" s="4" t="s">
        <v>2444</v>
      </c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5"/>
      <c r="AI787" s="5"/>
      <c r="AJ787" s="5"/>
      <c r="AK787" s="5"/>
      <c r="AL787" s="5"/>
    </row>
    <row r="788">
      <c r="A788" s="4" t="str">
        <f>VLOOKUP(L788,payment_ids!C:D,2,FALSE)</f>
        <v>pay_HQ0twuftkHEvTq</v>
      </c>
      <c r="B788" s="4"/>
      <c r="C788" s="4" t="s">
        <v>3618</v>
      </c>
      <c r="D788" s="4">
        <v>50136.0</v>
      </c>
      <c r="E788" s="5"/>
      <c r="F788" s="4">
        <v>6.0</v>
      </c>
      <c r="G788" s="4">
        <v>349.0</v>
      </c>
      <c r="H788" s="4"/>
      <c r="I788" s="4">
        <v>349.0</v>
      </c>
      <c r="J788" s="4" t="s">
        <v>3704</v>
      </c>
      <c r="K788" s="5">
        <f>+919880412599</f>
        <v>919880412599</v>
      </c>
      <c r="L788" s="4" t="str">
        <f t="shared" si="1"/>
        <v>ashwin76@gmail.com919880412599</v>
      </c>
      <c r="M788" s="10" t="s">
        <v>67</v>
      </c>
      <c r="N788" s="4" t="b">
        <v>0</v>
      </c>
      <c r="O788" s="4" t="str">
        <f>VLOOKUP(A788,payment_ids!D:E,2,FALSE)</f>
        <v>upi</v>
      </c>
      <c r="P788" s="4" t="s">
        <v>69</v>
      </c>
      <c r="Q788" s="4" t="s">
        <v>3705</v>
      </c>
      <c r="R788" s="4"/>
      <c r="S788" s="12" t="s">
        <v>3624</v>
      </c>
      <c r="T788" s="4" t="s">
        <v>2444</v>
      </c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5"/>
      <c r="AI788" s="5"/>
      <c r="AJ788" s="5"/>
      <c r="AK788" s="5"/>
      <c r="AL788" s="5"/>
    </row>
    <row r="789">
      <c r="A789" s="4" t="str">
        <f>VLOOKUP(L789,payment_ids!C:D,2,FALSE)</f>
        <v>pay_HQ28lvS25FsI91</v>
      </c>
      <c r="B789" s="4"/>
      <c r="C789" s="4" t="s">
        <v>3618</v>
      </c>
      <c r="D789" s="4">
        <v>50136.0</v>
      </c>
      <c r="E789" s="5"/>
      <c r="F789" s="4">
        <v>1.0</v>
      </c>
      <c r="G789" s="4">
        <v>99.0</v>
      </c>
      <c r="H789" s="4"/>
      <c r="I789" s="4">
        <v>99.0</v>
      </c>
      <c r="J789" s="4" t="s">
        <v>3706</v>
      </c>
      <c r="K789" s="5">
        <f>+919591104324</f>
        <v>919591104324</v>
      </c>
      <c r="L789" s="4" t="str">
        <f t="shared" si="1"/>
        <v>vishwasvish1998@gmail.com919591104324</v>
      </c>
      <c r="M789" s="10" t="s">
        <v>67</v>
      </c>
      <c r="N789" s="4" t="b">
        <v>0</v>
      </c>
      <c r="O789" s="4" t="str">
        <f>VLOOKUP(A789,payment_ids!D:E,2,FALSE)</f>
        <v>upi</v>
      </c>
      <c r="P789" s="4" t="s">
        <v>69</v>
      </c>
      <c r="Q789" s="4" t="s">
        <v>3707</v>
      </c>
      <c r="R789" s="4"/>
      <c r="S789" s="12" t="s">
        <v>3624</v>
      </c>
      <c r="T789" s="4" t="s">
        <v>2444</v>
      </c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5"/>
      <c r="AI789" s="5"/>
      <c r="AJ789" s="5"/>
      <c r="AK789" s="5"/>
      <c r="AL789" s="5"/>
    </row>
    <row r="790">
      <c r="A790" s="4" t="str">
        <f>VLOOKUP(L790,payment_ids!C:D,2,FALSE)</f>
        <v>pay_HI7JwCOf8LNIqC</v>
      </c>
      <c r="B790" s="4"/>
      <c r="C790" s="4" t="s">
        <v>3708</v>
      </c>
      <c r="D790" s="4">
        <v>50104.0</v>
      </c>
      <c r="E790" s="5"/>
      <c r="F790" s="4">
        <v>1.0</v>
      </c>
      <c r="G790" s="4">
        <v>99.0</v>
      </c>
      <c r="H790" s="4"/>
      <c r="I790" s="4">
        <v>99.0</v>
      </c>
      <c r="J790" s="4" t="s">
        <v>3709</v>
      </c>
      <c r="K790" s="5">
        <f>+917550286753</f>
        <v>917550286753</v>
      </c>
      <c r="L790" s="4" t="str">
        <f t="shared" si="1"/>
        <v>brindhals052@gmail.com917550286753</v>
      </c>
      <c r="M790" s="10" t="s">
        <v>67</v>
      </c>
      <c r="N790" s="4" t="b">
        <v>0</v>
      </c>
      <c r="O790" s="4" t="str">
        <f>VLOOKUP(A790,payment_ids!D:E,2,FALSE)</f>
        <v>card</v>
      </c>
      <c r="P790" s="4" t="s">
        <v>69</v>
      </c>
      <c r="Q790" s="11">
        <v>44233.5625</v>
      </c>
      <c r="R790" s="4"/>
      <c r="S790" s="12" t="s">
        <v>3710</v>
      </c>
      <c r="T790" s="5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5"/>
      <c r="AI790" s="5"/>
      <c r="AJ790" s="5"/>
      <c r="AK790" s="5"/>
      <c r="AL790" s="5"/>
    </row>
    <row r="791">
      <c r="A791" s="4" t="str">
        <f>VLOOKUP(L791,payment_ids!C:D,2,FALSE)</f>
        <v>pay_HIDZtVphhMiUwp</v>
      </c>
      <c r="B791" s="4"/>
      <c r="C791" s="4" t="s">
        <v>3708</v>
      </c>
      <c r="D791" s="4">
        <v>50104.0</v>
      </c>
      <c r="E791" s="5"/>
      <c r="F791" s="4">
        <v>3.0</v>
      </c>
      <c r="G791" s="4">
        <v>199.0</v>
      </c>
      <c r="H791" s="4"/>
      <c r="I791" s="4">
        <v>199.0</v>
      </c>
      <c r="J791" s="4" t="s">
        <v>3711</v>
      </c>
      <c r="K791" s="5">
        <f>+919488509982</f>
        <v>919488509982</v>
      </c>
      <c r="L791" s="4" t="str">
        <f t="shared" si="1"/>
        <v>landlinlanson23@gmail.com919488509982</v>
      </c>
      <c r="M791" s="10" t="s">
        <v>67</v>
      </c>
      <c r="N791" s="4" t="b">
        <v>0</v>
      </c>
      <c r="O791" s="4" t="str">
        <f>VLOOKUP(A791,payment_ids!D:E,2,FALSE)</f>
        <v>upi</v>
      </c>
      <c r="P791" s="4" t="s">
        <v>69</v>
      </c>
      <c r="Q791" s="11">
        <v>44233.81805555556</v>
      </c>
      <c r="R791" s="4"/>
      <c r="S791" s="12" t="s">
        <v>3710</v>
      </c>
      <c r="T791" s="5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5"/>
      <c r="AI791" s="5"/>
      <c r="AJ791" s="5"/>
      <c r="AK791" s="5"/>
      <c r="AL791" s="5"/>
    </row>
    <row r="792">
      <c r="A792" s="4" t="str">
        <f>VLOOKUP(L792,payment_ids!C:D,2,FALSE)</f>
        <v>pay_HIdgIhj3Hvhhrr</v>
      </c>
      <c r="B792" s="4"/>
      <c r="C792" s="4" t="s">
        <v>3708</v>
      </c>
      <c r="D792" s="4">
        <v>50104.0</v>
      </c>
      <c r="E792" s="5"/>
      <c r="F792" s="4">
        <v>3.0</v>
      </c>
      <c r="G792" s="4">
        <v>199.0</v>
      </c>
      <c r="H792" s="4"/>
      <c r="I792" s="4">
        <v>199.0</v>
      </c>
      <c r="J792" s="4" t="s">
        <v>3712</v>
      </c>
      <c r="K792" s="5">
        <f>+919940022321</f>
        <v>919940022321</v>
      </c>
      <c r="L792" s="4" t="str">
        <f t="shared" si="1"/>
        <v>jnshiva@gmail.com919940022321</v>
      </c>
      <c r="M792" s="10" t="s">
        <v>67</v>
      </c>
      <c r="N792" s="4" t="b">
        <v>0</v>
      </c>
      <c r="O792" s="4" t="str">
        <f>VLOOKUP(A792,payment_ids!D:E,2,FALSE)</f>
        <v>netbanking</v>
      </c>
      <c r="P792" s="4" t="s">
        <v>69</v>
      </c>
      <c r="Q792" s="11">
        <v>44261.881944444445</v>
      </c>
      <c r="R792" s="4"/>
      <c r="S792" s="12" t="s">
        <v>3710</v>
      </c>
      <c r="T792" s="5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5"/>
      <c r="AI792" s="5"/>
      <c r="AJ792" s="5"/>
      <c r="AK792" s="5"/>
      <c r="AL792" s="5"/>
    </row>
    <row r="793">
      <c r="A793" s="4" t="str">
        <f>VLOOKUP(L793,payment_ids!C:D,2,FALSE)</f>
        <v>pay_HJjL2GBFHu1GF7</v>
      </c>
      <c r="B793" s="4"/>
      <c r="C793" s="4" t="s">
        <v>3708</v>
      </c>
      <c r="D793" s="4">
        <v>50104.0</v>
      </c>
      <c r="E793" s="5"/>
      <c r="F793" s="4">
        <v>1.0</v>
      </c>
      <c r="G793" s="4">
        <v>99.0</v>
      </c>
      <c r="H793" s="4"/>
      <c r="I793" s="4">
        <v>99.0</v>
      </c>
      <c r="J793" s="4" t="s">
        <v>3713</v>
      </c>
      <c r="K793" s="5">
        <f>+918894882544</f>
        <v>918894882544</v>
      </c>
      <c r="L793" s="4" t="str">
        <f t="shared" si="1"/>
        <v>munishsharma3644@gmail.com918894882544</v>
      </c>
      <c r="M793" s="10" t="s">
        <v>67</v>
      </c>
      <c r="N793" s="4" t="b">
        <v>0</v>
      </c>
      <c r="O793" s="4" t="str">
        <f>VLOOKUP(A793,payment_ids!D:E,2,FALSE)</f>
        <v>upi</v>
      </c>
      <c r="P793" s="4" t="s">
        <v>69</v>
      </c>
      <c r="Q793" s="11">
        <v>44353.63888888889</v>
      </c>
      <c r="R793" s="4"/>
      <c r="S793" s="12" t="s">
        <v>3710</v>
      </c>
      <c r="T793" s="5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5"/>
      <c r="AI793" s="5"/>
      <c r="AJ793" s="5"/>
      <c r="AK793" s="5"/>
      <c r="AL793" s="5"/>
    </row>
    <row r="794">
      <c r="A794" s="4" t="str">
        <f>VLOOKUP(L794,payment_ids!C:D,2,FALSE)</f>
        <v>pay_HJmtVnK7yOiQxt</v>
      </c>
      <c r="B794" s="4"/>
      <c r="C794" s="4" t="s">
        <v>3708</v>
      </c>
      <c r="D794" s="4">
        <v>50104.0</v>
      </c>
      <c r="E794" s="5"/>
      <c r="F794" s="4">
        <v>6.0</v>
      </c>
      <c r="G794" s="4">
        <v>349.0</v>
      </c>
      <c r="H794" s="4"/>
      <c r="I794" s="4">
        <v>349.0</v>
      </c>
      <c r="J794" s="4" t="s">
        <v>3714</v>
      </c>
      <c r="K794" s="5">
        <f>+919988251725</f>
        <v>919988251725</v>
      </c>
      <c r="L794" s="4" t="str">
        <f t="shared" si="1"/>
        <v>lavanyaarora1996@gmail.com919988251725</v>
      </c>
      <c r="M794" s="10" t="s">
        <v>67</v>
      </c>
      <c r="N794" s="4" t="b">
        <v>0</v>
      </c>
      <c r="O794" s="4" t="str">
        <f>VLOOKUP(A794,payment_ids!D:E,2,FALSE)</f>
        <v>upi</v>
      </c>
      <c r="P794" s="4" t="s">
        <v>69</v>
      </c>
      <c r="Q794" s="11">
        <v>44353.78402777778</v>
      </c>
      <c r="R794" s="4"/>
      <c r="S794" s="12" t="s">
        <v>3710</v>
      </c>
      <c r="T794" s="5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5"/>
      <c r="AI794" s="5"/>
      <c r="AJ794" s="5"/>
      <c r="AK794" s="5"/>
      <c r="AL794" s="5"/>
    </row>
    <row r="795">
      <c r="A795" s="4" t="str">
        <f>VLOOKUP(L795,payment_ids!C:D,2,FALSE)</f>
        <v>pay_HK3wQ9Xsh8JTv2</v>
      </c>
      <c r="B795" s="4"/>
      <c r="C795" s="4" t="s">
        <v>3708</v>
      </c>
      <c r="D795" s="4">
        <v>50104.0</v>
      </c>
      <c r="E795" s="5"/>
      <c r="F795" s="4">
        <v>1.0</v>
      </c>
      <c r="G795" s="4">
        <v>99.0</v>
      </c>
      <c r="H795" s="4"/>
      <c r="I795" s="4">
        <v>99.0</v>
      </c>
      <c r="J795" s="4" t="s">
        <v>3715</v>
      </c>
      <c r="K795" s="5">
        <f>+919833262219</f>
        <v>919833262219</v>
      </c>
      <c r="L795" s="4" t="str">
        <f t="shared" si="1"/>
        <v>joydebmandal22@gmail.com919833262219</v>
      </c>
      <c r="M795" s="10" t="s">
        <v>67</v>
      </c>
      <c r="N795" s="4" t="b">
        <v>0</v>
      </c>
      <c r="O795" s="4" t="str">
        <f>VLOOKUP(A795,payment_ids!D:E,2,FALSE)</f>
        <v>upi</v>
      </c>
      <c r="P795" s="4" t="s">
        <v>69</v>
      </c>
      <c r="Q795" s="11">
        <v>44383.54375</v>
      </c>
      <c r="R795" s="4"/>
      <c r="S795" s="12" t="s">
        <v>3716</v>
      </c>
      <c r="T795" s="5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5"/>
      <c r="AI795" s="5"/>
      <c r="AJ795" s="5"/>
      <c r="AK795" s="5"/>
      <c r="AL795" s="5"/>
    </row>
    <row r="796">
      <c r="A796" s="4" t="str">
        <f>VLOOKUP(L796,payment_ids!C:D,2,FALSE)</f>
        <v>pay_HK8VaK5CcJHgHv</v>
      </c>
      <c r="B796" s="4"/>
      <c r="C796" s="4" t="s">
        <v>3708</v>
      </c>
      <c r="D796" s="4">
        <v>50104.0</v>
      </c>
      <c r="E796" s="5"/>
      <c r="F796" s="4">
        <v>1.0</v>
      </c>
      <c r="G796" s="4">
        <v>99.0</v>
      </c>
      <c r="H796" s="4"/>
      <c r="I796" s="4">
        <v>99.0</v>
      </c>
      <c r="J796" s="4" t="s">
        <v>3717</v>
      </c>
      <c r="K796" s="5">
        <f>+918374838168</f>
        <v>918374838168</v>
      </c>
      <c r="L796" s="4" t="str">
        <f t="shared" si="1"/>
        <v>praggy.revu@gmail.com918374838168</v>
      </c>
      <c r="M796" s="10" t="s">
        <v>67</v>
      </c>
      <c r="N796" s="4" t="b">
        <v>0</v>
      </c>
      <c r="O796" s="4" t="str">
        <f>VLOOKUP(A796,payment_ids!D:E,2,FALSE)</f>
        <v>upi</v>
      </c>
      <c r="P796" s="4" t="s">
        <v>69</v>
      </c>
      <c r="Q796" s="11">
        <v>44383.66458333333</v>
      </c>
      <c r="R796" s="4"/>
      <c r="S796" s="12" t="s">
        <v>3710</v>
      </c>
      <c r="T796" s="5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5"/>
      <c r="AI796" s="5"/>
      <c r="AJ796" s="5"/>
      <c r="AK796" s="5"/>
      <c r="AL796" s="5"/>
    </row>
    <row r="797">
      <c r="A797" s="4" t="str">
        <f>VLOOKUP(L797,payment_ids!C:D,2,FALSE)</f>
        <v>pay_HK9IveZaK8Tinf</v>
      </c>
      <c r="B797" s="4"/>
      <c r="C797" s="4" t="s">
        <v>3708</v>
      </c>
      <c r="D797" s="4">
        <v>50104.0</v>
      </c>
      <c r="E797" s="5"/>
      <c r="F797" s="4">
        <v>1.0</v>
      </c>
      <c r="G797" s="4">
        <v>99.0</v>
      </c>
      <c r="H797" s="4"/>
      <c r="I797" s="4">
        <v>99.0</v>
      </c>
      <c r="J797" s="4" t="s">
        <v>3718</v>
      </c>
      <c r="K797" s="5">
        <f>+919008718406</f>
        <v>919008718406</v>
      </c>
      <c r="L797" s="4" t="str">
        <f t="shared" si="1"/>
        <v>guhanjune@gmail.com919008718406</v>
      </c>
      <c r="M797" s="10" t="s">
        <v>67</v>
      </c>
      <c r="N797" s="4" t="b">
        <v>0</v>
      </c>
      <c r="O797" s="4" t="str">
        <f>VLOOKUP(A797,payment_ids!D:E,2,FALSE)</f>
        <v>card</v>
      </c>
      <c r="P797" s="4" t="s">
        <v>69</v>
      </c>
      <c r="Q797" s="11">
        <v>44383.697222222225</v>
      </c>
      <c r="R797" s="4"/>
      <c r="S797" s="12" t="s">
        <v>3710</v>
      </c>
      <c r="T797" s="5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5"/>
      <c r="AI797" s="5"/>
      <c r="AJ797" s="5"/>
      <c r="AK797" s="5"/>
      <c r="AL797" s="5"/>
    </row>
    <row r="798">
      <c r="A798" s="4" t="str">
        <f>VLOOKUP(L798,payment_ids!C:D,2,FALSE)</f>
        <v>pay_HK9vpGVTwx77mr</v>
      </c>
      <c r="B798" s="4"/>
      <c r="C798" s="4" t="s">
        <v>3708</v>
      </c>
      <c r="D798" s="4">
        <v>50104.0</v>
      </c>
      <c r="E798" s="5"/>
      <c r="F798" s="4">
        <v>6.0</v>
      </c>
      <c r="G798" s="4">
        <v>349.0</v>
      </c>
      <c r="H798" s="4"/>
      <c r="I798" s="4">
        <v>349.0</v>
      </c>
      <c r="J798" s="4" t="s">
        <v>3719</v>
      </c>
      <c r="K798" s="5">
        <f>+919525236334</f>
        <v>919525236334</v>
      </c>
      <c r="L798" s="4" t="str">
        <f t="shared" si="1"/>
        <v>nj88765@gmail.com919525236334</v>
      </c>
      <c r="M798" s="10" t="s">
        <v>67</v>
      </c>
      <c r="N798" s="4" t="b">
        <v>0</v>
      </c>
      <c r="O798" s="4" t="str">
        <f>VLOOKUP(A798,payment_ids!D:E,2,FALSE)</f>
        <v>upi</v>
      </c>
      <c r="P798" s="4" t="s">
        <v>69</v>
      </c>
      <c r="Q798" s="11">
        <v>44383.75069444445</v>
      </c>
      <c r="R798" s="4"/>
      <c r="S798" s="12" t="s">
        <v>3710</v>
      </c>
      <c r="T798" s="5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5"/>
      <c r="AI798" s="5"/>
      <c r="AJ798" s="5"/>
      <c r="AK798" s="5"/>
      <c r="AL798" s="5"/>
    </row>
    <row r="799">
      <c r="A799" s="4" t="str">
        <f>VLOOKUP(L799,payment_ids!C:D,2,FALSE)</f>
        <v>pay_HKdopcuiIB6Mgx</v>
      </c>
      <c r="B799" s="4"/>
      <c r="C799" s="4" t="s">
        <v>3708</v>
      </c>
      <c r="D799" s="4">
        <v>50104.0</v>
      </c>
      <c r="E799" s="5"/>
      <c r="F799" s="4">
        <v>1.0</v>
      </c>
      <c r="G799" s="4">
        <v>99.0</v>
      </c>
      <c r="H799" s="4"/>
      <c r="I799" s="4">
        <v>99.0</v>
      </c>
      <c r="J799" s="4" t="s">
        <v>3720</v>
      </c>
      <c r="K799" s="5">
        <f>+919892835224</f>
        <v>919892835224</v>
      </c>
      <c r="L799" s="4" t="str">
        <f t="shared" si="1"/>
        <v>ritwikghosh3112@gmail.com919892835224</v>
      </c>
      <c r="M799" s="10" t="s">
        <v>67</v>
      </c>
      <c r="N799" s="4" t="b">
        <v>0</v>
      </c>
      <c r="O799" s="4" t="str">
        <f>VLOOKUP(A799,payment_ids!D:E,2,FALSE)</f>
        <v>upi</v>
      </c>
      <c r="P799" s="4" t="s">
        <v>69</v>
      </c>
      <c r="Q799" s="11">
        <v>44414.94097222222</v>
      </c>
      <c r="R799" s="4"/>
      <c r="S799" s="12" t="s">
        <v>3710</v>
      </c>
      <c r="T799" s="4" t="s">
        <v>2444</v>
      </c>
      <c r="U799" s="4"/>
      <c r="V799" s="4"/>
      <c r="W799" s="4"/>
      <c r="X799" s="4"/>
      <c r="Y799" s="4"/>
      <c r="Z799" s="4"/>
      <c r="AA799" s="4"/>
      <c r="AB799" s="4"/>
      <c r="AC799" s="7"/>
      <c r="AD799" s="4"/>
      <c r="AE799" s="4"/>
      <c r="AF799" s="4"/>
      <c r="AG799" s="4"/>
      <c r="AH799" s="5"/>
      <c r="AI799" s="5"/>
      <c r="AJ799" s="5"/>
      <c r="AK799" s="5"/>
      <c r="AL799" s="5"/>
    </row>
    <row r="800">
      <c r="A800" s="4" t="str">
        <f>VLOOKUP(L800,payment_ids!C:D,2,FALSE)</f>
        <v>pay_HKpUpKi63EA3b1</v>
      </c>
      <c r="B800" s="4"/>
      <c r="C800" s="4" t="s">
        <v>3708</v>
      </c>
      <c r="D800" s="4">
        <v>50104.0</v>
      </c>
      <c r="E800" s="5"/>
      <c r="F800" s="4">
        <v>1.0</v>
      </c>
      <c r="G800" s="4">
        <v>99.0</v>
      </c>
      <c r="H800" s="4"/>
      <c r="I800" s="4">
        <v>99.0</v>
      </c>
      <c r="J800" s="4" t="s">
        <v>3721</v>
      </c>
      <c r="K800" s="5">
        <f>+919920356582</f>
        <v>919920356582</v>
      </c>
      <c r="L800" s="4" t="str">
        <f t="shared" si="1"/>
        <v>dmit2163@gmail.com919920356582</v>
      </c>
      <c r="M800" s="10" t="s">
        <v>67</v>
      </c>
      <c r="N800" s="4" t="b">
        <v>0</v>
      </c>
      <c r="O800" s="4" t="str">
        <f>VLOOKUP(A800,payment_ids!D:E,2,FALSE)</f>
        <v>upi</v>
      </c>
      <c r="P800" s="4" t="s">
        <v>69</v>
      </c>
      <c r="Q800" s="11">
        <v>44445.41736111111</v>
      </c>
      <c r="R800" s="4"/>
      <c r="S800" s="12" t="s">
        <v>3710</v>
      </c>
      <c r="T800" s="4" t="s">
        <v>2444</v>
      </c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5"/>
      <c r="AI800" s="5"/>
      <c r="AJ800" s="5"/>
      <c r="AK800" s="5"/>
      <c r="AL800" s="5"/>
    </row>
    <row r="801">
      <c r="A801" s="4" t="str">
        <f>VLOOKUP(L801,payment_ids!C:D,2,FALSE)</f>
        <v>pay_HKv7s1MzU7BQCW</v>
      </c>
      <c r="B801" s="4"/>
      <c r="C801" s="4" t="s">
        <v>3708</v>
      </c>
      <c r="D801" s="4">
        <v>50104.0</v>
      </c>
      <c r="E801" s="5"/>
      <c r="F801" s="4">
        <v>1.0</v>
      </c>
      <c r="G801" s="4">
        <v>99.0</v>
      </c>
      <c r="H801" s="4"/>
      <c r="I801" s="4">
        <v>99.0</v>
      </c>
      <c r="J801" s="4" t="s">
        <v>3722</v>
      </c>
      <c r="K801" s="5">
        <f>+919569907211</f>
        <v>919569907211</v>
      </c>
      <c r="L801" s="4" t="str">
        <f t="shared" si="1"/>
        <v>shikhagupta2392@gmail.com919569907211</v>
      </c>
      <c r="M801" s="10" t="s">
        <v>67</v>
      </c>
      <c r="N801" s="4" t="b">
        <v>0</v>
      </c>
      <c r="O801" s="4" t="str">
        <f>VLOOKUP(A801,payment_ids!D:E,2,FALSE)</f>
        <v>upi</v>
      </c>
      <c r="P801" s="4" t="s">
        <v>69</v>
      </c>
      <c r="Q801" s="11">
        <v>44445.646527777775</v>
      </c>
      <c r="R801" s="4"/>
      <c r="S801" s="12" t="s">
        <v>3710</v>
      </c>
      <c r="T801" s="4" t="s">
        <v>2444</v>
      </c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5"/>
      <c r="AI801" s="5"/>
      <c r="AJ801" s="5"/>
      <c r="AK801" s="5"/>
      <c r="AL801" s="5"/>
    </row>
    <row r="802">
      <c r="A802" s="4" t="str">
        <f>VLOOKUP(L802,payment_ids!C:D,2,FALSE)</f>
        <v>pay_HKxXFHTc2qJ5L0</v>
      </c>
      <c r="B802" s="4"/>
      <c r="C802" s="4" t="s">
        <v>3708</v>
      </c>
      <c r="D802" s="4">
        <v>50104.0</v>
      </c>
      <c r="E802" s="5"/>
      <c r="F802" s="4">
        <v>3.0</v>
      </c>
      <c r="G802" s="4">
        <v>199.0</v>
      </c>
      <c r="H802" s="4"/>
      <c r="I802" s="4">
        <v>199.0</v>
      </c>
      <c r="J802" s="4" t="s">
        <v>3723</v>
      </c>
      <c r="K802" s="5">
        <f>+919873879862</f>
        <v>919873879862</v>
      </c>
      <c r="L802" s="4" t="str">
        <f t="shared" si="1"/>
        <v>ritikamail18@gmail.com919873879862</v>
      </c>
      <c r="M802" s="10" t="s">
        <v>67</v>
      </c>
      <c r="N802" s="4" t="b">
        <v>0</v>
      </c>
      <c r="O802" s="4" t="str">
        <f>VLOOKUP(A802,payment_ids!D:E,2,FALSE)</f>
        <v>upi</v>
      </c>
      <c r="P802" s="4" t="s">
        <v>69</v>
      </c>
      <c r="Q802" s="11">
        <v>44445.74444444444</v>
      </c>
      <c r="R802" s="4"/>
      <c r="S802" s="12" t="s">
        <v>3710</v>
      </c>
      <c r="T802" s="4" t="s">
        <v>2444</v>
      </c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5"/>
      <c r="AI802" s="5"/>
      <c r="AJ802" s="5"/>
      <c r="AK802" s="5"/>
      <c r="AL802" s="5"/>
    </row>
    <row r="803">
      <c r="A803" s="4" t="str">
        <f>VLOOKUP(L803,payment_ids!C:D,2,FALSE)</f>
        <v>pay_HLKAJ89jSTmoVs</v>
      </c>
      <c r="B803" s="4"/>
      <c r="C803" s="4" t="s">
        <v>3708</v>
      </c>
      <c r="D803" s="4">
        <v>50104.0</v>
      </c>
      <c r="E803" s="5"/>
      <c r="F803" s="4">
        <v>1.0</v>
      </c>
      <c r="G803" s="4">
        <v>99.0</v>
      </c>
      <c r="H803" s="4"/>
      <c r="I803" s="4">
        <v>99.0</v>
      </c>
      <c r="J803" s="4" t="s">
        <v>3724</v>
      </c>
      <c r="K803" s="5">
        <f>+917585806931</f>
        <v>917585806931</v>
      </c>
      <c r="L803" s="4" t="str">
        <f t="shared" si="1"/>
        <v>animeshpradhan27@gmail.com917585806931</v>
      </c>
      <c r="M803" s="10" t="s">
        <v>67</v>
      </c>
      <c r="N803" s="4" t="b">
        <v>0</v>
      </c>
      <c r="O803" s="4" t="str">
        <f>VLOOKUP(A803,payment_ids!D:E,2,FALSE)</f>
        <v>upi</v>
      </c>
      <c r="P803" s="4" t="s">
        <v>69</v>
      </c>
      <c r="Q803" s="11">
        <v>44475.66736111111</v>
      </c>
      <c r="R803" s="4"/>
      <c r="S803" s="12" t="s">
        <v>3710</v>
      </c>
      <c r="T803" s="4" t="s">
        <v>2444</v>
      </c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5"/>
      <c r="AI803" s="5"/>
      <c r="AJ803" s="5"/>
      <c r="AK803" s="5"/>
      <c r="AL803" s="5"/>
    </row>
    <row r="804">
      <c r="A804" s="4" t="str">
        <f>VLOOKUP(L804,payment_ids!C:D,2,FALSE)</f>
        <v>pay_HLKySBkcBtTeq7</v>
      </c>
      <c r="B804" s="4"/>
      <c r="C804" s="4" t="s">
        <v>3708</v>
      </c>
      <c r="D804" s="4">
        <v>50104.0</v>
      </c>
      <c r="E804" s="5"/>
      <c r="F804" s="4">
        <v>1.0</v>
      </c>
      <c r="G804" s="4">
        <v>99.0</v>
      </c>
      <c r="H804" s="4"/>
      <c r="I804" s="4">
        <v>99.0</v>
      </c>
      <c r="J804" s="4" t="s">
        <v>3725</v>
      </c>
      <c r="K804" s="5">
        <f>+919910014871</f>
        <v>919910014871</v>
      </c>
      <c r="L804" s="4" t="str">
        <f t="shared" si="1"/>
        <v>srishti.amity@gmail.com919910014871</v>
      </c>
      <c r="M804" s="10" t="s">
        <v>67</v>
      </c>
      <c r="N804" s="4" t="b">
        <v>0</v>
      </c>
      <c r="O804" s="4" t="str">
        <f>VLOOKUP(A804,payment_ids!D:E,2,FALSE)</f>
        <v>upi</v>
      </c>
      <c r="P804" s="4" t="s">
        <v>69</v>
      </c>
      <c r="Q804" s="11">
        <v>44475.700694444444</v>
      </c>
      <c r="R804" s="4"/>
      <c r="S804" s="12" t="s">
        <v>3710</v>
      </c>
      <c r="T804" s="4" t="s">
        <v>2444</v>
      </c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5"/>
      <c r="AI804" s="5"/>
      <c r="AJ804" s="5"/>
      <c r="AK804" s="5"/>
      <c r="AL804" s="5"/>
    </row>
    <row r="805">
      <c r="A805" s="4" t="str">
        <f>VLOOKUP(L805,payment_ids!C:D,2,FALSE)</f>
        <v>pay_HLPQ4r5IW4ak0l</v>
      </c>
      <c r="B805" s="4"/>
      <c r="C805" s="4" t="s">
        <v>3708</v>
      </c>
      <c r="D805" s="4">
        <v>50104.0</v>
      </c>
      <c r="E805" s="5"/>
      <c r="F805" s="4">
        <v>1.0</v>
      </c>
      <c r="G805" s="4">
        <v>99.0</v>
      </c>
      <c r="H805" s="4"/>
      <c r="I805" s="4">
        <v>99.0</v>
      </c>
      <c r="J805" s="4" t="s">
        <v>3726</v>
      </c>
      <c r="K805" s="5">
        <f>+919174444411</f>
        <v>919174444411</v>
      </c>
      <c r="L805" s="4" t="str">
        <f t="shared" si="1"/>
        <v>rakeshprajapati2012@gmail.com919174444411</v>
      </c>
      <c r="M805" s="10" t="s">
        <v>67</v>
      </c>
      <c r="N805" s="4" t="b">
        <v>0</v>
      </c>
      <c r="O805" s="4" t="str">
        <f>VLOOKUP(A805,payment_ids!D:E,2,FALSE)</f>
        <v>card</v>
      </c>
      <c r="P805" s="4" t="s">
        <v>69</v>
      </c>
      <c r="Q805" s="11">
        <v>44475.88125</v>
      </c>
      <c r="R805" s="4"/>
      <c r="S805" s="12" t="s">
        <v>3710</v>
      </c>
      <c r="T805" s="4" t="s">
        <v>2444</v>
      </c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5"/>
      <c r="AI805" s="5"/>
      <c r="AJ805" s="5"/>
      <c r="AK805" s="5"/>
      <c r="AL805" s="5"/>
    </row>
    <row r="806">
      <c r="A806" s="4" t="str">
        <f>VLOOKUP(L806,payment_ids!C:D,2,FALSE)</f>
        <v>pay_HM0TRYPFVz7czo</v>
      </c>
      <c r="B806" s="4"/>
      <c r="C806" s="4" t="s">
        <v>3708</v>
      </c>
      <c r="D806" s="4">
        <v>50104.0</v>
      </c>
      <c r="E806" s="5"/>
      <c r="F806" s="4">
        <v>1.0</v>
      </c>
      <c r="G806" s="4">
        <v>99.0</v>
      </c>
      <c r="H806" s="4"/>
      <c r="I806" s="4">
        <v>99.0</v>
      </c>
      <c r="J806" s="4" t="s">
        <v>3727</v>
      </c>
      <c r="K806" s="5">
        <f>+917006196007</f>
        <v>917006196007</v>
      </c>
      <c r="L806" s="4" t="str">
        <f t="shared" si="1"/>
        <v>rahulsangral36@gmail.com917006196007</v>
      </c>
      <c r="M806" s="10" t="s">
        <v>67</v>
      </c>
      <c r="N806" s="4" t="b">
        <v>0</v>
      </c>
      <c r="O806" s="4" t="str">
        <f>VLOOKUP(A806,payment_ids!D:E,2,FALSE)</f>
        <v>wallet</v>
      </c>
      <c r="P806" s="4" t="s">
        <v>69</v>
      </c>
      <c r="Q806" s="11">
        <v>44536.39166666667</v>
      </c>
      <c r="R806" s="4"/>
      <c r="S806" s="12" t="s">
        <v>3710</v>
      </c>
      <c r="T806" s="4" t="s">
        <v>2444</v>
      </c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5"/>
      <c r="AI806" s="5"/>
      <c r="AJ806" s="5"/>
      <c r="AK806" s="5"/>
      <c r="AL806" s="5"/>
    </row>
    <row r="807">
      <c r="A807" s="4" t="str">
        <f>VLOOKUP(L807,payment_ids!C:D,2,FALSE)</f>
        <v>pay_HM7pzKW5DwvBbq</v>
      </c>
      <c r="B807" s="4"/>
      <c r="C807" s="4" t="s">
        <v>3708</v>
      </c>
      <c r="D807" s="4">
        <v>50104.0</v>
      </c>
      <c r="E807" s="5"/>
      <c r="F807" s="4">
        <v>1.0</v>
      </c>
      <c r="G807" s="4">
        <v>99.0</v>
      </c>
      <c r="H807" s="4"/>
      <c r="I807" s="4">
        <v>99.0</v>
      </c>
      <c r="J807" s="4" t="s">
        <v>3728</v>
      </c>
      <c r="K807" s="5">
        <f>+919881995594</f>
        <v>919881995594</v>
      </c>
      <c r="L807" s="4" t="str">
        <f t="shared" si="1"/>
        <v>shuubhaamkudikalwar@gmail.com919881995594</v>
      </c>
      <c r="M807" s="10" t="s">
        <v>67</v>
      </c>
      <c r="N807" s="4" t="b">
        <v>0</v>
      </c>
      <c r="O807" s="4" t="str">
        <f>VLOOKUP(A807,payment_ids!D:E,2,FALSE)</f>
        <v>upi</v>
      </c>
      <c r="P807" s="4" t="s">
        <v>69</v>
      </c>
      <c r="Q807" s="11">
        <v>44536.69583333333</v>
      </c>
      <c r="R807" s="4"/>
      <c r="S807" s="12" t="s">
        <v>3710</v>
      </c>
      <c r="T807" s="4" t="s">
        <v>2444</v>
      </c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5"/>
      <c r="AI807" s="5"/>
      <c r="AJ807" s="5"/>
      <c r="AK807" s="5"/>
      <c r="AL807" s="5"/>
    </row>
    <row r="808">
      <c r="A808" s="4" t="str">
        <f>VLOOKUP(L808,payment_ids!C:D,2,FALSE)</f>
        <v>pay_HM9gultEPFsgLl</v>
      </c>
      <c r="B808" s="4"/>
      <c r="C808" s="4" t="s">
        <v>3708</v>
      </c>
      <c r="D808" s="4">
        <v>50104.0</v>
      </c>
      <c r="E808" s="5"/>
      <c r="F808" s="4">
        <v>1.0</v>
      </c>
      <c r="G808" s="4">
        <v>99.0</v>
      </c>
      <c r="H808" s="4"/>
      <c r="I808" s="4">
        <v>99.0</v>
      </c>
      <c r="J808" s="4" t="s">
        <v>3729</v>
      </c>
      <c r="K808" s="5">
        <f>+919748763930</f>
        <v>919748763930</v>
      </c>
      <c r="L808" s="4" t="str">
        <f t="shared" si="1"/>
        <v>divyakejriwal@hotmail.com919748763930</v>
      </c>
      <c r="M808" s="10" t="s">
        <v>67</v>
      </c>
      <c r="N808" s="4" t="b">
        <v>0</v>
      </c>
      <c r="O808" s="4" t="str">
        <f>VLOOKUP(A808,payment_ids!D:E,2,FALSE)</f>
        <v>card</v>
      </c>
      <c r="P808" s="4" t="s">
        <v>69</v>
      </c>
      <c r="Q808" s="11">
        <v>44536.76736111111</v>
      </c>
      <c r="R808" s="4"/>
      <c r="S808" s="12" t="s">
        <v>3710</v>
      </c>
      <c r="T808" s="4" t="s">
        <v>2444</v>
      </c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5"/>
      <c r="AI808" s="5"/>
      <c r="AJ808" s="5"/>
      <c r="AK808" s="5"/>
      <c r="AL808" s="5"/>
    </row>
    <row r="809">
      <c r="A809" s="4" t="str">
        <f>VLOOKUP(L809,payment_ids!C:D,2,FALSE)</f>
        <v>pay_HMDpEZ9XKQGYy5</v>
      </c>
      <c r="B809" s="4"/>
      <c r="C809" s="4" t="s">
        <v>3708</v>
      </c>
      <c r="D809" s="4">
        <v>50104.0</v>
      </c>
      <c r="E809" s="5"/>
      <c r="F809" s="4">
        <v>1.0</v>
      </c>
      <c r="G809" s="4">
        <v>99.0</v>
      </c>
      <c r="H809" s="4"/>
      <c r="I809" s="4">
        <v>99.0</v>
      </c>
      <c r="J809" s="4" t="s">
        <v>3730</v>
      </c>
      <c r="K809" s="5">
        <f>+919419120440</f>
        <v>919419120440</v>
      </c>
      <c r="L809" s="4" t="str">
        <f t="shared" si="1"/>
        <v>sarngal555@gmail.com919419120440</v>
      </c>
      <c r="M809" s="10" t="s">
        <v>67</v>
      </c>
      <c r="N809" s="4" t="b">
        <v>0</v>
      </c>
      <c r="O809" s="4" t="str">
        <f>VLOOKUP(A809,payment_ids!D:E,2,FALSE)</f>
        <v>upi</v>
      </c>
      <c r="P809" s="4" t="s">
        <v>69</v>
      </c>
      <c r="Q809" s="11">
        <v>44536.936111111114</v>
      </c>
      <c r="R809" s="4"/>
      <c r="S809" s="12" t="s">
        <v>3710</v>
      </c>
      <c r="T809" s="4" t="s">
        <v>2444</v>
      </c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5"/>
      <c r="AI809" s="5"/>
      <c r="AJ809" s="5"/>
      <c r="AK809" s="5"/>
      <c r="AL809" s="5"/>
    </row>
    <row r="810">
      <c r="A810" s="4" t="str">
        <f>VLOOKUP(L810,payment_ids!C:D,2,FALSE)</f>
        <v>pay_HMNSUSJcSI0bZd</v>
      </c>
      <c r="B810" s="4"/>
      <c r="C810" s="4" t="s">
        <v>3708</v>
      </c>
      <c r="D810" s="4">
        <v>50104.0</v>
      </c>
      <c r="E810" s="5"/>
      <c r="F810" s="4">
        <v>3.0</v>
      </c>
      <c r="G810" s="4">
        <v>199.0</v>
      </c>
      <c r="H810" s="4"/>
      <c r="I810" s="4">
        <v>199.0</v>
      </c>
      <c r="J810" s="4" t="s">
        <v>3731</v>
      </c>
      <c r="K810" s="5">
        <f>+919925607799</f>
        <v>919925607799</v>
      </c>
      <c r="L810" s="4" t="str">
        <f t="shared" si="1"/>
        <v>jooliep9@gmail.com919925607799</v>
      </c>
      <c r="M810" s="10" t="s">
        <v>67</v>
      </c>
      <c r="N810" s="4" t="b">
        <v>0</v>
      </c>
      <c r="O810" s="4" t="str">
        <f>VLOOKUP(A810,payment_ids!D:E,2,FALSE)</f>
        <v>upi</v>
      </c>
      <c r="P810" s="4" t="s">
        <v>69</v>
      </c>
      <c r="Q810" s="4" t="s">
        <v>3732</v>
      </c>
      <c r="R810" s="4"/>
      <c r="S810" s="12" t="s">
        <v>3710</v>
      </c>
      <c r="T810" s="4" t="s">
        <v>2444</v>
      </c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5"/>
      <c r="AI810" s="5"/>
      <c r="AJ810" s="5"/>
      <c r="AK810" s="5"/>
      <c r="AL810" s="5"/>
    </row>
    <row r="811">
      <c r="A811" s="4" t="str">
        <f>VLOOKUP(L811,payment_ids!C:D,2,FALSE)</f>
        <v>pay_HMdBxSNIci8HVT</v>
      </c>
      <c r="B811" s="4"/>
      <c r="C811" s="4" t="s">
        <v>3708</v>
      </c>
      <c r="D811" s="4">
        <v>50104.0</v>
      </c>
      <c r="E811" s="5"/>
      <c r="F811" s="4">
        <v>1.0</v>
      </c>
      <c r="G811" s="4">
        <v>99.0</v>
      </c>
      <c r="H811" s="4"/>
      <c r="I811" s="4">
        <v>99.0</v>
      </c>
      <c r="J811" s="4" t="s">
        <v>3733</v>
      </c>
      <c r="K811" s="5">
        <f>+917795658640</f>
        <v>917795658640</v>
      </c>
      <c r="L811" s="4" t="str">
        <f t="shared" si="1"/>
        <v>actorrandheer@gmail.com917795658640</v>
      </c>
      <c r="M811" s="10" t="s">
        <v>67</v>
      </c>
      <c r="N811" s="4" t="b">
        <v>0</v>
      </c>
      <c r="O811" s="4" t="str">
        <f>VLOOKUP(A811,payment_ids!D:E,2,FALSE)</f>
        <v>upi</v>
      </c>
      <c r="P811" s="4" t="s">
        <v>69</v>
      </c>
      <c r="Q811" s="4" t="s">
        <v>3734</v>
      </c>
      <c r="R811" s="4"/>
      <c r="S811" s="12" t="s">
        <v>3716</v>
      </c>
      <c r="T811" s="4" t="s">
        <v>2444</v>
      </c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5"/>
      <c r="AI811" s="5"/>
      <c r="AJ811" s="5"/>
      <c r="AK811" s="5"/>
      <c r="AL811" s="5"/>
    </row>
    <row r="812">
      <c r="A812" s="4" t="str">
        <f>VLOOKUP(L812,payment_ids!C:D,2,FALSE)</f>
        <v>pay_HMdP9yXWihJuQU</v>
      </c>
      <c r="B812" s="4"/>
      <c r="C812" s="4" t="s">
        <v>3708</v>
      </c>
      <c r="D812" s="4">
        <v>50104.0</v>
      </c>
      <c r="E812" s="5"/>
      <c r="F812" s="4">
        <v>3.0</v>
      </c>
      <c r="G812" s="4">
        <v>199.0</v>
      </c>
      <c r="H812" s="4"/>
      <c r="I812" s="4">
        <v>199.0</v>
      </c>
      <c r="J812" s="4" t="s">
        <v>3735</v>
      </c>
      <c r="K812" s="5">
        <f>+917416560803</f>
        <v>917416560803</v>
      </c>
      <c r="L812" s="4" t="str">
        <f t="shared" si="1"/>
        <v>niranjansujatha@gmail.com917416560803</v>
      </c>
      <c r="M812" s="10" t="s">
        <v>67</v>
      </c>
      <c r="N812" s="4" t="b">
        <v>0</v>
      </c>
      <c r="O812" s="4" t="str">
        <f>VLOOKUP(A812,payment_ids!D:E,2,FALSE)</f>
        <v>upi</v>
      </c>
      <c r="P812" s="4" t="s">
        <v>69</v>
      </c>
      <c r="Q812" s="4" t="s">
        <v>3736</v>
      </c>
      <c r="R812" s="4"/>
      <c r="S812" s="12" t="s">
        <v>3710</v>
      </c>
      <c r="T812" s="4" t="s">
        <v>2444</v>
      </c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5"/>
      <c r="AI812" s="5"/>
      <c r="AJ812" s="5"/>
      <c r="AK812" s="5"/>
      <c r="AL812" s="5"/>
    </row>
    <row r="813">
      <c r="A813" s="4" t="str">
        <f>VLOOKUP(L813,payment_ids!C:D,2,FALSE)</f>
        <v>pay_HMowa7NngiRipL</v>
      </c>
      <c r="B813" s="4"/>
      <c r="C813" s="4" t="s">
        <v>3708</v>
      </c>
      <c r="D813" s="4">
        <v>50104.0</v>
      </c>
      <c r="E813" s="5"/>
      <c r="F813" s="4">
        <v>1.0</v>
      </c>
      <c r="G813" s="4">
        <v>99.0</v>
      </c>
      <c r="H813" s="4"/>
      <c r="I813" s="4">
        <v>99.0</v>
      </c>
      <c r="J813" s="4" t="s">
        <v>3737</v>
      </c>
      <c r="K813" s="5">
        <f>+917838069203</f>
        <v>917838069203</v>
      </c>
      <c r="L813" s="4" t="str">
        <f t="shared" si="1"/>
        <v>soumyashrm@gmail.com917838069203</v>
      </c>
      <c r="M813" s="10" t="s">
        <v>67</v>
      </c>
      <c r="N813" s="4" t="b">
        <v>0</v>
      </c>
      <c r="O813" s="4" t="str">
        <f>VLOOKUP(A813,payment_ids!D:E,2,FALSE)</f>
        <v>upi</v>
      </c>
      <c r="P813" s="4" t="s">
        <v>69</v>
      </c>
      <c r="Q813" s="4" t="s">
        <v>3738</v>
      </c>
      <c r="R813" s="4"/>
      <c r="S813" s="12" t="s">
        <v>3710</v>
      </c>
      <c r="T813" s="4" t="s">
        <v>2444</v>
      </c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5"/>
      <c r="AI813" s="5"/>
      <c r="AJ813" s="5"/>
      <c r="AK813" s="5"/>
      <c r="AL813" s="5"/>
    </row>
    <row r="814">
      <c r="A814" s="4" t="str">
        <f>VLOOKUP(L814,payment_ids!C:D,2,FALSE)</f>
        <v>pay_HMwrLVOQSburg1</v>
      </c>
      <c r="B814" s="4"/>
      <c r="C814" s="4" t="s">
        <v>3708</v>
      </c>
      <c r="D814" s="4">
        <v>50104.0</v>
      </c>
      <c r="E814" s="5"/>
      <c r="F814" s="4">
        <v>1.0</v>
      </c>
      <c r="G814" s="4">
        <v>99.0</v>
      </c>
      <c r="H814" s="4"/>
      <c r="I814" s="4">
        <v>99.0</v>
      </c>
      <c r="J814" s="4" t="s">
        <v>3739</v>
      </c>
      <c r="K814" s="5">
        <f>+919662084121</f>
        <v>919662084121</v>
      </c>
      <c r="L814" s="4" t="str">
        <f t="shared" si="1"/>
        <v>urvi33soulart@rediffmail.com919662084121</v>
      </c>
      <c r="M814" s="10" t="s">
        <v>67</v>
      </c>
      <c r="N814" s="4" t="b">
        <v>0</v>
      </c>
      <c r="O814" s="4" t="str">
        <f>VLOOKUP(A814,payment_ids!D:E,2,FALSE)</f>
        <v>wallet</v>
      </c>
      <c r="P814" s="4" t="s">
        <v>69</v>
      </c>
      <c r="Q814" s="4" t="s">
        <v>3740</v>
      </c>
      <c r="R814" s="4"/>
      <c r="S814" s="12" t="s">
        <v>3710</v>
      </c>
      <c r="T814" s="4" t="s">
        <v>2444</v>
      </c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5"/>
      <c r="AI814" s="5"/>
      <c r="AJ814" s="5"/>
      <c r="AK814" s="5"/>
      <c r="AL814" s="5"/>
    </row>
    <row r="815">
      <c r="A815" s="4" t="str">
        <f>VLOOKUP(L815,payment_ids!C:D,2,FALSE)</f>
        <v>pay_HNFMQS2Mv4gw3A</v>
      </c>
      <c r="B815" s="4"/>
      <c r="C815" s="4" t="s">
        <v>3708</v>
      </c>
      <c r="D815" s="4">
        <v>50104.0</v>
      </c>
      <c r="E815" s="5"/>
      <c r="F815" s="4">
        <v>3.0</v>
      </c>
      <c r="G815" s="4">
        <v>199.0</v>
      </c>
      <c r="H815" s="4"/>
      <c r="I815" s="4">
        <v>199.0</v>
      </c>
      <c r="J815" s="4" t="s">
        <v>3741</v>
      </c>
      <c r="K815" s="5">
        <f>+919810733434</f>
        <v>919810733434</v>
      </c>
      <c r="L815" s="4" t="str">
        <f t="shared" si="1"/>
        <v>akannksha.rawat@gmail.com919810733434</v>
      </c>
      <c r="M815" s="10" t="s">
        <v>67</v>
      </c>
      <c r="N815" s="4" t="b">
        <v>0</v>
      </c>
      <c r="O815" s="4" t="str">
        <f>VLOOKUP(A815,payment_ids!D:E,2,FALSE)</f>
        <v>card</v>
      </c>
      <c r="P815" s="4" t="s">
        <v>69</v>
      </c>
      <c r="Q815" s="4" t="s">
        <v>3742</v>
      </c>
      <c r="R815" s="4"/>
      <c r="S815" s="12" t="s">
        <v>3710</v>
      </c>
      <c r="T815" s="4" t="s">
        <v>2444</v>
      </c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5"/>
      <c r="AI815" s="5"/>
      <c r="AJ815" s="5"/>
      <c r="AK815" s="5"/>
      <c r="AL815" s="5"/>
    </row>
    <row r="816">
      <c r="A816" s="4" t="str">
        <f>VLOOKUP(L816,payment_ids!C:D,2,FALSE)</f>
        <v>pay_HNLNJHTLU3vWZq</v>
      </c>
      <c r="B816" s="4"/>
      <c r="C816" s="4" t="s">
        <v>3708</v>
      </c>
      <c r="D816" s="4">
        <v>50104.0</v>
      </c>
      <c r="E816" s="5"/>
      <c r="F816" s="4">
        <v>6.0</v>
      </c>
      <c r="G816" s="4">
        <v>349.0</v>
      </c>
      <c r="H816" s="4"/>
      <c r="I816" s="4">
        <v>349.0</v>
      </c>
      <c r="J816" s="4" t="s">
        <v>3743</v>
      </c>
      <c r="K816" s="5">
        <f>+919176390520</f>
        <v>919176390520</v>
      </c>
      <c r="L816" s="4" t="str">
        <f t="shared" si="1"/>
        <v>rrishwanth78@gmail.com919176390520</v>
      </c>
      <c r="M816" s="10" t="s">
        <v>67</v>
      </c>
      <c r="N816" s="4" t="b">
        <v>0</v>
      </c>
      <c r="O816" s="4" t="str">
        <f>VLOOKUP(A816,payment_ids!D:E,2,FALSE)</f>
        <v>netbanking</v>
      </c>
      <c r="P816" s="4" t="s">
        <v>69</v>
      </c>
      <c r="Q816" s="4" t="s">
        <v>3744</v>
      </c>
      <c r="R816" s="4"/>
      <c r="S816" s="12" t="s">
        <v>3710</v>
      </c>
      <c r="T816" s="4" t="s">
        <v>2444</v>
      </c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5"/>
      <c r="AI816" s="5"/>
      <c r="AJ816" s="5"/>
      <c r="AK816" s="5"/>
      <c r="AL816" s="5"/>
    </row>
    <row r="817">
      <c r="A817" s="4" t="str">
        <f>VLOOKUP(L817,payment_ids!C:D,2,FALSE)</f>
        <v>pay_HNPKZMjNWja3rX</v>
      </c>
      <c r="B817" s="4"/>
      <c r="C817" s="4" t="s">
        <v>3708</v>
      </c>
      <c r="D817" s="4">
        <v>50104.0</v>
      </c>
      <c r="E817" s="5"/>
      <c r="F817" s="4">
        <v>1.0</v>
      </c>
      <c r="G817" s="4">
        <v>99.0</v>
      </c>
      <c r="H817" s="4"/>
      <c r="I817" s="4">
        <v>99.0</v>
      </c>
      <c r="J817" s="4" t="s">
        <v>3745</v>
      </c>
      <c r="K817" s="5">
        <f>+917587100666</f>
        <v>917587100666</v>
      </c>
      <c r="L817" s="4" t="str">
        <f t="shared" si="1"/>
        <v>shailjag256@gmail.com917587100666</v>
      </c>
      <c r="M817" s="10" t="s">
        <v>67</v>
      </c>
      <c r="N817" s="4" t="b">
        <v>0</v>
      </c>
      <c r="O817" s="4" t="str">
        <f>VLOOKUP(A817,payment_ids!D:E,2,FALSE)</f>
        <v>upi</v>
      </c>
      <c r="P817" s="4" t="s">
        <v>69</v>
      </c>
      <c r="Q817" s="4" t="s">
        <v>3746</v>
      </c>
      <c r="R817" s="4"/>
      <c r="S817" s="12" t="s">
        <v>3710</v>
      </c>
      <c r="T817" s="4" t="s">
        <v>2444</v>
      </c>
      <c r="U817" s="4"/>
      <c r="V817" s="4"/>
      <c r="W817" s="4"/>
      <c r="X817" s="4"/>
      <c r="Y817" s="4"/>
      <c r="Z817" s="4"/>
      <c r="AA817" s="4"/>
      <c r="AB817" s="4"/>
      <c r="AC817" s="7"/>
      <c r="AD817" s="4"/>
      <c r="AE817" s="4"/>
      <c r="AF817" s="4"/>
      <c r="AG817" s="4"/>
      <c r="AH817" s="5"/>
      <c r="AI817" s="5"/>
      <c r="AJ817" s="5"/>
      <c r="AK817" s="5"/>
      <c r="AL817" s="5"/>
    </row>
    <row r="818">
      <c r="A818" s="4" t="str">
        <f>VLOOKUP(L818,payment_ids!C:D,2,FALSE)</f>
        <v>pay_HNa64aMOA1Hzd1</v>
      </c>
      <c r="B818" s="4"/>
      <c r="C818" s="4" t="s">
        <v>3708</v>
      </c>
      <c r="D818" s="4">
        <v>50104.0</v>
      </c>
      <c r="E818" s="5"/>
      <c r="F818" s="4">
        <v>1.0</v>
      </c>
      <c r="G818" s="4">
        <v>99.0</v>
      </c>
      <c r="H818" s="4"/>
      <c r="I818" s="4">
        <v>99.0</v>
      </c>
      <c r="J818" s="4" t="s">
        <v>3747</v>
      </c>
      <c r="K818" s="5">
        <f>+917985528091</f>
        <v>917985528091</v>
      </c>
      <c r="L818" s="4" t="str">
        <f t="shared" si="1"/>
        <v>mohit75991@gmail.com917985528091</v>
      </c>
      <c r="M818" s="10" t="s">
        <v>67</v>
      </c>
      <c r="N818" s="4" t="b">
        <v>0</v>
      </c>
      <c r="O818" s="4" t="str">
        <f>VLOOKUP(A818,payment_ids!D:E,2,FALSE)</f>
        <v>upi</v>
      </c>
      <c r="P818" s="4" t="s">
        <v>69</v>
      </c>
      <c r="Q818" s="4" t="s">
        <v>3748</v>
      </c>
      <c r="R818" s="4"/>
      <c r="S818" s="12" t="s">
        <v>3710</v>
      </c>
      <c r="T818" s="4" t="s">
        <v>2444</v>
      </c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5"/>
      <c r="AI818" s="5"/>
      <c r="AJ818" s="5"/>
      <c r="AK818" s="5"/>
      <c r="AL818" s="5"/>
    </row>
    <row r="819">
      <c r="A819" s="4" t="str">
        <f>VLOOKUP(L819,payment_ids!C:D,2,FALSE)</f>
        <v>pay_HNaeFNxCqxG0La</v>
      </c>
      <c r="B819" s="4"/>
      <c r="C819" s="4" t="s">
        <v>3708</v>
      </c>
      <c r="D819" s="4">
        <v>50104.0</v>
      </c>
      <c r="E819" s="5"/>
      <c r="F819" s="4">
        <v>1.0</v>
      </c>
      <c r="G819" s="4">
        <v>99.0</v>
      </c>
      <c r="H819" s="4"/>
      <c r="I819" s="4">
        <v>99.0</v>
      </c>
      <c r="J819" s="4" t="s">
        <v>3749</v>
      </c>
      <c r="K819" s="5">
        <f>+919850255984</f>
        <v>919850255984</v>
      </c>
      <c r="L819" s="4" t="str">
        <f t="shared" si="1"/>
        <v>nikhilshirsagar@freshvnf.com919850255984</v>
      </c>
      <c r="M819" s="10" t="s">
        <v>67</v>
      </c>
      <c r="N819" s="4" t="b">
        <v>0</v>
      </c>
      <c r="O819" s="4" t="str">
        <f>VLOOKUP(A819,payment_ids!D:E,2,FALSE)</f>
        <v>upi</v>
      </c>
      <c r="P819" s="4" t="s">
        <v>69</v>
      </c>
      <c r="Q819" s="4" t="s">
        <v>3750</v>
      </c>
      <c r="R819" s="4"/>
      <c r="S819" s="12" t="s">
        <v>3710</v>
      </c>
      <c r="T819" s="4" t="s">
        <v>2444</v>
      </c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5"/>
      <c r="AI819" s="5"/>
      <c r="AJ819" s="5"/>
      <c r="AK819" s="5"/>
      <c r="AL819" s="5"/>
    </row>
    <row r="820">
      <c r="A820" s="4" t="str">
        <f>VLOOKUP(L820,payment_ids!C:D,2,FALSE)</f>
        <v>pay_HNc6E5Ywmd0fhi</v>
      </c>
      <c r="B820" s="4"/>
      <c r="C820" s="4" t="s">
        <v>3708</v>
      </c>
      <c r="D820" s="4">
        <v>50104.0</v>
      </c>
      <c r="E820" s="5"/>
      <c r="F820" s="4">
        <v>1.0</v>
      </c>
      <c r="G820" s="4">
        <v>99.0</v>
      </c>
      <c r="H820" s="4"/>
      <c r="I820" s="4">
        <v>99.0</v>
      </c>
      <c r="J820" s="4" t="s">
        <v>3751</v>
      </c>
      <c r="K820" s="5">
        <f>+919179624240</f>
        <v>919179624240</v>
      </c>
      <c r="L820" s="4" t="str">
        <f t="shared" si="1"/>
        <v>dubeyashutosh310@gmail.com919179624240</v>
      </c>
      <c r="M820" s="10" t="s">
        <v>67</v>
      </c>
      <c r="N820" s="4" t="b">
        <v>0</v>
      </c>
      <c r="O820" s="4" t="str">
        <f>VLOOKUP(A820,payment_ids!D:E,2,FALSE)</f>
        <v>upi</v>
      </c>
      <c r="P820" s="4" t="s">
        <v>69</v>
      </c>
      <c r="Q820" s="4" t="s">
        <v>3752</v>
      </c>
      <c r="R820" s="4"/>
      <c r="S820" s="12" t="s">
        <v>3710</v>
      </c>
      <c r="T820" s="4" t="s">
        <v>2444</v>
      </c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5"/>
      <c r="AI820" s="5"/>
      <c r="AJ820" s="5"/>
      <c r="AK820" s="5"/>
      <c r="AL820" s="5"/>
    </row>
    <row r="821">
      <c r="A821" s="4" t="str">
        <f>VLOOKUP(L821,payment_ids!C:D,2,FALSE)</f>
        <v>pay_HNxxEsj2lewxZR</v>
      </c>
      <c r="B821" s="4"/>
      <c r="C821" s="4" t="s">
        <v>3708</v>
      </c>
      <c r="D821" s="4">
        <v>50104.0</v>
      </c>
      <c r="E821" s="5"/>
      <c r="F821" s="4">
        <v>3.0</v>
      </c>
      <c r="G821" s="4">
        <v>199.0</v>
      </c>
      <c r="H821" s="4"/>
      <c r="I821" s="4">
        <v>199.0</v>
      </c>
      <c r="J821" s="4" t="s">
        <v>3753</v>
      </c>
      <c r="K821" s="5">
        <f>+917009458959</f>
        <v>917009458959</v>
      </c>
      <c r="L821" s="4" t="str">
        <f t="shared" si="1"/>
        <v>bhumeetgupta2207@gmail.com917009458959</v>
      </c>
      <c r="M821" s="10" t="s">
        <v>67</v>
      </c>
      <c r="N821" s="4" t="b">
        <v>0</v>
      </c>
      <c r="O821" s="4" t="str">
        <f>VLOOKUP(A821,payment_ids!D:E,2,FALSE)</f>
        <v>upi</v>
      </c>
      <c r="P821" s="4" t="s">
        <v>69</v>
      </c>
      <c r="Q821" s="4" t="s">
        <v>3754</v>
      </c>
      <c r="R821" s="4"/>
      <c r="S821" s="12" t="s">
        <v>3710</v>
      </c>
      <c r="T821" s="4" t="s">
        <v>2444</v>
      </c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5"/>
      <c r="AI821" s="5"/>
      <c r="AJ821" s="5"/>
      <c r="AK821" s="5"/>
      <c r="AL821" s="5"/>
    </row>
    <row r="822">
      <c r="A822" s="4" t="str">
        <f>VLOOKUP(L822,payment_ids!C:D,2,FALSE)</f>
        <v>pay_HEqPN6KWKiffEy</v>
      </c>
      <c r="B822" s="4"/>
      <c r="C822" s="4" t="s">
        <v>3708</v>
      </c>
      <c r="D822" s="4">
        <v>50104.0</v>
      </c>
      <c r="E822" s="5"/>
      <c r="F822" s="4">
        <v>1.0</v>
      </c>
      <c r="G822" s="4">
        <v>99.0</v>
      </c>
      <c r="H822" s="4"/>
      <c r="I822" s="4">
        <v>99.0</v>
      </c>
      <c r="J822" s="4" t="s">
        <v>3755</v>
      </c>
      <c r="K822" s="5">
        <f>+918939783920</f>
        <v>918939783920</v>
      </c>
      <c r="L822" s="4" t="str">
        <f t="shared" si="1"/>
        <v>mmuthu28007@gmail.com918939783920</v>
      </c>
      <c r="M822" s="10" t="s">
        <v>67</v>
      </c>
      <c r="N822" s="4" t="b">
        <v>0</v>
      </c>
      <c r="O822" s="4" t="str">
        <f>VLOOKUP(A822,payment_ids!D:E,2,FALSE)</f>
        <v>card</v>
      </c>
      <c r="P822" s="4" t="s">
        <v>69</v>
      </c>
      <c r="Q822" s="4" t="s">
        <v>3756</v>
      </c>
      <c r="R822" s="4"/>
      <c r="S822" s="12" t="s">
        <v>3716</v>
      </c>
      <c r="T822" s="4" t="s">
        <v>2444</v>
      </c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5"/>
      <c r="AI822" s="5"/>
      <c r="AJ822" s="5"/>
      <c r="AK822" s="5"/>
      <c r="AL822" s="5"/>
    </row>
    <row r="823">
      <c r="A823" s="4" t="str">
        <f>VLOOKUP(L823,payment_ids!C:D,2,FALSE)</f>
        <v>pay_HOB0w1xEljiuX5</v>
      </c>
      <c r="B823" s="4"/>
      <c r="C823" s="4" t="s">
        <v>3708</v>
      </c>
      <c r="D823" s="4">
        <v>50104.0</v>
      </c>
      <c r="E823" s="5"/>
      <c r="F823" s="4">
        <v>1.0</v>
      </c>
      <c r="G823" s="4">
        <v>99.0</v>
      </c>
      <c r="H823" s="4"/>
      <c r="I823" s="4">
        <v>99.0</v>
      </c>
      <c r="J823" s="4" t="s">
        <v>3757</v>
      </c>
      <c r="K823" s="5">
        <f>+917567669441</f>
        <v>917567669441</v>
      </c>
      <c r="L823" s="4" t="str">
        <f t="shared" si="1"/>
        <v>patelankit8597@gmail.com917567669441</v>
      </c>
      <c r="M823" s="10" t="s">
        <v>67</v>
      </c>
      <c r="N823" s="4" t="b">
        <v>0</v>
      </c>
      <c r="O823" s="4" t="str">
        <f>VLOOKUP(A823,payment_ids!D:E,2,FALSE)</f>
        <v>wallet</v>
      </c>
      <c r="P823" s="4" t="s">
        <v>69</v>
      </c>
      <c r="Q823" s="4" t="s">
        <v>3758</v>
      </c>
      <c r="R823" s="4"/>
      <c r="S823" s="12" t="s">
        <v>3710</v>
      </c>
      <c r="T823" s="4" t="s">
        <v>2444</v>
      </c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5"/>
      <c r="AI823" s="5"/>
      <c r="AJ823" s="5"/>
      <c r="AK823" s="5"/>
      <c r="AL823" s="5"/>
    </row>
    <row r="824">
      <c r="A824" s="4" t="str">
        <f>VLOOKUP(L824,payment_ids!C:D,2,FALSE)</f>
        <v>pay_HOCQEjb4zl4HXf</v>
      </c>
      <c r="B824" s="4"/>
      <c r="C824" s="4" t="s">
        <v>3708</v>
      </c>
      <c r="D824" s="4">
        <v>50104.0</v>
      </c>
      <c r="E824" s="5"/>
      <c r="F824" s="4">
        <v>1.0</v>
      </c>
      <c r="G824" s="4">
        <v>99.0</v>
      </c>
      <c r="H824" s="4"/>
      <c r="I824" s="4">
        <v>99.0</v>
      </c>
      <c r="J824" s="4" t="s">
        <v>3759</v>
      </c>
      <c r="K824" s="5">
        <f>+919873374096</f>
        <v>919873374096</v>
      </c>
      <c r="L824" s="4" t="str">
        <f t="shared" si="1"/>
        <v>sourabhjain29@gmai.lcom919873374096</v>
      </c>
      <c r="M824" s="10" t="s">
        <v>67</v>
      </c>
      <c r="N824" s="4" t="b">
        <v>0</v>
      </c>
      <c r="O824" s="4" t="str">
        <f>VLOOKUP(A824,payment_ids!D:E,2,FALSE)</f>
        <v>wallet</v>
      </c>
      <c r="P824" s="4" t="s">
        <v>69</v>
      </c>
      <c r="Q824" s="4" t="s">
        <v>3760</v>
      </c>
      <c r="R824" s="4"/>
      <c r="S824" s="12" t="s">
        <v>3710</v>
      </c>
      <c r="T824" s="4" t="s">
        <v>2444</v>
      </c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5"/>
      <c r="AI824" s="5"/>
      <c r="AJ824" s="5"/>
      <c r="AK824" s="5"/>
      <c r="AL824" s="5"/>
    </row>
    <row r="825">
      <c r="A825" s="4" t="str">
        <f>VLOOKUP(L825,payment_ids!C:D,2,FALSE)</f>
        <v>pay_HMRMlrYlyFK0Rf</v>
      </c>
      <c r="B825" s="4"/>
      <c r="C825" s="4" t="s">
        <v>3708</v>
      </c>
      <c r="D825" s="4">
        <v>50104.0</v>
      </c>
      <c r="E825" s="5"/>
      <c r="F825" s="4">
        <v>1.0</v>
      </c>
      <c r="G825" s="4">
        <v>99.0</v>
      </c>
      <c r="H825" s="4"/>
      <c r="I825" s="4">
        <v>99.0</v>
      </c>
      <c r="J825" s="4" t="s">
        <v>2451</v>
      </c>
      <c r="K825" s="5">
        <f>+919731761212</f>
        <v>919731761212</v>
      </c>
      <c r="L825" s="4" t="str">
        <f t="shared" si="1"/>
        <v>krishnaraj.bhatns@gmail.com919731761212</v>
      </c>
      <c r="M825" s="10" t="s">
        <v>67</v>
      </c>
      <c r="N825" s="4" t="b">
        <v>0</v>
      </c>
      <c r="O825" s="4" t="str">
        <f>VLOOKUP(A825,payment_ids!D:E,2,FALSE)</f>
        <v>upi</v>
      </c>
      <c r="P825" s="4" t="s">
        <v>69</v>
      </c>
      <c r="Q825" s="4" t="s">
        <v>3761</v>
      </c>
      <c r="R825" s="4"/>
      <c r="S825" s="12" t="s">
        <v>3716</v>
      </c>
      <c r="T825" s="4" t="s">
        <v>2444</v>
      </c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5"/>
      <c r="AI825" s="5"/>
      <c r="AJ825" s="5"/>
      <c r="AK825" s="5"/>
      <c r="AL825" s="5"/>
    </row>
    <row r="826">
      <c r="A826" s="4" t="str">
        <f>VLOOKUP(L826,payment_ids!C:D,2,FALSE)</f>
        <v>pay_HPG2kVFwG3blhe</v>
      </c>
      <c r="B826" s="4"/>
      <c r="C826" s="4" t="s">
        <v>3708</v>
      </c>
      <c r="D826" s="4">
        <v>50104.0</v>
      </c>
      <c r="E826" s="5"/>
      <c r="F826" s="4">
        <v>3.0</v>
      </c>
      <c r="G826" s="4">
        <v>199.0</v>
      </c>
      <c r="H826" s="4"/>
      <c r="I826" s="4">
        <v>199.0</v>
      </c>
      <c r="J826" s="4" t="s">
        <v>3762</v>
      </c>
      <c r="K826" s="5">
        <f>+919985334362</f>
        <v>919985334362</v>
      </c>
      <c r="L826" s="4" t="str">
        <f t="shared" si="1"/>
        <v>rupesh.pothugunta@gmail.com919985334362</v>
      </c>
      <c r="M826" s="10" t="s">
        <v>67</v>
      </c>
      <c r="N826" s="4" t="b">
        <v>0</v>
      </c>
      <c r="O826" s="4" t="str">
        <f>VLOOKUP(A826,payment_ids!D:E,2,FALSE)</f>
        <v>upi</v>
      </c>
      <c r="P826" s="4" t="s">
        <v>69</v>
      </c>
      <c r="Q826" s="4" t="s">
        <v>3763</v>
      </c>
      <c r="R826" s="4"/>
      <c r="S826" s="12" t="s">
        <v>3710</v>
      </c>
      <c r="T826" s="4" t="s">
        <v>2444</v>
      </c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5"/>
      <c r="AI826" s="5"/>
      <c r="AJ826" s="5"/>
      <c r="AK826" s="5"/>
      <c r="AL826" s="5"/>
    </row>
    <row r="827">
      <c r="A827" s="4" t="str">
        <f>VLOOKUP(L827,payment_ids!C:D,2,FALSE)</f>
        <v>pay_HPLFmYocldDSt8</v>
      </c>
      <c r="B827" s="4"/>
      <c r="C827" s="4" t="s">
        <v>3708</v>
      </c>
      <c r="D827" s="4">
        <v>50104.0</v>
      </c>
      <c r="E827" s="5"/>
      <c r="F827" s="4">
        <v>3.0</v>
      </c>
      <c r="G827" s="4">
        <v>199.0</v>
      </c>
      <c r="H827" s="4"/>
      <c r="I827" s="4">
        <v>199.0</v>
      </c>
      <c r="J827" s="4" t="s">
        <v>3764</v>
      </c>
      <c r="K827" s="5">
        <f>+918877090991</f>
        <v>918877090991</v>
      </c>
      <c r="L827" s="4" t="str">
        <f t="shared" si="1"/>
        <v>koushik0910@gmail.com918877090991</v>
      </c>
      <c r="M827" s="10" t="s">
        <v>67</v>
      </c>
      <c r="N827" s="4" t="b">
        <v>0</v>
      </c>
      <c r="O827" s="4" t="str">
        <f>VLOOKUP(A827,payment_ids!D:E,2,FALSE)</f>
        <v>upi</v>
      </c>
      <c r="P827" s="4" t="s">
        <v>69</v>
      </c>
      <c r="Q827" s="4" t="s">
        <v>3765</v>
      </c>
      <c r="R827" s="4"/>
      <c r="S827" s="12" t="s">
        <v>3710</v>
      </c>
      <c r="T827" s="4" t="s">
        <v>2444</v>
      </c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5"/>
      <c r="AI827" s="5"/>
      <c r="AJ827" s="5"/>
      <c r="AK827" s="5"/>
      <c r="AL827" s="5"/>
    </row>
    <row r="828">
      <c r="A828" s="4" t="str">
        <f>VLOOKUP(L828,payment_ids!C:D,2,FALSE)</f>
        <v>pay_HPZzRfOAORQ1sf</v>
      </c>
      <c r="B828" s="4"/>
      <c r="C828" s="4" t="s">
        <v>3708</v>
      </c>
      <c r="D828" s="4">
        <v>50104.0</v>
      </c>
      <c r="E828" s="5"/>
      <c r="F828" s="4">
        <v>1.0</v>
      </c>
      <c r="G828" s="4">
        <v>99.0</v>
      </c>
      <c r="H828" s="4"/>
      <c r="I828" s="4">
        <v>99.0</v>
      </c>
      <c r="J828" s="4" t="s">
        <v>3766</v>
      </c>
      <c r="K828" s="5">
        <f>+917829978709</f>
        <v>917829978709</v>
      </c>
      <c r="L828" s="4" t="str">
        <f t="shared" si="1"/>
        <v>shrinidhigs96@gmail.com917829978709</v>
      </c>
      <c r="M828" s="10" t="s">
        <v>67</v>
      </c>
      <c r="N828" s="4" t="b">
        <v>0</v>
      </c>
      <c r="O828" s="4" t="str">
        <f>VLOOKUP(A828,payment_ids!D:E,2,FALSE)</f>
        <v>upi</v>
      </c>
      <c r="P828" s="4" t="s">
        <v>69</v>
      </c>
      <c r="Q828" s="4" t="s">
        <v>3767</v>
      </c>
      <c r="R828" s="4"/>
      <c r="S828" s="12" t="s">
        <v>3710</v>
      </c>
      <c r="T828" s="4" t="s">
        <v>2444</v>
      </c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5"/>
      <c r="AI828" s="5"/>
      <c r="AJ828" s="5"/>
      <c r="AK828" s="5"/>
      <c r="AL828" s="5"/>
    </row>
    <row r="829">
      <c r="A829" s="4" t="str">
        <f>VLOOKUP(L829,payment_ids!C:D,2,FALSE)</f>
        <v>pay_HPn8NfRUiTnYMN</v>
      </c>
      <c r="B829" s="4"/>
      <c r="C829" s="4" t="s">
        <v>3708</v>
      </c>
      <c r="D829" s="4">
        <v>50104.0</v>
      </c>
      <c r="E829" s="5"/>
      <c r="F829" s="4">
        <v>1.0</v>
      </c>
      <c r="G829" s="4">
        <v>99.0</v>
      </c>
      <c r="H829" s="4"/>
      <c r="I829" s="4">
        <v>99.0</v>
      </c>
      <c r="J829" s="4" t="s">
        <v>3768</v>
      </c>
      <c r="K829" s="5">
        <f>+918734838674</f>
        <v>918734838674</v>
      </c>
      <c r="L829" s="4" t="str">
        <f t="shared" si="1"/>
        <v>hvsharma63@gmail.com918734838674</v>
      </c>
      <c r="M829" s="10" t="s">
        <v>67</v>
      </c>
      <c r="N829" s="4" t="b">
        <v>0</v>
      </c>
      <c r="O829" s="4" t="str">
        <f>VLOOKUP(A829,payment_ids!D:E,2,FALSE)</f>
        <v>upi</v>
      </c>
      <c r="P829" s="4" t="s">
        <v>69</v>
      </c>
      <c r="Q829" s="4" t="s">
        <v>3769</v>
      </c>
      <c r="R829" s="4"/>
      <c r="S829" s="12" t="s">
        <v>3710</v>
      </c>
      <c r="T829" s="4" t="s">
        <v>2444</v>
      </c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5"/>
      <c r="AI829" s="5"/>
      <c r="AJ829" s="5"/>
      <c r="AK829" s="5"/>
      <c r="AL829" s="5"/>
    </row>
    <row r="830">
      <c r="A830" s="4" t="str">
        <f>VLOOKUP(L830,payment_ids!C:D,2,FALSE)</f>
        <v>pay_HQ0KScLIlG4Dy2</v>
      </c>
      <c r="B830" s="4"/>
      <c r="C830" s="4" t="s">
        <v>3708</v>
      </c>
      <c r="D830" s="4">
        <v>50104.0</v>
      </c>
      <c r="E830" s="5"/>
      <c r="F830" s="4">
        <v>1.0</v>
      </c>
      <c r="G830" s="4">
        <v>99.0</v>
      </c>
      <c r="H830" s="4"/>
      <c r="I830" s="4">
        <v>99.0</v>
      </c>
      <c r="J830" s="4" t="s">
        <v>3770</v>
      </c>
      <c r="K830" s="5">
        <f>+918197074748</f>
        <v>918197074748</v>
      </c>
      <c r="L830" s="4" t="str">
        <f t="shared" si="1"/>
        <v>lrswathi27@gmail.com918197074748</v>
      </c>
      <c r="M830" s="10" t="s">
        <v>67</v>
      </c>
      <c r="N830" s="4" t="b">
        <v>0</v>
      </c>
      <c r="O830" s="4" t="str">
        <f>VLOOKUP(A830,payment_ids!D:E,2,FALSE)</f>
        <v>upi</v>
      </c>
      <c r="P830" s="4" t="s">
        <v>69</v>
      </c>
      <c r="Q830" s="4" t="s">
        <v>3771</v>
      </c>
      <c r="R830" s="4"/>
      <c r="S830" s="12" t="s">
        <v>3710</v>
      </c>
      <c r="T830" s="4" t="s">
        <v>2444</v>
      </c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5"/>
      <c r="AI830" s="5"/>
      <c r="AJ830" s="5"/>
      <c r="AK830" s="5"/>
      <c r="AL830" s="5"/>
    </row>
    <row r="831">
      <c r="A831" s="4" t="str">
        <f>VLOOKUP(L831,payment_ids!C:D,2,FALSE)</f>
        <v>pay_HQ3K4gXB75LZi5</v>
      </c>
      <c r="B831" s="4"/>
      <c r="C831" s="4" t="s">
        <v>3708</v>
      </c>
      <c r="D831" s="4">
        <v>50104.0</v>
      </c>
      <c r="E831" s="5"/>
      <c r="F831" s="4">
        <v>6.0</v>
      </c>
      <c r="G831" s="4">
        <v>349.0</v>
      </c>
      <c r="H831" s="4"/>
      <c r="I831" s="4">
        <v>349.0</v>
      </c>
      <c r="J831" s="4" t="s">
        <v>3772</v>
      </c>
      <c r="K831" s="5">
        <f>+919952942170</f>
        <v>919952942170</v>
      </c>
      <c r="L831" s="4" t="str">
        <f t="shared" si="1"/>
        <v>raman_anuradha@yahoo.com919952942170</v>
      </c>
      <c r="M831" s="10" t="s">
        <v>67</v>
      </c>
      <c r="N831" s="4" t="b">
        <v>0</v>
      </c>
      <c r="O831" s="4" t="str">
        <f>VLOOKUP(A831,payment_ids!D:E,2,FALSE)</f>
        <v>upi</v>
      </c>
      <c r="P831" s="4" t="s">
        <v>69</v>
      </c>
      <c r="Q831" s="4" t="s">
        <v>3773</v>
      </c>
      <c r="R831" s="4"/>
      <c r="S831" s="12" t="s">
        <v>3710</v>
      </c>
      <c r="T831" s="4" t="s">
        <v>2444</v>
      </c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5"/>
      <c r="AI831" s="5"/>
      <c r="AJ831" s="5"/>
      <c r="AK831" s="5"/>
      <c r="AL831" s="5"/>
    </row>
    <row r="832">
      <c r="A832" s="4" t="str">
        <f>VLOOKUP(L832,payment_ids!C:D,2,FALSE)</f>
        <v>pay_H6M18PniZZxhuH</v>
      </c>
      <c r="B832" s="4"/>
      <c r="C832" s="4" t="s">
        <v>587</v>
      </c>
      <c r="D832" s="4">
        <v>49907.0</v>
      </c>
      <c r="E832" s="4"/>
      <c r="F832" s="4">
        <v>1.0</v>
      </c>
      <c r="G832" s="4">
        <v>99.0</v>
      </c>
      <c r="H832" s="4"/>
      <c r="I832" s="4">
        <v>99.0</v>
      </c>
      <c r="J832" s="4" t="s">
        <v>2458</v>
      </c>
      <c r="K832" s="6">
        <f>+919416173796</f>
        <v>919416173796</v>
      </c>
      <c r="L832" s="4" t="str">
        <f t="shared" si="1"/>
        <v>mahirgupta98@gmail.com919416173796</v>
      </c>
      <c r="M832" s="10" t="s">
        <v>67</v>
      </c>
      <c r="N832" s="4" t="b">
        <v>0</v>
      </c>
      <c r="O832" s="4" t="str">
        <f>VLOOKUP(A832,payment_ids!D:E,2,FALSE)</f>
        <v>upi</v>
      </c>
      <c r="P832" s="4" t="s">
        <v>69</v>
      </c>
      <c r="Q832" s="11">
        <v>44352.87291666667</v>
      </c>
      <c r="R832" s="4"/>
      <c r="S832" s="12" t="s">
        <v>3774</v>
      </c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5"/>
      <c r="AI832" s="5"/>
      <c r="AJ832" s="5"/>
      <c r="AK832" s="5"/>
      <c r="AL832" s="5"/>
    </row>
    <row r="833">
      <c r="A833" s="4" t="str">
        <f>VLOOKUP(L833,payment_ids!C:D,2,FALSE)</f>
        <v>pay_H7yx6iYuiPHDQ7</v>
      </c>
      <c r="B833" s="4"/>
      <c r="C833" s="4" t="s">
        <v>587</v>
      </c>
      <c r="D833" s="4">
        <v>49907.0</v>
      </c>
      <c r="E833" s="4"/>
      <c r="F833" s="4">
        <v>3.0</v>
      </c>
      <c r="G833" s="4">
        <v>199.0</v>
      </c>
      <c r="H833" s="4"/>
      <c r="I833" s="4">
        <v>199.0</v>
      </c>
      <c r="J833" s="4" t="s">
        <v>3775</v>
      </c>
      <c r="K833" s="6">
        <f>+917675899818</f>
        <v>917675899818</v>
      </c>
      <c r="L833" s="4" t="str">
        <f t="shared" si="1"/>
        <v>tech.tejesh76@gmail.com917675899818</v>
      </c>
      <c r="M833" s="10" t="s">
        <v>67</v>
      </c>
      <c r="N833" s="4" t="b">
        <v>0</v>
      </c>
      <c r="O833" s="4" t="str">
        <f>VLOOKUP(A833,payment_ids!D:E,2,FALSE)</f>
        <v>upi</v>
      </c>
      <c r="P833" s="4" t="s">
        <v>69</v>
      </c>
      <c r="Q833" s="11">
        <v>44382.95694444444</v>
      </c>
      <c r="R833" s="4"/>
      <c r="S833" s="12" t="s">
        <v>3774</v>
      </c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5"/>
      <c r="AI833" s="5"/>
      <c r="AJ833" s="5"/>
      <c r="AK833" s="5"/>
      <c r="AL833" s="5"/>
    </row>
    <row r="834">
      <c r="A834" s="4" t="str">
        <f>VLOOKUP(L834,payment_ids!C:D,2,FALSE)</f>
        <v>pay_H6M18PniZZxhuH</v>
      </c>
      <c r="B834" s="4"/>
      <c r="C834" s="4" t="s">
        <v>587</v>
      </c>
      <c r="D834" s="4">
        <v>49907.0</v>
      </c>
      <c r="E834" s="4"/>
      <c r="F834" s="4">
        <v>1.0</v>
      </c>
      <c r="G834" s="4">
        <v>99.0</v>
      </c>
      <c r="H834" s="4"/>
      <c r="I834" s="4">
        <v>99.0</v>
      </c>
      <c r="J834" s="4" t="s">
        <v>2458</v>
      </c>
      <c r="K834" s="6">
        <f>+919416173796</f>
        <v>919416173796</v>
      </c>
      <c r="L834" s="4" t="str">
        <f t="shared" si="1"/>
        <v>mahirgupta98@gmail.com919416173796</v>
      </c>
      <c r="M834" s="10" t="s">
        <v>67</v>
      </c>
      <c r="N834" s="4" t="b">
        <v>0</v>
      </c>
      <c r="O834" s="4" t="str">
        <f>VLOOKUP(A834,payment_ids!D:E,2,FALSE)</f>
        <v>upi</v>
      </c>
      <c r="P834" s="4" t="s">
        <v>69</v>
      </c>
      <c r="Q834" s="11">
        <v>44382.475694444445</v>
      </c>
      <c r="R834" s="4"/>
      <c r="S834" s="12" t="s">
        <v>3774</v>
      </c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5"/>
      <c r="AI834" s="5"/>
      <c r="AJ834" s="5"/>
      <c r="AK834" s="5"/>
      <c r="AL834" s="5"/>
    </row>
    <row r="835">
      <c r="A835" s="4" t="str">
        <f>VLOOKUP(L835,payment_ids!C:D,2,FALSE)</f>
        <v>pay_H8JMU2TjZtHmJQ</v>
      </c>
      <c r="B835" s="4"/>
      <c r="C835" s="4" t="s">
        <v>587</v>
      </c>
      <c r="D835" s="4">
        <v>49907.0</v>
      </c>
      <c r="E835" s="4"/>
      <c r="F835" s="4">
        <v>6.0</v>
      </c>
      <c r="G835" s="4">
        <v>349.0</v>
      </c>
      <c r="H835" s="4"/>
      <c r="I835" s="4">
        <v>349.0</v>
      </c>
      <c r="J835" s="4" t="s">
        <v>3776</v>
      </c>
      <c r="K835" s="6">
        <f>+919398906120</f>
        <v>919398906120</v>
      </c>
      <c r="L835" s="4" t="str">
        <f t="shared" si="1"/>
        <v>bhargav.thota18@gmail.com919398906120</v>
      </c>
      <c r="M835" s="10" t="s">
        <v>67</v>
      </c>
      <c r="N835" s="4" t="b">
        <v>0</v>
      </c>
      <c r="O835" s="4" t="str">
        <f>VLOOKUP(A835,payment_ids!D:E,2,FALSE)</f>
        <v>upi</v>
      </c>
      <c r="P835" s="4" t="s">
        <v>69</v>
      </c>
      <c r="Q835" s="11">
        <v>44413.78333333333</v>
      </c>
      <c r="R835" s="4"/>
      <c r="S835" s="12" t="s">
        <v>3774</v>
      </c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5"/>
      <c r="AI835" s="5"/>
      <c r="AJ835" s="5"/>
      <c r="AK835" s="5"/>
      <c r="AL835" s="5"/>
    </row>
    <row r="836">
      <c r="A836" s="4" t="str">
        <f>VLOOKUP(L836,payment_ids!C:D,2,FALSE)</f>
        <v>pay_H8NXCP6jqHM856</v>
      </c>
      <c r="B836" s="4"/>
      <c r="C836" s="4" t="s">
        <v>587</v>
      </c>
      <c r="D836" s="4">
        <v>49907.0</v>
      </c>
      <c r="E836" s="4"/>
      <c r="F836" s="4">
        <v>1.0</v>
      </c>
      <c r="G836" s="4">
        <v>99.0</v>
      </c>
      <c r="H836" s="4"/>
      <c r="I836" s="4">
        <v>99.0</v>
      </c>
      <c r="J836" s="4" t="s">
        <v>3777</v>
      </c>
      <c r="K836" s="6">
        <f>+917837668477</f>
        <v>917837668477</v>
      </c>
      <c r="L836" s="4" t="str">
        <f t="shared" si="1"/>
        <v>singhsagar65@gmail.com917837668477</v>
      </c>
      <c r="M836" s="10" t="s">
        <v>67</v>
      </c>
      <c r="N836" s="4" t="b">
        <v>0</v>
      </c>
      <c r="O836" s="4" t="str">
        <f>VLOOKUP(A836,payment_ids!D:E,2,FALSE)</f>
        <v>upi</v>
      </c>
      <c r="P836" s="4" t="s">
        <v>69</v>
      </c>
      <c r="Q836" s="11">
        <v>44413.95277777778</v>
      </c>
      <c r="R836" s="4"/>
      <c r="S836" s="12" t="s">
        <v>3774</v>
      </c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5"/>
      <c r="AI836" s="5"/>
      <c r="AJ836" s="5"/>
      <c r="AK836" s="5"/>
      <c r="AL836" s="5"/>
    </row>
    <row r="837">
      <c r="A837" s="4" t="str">
        <f>VLOOKUP(L837,payment_ids!C:D,2,FALSE)</f>
        <v>pay_H8P3i9DX154GEl</v>
      </c>
      <c r="B837" s="4"/>
      <c r="C837" s="4" t="s">
        <v>587</v>
      </c>
      <c r="D837" s="4">
        <v>49907.0</v>
      </c>
      <c r="E837" s="4"/>
      <c r="F837" s="4">
        <v>1.0</v>
      </c>
      <c r="G837" s="4">
        <v>99.0</v>
      </c>
      <c r="H837" s="4"/>
      <c r="I837" s="4">
        <v>99.0</v>
      </c>
      <c r="J837" s="4" t="s">
        <v>3778</v>
      </c>
      <c r="K837" s="6">
        <f>+917021755072</f>
        <v>917021755072</v>
      </c>
      <c r="L837" s="4" t="str">
        <f t="shared" si="1"/>
        <v>gawdeakshay28@gmail.com917021755072</v>
      </c>
      <c r="M837" s="10" t="s">
        <v>67</v>
      </c>
      <c r="N837" s="4" t="b">
        <v>0</v>
      </c>
      <c r="O837" s="4" t="str">
        <f>VLOOKUP(A837,payment_ids!D:E,2,FALSE)</f>
        <v>upi</v>
      </c>
      <c r="P837" s="4" t="s">
        <v>69</v>
      </c>
      <c r="Q837" s="11">
        <v>44444.01458333333</v>
      </c>
      <c r="R837" s="4"/>
      <c r="S837" s="12" t="s">
        <v>3774</v>
      </c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5"/>
      <c r="AI837" s="5"/>
      <c r="AJ837" s="5"/>
      <c r="AK837" s="5"/>
      <c r="AL837" s="5"/>
    </row>
    <row r="838">
      <c r="A838" s="4" t="str">
        <f>VLOOKUP(L838,payment_ids!C:D,2,FALSE)</f>
        <v>pay_HDjJzzl2WZEqyW</v>
      </c>
      <c r="B838" s="4"/>
      <c r="C838" s="4" t="s">
        <v>587</v>
      </c>
      <c r="D838" s="4">
        <v>49907.0</v>
      </c>
      <c r="E838" s="4"/>
      <c r="F838" s="4">
        <v>6.0</v>
      </c>
      <c r="G838" s="4">
        <v>349.0</v>
      </c>
      <c r="H838" s="4"/>
      <c r="I838" s="4">
        <v>349.0</v>
      </c>
      <c r="J838" s="4" t="s">
        <v>3779</v>
      </c>
      <c r="K838" s="6">
        <f>+919599140413</f>
        <v>919599140413</v>
      </c>
      <c r="L838" s="4" t="str">
        <f t="shared" si="1"/>
        <v>ankur.bhatia89@gmail.com919599140413</v>
      </c>
      <c r="M838" s="10" t="s">
        <v>67</v>
      </c>
      <c r="N838" s="4" t="b">
        <v>0</v>
      </c>
      <c r="O838" s="4" t="str">
        <f>VLOOKUP(A838,payment_ids!D:E,2,FALSE)</f>
        <v>upi</v>
      </c>
      <c r="P838" s="4" t="s">
        <v>69</v>
      </c>
      <c r="Q838" s="4" t="s">
        <v>3780</v>
      </c>
      <c r="R838" s="4"/>
      <c r="S838" s="12" t="s">
        <v>3774</v>
      </c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5"/>
      <c r="AI838" s="5"/>
      <c r="AJ838" s="5"/>
      <c r="AK838" s="5"/>
      <c r="AL838" s="5"/>
    </row>
    <row r="839">
      <c r="A839" s="4" t="str">
        <f>VLOOKUP(L839,payment_ids!C:D,2,FALSE)</f>
        <v>pay_HEA95upMTOZbL0</v>
      </c>
      <c r="B839" s="4"/>
      <c r="C839" s="4" t="s">
        <v>587</v>
      </c>
      <c r="D839" s="4">
        <v>49907.0</v>
      </c>
      <c r="E839" s="4"/>
      <c r="F839" s="4">
        <v>3.0</v>
      </c>
      <c r="G839" s="4">
        <v>199.0</v>
      </c>
      <c r="H839" s="4"/>
      <c r="I839" s="4">
        <v>199.0</v>
      </c>
      <c r="J839" s="4" t="s">
        <v>3781</v>
      </c>
      <c r="K839" s="6">
        <f>+918197617453</f>
        <v>918197617453</v>
      </c>
      <c r="L839" s="4" t="str">
        <f t="shared" si="1"/>
        <v>drj819@gmail.com918197617453</v>
      </c>
      <c r="M839" s="10" t="s">
        <v>67</v>
      </c>
      <c r="N839" s="4" t="b">
        <v>0</v>
      </c>
      <c r="O839" s="4" t="str">
        <f>VLOOKUP(A839,payment_ids!D:E,2,FALSE)</f>
        <v>wallet</v>
      </c>
      <c r="P839" s="4" t="s">
        <v>69</v>
      </c>
      <c r="Q839" s="4" t="s">
        <v>3782</v>
      </c>
      <c r="R839" s="4"/>
      <c r="S839" s="12" t="s">
        <v>3774</v>
      </c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5"/>
      <c r="AI839" s="5"/>
      <c r="AJ839" s="5"/>
      <c r="AK839" s="5"/>
      <c r="AL839" s="5"/>
    </row>
    <row r="840">
      <c r="A840" s="4" t="str">
        <f>VLOOKUP(L840,payment_ids!C:D,2,FALSE)</f>
        <v>pay_H9AvgGD3qpIRZN</v>
      </c>
      <c r="B840" s="4"/>
      <c r="C840" s="4" t="s">
        <v>587</v>
      </c>
      <c r="D840" s="4">
        <v>49907.0</v>
      </c>
      <c r="E840" s="4"/>
      <c r="F840" s="4">
        <v>3.0</v>
      </c>
      <c r="G840" s="4">
        <v>199.0</v>
      </c>
      <c r="H840" s="4"/>
      <c r="I840" s="4">
        <v>199.0</v>
      </c>
      <c r="J840" s="4" t="s">
        <v>632</v>
      </c>
      <c r="K840" s="6">
        <f>+919989716007</f>
        <v>919989716007</v>
      </c>
      <c r="L840" s="4" t="str">
        <f t="shared" si="1"/>
        <v>buntyboy.1990@gmail.com919989716007</v>
      </c>
      <c r="M840" s="10" t="s">
        <v>67</v>
      </c>
      <c r="N840" s="4" t="b">
        <v>0</v>
      </c>
      <c r="O840" s="4" t="str">
        <f>VLOOKUP(A840,payment_ids!D:E,2,FALSE)</f>
        <v>upi</v>
      </c>
      <c r="P840" s="4" t="s">
        <v>69</v>
      </c>
      <c r="Q840" s="4" t="s">
        <v>3783</v>
      </c>
      <c r="R840" s="4"/>
      <c r="S840" s="12" t="s">
        <v>3774</v>
      </c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5"/>
      <c r="AI840" s="5"/>
      <c r="AJ840" s="5"/>
      <c r="AK840" s="5"/>
      <c r="AL840" s="5"/>
    </row>
    <row r="841">
      <c r="A841" s="4" t="str">
        <f>VLOOKUP(L841,payment_ids!C:D,2,FALSE)</f>
        <v>pay_HEfgBPfCkXIeFY</v>
      </c>
      <c r="B841" s="4"/>
      <c r="C841" s="4" t="s">
        <v>587</v>
      </c>
      <c r="D841" s="4">
        <v>49907.0</v>
      </c>
      <c r="E841" s="4"/>
      <c r="F841" s="4">
        <v>6.0</v>
      </c>
      <c r="G841" s="4">
        <v>349.0</v>
      </c>
      <c r="H841" s="4"/>
      <c r="I841" s="4">
        <v>349.0</v>
      </c>
      <c r="J841" s="4" t="s">
        <v>662</v>
      </c>
      <c r="K841" s="6">
        <f>+919014649905</f>
        <v>919014649905</v>
      </c>
      <c r="L841" s="4" t="str">
        <f t="shared" si="1"/>
        <v>pavan.mtech1989@gmail.com919014649905</v>
      </c>
      <c r="M841" s="10" t="s">
        <v>67</v>
      </c>
      <c r="N841" s="4" t="b">
        <v>0</v>
      </c>
      <c r="O841" s="4" t="str">
        <f>VLOOKUP(A841,payment_ids!D:E,2,FALSE)</f>
        <v>upi</v>
      </c>
      <c r="P841" s="4" t="s">
        <v>69</v>
      </c>
      <c r="Q841" s="4" t="s">
        <v>3784</v>
      </c>
      <c r="R841" s="4"/>
      <c r="S841" s="12" t="s">
        <v>3774</v>
      </c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5"/>
      <c r="AI841" s="5"/>
      <c r="AJ841" s="5"/>
      <c r="AK841" s="5"/>
      <c r="AL841" s="5"/>
    </row>
    <row r="842">
      <c r="A842" s="4" t="str">
        <f>VLOOKUP(L842,payment_ids!C:D,2,FALSE)</f>
        <v>pay_HEyd9N3zbQ0THi</v>
      </c>
      <c r="B842" s="4"/>
      <c r="C842" s="4" t="s">
        <v>587</v>
      </c>
      <c r="D842" s="4">
        <v>49907.0</v>
      </c>
      <c r="E842" s="4"/>
      <c r="F842" s="4">
        <v>1.0</v>
      </c>
      <c r="G842" s="4">
        <v>99.0</v>
      </c>
      <c r="H842" s="4"/>
      <c r="I842" s="4">
        <v>99.0</v>
      </c>
      <c r="J842" s="4" t="s">
        <v>3785</v>
      </c>
      <c r="K842" s="6">
        <f>+919429379185</f>
        <v>919429379185</v>
      </c>
      <c r="L842" s="4" t="str">
        <f t="shared" si="1"/>
        <v>pranayrawat92@gmail.com919429379185</v>
      </c>
      <c r="M842" s="10" t="s">
        <v>67</v>
      </c>
      <c r="N842" s="4" t="b">
        <v>0</v>
      </c>
      <c r="O842" s="4" t="str">
        <f>VLOOKUP(A842,payment_ids!D:E,2,FALSE)</f>
        <v>upi</v>
      </c>
      <c r="P842" s="4" t="s">
        <v>69</v>
      </c>
      <c r="Q842" s="4" t="s">
        <v>3786</v>
      </c>
      <c r="R842" s="4"/>
      <c r="S842" s="12" t="s">
        <v>3774</v>
      </c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5"/>
      <c r="AI842" s="5"/>
      <c r="AJ842" s="5"/>
      <c r="AK842" s="5"/>
      <c r="AL842" s="5"/>
    </row>
    <row r="843">
      <c r="A843" s="4" t="str">
        <f>VLOOKUP(L843,payment_ids!C:D,2,FALSE)</f>
        <v>pay_HF41j38UM5CcbJ</v>
      </c>
      <c r="B843" s="4"/>
      <c r="C843" s="4" t="s">
        <v>587</v>
      </c>
      <c r="D843" s="4">
        <v>49907.0</v>
      </c>
      <c r="E843" s="4"/>
      <c r="F843" s="4">
        <v>6.0</v>
      </c>
      <c r="G843" s="4">
        <v>349.0</v>
      </c>
      <c r="H843" s="4"/>
      <c r="I843" s="4">
        <v>349.0</v>
      </c>
      <c r="J843" s="4" t="s">
        <v>3787</v>
      </c>
      <c r="K843" s="6">
        <f>+919866474323</f>
        <v>919866474323</v>
      </c>
      <c r="L843" s="4" t="str">
        <f t="shared" si="1"/>
        <v>aseefshaik2.0@gmail.com919866474323</v>
      </c>
      <c r="M843" s="10" t="s">
        <v>67</v>
      </c>
      <c r="N843" s="4" t="b">
        <v>0</v>
      </c>
      <c r="O843" s="4" t="str">
        <f>VLOOKUP(A843,payment_ids!D:E,2,FALSE)</f>
        <v>upi</v>
      </c>
      <c r="P843" s="4" t="s">
        <v>69</v>
      </c>
      <c r="Q843" s="4" t="s">
        <v>3788</v>
      </c>
      <c r="R843" s="4"/>
      <c r="S843" s="12" t="s">
        <v>3774</v>
      </c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5"/>
      <c r="AI843" s="5"/>
      <c r="AJ843" s="5"/>
      <c r="AK843" s="5"/>
      <c r="AL843" s="5"/>
    </row>
    <row r="844">
      <c r="A844" s="4" t="str">
        <f>VLOOKUP(L844,payment_ids!C:D,2,FALSE)</f>
        <v>pay_HFeaXfJzM4DMXx</v>
      </c>
      <c r="B844" s="4"/>
      <c r="C844" s="4" t="s">
        <v>587</v>
      </c>
      <c r="D844" s="4">
        <v>49907.0</v>
      </c>
      <c r="E844" s="5"/>
      <c r="F844" s="4">
        <v>1.0</v>
      </c>
      <c r="G844" s="4">
        <v>99.0</v>
      </c>
      <c r="H844" s="4"/>
      <c r="I844" s="4">
        <v>99.0</v>
      </c>
      <c r="J844" s="4" t="s">
        <v>3789</v>
      </c>
      <c r="K844" s="5">
        <f>+916302490323</f>
        <v>916302490323</v>
      </c>
      <c r="L844" s="4" t="str">
        <f t="shared" si="1"/>
        <v>pratap.gangi@gmail.com916302490323</v>
      </c>
      <c r="M844" s="10" t="s">
        <v>67</v>
      </c>
      <c r="N844" s="4" t="b">
        <v>0</v>
      </c>
      <c r="O844" s="4" t="str">
        <f>VLOOKUP(A844,payment_ids!D:E,2,FALSE)</f>
        <v>upi</v>
      </c>
      <c r="P844" s="4" t="s">
        <v>69</v>
      </c>
      <c r="Q844" s="4" t="s">
        <v>3790</v>
      </c>
      <c r="R844" s="4"/>
      <c r="S844" s="12" t="s">
        <v>3774</v>
      </c>
      <c r="T844" s="5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5"/>
      <c r="AI844" s="5"/>
      <c r="AJ844" s="5"/>
      <c r="AK844" s="5"/>
      <c r="AL844" s="5"/>
    </row>
    <row r="845">
      <c r="A845" s="4" t="str">
        <f>VLOOKUP(L845,payment_ids!C:D,2,FALSE)</f>
        <v>pay_HFl2j9AELUimfq</v>
      </c>
      <c r="B845" s="4"/>
      <c r="C845" s="4" t="s">
        <v>587</v>
      </c>
      <c r="D845" s="4">
        <v>49907.0</v>
      </c>
      <c r="E845" s="5"/>
      <c r="F845" s="4">
        <v>1.0</v>
      </c>
      <c r="G845" s="4">
        <v>99.0</v>
      </c>
      <c r="H845" s="4"/>
      <c r="I845" s="4">
        <v>99.0</v>
      </c>
      <c r="J845" s="4" t="s">
        <v>3791</v>
      </c>
      <c r="K845" s="5">
        <f>+918328251656</f>
        <v>918328251656</v>
      </c>
      <c r="L845" s="4" t="str">
        <f t="shared" si="1"/>
        <v>vvssharini2000@gmail.com918328251656</v>
      </c>
      <c r="M845" s="10" t="s">
        <v>67</v>
      </c>
      <c r="N845" s="4" t="b">
        <v>0</v>
      </c>
      <c r="O845" s="4" t="str">
        <f>VLOOKUP(A845,payment_ids!D:E,2,FALSE)</f>
        <v>upi</v>
      </c>
      <c r="P845" s="4" t="s">
        <v>69</v>
      </c>
      <c r="Q845" s="4" t="s">
        <v>3792</v>
      </c>
      <c r="R845" s="4"/>
      <c r="S845" s="12" t="s">
        <v>3774</v>
      </c>
      <c r="T845" s="5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5"/>
      <c r="AI845" s="5"/>
      <c r="AJ845" s="5"/>
      <c r="AK845" s="5"/>
      <c r="AL845" s="5"/>
    </row>
    <row r="846">
      <c r="A846" s="4" t="str">
        <f>VLOOKUP(L846,payment_ids!C:D,2,FALSE)</f>
        <v>pay_HGHWi5eor4viuo</v>
      </c>
      <c r="B846" s="4"/>
      <c r="C846" s="4" t="s">
        <v>587</v>
      </c>
      <c r="D846" s="4">
        <v>49907.0</v>
      </c>
      <c r="E846" s="5"/>
      <c r="F846" s="4">
        <v>6.0</v>
      </c>
      <c r="G846" s="4">
        <v>349.0</v>
      </c>
      <c r="H846" s="4"/>
      <c r="I846" s="4">
        <v>349.0</v>
      </c>
      <c r="J846" s="4" t="s">
        <v>3793</v>
      </c>
      <c r="K846" s="5">
        <f>+918010130126</f>
        <v>918010130126</v>
      </c>
      <c r="L846" s="4" t="str">
        <f t="shared" si="1"/>
        <v>meenayogendra001@gmail.com918010130126</v>
      </c>
      <c r="M846" s="10" t="s">
        <v>67</v>
      </c>
      <c r="N846" s="4" t="b">
        <v>0</v>
      </c>
      <c r="O846" s="4" t="str">
        <f>VLOOKUP(A846,payment_ids!D:E,2,FALSE)</f>
        <v>upi</v>
      </c>
      <c r="P846" s="4" t="s">
        <v>69</v>
      </c>
      <c r="Q846" s="4" t="s">
        <v>3794</v>
      </c>
      <c r="R846" s="4"/>
      <c r="S846" s="12" t="s">
        <v>3774</v>
      </c>
      <c r="T846" s="5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5"/>
      <c r="AI846" s="5"/>
      <c r="AJ846" s="5"/>
      <c r="AK846" s="5"/>
      <c r="AL846" s="5"/>
    </row>
    <row r="847">
      <c r="A847" s="4" t="str">
        <f>VLOOKUP(L847,payment_ids!C:D,2,FALSE)</f>
        <v>pay_HGVqa7qEAxOrsE</v>
      </c>
      <c r="B847" s="4"/>
      <c r="C847" s="4" t="s">
        <v>587</v>
      </c>
      <c r="D847" s="4">
        <v>49907.0</v>
      </c>
      <c r="E847" s="5"/>
      <c r="F847" s="4">
        <v>1.0</v>
      </c>
      <c r="G847" s="4">
        <v>99.0</v>
      </c>
      <c r="H847" s="4"/>
      <c r="I847" s="4">
        <v>99.0</v>
      </c>
      <c r="J847" s="4" t="s">
        <v>3795</v>
      </c>
      <c r="K847" s="5">
        <f>+919739134951</f>
        <v>919739134951</v>
      </c>
      <c r="L847" s="4" t="str">
        <f t="shared" si="1"/>
        <v>phamaddu@gmail.com919739134951</v>
      </c>
      <c r="M847" s="10" t="s">
        <v>67</v>
      </c>
      <c r="N847" s="4" t="b">
        <v>0</v>
      </c>
      <c r="O847" s="4" t="str">
        <f>VLOOKUP(A847,payment_ids!D:E,2,FALSE)</f>
        <v>upi</v>
      </c>
      <c r="P847" s="4" t="s">
        <v>69</v>
      </c>
      <c r="Q847" s="4" t="s">
        <v>3796</v>
      </c>
      <c r="R847" s="4"/>
      <c r="S847" s="12" t="s">
        <v>3774</v>
      </c>
      <c r="T847" s="5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5"/>
      <c r="AI847" s="5"/>
      <c r="AJ847" s="5"/>
      <c r="AK847" s="5"/>
      <c r="AL847" s="5"/>
    </row>
    <row r="848">
      <c r="A848" s="4" t="str">
        <f>VLOOKUP(L848,payment_ids!C:D,2,FALSE)</f>
        <v>pay_HGuwEAM0HaNht7</v>
      </c>
      <c r="B848" s="4"/>
      <c r="C848" s="4" t="s">
        <v>587</v>
      </c>
      <c r="D848" s="4">
        <v>49907.0</v>
      </c>
      <c r="E848" s="5"/>
      <c r="F848" s="4">
        <v>1.0</v>
      </c>
      <c r="G848" s="4">
        <v>99.0</v>
      </c>
      <c r="H848" s="4"/>
      <c r="I848" s="4">
        <v>99.0</v>
      </c>
      <c r="J848" s="4" t="s">
        <v>3797</v>
      </c>
      <c r="K848" s="5">
        <f>+919997047397</f>
        <v>919997047397</v>
      </c>
      <c r="L848" s="4" t="str">
        <f t="shared" si="1"/>
        <v>gautamr082@gmail.com919997047397</v>
      </c>
      <c r="M848" s="10" t="s">
        <v>67</v>
      </c>
      <c r="N848" s="4" t="b">
        <v>0</v>
      </c>
      <c r="O848" s="4" t="str">
        <f>VLOOKUP(A848,payment_ids!D:E,2,FALSE)</f>
        <v>card</v>
      </c>
      <c r="P848" s="4" t="s">
        <v>69</v>
      </c>
      <c r="Q848" s="4" t="s">
        <v>3798</v>
      </c>
      <c r="R848" s="4"/>
      <c r="S848" s="12" t="s">
        <v>3774</v>
      </c>
      <c r="T848" s="5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5"/>
      <c r="AI848" s="5"/>
      <c r="AJ848" s="5"/>
      <c r="AK848" s="5"/>
      <c r="AL848" s="5"/>
    </row>
    <row r="849">
      <c r="A849" s="4" t="str">
        <f>VLOOKUP(L849,payment_ids!C:D,2,FALSE)</f>
        <v>pay_HH1MIZHBLb3m9h</v>
      </c>
      <c r="B849" s="4"/>
      <c r="C849" s="4" t="s">
        <v>587</v>
      </c>
      <c r="D849" s="4">
        <v>49907.0</v>
      </c>
      <c r="E849" s="5"/>
      <c r="F849" s="4">
        <v>1.0</v>
      </c>
      <c r="G849" s="4">
        <v>99.0</v>
      </c>
      <c r="H849" s="4"/>
      <c r="I849" s="4">
        <v>99.0</v>
      </c>
      <c r="J849" s="4" t="s">
        <v>3799</v>
      </c>
      <c r="K849" s="5">
        <f>+918594979580</f>
        <v>918594979580</v>
      </c>
      <c r="L849" s="4" t="str">
        <f t="shared" si="1"/>
        <v>bapun1226@gmail.com918594979580</v>
      </c>
      <c r="M849" s="10" t="s">
        <v>67</v>
      </c>
      <c r="N849" s="4" t="b">
        <v>0</v>
      </c>
      <c r="O849" s="4" t="str">
        <f>VLOOKUP(A849,payment_ids!D:E,2,FALSE)</f>
        <v>upi</v>
      </c>
      <c r="P849" s="4" t="s">
        <v>69</v>
      </c>
      <c r="Q849" s="4" t="s">
        <v>3800</v>
      </c>
      <c r="R849" s="4"/>
      <c r="S849" s="12" t="s">
        <v>3774</v>
      </c>
      <c r="T849" s="5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5"/>
      <c r="AI849" s="5"/>
      <c r="AJ849" s="5"/>
      <c r="AK849" s="5"/>
      <c r="AL849" s="5"/>
    </row>
    <row r="850">
      <c r="A850" s="4" t="str">
        <f>VLOOKUP(L850,payment_ids!C:D,2,FALSE)</f>
        <v>pay_HH3K95sVAVdq2A</v>
      </c>
      <c r="B850" s="4"/>
      <c r="C850" s="4" t="s">
        <v>587</v>
      </c>
      <c r="D850" s="4">
        <v>49907.0</v>
      </c>
      <c r="E850" s="5"/>
      <c r="F850" s="4">
        <v>1.0</v>
      </c>
      <c r="G850" s="4">
        <v>99.0</v>
      </c>
      <c r="H850" s="4"/>
      <c r="I850" s="4">
        <v>99.0</v>
      </c>
      <c r="J850" s="4" t="s">
        <v>3801</v>
      </c>
      <c r="K850" s="5">
        <f>+919010195900</f>
        <v>919010195900</v>
      </c>
      <c r="L850" s="4" t="str">
        <f t="shared" si="1"/>
        <v>yathesh@outlook.com919010195900</v>
      </c>
      <c r="M850" s="10" t="s">
        <v>67</v>
      </c>
      <c r="N850" s="4" t="b">
        <v>0</v>
      </c>
      <c r="O850" s="4" t="str">
        <f>VLOOKUP(A850,payment_ids!D:E,2,FALSE)</f>
        <v>upi</v>
      </c>
      <c r="P850" s="4" t="s">
        <v>69</v>
      </c>
      <c r="Q850" s="4" t="s">
        <v>3802</v>
      </c>
      <c r="R850" s="4"/>
      <c r="S850" s="12" t="s">
        <v>3774</v>
      </c>
      <c r="T850" s="5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5"/>
      <c r="AI850" s="5"/>
      <c r="AJ850" s="5"/>
      <c r="AK850" s="5"/>
      <c r="AL850" s="5"/>
    </row>
    <row r="851">
      <c r="A851" s="4" t="str">
        <f>VLOOKUP(L851,payment_ids!C:D,2,FALSE)</f>
        <v>pay_HH72OrUvIH5V21</v>
      </c>
      <c r="B851" s="4"/>
      <c r="C851" s="4" t="s">
        <v>587</v>
      </c>
      <c r="D851" s="4">
        <v>49907.0</v>
      </c>
      <c r="E851" s="5"/>
      <c r="F851" s="4">
        <v>6.0</v>
      </c>
      <c r="G851" s="4">
        <v>349.0</v>
      </c>
      <c r="H851" s="4"/>
      <c r="I851" s="4">
        <v>349.0</v>
      </c>
      <c r="J851" s="4" t="s">
        <v>3803</v>
      </c>
      <c r="K851" s="5">
        <f>+918792094347</f>
        <v>918792094347</v>
      </c>
      <c r="L851" s="4" t="str">
        <f t="shared" si="1"/>
        <v>vineet675@gmail.com918792094347</v>
      </c>
      <c r="M851" s="10" t="s">
        <v>67</v>
      </c>
      <c r="N851" s="4" t="b">
        <v>0</v>
      </c>
      <c r="O851" s="4" t="str">
        <f>VLOOKUP(A851,payment_ids!D:E,2,FALSE)</f>
        <v>upi</v>
      </c>
      <c r="P851" s="4" t="s">
        <v>69</v>
      </c>
      <c r="Q851" s="4" t="s">
        <v>3804</v>
      </c>
      <c r="R851" s="4"/>
      <c r="S851" s="12" t="s">
        <v>3774</v>
      </c>
      <c r="T851" s="5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5"/>
      <c r="AI851" s="5"/>
      <c r="AJ851" s="5"/>
      <c r="AK851" s="5"/>
      <c r="AL851" s="5"/>
    </row>
    <row r="852">
      <c r="A852" s="4" t="str">
        <f>VLOOKUP(L852,payment_ids!C:D,2,FALSE)</f>
        <v>pay_HHCPOWtrV5OFxK</v>
      </c>
      <c r="B852" s="4"/>
      <c r="C852" s="4" t="s">
        <v>587</v>
      </c>
      <c r="D852" s="4">
        <v>49907.0</v>
      </c>
      <c r="E852" s="5"/>
      <c r="F852" s="4">
        <v>3.0</v>
      </c>
      <c r="G852" s="4">
        <v>199.0</v>
      </c>
      <c r="H852" s="4"/>
      <c r="I852" s="4">
        <v>199.0</v>
      </c>
      <c r="J852" s="4" t="s">
        <v>3805</v>
      </c>
      <c r="K852" s="5">
        <f>+919030008242</f>
        <v>919030008242</v>
      </c>
      <c r="L852" s="4" t="str">
        <f t="shared" si="1"/>
        <v>ashok.crt@gmail.com919030008242</v>
      </c>
      <c r="M852" s="10" t="s">
        <v>67</v>
      </c>
      <c r="N852" s="4" t="b">
        <v>0</v>
      </c>
      <c r="O852" s="4" t="str">
        <f>VLOOKUP(A852,payment_ids!D:E,2,FALSE)</f>
        <v>upi</v>
      </c>
      <c r="P852" s="4" t="s">
        <v>69</v>
      </c>
      <c r="Q852" s="4" t="s">
        <v>3806</v>
      </c>
      <c r="R852" s="4"/>
      <c r="S852" s="12" t="s">
        <v>3774</v>
      </c>
      <c r="T852" s="5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5"/>
      <c r="AI852" s="5"/>
      <c r="AJ852" s="5"/>
      <c r="AK852" s="5"/>
      <c r="AL852" s="5"/>
    </row>
    <row r="853">
      <c r="A853" s="4" t="str">
        <f>VLOOKUP(L853,payment_ids!C:D,2,FALSE)</f>
        <v>pay_HHPt10xe27Rz9K</v>
      </c>
      <c r="B853" s="4"/>
      <c r="C853" s="4" t="s">
        <v>587</v>
      </c>
      <c r="D853" s="4">
        <v>49907.0</v>
      </c>
      <c r="E853" s="5"/>
      <c r="F853" s="4">
        <v>1.0</v>
      </c>
      <c r="G853" s="4">
        <v>99.0</v>
      </c>
      <c r="H853" s="4"/>
      <c r="I853" s="4">
        <v>99.0</v>
      </c>
      <c r="J853" s="4" t="s">
        <v>3807</v>
      </c>
      <c r="K853" s="5">
        <f>+918618457461</f>
        <v>918618457461</v>
      </c>
      <c r="L853" s="4" t="str">
        <f t="shared" si="1"/>
        <v>alexsjpuc@gmail.com918618457461</v>
      </c>
      <c r="M853" s="10" t="s">
        <v>67</v>
      </c>
      <c r="N853" s="4" t="b">
        <v>0</v>
      </c>
      <c r="O853" s="4" t="str">
        <f>VLOOKUP(A853,payment_ids!D:E,2,FALSE)</f>
        <v>upi</v>
      </c>
      <c r="P853" s="4" t="s">
        <v>69</v>
      </c>
      <c r="Q853" s="4" t="s">
        <v>3808</v>
      </c>
      <c r="R853" s="4"/>
      <c r="S853" s="12" t="s">
        <v>3774</v>
      </c>
      <c r="T853" s="5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5"/>
      <c r="AI853" s="5"/>
      <c r="AJ853" s="5"/>
      <c r="AK853" s="5"/>
      <c r="AL853" s="5"/>
    </row>
    <row r="854">
      <c r="A854" s="4" t="str">
        <f>VLOOKUP(L854,payment_ids!C:D,2,FALSE)</f>
        <v>pay_HHR6GkNH7lIHuC</v>
      </c>
      <c r="B854" s="4"/>
      <c r="C854" s="4" t="s">
        <v>587</v>
      </c>
      <c r="D854" s="4">
        <v>49907.0</v>
      </c>
      <c r="E854" s="5"/>
      <c r="F854" s="4">
        <v>6.0</v>
      </c>
      <c r="G854" s="4">
        <v>349.0</v>
      </c>
      <c r="H854" s="4"/>
      <c r="I854" s="4">
        <v>349.0</v>
      </c>
      <c r="J854" s="4" t="s">
        <v>3809</v>
      </c>
      <c r="K854" s="5">
        <f>+918939965678</f>
        <v>918939965678</v>
      </c>
      <c r="L854" s="4" t="str">
        <f t="shared" si="1"/>
        <v>chaitanya.oct25@gmail.com918939965678</v>
      </c>
      <c r="M854" s="10" t="s">
        <v>67</v>
      </c>
      <c r="N854" s="4" t="b">
        <v>0</v>
      </c>
      <c r="O854" s="4" t="str">
        <f>VLOOKUP(A854,payment_ids!D:E,2,FALSE)</f>
        <v>upi</v>
      </c>
      <c r="P854" s="4" t="s">
        <v>69</v>
      </c>
      <c r="Q854" s="4" t="s">
        <v>3810</v>
      </c>
      <c r="R854" s="4"/>
      <c r="S854" s="12" t="s">
        <v>3774</v>
      </c>
      <c r="T854" s="5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5"/>
      <c r="AI854" s="5"/>
      <c r="AJ854" s="5"/>
      <c r="AK854" s="5"/>
      <c r="AL854" s="5"/>
    </row>
    <row r="855">
      <c r="A855" s="4" t="str">
        <f>VLOOKUP(L855,payment_ids!C:D,2,FALSE)</f>
        <v>pay_HHeCPBGhmah755</v>
      </c>
      <c r="B855" s="4"/>
      <c r="C855" s="4" t="s">
        <v>587</v>
      </c>
      <c r="D855" s="4">
        <v>49907.0</v>
      </c>
      <c r="E855" s="5"/>
      <c r="F855" s="4">
        <v>1.0</v>
      </c>
      <c r="G855" s="4">
        <v>99.0</v>
      </c>
      <c r="H855" s="4"/>
      <c r="I855" s="4">
        <v>99.0</v>
      </c>
      <c r="J855" s="4" t="s">
        <v>3811</v>
      </c>
      <c r="K855" s="5">
        <f>+919926298797</f>
        <v>919926298797</v>
      </c>
      <c r="L855" s="4" t="str">
        <f t="shared" si="1"/>
        <v>pandeyshiksha000@gmail.com919926298797</v>
      </c>
      <c r="M855" s="10" t="s">
        <v>67</v>
      </c>
      <c r="N855" s="4" t="b">
        <v>0</v>
      </c>
      <c r="O855" s="4" t="str">
        <f>VLOOKUP(A855,payment_ids!D:E,2,FALSE)</f>
        <v>upi</v>
      </c>
      <c r="P855" s="4" t="s">
        <v>69</v>
      </c>
      <c r="Q855" s="11">
        <v>44202.37708333333</v>
      </c>
      <c r="R855" s="4"/>
      <c r="S855" s="12" t="s">
        <v>3774</v>
      </c>
      <c r="T855" s="5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5"/>
      <c r="AI855" s="5"/>
      <c r="AJ855" s="5"/>
      <c r="AK855" s="5"/>
      <c r="AL855" s="5"/>
    </row>
    <row r="856">
      <c r="A856" s="4" t="str">
        <f>VLOOKUP(L856,payment_ids!C:D,2,FALSE)</f>
        <v>pay_HHkh5LjY3RfMNW</v>
      </c>
      <c r="B856" s="4"/>
      <c r="C856" s="4" t="s">
        <v>587</v>
      </c>
      <c r="D856" s="4">
        <v>49907.0</v>
      </c>
      <c r="E856" s="5"/>
      <c r="F856" s="4">
        <v>6.0</v>
      </c>
      <c r="G856" s="4">
        <v>349.0</v>
      </c>
      <c r="H856" s="4"/>
      <c r="I856" s="4">
        <v>349.0</v>
      </c>
      <c r="J856" s="4" t="s">
        <v>3812</v>
      </c>
      <c r="K856" s="5">
        <f>+919742183381</f>
        <v>919742183381</v>
      </c>
      <c r="L856" s="4" t="str">
        <f t="shared" si="1"/>
        <v>rajcse09@gmail.com919742183381</v>
      </c>
      <c r="M856" s="10" t="s">
        <v>67</v>
      </c>
      <c r="N856" s="4" t="b">
        <v>0</v>
      </c>
      <c r="O856" s="4" t="str">
        <f>VLOOKUP(A856,payment_ids!D:E,2,FALSE)</f>
        <v>netbanking</v>
      </c>
      <c r="P856" s="4" t="s">
        <v>69</v>
      </c>
      <c r="Q856" s="11">
        <v>44202.64027777778</v>
      </c>
      <c r="R856" s="4"/>
      <c r="S856" s="12" t="s">
        <v>3774</v>
      </c>
      <c r="T856" s="5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5"/>
      <c r="AI856" s="5"/>
      <c r="AJ856" s="5"/>
      <c r="AK856" s="5"/>
      <c r="AL856" s="5"/>
    </row>
    <row r="857">
      <c r="A857" s="4" t="str">
        <f>VLOOKUP(L857,payment_ids!C:D,2,FALSE)</f>
        <v>pay_HHp3Q2OWoXxm42</v>
      </c>
      <c r="B857" s="4"/>
      <c r="C857" s="4" t="s">
        <v>587</v>
      </c>
      <c r="D857" s="4">
        <v>49907.0</v>
      </c>
      <c r="E857" s="5"/>
      <c r="F857" s="4">
        <v>1.0</v>
      </c>
      <c r="G857" s="4">
        <v>99.0</v>
      </c>
      <c r="H857" s="4"/>
      <c r="I857" s="4">
        <v>99.0</v>
      </c>
      <c r="J857" s="4" t="s">
        <v>3813</v>
      </c>
      <c r="K857" s="5">
        <f>+919739866025</f>
        <v>919739866025</v>
      </c>
      <c r="L857" s="4" t="str">
        <f t="shared" si="1"/>
        <v>sharmith67@gmail.com919739866025</v>
      </c>
      <c r="M857" s="10" t="s">
        <v>67</v>
      </c>
      <c r="N857" s="4" t="b">
        <v>0</v>
      </c>
      <c r="O857" s="4" t="str">
        <f>VLOOKUP(A857,payment_ids!D:E,2,FALSE)</f>
        <v>upi</v>
      </c>
      <c r="P857" s="4" t="s">
        <v>69</v>
      </c>
      <c r="Q857" s="11">
        <v>44202.81805555556</v>
      </c>
      <c r="R857" s="4"/>
      <c r="S857" s="12" t="s">
        <v>3774</v>
      </c>
      <c r="T857" s="5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5"/>
      <c r="AI857" s="5"/>
      <c r="AJ857" s="5"/>
      <c r="AK857" s="5"/>
      <c r="AL857" s="5"/>
    </row>
    <row r="858">
      <c r="A858" s="4" t="str">
        <f>VLOOKUP(L858,payment_ids!C:D,2,FALSE)</f>
        <v>pay_HHqYiMgHqju0U3</v>
      </c>
      <c r="B858" s="4"/>
      <c r="C858" s="4" t="s">
        <v>587</v>
      </c>
      <c r="D858" s="4">
        <v>49907.0</v>
      </c>
      <c r="E858" s="5"/>
      <c r="F858" s="4">
        <v>1.0</v>
      </c>
      <c r="G858" s="4">
        <v>99.0</v>
      </c>
      <c r="H858" s="4"/>
      <c r="I858" s="4">
        <v>99.0</v>
      </c>
      <c r="J858" s="4" t="s">
        <v>3814</v>
      </c>
      <c r="K858" s="5">
        <f>+918553590469</f>
        <v>918553590469</v>
      </c>
      <c r="L858" s="4" t="str">
        <f t="shared" si="1"/>
        <v>praveenkumar.venk96@gmail.com918553590469</v>
      </c>
      <c r="M858" s="10" t="s">
        <v>67</v>
      </c>
      <c r="N858" s="4" t="b">
        <v>0</v>
      </c>
      <c r="O858" s="4" t="str">
        <f>VLOOKUP(A858,payment_ids!D:E,2,FALSE)</f>
        <v>upi</v>
      </c>
      <c r="P858" s="4" t="s">
        <v>69</v>
      </c>
      <c r="Q858" s="11">
        <v>44202.879166666666</v>
      </c>
      <c r="R858" s="4"/>
      <c r="S858" s="12" t="s">
        <v>3774</v>
      </c>
      <c r="T858" s="5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5"/>
      <c r="AI858" s="5"/>
      <c r="AJ858" s="5"/>
      <c r="AK858" s="5"/>
      <c r="AL858" s="5"/>
    </row>
    <row r="859">
      <c r="A859" s="4" t="str">
        <f>VLOOKUP(L859,payment_ids!C:D,2,FALSE)</f>
        <v>pay_HHunsxNpZcRKkw</v>
      </c>
      <c r="B859" s="4"/>
      <c r="C859" s="4" t="s">
        <v>587</v>
      </c>
      <c r="D859" s="4">
        <v>49907.0</v>
      </c>
      <c r="E859" s="5"/>
      <c r="F859" s="4">
        <v>1.0</v>
      </c>
      <c r="G859" s="4">
        <v>99.0</v>
      </c>
      <c r="H859" s="4"/>
      <c r="I859" s="4">
        <v>99.0</v>
      </c>
      <c r="J859" s="4" t="s">
        <v>3815</v>
      </c>
      <c r="K859" s="5">
        <f>+919004368733</f>
        <v>919004368733</v>
      </c>
      <c r="L859" s="4" t="str">
        <f t="shared" si="1"/>
        <v>sagar210188@gmail.com919004368733</v>
      </c>
      <c r="M859" s="10" t="s">
        <v>67</v>
      </c>
      <c r="N859" s="4" t="b">
        <v>0</v>
      </c>
      <c r="O859" s="4" t="str">
        <f>VLOOKUP(A859,payment_ids!D:E,2,FALSE)</f>
        <v>wallet</v>
      </c>
      <c r="P859" s="4" t="s">
        <v>69</v>
      </c>
      <c r="Q859" s="11">
        <v>44233.052083333336</v>
      </c>
      <c r="R859" s="4"/>
      <c r="S859" s="12" t="s">
        <v>3774</v>
      </c>
      <c r="T859" s="5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5"/>
      <c r="AI859" s="5"/>
      <c r="AJ859" s="5"/>
      <c r="AK859" s="5"/>
      <c r="AL859" s="5"/>
    </row>
    <row r="860">
      <c r="A860" s="4" t="str">
        <f>VLOOKUP(L860,payment_ids!C:D,2,FALSE)</f>
        <v>pay_HI3WertZVfB68H</v>
      </c>
      <c r="B860" s="4"/>
      <c r="C860" s="4" t="s">
        <v>587</v>
      </c>
      <c r="D860" s="4">
        <v>49907.0</v>
      </c>
      <c r="E860" s="5"/>
      <c r="F860" s="4">
        <v>1.0</v>
      </c>
      <c r="G860" s="4">
        <v>99.0</v>
      </c>
      <c r="H860" s="4"/>
      <c r="I860" s="4">
        <v>99.0</v>
      </c>
      <c r="J860" s="4" t="s">
        <v>3816</v>
      </c>
      <c r="K860" s="5">
        <f>+919887005955</f>
        <v>919887005955</v>
      </c>
      <c r="L860" s="4" t="str">
        <f t="shared" si="1"/>
        <v>sharadmathur75@yahoo.com919887005955</v>
      </c>
      <c r="M860" s="10" t="s">
        <v>67</v>
      </c>
      <c r="N860" s="4" t="b">
        <v>0</v>
      </c>
      <c r="O860" s="4" t="str">
        <f>VLOOKUP(A860,payment_ids!D:E,2,FALSE)</f>
        <v>wallet</v>
      </c>
      <c r="P860" s="4" t="s">
        <v>69</v>
      </c>
      <c r="Q860" s="11">
        <v>44233.40833333333</v>
      </c>
      <c r="R860" s="4"/>
      <c r="S860" s="12" t="s">
        <v>3774</v>
      </c>
      <c r="T860" s="5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5"/>
      <c r="AI860" s="5"/>
      <c r="AJ860" s="5"/>
      <c r="AK860" s="5"/>
      <c r="AL860" s="5"/>
    </row>
    <row r="861">
      <c r="A861" s="4" t="str">
        <f>VLOOKUP(L861,payment_ids!C:D,2,FALSE)</f>
        <v>pay_HIICXPQBggYud1</v>
      </c>
      <c r="B861" s="4"/>
      <c r="C861" s="4" t="s">
        <v>587</v>
      </c>
      <c r="D861" s="4">
        <v>49907.0</v>
      </c>
      <c r="E861" s="5"/>
      <c r="F861" s="4">
        <v>1.0</v>
      </c>
      <c r="G861" s="4">
        <v>99.0</v>
      </c>
      <c r="H861" s="4"/>
      <c r="I861" s="4">
        <v>99.0</v>
      </c>
      <c r="J861" s="4" t="s">
        <v>3817</v>
      </c>
      <c r="K861" s="5">
        <f>+918554919832</f>
        <v>918554919832</v>
      </c>
      <c r="L861" s="4" t="str">
        <f t="shared" si="1"/>
        <v>nemadevivek@gmail.com918554919832</v>
      </c>
      <c r="M861" s="10" t="s">
        <v>67</v>
      </c>
      <c r="N861" s="4" t="b">
        <v>0</v>
      </c>
      <c r="O861" s="4" t="str">
        <f>VLOOKUP(A861,payment_ids!D:E,2,FALSE)</f>
        <v>upi</v>
      </c>
      <c r="P861" s="4" t="s">
        <v>69</v>
      </c>
      <c r="Q861" s="11">
        <v>44261.00625</v>
      </c>
      <c r="R861" s="4"/>
      <c r="S861" s="12" t="s">
        <v>3774</v>
      </c>
      <c r="T861" s="5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5"/>
      <c r="AI861" s="5"/>
      <c r="AJ861" s="5"/>
      <c r="AK861" s="5"/>
      <c r="AL861" s="5"/>
    </row>
    <row r="862">
      <c r="A862" s="4" t="str">
        <f>VLOOKUP(L862,payment_ids!C:D,2,FALSE)</f>
        <v>pay_HITLh2J8FD18n1</v>
      </c>
      <c r="B862" s="4"/>
      <c r="C862" s="4" t="s">
        <v>587</v>
      </c>
      <c r="D862" s="4">
        <v>49907.0</v>
      </c>
      <c r="E862" s="5"/>
      <c r="F862" s="4">
        <v>1.0</v>
      </c>
      <c r="G862" s="4">
        <v>99.0</v>
      </c>
      <c r="H862" s="4"/>
      <c r="I862" s="4">
        <v>99.0</v>
      </c>
      <c r="J862" s="4" t="s">
        <v>3818</v>
      </c>
      <c r="K862" s="5">
        <f>+919059043583</f>
        <v>919059043583</v>
      </c>
      <c r="L862" s="4" t="str">
        <f t="shared" si="1"/>
        <v>sunil.edupuganti29@gmail.com919059043583</v>
      </c>
      <c r="M862" s="10" t="s">
        <v>67</v>
      </c>
      <c r="N862" s="4" t="b">
        <v>0</v>
      </c>
      <c r="O862" s="4" t="str">
        <f>VLOOKUP(A862,payment_ids!D:E,2,FALSE)</f>
        <v>netbanking</v>
      </c>
      <c r="P862" s="4" t="s">
        <v>69</v>
      </c>
      <c r="Q862" s="11">
        <v>44261.46041666667</v>
      </c>
      <c r="R862" s="4"/>
      <c r="S862" s="12" t="s">
        <v>3774</v>
      </c>
      <c r="T862" s="5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5"/>
      <c r="AI862" s="5"/>
      <c r="AJ862" s="5"/>
      <c r="AK862" s="5"/>
      <c r="AL862" s="5"/>
    </row>
    <row r="863">
      <c r="A863" s="4" t="str">
        <f>VLOOKUP(L863,payment_ids!C:D,2,FALSE)</f>
        <v>pay_HIWgOTy7ez2B0S</v>
      </c>
      <c r="B863" s="4"/>
      <c r="C863" s="4" t="s">
        <v>587</v>
      </c>
      <c r="D863" s="4">
        <v>49907.0</v>
      </c>
      <c r="E863" s="5"/>
      <c r="F863" s="4">
        <v>3.0</v>
      </c>
      <c r="G863" s="4">
        <v>199.0</v>
      </c>
      <c r="H863" s="4"/>
      <c r="I863" s="4">
        <v>199.0</v>
      </c>
      <c r="J863" s="4" t="s">
        <v>3819</v>
      </c>
      <c r="K863" s="5">
        <f>+919962442942</f>
        <v>919962442942</v>
      </c>
      <c r="L863" s="4" t="str">
        <f t="shared" si="1"/>
        <v>harishamugesh@gmail.com919962442942</v>
      </c>
      <c r="M863" s="10" t="s">
        <v>67</v>
      </c>
      <c r="N863" s="4" t="b">
        <v>0</v>
      </c>
      <c r="O863" s="4" t="str">
        <f>VLOOKUP(A863,payment_ids!D:E,2,FALSE)</f>
        <v>upi</v>
      </c>
      <c r="P863" s="4" t="s">
        <v>69</v>
      </c>
      <c r="Q863" s="11">
        <v>44261.59583333333</v>
      </c>
      <c r="R863" s="4"/>
      <c r="S863" s="12" t="s">
        <v>3774</v>
      </c>
      <c r="T863" s="5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5"/>
      <c r="AI863" s="5"/>
      <c r="AJ863" s="5"/>
      <c r="AK863" s="5"/>
      <c r="AL863" s="5"/>
    </row>
    <row r="864">
      <c r="A864" s="4" t="str">
        <f>VLOOKUP(L864,payment_ids!C:D,2,FALSE)</f>
        <v>pay_HIXbyLbsXCqebr</v>
      </c>
      <c r="B864" s="4"/>
      <c r="C864" s="4" t="s">
        <v>587</v>
      </c>
      <c r="D864" s="4">
        <v>49907.0</v>
      </c>
      <c r="E864" s="5"/>
      <c r="F864" s="4">
        <v>1.0</v>
      </c>
      <c r="G864" s="4">
        <v>99.0</v>
      </c>
      <c r="H864" s="4"/>
      <c r="I864" s="4">
        <v>99.0</v>
      </c>
      <c r="J864" s="4" t="s">
        <v>3820</v>
      </c>
      <c r="K864" s="5">
        <f>+918088096106</f>
        <v>918088096106</v>
      </c>
      <c r="L864" s="4" t="str">
        <f t="shared" si="1"/>
        <v>ksabaareeshguptha@gmail.com918088096106</v>
      </c>
      <c r="M864" s="10" t="s">
        <v>67</v>
      </c>
      <c r="N864" s="4" t="b">
        <v>0</v>
      </c>
      <c r="O864" s="4" t="str">
        <f>VLOOKUP(A864,payment_ids!D:E,2,FALSE)</f>
        <v>upi</v>
      </c>
      <c r="P864" s="4" t="s">
        <v>69</v>
      </c>
      <c r="Q864" s="11">
        <v>44261.63402777778</v>
      </c>
      <c r="R864" s="4"/>
      <c r="S864" s="12" t="s">
        <v>3774</v>
      </c>
      <c r="T864" s="5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5"/>
      <c r="AI864" s="5"/>
      <c r="AJ864" s="5"/>
      <c r="AK864" s="5"/>
      <c r="AL864" s="5"/>
    </row>
    <row r="865">
      <c r="A865" s="4" t="str">
        <f>VLOOKUP(L865,payment_ids!C:D,2,FALSE)</f>
        <v>pay_HIaf8OWXZpH1b9</v>
      </c>
      <c r="B865" s="4"/>
      <c r="C865" s="4" t="s">
        <v>587</v>
      </c>
      <c r="D865" s="4">
        <v>49907.0</v>
      </c>
      <c r="E865" s="5"/>
      <c r="F865" s="4">
        <v>1.0</v>
      </c>
      <c r="G865" s="4">
        <v>99.0</v>
      </c>
      <c r="H865" s="4"/>
      <c r="I865" s="4">
        <v>99.0</v>
      </c>
      <c r="J865" s="4" t="s">
        <v>3821</v>
      </c>
      <c r="K865" s="5">
        <f>+918286178078</f>
        <v>918286178078</v>
      </c>
      <c r="L865" s="4" t="str">
        <f t="shared" si="1"/>
        <v>grvnarang32@gmail.com918286178078</v>
      </c>
      <c r="M865" s="10" t="s">
        <v>67</v>
      </c>
      <c r="N865" s="4" t="b">
        <v>0</v>
      </c>
      <c r="O865" s="4" t="str">
        <f>VLOOKUP(A865,payment_ids!D:E,2,FALSE)</f>
        <v>wallet</v>
      </c>
      <c r="P865" s="4" t="s">
        <v>69</v>
      </c>
      <c r="Q865" s="11">
        <v>44261.75833333333</v>
      </c>
      <c r="R865" s="4"/>
      <c r="S865" s="12" t="s">
        <v>3822</v>
      </c>
      <c r="T865" s="5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5"/>
      <c r="AI865" s="5"/>
      <c r="AJ865" s="5"/>
      <c r="AK865" s="5"/>
      <c r="AL865" s="5"/>
    </row>
    <row r="866">
      <c r="A866" s="4" t="str">
        <f>VLOOKUP(L866,payment_ids!C:D,2,FALSE)</f>
        <v>pay_HIahbEJTmTnQ8T</v>
      </c>
      <c r="B866" s="4"/>
      <c r="C866" s="4" t="s">
        <v>587</v>
      </c>
      <c r="D866" s="4">
        <v>49907.0</v>
      </c>
      <c r="E866" s="5"/>
      <c r="F866" s="4">
        <v>1.0</v>
      </c>
      <c r="G866" s="4">
        <v>99.0</v>
      </c>
      <c r="H866" s="4"/>
      <c r="I866" s="4">
        <v>99.0</v>
      </c>
      <c r="J866" s="4" t="s">
        <v>3823</v>
      </c>
      <c r="K866" s="5">
        <f>+918501013821</f>
        <v>918501013821</v>
      </c>
      <c r="L866" s="4" t="str">
        <f t="shared" si="1"/>
        <v>amith.ghosh821@gmail.com918501013821</v>
      </c>
      <c r="M866" s="10" t="s">
        <v>67</v>
      </c>
      <c r="N866" s="4" t="b">
        <v>0</v>
      </c>
      <c r="O866" s="4" t="str">
        <f>VLOOKUP(A866,payment_ids!D:E,2,FALSE)</f>
        <v>upi</v>
      </c>
      <c r="P866" s="4" t="s">
        <v>69</v>
      </c>
      <c r="Q866" s="11">
        <v>44261.763194444444</v>
      </c>
      <c r="R866" s="4"/>
      <c r="S866" s="12" t="s">
        <v>3822</v>
      </c>
      <c r="T866" s="5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5"/>
      <c r="AI866" s="5"/>
      <c r="AJ866" s="5"/>
      <c r="AK866" s="5"/>
      <c r="AL866" s="5"/>
    </row>
    <row r="867">
      <c r="A867" s="4" t="str">
        <f>VLOOKUP(L867,payment_ids!C:D,2,FALSE)</f>
        <v>pay_HIcHeQLbAGT3CS</v>
      </c>
      <c r="B867" s="4"/>
      <c r="C867" s="4" t="s">
        <v>587</v>
      </c>
      <c r="D867" s="4">
        <v>49907.0</v>
      </c>
      <c r="E867" s="5"/>
      <c r="F867" s="4">
        <v>1.0</v>
      </c>
      <c r="G867" s="4">
        <v>99.0</v>
      </c>
      <c r="H867" s="4"/>
      <c r="I867" s="4">
        <v>99.0</v>
      </c>
      <c r="J867" s="4" t="s">
        <v>3824</v>
      </c>
      <c r="K867" s="5">
        <f>+918446301948</f>
        <v>918446301948</v>
      </c>
      <c r="L867" s="4" t="str">
        <f t="shared" si="1"/>
        <v>tejaspalwe@gmail.com918446301948</v>
      </c>
      <c r="M867" s="10" t="s">
        <v>67</v>
      </c>
      <c r="N867" s="4" t="b">
        <v>0</v>
      </c>
      <c r="O867" s="4" t="str">
        <f>VLOOKUP(A867,payment_ids!D:E,2,FALSE)</f>
        <v>card</v>
      </c>
      <c r="P867" s="4" t="s">
        <v>69</v>
      </c>
      <c r="Q867" s="11">
        <v>44261.82430555556</v>
      </c>
      <c r="R867" s="4"/>
      <c r="S867" s="12" t="s">
        <v>3774</v>
      </c>
      <c r="T867" s="5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5"/>
      <c r="AI867" s="5"/>
      <c r="AJ867" s="5"/>
      <c r="AK867" s="5"/>
      <c r="AL867" s="5"/>
    </row>
    <row r="868">
      <c r="A868" s="4" t="str">
        <f>VLOOKUP(L868,payment_ids!C:D,2,FALSE)</f>
        <v>pay_HIvpnbNZeedZLO</v>
      </c>
      <c r="B868" s="4"/>
      <c r="C868" s="4" t="s">
        <v>587</v>
      </c>
      <c r="D868" s="4">
        <v>49907.0</v>
      </c>
      <c r="E868" s="5"/>
      <c r="F868" s="4">
        <v>1.0</v>
      </c>
      <c r="G868" s="4">
        <v>99.0</v>
      </c>
      <c r="H868" s="4"/>
      <c r="I868" s="4">
        <v>99.0</v>
      </c>
      <c r="J868" s="4" t="s">
        <v>3825</v>
      </c>
      <c r="K868" s="5">
        <f>+918247820094</f>
        <v>918247820094</v>
      </c>
      <c r="L868" s="4" t="str">
        <f t="shared" si="1"/>
        <v>santhoshreddynelapatla@gmail.com918247820094</v>
      </c>
      <c r="M868" s="10" t="s">
        <v>67</v>
      </c>
      <c r="N868" s="4" t="b">
        <v>0</v>
      </c>
      <c r="O868" s="4" t="str">
        <f>VLOOKUP(A868,payment_ids!D:E,2,FALSE)</f>
        <v>upi</v>
      </c>
      <c r="P868" s="4" t="s">
        <v>69</v>
      </c>
      <c r="Q868" s="11">
        <v>44292.620833333334</v>
      </c>
      <c r="R868" s="4"/>
      <c r="S868" s="12" t="s">
        <v>3822</v>
      </c>
      <c r="T868" s="5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5"/>
      <c r="AI868" s="5"/>
      <c r="AJ868" s="5"/>
      <c r="AK868" s="5"/>
      <c r="AL868" s="5"/>
    </row>
    <row r="869">
      <c r="A869" s="4" t="str">
        <f>VLOOKUP(L869,payment_ids!C:D,2,FALSE)</f>
        <v>pay_HIzLPtCajvk0v0</v>
      </c>
      <c r="B869" s="4"/>
      <c r="C869" s="4" t="s">
        <v>587</v>
      </c>
      <c r="D869" s="4">
        <v>49907.0</v>
      </c>
      <c r="E869" s="5"/>
      <c r="F869" s="4">
        <v>1.0</v>
      </c>
      <c r="G869" s="4">
        <v>99.0</v>
      </c>
      <c r="H869" s="4"/>
      <c r="I869" s="4">
        <v>99.0</v>
      </c>
      <c r="J869" s="4" t="s">
        <v>3826</v>
      </c>
      <c r="K869" s="5">
        <f>+917036362030</f>
        <v>917036362030</v>
      </c>
      <c r="L869" s="4" t="str">
        <f t="shared" si="1"/>
        <v>shivarampeddapaka1311@gmail.com917036362030</v>
      </c>
      <c r="M869" s="10" t="s">
        <v>67</v>
      </c>
      <c r="N869" s="4" t="b">
        <v>0</v>
      </c>
      <c r="O869" s="4" t="str">
        <f>VLOOKUP(A869,payment_ids!D:E,2,FALSE)</f>
        <v>upi</v>
      </c>
      <c r="P869" s="4" t="s">
        <v>69</v>
      </c>
      <c r="Q869" s="11">
        <v>44292.76458333333</v>
      </c>
      <c r="R869" s="4"/>
      <c r="S869" s="12" t="s">
        <v>3822</v>
      </c>
      <c r="T869" s="5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5"/>
      <c r="AI869" s="5"/>
      <c r="AJ869" s="5"/>
      <c r="AK869" s="5"/>
      <c r="AL869" s="5"/>
    </row>
    <row r="870">
      <c r="A870" s="4" t="str">
        <f>VLOOKUP(L870,payment_ids!C:D,2,FALSE)</f>
        <v>pay_HIzLvWEIkpMuvO</v>
      </c>
      <c r="B870" s="4"/>
      <c r="C870" s="4" t="s">
        <v>587</v>
      </c>
      <c r="D870" s="4">
        <v>49907.0</v>
      </c>
      <c r="E870" s="5"/>
      <c r="F870" s="4">
        <v>1.0</v>
      </c>
      <c r="G870" s="4">
        <v>99.0</v>
      </c>
      <c r="H870" s="4"/>
      <c r="I870" s="4">
        <v>99.0</v>
      </c>
      <c r="J870" s="4" t="s">
        <v>3827</v>
      </c>
      <c r="K870" s="5">
        <f>+919133651692</f>
        <v>919133651692</v>
      </c>
      <c r="L870" s="4" t="str">
        <f t="shared" si="1"/>
        <v>anupkanna69@gmail.com919133651692</v>
      </c>
      <c r="M870" s="10" t="s">
        <v>67</v>
      </c>
      <c r="N870" s="4" t="b">
        <v>0</v>
      </c>
      <c r="O870" s="4" t="str">
        <f>VLOOKUP(A870,payment_ids!D:E,2,FALSE)</f>
        <v>upi</v>
      </c>
      <c r="P870" s="4" t="s">
        <v>69</v>
      </c>
      <c r="Q870" s="11">
        <v>44292.76458333333</v>
      </c>
      <c r="R870" s="4"/>
      <c r="S870" s="12" t="s">
        <v>3774</v>
      </c>
      <c r="T870" s="5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5"/>
      <c r="AI870" s="5"/>
      <c r="AJ870" s="5"/>
      <c r="AK870" s="5"/>
      <c r="AL870" s="5"/>
    </row>
    <row r="871">
      <c r="A871" s="4" t="str">
        <f>VLOOKUP(L871,payment_ids!C:D,2,FALSE)</f>
        <v>pay_HJi4XgdyCjIro4</v>
      </c>
      <c r="B871" s="4"/>
      <c r="C871" s="4" t="s">
        <v>587</v>
      </c>
      <c r="D871" s="4">
        <v>49907.0</v>
      </c>
      <c r="E871" s="5"/>
      <c r="F871" s="4">
        <v>6.0</v>
      </c>
      <c r="G871" s="4">
        <v>349.0</v>
      </c>
      <c r="H871" s="4"/>
      <c r="I871" s="4">
        <v>349.0</v>
      </c>
      <c r="J871" s="4" t="s">
        <v>3828</v>
      </c>
      <c r="K871" s="5">
        <f>+919686911132</f>
        <v>919686911132</v>
      </c>
      <c r="L871" s="4" t="str">
        <f t="shared" si="1"/>
        <v>vikaskoul92@gmail.com919686911132</v>
      </c>
      <c r="M871" s="10" t="s">
        <v>67</v>
      </c>
      <c r="N871" s="4" t="b">
        <v>0</v>
      </c>
      <c r="O871" s="4" t="str">
        <f>VLOOKUP(A871,payment_ids!D:E,2,FALSE)</f>
        <v>upi</v>
      </c>
      <c r="P871" s="4" t="s">
        <v>69</v>
      </c>
      <c r="Q871" s="11">
        <v>44353.58819444444</v>
      </c>
      <c r="R871" s="4"/>
      <c r="S871" s="12" t="s">
        <v>3774</v>
      </c>
      <c r="T871" s="5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5"/>
      <c r="AI871" s="5"/>
      <c r="AJ871" s="5"/>
      <c r="AK871" s="5"/>
      <c r="AL871" s="5"/>
    </row>
    <row r="872">
      <c r="A872" s="4" t="str">
        <f>VLOOKUP(L872,payment_ids!C:D,2,FALSE)</f>
        <v>pay_HJjYGMrAjDRGNa</v>
      </c>
      <c r="B872" s="4"/>
      <c r="C872" s="4" t="s">
        <v>587</v>
      </c>
      <c r="D872" s="4">
        <v>49907.0</v>
      </c>
      <c r="E872" s="5"/>
      <c r="F872" s="4">
        <v>1.0</v>
      </c>
      <c r="G872" s="4">
        <v>99.0</v>
      </c>
      <c r="H872" s="4"/>
      <c r="I872" s="4">
        <v>99.0</v>
      </c>
      <c r="J872" s="4" t="s">
        <v>3829</v>
      </c>
      <c r="K872" s="5">
        <f>+916305893165</f>
        <v>916305893165</v>
      </c>
      <c r="L872" s="4" t="str">
        <f t="shared" si="1"/>
        <v>ratanmanoj888@gmail.com916305893165</v>
      </c>
      <c r="M872" s="10" t="s">
        <v>67</v>
      </c>
      <c r="N872" s="4" t="b">
        <v>0</v>
      </c>
      <c r="O872" s="4" t="str">
        <f>VLOOKUP(A872,payment_ids!D:E,2,FALSE)</f>
        <v>upi</v>
      </c>
      <c r="P872" s="4" t="s">
        <v>69</v>
      </c>
      <c r="Q872" s="11">
        <v>44353.64791666667</v>
      </c>
      <c r="R872" s="4"/>
      <c r="S872" s="12" t="s">
        <v>3774</v>
      </c>
      <c r="T872" s="5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5"/>
      <c r="AI872" s="5"/>
      <c r="AJ872" s="5"/>
      <c r="AK872" s="5"/>
      <c r="AL872" s="5"/>
    </row>
    <row r="873">
      <c r="A873" s="4" t="str">
        <f>VLOOKUP(L873,payment_ids!C:D,2,FALSE)</f>
        <v>pay_HJrbk7IpzVixAS</v>
      </c>
      <c r="B873" s="4"/>
      <c r="C873" s="4" t="s">
        <v>587</v>
      </c>
      <c r="D873" s="4">
        <v>49907.0</v>
      </c>
      <c r="E873" s="5"/>
      <c r="F873" s="4">
        <v>3.0</v>
      </c>
      <c r="G873" s="4">
        <v>199.0</v>
      </c>
      <c r="H873" s="4"/>
      <c r="I873" s="4">
        <v>199.0</v>
      </c>
      <c r="J873" s="4" t="s">
        <v>3830</v>
      </c>
      <c r="K873" s="5">
        <f>+919206831360</f>
        <v>919206831360</v>
      </c>
      <c r="L873" s="4" t="str">
        <f t="shared" si="1"/>
        <v>abhi973@live.com919206831360</v>
      </c>
      <c r="M873" s="10" t="s">
        <v>67</v>
      </c>
      <c r="N873" s="4" t="b">
        <v>0</v>
      </c>
      <c r="O873" s="4" t="str">
        <f>VLOOKUP(A873,payment_ids!D:E,2,FALSE)</f>
        <v>upi</v>
      </c>
      <c r="P873" s="4" t="s">
        <v>69</v>
      </c>
      <c r="Q873" s="11">
        <v>44353.97638888889</v>
      </c>
      <c r="R873" s="4"/>
      <c r="S873" s="12" t="s">
        <v>3774</v>
      </c>
      <c r="T873" s="5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5"/>
      <c r="AI873" s="5"/>
      <c r="AJ873" s="5"/>
      <c r="AK873" s="5"/>
      <c r="AL873" s="5"/>
    </row>
    <row r="874">
      <c r="A874" s="4" t="str">
        <f>VLOOKUP(L874,payment_ids!C:D,2,FALSE)</f>
        <v>pay_HK3iex6sR6sGov</v>
      </c>
      <c r="B874" s="4"/>
      <c r="C874" s="4" t="s">
        <v>587</v>
      </c>
      <c r="D874" s="4">
        <v>49907.0</v>
      </c>
      <c r="E874" s="5"/>
      <c r="F874" s="4">
        <v>1.0</v>
      </c>
      <c r="G874" s="4">
        <v>99.0</v>
      </c>
      <c r="H874" s="4"/>
      <c r="I874" s="4">
        <v>99.0</v>
      </c>
      <c r="J874" s="4" t="s">
        <v>3831</v>
      </c>
      <c r="K874" s="5">
        <f>+917013379771</f>
        <v>917013379771</v>
      </c>
      <c r="L874" s="4" t="str">
        <f t="shared" si="1"/>
        <v>somu769876@gmail.com917013379771</v>
      </c>
      <c r="M874" s="10" t="s">
        <v>67</v>
      </c>
      <c r="N874" s="4" t="b">
        <v>0</v>
      </c>
      <c r="O874" s="4" t="str">
        <f>VLOOKUP(A874,payment_ids!D:E,2,FALSE)</f>
        <v>upi</v>
      </c>
      <c r="P874" s="4" t="s">
        <v>69</v>
      </c>
      <c r="Q874" s="11">
        <v>44383.47430555556</v>
      </c>
      <c r="R874" s="4"/>
      <c r="S874" s="12" t="s">
        <v>3774</v>
      </c>
      <c r="T874" s="5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5"/>
      <c r="AI874" s="5"/>
      <c r="AJ874" s="5"/>
      <c r="AK874" s="5"/>
      <c r="AL874" s="5"/>
    </row>
    <row r="875">
      <c r="A875" s="4" t="str">
        <f>VLOOKUP(L875,payment_ids!C:D,2,FALSE)</f>
        <v>pay_HHKIXWLIYR493d</v>
      </c>
      <c r="B875" s="4"/>
      <c r="C875" s="4" t="s">
        <v>587</v>
      </c>
      <c r="D875" s="4">
        <v>49907.0</v>
      </c>
      <c r="E875" s="5"/>
      <c r="F875" s="4">
        <v>1.0</v>
      </c>
      <c r="G875" s="4">
        <v>99.0</v>
      </c>
      <c r="H875" s="4"/>
      <c r="I875" s="4">
        <v>99.0</v>
      </c>
      <c r="J875" s="4" t="s">
        <v>3832</v>
      </c>
      <c r="K875" s="5">
        <f>+918527781333</f>
        <v>918527781333</v>
      </c>
      <c r="L875" s="4" t="str">
        <f t="shared" si="1"/>
        <v>chayankh@gmail.com918527781333</v>
      </c>
      <c r="M875" s="10" t="s">
        <v>67</v>
      </c>
      <c r="N875" s="4" t="b">
        <v>0</v>
      </c>
      <c r="O875" s="4" t="str">
        <f>VLOOKUP(A875,payment_ids!D:E,2,FALSE)</f>
        <v>upi</v>
      </c>
      <c r="P875" s="4" t="s">
        <v>69</v>
      </c>
      <c r="Q875" s="11">
        <v>44383.58888888889</v>
      </c>
      <c r="R875" s="4"/>
      <c r="S875" s="12" t="s">
        <v>3774</v>
      </c>
      <c r="T875" s="5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5"/>
      <c r="AI875" s="5"/>
      <c r="AJ875" s="5"/>
      <c r="AK875" s="5"/>
      <c r="AL875" s="5"/>
    </row>
    <row r="876">
      <c r="A876" s="4" t="str">
        <f>VLOOKUP(L876,payment_ids!C:D,2,FALSE)</f>
        <v>pay_HK77PrALCA1Y8n</v>
      </c>
      <c r="B876" s="4"/>
      <c r="C876" s="4" t="s">
        <v>587</v>
      </c>
      <c r="D876" s="4">
        <v>49907.0</v>
      </c>
      <c r="E876" s="5"/>
      <c r="F876" s="4">
        <v>1.0</v>
      </c>
      <c r="G876" s="4">
        <v>99.0</v>
      </c>
      <c r="H876" s="4"/>
      <c r="I876" s="4">
        <v>99.0</v>
      </c>
      <c r="J876" s="4" t="s">
        <v>3833</v>
      </c>
      <c r="K876" s="5">
        <f>+919390224229</f>
        <v>919390224229</v>
      </c>
      <c r="L876" s="4" t="str">
        <f t="shared" si="1"/>
        <v>kolleparayuvaraj@gmail.com919390224229</v>
      </c>
      <c r="M876" s="10" t="s">
        <v>67</v>
      </c>
      <c r="N876" s="4" t="b">
        <v>0</v>
      </c>
      <c r="O876" s="4" t="str">
        <f>VLOOKUP(A876,payment_ids!D:E,2,FALSE)</f>
        <v>upi</v>
      </c>
      <c r="P876" s="4" t="s">
        <v>69</v>
      </c>
      <c r="Q876" s="11">
        <v>44383.60833333333</v>
      </c>
      <c r="R876" s="4"/>
      <c r="S876" s="12" t="s">
        <v>3774</v>
      </c>
      <c r="T876" s="5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5"/>
      <c r="AI876" s="5"/>
      <c r="AJ876" s="5"/>
      <c r="AK876" s="5"/>
      <c r="AL876" s="5"/>
    </row>
    <row r="877">
      <c r="A877" s="4" t="str">
        <f>VLOOKUP(L877,payment_ids!C:D,2,FALSE)</f>
        <v>pay_HKD2WzMSzg8Fhv</v>
      </c>
      <c r="B877" s="4"/>
      <c r="C877" s="4" t="s">
        <v>587</v>
      </c>
      <c r="D877" s="4">
        <v>49907.0</v>
      </c>
      <c r="E877" s="5"/>
      <c r="F877" s="4">
        <v>6.0</v>
      </c>
      <c r="G877" s="4">
        <v>349.0</v>
      </c>
      <c r="H877" s="4"/>
      <c r="I877" s="4">
        <v>349.0</v>
      </c>
      <c r="J877" s="4" t="s">
        <v>3625</v>
      </c>
      <c r="K877" s="5">
        <f>+919930432551</f>
        <v>919930432551</v>
      </c>
      <c r="L877" s="4" t="str">
        <f t="shared" si="1"/>
        <v>salilt.001@gmail.com919930432551</v>
      </c>
      <c r="M877" s="10" t="s">
        <v>67</v>
      </c>
      <c r="N877" s="4" t="b">
        <v>0</v>
      </c>
      <c r="O877" s="4" t="str">
        <f>VLOOKUP(A877,payment_ids!D:E,2,FALSE)</f>
        <v>upi</v>
      </c>
      <c r="P877" s="4" t="s">
        <v>69</v>
      </c>
      <c r="Q877" s="11">
        <v>44383.85</v>
      </c>
      <c r="R877" s="4"/>
      <c r="S877" s="12" t="s">
        <v>3774</v>
      </c>
      <c r="T877" s="5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5"/>
      <c r="AI877" s="5"/>
      <c r="AJ877" s="5"/>
      <c r="AK877" s="5"/>
      <c r="AL877" s="5"/>
    </row>
    <row r="878">
      <c r="A878" s="4" t="str">
        <f>VLOOKUP(L878,payment_ids!C:D,2,FALSE)</f>
        <v>pay_HKDVMaNLNlZrvY</v>
      </c>
      <c r="B878" s="4"/>
      <c r="C878" s="4" t="s">
        <v>587</v>
      </c>
      <c r="D878" s="4">
        <v>49907.0</v>
      </c>
      <c r="E878" s="5"/>
      <c r="F878" s="4">
        <v>3.0</v>
      </c>
      <c r="G878" s="4">
        <v>199.0</v>
      </c>
      <c r="H878" s="4"/>
      <c r="I878" s="4">
        <v>199.0</v>
      </c>
      <c r="J878" s="4" t="s">
        <v>3834</v>
      </c>
      <c r="K878" s="5">
        <f>+917204999037</f>
        <v>917204999037</v>
      </c>
      <c r="L878" s="4" t="str">
        <f t="shared" si="1"/>
        <v>ujjwal.anand0123@gmail.com917204999037</v>
      </c>
      <c r="M878" s="10" t="s">
        <v>67</v>
      </c>
      <c r="N878" s="4" t="b">
        <v>0</v>
      </c>
      <c r="O878" s="4" t="str">
        <f>VLOOKUP(A878,payment_ids!D:E,2,FALSE)</f>
        <v>upi</v>
      </c>
      <c r="P878" s="4" t="s">
        <v>69</v>
      </c>
      <c r="Q878" s="11">
        <v>44383.86875</v>
      </c>
      <c r="R878" s="4"/>
      <c r="S878" s="12" t="s">
        <v>3774</v>
      </c>
      <c r="T878" s="5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5"/>
      <c r="AI878" s="5"/>
      <c r="AJ878" s="5"/>
      <c r="AK878" s="5"/>
      <c r="AL878" s="5"/>
    </row>
    <row r="879">
      <c r="A879" s="4" t="str">
        <f>VLOOKUP(L879,payment_ids!C:D,2,FALSE)</f>
        <v>pay_HKUft2SPom7K7f</v>
      </c>
      <c r="B879" s="4"/>
      <c r="C879" s="4" t="s">
        <v>587</v>
      </c>
      <c r="D879" s="4">
        <v>49907.0</v>
      </c>
      <c r="E879" s="5"/>
      <c r="F879" s="4">
        <v>1.0</v>
      </c>
      <c r="G879" s="4">
        <v>99.0</v>
      </c>
      <c r="H879" s="4"/>
      <c r="I879" s="4">
        <v>99.0</v>
      </c>
      <c r="J879" s="4" t="s">
        <v>3835</v>
      </c>
      <c r="K879" s="5">
        <f>+918827350954</f>
        <v>918827350954</v>
      </c>
      <c r="L879" s="4" t="str">
        <f t="shared" si="1"/>
        <v>gaurangkhode04@gmail.com918827350954</v>
      </c>
      <c r="M879" s="10" t="s">
        <v>67</v>
      </c>
      <c r="N879" s="4" t="b">
        <v>0</v>
      </c>
      <c r="O879" s="4" t="str">
        <f>VLOOKUP(A879,payment_ids!D:E,2,FALSE)</f>
        <v>upi</v>
      </c>
      <c r="P879" s="4" t="s">
        <v>69</v>
      </c>
      <c r="Q879" s="11">
        <v>44414.56875</v>
      </c>
      <c r="R879" s="4"/>
      <c r="S879" s="12" t="s">
        <v>3774</v>
      </c>
      <c r="T879" s="5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5"/>
      <c r="AI879" s="5"/>
      <c r="AJ879" s="5"/>
      <c r="AK879" s="5"/>
      <c r="AL879" s="5"/>
    </row>
    <row r="880">
      <c r="A880" s="4" t="str">
        <f>VLOOKUP(L880,payment_ids!C:D,2,FALSE)</f>
        <v>pay_HKejQTScXddM60</v>
      </c>
      <c r="B880" s="4"/>
      <c r="C880" s="4" t="s">
        <v>587</v>
      </c>
      <c r="D880" s="4">
        <v>49907.0</v>
      </c>
      <c r="E880" s="5"/>
      <c r="F880" s="4">
        <v>1.0</v>
      </c>
      <c r="G880" s="4">
        <v>99.0</v>
      </c>
      <c r="H880" s="4"/>
      <c r="I880" s="4">
        <v>99.0</v>
      </c>
      <c r="J880" s="4" t="s">
        <v>3836</v>
      </c>
      <c r="K880" s="5">
        <f>+917504133997</f>
        <v>917504133997</v>
      </c>
      <c r="L880" s="4" t="str">
        <f t="shared" si="1"/>
        <v>vbkrishna228@gmail.com917504133997</v>
      </c>
      <c r="M880" s="10" t="s">
        <v>67</v>
      </c>
      <c r="N880" s="4" t="b">
        <v>0</v>
      </c>
      <c r="O880" s="4" t="str">
        <f>VLOOKUP(A880,payment_ids!D:E,2,FALSE)</f>
        <v>upi</v>
      </c>
      <c r="P880" s="4" t="s">
        <v>69</v>
      </c>
      <c r="Q880" s="11">
        <v>44414.979166666664</v>
      </c>
      <c r="R880" s="4"/>
      <c r="S880" s="12" t="s">
        <v>3774</v>
      </c>
      <c r="T880" s="4" t="s">
        <v>2444</v>
      </c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5"/>
      <c r="AI880" s="5"/>
      <c r="AJ880" s="5"/>
      <c r="AK880" s="5"/>
      <c r="AL880" s="5"/>
    </row>
    <row r="881">
      <c r="A881" s="4" t="str">
        <f>VLOOKUP(L881,payment_ids!C:D,2,FALSE)</f>
        <v>pay_HKs18hkDG9nWQi</v>
      </c>
      <c r="B881" s="4"/>
      <c r="C881" s="4" t="s">
        <v>587</v>
      </c>
      <c r="D881" s="4">
        <v>49907.0</v>
      </c>
      <c r="E881" s="5"/>
      <c r="F881" s="4">
        <v>1.0</v>
      </c>
      <c r="G881" s="4">
        <v>99.0</v>
      </c>
      <c r="H881" s="4"/>
      <c r="I881" s="4">
        <v>99.0</v>
      </c>
      <c r="J881" s="4" t="s">
        <v>3837</v>
      </c>
      <c r="K881" s="5">
        <f>+919963933226</f>
        <v>919963933226</v>
      </c>
      <c r="L881" s="4" t="str">
        <f t="shared" si="1"/>
        <v>mnaudu40@gmail.com919963933226</v>
      </c>
      <c r="M881" s="10" t="s">
        <v>67</v>
      </c>
      <c r="N881" s="4" t="b">
        <v>0</v>
      </c>
      <c r="O881" s="4" t="str">
        <f>VLOOKUP(A881,payment_ids!D:E,2,FALSE)</f>
        <v>card</v>
      </c>
      <c r="P881" s="4" t="s">
        <v>69</v>
      </c>
      <c r="Q881" s="11">
        <v>44445.51944444444</v>
      </c>
      <c r="R881" s="4"/>
      <c r="S881" s="12" t="s">
        <v>3774</v>
      </c>
      <c r="T881" s="4" t="s">
        <v>2444</v>
      </c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5"/>
      <c r="AI881" s="5"/>
      <c r="AJ881" s="5"/>
      <c r="AK881" s="5"/>
      <c r="AL881" s="5"/>
    </row>
    <row r="882">
      <c r="A882" s="4" t="str">
        <f>VLOOKUP(L882,payment_ids!C:D,2,FALSE)</f>
        <v>pay_HKwpLV2kxW9dAh</v>
      </c>
      <c r="B882" s="4"/>
      <c r="C882" s="4" t="s">
        <v>587</v>
      </c>
      <c r="D882" s="4">
        <v>49907.0</v>
      </c>
      <c r="E882" s="5"/>
      <c r="F882" s="4">
        <v>1.0</v>
      </c>
      <c r="G882" s="4">
        <v>99.0</v>
      </c>
      <c r="H882" s="4"/>
      <c r="I882" s="4">
        <v>99.0</v>
      </c>
      <c r="J882" s="4" t="s">
        <v>3838</v>
      </c>
      <c r="K882" s="5">
        <f>+919880931835</f>
        <v>919880931835</v>
      </c>
      <c r="L882" s="4" t="str">
        <f t="shared" si="1"/>
        <v>raj.rajuu1995@gmail.com919880931835</v>
      </c>
      <c r="M882" s="10" t="s">
        <v>67</v>
      </c>
      <c r="N882" s="4" t="b">
        <v>0</v>
      </c>
      <c r="O882" s="4" t="str">
        <f>VLOOKUP(A882,payment_ids!D:E,2,FALSE)</f>
        <v>upi</v>
      </c>
      <c r="P882" s="4" t="s">
        <v>69</v>
      </c>
      <c r="Q882" s="11">
        <v>44445.71597222222</v>
      </c>
      <c r="R882" s="4"/>
      <c r="S882" s="12" t="s">
        <v>3774</v>
      </c>
      <c r="T882" s="4" t="s">
        <v>2444</v>
      </c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5"/>
      <c r="AI882" s="5"/>
      <c r="AJ882" s="5"/>
      <c r="AK882" s="5"/>
      <c r="AL882" s="5"/>
    </row>
    <row r="883">
      <c r="A883" s="4" t="str">
        <f>VLOOKUP(L883,payment_ids!C:D,2,FALSE)</f>
        <v>pay_HLLbbxEgX0sOBp</v>
      </c>
      <c r="B883" s="4"/>
      <c r="C883" s="4" t="s">
        <v>587</v>
      </c>
      <c r="D883" s="4">
        <v>49907.0</v>
      </c>
      <c r="E883" s="5"/>
      <c r="F883" s="4">
        <v>6.0</v>
      </c>
      <c r="G883" s="4">
        <v>349.0</v>
      </c>
      <c r="H883" s="4"/>
      <c r="I883" s="4">
        <v>349.0</v>
      </c>
      <c r="J883" s="4" t="s">
        <v>3839</v>
      </c>
      <c r="K883" s="5">
        <f>+918756894044</f>
        <v>918756894044</v>
      </c>
      <c r="L883" s="4" t="str">
        <f t="shared" si="1"/>
        <v>raghu2890@gmail.com918756894044</v>
      </c>
      <c r="M883" s="10" t="s">
        <v>67</v>
      </c>
      <c r="N883" s="4" t="b">
        <v>0</v>
      </c>
      <c r="O883" s="4" t="str">
        <f>VLOOKUP(A883,payment_ids!D:E,2,FALSE)</f>
        <v>upi</v>
      </c>
      <c r="P883" s="4" t="s">
        <v>69</v>
      </c>
      <c r="Q883" s="11">
        <v>44475.725694444445</v>
      </c>
      <c r="R883" s="4"/>
      <c r="S883" s="12" t="s">
        <v>3774</v>
      </c>
      <c r="T883" s="4" t="s">
        <v>2444</v>
      </c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5"/>
      <c r="AI883" s="5"/>
      <c r="AJ883" s="5"/>
      <c r="AK883" s="5"/>
      <c r="AL883" s="5"/>
    </row>
    <row r="884">
      <c r="A884" s="4" t="str">
        <f>VLOOKUP(L884,payment_ids!C:D,2,FALSE)</f>
        <v>pay_HLOemMfmmAfx13</v>
      </c>
      <c r="B884" s="4"/>
      <c r="C884" s="4" t="s">
        <v>587</v>
      </c>
      <c r="D884" s="4">
        <v>49907.0</v>
      </c>
      <c r="E884" s="5"/>
      <c r="F884" s="4">
        <v>1.0</v>
      </c>
      <c r="G884" s="4">
        <v>99.0</v>
      </c>
      <c r="H884" s="4"/>
      <c r="I884" s="4">
        <v>99.0</v>
      </c>
      <c r="J884" s="4" t="s">
        <v>3840</v>
      </c>
      <c r="K884" s="5">
        <f>+919004650532</f>
        <v>919004650532</v>
      </c>
      <c r="L884" s="4" t="str">
        <f t="shared" si="1"/>
        <v>mohammed.kanor.07@gmail.com919004650532</v>
      </c>
      <c r="M884" s="10" t="s">
        <v>67</v>
      </c>
      <c r="N884" s="4" t="b">
        <v>0</v>
      </c>
      <c r="O884" s="4" t="str">
        <f>VLOOKUP(A884,payment_ids!D:E,2,FALSE)</f>
        <v>upi</v>
      </c>
      <c r="P884" s="4" t="s">
        <v>69</v>
      </c>
      <c r="Q884" s="11">
        <v>44475.85</v>
      </c>
      <c r="R884" s="4"/>
      <c r="S884" s="12" t="s">
        <v>3774</v>
      </c>
      <c r="T884" s="4" t="s">
        <v>2444</v>
      </c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5"/>
      <c r="AI884" s="5"/>
      <c r="AJ884" s="5"/>
      <c r="AK884" s="5"/>
      <c r="AL884" s="5"/>
    </row>
    <row r="885">
      <c r="A885" s="4" t="str">
        <f>VLOOKUP(L885,payment_ids!C:D,2,FALSE)</f>
        <v>pay_HLiw6SrbuOGgWc</v>
      </c>
      <c r="B885" s="4"/>
      <c r="C885" s="4" t="s">
        <v>587</v>
      </c>
      <c r="D885" s="4">
        <v>49907.0</v>
      </c>
      <c r="E885" s="5"/>
      <c r="F885" s="4">
        <v>1.0</v>
      </c>
      <c r="G885" s="4">
        <v>99.0</v>
      </c>
      <c r="H885" s="4"/>
      <c r="I885" s="4">
        <v>99.0</v>
      </c>
      <c r="J885" s="4" t="s">
        <v>3841</v>
      </c>
      <c r="K885" s="5">
        <f>+917709261519</f>
        <v>917709261519</v>
      </c>
      <c r="L885" s="4" t="str">
        <f t="shared" si="1"/>
        <v>saurabhshitole31@gmail.com917709261519</v>
      </c>
      <c r="M885" s="10" t="s">
        <v>67</v>
      </c>
      <c r="N885" s="4" t="b">
        <v>0</v>
      </c>
      <c r="O885" s="4" t="str">
        <f>VLOOKUP(A885,payment_ids!D:E,2,FALSE)</f>
        <v>upi</v>
      </c>
      <c r="P885" s="4" t="s">
        <v>69</v>
      </c>
      <c r="Q885" s="11">
        <v>44506.677083333336</v>
      </c>
      <c r="R885" s="4"/>
      <c r="S885" s="12" t="s">
        <v>3774</v>
      </c>
      <c r="T885" s="4" t="s">
        <v>2444</v>
      </c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5"/>
      <c r="AI885" s="5"/>
      <c r="AJ885" s="5"/>
      <c r="AK885" s="5"/>
      <c r="AL885" s="5"/>
    </row>
    <row r="886">
      <c r="A886" s="4" t="str">
        <f>VLOOKUP(L886,payment_ids!C:D,2,FALSE)</f>
        <v>pay_HM3GT8R6yY5US4</v>
      </c>
      <c r="B886" s="4"/>
      <c r="C886" s="4" t="s">
        <v>587</v>
      </c>
      <c r="D886" s="4">
        <v>49907.0</v>
      </c>
      <c r="E886" s="5"/>
      <c r="F886" s="4">
        <v>3.0</v>
      </c>
      <c r="G886" s="4">
        <v>199.0</v>
      </c>
      <c r="H886" s="4"/>
      <c r="I886" s="4">
        <v>199.0</v>
      </c>
      <c r="J886" s="4" t="s">
        <v>3842</v>
      </c>
      <c r="K886" s="5">
        <f>+919381831659</f>
        <v>919381831659</v>
      </c>
      <c r="L886" s="4" t="str">
        <f t="shared" si="1"/>
        <v>kanakavallichunduri2002@gmail.com919381831659</v>
      </c>
      <c r="M886" s="10" t="s">
        <v>67</v>
      </c>
      <c r="N886" s="4" t="b">
        <v>0</v>
      </c>
      <c r="O886" s="4" t="str">
        <f>VLOOKUP(A886,payment_ids!D:E,2,FALSE)</f>
        <v>upi</v>
      </c>
      <c r="P886" s="4" t="s">
        <v>69</v>
      </c>
      <c r="Q886" s="11">
        <v>44536.50555555556</v>
      </c>
      <c r="R886" s="4"/>
      <c r="S886" s="12" t="s">
        <v>3774</v>
      </c>
      <c r="T886" s="4" t="s">
        <v>2444</v>
      </c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5"/>
      <c r="AI886" s="5"/>
      <c r="AJ886" s="5"/>
      <c r="AK886" s="5"/>
      <c r="AL886" s="5"/>
    </row>
    <row r="887">
      <c r="A887" s="4" t="str">
        <f>VLOOKUP(L887,payment_ids!C:D,2,FALSE)</f>
        <v>pay_HMEngcH5NS1b6W</v>
      </c>
      <c r="B887" s="4"/>
      <c r="C887" s="4" t="s">
        <v>587</v>
      </c>
      <c r="D887" s="4">
        <v>49907.0</v>
      </c>
      <c r="E887" s="5"/>
      <c r="F887" s="4">
        <v>6.0</v>
      </c>
      <c r="G887" s="4">
        <v>349.0</v>
      </c>
      <c r="H887" s="4"/>
      <c r="I887" s="4">
        <v>349.0</v>
      </c>
      <c r="J887" s="4" t="s">
        <v>3843</v>
      </c>
      <c r="K887" s="5">
        <f>+917718044568</f>
        <v>917718044568</v>
      </c>
      <c r="L887" s="4" t="str">
        <f t="shared" si="1"/>
        <v>deep92002@gmail.com917718044568</v>
      </c>
      <c r="M887" s="10" t="s">
        <v>67</v>
      </c>
      <c r="N887" s="4" t="b">
        <v>0</v>
      </c>
      <c r="O887" s="4" t="str">
        <f>VLOOKUP(A887,payment_ids!D:E,2,FALSE)</f>
        <v>upi</v>
      </c>
      <c r="P887" s="4" t="s">
        <v>69</v>
      </c>
      <c r="Q887" s="11">
        <v>44536.975694444445</v>
      </c>
      <c r="R887" s="4"/>
      <c r="S887" s="12" t="s">
        <v>3774</v>
      </c>
      <c r="T887" s="4" t="s">
        <v>2444</v>
      </c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5"/>
      <c r="AI887" s="5"/>
      <c r="AJ887" s="5"/>
      <c r="AK887" s="5"/>
      <c r="AL887" s="5"/>
    </row>
    <row r="888">
      <c r="A888" s="4" t="str">
        <f>VLOOKUP(L888,payment_ids!C:D,2,FALSE)</f>
        <v>pay_HMXqeNl0WgINYG</v>
      </c>
      <c r="B888" s="4"/>
      <c r="C888" s="4" t="s">
        <v>587</v>
      </c>
      <c r="D888" s="4">
        <v>49907.0</v>
      </c>
      <c r="E888" s="5"/>
      <c r="F888" s="4">
        <v>3.0</v>
      </c>
      <c r="G888" s="4">
        <v>199.0</v>
      </c>
      <c r="H888" s="4"/>
      <c r="I888" s="4">
        <v>199.0</v>
      </c>
      <c r="J888" s="4" t="s">
        <v>3844</v>
      </c>
      <c r="K888" s="5">
        <f>+917978416682</f>
        <v>917978416682</v>
      </c>
      <c r="L888" s="4" t="str">
        <f t="shared" si="1"/>
        <v>titikshya.maharana91@gmail.com917978416682</v>
      </c>
      <c r="M888" s="10" t="s">
        <v>67</v>
      </c>
      <c r="N888" s="4" t="b">
        <v>0</v>
      </c>
      <c r="O888" s="4" t="str">
        <f>VLOOKUP(A888,payment_ids!D:E,2,FALSE)</f>
        <v>upi</v>
      </c>
      <c r="P888" s="4" t="s">
        <v>69</v>
      </c>
      <c r="Q888" s="4" t="s">
        <v>3845</v>
      </c>
      <c r="R888" s="4"/>
      <c r="S888" s="12" t="s">
        <v>3774</v>
      </c>
      <c r="T888" s="4" t="s">
        <v>2444</v>
      </c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5"/>
      <c r="AI888" s="5"/>
      <c r="AJ888" s="5"/>
      <c r="AK888" s="5"/>
      <c r="AL888" s="5"/>
    </row>
    <row r="889">
      <c r="A889" s="4" t="str">
        <f>VLOOKUP(L889,payment_ids!C:D,2,FALSE)</f>
        <v>pay_HMYi5m4z0mitkn</v>
      </c>
      <c r="B889" s="4"/>
      <c r="C889" s="4" t="s">
        <v>587</v>
      </c>
      <c r="D889" s="4">
        <v>49907.0</v>
      </c>
      <c r="E889" s="5"/>
      <c r="F889" s="4">
        <v>1.0</v>
      </c>
      <c r="G889" s="4">
        <v>99.0</v>
      </c>
      <c r="H889" s="4"/>
      <c r="I889" s="4">
        <v>99.0</v>
      </c>
      <c r="J889" s="4" t="s">
        <v>3846</v>
      </c>
      <c r="K889" s="5">
        <f>+919080496022</f>
        <v>919080496022</v>
      </c>
      <c r="L889" s="4" t="str">
        <f t="shared" si="1"/>
        <v>nagakn26@gmail.com919080496022</v>
      </c>
      <c r="M889" s="10" t="s">
        <v>67</v>
      </c>
      <c r="N889" s="4" t="b">
        <v>0</v>
      </c>
      <c r="O889" s="4" t="str">
        <f>VLOOKUP(A889,payment_ids!D:E,2,FALSE)</f>
        <v>upi</v>
      </c>
      <c r="P889" s="4" t="s">
        <v>69</v>
      </c>
      <c r="Q889" s="4" t="s">
        <v>3847</v>
      </c>
      <c r="R889" s="4"/>
      <c r="S889" s="12" t="s">
        <v>3774</v>
      </c>
      <c r="T889" s="4" t="s">
        <v>2444</v>
      </c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5"/>
      <c r="AI889" s="5"/>
      <c r="AJ889" s="5"/>
      <c r="AK889" s="5"/>
      <c r="AL889" s="5"/>
    </row>
    <row r="890">
      <c r="A890" s="4" t="str">
        <f>VLOOKUP(L890,payment_ids!C:D,2,FALSE)</f>
        <v>pay_HMaydrMqyuSCgh</v>
      </c>
      <c r="B890" s="4"/>
      <c r="C890" s="4" t="s">
        <v>587</v>
      </c>
      <c r="D890" s="4">
        <v>49907.0</v>
      </c>
      <c r="E890" s="5"/>
      <c r="F890" s="4">
        <v>1.0</v>
      </c>
      <c r="G890" s="4">
        <v>99.0</v>
      </c>
      <c r="H890" s="4"/>
      <c r="I890" s="4">
        <v>99.0</v>
      </c>
      <c r="J890" s="4" t="s">
        <v>3848</v>
      </c>
      <c r="K890" s="5">
        <f>+919890928205</f>
        <v>919890928205</v>
      </c>
      <c r="L890" s="4" t="str">
        <f t="shared" si="1"/>
        <v>phdeshmukh11@gmail.com919890928205</v>
      </c>
      <c r="M890" s="10" t="s">
        <v>67</v>
      </c>
      <c r="N890" s="4" t="b">
        <v>0</v>
      </c>
      <c r="O890" s="4" t="str">
        <f>VLOOKUP(A890,payment_ids!D:E,2,FALSE)</f>
        <v>upi</v>
      </c>
      <c r="P890" s="4" t="s">
        <v>69</v>
      </c>
      <c r="Q890" s="4" t="s">
        <v>3849</v>
      </c>
      <c r="R890" s="4"/>
      <c r="S890" s="12" t="s">
        <v>3774</v>
      </c>
      <c r="T890" s="4" t="s">
        <v>2444</v>
      </c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5"/>
      <c r="AI890" s="5"/>
      <c r="AJ890" s="5"/>
      <c r="AK890" s="5"/>
      <c r="AL890" s="5"/>
    </row>
    <row r="891">
      <c r="A891" s="4" t="str">
        <f>VLOOKUP(L891,payment_ids!C:D,2,FALSE)</f>
        <v>pay_HMbQknpyn6a2pe</v>
      </c>
      <c r="B891" s="4"/>
      <c r="C891" s="4" t="s">
        <v>587</v>
      </c>
      <c r="D891" s="4">
        <v>49907.0</v>
      </c>
      <c r="E891" s="5"/>
      <c r="F891" s="4">
        <v>1.0</v>
      </c>
      <c r="G891" s="4">
        <v>99.0</v>
      </c>
      <c r="H891" s="4"/>
      <c r="I891" s="4">
        <v>99.0</v>
      </c>
      <c r="J891" s="4" t="s">
        <v>3850</v>
      </c>
      <c r="K891" s="5">
        <f>+919901218564</f>
        <v>919901218564</v>
      </c>
      <c r="L891" s="4" t="str">
        <f t="shared" si="1"/>
        <v>mayankrsjobs@gmail.com919901218564</v>
      </c>
      <c r="M891" s="10" t="s">
        <v>67</v>
      </c>
      <c r="N891" s="4" t="b">
        <v>0</v>
      </c>
      <c r="O891" s="4" t="str">
        <f>VLOOKUP(A891,payment_ids!D:E,2,FALSE)</f>
        <v>wallet</v>
      </c>
      <c r="P891" s="4" t="s">
        <v>69</v>
      </c>
      <c r="Q891" s="4" t="s">
        <v>3851</v>
      </c>
      <c r="R891" s="4"/>
      <c r="S891" s="12" t="s">
        <v>3774</v>
      </c>
      <c r="T891" s="4" t="s">
        <v>2444</v>
      </c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5"/>
      <c r="AI891" s="5"/>
      <c r="AJ891" s="5"/>
      <c r="AK891" s="5"/>
      <c r="AL891" s="5"/>
    </row>
    <row r="892">
      <c r="A892" s="4" t="str">
        <f>VLOOKUP(L892,payment_ids!C:D,2,FALSE)</f>
        <v>pay_HMln1UDfh8fOOa</v>
      </c>
      <c r="B892" s="4"/>
      <c r="C892" s="4" t="s">
        <v>587</v>
      </c>
      <c r="D892" s="4">
        <v>49907.0</v>
      </c>
      <c r="E892" s="5"/>
      <c r="F892" s="4">
        <v>3.0</v>
      </c>
      <c r="G892" s="4">
        <v>199.0</v>
      </c>
      <c r="H892" s="4"/>
      <c r="I892" s="4">
        <v>199.0</v>
      </c>
      <c r="J892" s="4" t="s">
        <v>3852</v>
      </c>
      <c r="K892" s="5">
        <f>+919175893212</f>
        <v>919175893212</v>
      </c>
      <c r="L892" s="4" t="str">
        <f t="shared" si="1"/>
        <v>kunaljoshi210@gmail.com919175893212</v>
      </c>
      <c r="M892" s="10" t="s">
        <v>67</v>
      </c>
      <c r="N892" s="4" t="b">
        <v>0</v>
      </c>
      <c r="O892" s="4" t="str">
        <f>VLOOKUP(A892,payment_ids!D:E,2,FALSE)</f>
        <v>upi</v>
      </c>
      <c r="P892" s="4" t="s">
        <v>69</v>
      </c>
      <c r="Q892" s="4" t="s">
        <v>3853</v>
      </c>
      <c r="R892" s="4"/>
      <c r="S892" s="12" t="s">
        <v>3774</v>
      </c>
      <c r="T892" s="4" t="s">
        <v>2444</v>
      </c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5"/>
      <c r="AI892" s="5"/>
      <c r="AJ892" s="5"/>
      <c r="AK892" s="5"/>
      <c r="AL892" s="5"/>
    </row>
    <row r="893">
      <c r="A893" s="4" t="str">
        <f>VLOOKUP(L893,payment_ids!C:D,2,FALSE)</f>
        <v>pay_HMnLCUiFqAu6Rv</v>
      </c>
      <c r="B893" s="4"/>
      <c r="C893" s="4" t="s">
        <v>587</v>
      </c>
      <c r="D893" s="4">
        <v>49907.0</v>
      </c>
      <c r="E893" s="5"/>
      <c r="F893" s="4">
        <v>3.0</v>
      </c>
      <c r="G893" s="4">
        <v>199.0</v>
      </c>
      <c r="H893" s="4"/>
      <c r="I893" s="4">
        <v>199.0</v>
      </c>
      <c r="J893" s="4" t="s">
        <v>3854</v>
      </c>
      <c r="K893" s="5">
        <f>+919100218494</f>
        <v>919100218494</v>
      </c>
      <c r="L893" s="4" t="str">
        <f t="shared" si="1"/>
        <v>kothapallisatyasai95@gmail.com919100218494</v>
      </c>
      <c r="M893" s="10" t="s">
        <v>67</v>
      </c>
      <c r="N893" s="4" t="b">
        <v>0</v>
      </c>
      <c r="O893" s="4" t="str">
        <f>VLOOKUP(A893,payment_ids!D:E,2,FALSE)</f>
        <v>wallet</v>
      </c>
      <c r="P893" s="4" t="s">
        <v>69</v>
      </c>
      <c r="Q893" s="4" t="s">
        <v>3855</v>
      </c>
      <c r="R893" s="4"/>
      <c r="S893" s="12" t="s">
        <v>3774</v>
      </c>
      <c r="T893" s="4" t="s">
        <v>2444</v>
      </c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5"/>
      <c r="AI893" s="5"/>
      <c r="AJ893" s="5"/>
      <c r="AK893" s="5"/>
      <c r="AL893" s="5"/>
    </row>
    <row r="894">
      <c r="A894" s="4" t="str">
        <f>VLOOKUP(L894,payment_ids!C:D,2,FALSE)</f>
        <v>pay_H8imrtp1OM1Rno</v>
      </c>
      <c r="B894" s="4"/>
      <c r="C894" s="4" t="s">
        <v>587</v>
      </c>
      <c r="D894" s="4">
        <v>49907.0</v>
      </c>
      <c r="E894" s="5"/>
      <c r="F894" s="4">
        <v>1.0</v>
      </c>
      <c r="G894" s="4">
        <v>99.0</v>
      </c>
      <c r="H894" s="4"/>
      <c r="I894" s="4">
        <v>99.0</v>
      </c>
      <c r="J894" s="4" t="s">
        <v>3856</v>
      </c>
      <c r="K894" s="5">
        <f>+919968938999</f>
        <v>919968938999</v>
      </c>
      <c r="L894" s="4" t="str">
        <f t="shared" si="1"/>
        <v>bharat.oberoi.9@gmail.com919968938999</v>
      </c>
      <c r="M894" s="10" t="s">
        <v>67</v>
      </c>
      <c r="N894" s="4" t="b">
        <v>0</v>
      </c>
      <c r="O894" s="4" t="str">
        <f>VLOOKUP(A894,payment_ids!D:E,2,FALSE)</f>
        <v>card</v>
      </c>
      <c r="P894" s="4" t="s">
        <v>69</v>
      </c>
      <c r="Q894" s="4" t="s">
        <v>3857</v>
      </c>
      <c r="R894" s="4"/>
      <c r="S894" s="12" t="s">
        <v>3822</v>
      </c>
      <c r="T894" s="4" t="s">
        <v>2444</v>
      </c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5"/>
      <c r="AI894" s="5"/>
      <c r="AJ894" s="5"/>
      <c r="AK894" s="5"/>
      <c r="AL894" s="5"/>
    </row>
    <row r="895">
      <c r="A895" s="4" t="str">
        <f>VLOOKUP(L895,payment_ids!C:D,2,FALSE)</f>
        <v>pay_HNMDI5BkEHIY2l</v>
      </c>
      <c r="B895" s="4"/>
      <c r="C895" s="4" t="s">
        <v>587</v>
      </c>
      <c r="D895" s="4">
        <v>49907.0</v>
      </c>
      <c r="E895" s="5"/>
      <c r="F895" s="4">
        <v>3.0</v>
      </c>
      <c r="G895" s="4">
        <v>199.0</v>
      </c>
      <c r="H895" s="4"/>
      <c r="I895" s="4">
        <v>199.0</v>
      </c>
      <c r="J895" s="4" t="s">
        <v>3858</v>
      </c>
      <c r="K895" s="5">
        <f>+917338932963</f>
        <v>917338932963</v>
      </c>
      <c r="L895" s="4" t="str">
        <f t="shared" si="1"/>
        <v>naveenreddy9959@gmail.com917338932963</v>
      </c>
      <c r="M895" s="10" t="s">
        <v>67</v>
      </c>
      <c r="N895" s="4" t="b">
        <v>0</v>
      </c>
      <c r="O895" s="4" t="str">
        <f>VLOOKUP(A895,payment_ids!D:E,2,FALSE)</f>
        <v>upi</v>
      </c>
      <c r="P895" s="4" t="s">
        <v>69</v>
      </c>
      <c r="Q895" s="4" t="s">
        <v>3859</v>
      </c>
      <c r="R895" s="4"/>
      <c r="S895" s="12" t="s">
        <v>3822</v>
      </c>
      <c r="T895" s="4" t="s">
        <v>2444</v>
      </c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5"/>
      <c r="AI895" s="5"/>
      <c r="AJ895" s="5"/>
      <c r="AK895" s="5"/>
      <c r="AL895" s="5"/>
    </row>
    <row r="896">
      <c r="A896" s="4" t="str">
        <f>VLOOKUP(L896,payment_ids!C:D,2,FALSE)</f>
        <v>pay_HNMyPSisCYF74t</v>
      </c>
      <c r="B896" s="4"/>
      <c r="C896" s="4" t="s">
        <v>587</v>
      </c>
      <c r="D896" s="4">
        <v>49907.0</v>
      </c>
      <c r="E896" s="5"/>
      <c r="F896" s="4">
        <v>1.0</v>
      </c>
      <c r="G896" s="4">
        <v>99.0</v>
      </c>
      <c r="H896" s="4"/>
      <c r="I896" s="4">
        <v>99.0</v>
      </c>
      <c r="J896" s="4" t="s">
        <v>3860</v>
      </c>
      <c r="K896" s="5">
        <f>+917020638803</f>
        <v>917020638803</v>
      </c>
      <c r="L896" s="4" t="str">
        <f t="shared" si="1"/>
        <v>ashaymgirgaonkar@gmail.com917020638803</v>
      </c>
      <c r="M896" s="10" t="s">
        <v>67</v>
      </c>
      <c r="N896" s="4" t="b">
        <v>0</v>
      </c>
      <c r="O896" s="4" t="str">
        <f>VLOOKUP(A896,payment_ids!D:E,2,FALSE)</f>
        <v>upi</v>
      </c>
      <c r="P896" s="4" t="s">
        <v>69</v>
      </c>
      <c r="Q896" s="4" t="s">
        <v>3861</v>
      </c>
      <c r="R896" s="4"/>
      <c r="S896" s="12" t="s">
        <v>3774</v>
      </c>
      <c r="T896" s="4" t="s">
        <v>2444</v>
      </c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5"/>
      <c r="AI896" s="5"/>
      <c r="AJ896" s="5"/>
      <c r="AK896" s="5"/>
      <c r="AL896" s="5"/>
    </row>
    <row r="897">
      <c r="A897" s="4" t="str">
        <f>VLOOKUP(L897,payment_ids!C:D,2,FALSE)</f>
        <v>pay_HNjc3nwfetpsug</v>
      </c>
      <c r="B897" s="4"/>
      <c r="C897" s="4" t="s">
        <v>587</v>
      </c>
      <c r="D897" s="4">
        <v>49907.0</v>
      </c>
      <c r="E897" s="5"/>
      <c r="F897" s="4">
        <v>3.0</v>
      </c>
      <c r="G897" s="4">
        <v>199.0</v>
      </c>
      <c r="H897" s="4"/>
      <c r="I897" s="4">
        <v>199.0</v>
      </c>
      <c r="J897" s="4" t="s">
        <v>3862</v>
      </c>
      <c r="K897" s="5">
        <f>+918252404027</f>
        <v>918252404027</v>
      </c>
      <c r="L897" s="4" t="str">
        <f t="shared" si="1"/>
        <v>vinita2015.nsec@gmail.com918252404027</v>
      </c>
      <c r="M897" s="10" t="s">
        <v>67</v>
      </c>
      <c r="N897" s="4" t="b">
        <v>0</v>
      </c>
      <c r="O897" s="4" t="str">
        <f>VLOOKUP(A897,payment_ids!D:E,2,FALSE)</f>
        <v>netbanking</v>
      </c>
      <c r="P897" s="4" t="s">
        <v>69</v>
      </c>
      <c r="Q897" s="4" t="s">
        <v>3863</v>
      </c>
      <c r="R897" s="4"/>
      <c r="S897" s="12" t="s">
        <v>3774</v>
      </c>
      <c r="T897" s="4" t="s">
        <v>2444</v>
      </c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5"/>
      <c r="AI897" s="5"/>
      <c r="AJ897" s="5"/>
      <c r="AK897" s="5"/>
      <c r="AL897" s="5"/>
    </row>
    <row r="898">
      <c r="A898" s="4" t="str">
        <f>VLOOKUP(L898,payment_ids!C:D,2,FALSE)</f>
        <v>pay_HNmQgs2hjMsNmM</v>
      </c>
      <c r="B898" s="4"/>
      <c r="C898" s="4" t="s">
        <v>587</v>
      </c>
      <c r="D898" s="4">
        <v>49907.0</v>
      </c>
      <c r="E898" s="5"/>
      <c r="F898" s="4">
        <v>3.0</v>
      </c>
      <c r="G898" s="4">
        <v>199.0</v>
      </c>
      <c r="H898" s="4"/>
      <c r="I898" s="4">
        <v>199.0</v>
      </c>
      <c r="J898" s="4" t="s">
        <v>3864</v>
      </c>
      <c r="K898" s="5">
        <f>+919885689966</f>
        <v>919885689966</v>
      </c>
      <c r="L898" s="4" t="str">
        <f t="shared" si="1"/>
        <v>dinesh.kacee@gmail.com919885689966</v>
      </c>
      <c r="M898" s="10" t="s">
        <v>67</v>
      </c>
      <c r="N898" s="4" t="b">
        <v>0</v>
      </c>
      <c r="O898" s="4" t="str">
        <f>VLOOKUP(A898,payment_ids!D:E,2,FALSE)</f>
        <v>upi</v>
      </c>
      <c r="P898" s="4" t="s">
        <v>69</v>
      </c>
      <c r="Q898" s="4" t="s">
        <v>3865</v>
      </c>
      <c r="R898" s="4"/>
      <c r="S898" s="12" t="s">
        <v>3774</v>
      </c>
      <c r="T898" s="4" t="s">
        <v>2444</v>
      </c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5"/>
      <c r="AI898" s="5"/>
      <c r="AJ898" s="5"/>
      <c r="AK898" s="5"/>
      <c r="AL898" s="5"/>
    </row>
    <row r="899">
      <c r="A899" s="4" t="str">
        <f>VLOOKUP(L899,payment_ids!C:D,2,FALSE)</f>
        <v>pay_HNwjD0tsNV6E3H</v>
      </c>
      <c r="B899" s="4"/>
      <c r="C899" s="4" t="s">
        <v>587</v>
      </c>
      <c r="D899" s="4">
        <v>49907.0</v>
      </c>
      <c r="E899" s="5"/>
      <c r="F899" s="4">
        <v>1.0</v>
      </c>
      <c r="G899" s="4">
        <v>99.0</v>
      </c>
      <c r="H899" s="4"/>
      <c r="I899" s="4">
        <v>99.0</v>
      </c>
      <c r="J899" s="4" t="s">
        <v>3866</v>
      </c>
      <c r="K899" s="5">
        <f>+919652797105</f>
        <v>919652797105</v>
      </c>
      <c r="L899" s="4" t="str">
        <f t="shared" si="1"/>
        <v>rajluc143@gmail.com919652797105</v>
      </c>
      <c r="M899" s="10" t="s">
        <v>67</v>
      </c>
      <c r="N899" s="4" t="b">
        <v>0</v>
      </c>
      <c r="O899" s="4" t="str">
        <f>VLOOKUP(A899,payment_ids!D:E,2,FALSE)</f>
        <v>upi</v>
      </c>
      <c r="P899" s="4" t="s">
        <v>69</v>
      </c>
      <c r="Q899" s="4" t="s">
        <v>3867</v>
      </c>
      <c r="R899" s="4"/>
      <c r="S899" s="12" t="s">
        <v>3774</v>
      </c>
      <c r="T899" s="4" t="s">
        <v>2444</v>
      </c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5"/>
      <c r="AI899" s="5"/>
      <c r="AJ899" s="5"/>
      <c r="AK899" s="5"/>
      <c r="AL899" s="5"/>
    </row>
    <row r="900">
      <c r="A900" s="4" t="str">
        <f>VLOOKUP(L900,payment_ids!C:D,2,FALSE)</f>
        <v>pay_HOAqXiWhwnhkN7</v>
      </c>
      <c r="B900" s="4"/>
      <c r="C900" s="4" t="s">
        <v>587</v>
      </c>
      <c r="D900" s="4">
        <v>49907.0</v>
      </c>
      <c r="E900" s="5"/>
      <c r="F900" s="4">
        <v>1.0</v>
      </c>
      <c r="G900" s="4">
        <v>99.0</v>
      </c>
      <c r="H900" s="4"/>
      <c r="I900" s="4">
        <v>99.0</v>
      </c>
      <c r="J900" s="4" t="s">
        <v>3868</v>
      </c>
      <c r="K900" s="5">
        <f>+919461002436</f>
        <v>919461002436</v>
      </c>
      <c r="L900" s="4" t="str">
        <f t="shared" si="1"/>
        <v>jj14916@gmail.com919461002436</v>
      </c>
      <c r="M900" s="10" t="s">
        <v>67</v>
      </c>
      <c r="N900" s="4" t="b">
        <v>0</v>
      </c>
      <c r="O900" s="4" t="str">
        <f>VLOOKUP(A900,payment_ids!D:E,2,FALSE)</f>
        <v>upi</v>
      </c>
      <c r="P900" s="4" t="s">
        <v>69</v>
      </c>
      <c r="Q900" s="4" t="s">
        <v>3869</v>
      </c>
      <c r="R900" s="4"/>
      <c r="S900" s="12" t="s">
        <v>3774</v>
      </c>
      <c r="T900" s="4" t="s">
        <v>2444</v>
      </c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5"/>
      <c r="AI900" s="5"/>
      <c r="AJ900" s="5"/>
      <c r="AK900" s="5"/>
      <c r="AL900" s="5"/>
    </row>
    <row r="901">
      <c r="A901" s="4" t="str">
        <f>VLOOKUP(L901,payment_ids!C:D,2,FALSE)</f>
        <v>pay_HOoyVN3hQFcyUo</v>
      </c>
      <c r="B901" s="4"/>
      <c r="C901" s="4" t="s">
        <v>587</v>
      </c>
      <c r="D901" s="4">
        <v>49907.0</v>
      </c>
      <c r="E901" s="5"/>
      <c r="F901" s="4">
        <v>1.0</v>
      </c>
      <c r="G901" s="4">
        <v>99.0</v>
      </c>
      <c r="H901" s="4"/>
      <c r="I901" s="4">
        <v>99.0</v>
      </c>
      <c r="J901" s="4" t="s">
        <v>3870</v>
      </c>
      <c r="K901" s="5">
        <f>+918826460651</f>
        <v>918826460651</v>
      </c>
      <c r="L901" s="4" t="str">
        <f t="shared" si="1"/>
        <v>pradeepjoshi228@gmail.com918826460651</v>
      </c>
      <c r="M901" s="10" t="s">
        <v>67</v>
      </c>
      <c r="N901" s="4" t="b">
        <v>0</v>
      </c>
      <c r="O901" s="4" t="str">
        <f>VLOOKUP(A901,payment_ids!D:E,2,FALSE)</f>
        <v>upi</v>
      </c>
      <c r="P901" s="4" t="s">
        <v>69</v>
      </c>
      <c r="Q901" s="4" t="s">
        <v>3871</v>
      </c>
      <c r="R901" s="4"/>
      <c r="S901" s="12" t="s">
        <v>3774</v>
      </c>
      <c r="T901" s="4" t="s">
        <v>2444</v>
      </c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5"/>
      <c r="AI901" s="5"/>
      <c r="AJ901" s="5"/>
      <c r="AK901" s="5"/>
      <c r="AL901" s="5"/>
    </row>
    <row r="902">
      <c r="A902" s="4" t="str">
        <f>VLOOKUP(L902,payment_ids!C:D,2,FALSE)</f>
        <v>pay_HKbiHpSxvqtFl8</v>
      </c>
      <c r="B902" s="4"/>
      <c r="C902" s="4" t="s">
        <v>587</v>
      </c>
      <c r="D902" s="4">
        <v>49907.0</v>
      </c>
      <c r="E902" s="5"/>
      <c r="F902" s="4">
        <v>1.0</v>
      </c>
      <c r="G902" s="4">
        <v>99.0</v>
      </c>
      <c r="H902" s="4"/>
      <c r="I902" s="4">
        <v>99.0</v>
      </c>
      <c r="J902" s="4" t="s">
        <v>3872</v>
      </c>
      <c r="K902" s="5">
        <f>+917007956134</f>
        <v>917007956134</v>
      </c>
      <c r="L902" s="4" t="str">
        <f t="shared" si="1"/>
        <v>narula.dhruv05@gmail.com917007956134</v>
      </c>
      <c r="M902" s="10" t="s">
        <v>67</v>
      </c>
      <c r="N902" s="4" t="b">
        <v>0</v>
      </c>
      <c r="O902" s="4" t="str">
        <f>VLOOKUP(A902,payment_ids!D:E,2,FALSE)</f>
        <v>upi</v>
      </c>
      <c r="P902" s="4" t="s">
        <v>69</v>
      </c>
      <c r="Q902" s="4" t="s">
        <v>3873</v>
      </c>
      <c r="R902" s="4"/>
      <c r="S902" s="12" t="s">
        <v>3774</v>
      </c>
      <c r="T902" s="4" t="s">
        <v>2444</v>
      </c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5"/>
      <c r="AI902" s="5"/>
      <c r="AJ902" s="5"/>
      <c r="AK902" s="5"/>
      <c r="AL902" s="5"/>
    </row>
    <row r="903">
      <c r="A903" s="4" t="str">
        <f>VLOOKUP(L903,payment_ids!C:D,2,FALSE)</f>
        <v>pay_HOxTuqB6oHA3Te</v>
      </c>
      <c r="B903" s="4"/>
      <c r="C903" s="4" t="s">
        <v>587</v>
      </c>
      <c r="D903" s="4">
        <v>49907.0</v>
      </c>
      <c r="E903" s="5"/>
      <c r="F903" s="4">
        <v>1.0</v>
      </c>
      <c r="G903" s="4">
        <v>99.0</v>
      </c>
      <c r="H903" s="4"/>
      <c r="I903" s="4">
        <v>99.0</v>
      </c>
      <c r="J903" s="4" t="s">
        <v>3874</v>
      </c>
      <c r="K903" s="5">
        <f>+919975723414</f>
        <v>919975723414</v>
      </c>
      <c r="L903" s="4" t="str">
        <f t="shared" si="1"/>
        <v>manishvjb@outlook.com919975723414</v>
      </c>
      <c r="M903" s="10" t="s">
        <v>67</v>
      </c>
      <c r="N903" s="4" t="b">
        <v>0</v>
      </c>
      <c r="O903" s="4" t="str">
        <f>VLOOKUP(A903,payment_ids!D:E,2,FALSE)</f>
        <v>wallet</v>
      </c>
      <c r="P903" s="4" t="s">
        <v>69</v>
      </c>
      <c r="Q903" s="4" t="s">
        <v>3875</v>
      </c>
      <c r="R903" s="4"/>
      <c r="S903" s="12" t="s">
        <v>3774</v>
      </c>
      <c r="T903" s="4" t="s">
        <v>2444</v>
      </c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5"/>
      <c r="AI903" s="5"/>
      <c r="AJ903" s="5"/>
      <c r="AK903" s="5"/>
      <c r="AL903" s="5"/>
    </row>
    <row r="904">
      <c r="A904" s="4" t="str">
        <f>VLOOKUP(L904,payment_ids!C:D,2,FALSE)</f>
        <v>pay_HP2GB5NviIwyTS</v>
      </c>
      <c r="B904" s="4"/>
      <c r="C904" s="4" t="s">
        <v>587</v>
      </c>
      <c r="D904" s="4">
        <v>49907.0</v>
      </c>
      <c r="E904" s="5"/>
      <c r="F904" s="4">
        <v>3.0</v>
      </c>
      <c r="G904" s="4">
        <v>199.0</v>
      </c>
      <c r="H904" s="4"/>
      <c r="I904" s="4">
        <v>199.0</v>
      </c>
      <c r="J904" s="4" t="s">
        <v>3876</v>
      </c>
      <c r="K904" s="5">
        <f>+919959089829</f>
        <v>919959089829</v>
      </c>
      <c r="L904" s="4" t="str">
        <f t="shared" si="1"/>
        <v>phanindra.bollineni17@gmail.com919959089829</v>
      </c>
      <c r="M904" s="10" t="s">
        <v>67</v>
      </c>
      <c r="N904" s="4" t="b">
        <v>0</v>
      </c>
      <c r="O904" s="4" t="str">
        <f>VLOOKUP(A904,payment_ids!D:E,2,FALSE)</f>
        <v>wallet</v>
      </c>
      <c r="P904" s="4" t="s">
        <v>69</v>
      </c>
      <c r="Q904" s="4" t="s">
        <v>3877</v>
      </c>
      <c r="R904" s="4"/>
      <c r="S904" s="12" t="s">
        <v>3774</v>
      </c>
      <c r="T904" s="4" t="s">
        <v>2444</v>
      </c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5"/>
      <c r="AI904" s="5"/>
      <c r="AJ904" s="5"/>
      <c r="AK904" s="5"/>
      <c r="AL904" s="5"/>
    </row>
    <row r="905">
      <c r="A905" s="4" t="str">
        <f>VLOOKUP(L905,payment_ids!C:D,2,FALSE)</f>
        <v>pay_HOXlFr48EsLCnl</v>
      </c>
      <c r="B905" s="4"/>
      <c r="C905" s="4" t="s">
        <v>3878</v>
      </c>
      <c r="D905" s="4">
        <v>50173.0</v>
      </c>
      <c r="E905" s="5"/>
      <c r="F905" s="4">
        <v>1.0</v>
      </c>
      <c r="G905" s="4">
        <v>99.0</v>
      </c>
      <c r="H905" s="4"/>
      <c r="I905" s="4">
        <v>99.0</v>
      </c>
      <c r="J905" s="4" t="s">
        <v>3879</v>
      </c>
      <c r="K905" s="5">
        <f>+918420839714</f>
        <v>918420839714</v>
      </c>
      <c r="L905" s="4" t="str">
        <f t="shared" si="1"/>
        <v>meghaseth148@gmail.com918420839714</v>
      </c>
      <c r="M905" s="10" t="s">
        <v>67</v>
      </c>
      <c r="N905" s="4" t="b">
        <v>0</v>
      </c>
      <c r="O905" s="4" t="str">
        <f>VLOOKUP(A905,payment_ids!D:E,2,FALSE)</f>
        <v>upi</v>
      </c>
      <c r="P905" s="4" t="s">
        <v>69</v>
      </c>
      <c r="Q905" s="4" t="s">
        <v>3880</v>
      </c>
      <c r="R905" s="4"/>
      <c r="S905" s="12" t="s">
        <v>3881</v>
      </c>
      <c r="T905" s="4" t="s">
        <v>2444</v>
      </c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5"/>
      <c r="AI905" s="5"/>
      <c r="AJ905" s="5"/>
      <c r="AK905" s="5"/>
      <c r="AL905" s="5"/>
    </row>
    <row r="906">
      <c r="A906" s="4" t="str">
        <f>VLOOKUP(L906,payment_ids!C:D,2,FALSE)</f>
        <v>pay_HOaCDbCDjCsOH6</v>
      </c>
      <c r="B906" s="4"/>
      <c r="C906" s="4" t="s">
        <v>3878</v>
      </c>
      <c r="D906" s="4">
        <v>50173.0</v>
      </c>
      <c r="E906" s="5"/>
      <c r="F906" s="4">
        <v>6.0</v>
      </c>
      <c r="G906" s="4">
        <v>449.0</v>
      </c>
      <c r="H906" s="4"/>
      <c r="I906" s="4">
        <v>449.0</v>
      </c>
      <c r="J906" s="4" t="s">
        <v>3882</v>
      </c>
      <c r="K906" s="5">
        <f>+919899354222</f>
        <v>919899354222</v>
      </c>
      <c r="L906" s="4" t="str">
        <f t="shared" si="1"/>
        <v>canitinkataria@gmail.com919899354222</v>
      </c>
      <c r="M906" s="10" t="s">
        <v>67</v>
      </c>
      <c r="N906" s="4" t="b">
        <v>0</v>
      </c>
      <c r="O906" s="4" t="str">
        <f>VLOOKUP(A906,payment_ids!D:E,2,FALSE)</f>
        <v>upi</v>
      </c>
      <c r="P906" s="4" t="s">
        <v>69</v>
      </c>
      <c r="Q906" s="4" t="s">
        <v>3883</v>
      </c>
      <c r="R906" s="4"/>
      <c r="S906" s="12" t="s">
        <v>3881</v>
      </c>
      <c r="T906" s="4" t="s">
        <v>2444</v>
      </c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5"/>
      <c r="AI906" s="5"/>
      <c r="AJ906" s="5"/>
      <c r="AK906" s="5"/>
      <c r="AL906" s="5"/>
    </row>
    <row r="907">
      <c r="A907" s="4" t="str">
        <f>VLOOKUP(L907,payment_ids!C:D,2,FALSE)</f>
        <v>pay_HOlY0WUbZ5KY6F</v>
      </c>
      <c r="B907" s="4"/>
      <c r="C907" s="4" t="s">
        <v>3878</v>
      </c>
      <c r="D907" s="4">
        <v>50173.0</v>
      </c>
      <c r="E907" s="5"/>
      <c r="F907" s="4">
        <v>3.0</v>
      </c>
      <c r="G907" s="4">
        <v>249.0</v>
      </c>
      <c r="H907" s="4"/>
      <c r="I907" s="4">
        <v>249.0</v>
      </c>
      <c r="J907" s="4" t="s">
        <v>3884</v>
      </c>
      <c r="K907" s="5">
        <f>+918951290299</f>
        <v>918951290299</v>
      </c>
      <c r="L907" s="4" t="str">
        <f t="shared" si="1"/>
        <v>noufalkopu@yahoo.com918951290299</v>
      </c>
      <c r="M907" s="10" t="s">
        <v>67</v>
      </c>
      <c r="N907" s="4" t="b">
        <v>0</v>
      </c>
      <c r="O907" s="4" t="str">
        <f>VLOOKUP(A907,payment_ids!D:E,2,FALSE)</f>
        <v>wallet</v>
      </c>
      <c r="P907" s="4" t="s">
        <v>69</v>
      </c>
      <c r="Q907" s="4" t="s">
        <v>3885</v>
      </c>
      <c r="R907" s="4"/>
      <c r="S907" s="12" t="s">
        <v>3886</v>
      </c>
      <c r="T907" s="4" t="s">
        <v>2444</v>
      </c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5"/>
      <c r="AI907" s="5"/>
      <c r="AJ907" s="5"/>
      <c r="AK907" s="5"/>
      <c r="AL907" s="5"/>
    </row>
    <row r="908">
      <c r="A908" s="4" t="str">
        <f>VLOOKUP(L908,payment_ids!C:D,2,FALSE)</f>
        <v>pay_H6e19mJSkBnPZl</v>
      </c>
      <c r="B908" s="4"/>
      <c r="C908" s="4" t="s">
        <v>680</v>
      </c>
      <c r="D908" s="4">
        <v>49835.0</v>
      </c>
      <c r="E908" s="4"/>
      <c r="F908" s="4">
        <v>3.0</v>
      </c>
      <c r="G908" s="4">
        <v>99.0</v>
      </c>
      <c r="H908" s="4"/>
      <c r="I908" s="4">
        <v>99.0</v>
      </c>
      <c r="J908" s="4" t="s">
        <v>3887</v>
      </c>
      <c r="K908" s="6">
        <f>+917389999990</f>
        <v>917389999990</v>
      </c>
      <c r="L908" s="4" t="str">
        <f t="shared" si="1"/>
        <v>dcbs13simranbajaj@gmail.com917389999990</v>
      </c>
      <c r="M908" s="10" t="s">
        <v>67</v>
      </c>
      <c r="N908" s="4" t="b">
        <v>0</v>
      </c>
      <c r="O908" s="4" t="str">
        <f>VLOOKUP(A908,payment_ids!D:E,2,FALSE)</f>
        <v>upi</v>
      </c>
      <c r="P908" s="4" t="s">
        <v>69</v>
      </c>
      <c r="Q908" s="11">
        <v>44291.57013888889</v>
      </c>
      <c r="R908" s="4"/>
      <c r="S908" s="12" t="s">
        <v>3888</v>
      </c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5"/>
      <c r="AI908" s="5"/>
      <c r="AJ908" s="5"/>
      <c r="AK908" s="5"/>
      <c r="AL908" s="5"/>
    </row>
    <row r="909">
      <c r="A909" s="4" t="str">
        <f>VLOOKUP(L909,payment_ids!C:D,2,FALSE)</f>
        <v>pay_H93TFnAIUl8PCZ</v>
      </c>
      <c r="B909" s="4"/>
      <c r="C909" s="4" t="s">
        <v>680</v>
      </c>
      <c r="D909" s="4">
        <v>49835.0</v>
      </c>
      <c r="E909" s="4"/>
      <c r="F909" s="4">
        <v>3.0</v>
      </c>
      <c r="G909" s="4">
        <v>99.0</v>
      </c>
      <c r="H909" s="4"/>
      <c r="I909" s="4">
        <v>99.0</v>
      </c>
      <c r="J909" s="4" t="s">
        <v>3889</v>
      </c>
      <c r="K909" s="6">
        <f>+919912344886</f>
        <v>919912344886</v>
      </c>
      <c r="L909" s="4" t="str">
        <f t="shared" si="1"/>
        <v>trade4anand@gmail.com919912344886</v>
      </c>
      <c r="M909" s="10" t="s">
        <v>67</v>
      </c>
      <c r="N909" s="4" t="b">
        <v>0</v>
      </c>
      <c r="O909" s="4" t="str">
        <f>VLOOKUP(A909,payment_ids!D:E,2,FALSE)</f>
        <v>upi</v>
      </c>
      <c r="P909" s="4" t="s">
        <v>69</v>
      </c>
      <c r="Q909" s="11">
        <v>44474.66180555556</v>
      </c>
      <c r="R909" s="4"/>
      <c r="S909" s="12" t="s">
        <v>3888</v>
      </c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5"/>
      <c r="AI909" s="5"/>
      <c r="AJ909" s="5"/>
      <c r="AK909" s="5"/>
      <c r="AL909" s="5"/>
    </row>
    <row r="910">
      <c r="A910" s="4" t="str">
        <f>VLOOKUP(L910,payment_ids!C:D,2,FALSE)</f>
        <v>pay_H96MUyTS27zcW4</v>
      </c>
      <c r="B910" s="4"/>
      <c r="C910" s="4" t="s">
        <v>680</v>
      </c>
      <c r="D910" s="4">
        <v>49835.0</v>
      </c>
      <c r="E910" s="4"/>
      <c r="F910" s="4">
        <v>3.0</v>
      </c>
      <c r="G910" s="4">
        <v>99.0</v>
      </c>
      <c r="H910" s="4"/>
      <c r="I910" s="4">
        <v>99.0</v>
      </c>
      <c r="J910" s="4" t="s">
        <v>3890</v>
      </c>
      <c r="K910" s="6">
        <f>+917010617577</f>
        <v>917010617577</v>
      </c>
      <c r="L910" s="4" t="str">
        <f t="shared" si="1"/>
        <v>kovarthan2603@gmail.com917010617577</v>
      </c>
      <c r="M910" s="10" t="s">
        <v>67</v>
      </c>
      <c r="N910" s="4" t="b">
        <v>0</v>
      </c>
      <c r="O910" s="4" t="str">
        <f>VLOOKUP(A910,payment_ids!D:E,2,FALSE)</f>
        <v>upi</v>
      </c>
      <c r="P910" s="4" t="s">
        <v>69</v>
      </c>
      <c r="Q910" s="11">
        <v>44474.77916666667</v>
      </c>
      <c r="R910" s="4"/>
      <c r="S910" s="12" t="s">
        <v>3888</v>
      </c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5"/>
      <c r="AI910" s="5"/>
      <c r="AJ910" s="5"/>
      <c r="AK910" s="5"/>
      <c r="AL910" s="5"/>
    </row>
    <row r="911">
      <c r="A911" s="4" t="str">
        <f>VLOOKUP(L911,payment_ids!C:D,2,FALSE)</f>
        <v>pay_H9AvgGD3qpIRZN</v>
      </c>
      <c r="B911" s="4"/>
      <c r="C911" s="4" t="s">
        <v>680</v>
      </c>
      <c r="D911" s="4">
        <v>49835.0</v>
      </c>
      <c r="E911" s="4"/>
      <c r="F911" s="4">
        <v>3.0</v>
      </c>
      <c r="G911" s="4">
        <v>99.0</v>
      </c>
      <c r="H911" s="4"/>
      <c r="I911" s="4">
        <v>99.0</v>
      </c>
      <c r="J911" s="4" t="s">
        <v>632</v>
      </c>
      <c r="K911" s="6">
        <f>+919989716007</f>
        <v>919989716007</v>
      </c>
      <c r="L911" s="4" t="str">
        <f t="shared" si="1"/>
        <v>buntyboy.1990@gmail.com919989716007</v>
      </c>
      <c r="M911" s="10" t="s">
        <v>67</v>
      </c>
      <c r="N911" s="4" t="b">
        <v>0</v>
      </c>
      <c r="O911" s="4" t="str">
        <f>VLOOKUP(A911,payment_ids!D:E,2,FALSE)</f>
        <v>upi</v>
      </c>
      <c r="P911" s="4" t="s">
        <v>69</v>
      </c>
      <c r="Q911" s="11">
        <v>44474.96527777778</v>
      </c>
      <c r="R911" s="4"/>
      <c r="S911" s="12" t="s">
        <v>3888</v>
      </c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5"/>
      <c r="AI911" s="5"/>
      <c r="AJ911" s="5"/>
      <c r="AK911" s="5"/>
      <c r="AL911" s="5"/>
    </row>
    <row r="912">
      <c r="A912" s="4" t="str">
        <f>VLOOKUP(L912,payment_ids!C:D,2,FALSE)</f>
        <v>pay_H9PX8Fr4R61tD6</v>
      </c>
      <c r="B912" s="4"/>
      <c r="C912" s="4" t="s">
        <v>680</v>
      </c>
      <c r="D912" s="4">
        <v>49835.0</v>
      </c>
      <c r="E912" s="4"/>
      <c r="F912" s="4">
        <v>3.0</v>
      </c>
      <c r="G912" s="4">
        <v>99.0</v>
      </c>
      <c r="H912" s="4"/>
      <c r="I912" s="4">
        <v>99.0</v>
      </c>
      <c r="J912" s="4" t="s">
        <v>3891</v>
      </c>
      <c r="K912" s="6">
        <f>+919945586643</f>
        <v>919945586643</v>
      </c>
      <c r="L912" s="4" t="str">
        <f t="shared" si="1"/>
        <v>anirudhkishore188@gmail.com919945586643</v>
      </c>
      <c r="M912" s="10" t="s">
        <v>67</v>
      </c>
      <c r="N912" s="4" t="b">
        <v>0</v>
      </c>
      <c r="O912" s="4" t="str">
        <f>VLOOKUP(A912,payment_ids!D:E,2,FALSE)</f>
        <v>upi</v>
      </c>
      <c r="P912" s="4" t="s">
        <v>69</v>
      </c>
      <c r="Q912" s="11">
        <v>44505.561111111114</v>
      </c>
      <c r="R912" s="4"/>
      <c r="S912" s="12" t="s">
        <v>3888</v>
      </c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5"/>
      <c r="AI912" s="5"/>
      <c r="AJ912" s="5"/>
      <c r="AK912" s="5"/>
      <c r="AL912" s="5"/>
    </row>
    <row r="913">
      <c r="A913" s="4" t="str">
        <f>VLOOKUP(L913,payment_ids!C:D,2,FALSE)</f>
        <v>pay_HCi80zHNI1Rg5t</v>
      </c>
      <c r="B913" s="4"/>
      <c r="C913" s="4" t="s">
        <v>680</v>
      </c>
      <c r="D913" s="4">
        <v>49835.0</v>
      </c>
      <c r="E913" s="4"/>
      <c r="F913" s="4">
        <v>1.0</v>
      </c>
      <c r="G913" s="4">
        <v>99.0</v>
      </c>
      <c r="H913" s="4"/>
      <c r="I913" s="4">
        <v>99.0</v>
      </c>
      <c r="J913" s="4" t="s">
        <v>3892</v>
      </c>
      <c r="K913" s="6">
        <f>+919949426879</f>
        <v>919949426879</v>
      </c>
      <c r="L913" s="4" t="str">
        <f t="shared" si="1"/>
        <v>thummala.ajayreddy@gmail.com919949426879</v>
      </c>
      <c r="M913" s="10" t="s">
        <v>67</v>
      </c>
      <c r="N913" s="4" t="b">
        <v>0</v>
      </c>
      <c r="O913" s="4" t="str">
        <f>VLOOKUP(A913,payment_ids!D:E,2,FALSE)</f>
        <v>wallet</v>
      </c>
      <c r="P913" s="4" t="s">
        <v>69</v>
      </c>
      <c r="Q913" s="4" t="s">
        <v>3893</v>
      </c>
      <c r="R913" s="4"/>
      <c r="S913" s="12" t="s">
        <v>3888</v>
      </c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5"/>
      <c r="AI913" s="5"/>
      <c r="AJ913" s="5"/>
      <c r="AK913" s="5"/>
      <c r="AL913" s="5"/>
    </row>
    <row r="914">
      <c r="A914" s="4" t="str">
        <f>VLOOKUP(L914,payment_ids!C:D,2,FALSE)</f>
        <v>pay_HE6lvKXqjWBnZX</v>
      </c>
      <c r="B914" s="4"/>
      <c r="C914" s="4" t="s">
        <v>680</v>
      </c>
      <c r="D914" s="4">
        <v>49835.0</v>
      </c>
      <c r="E914" s="4"/>
      <c r="F914" s="4">
        <v>1.0</v>
      </c>
      <c r="G914" s="4">
        <v>99.0</v>
      </c>
      <c r="H914" s="4"/>
      <c r="I914" s="4">
        <v>99.0</v>
      </c>
      <c r="J914" s="4" t="s">
        <v>3894</v>
      </c>
      <c r="K914" s="6">
        <f>+919021745470</f>
        <v>919021745470</v>
      </c>
      <c r="L914" s="4" t="str">
        <f t="shared" si="1"/>
        <v>sunilsharma5470@gmail.com919021745470</v>
      </c>
      <c r="M914" s="10" t="s">
        <v>67</v>
      </c>
      <c r="N914" s="4" t="b">
        <v>0</v>
      </c>
      <c r="O914" s="4" t="str">
        <f>VLOOKUP(A914,payment_ids!D:E,2,FALSE)</f>
        <v>card</v>
      </c>
      <c r="P914" s="4" t="s">
        <v>69</v>
      </c>
      <c r="Q914" s="4" t="s">
        <v>3895</v>
      </c>
      <c r="R914" s="4"/>
      <c r="S914" s="12" t="s">
        <v>3888</v>
      </c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5"/>
      <c r="AI914" s="5"/>
      <c r="AJ914" s="5"/>
      <c r="AK914" s="5"/>
      <c r="AL914" s="5"/>
    </row>
    <row r="915">
      <c r="A915" s="4" t="str">
        <f>VLOOKUP(L915,payment_ids!C:D,2,FALSE)</f>
        <v>pay_HEIwfRImydD7cK</v>
      </c>
      <c r="B915" s="4"/>
      <c r="C915" s="4" t="s">
        <v>680</v>
      </c>
      <c r="D915" s="4">
        <v>49835.0</v>
      </c>
      <c r="E915" s="4"/>
      <c r="F915" s="4">
        <v>6.0</v>
      </c>
      <c r="G915" s="4">
        <v>349.0</v>
      </c>
      <c r="H915" s="4"/>
      <c r="I915" s="4">
        <v>349.0</v>
      </c>
      <c r="J915" s="4" t="s">
        <v>3896</v>
      </c>
      <c r="K915" s="6">
        <f>+919945999306</f>
        <v>919945999306</v>
      </c>
      <c r="L915" s="4" t="str">
        <f t="shared" si="1"/>
        <v>lohith7794@gmail.com919945999306</v>
      </c>
      <c r="M915" s="10" t="s">
        <v>67</v>
      </c>
      <c r="N915" s="4" t="b">
        <v>0</v>
      </c>
      <c r="O915" s="4" t="str">
        <f>VLOOKUP(A915,payment_ids!D:E,2,FALSE)</f>
        <v>upi</v>
      </c>
      <c r="P915" s="4" t="s">
        <v>69</v>
      </c>
      <c r="Q915" s="4" t="s">
        <v>3897</v>
      </c>
      <c r="R915" s="4"/>
      <c r="S915" s="12" t="s">
        <v>3888</v>
      </c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5"/>
      <c r="AI915" s="5"/>
      <c r="AJ915" s="5"/>
      <c r="AK915" s="5"/>
      <c r="AL915" s="5"/>
    </row>
    <row r="916">
      <c r="A916" s="4" t="str">
        <f>VLOOKUP(L916,payment_ids!C:D,2,FALSE)</f>
        <v>pay_HF0u1VW0xovN0G</v>
      </c>
      <c r="B916" s="4"/>
      <c r="C916" s="4" t="s">
        <v>680</v>
      </c>
      <c r="D916" s="4">
        <v>49835.0</v>
      </c>
      <c r="E916" s="4"/>
      <c r="F916" s="4">
        <v>3.0</v>
      </c>
      <c r="G916" s="4">
        <v>199.0</v>
      </c>
      <c r="H916" s="4"/>
      <c r="I916" s="4">
        <v>199.0</v>
      </c>
      <c r="J916" s="4" t="s">
        <v>3898</v>
      </c>
      <c r="K916" s="6">
        <f>+919971234747</f>
        <v>919971234747</v>
      </c>
      <c r="L916" s="4" t="str">
        <f t="shared" si="1"/>
        <v>ratrasaneer@gmail.com919971234747</v>
      </c>
      <c r="M916" s="10" t="s">
        <v>67</v>
      </c>
      <c r="N916" s="4" t="b">
        <v>0</v>
      </c>
      <c r="O916" s="4" t="str">
        <f>VLOOKUP(A916,payment_ids!D:E,2,FALSE)</f>
        <v>card</v>
      </c>
      <c r="P916" s="4" t="s">
        <v>69</v>
      </c>
      <c r="Q916" s="4" t="s">
        <v>3899</v>
      </c>
      <c r="R916" s="4"/>
      <c r="S916" s="12" t="s">
        <v>3888</v>
      </c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5"/>
      <c r="AI916" s="5"/>
      <c r="AJ916" s="5"/>
      <c r="AK916" s="5"/>
      <c r="AL916" s="5"/>
    </row>
    <row r="917">
      <c r="A917" s="4" t="str">
        <f>VLOOKUP(L917,payment_ids!C:D,2,FALSE)</f>
        <v>pay_HF72aAxHSCxjQf</v>
      </c>
      <c r="B917" s="4"/>
      <c r="C917" s="4" t="s">
        <v>680</v>
      </c>
      <c r="D917" s="4">
        <v>49835.0</v>
      </c>
      <c r="E917" s="5"/>
      <c r="F917" s="4">
        <v>6.0</v>
      </c>
      <c r="G917" s="4">
        <v>349.0</v>
      </c>
      <c r="H917" s="4"/>
      <c r="I917" s="4">
        <v>349.0</v>
      </c>
      <c r="J917" s="4" t="s">
        <v>3900</v>
      </c>
      <c r="K917" s="5">
        <f>+919110504405</f>
        <v>919110504405</v>
      </c>
      <c r="L917" s="4" t="str">
        <f t="shared" si="1"/>
        <v>simhadribhargava285@gmail.com919110504405</v>
      </c>
      <c r="M917" s="10" t="s">
        <v>67</v>
      </c>
      <c r="N917" s="4" t="b">
        <v>0</v>
      </c>
      <c r="O917" s="4" t="str">
        <f>VLOOKUP(A917,payment_ids!D:E,2,FALSE)</f>
        <v>upi</v>
      </c>
      <c r="P917" s="4" t="s">
        <v>69</v>
      </c>
      <c r="Q917" s="4" t="s">
        <v>3901</v>
      </c>
      <c r="R917" s="4"/>
      <c r="S917" s="12" t="s">
        <v>3888</v>
      </c>
      <c r="T917" s="5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5"/>
      <c r="AI917" s="5"/>
      <c r="AJ917" s="5"/>
      <c r="AK917" s="5"/>
      <c r="AL917" s="5"/>
    </row>
    <row r="918">
      <c r="A918" s="4" t="str">
        <f>VLOOKUP(L918,payment_ids!C:D,2,FALSE)</f>
        <v>pay_HFWKJ38hMM06i4</v>
      </c>
      <c r="B918" s="4"/>
      <c r="C918" s="4" t="s">
        <v>680</v>
      </c>
      <c r="D918" s="4">
        <v>49835.0</v>
      </c>
      <c r="E918" s="5"/>
      <c r="F918" s="4">
        <v>3.0</v>
      </c>
      <c r="G918" s="4">
        <v>199.0</v>
      </c>
      <c r="H918" s="4"/>
      <c r="I918" s="4">
        <v>199.0</v>
      </c>
      <c r="J918" s="4" t="s">
        <v>3902</v>
      </c>
      <c r="K918" s="5">
        <f>+917892430809</f>
        <v>917892430809</v>
      </c>
      <c r="L918" s="4" t="str">
        <f t="shared" si="1"/>
        <v>akshataanilurs@gmail.com917892430809</v>
      </c>
      <c r="M918" s="10" t="s">
        <v>67</v>
      </c>
      <c r="N918" s="4" t="b">
        <v>0</v>
      </c>
      <c r="O918" s="4" t="str">
        <f>VLOOKUP(A918,payment_ids!D:E,2,FALSE)</f>
        <v>upi</v>
      </c>
      <c r="P918" s="4" t="s">
        <v>69</v>
      </c>
      <c r="Q918" s="4" t="s">
        <v>3903</v>
      </c>
      <c r="R918" s="4"/>
      <c r="S918" s="12" t="s">
        <v>3888</v>
      </c>
      <c r="T918" s="5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5"/>
      <c r="AI918" s="5"/>
      <c r="AJ918" s="5"/>
      <c r="AK918" s="5"/>
      <c r="AL918" s="5"/>
    </row>
    <row r="919">
      <c r="A919" s="4" t="str">
        <f>VLOOKUP(L919,payment_ids!C:D,2,FALSE)</f>
        <v>pay_HFZmTRAoEVhHle</v>
      </c>
      <c r="B919" s="4"/>
      <c r="C919" s="4" t="s">
        <v>680</v>
      </c>
      <c r="D919" s="4">
        <v>49835.0</v>
      </c>
      <c r="E919" s="5"/>
      <c r="F919" s="4">
        <v>1.0</v>
      </c>
      <c r="G919" s="4">
        <v>99.0</v>
      </c>
      <c r="H919" s="4"/>
      <c r="I919" s="4">
        <v>99.0</v>
      </c>
      <c r="J919" s="4" t="s">
        <v>374</v>
      </c>
      <c r="K919" s="5">
        <f>+918454085091</f>
        <v>918454085091</v>
      </c>
      <c r="L919" s="4" t="str">
        <f t="shared" si="1"/>
        <v>satish37.tripathi@gmail.com918454085091</v>
      </c>
      <c r="M919" s="10" t="s">
        <v>67</v>
      </c>
      <c r="N919" s="4" t="b">
        <v>0</v>
      </c>
      <c r="O919" s="4" t="str">
        <f>VLOOKUP(A919,payment_ids!D:E,2,FALSE)</f>
        <v>upi</v>
      </c>
      <c r="P919" s="4" t="s">
        <v>69</v>
      </c>
      <c r="Q919" s="4" t="s">
        <v>3904</v>
      </c>
      <c r="R919" s="4"/>
      <c r="S919" s="12" t="s">
        <v>3888</v>
      </c>
      <c r="T919" s="5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5"/>
      <c r="AI919" s="5"/>
      <c r="AJ919" s="5"/>
      <c r="AK919" s="5"/>
      <c r="AL919" s="5"/>
    </row>
    <row r="920">
      <c r="A920" s="4" t="str">
        <f>VLOOKUP(L920,payment_ids!C:D,2,FALSE)</f>
        <v>pay_HFoScG5UTUYKuT</v>
      </c>
      <c r="B920" s="4"/>
      <c r="C920" s="4" t="s">
        <v>680</v>
      </c>
      <c r="D920" s="4">
        <v>49835.0</v>
      </c>
      <c r="E920" s="5"/>
      <c r="F920" s="4">
        <v>1.0</v>
      </c>
      <c r="G920" s="4">
        <v>99.0</v>
      </c>
      <c r="H920" s="4"/>
      <c r="I920" s="4">
        <v>99.0</v>
      </c>
      <c r="J920" s="4" t="s">
        <v>3905</v>
      </c>
      <c r="K920" s="5">
        <f>+919845606980</f>
        <v>919845606980</v>
      </c>
      <c r="L920" s="4" t="str">
        <f t="shared" si="1"/>
        <v>manisinghrajput22@gmail.com919845606980</v>
      </c>
      <c r="M920" s="10" t="s">
        <v>67</v>
      </c>
      <c r="N920" s="4" t="b">
        <v>0</v>
      </c>
      <c r="O920" s="4" t="str">
        <f>VLOOKUP(A920,payment_ids!D:E,2,FALSE)</f>
        <v>wallet</v>
      </c>
      <c r="P920" s="4" t="s">
        <v>69</v>
      </c>
      <c r="Q920" s="4" t="s">
        <v>3906</v>
      </c>
      <c r="R920" s="4"/>
      <c r="S920" s="12" t="s">
        <v>3888</v>
      </c>
      <c r="T920" s="5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5"/>
      <c r="AI920" s="5"/>
      <c r="AJ920" s="5"/>
      <c r="AK920" s="5"/>
      <c r="AL920" s="5"/>
    </row>
    <row r="921">
      <c r="A921" s="4" t="str">
        <f>VLOOKUP(L921,payment_ids!C:D,2,FALSE)</f>
        <v>pay_HFs0wLQ3LdHOhj</v>
      </c>
      <c r="B921" s="4"/>
      <c r="C921" s="4" t="s">
        <v>680</v>
      </c>
      <c r="D921" s="4">
        <v>49835.0</v>
      </c>
      <c r="E921" s="5"/>
      <c r="F921" s="4">
        <v>1.0</v>
      </c>
      <c r="G921" s="4">
        <v>99.0</v>
      </c>
      <c r="H921" s="4"/>
      <c r="I921" s="4">
        <v>99.0</v>
      </c>
      <c r="J921" s="4" t="s">
        <v>3907</v>
      </c>
      <c r="K921" s="5">
        <f>+918428775398</f>
        <v>918428775398</v>
      </c>
      <c r="L921" s="4" t="str">
        <f t="shared" si="1"/>
        <v>gerardmark619@gmail.com918428775398</v>
      </c>
      <c r="M921" s="10" t="s">
        <v>67</v>
      </c>
      <c r="N921" s="4" t="b">
        <v>0</v>
      </c>
      <c r="O921" s="4" t="str">
        <f>VLOOKUP(A921,payment_ids!D:E,2,FALSE)</f>
        <v>upi</v>
      </c>
      <c r="P921" s="4" t="s">
        <v>69</v>
      </c>
      <c r="Q921" s="4" t="s">
        <v>3908</v>
      </c>
      <c r="R921" s="4"/>
      <c r="S921" s="12" t="s">
        <v>3888</v>
      </c>
      <c r="T921" s="5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5"/>
      <c r="AI921" s="5"/>
      <c r="AJ921" s="5"/>
      <c r="AK921" s="5"/>
      <c r="AL921" s="5"/>
    </row>
    <row r="922">
      <c r="A922" s="4" t="str">
        <f>VLOOKUP(L922,payment_ids!C:D,2,FALSE)</f>
        <v>pay_HFtnCnXvBSLtsS</v>
      </c>
      <c r="B922" s="4"/>
      <c r="C922" s="4" t="s">
        <v>680</v>
      </c>
      <c r="D922" s="4">
        <v>49835.0</v>
      </c>
      <c r="E922" s="5"/>
      <c r="F922" s="4">
        <v>1.0</v>
      </c>
      <c r="G922" s="4">
        <v>99.0</v>
      </c>
      <c r="H922" s="4"/>
      <c r="I922" s="4">
        <v>99.0</v>
      </c>
      <c r="J922" s="4" t="s">
        <v>3909</v>
      </c>
      <c r="K922" s="5">
        <f>+918805226584</f>
        <v>918805226584</v>
      </c>
      <c r="L922" s="4" t="str">
        <f t="shared" si="1"/>
        <v>kadambhaskar202@gmail.com918805226584</v>
      </c>
      <c r="M922" s="10" t="s">
        <v>67</v>
      </c>
      <c r="N922" s="4" t="b">
        <v>0</v>
      </c>
      <c r="O922" s="4" t="str">
        <f>VLOOKUP(A922,payment_ids!D:E,2,FALSE)</f>
        <v>upi</v>
      </c>
      <c r="P922" s="4" t="s">
        <v>69</v>
      </c>
      <c r="Q922" s="4" t="s">
        <v>3910</v>
      </c>
      <c r="R922" s="4"/>
      <c r="S922" s="12" t="s">
        <v>3888</v>
      </c>
      <c r="T922" s="5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5"/>
      <c r="AI922" s="5"/>
      <c r="AJ922" s="5"/>
      <c r="AK922" s="5"/>
      <c r="AL922" s="5"/>
    </row>
    <row r="923">
      <c r="A923" s="4" t="str">
        <f>VLOOKUP(L923,payment_ids!C:D,2,FALSE)</f>
        <v>pay_HGZ4BoXkRan6l4</v>
      </c>
      <c r="B923" s="4"/>
      <c r="C923" s="4" t="s">
        <v>680</v>
      </c>
      <c r="D923" s="4">
        <v>49835.0</v>
      </c>
      <c r="E923" s="5"/>
      <c r="F923" s="4">
        <v>1.0</v>
      </c>
      <c r="G923" s="4">
        <v>99.0</v>
      </c>
      <c r="H923" s="4"/>
      <c r="I923" s="4">
        <v>99.0</v>
      </c>
      <c r="J923" s="4" t="s">
        <v>3911</v>
      </c>
      <c r="K923" s="5">
        <f>+917995267591</f>
        <v>917995267591</v>
      </c>
      <c r="L923" s="4" t="str">
        <f t="shared" si="1"/>
        <v>prateekkumar9505@gmail.com917995267591</v>
      </c>
      <c r="M923" s="10" t="s">
        <v>67</v>
      </c>
      <c r="N923" s="4" t="b">
        <v>0</v>
      </c>
      <c r="O923" s="4" t="str">
        <f>VLOOKUP(A923,payment_ids!D:E,2,FALSE)</f>
        <v>upi</v>
      </c>
      <c r="P923" s="4" t="s">
        <v>69</v>
      </c>
      <c r="Q923" s="4" t="s">
        <v>3912</v>
      </c>
      <c r="R923" s="4"/>
      <c r="S923" s="12" t="s">
        <v>3888</v>
      </c>
      <c r="T923" s="5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5"/>
      <c r="AI923" s="5"/>
      <c r="AJ923" s="5"/>
      <c r="AK923" s="5"/>
      <c r="AL923" s="5"/>
    </row>
    <row r="924">
      <c r="A924" s="4" t="str">
        <f>VLOOKUP(L924,payment_ids!C:D,2,FALSE)</f>
        <v>pay_HGZV6CXknaitRp</v>
      </c>
      <c r="B924" s="4"/>
      <c r="C924" s="4" t="s">
        <v>680</v>
      </c>
      <c r="D924" s="4">
        <v>49835.0</v>
      </c>
      <c r="E924" s="5"/>
      <c r="F924" s="4">
        <v>1.0</v>
      </c>
      <c r="G924" s="4">
        <v>99.0</v>
      </c>
      <c r="H924" s="4"/>
      <c r="I924" s="4">
        <v>99.0</v>
      </c>
      <c r="J924" s="4" t="s">
        <v>3913</v>
      </c>
      <c r="K924" s="5">
        <f>+917276126319</f>
        <v>917276126319</v>
      </c>
      <c r="L924" s="4" t="str">
        <f t="shared" si="1"/>
        <v>aniketlandge4848@gmail.com917276126319</v>
      </c>
      <c r="M924" s="10" t="s">
        <v>67</v>
      </c>
      <c r="N924" s="4" t="b">
        <v>0</v>
      </c>
      <c r="O924" s="4" t="str">
        <f>VLOOKUP(A924,payment_ids!D:E,2,FALSE)</f>
        <v>upi</v>
      </c>
      <c r="P924" s="4" t="s">
        <v>69</v>
      </c>
      <c r="Q924" s="4" t="s">
        <v>3914</v>
      </c>
      <c r="R924" s="4"/>
      <c r="S924" s="12" t="s">
        <v>3888</v>
      </c>
      <c r="T924" s="5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5"/>
      <c r="AI924" s="5"/>
      <c r="AJ924" s="5"/>
      <c r="AK924" s="5"/>
      <c r="AL924" s="5"/>
    </row>
    <row r="925">
      <c r="A925" s="4" t="str">
        <f>VLOOKUP(L925,payment_ids!C:D,2,FALSE)</f>
        <v>pay_HH1U1LnB5WqQYR</v>
      </c>
      <c r="B925" s="4"/>
      <c r="C925" s="4" t="s">
        <v>680</v>
      </c>
      <c r="D925" s="4">
        <v>49835.0</v>
      </c>
      <c r="E925" s="5"/>
      <c r="F925" s="4">
        <v>6.0</v>
      </c>
      <c r="G925" s="4">
        <v>349.0</v>
      </c>
      <c r="H925" s="4"/>
      <c r="I925" s="4">
        <v>349.0</v>
      </c>
      <c r="J925" s="4" t="s">
        <v>3915</v>
      </c>
      <c r="K925" s="5">
        <f>+919049944521</f>
        <v>919049944521</v>
      </c>
      <c r="L925" s="4" t="str">
        <f t="shared" si="1"/>
        <v>pratapnikam2008@gmail.com919049944521</v>
      </c>
      <c r="M925" s="10" t="s">
        <v>67</v>
      </c>
      <c r="N925" s="4" t="b">
        <v>0</v>
      </c>
      <c r="O925" s="4" t="str">
        <f>VLOOKUP(A925,payment_ids!D:E,2,FALSE)</f>
        <v>upi</v>
      </c>
      <c r="P925" s="4" t="s">
        <v>69</v>
      </c>
      <c r="Q925" s="4" t="s">
        <v>3916</v>
      </c>
      <c r="R925" s="4"/>
      <c r="S925" s="12" t="s">
        <v>3888</v>
      </c>
      <c r="T925" s="5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5"/>
      <c r="AI925" s="5"/>
      <c r="AJ925" s="5"/>
      <c r="AK925" s="5"/>
      <c r="AL925" s="5"/>
    </row>
    <row r="926">
      <c r="A926" s="4" t="str">
        <f>VLOOKUP(L926,payment_ids!C:D,2,FALSE)</f>
        <v>pay_HHJjdg0nW1AjZv</v>
      </c>
      <c r="B926" s="4"/>
      <c r="C926" s="4" t="s">
        <v>680</v>
      </c>
      <c r="D926" s="4">
        <v>49835.0</v>
      </c>
      <c r="E926" s="5"/>
      <c r="F926" s="4">
        <v>3.0</v>
      </c>
      <c r="G926" s="4">
        <v>199.0</v>
      </c>
      <c r="H926" s="4"/>
      <c r="I926" s="4">
        <v>199.0</v>
      </c>
      <c r="J926" s="4" t="s">
        <v>3917</v>
      </c>
      <c r="K926" s="5">
        <f>+918147600700</f>
        <v>918147600700</v>
      </c>
      <c r="L926" s="4" t="str">
        <f t="shared" si="1"/>
        <v>chakri.junna@gmail.com918147600700</v>
      </c>
      <c r="M926" s="10" t="s">
        <v>67</v>
      </c>
      <c r="N926" s="4" t="b">
        <v>0</v>
      </c>
      <c r="O926" s="4" t="str">
        <f>VLOOKUP(A926,payment_ids!D:E,2,FALSE)</f>
        <v>upi</v>
      </c>
      <c r="P926" s="4" t="s">
        <v>69</v>
      </c>
      <c r="Q926" s="4" t="s">
        <v>3918</v>
      </c>
      <c r="R926" s="4"/>
      <c r="S926" s="12" t="s">
        <v>3888</v>
      </c>
      <c r="T926" s="5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5"/>
      <c r="AI926" s="5"/>
      <c r="AJ926" s="5"/>
      <c r="AK926" s="5"/>
      <c r="AL926" s="5"/>
    </row>
    <row r="927">
      <c r="A927" s="4" t="str">
        <f>VLOOKUP(L927,payment_ids!C:D,2,FALSE)</f>
        <v>pay_HHKEZ9p4g9bbs7</v>
      </c>
      <c r="B927" s="4"/>
      <c r="C927" s="4" t="s">
        <v>680</v>
      </c>
      <c r="D927" s="4">
        <v>49835.0</v>
      </c>
      <c r="E927" s="5"/>
      <c r="F927" s="4">
        <v>6.0</v>
      </c>
      <c r="G927" s="4">
        <v>349.0</v>
      </c>
      <c r="H927" s="4"/>
      <c r="I927" s="4">
        <v>349.0</v>
      </c>
      <c r="J927" s="4" t="s">
        <v>3919</v>
      </c>
      <c r="K927" s="5">
        <f>+918886157257</f>
        <v>918886157257</v>
      </c>
      <c r="L927" s="4" t="str">
        <f t="shared" si="1"/>
        <v>planks24@gmail.com918886157257</v>
      </c>
      <c r="M927" s="10" t="s">
        <v>67</v>
      </c>
      <c r="N927" s="4" t="b">
        <v>0</v>
      </c>
      <c r="O927" s="4" t="str">
        <f>VLOOKUP(A927,payment_ids!D:E,2,FALSE)</f>
        <v>upi</v>
      </c>
      <c r="P927" s="4" t="s">
        <v>69</v>
      </c>
      <c r="Q927" s="4" t="s">
        <v>3920</v>
      </c>
      <c r="R927" s="4"/>
      <c r="S927" s="12" t="s">
        <v>3888</v>
      </c>
      <c r="T927" s="5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5"/>
      <c r="AI927" s="5"/>
      <c r="AJ927" s="5"/>
      <c r="AK927" s="5"/>
      <c r="AL927" s="5"/>
    </row>
    <row r="928">
      <c r="A928" s="4" t="str">
        <f>VLOOKUP(L928,payment_ids!C:D,2,FALSE)</f>
        <v>pay_HHMUJUjo2Ycemb</v>
      </c>
      <c r="B928" s="4"/>
      <c r="C928" s="4" t="s">
        <v>680</v>
      </c>
      <c r="D928" s="4">
        <v>49835.0</v>
      </c>
      <c r="E928" s="5"/>
      <c r="F928" s="4">
        <v>1.0</v>
      </c>
      <c r="G928" s="4">
        <v>99.0</v>
      </c>
      <c r="H928" s="4"/>
      <c r="I928" s="4">
        <v>99.0</v>
      </c>
      <c r="J928" s="4" t="s">
        <v>3921</v>
      </c>
      <c r="K928" s="5">
        <f>+918894139778</f>
        <v>918894139778</v>
      </c>
      <c r="L928" s="4" t="str">
        <f t="shared" si="1"/>
        <v>aryan.20dhiman@gmail.com918894139778</v>
      </c>
      <c r="M928" s="10" t="s">
        <v>67</v>
      </c>
      <c r="N928" s="4" t="b">
        <v>0</v>
      </c>
      <c r="O928" s="4" t="str">
        <f>VLOOKUP(A928,payment_ids!D:E,2,FALSE)</f>
        <v>upi</v>
      </c>
      <c r="P928" s="4" t="s">
        <v>69</v>
      </c>
      <c r="Q928" s="4" t="s">
        <v>3922</v>
      </c>
      <c r="R928" s="4"/>
      <c r="S928" s="12" t="s">
        <v>3888</v>
      </c>
      <c r="T928" s="5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5"/>
      <c r="AI928" s="5"/>
      <c r="AJ928" s="5"/>
      <c r="AK928" s="5"/>
      <c r="AL928" s="5"/>
    </row>
    <row r="929">
      <c r="A929" s="4" t="str">
        <f>VLOOKUP(L929,payment_ids!C:D,2,FALSE)</f>
        <v>pay_HHhhUp3nN02fOk</v>
      </c>
      <c r="B929" s="4"/>
      <c r="C929" s="4" t="s">
        <v>680</v>
      </c>
      <c r="D929" s="4">
        <v>49835.0</v>
      </c>
      <c r="E929" s="5"/>
      <c r="F929" s="4">
        <v>1.0</v>
      </c>
      <c r="G929" s="4">
        <v>99.0</v>
      </c>
      <c r="H929" s="4"/>
      <c r="I929" s="4">
        <v>99.0</v>
      </c>
      <c r="J929" s="4" t="s">
        <v>3923</v>
      </c>
      <c r="K929" s="5">
        <f>+917976317993</f>
        <v>917976317993</v>
      </c>
      <c r="L929" s="4" t="str">
        <f t="shared" si="1"/>
        <v>dhanjeetmalakar87@gmail.com917976317993</v>
      </c>
      <c r="M929" s="10" t="s">
        <v>67</v>
      </c>
      <c r="N929" s="4" t="b">
        <v>0</v>
      </c>
      <c r="O929" s="4" t="str">
        <f>VLOOKUP(A929,payment_ids!D:E,2,FALSE)</f>
        <v>upi</v>
      </c>
      <c r="P929" s="4" t="s">
        <v>69</v>
      </c>
      <c r="Q929" s="11">
        <v>44202.518055555556</v>
      </c>
      <c r="R929" s="4"/>
      <c r="S929" s="12" t="s">
        <v>3888</v>
      </c>
      <c r="T929" s="5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5"/>
      <c r="AI929" s="5"/>
      <c r="AJ929" s="5"/>
      <c r="AK929" s="5"/>
      <c r="AL929" s="5"/>
    </row>
    <row r="930">
      <c r="A930" s="4" t="str">
        <f>VLOOKUP(L930,payment_ids!C:D,2,FALSE)</f>
        <v>pay_HHj7TGCY6OxuU4</v>
      </c>
      <c r="B930" s="4"/>
      <c r="C930" s="4" t="s">
        <v>680</v>
      </c>
      <c r="D930" s="4">
        <v>49835.0</v>
      </c>
      <c r="E930" s="5"/>
      <c r="F930" s="4">
        <v>3.0</v>
      </c>
      <c r="G930" s="4">
        <v>199.0</v>
      </c>
      <c r="H930" s="4"/>
      <c r="I930" s="4">
        <v>199.0</v>
      </c>
      <c r="J930" s="4" t="s">
        <v>3924</v>
      </c>
      <c r="K930" s="5">
        <f>+917349180717</f>
        <v>917349180717</v>
      </c>
      <c r="L930" s="4" t="str">
        <f t="shared" si="1"/>
        <v>hardikkatne@gmail.com917349180717</v>
      </c>
      <c r="M930" s="10" t="s">
        <v>67</v>
      </c>
      <c r="N930" s="4" t="b">
        <v>0</v>
      </c>
      <c r="O930" s="4" t="str">
        <f>VLOOKUP(A930,payment_ids!D:E,2,FALSE)</f>
        <v>wallet</v>
      </c>
      <c r="P930" s="4" t="s">
        <v>69</v>
      </c>
      <c r="Q930" s="11">
        <v>44202.575694444444</v>
      </c>
      <c r="R930" s="4"/>
      <c r="S930" s="12" t="s">
        <v>3888</v>
      </c>
      <c r="T930" s="5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5"/>
      <c r="AI930" s="5"/>
      <c r="AJ930" s="5"/>
      <c r="AK930" s="5"/>
      <c r="AL930" s="5"/>
    </row>
    <row r="931">
      <c r="A931" s="4" t="str">
        <f>VLOOKUP(L931,payment_ids!C:D,2,FALSE)</f>
        <v>pay_HHpC8S9Scg6xw3</v>
      </c>
      <c r="B931" s="4"/>
      <c r="C931" s="4" t="s">
        <v>680</v>
      </c>
      <c r="D931" s="4">
        <v>49835.0</v>
      </c>
      <c r="E931" s="5"/>
      <c r="F931" s="4">
        <v>3.0</v>
      </c>
      <c r="G931" s="4">
        <v>199.0</v>
      </c>
      <c r="H931" s="4"/>
      <c r="I931" s="4">
        <v>199.0</v>
      </c>
      <c r="J931" s="4" t="s">
        <v>3925</v>
      </c>
      <c r="K931" s="5">
        <f>+918500203078</f>
        <v>918500203078</v>
      </c>
      <c r="L931" s="4" t="str">
        <f t="shared" si="1"/>
        <v>manideep.vicky@gmail.com918500203078</v>
      </c>
      <c r="M931" s="10" t="s">
        <v>67</v>
      </c>
      <c r="N931" s="4" t="b">
        <v>0</v>
      </c>
      <c r="O931" s="4" t="str">
        <f>VLOOKUP(A931,payment_ids!D:E,2,FALSE)</f>
        <v>upi</v>
      </c>
      <c r="P931" s="4" t="s">
        <v>69</v>
      </c>
      <c r="Q931" s="11">
        <v>44202.82361111111</v>
      </c>
      <c r="R931" s="4"/>
      <c r="S931" s="12" t="s">
        <v>3888</v>
      </c>
      <c r="T931" s="5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5"/>
      <c r="AI931" s="5"/>
      <c r="AJ931" s="5"/>
      <c r="AK931" s="5"/>
      <c r="AL931" s="5"/>
    </row>
    <row r="932">
      <c r="A932" s="4" t="str">
        <f>VLOOKUP(L932,payment_ids!C:D,2,FALSE)</f>
        <v>pay_HHrYm0998GWjxh</v>
      </c>
      <c r="B932" s="4"/>
      <c r="C932" s="4" t="s">
        <v>680</v>
      </c>
      <c r="D932" s="4">
        <v>49835.0</v>
      </c>
      <c r="E932" s="5"/>
      <c r="F932" s="4">
        <v>1.0</v>
      </c>
      <c r="G932" s="4">
        <v>99.0</v>
      </c>
      <c r="H932" s="4"/>
      <c r="I932" s="4">
        <v>99.0</v>
      </c>
      <c r="J932" s="4" t="s">
        <v>3926</v>
      </c>
      <c r="K932" s="5">
        <f>+919057574767</f>
        <v>919057574767</v>
      </c>
      <c r="L932" s="4" t="str">
        <f t="shared" si="1"/>
        <v>abhijeetshaji8@gmail.com919057574767</v>
      </c>
      <c r="M932" s="10" t="s">
        <v>67</v>
      </c>
      <c r="N932" s="4" t="b">
        <v>0</v>
      </c>
      <c r="O932" s="4" t="str">
        <f>VLOOKUP(A932,payment_ids!D:E,2,FALSE)</f>
        <v>upi</v>
      </c>
      <c r="P932" s="4" t="s">
        <v>69</v>
      </c>
      <c r="Q932" s="11">
        <v>44202.92152777778</v>
      </c>
      <c r="R932" s="4"/>
      <c r="S932" s="12" t="s">
        <v>3888</v>
      </c>
      <c r="T932" s="5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5"/>
      <c r="AI932" s="5"/>
      <c r="AJ932" s="5"/>
      <c r="AK932" s="5"/>
      <c r="AL932" s="5"/>
    </row>
    <row r="933">
      <c r="A933" s="4" t="str">
        <f>VLOOKUP(L933,payment_ids!C:D,2,FALSE)</f>
        <v>pay_HI9Dy9bWVaiWu4</v>
      </c>
      <c r="B933" s="4"/>
      <c r="C933" s="4" t="s">
        <v>680</v>
      </c>
      <c r="D933" s="4">
        <v>49835.0</v>
      </c>
      <c r="E933" s="5"/>
      <c r="F933" s="4">
        <v>1.0</v>
      </c>
      <c r="G933" s="4">
        <v>99.0</v>
      </c>
      <c r="H933" s="4"/>
      <c r="I933" s="4">
        <v>99.0</v>
      </c>
      <c r="J933" s="4" t="s">
        <v>3927</v>
      </c>
      <c r="K933" s="5">
        <f>+916287783448</f>
        <v>916287783448</v>
      </c>
      <c r="L933" s="4" t="str">
        <f t="shared" si="1"/>
        <v>walim674@gmail.com916287783448</v>
      </c>
      <c r="M933" s="10" t="s">
        <v>67</v>
      </c>
      <c r="N933" s="4" t="b">
        <v>0</v>
      </c>
      <c r="O933" s="4" t="str">
        <f>VLOOKUP(A933,payment_ids!D:E,2,FALSE)</f>
        <v>upi</v>
      </c>
      <c r="P933" s="4" t="s">
        <v>69</v>
      </c>
      <c r="Q933" s="11">
        <v>44233.64027777778</v>
      </c>
      <c r="R933" s="4"/>
      <c r="S933" s="12" t="s">
        <v>3888</v>
      </c>
      <c r="T933" s="5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5"/>
      <c r="AI933" s="5"/>
      <c r="AJ933" s="5"/>
      <c r="AK933" s="5"/>
      <c r="AL933" s="5"/>
    </row>
    <row r="934">
      <c r="A934" s="4" t="str">
        <f>VLOOKUP(L934,payment_ids!C:D,2,FALSE)</f>
        <v>pay_HITbHipCPsdDYI</v>
      </c>
      <c r="B934" s="4"/>
      <c r="C934" s="4" t="s">
        <v>680</v>
      </c>
      <c r="D934" s="4">
        <v>49835.0</v>
      </c>
      <c r="E934" s="5"/>
      <c r="F934" s="4">
        <v>1.0</v>
      </c>
      <c r="G934" s="4">
        <v>99.0</v>
      </c>
      <c r="H934" s="4"/>
      <c r="I934" s="4">
        <v>99.0</v>
      </c>
      <c r="J934" s="4" t="s">
        <v>3928</v>
      </c>
      <c r="K934" s="5">
        <f>+918083873500</f>
        <v>918083873500</v>
      </c>
      <c r="L934" s="4" t="str">
        <f t="shared" si="1"/>
        <v>vvidya2411@gmail.com918083873500</v>
      </c>
      <c r="M934" s="10" t="s">
        <v>67</v>
      </c>
      <c r="N934" s="4" t="b">
        <v>0</v>
      </c>
      <c r="O934" s="4" t="str">
        <f>VLOOKUP(A934,payment_ids!D:E,2,FALSE)</f>
        <v>upi</v>
      </c>
      <c r="P934" s="4" t="s">
        <v>69</v>
      </c>
      <c r="Q934" s="11">
        <v>44261.47152777778</v>
      </c>
      <c r="R934" s="4"/>
      <c r="S934" s="12" t="s">
        <v>3888</v>
      </c>
      <c r="T934" s="5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5"/>
      <c r="AI934" s="5"/>
      <c r="AJ934" s="5"/>
      <c r="AK934" s="5"/>
      <c r="AL934" s="5"/>
    </row>
    <row r="935">
      <c r="A935" s="4" t="str">
        <f>VLOOKUP(L935,payment_ids!C:D,2,FALSE)</f>
        <v>pay_HJk8oxrlofOEcZ</v>
      </c>
      <c r="B935" s="4"/>
      <c r="C935" s="4" t="s">
        <v>680</v>
      </c>
      <c r="D935" s="4">
        <v>49835.0</v>
      </c>
      <c r="E935" s="5"/>
      <c r="F935" s="4">
        <v>1.0</v>
      </c>
      <c r="G935" s="4">
        <v>99.0</v>
      </c>
      <c r="H935" s="4"/>
      <c r="I935" s="4">
        <v>99.0</v>
      </c>
      <c r="J935" s="4" t="s">
        <v>3929</v>
      </c>
      <c r="K935" s="5">
        <f>+917396868755</f>
        <v>917396868755</v>
      </c>
      <c r="L935" s="4" t="str">
        <f t="shared" si="1"/>
        <v>shanthan29398@gmail.com917396868755</v>
      </c>
      <c r="M935" s="10" t="s">
        <v>67</v>
      </c>
      <c r="N935" s="4" t="b">
        <v>0</v>
      </c>
      <c r="O935" s="4" t="str">
        <f>VLOOKUP(A935,payment_ids!D:E,2,FALSE)</f>
        <v>upi</v>
      </c>
      <c r="P935" s="4" t="s">
        <v>69</v>
      </c>
      <c r="Q935" s="11">
        <v>44353.67152777778</v>
      </c>
      <c r="R935" s="4"/>
      <c r="S935" s="12" t="s">
        <v>3888</v>
      </c>
      <c r="T935" s="5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5"/>
      <c r="AI935" s="5"/>
      <c r="AJ935" s="5"/>
      <c r="AK935" s="5"/>
      <c r="AL935" s="5"/>
    </row>
    <row r="936">
      <c r="A936" s="4" t="str">
        <f>VLOOKUP(L936,payment_ids!C:D,2,FALSE)</f>
        <v>pay_HK0ifvyfqF5tRr</v>
      </c>
      <c r="B936" s="4"/>
      <c r="C936" s="4" t="s">
        <v>680</v>
      </c>
      <c r="D936" s="4">
        <v>49835.0</v>
      </c>
      <c r="E936" s="5"/>
      <c r="F936" s="4">
        <v>1.0</v>
      </c>
      <c r="G936" s="4">
        <v>99.0</v>
      </c>
      <c r="H936" s="4"/>
      <c r="I936" s="4">
        <v>99.0</v>
      </c>
      <c r="J936" s="4" t="s">
        <v>3930</v>
      </c>
      <c r="K936" s="5">
        <f>+919365502715</f>
        <v>919365502715</v>
      </c>
      <c r="L936" s="4" t="str">
        <f t="shared" si="1"/>
        <v>bikash36b@gmail.com919365502715</v>
      </c>
      <c r="M936" s="10" t="s">
        <v>67</v>
      </c>
      <c r="N936" s="4" t="b">
        <v>0</v>
      </c>
      <c r="O936" s="4" t="str">
        <f>VLOOKUP(A936,payment_ids!D:E,2,FALSE)</f>
        <v>upi</v>
      </c>
      <c r="P936" s="4" t="s">
        <v>69</v>
      </c>
      <c r="Q936" s="11">
        <v>44383.34722222222</v>
      </c>
      <c r="R936" s="4"/>
      <c r="S936" s="12" t="s">
        <v>3888</v>
      </c>
      <c r="T936" s="5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5"/>
      <c r="AI936" s="5"/>
      <c r="AJ936" s="5"/>
      <c r="AK936" s="5"/>
      <c r="AL936" s="5"/>
    </row>
    <row r="937">
      <c r="A937" s="4" t="str">
        <f>VLOOKUP(L937,payment_ids!C:D,2,FALSE)</f>
        <v>pay_HK7PIwI8xFI5Kx</v>
      </c>
      <c r="B937" s="4"/>
      <c r="C937" s="4" t="s">
        <v>680</v>
      </c>
      <c r="D937" s="4">
        <v>49835.0</v>
      </c>
      <c r="E937" s="5"/>
      <c r="F937" s="4">
        <v>1.0</v>
      </c>
      <c r="G937" s="4">
        <v>99.0</v>
      </c>
      <c r="H937" s="4"/>
      <c r="I937" s="4">
        <v>99.0</v>
      </c>
      <c r="J937" s="4" t="s">
        <v>3931</v>
      </c>
      <c r="K937" s="5">
        <f>+919156558855</f>
        <v>919156558855</v>
      </c>
      <c r="L937" s="4" t="str">
        <f t="shared" si="1"/>
        <v>ayushjotani224@gmail.com919156558855</v>
      </c>
      <c r="M937" s="10" t="s">
        <v>67</v>
      </c>
      <c r="N937" s="4" t="b">
        <v>0</v>
      </c>
      <c r="O937" s="4" t="str">
        <f>VLOOKUP(A937,payment_ids!D:E,2,FALSE)</f>
        <v>upi</v>
      </c>
      <c r="P937" s="4" t="s">
        <v>69</v>
      </c>
      <c r="Q937" s="11">
        <v>44383.62013888889</v>
      </c>
      <c r="R937" s="4"/>
      <c r="S937" s="12" t="s">
        <v>3888</v>
      </c>
      <c r="T937" s="5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5"/>
      <c r="AI937" s="5"/>
      <c r="AJ937" s="5"/>
      <c r="AK937" s="5"/>
      <c r="AL937" s="5"/>
    </row>
    <row r="938">
      <c r="A938" s="4" t="str">
        <f>VLOOKUP(L938,payment_ids!C:D,2,FALSE)</f>
        <v>pay_HK9LfpLlGdckZv</v>
      </c>
      <c r="B938" s="4"/>
      <c r="C938" s="4" t="s">
        <v>680</v>
      </c>
      <c r="D938" s="4">
        <v>49835.0</v>
      </c>
      <c r="E938" s="5"/>
      <c r="F938" s="4">
        <v>1.0</v>
      </c>
      <c r="G938" s="4">
        <v>99.0</v>
      </c>
      <c r="H938" s="4"/>
      <c r="I938" s="4">
        <v>99.0</v>
      </c>
      <c r="J938" s="4" t="s">
        <v>3932</v>
      </c>
      <c r="K938" s="5">
        <f>+639089398155</f>
        <v>639089398155</v>
      </c>
      <c r="L938" s="4" t="str">
        <f t="shared" si="1"/>
        <v>johnnoel86@gmail.com639089398155</v>
      </c>
      <c r="M938" s="10" t="s">
        <v>67</v>
      </c>
      <c r="N938" s="4" t="b">
        <v>0</v>
      </c>
      <c r="O938" s="4" t="str">
        <f>VLOOKUP(A938,payment_ids!D:E,2,FALSE)</f>
        <v>upi</v>
      </c>
      <c r="P938" s="4" t="s">
        <v>69</v>
      </c>
      <c r="Q938" s="11">
        <v>44383.69930555556</v>
      </c>
      <c r="R938" s="4"/>
      <c r="S938" s="12" t="s">
        <v>3888</v>
      </c>
      <c r="T938" s="5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5"/>
      <c r="AI938" s="5"/>
      <c r="AJ938" s="5"/>
      <c r="AK938" s="5"/>
      <c r="AL938" s="5"/>
    </row>
    <row r="939">
      <c r="A939" s="4" t="str">
        <f>VLOOKUP(L939,payment_ids!C:D,2,FALSE)</f>
        <v>pay_HKDk4N1WUxPjVo</v>
      </c>
      <c r="B939" s="4"/>
      <c r="C939" s="4" t="s">
        <v>680</v>
      </c>
      <c r="D939" s="4">
        <v>49835.0</v>
      </c>
      <c r="E939" s="5"/>
      <c r="F939" s="4">
        <v>1.0</v>
      </c>
      <c r="G939" s="4">
        <v>99.0</v>
      </c>
      <c r="H939" s="4"/>
      <c r="I939" s="4">
        <v>99.0</v>
      </c>
      <c r="J939" s="4" t="s">
        <v>3933</v>
      </c>
      <c r="K939" s="5">
        <f>+919840100485</f>
        <v>919840100485</v>
      </c>
      <c r="L939" s="4" t="str">
        <f t="shared" si="1"/>
        <v>info.lalsar@gmail.com919840100485</v>
      </c>
      <c r="M939" s="10" t="s">
        <v>67</v>
      </c>
      <c r="N939" s="4" t="b">
        <v>0</v>
      </c>
      <c r="O939" s="4" t="str">
        <f>VLOOKUP(A939,payment_ids!D:E,2,FALSE)</f>
        <v>card</v>
      </c>
      <c r="P939" s="4" t="s">
        <v>69</v>
      </c>
      <c r="Q939" s="11">
        <v>44383.87777777778</v>
      </c>
      <c r="R939" s="4"/>
      <c r="S939" s="12" t="s">
        <v>3888</v>
      </c>
      <c r="T939" s="5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5"/>
      <c r="AI939" s="5"/>
      <c r="AJ939" s="5"/>
      <c r="AK939" s="5"/>
      <c r="AL939" s="5"/>
    </row>
    <row r="940">
      <c r="A940" s="4" t="str">
        <f>VLOOKUP(L940,payment_ids!C:D,2,FALSE)</f>
        <v>pay_HKEHHohdU1vCAc</v>
      </c>
      <c r="B940" s="4"/>
      <c r="C940" s="4" t="s">
        <v>680</v>
      </c>
      <c r="D940" s="4">
        <v>49835.0</v>
      </c>
      <c r="E940" s="5"/>
      <c r="F940" s="4">
        <v>3.0</v>
      </c>
      <c r="G940" s="4">
        <v>199.0</v>
      </c>
      <c r="H940" s="4"/>
      <c r="I940" s="4">
        <v>199.0</v>
      </c>
      <c r="J940" s="4" t="s">
        <v>3934</v>
      </c>
      <c r="K940" s="5">
        <f>+917741011418</f>
        <v>917741011418</v>
      </c>
      <c r="L940" s="4" t="str">
        <f t="shared" si="1"/>
        <v>gauravlange8181@gmail.com917741011418</v>
      </c>
      <c r="M940" s="10" t="s">
        <v>67</v>
      </c>
      <c r="N940" s="4" t="b">
        <v>0</v>
      </c>
      <c r="O940" s="4" t="str">
        <f>VLOOKUP(A940,payment_ids!D:E,2,FALSE)</f>
        <v>upi</v>
      </c>
      <c r="P940" s="4" t="s">
        <v>69</v>
      </c>
      <c r="Q940" s="11">
        <v>44383.9</v>
      </c>
      <c r="R940" s="4"/>
      <c r="S940" s="12" t="s">
        <v>3888</v>
      </c>
      <c r="T940" s="5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5"/>
      <c r="AI940" s="5"/>
      <c r="AJ940" s="5"/>
      <c r="AK940" s="5"/>
      <c r="AL940" s="5"/>
    </row>
    <row r="941">
      <c r="A941" s="4" t="str">
        <f>VLOOKUP(L941,payment_ids!C:D,2,FALSE)</f>
        <v>pay_HKEgnXSR3ls0Mc</v>
      </c>
      <c r="B941" s="4"/>
      <c r="C941" s="4" t="s">
        <v>680</v>
      </c>
      <c r="D941" s="4">
        <v>49835.0</v>
      </c>
      <c r="E941" s="5"/>
      <c r="F941" s="4">
        <v>1.0</v>
      </c>
      <c r="G941" s="4">
        <v>99.0</v>
      </c>
      <c r="H941" s="4"/>
      <c r="I941" s="4">
        <v>99.0</v>
      </c>
      <c r="J941" s="4" t="s">
        <v>3935</v>
      </c>
      <c r="K941" s="5">
        <f>+919558892187</f>
        <v>919558892187</v>
      </c>
      <c r="L941" s="4" t="str">
        <f t="shared" si="1"/>
        <v>sthacker1535@gmail.com919558892187</v>
      </c>
      <c r="M941" s="10" t="s">
        <v>67</v>
      </c>
      <c r="N941" s="4" t="b">
        <v>0</v>
      </c>
      <c r="O941" s="4" t="str">
        <f>VLOOKUP(A941,payment_ids!D:E,2,FALSE)</f>
        <v>upi</v>
      </c>
      <c r="P941" s="4" t="s">
        <v>69</v>
      </c>
      <c r="Q941" s="11">
        <v>44383.916666666664</v>
      </c>
      <c r="R941" s="4"/>
      <c r="S941" s="12" t="s">
        <v>3888</v>
      </c>
      <c r="T941" s="5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5"/>
      <c r="AI941" s="5"/>
      <c r="AJ941" s="5"/>
      <c r="AK941" s="5"/>
      <c r="AL941" s="5"/>
    </row>
    <row r="942">
      <c r="A942" s="4" t="str">
        <f>VLOOKUP(L942,payment_ids!C:D,2,FALSE)</f>
        <v>pay_HKGHkFFwl6VOU9</v>
      </c>
      <c r="B942" s="4"/>
      <c r="C942" s="4" t="s">
        <v>680</v>
      </c>
      <c r="D942" s="4">
        <v>49835.0</v>
      </c>
      <c r="E942" s="5"/>
      <c r="F942" s="4">
        <v>1.0</v>
      </c>
      <c r="G942" s="4">
        <v>99.0</v>
      </c>
      <c r="H942" s="4"/>
      <c r="I942" s="4">
        <v>99.0</v>
      </c>
      <c r="J942" s="4" t="s">
        <v>3936</v>
      </c>
      <c r="K942" s="5">
        <f>+919980509578</f>
        <v>919980509578</v>
      </c>
      <c r="L942" s="4" t="str">
        <f t="shared" si="1"/>
        <v>ds.dhanush31@gmail.com919980509578</v>
      </c>
      <c r="M942" s="10" t="s">
        <v>67</v>
      </c>
      <c r="N942" s="4" t="b">
        <v>0</v>
      </c>
      <c r="O942" s="4" t="str">
        <f>VLOOKUP(A942,payment_ids!D:E,2,FALSE)</f>
        <v>upi</v>
      </c>
      <c r="P942" s="4" t="s">
        <v>69</v>
      </c>
      <c r="Q942" s="11">
        <v>44383.98611111111</v>
      </c>
      <c r="R942" s="4"/>
      <c r="S942" s="12" t="s">
        <v>3888</v>
      </c>
      <c r="T942" s="5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5"/>
      <c r="AI942" s="5"/>
      <c r="AJ942" s="5"/>
      <c r="AK942" s="5"/>
      <c r="AL942" s="5"/>
    </row>
    <row r="943">
      <c r="A943" s="4" t="str">
        <f>VLOOKUP(L943,payment_ids!C:D,2,FALSE)</f>
        <v>pay_HKYttm3GK1Uk5o</v>
      </c>
      <c r="B943" s="4"/>
      <c r="C943" s="4" t="s">
        <v>680</v>
      </c>
      <c r="D943" s="4">
        <v>49835.0</v>
      </c>
      <c r="E943" s="5"/>
      <c r="F943" s="4">
        <v>1.0</v>
      </c>
      <c r="G943" s="4">
        <v>99.0</v>
      </c>
      <c r="H943" s="4"/>
      <c r="I943" s="4">
        <v>99.0</v>
      </c>
      <c r="J943" s="4" t="s">
        <v>3937</v>
      </c>
      <c r="K943" s="5">
        <f>+919741115915</f>
        <v>919741115915</v>
      </c>
      <c r="L943" s="4" t="str">
        <f t="shared" si="1"/>
        <v>hskiran20@yahoo.com919741115915</v>
      </c>
      <c r="M943" s="10" t="s">
        <v>67</v>
      </c>
      <c r="N943" s="4" t="b">
        <v>0</v>
      </c>
      <c r="O943" s="4" t="str">
        <f>VLOOKUP(A943,payment_ids!D:E,2,FALSE)</f>
        <v>netbanking</v>
      </c>
      <c r="P943" s="4" t="s">
        <v>69</v>
      </c>
      <c r="Q943" s="11">
        <v>44414.74097222222</v>
      </c>
      <c r="R943" s="4"/>
      <c r="S943" s="12" t="s">
        <v>3888</v>
      </c>
      <c r="T943" s="4" t="s">
        <v>2444</v>
      </c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5"/>
      <c r="AI943" s="5"/>
      <c r="AJ943" s="5"/>
      <c r="AK943" s="5"/>
      <c r="AL943" s="5"/>
    </row>
    <row r="944">
      <c r="A944" s="4" t="str">
        <f>VLOOKUP(L944,payment_ids!C:D,2,FALSE)</f>
        <v>pay_HKlN62qzbTkBbq</v>
      </c>
      <c r="B944" s="4"/>
      <c r="C944" s="4" t="s">
        <v>680</v>
      </c>
      <c r="D944" s="4">
        <v>49835.0</v>
      </c>
      <c r="E944" s="5"/>
      <c r="F944" s="4">
        <v>1.0</v>
      </c>
      <c r="G944" s="4">
        <v>99.0</v>
      </c>
      <c r="H944" s="4"/>
      <c r="I944" s="4">
        <v>99.0</v>
      </c>
      <c r="J944" s="4" t="s">
        <v>3938</v>
      </c>
      <c r="K944" s="5">
        <f>+919740196916</f>
        <v>919740196916</v>
      </c>
      <c r="L944" s="4" t="str">
        <f t="shared" si="1"/>
        <v>cachethan7@gmail.com919740196916</v>
      </c>
      <c r="M944" s="10" t="s">
        <v>67</v>
      </c>
      <c r="N944" s="4" t="b">
        <v>0</v>
      </c>
      <c r="O944" s="4" t="str">
        <f>VLOOKUP(A944,payment_ids!D:E,2,FALSE)</f>
        <v>wallet</v>
      </c>
      <c r="P944" s="4" t="s">
        <v>69</v>
      </c>
      <c r="Q944" s="11">
        <v>44445.254166666666</v>
      </c>
      <c r="R944" s="4"/>
      <c r="S944" s="12" t="s">
        <v>3888</v>
      </c>
      <c r="T944" s="4" t="s">
        <v>2444</v>
      </c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5"/>
      <c r="AI944" s="5"/>
      <c r="AJ944" s="5"/>
      <c r="AK944" s="5"/>
      <c r="AL944" s="5"/>
    </row>
    <row r="945">
      <c r="A945" s="4" t="str">
        <f>VLOOKUP(L945,payment_ids!C:D,2,FALSE)</f>
        <v>pay_HKtgUwq2v4NNoB</v>
      </c>
      <c r="B945" s="4"/>
      <c r="C945" s="4" t="s">
        <v>680</v>
      </c>
      <c r="D945" s="4">
        <v>49835.0</v>
      </c>
      <c r="E945" s="5"/>
      <c r="F945" s="4">
        <v>1.0</v>
      </c>
      <c r="G945" s="4">
        <v>99.0</v>
      </c>
      <c r="H945" s="4"/>
      <c r="I945" s="4">
        <v>99.0</v>
      </c>
      <c r="J945" s="4" t="s">
        <v>3939</v>
      </c>
      <c r="K945" s="5">
        <f>+919907896802</f>
        <v>919907896802</v>
      </c>
      <c r="L945" s="4" t="str">
        <f t="shared" si="1"/>
        <v>rohitsm0711@gmail.com919907896802</v>
      </c>
      <c r="M945" s="10" t="s">
        <v>67</v>
      </c>
      <c r="N945" s="4" t="b">
        <v>0</v>
      </c>
      <c r="O945" s="4" t="str">
        <f>VLOOKUP(A945,payment_ids!D:E,2,FALSE)</f>
        <v>upi</v>
      </c>
      <c r="P945" s="4" t="s">
        <v>69</v>
      </c>
      <c r="Q945" s="11">
        <v>44445.5875</v>
      </c>
      <c r="R945" s="4"/>
      <c r="S945" s="12" t="s">
        <v>3888</v>
      </c>
      <c r="T945" s="4" t="s">
        <v>2444</v>
      </c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5"/>
      <c r="AI945" s="5"/>
      <c r="AJ945" s="5"/>
      <c r="AK945" s="5"/>
      <c r="AL945" s="5"/>
    </row>
    <row r="946">
      <c r="A946" s="4" t="str">
        <f>VLOOKUP(L946,payment_ids!C:D,2,FALSE)</f>
        <v>pay_HL05KlojUi7soW</v>
      </c>
      <c r="B946" s="4"/>
      <c r="C946" s="4" t="s">
        <v>680</v>
      </c>
      <c r="D946" s="4">
        <v>49835.0</v>
      </c>
      <c r="E946" s="5"/>
      <c r="F946" s="4">
        <v>3.0</v>
      </c>
      <c r="G946" s="4">
        <v>199.0</v>
      </c>
      <c r="H946" s="4"/>
      <c r="I946" s="4">
        <v>199.0</v>
      </c>
      <c r="J946" s="4" t="s">
        <v>3940</v>
      </c>
      <c r="K946" s="5">
        <f>+917744081753</f>
        <v>917744081753</v>
      </c>
      <c r="L946" s="4" t="str">
        <f t="shared" si="1"/>
        <v>prashantnikose31@gmail.com917744081753</v>
      </c>
      <c r="M946" s="10" t="s">
        <v>67</v>
      </c>
      <c r="N946" s="4" t="b">
        <v>0</v>
      </c>
      <c r="O946" s="4" t="str">
        <f>VLOOKUP(A946,payment_ids!D:E,2,FALSE)</f>
        <v>upi</v>
      </c>
      <c r="P946" s="4" t="s">
        <v>69</v>
      </c>
      <c r="Q946" s="11">
        <v>44445.84861111111</v>
      </c>
      <c r="R946" s="4"/>
      <c r="S946" s="12" t="s">
        <v>3888</v>
      </c>
      <c r="T946" s="4" t="s">
        <v>2444</v>
      </c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5"/>
      <c r="AI946" s="5"/>
      <c r="AJ946" s="5"/>
      <c r="AK946" s="5"/>
      <c r="AL946" s="5"/>
    </row>
    <row r="947">
      <c r="A947" s="4" t="str">
        <f>VLOOKUP(L947,payment_ids!C:D,2,FALSE)</f>
        <v>pay_HLHSTt2betSWIr</v>
      </c>
      <c r="B947" s="4"/>
      <c r="C947" s="4" t="s">
        <v>680</v>
      </c>
      <c r="D947" s="4">
        <v>49835.0</v>
      </c>
      <c r="E947" s="5"/>
      <c r="F947" s="4">
        <v>1.0</v>
      </c>
      <c r="G947" s="4">
        <v>99.0</v>
      </c>
      <c r="H947" s="4"/>
      <c r="I947" s="4">
        <v>99.0</v>
      </c>
      <c r="J947" s="4" t="s">
        <v>3941</v>
      </c>
      <c r="K947" s="5">
        <f>+919004757978</f>
        <v>919004757978</v>
      </c>
      <c r="L947" s="4" t="str">
        <f t="shared" si="1"/>
        <v>maheshkunder07@gmail.com919004757978</v>
      </c>
      <c r="M947" s="10" t="s">
        <v>67</v>
      </c>
      <c r="N947" s="4" t="b">
        <v>0</v>
      </c>
      <c r="O947" s="4" t="str">
        <f>VLOOKUP(A947,payment_ids!D:E,2,FALSE)</f>
        <v>upi</v>
      </c>
      <c r="P947" s="4" t="s">
        <v>69</v>
      </c>
      <c r="Q947" s="11">
        <v>44475.55694444444</v>
      </c>
      <c r="R947" s="4"/>
      <c r="S947" s="12" t="s">
        <v>3888</v>
      </c>
      <c r="T947" s="4" t="s">
        <v>2444</v>
      </c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5"/>
      <c r="AI947" s="5"/>
      <c r="AJ947" s="5"/>
      <c r="AK947" s="5"/>
      <c r="AL947" s="5"/>
    </row>
    <row r="948">
      <c r="A948" s="4" t="str">
        <f>VLOOKUP(L948,payment_ids!C:D,2,FALSE)</f>
        <v>pay_HL1iekQfzyec7C</v>
      </c>
      <c r="B948" s="4"/>
      <c r="C948" s="4" t="s">
        <v>680</v>
      </c>
      <c r="D948" s="4">
        <v>49835.0</v>
      </c>
      <c r="E948" s="5"/>
      <c r="F948" s="4">
        <v>1.0</v>
      </c>
      <c r="G948" s="4">
        <v>99.0</v>
      </c>
      <c r="H948" s="4"/>
      <c r="I948" s="4">
        <v>99.0</v>
      </c>
      <c r="J948" s="4" t="s">
        <v>3942</v>
      </c>
      <c r="K948" s="5">
        <f>+917010780648</f>
        <v>917010780648</v>
      </c>
      <c r="L948" s="4" t="str">
        <f t="shared" si="1"/>
        <v>vprforever@gmail.com917010780648</v>
      </c>
      <c r="M948" s="10" t="s">
        <v>67</v>
      </c>
      <c r="N948" s="4" t="b">
        <v>0</v>
      </c>
      <c r="O948" s="4" t="str">
        <f>VLOOKUP(A948,payment_ids!D:E,2,FALSE)</f>
        <v>upi</v>
      </c>
      <c r="P948" s="4" t="s">
        <v>69</v>
      </c>
      <c r="Q948" s="11">
        <v>44475.748611111114</v>
      </c>
      <c r="R948" s="4"/>
      <c r="S948" s="12" t="s">
        <v>3888</v>
      </c>
      <c r="T948" s="4" t="s">
        <v>2444</v>
      </c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5"/>
      <c r="AI948" s="5"/>
      <c r="AJ948" s="5"/>
      <c r="AK948" s="5"/>
      <c r="AL948" s="5"/>
    </row>
    <row r="949">
      <c r="A949" s="4" t="str">
        <f>VLOOKUP(L949,payment_ids!C:D,2,FALSE)</f>
        <v>pay_HLYrl4NHE7lYN8</v>
      </c>
      <c r="B949" s="4"/>
      <c r="C949" s="4" t="s">
        <v>680</v>
      </c>
      <c r="D949" s="4">
        <v>49835.0</v>
      </c>
      <c r="E949" s="5"/>
      <c r="F949" s="4">
        <v>1.0</v>
      </c>
      <c r="G949" s="4">
        <v>99.0</v>
      </c>
      <c r="H949" s="4"/>
      <c r="I949" s="4">
        <v>99.0</v>
      </c>
      <c r="J949" s="4" t="s">
        <v>3943</v>
      </c>
      <c r="K949" s="5">
        <f>+918924876557</f>
        <v>918924876557</v>
      </c>
      <c r="L949" s="4" t="str">
        <f t="shared" si="1"/>
        <v>rai4875@gmail.com918924876557</v>
      </c>
      <c r="M949" s="10" t="s">
        <v>67</v>
      </c>
      <c r="N949" s="4" t="b">
        <v>0</v>
      </c>
      <c r="O949" s="4" t="str">
        <f>VLOOKUP(A949,payment_ids!D:E,2,FALSE)</f>
        <v>upi</v>
      </c>
      <c r="P949" s="4" t="s">
        <v>69</v>
      </c>
      <c r="Q949" s="11">
        <v>44506.26597222222</v>
      </c>
      <c r="R949" s="4"/>
      <c r="S949" s="12" t="s">
        <v>3888</v>
      </c>
      <c r="T949" s="4" t="s">
        <v>2444</v>
      </c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5"/>
      <c r="AI949" s="5"/>
      <c r="AJ949" s="5"/>
      <c r="AK949" s="5"/>
      <c r="AL949" s="5"/>
    </row>
    <row r="950">
      <c r="A950" s="4" t="str">
        <f>VLOOKUP(L950,payment_ids!C:D,2,FALSE)</f>
        <v>pay_HMZMBQwIQPsCzg</v>
      </c>
      <c r="B950" s="4"/>
      <c r="C950" s="4" t="s">
        <v>680</v>
      </c>
      <c r="D950" s="4">
        <v>49835.0</v>
      </c>
      <c r="E950" s="5"/>
      <c r="F950" s="4">
        <v>1.0</v>
      </c>
      <c r="G950" s="4">
        <v>99.0</v>
      </c>
      <c r="H950" s="4"/>
      <c r="I950" s="4">
        <v>99.0</v>
      </c>
      <c r="J950" s="4" t="s">
        <v>3944</v>
      </c>
      <c r="K950" s="5">
        <f>+919163195924</f>
        <v>919163195924</v>
      </c>
      <c r="L950" s="4" t="str">
        <f t="shared" si="1"/>
        <v>drramprasad85@gmail.com919163195924</v>
      </c>
      <c r="M950" s="10" t="s">
        <v>67</v>
      </c>
      <c r="N950" s="4" t="b">
        <v>0</v>
      </c>
      <c r="O950" s="4" t="str">
        <f>VLOOKUP(A950,payment_ids!D:E,2,FALSE)</f>
        <v>upi</v>
      </c>
      <c r="P950" s="4" t="s">
        <v>69</v>
      </c>
      <c r="Q950" s="4" t="s">
        <v>3945</v>
      </c>
      <c r="R950" s="4"/>
      <c r="S950" s="12" t="s">
        <v>3888</v>
      </c>
      <c r="T950" s="4" t="s">
        <v>2444</v>
      </c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5"/>
      <c r="AI950" s="5"/>
      <c r="AJ950" s="5"/>
      <c r="AK950" s="5"/>
      <c r="AL950" s="5"/>
    </row>
    <row r="951">
      <c r="A951" s="4" t="str">
        <f>VLOOKUP(L951,payment_ids!C:D,2,FALSE)</f>
        <v>pay_HKD2WzMSzg8Fhv</v>
      </c>
      <c r="B951" s="4"/>
      <c r="C951" s="4" t="s">
        <v>680</v>
      </c>
      <c r="D951" s="4">
        <v>49835.0</v>
      </c>
      <c r="E951" s="5"/>
      <c r="F951" s="4">
        <v>6.0</v>
      </c>
      <c r="G951" s="4">
        <v>349.0</v>
      </c>
      <c r="H951" s="4"/>
      <c r="I951" s="4">
        <v>349.0</v>
      </c>
      <c r="J951" s="4" t="s">
        <v>3625</v>
      </c>
      <c r="K951" s="5">
        <f>+919930432551</f>
        <v>919930432551</v>
      </c>
      <c r="L951" s="4" t="str">
        <f t="shared" si="1"/>
        <v>salilt.001@gmail.com919930432551</v>
      </c>
      <c r="M951" s="10" t="s">
        <v>67</v>
      </c>
      <c r="N951" s="4" t="b">
        <v>0</v>
      </c>
      <c r="O951" s="4" t="str">
        <f>VLOOKUP(A951,payment_ids!D:E,2,FALSE)</f>
        <v>upi</v>
      </c>
      <c r="P951" s="4" t="s">
        <v>69</v>
      </c>
      <c r="Q951" s="4" t="s">
        <v>3946</v>
      </c>
      <c r="R951" s="4"/>
      <c r="S951" s="12" t="s">
        <v>3888</v>
      </c>
      <c r="T951" s="4" t="s">
        <v>2444</v>
      </c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5"/>
      <c r="AI951" s="5"/>
      <c r="AJ951" s="5"/>
      <c r="AK951" s="5"/>
      <c r="AL951" s="5"/>
    </row>
    <row r="952">
      <c r="A952" s="4" t="str">
        <f>VLOOKUP(L952,payment_ids!C:D,2,FALSE)</f>
        <v>pay_HMhWJv5ep7yKHL</v>
      </c>
      <c r="B952" s="4"/>
      <c r="C952" s="4" t="s">
        <v>680</v>
      </c>
      <c r="D952" s="4">
        <v>49835.0</v>
      </c>
      <c r="E952" s="5"/>
      <c r="F952" s="4">
        <v>1.0</v>
      </c>
      <c r="G952" s="4">
        <v>99.0</v>
      </c>
      <c r="H952" s="4"/>
      <c r="I952" s="4">
        <v>99.0</v>
      </c>
      <c r="J952" s="4" t="s">
        <v>703</v>
      </c>
      <c r="K952" s="5">
        <f>+918248059061</f>
        <v>918248059061</v>
      </c>
      <c r="L952" s="4" t="str">
        <f t="shared" si="1"/>
        <v>sainathan1011@gmail.com918248059061</v>
      </c>
      <c r="M952" s="10" t="s">
        <v>67</v>
      </c>
      <c r="N952" s="4" t="b">
        <v>0</v>
      </c>
      <c r="O952" s="4" t="str">
        <f>VLOOKUP(A952,payment_ids!D:E,2,FALSE)</f>
        <v>upi</v>
      </c>
      <c r="P952" s="4" t="s">
        <v>69</v>
      </c>
      <c r="Q952" s="4" t="s">
        <v>3947</v>
      </c>
      <c r="R952" s="4"/>
      <c r="S952" s="12" t="s">
        <v>3888</v>
      </c>
      <c r="T952" s="4" t="s">
        <v>2444</v>
      </c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5"/>
      <c r="AI952" s="5"/>
      <c r="AJ952" s="5"/>
      <c r="AK952" s="5"/>
      <c r="AL952" s="5"/>
    </row>
    <row r="953">
      <c r="A953" s="4" t="str">
        <f>VLOOKUP(L953,payment_ids!C:D,2,FALSE)</f>
        <v>pay_HMw3DU9nhALeP7</v>
      </c>
      <c r="B953" s="4"/>
      <c r="C953" s="4" t="s">
        <v>680</v>
      </c>
      <c r="D953" s="4">
        <v>49835.0</v>
      </c>
      <c r="E953" s="5"/>
      <c r="F953" s="4">
        <v>3.0</v>
      </c>
      <c r="G953" s="4">
        <v>199.0</v>
      </c>
      <c r="H953" s="4"/>
      <c r="I953" s="4">
        <v>199.0</v>
      </c>
      <c r="J953" s="4" t="s">
        <v>3948</v>
      </c>
      <c r="K953" s="5">
        <f>+919307421735</f>
        <v>919307421735</v>
      </c>
      <c r="L953" s="4" t="str">
        <f t="shared" si="1"/>
        <v>rajat.shirdhankar25@gmail.com919307421735</v>
      </c>
      <c r="M953" s="10" t="s">
        <v>67</v>
      </c>
      <c r="N953" s="4" t="b">
        <v>0</v>
      </c>
      <c r="O953" s="4" t="str">
        <f>VLOOKUP(A953,payment_ids!D:E,2,FALSE)</f>
        <v>upi</v>
      </c>
      <c r="P953" s="4" t="s">
        <v>69</v>
      </c>
      <c r="Q953" s="4" t="s">
        <v>3949</v>
      </c>
      <c r="R953" s="4"/>
      <c r="S953" s="12" t="s">
        <v>3888</v>
      </c>
      <c r="T953" s="4" t="s">
        <v>2444</v>
      </c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5"/>
      <c r="AI953" s="5"/>
      <c r="AJ953" s="5"/>
      <c r="AK953" s="5"/>
      <c r="AL953" s="5"/>
    </row>
    <row r="954">
      <c r="A954" s="4" t="str">
        <f>VLOOKUP(L954,payment_ids!C:D,2,FALSE)</f>
        <v>pay_HMzIREZOqxNqll</v>
      </c>
      <c r="B954" s="4"/>
      <c r="C954" s="4" t="s">
        <v>680</v>
      </c>
      <c r="D954" s="4">
        <v>49835.0</v>
      </c>
      <c r="E954" s="5"/>
      <c r="F954" s="4">
        <v>1.0</v>
      </c>
      <c r="G954" s="4">
        <v>99.0</v>
      </c>
      <c r="H954" s="4"/>
      <c r="I954" s="4">
        <v>99.0</v>
      </c>
      <c r="J954" s="4" t="s">
        <v>3950</v>
      </c>
      <c r="K954" s="5">
        <f>+919886693316</f>
        <v>919886693316</v>
      </c>
      <c r="L954" s="4" t="str">
        <f t="shared" si="1"/>
        <v>ozoneservicesolutions@gmail.com919886693316</v>
      </c>
      <c r="M954" s="10" t="s">
        <v>67</v>
      </c>
      <c r="N954" s="4" t="b">
        <v>0</v>
      </c>
      <c r="O954" s="4" t="str">
        <f>VLOOKUP(A954,payment_ids!D:E,2,FALSE)</f>
        <v>upi</v>
      </c>
      <c r="P954" s="4" t="s">
        <v>69</v>
      </c>
      <c r="Q954" s="4" t="s">
        <v>3951</v>
      </c>
      <c r="R954" s="4"/>
      <c r="S954" s="12" t="s">
        <v>3952</v>
      </c>
      <c r="T954" s="4" t="s">
        <v>2444</v>
      </c>
      <c r="U954" s="4"/>
      <c r="V954" s="4"/>
      <c r="W954" s="4"/>
      <c r="X954" s="4"/>
      <c r="Y954" s="4"/>
      <c r="Z954" s="4"/>
      <c r="AA954" s="4"/>
      <c r="AB954" s="4"/>
      <c r="AC954" s="7"/>
      <c r="AD954" s="4"/>
      <c r="AE954" s="4"/>
      <c r="AF954" s="4"/>
      <c r="AG954" s="4"/>
      <c r="AH954" s="5"/>
      <c r="AI954" s="5"/>
      <c r="AJ954" s="5"/>
      <c r="AK954" s="5"/>
      <c r="AL954" s="5"/>
    </row>
    <row r="955">
      <c r="A955" s="4" t="str">
        <f>VLOOKUP(L955,payment_ids!C:D,2,FALSE)</f>
        <v>pay_HNMq66XlEKNEON</v>
      </c>
      <c r="B955" s="4"/>
      <c r="C955" s="4" t="s">
        <v>680</v>
      </c>
      <c r="D955" s="4">
        <v>49835.0</v>
      </c>
      <c r="E955" s="5"/>
      <c r="F955" s="4">
        <v>1.0</v>
      </c>
      <c r="G955" s="4">
        <v>99.0</v>
      </c>
      <c r="H955" s="4"/>
      <c r="I955" s="4">
        <v>99.0</v>
      </c>
      <c r="J955" s="4" t="s">
        <v>3953</v>
      </c>
      <c r="K955" s="5">
        <f>+918879360028</f>
        <v>918879360028</v>
      </c>
      <c r="L955" s="4" t="str">
        <f t="shared" si="1"/>
        <v>swapnil.khotkar@gmail.com918879360028</v>
      </c>
      <c r="M955" s="10" t="s">
        <v>67</v>
      </c>
      <c r="N955" s="4" t="b">
        <v>0</v>
      </c>
      <c r="O955" s="4" t="str">
        <f>VLOOKUP(A955,payment_ids!D:E,2,FALSE)</f>
        <v>upi</v>
      </c>
      <c r="P955" s="4" t="s">
        <v>69</v>
      </c>
      <c r="Q955" s="4" t="s">
        <v>3954</v>
      </c>
      <c r="R955" s="4"/>
      <c r="S955" s="12" t="s">
        <v>3888</v>
      </c>
      <c r="T955" s="4" t="s">
        <v>2444</v>
      </c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5"/>
      <c r="AI955" s="5"/>
      <c r="AJ955" s="5"/>
      <c r="AK955" s="5"/>
      <c r="AL955" s="5"/>
    </row>
    <row r="956">
      <c r="A956" s="4" t="str">
        <f>VLOOKUP(L956,payment_ids!C:D,2,FALSE)</f>
        <v>pay_HNY2Z4gGc4h6sY</v>
      </c>
      <c r="B956" s="4"/>
      <c r="C956" s="4" t="s">
        <v>680</v>
      </c>
      <c r="D956" s="4">
        <v>49835.0</v>
      </c>
      <c r="E956" s="5"/>
      <c r="F956" s="4">
        <v>3.0</v>
      </c>
      <c r="G956" s="4">
        <v>199.0</v>
      </c>
      <c r="H956" s="4"/>
      <c r="I956" s="4">
        <v>199.0</v>
      </c>
      <c r="J956" s="4" t="s">
        <v>3955</v>
      </c>
      <c r="K956" s="5">
        <f>+919965818840</f>
        <v>919965818840</v>
      </c>
      <c r="L956" s="4" t="str">
        <f t="shared" si="1"/>
        <v>mharish.explorer@gmail.com919965818840</v>
      </c>
      <c r="M956" s="10" t="s">
        <v>67</v>
      </c>
      <c r="N956" s="4" t="b">
        <v>0</v>
      </c>
      <c r="O956" s="4" t="str">
        <f>VLOOKUP(A956,payment_ids!D:E,2,FALSE)</f>
        <v>upi</v>
      </c>
      <c r="P956" s="4" t="s">
        <v>69</v>
      </c>
      <c r="Q956" s="4" t="s">
        <v>3956</v>
      </c>
      <c r="R956" s="4"/>
      <c r="S956" s="12" t="s">
        <v>3888</v>
      </c>
      <c r="T956" s="4" t="s">
        <v>2444</v>
      </c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5"/>
      <c r="AI956" s="5"/>
      <c r="AJ956" s="5"/>
      <c r="AK956" s="5"/>
      <c r="AL956" s="5"/>
    </row>
    <row r="957">
      <c r="A957" s="4" t="str">
        <f>VLOOKUP(L957,payment_ids!C:D,2,FALSE)</f>
        <v>pay_HKdYW2k5SUvpl9</v>
      </c>
      <c r="B957" s="4"/>
      <c r="C957" s="4" t="s">
        <v>680</v>
      </c>
      <c r="D957" s="4">
        <v>49835.0</v>
      </c>
      <c r="E957" s="5"/>
      <c r="F957" s="4">
        <v>1.0</v>
      </c>
      <c r="G957" s="4">
        <v>99.0</v>
      </c>
      <c r="H957" s="4"/>
      <c r="I957" s="4">
        <v>99.0</v>
      </c>
      <c r="J957" s="4" t="s">
        <v>3957</v>
      </c>
      <c r="K957" s="5">
        <f>+918148413883</f>
        <v>918148413883</v>
      </c>
      <c r="L957" s="4" t="str">
        <f t="shared" si="1"/>
        <v>raghavendira.sankaran@gmail.com918148413883</v>
      </c>
      <c r="M957" s="10" t="s">
        <v>67</v>
      </c>
      <c r="N957" s="4" t="b">
        <v>0</v>
      </c>
      <c r="O957" s="4" t="str">
        <f>VLOOKUP(A957,payment_ids!D:E,2,FALSE)</f>
        <v>card</v>
      </c>
      <c r="P957" s="4" t="s">
        <v>69</v>
      </c>
      <c r="Q957" s="4" t="s">
        <v>3958</v>
      </c>
      <c r="R957" s="4"/>
      <c r="S957" s="12" t="s">
        <v>3888</v>
      </c>
      <c r="T957" s="4" t="s">
        <v>2444</v>
      </c>
      <c r="U957" s="4"/>
      <c r="V957" s="4"/>
      <c r="W957" s="4"/>
      <c r="X957" s="4"/>
      <c r="Y957" s="4"/>
      <c r="Z957" s="4"/>
      <c r="AA957" s="4"/>
      <c r="AB957" s="4"/>
      <c r="AC957" s="7"/>
      <c r="AD957" s="4"/>
      <c r="AE957" s="4"/>
      <c r="AF957" s="4"/>
      <c r="AG957" s="4"/>
      <c r="AH957" s="5"/>
      <c r="AI957" s="5"/>
      <c r="AJ957" s="5"/>
      <c r="AK957" s="5"/>
      <c r="AL957" s="5"/>
    </row>
    <row r="958">
      <c r="A958" s="4" t="str">
        <f>VLOOKUP(L958,payment_ids!C:D,2,FALSE)</f>
        <v>pay_HNdvOq5OjVmUnH</v>
      </c>
      <c r="B958" s="4"/>
      <c r="C958" s="4" t="s">
        <v>680</v>
      </c>
      <c r="D958" s="4">
        <v>49835.0</v>
      </c>
      <c r="E958" s="5"/>
      <c r="F958" s="4">
        <v>1.0</v>
      </c>
      <c r="G958" s="4">
        <v>99.0</v>
      </c>
      <c r="H958" s="4"/>
      <c r="I958" s="4">
        <v>99.0</v>
      </c>
      <c r="J958" s="4" t="s">
        <v>3959</v>
      </c>
      <c r="K958" s="5">
        <f>+919764192266</f>
        <v>919764192266</v>
      </c>
      <c r="L958" s="4" t="str">
        <f t="shared" si="1"/>
        <v>chavan.kirtan@gmail.com919764192266</v>
      </c>
      <c r="M958" s="10" t="s">
        <v>67</v>
      </c>
      <c r="N958" s="4" t="b">
        <v>0</v>
      </c>
      <c r="O958" s="4" t="str">
        <f>VLOOKUP(A958,payment_ids!D:E,2,FALSE)</f>
        <v>wallet</v>
      </c>
      <c r="P958" s="4" t="s">
        <v>69</v>
      </c>
      <c r="Q958" s="4" t="s">
        <v>3960</v>
      </c>
      <c r="R958" s="4"/>
      <c r="S958" s="12" t="s">
        <v>3888</v>
      </c>
      <c r="T958" s="4" t="s">
        <v>2444</v>
      </c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5"/>
      <c r="AI958" s="5"/>
      <c r="AJ958" s="5"/>
      <c r="AK958" s="5"/>
      <c r="AL958" s="5"/>
    </row>
    <row r="959">
      <c r="A959" s="4" t="str">
        <f>VLOOKUP(L959,payment_ids!C:D,2,FALSE)</f>
        <v>pay_HO3s5d1NPSYYXR</v>
      </c>
      <c r="B959" s="4"/>
      <c r="C959" s="4" t="s">
        <v>680</v>
      </c>
      <c r="D959" s="4">
        <v>49835.0</v>
      </c>
      <c r="E959" s="5"/>
      <c r="F959" s="4">
        <v>1.0</v>
      </c>
      <c r="G959" s="4">
        <v>99.0</v>
      </c>
      <c r="H959" s="4"/>
      <c r="I959" s="4">
        <v>99.0</v>
      </c>
      <c r="J959" s="4" t="s">
        <v>3961</v>
      </c>
      <c r="K959" s="5">
        <f>+919894218797</f>
        <v>919894218797</v>
      </c>
      <c r="L959" s="4" t="str">
        <f t="shared" si="1"/>
        <v>sankaractive@gmail.com919894218797</v>
      </c>
      <c r="M959" s="10" t="s">
        <v>67</v>
      </c>
      <c r="N959" s="4" t="b">
        <v>0</v>
      </c>
      <c r="O959" s="4" t="str">
        <f>VLOOKUP(A959,payment_ids!D:E,2,FALSE)</f>
        <v>card</v>
      </c>
      <c r="P959" s="4" t="s">
        <v>69</v>
      </c>
      <c r="Q959" s="4" t="s">
        <v>3962</v>
      </c>
      <c r="R959" s="4"/>
      <c r="S959" s="12" t="s">
        <v>3888</v>
      </c>
      <c r="T959" s="4" t="s">
        <v>2444</v>
      </c>
      <c r="U959" s="4"/>
      <c r="V959" s="4"/>
      <c r="W959" s="4"/>
      <c r="X959" s="4"/>
      <c r="Y959" s="4"/>
      <c r="Z959" s="4"/>
      <c r="AA959" s="4"/>
      <c r="AB959" s="4"/>
      <c r="AC959" s="7"/>
      <c r="AD959" s="4"/>
      <c r="AE959" s="4"/>
      <c r="AF959" s="4"/>
      <c r="AG959" s="4"/>
      <c r="AH959" s="5"/>
      <c r="AI959" s="5"/>
      <c r="AJ959" s="5"/>
      <c r="AK959" s="5"/>
      <c r="AL959" s="5"/>
    </row>
    <row r="960">
      <c r="A960" s="4" t="str">
        <f>VLOOKUP(L960,payment_ids!C:D,2,FALSE)</f>
        <v>pay_HO5MVDV5zHNqDO</v>
      </c>
      <c r="B960" s="4"/>
      <c r="C960" s="4" t="s">
        <v>680</v>
      </c>
      <c r="D960" s="4">
        <v>49835.0</v>
      </c>
      <c r="E960" s="5"/>
      <c r="F960" s="4">
        <v>1.0</v>
      </c>
      <c r="G960" s="4">
        <v>99.0</v>
      </c>
      <c r="H960" s="4"/>
      <c r="I960" s="4">
        <v>99.0</v>
      </c>
      <c r="J960" s="4" t="s">
        <v>3963</v>
      </c>
      <c r="K960" s="5">
        <f>+918899970225</f>
        <v>918899970225</v>
      </c>
      <c r="L960" s="4" t="str">
        <f t="shared" si="1"/>
        <v>srkrahul2479@gmail.com918899970225</v>
      </c>
      <c r="M960" s="10" t="s">
        <v>67</v>
      </c>
      <c r="N960" s="4" t="b">
        <v>0</v>
      </c>
      <c r="O960" s="4" t="str">
        <f>VLOOKUP(A960,payment_ids!D:E,2,FALSE)</f>
        <v>upi</v>
      </c>
      <c r="P960" s="4" t="s">
        <v>69</v>
      </c>
      <c r="Q960" s="4" t="s">
        <v>3964</v>
      </c>
      <c r="R960" s="4"/>
      <c r="S960" s="12" t="s">
        <v>3888</v>
      </c>
      <c r="T960" s="4" t="s">
        <v>2444</v>
      </c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5"/>
      <c r="AI960" s="5"/>
      <c r="AJ960" s="5"/>
      <c r="AK960" s="5"/>
      <c r="AL960" s="5"/>
    </row>
    <row r="961">
      <c r="A961" s="4" t="str">
        <f>VLOOKUP(L961,payment_ids!C:D,2,FALSE)</f>
        <v>pay_HO8hId66hhJvjF</v>
      </c>
      <c r="B961" s="4"/>
      <c r="C961" s="4" t="s">
        <v>680</v>
      </c>
      <c r="D961" s="4">
        <v>49835.0</v>
      </c>
      <c r="E961" s="5"/>
      <c r="F961" s="4">
        <v>1.0</v>
      </c>
      <c r="G961" s="4">
        <v>99.0</v>
      </c>
      <c r="H961" s="4"/>
      <c r="I961" s="4">
        <v>99.0</v>
      </c>
      <c r="J961" s="4" t="s">
        <v>3965</v>
      </c>
      <c r="K961" s="5">
        <f>+919167423120</f>
        <v>919167423120</v>
      </c>
      <c r="L961" s="4" t="str">
        <f t="shared" si="1"/>
        <v>r2k.195@gmail.com919167423120</v>
      </c>
      <c r="M961" s="10" t="s">
        <v>67</v>
      </c>
      <c r="N961" s="4" t="b">
        <v>0</v>
      </c>
      <c r="O961" s="4" t="str">
        <f>VLOOKUP(A961,payment_ids!D:E,2,FALSE)</f>
        <v>wallet</v>
      </c>
      <c r="P961" s="4" t="s">
        <v>69</v>
      </c>
      <c r="Q961" s="4" t="s">
        <v>3966</v>
      </c>
      <c r="R961" s="4"/>
      <c r="S961" s="12" t="s">
        <v>3888</v>
      </c>
      <c r="T961" s="4" t="s">
        <v>2444</v>
      </c>
      <c r="U961" s="4"/>
      <c r="V961" s="4"/>
      <c r="W961" s="4"/>
      <c r="X961" s="4"/>
      <c r="Y961" s="4"/>
      <c r="Z961" s="4"/>
      <c r="AA961" s="4"/>
      <c r="AB961" s="4"/>
      <c r="AC961" s="7"/>
      <c r="AD961" s="4"/>
      <c r="AE961" s="4"/>
      <c r="AF961" s="4"/>
      <c r="AG961" s="4"/>
      <c r="AH961" s="5"/>
      <c r="AI961" s="5"/>
      <c r="AJ961" s="5"/>
      <c r="AK961" s="5"/>
      <c r="AL961" s="5"/>
    </row>
    <row r="962">
      <c r="A962" s="4" t="str">
        <f>VLOOKUP(L962,payment_ids!C:D,2,FALSE)</f>
        <v>pay_HOA0C4JWm7jSBL</v>
      </c>
      <c r="B962" s="4"/>
      <c r="C962" s="4" t="s">
        <v>680</v>
      </c>
      <c r="D962" s="4">
        <v>49835.0</v>
      </c>
      <c r="E962" s="5"/>
      <c r="F962" s="4">
        <v>3.0</v>
      </c>
      <c r="G962" s="4">
        <v>199.0</v>
      </c>
      <c r="H962" s="4"/>
      <c r="I962" s="4">
        <v>199.0</v>
      </c>
      <c r="J962" s="4" t="s">
        <v>3967</v>
      </c>
      <c r="K962" s="5">
        <f>+919902874858</f>
        <v>919902874858</v>
      </c>
      <c r="L962" s="4" t="str">
        <f t="shared" si="1"/>
        <v>swatisengar23@gmail.com919902874858</v>
      </c>
      <c r="M962" s="10" t="s">
        <v>67</v>
      </c>
      <c r="N962" s="4" t="b">
        <v>0</v>
      </c>
      <c r="O962" s="4" t="str">
        <f>VLOOKUP(A962,payment_ids!D:E,2,FALSE)</f>
        <v>card</v>
      </c>
      <c r="P962" s="4" t="s">
        <v>69</v>
      </c>
      <c r="Q962" s="4" t="s">
        <v>3968</v>
      </c>
      <c r="R962" s="4"/>
      <c r="S962" s="12" t="s">
        <v>3888</v>
      </c>
      <c r="T962" s="4" t="s">
        <v>2444</v>
      </c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5"/>
      <c r="AI962" s="5"/>
      <c r="AJ962" s="5"/>
      <c r="AK962" s="5"/>
      <c r="AL962" s="5"/>
    </row>
    <row r="963">
      <c r="A963" s="4" t="str">
        <f>VLOOKUP(L963,payment_ids!C:D,2,FALSE)</f>
        <v>pay_HOEEZ5ALNnWtyd</v>
      </c>
      <c r="B963" s="4"/>
      <c r="C963" s="4" t="s">
        <v>680</v>
      </c>
      <c r="D963" s="4">
        <v>49835.0</v>
      </c>
      <c r="E963" s="5"/>
      <c r="F963" s="4">
        <v>1.0</v>
      </c>
      <c r="G963" s="4">
        <v>99.0</v>
      </c>
      <c r="H963" s="4"/>
      <c r="I963" s="4">
        <v>99.0</v>
      </c>
      <c r="J963" s="4" t="s">
        <v>3969</v>
      </c>
      <c r="K963" s="5">
        <f>+918057130789</f>
        <v>918057130789</v>
      </c>
      <c r="L963" s="4" t="str">
        <f t="shared" si="1"/>
        <v>rajraghu0131@gmail.com918057130789</v>
      </c>
      <c r="M963" s="10" t="s">
        <v>67</v>
      </c>
      <c r="N963" s="4" t="b">
        <v>0</v>
      </c>
      <c r="O963" s="4" t="str">
        <f>VLOOKUP(A963,payment_ids!D:E,2,FALSE)</f>
        <v>upi</v>
      </c>
      <c r="P963" s="4" t="s">
        <v>69</v>
      </c>
      <c r="Q963" s="4" t="s">
        <v>3970</v>
      </c>
      <c r="R963" s="4"/>
      <c r="S963" s="12" t="s">
        <v>3888</v>
      </c>
      <c r="T963" s="4" t="s">
        <v>2444</v>
      </c>
      <c r="U963" s="4"/>
      <c r="V963" s="4"/>
      <c r="W963" s="4"/>
      <c r="X963" s="4"/>
      <c r="Y963" s="4"/>
      <c r="Z963" s="4"/>
      <c r="AA963" s="4"/>
      <c r="AB963" s="4"/>
      <c r="AC963" s="7"/>
      <c r="AD963" s="4"/>
      <c r="AE963" s="4"/>
      <c r="AF963" s="4"/>
      <c r="AG963" s="4"/>
      <c r="AH963" s="5"/>
      <c r="AI963" s="5"/>
      <c r="AJ963" s="5"/>
      <c r="AK963" s="5"/>
      <c r="AL963" s="5"/>
    </row>
    <row r="964">
      <c r="A964" s="4" t="str">
        <f>VLOOKUP(L964,payment_ids!C:D,2,FALSE)</f>
        <v>pay_HOlGVt3LXbXUHb</v>
      </c>
      <c r="B964" s="4"/>
      <c r="C964" s="4" t="s">
        <v>680</v>
      </c>
      <c r="D964" s="4">
        <v>49835.0</v>
      </c>
      <c r="E964" s="5"/>
      <c r="F964" s="4">
        <v>1.0</v>
      </c>
      <c r="G964" s="4">
        <v>99.0</v>
      </c>
      <c r="H964" s="4"/>
      <c r="I964" s="4">
        <v>99.0</v>
      </c>
      <c r="J964" s="4" t="s">
        <v>3971</v>
      </c>
      <c r="K964" s="5">
        <f>+919728399128</f>
        <v>919728399128</v>
      </c>
      <c r="L964" s="4" t="str">
        <f t="shared" si="1"/>
        <v>gaurav.kumar2128@gmail.com919728399128</v>
      </c>
      <c r="M964" s="10" t="s">
        <v>67</v>
      </c>
      <c r="N964" s="4" t="b">
        <v>0</v>
      </c>
      <c r="O964" s="4" t="str">
        <f>VLOOKUP(A964,payment_ids!D:E,2,FALSE)</f>
        <v>upi</v>
      </c>
      <c r="P964" s="4" t="s">
        <v>69</v>
      </c>
      <c r="Q964" s="4" t="s">
        <v>3972</v>
      </c>
      <c r="R964" s="4"/>
      <c r="S964" s="12" t="s">
        <v>3888</v>
      </c>
      <c r="T964" s="4" t="s">
        <v>2444</v>
      </c>
      <c r="U964" s="4"/>
      <c r="V964" s="4"/>
      <c r="W964" s="4"/>
      <c r="X964" s="4"/>
      <c r="Y964" s="4"/>
      <c r="Z964" s="4"/>
      <c r="AA964" s="4"/>
      <c r="AB964" s="4"/>
      <c r="AC964" s="7"/>
      <c r="AD964" s="4"/>
      <c r="AE964" s="4"/>
      <c r="AF964" s="4"/>
      <c r="AG964" s="4"/>
      <c r="AH964" s="5"/>
      <c r="AI964" s="5"/>
      <c r="AJ964" s="5"/>
      <c r="AK964" s="5"/>
      <c r="AL964" s="5"/>
    </row>
    <row r="965">
      <c r="A965" s="4" t="str">
        <f>VLOOKUP(L965,payment_ids!C:D,2,FALSE)</f>
        <v>pay_HOtuJy2pDHey5w</v>
      </c>
      <c r="B965" s="4"/>
      <c r="C965" s="4" t="s">
        <v>680</v>
      </c>
      <c r="D965" s="4">
        <v>49835.0</v>
      </c>
      <c r="E965" s="5"/>
      <c r="F965" s="4">
        <v>1.0</v>
      </c>
      <c r="G965" s="4">
        <v>99.0</v>
      </c>
      <c r="H965" s="4"/>
      <c r="I965" s="4">
        <v>99.0</v>
      </c>
      <c r="J965" s="4" t="s">
        <v>3973</v>
      </c>
      <c r="K965" s="5">
        <f>+918121507601</f>
        <v>918121507601</v>
      </c>
      <c r="L965" s="4" t="str">
        <f t="shared" si="1"/>
        <v>bharadwaj175@gmail.com918121507601</v>
      </c>
      <c r="M965" s="10" t="s">
        <v>67</v>
      </c>
      <c r="N965" s="4" t="b">
        <v>0</v>
      </c>
      <c r="O965" s="4" t="str">
        <f>VLOOKUP(A965,payment_ids!D:E,2,FALSE)</f>
        <v>upi</v>
      </c>
      <c r="P965" s="4" t="s">
        <v>69</v>
      </c>
      <c r="Q965" s="4" t="s">
        <v>3974</v>
      </c>
      <c r="R965" s="4"/>
      <c r="S965" s="12" t="s">
        <v>3888</v>
      </c>
      <c r="T965" s="4" t="s">
        <v>2444</v>
      </c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5"/>
      <c r="AI965" s="5"/>
      <c r="AJ965" s="5"/>
      <c r="AK965" s="5"/>
      <c r="AL965" s="5"/>
    </row>
    <row r="966">
      <c r="A966" s="4" t="str">
        <f>VLOOKUP(L966,payment_ids!C:D,2,FALSE)</f>
        <v>pay_HPnBpCVVjMt8aK</v>
      </c>
      <c r="B966" s="4"/>
      <c r="C966" s="4" t="s">
        <v>680</v>
      </c>
      <c r="D966" s="4">
        <v>49835.0</v>
      </c>
      <c r="E966" s="5"/>
      <c r="F966" s="4">
        <v>1.0</v>
      </c>
      <c r="G966" s="4">
        <v>99.0</v>
      </c>
      <c r="H966" s="4"/>
      <c r="I966" s="4">
        <v>99.0</v>
      </c>
      <c r="J966" s="4" t="s">
        <v>3975</v>
      </c>
      <c r="K966" s="5">
        <f>+918088880866</f>
        <v>918088880866</v>
      </c>
      <c r="L966" s="4" t="str">
        <f t="shared" si="1"/>
        <v>anoop9007@gmail.com918088880866</v>
      </c>
      <c r="M966" s="10" t="s">
        <v>67</v>
      </c>
      <c r="N966" s="4" t="b">
        <v>0</v>
      </c>
      <c r="O966" s="4" t="str">
        <f>VLOOKUP(A966,payment_ids!D:E,2,FALSE)</f>
        <v>upi</v>
      </c>
      <c r="P966" s="4" t="s">
        <v>69</v>
      </c>
      <c r="Q966" s="4" t="s">
        <v>3976</v>
      </c>
      <c r="R966" s="4"/>
      <c r="S966" s="12" t="s">
        <v>3888</v>
      </c>
      <c r="T966" s="4" t="s">
        <v>2444</v>
      </c>
      <c r="U966" s="4"/>
      <c r="V966" s="4"/>
      <c r="W966" s="4"/>
      <c r="X966" s="4"/>
      <c r="Y966" s="4"/>
      <c r="Z966" s="4"/>
      <c r="AA966" s="4"/>
      <c r="AB966" s="4"/>
      <c r="AC966" s="7"/>
      <c r="AD966" s="4"/>
      <c r="AE966" s="4"/>
      <c r="AF966" s="4"/>
      <c r="AG966" s="4"/>
      <c r="AH966" s="5"/>
      <c r="AI966" s="5"/>
      <c r="AJ966" s="5"/>
      <c r="AK966" s="5"/>
      <c r="AL966" s="5"/>
    </row>
    <row r="967">
      <c r="A967" s="4" t="str">
        <f>VLOOKUP(L967,payment_ids!C:D,2,FALSE)</f>
        <v>pay_HFZmTRAoEVhHle</v>
      </c>
      <c r="B967" s="4"/>
      <c r="C967" s="4" t="s">
        <v>680</v>
      </c>
      <c r="D967" s="4">
        <v>49835.0</v>
      </c>
      <c r="E967" s="5"/>
      <c r="F967" s="4">
        <v>3.0</v>
      </c>
      <c r="G967" s="4">
        <v>199.0</v>
      </c>
      <c r="H967" s="4"/>
      <c r="I967" s="4">
        <v>199.0</v>
      </c>
      <c r="J967" s="4" t="s">
        <v>374</v>
      </c>
      <c r="K967" s="5">
        <f>+918454085091</f>
        <v>918454085091</v>
      </c>
      <c r="L967" s="4" t="str">
        <f t="shared" si="1"/>
        <v>satish37.tripathi@gmail.com918454085091</v>
      </c>
      <c r="M967" s="10" t="s">
        <v>67</v>
      </c>
      <c r="N967" s="4" t="b">
        <v>0</v>
      </c>
      <c r="O967" s="4" t="str">
        <f>VLOOKUP(A967,payment_ids!D:E,2,FALSE)</f>
        <v>upi</v>
      </c>
      <c r="P967" s="4" t="s">
        <v>69</v>
      </c>
      <c r="Q967" s="4" t="s">
        <v>3977</v>
      </c>
      <c r="R967" s="4"/>
      <c r="S967" s="12" t="s">
        <v>3888</v>
      </c>
      <c r="T967" s="4" t="s">
        <v>2444</v>
      </c>
      <c r="U967" s="4"/>
      <c r="V967" s="4"/>
      <c r="W967" s="4"/>
      <c r="X967" s="4"/>
      <c r="Y967" s="4"/>
      <c r="Z967" s="4"/>
      <c r="AA967" s="4"/>
      <c r="AB967" s="4"/>
      <c r="AC967" s="7"/>
      <c r="AD967" s="4"/>
      <c r="AE967" s="4"/>
      <c r="AF967" s="4"/>
      <c r="AG967" s="4"/>
      <c r="AH967" s="5"/>
      <c r="AI967" s="5"/>
      <c r="AJ967" s="5"/>
      <c r="AK967" s="5"/>
      <c r="AL967" s="5"/>
    </row>
    <row r="968">
      <c r="A968" s="4" t="str">
        <f>VLOOKUP(L968,payment_ids!C:D,2,FALSE)</f>
        <v>pay_HFOkYj1E3PVRLR</v>
      </c>
      <c r="B968" s="4"/>
      <c r="C968" s="4" t="s">
        <v>3978</v>
      </c>
      <c r="D968" s="4">
        <v>50091.0</v>
      </c>
      <c r="E968" s="5"/>
      <c r="F968" s="4">
        <v>1.0</v>
      </c>
      <c r="G968" s="4">
        <v>99.0</v>
      </c>
      <c r="H968" s="4"/>
      <c r="I968" s="4">
        <v>99.0</v>
      </c>
      <c r="J968" s="4" t="s">
        <v>3979</v>
      </c>
      <c r="K968" s="5">
        <f>+919842455555</f>
        <v>919842455555</v>
      </c>
      <c r="L968" s="4" t="str">
        <f t="shared" si="1"/>
        <v>srukanthkavi@gmail.com919842455555</v>
      </c>
      <c r="M968" s="10" t="s">
        <v>67</v>
      </c>
      <c r="N968" s="4" t="b">
        <v>0</v>
      </c>
      <c r="O968" s="4" t="str">
        <f>VLOOKUP(A968,payment_ids!D:E,2,FALSE)</f>
        <v>card</v>
      </c>
      <c r="P968" s="4" t="s">
        <v>69</v>
      </c>
      <c r="Q968" s="4" t="s">
        <v>3980</v>
      </c>
      <c r="R968" s="4"/>
      <c r="S968" s="12" t="s">
        <v>3981</v>
      </c>
      <c r="T968" s="5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5"/>
      <c r="AI968" s="5"/>
      <c r="AJ968" s="5"/>
      <c r="AK968" s="5"/>
      <c r="AL968" s="5"/>
    </row>
    <row r="969">
      <c r="A969" s="4" t="str">
        <f>VLOOKUP(L969,payment_ids!C:D,2,FALSE)</f>
        <v>pay_HFmlt4MmQS3jhs</v>
      </c>
      <c r="B969" s="4"/>
      <c r="C969" s="4" t="s">
        <v>3978</v>
      </c>
      <c r="D969" s="4">
        <v>50091.0</v>
      </c>
      <c r="E969" s="5"/>
      <c r="F969" s="4">
        <v>1.0</v>
      </c>
      <c r="G969" s="4">
        <v>99.0</v>
      </c>
      <c r="H969" s="4"/>
      <c r="I969" s="4">
        <v>99.0</v>
      </c>
      <c r="J969" s="4" t="s">
        <v>3982</v>
      </c>
      <c r="K969" s="5">
        <f>+916380479069</f>
        <v>916380479069</v>
      </c>
      <c r="L969" s="4" t="str">
        <f t="shared" si="1"/>
        <v>kvanamurthy@gmail.com916380479069</v>
      </c>
      <c r="M969" s="10" t="s">
        <v>67</v>
      </c>
      <c r="N969" s="4" t="b">
        <v>0</v>
      </c>
      <c r="O969" s="4" t="str">
        <f>VLOOKUP(A969,payment_ids!D:E,2,FALSE)</f>
        <v>upi</v>
      </c>
      <c r="P969" s="4" t="s">
        <v>69</v>
      </c>
      <c r="Q969" s="4" t="s">
        <v>3983</v>
      </c>
      <c r="R969" s="4"/>
      <c r="S969" s="12" t="s">
        <v>3981</v>
      </c>
      <c r="T969" s="5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5"/>
      <c r="AI969" s="5"/>
      <c r="AJ969" s="5"/>
      <c r="AK969" s="5"/>
      <c r="AL969" s="5"/>
    </row>
    <row r="970">
      <c r="A970" s="4" t="str">
        <f>VLOOKUP(L970,payment_ids!C:D,2,FALSE)</f>
        <v>pay_HGPWCV3l66UIAC</v>
      </c>
      <c r="B970" s="4"/>
      <c r="C970" s="4" t="s">
        <v>3978</v>
      </c>
      <c r="D970" s="4">
        <v>50091.0</v>
      </c>
      <c r="E970" s="5"/>
      <c r="F970" s="4">
        <v>1.0</v>
      </c>
      <c r="G970" s="4">
        <v>99.0</v>
      </c>
      <c r="H970" s="4"/>
      <c r="I970" s="4">
        <v>99.0</v>
      </c>
      <c r="J970" s="4" t="s">
        <v>3984</v>
      </c>
      <c r="K970" s="5">
        <f>+919930963908</f>
        <v>919930963908</v>
      </c>
      <c r="L970" s="4" t="str">
        <f t="shared" si="1"/>
        <v>tanuswany@yahoo.com919930963908</v>
      </c>
      <c r="M970" s="10" t="s">
        <v>67</v>
      </c>
      <c r="N970" s="4" t="b">
        <v>0</v>
      </c>
      <c r="O970" s="4" t="str">
        <f>VLOOKUP(A970,payment_ids!D:E,2,FALSE)</f>
        <v>card</v>
      </c>
      <c r="P970" s="4" t="s">
        <v>69</v>
      </c>
      <c r="Q970" s="4" t="s">
        <v>3985</v>
      </c>
      <c r="R970" s="4"/>
      <c r="S970" s="12" t="s">
        <v>3981</v>
      </c>
      <c r="T970" s="5"/>
      <c r="U970" s="4"/>
      <c r="V970" s="4"/>
      <c r="W970" s="4"/>
      <c r="X970" s="4"/>
      <c r="Y970" s="4"/>
      <c r="Z970" s="4"/>
      <c r="AA970" s="4"/>
      <c r="AB970" s="4"/>
      <c r="AC970" s="7"/>
      <c r="AD970" s="4"/>
      <c r="AE970" s="4"/>
      <c r="AF970" s="4"/>
      <c r="AG970" s="4"/>
      <c r="AH970" s="5"/>
      <c r="AI970" s="5"/>
      <c r="AJ970" s="5"/>
      <c r="AK970" s="5"/>
      <c r="AL970" s="5"/>
    </row>
    <row r="971">
      <c r="A971" s="4" t="str">
        <f>VLOOKUP(L971,payment_ids!C:D,2,FALSE)</f>
        <v>pay_HDNsv5VFQpEZu3</v>
      </c>
      <c r="B971" s="4"/>
      <c r="C971" s="4" t="s">
        <v>3986</v>
      </c>
      <c r="D971" s="4">
        <v>50086.0</v>
      </c>
      <c r="E971" s="4"/>
      <c r="F971" s="4">
        <v>3.0</v>
      </c>
      <c r="G971" s="4">
        <v>599.0</v>
      </c>
      <c r="H971" s="4"/>
      <c r="I971" s="4">
        <v>599.0</v>
      </c>
      <c r="J971" s="4" t="s">
        <v>3987</v>
      </c>
      <c r="K971" s="6">
        <f>+918866669652</f>
        <v>918866669652</v>
      </c>
      <c r="L971" s="4" t="str">
        <f t="shared" si="1"/>
        <v>mayank.tomarvk@gmail.com918866669652</v>
      </c>
      <c r="M971" s="10" t="s">
        <v>67</v>
      </c>
      <c r="N971" s="4" t="b">
        <v>0</v>
      </c>
      <c r="O971" s="4" t="str">
        <f>VLOOKUP(A971,payment_ids!D:E,2,FALSE)</f>
        <v>card</v>
      </c>
      <c r="P971" s="4" t="s">
        <v>69</v>
      </c>
      <c r="Q971" s="4" t="s">
        <v>2808</v>
      </c>
      <c r="R971" s="4"/>
      <c r="S971" s="12" t="s">
        <v>3988</v>
      </c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5"/>
      <c r="AI971" s="5"/>
      <c r="AJ971" s="5"/>
      <c r="AK971" s="5"/>
      <c r="AL971" s="5"/>
    </row>
    <row r="972">
      <c r="A972" s="4" t="str">
        <f>VLOOKUP(L972,payment_ids!C:D,2,FALSE)</f>
        <v>pay_HG8NHlCJqveJr3</v>
      </c>
      <c r="B972" s="4"/>
      <c r="C972" s="4" t="s">
        <v>3986</v>
      </c>
      <c r="D972" s="4">
        <v>50086.0</v>
      </c>
      <c r="E972" s="5"/>
      <c r="F972" s="4">
        <v>3.0</v>
      </c>
      <c r="G972" s="4">
        <v>599.0</v>
      </c>
      <c r="H972" s="4"/>
      <c r="I972" s="4">
        <v>599.0</v>
      </c>
      <c r="J972" s="4" t="s">
        <v>3989</v>
      </c>
      <c r="K972" s="5">
        <f>+918885883929</f>
        <v>918885883929</v>
      </c>
      <c r="L972" s="4" t="str">
        <f t="shared" si="1"/>
        <v>sisintyvaibhav@gmail.com918885883929</v>
      </c>
      <c r="M972" s="10" t="s">
        <v>67</v>
      </c>
      <c r="N972" s="4" t="b">
        <v>0</v>
      </c>
      <c r="O972" s="4" t="str">
        <f>VLOOKUP(A972,payment_ids!D:E,2,FALSE)</f>
        <v>upi</v>
      </c>
      <c r="P972" s="4" t="s">
        <v>69</v>
      </c>
      <c r="Q972" s="4" t="s">
        <v>3990</v>
      </c>
      <c r="R972" s="4"/>
      <c r="S972" s="12" t="s">
        <v>3988</v>
      </c>
      <c r="T972" s="5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5"/>
      <c r="AI972" s="5"/>
      <c r="AJ972" s="5"/>
      <c r="AK972" s="5"/>
      <c r="AL972" s="5"/>
    </row>
    <row r="973">
      <c r="A973" s="4" t="str">
        <f>VLOOKUP(L973,payment_ids!C:D,2,FALSE)</f>
        <v>pay_HHk9Pv48cRTz8q</v>
      </c>
      <c r="B973" s="4"/>
      <c r="C973" s="4" t="s">
        <v>3986</v>
      </c>
      <c r="D973" s="4">
        <v>50086.0</v>
      </c>
      <c r="E973" s="5"/>
      <c r="F973" s="4">
        <v>1.0</v>
      </c>
      <c r="G973" s="4">
        <v>249.0</v>
      </c>
      <c r="H973" s="4"/>
      <c r="I973" s="4">
        <v>249.0</v>
      </c>
      <c r="J973" s="4" t="s">
        <v>3991</v>
      </c>
      <c r="K973" s="5">
        <f>+919870000144</f>
        <v>919870000144</v>
      </c>
      <c r="L973" s="4" t="str">
        <f t="shared" si="1"/>
        <v>prashanttrupani@yahoo.com919870000144</v>
      </c>
      <c r="M973" s="10" t="s">
        <v>67</v>
      </c>
      <c r="N973" s="4" t="b">
        <v>0</v>
      </c>
      <c r="O973" s="4" t="str">
        <f>VLOOKUP(A973,payment_ids!D:E,2,FALSE)</f>
        <v>card</v>
      </c>
      <c r="P973" s="4" t="s">
        <v>69</v>
      </c>
      <c r="Q973" s="11">
        <v>44202.618055555555</v>
      </c>
      <c r="R973" s="4"/>
      <c r="S973" s="12" t="s">
        <v>3988</v>
      </c>
      <c r="T973" s="5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5"/>
      <c r="AI973" s="5"/>
      <c r="AJ973" s="5"/>
      <c r="AK973" s="5"/>
      <c r="AL973" s="5"/>
    </row>
    <row r="974">
      <c r="A974" s="4" t="str">
        <f>VLOOKUP(L974,payment_ids!C:D,2,FALSE)</f>
        <v>pay_HHmFhbzkoqXDjP</v>
      </c>
      <c r="B974" s="4"/>
      <c r="C974" s="4" t="s">
        <v>3986</v>
      </c>
      <c r="D974" s="4">
        <v>50086.0</v>
      </c>
      <c r="E974" s="5"/>
      <c r="F974" s="4">
        <v>1.0</v>
      </c>
      <c r="G974" s="4">
        <v>249.0</v>
      </c>
      <c r="H974" s="4"/>
      <c r="I974" s="4">
        <v>249.0</v>
      </c>
      <c r="J974" s="4" t="s">
        <v>3992</v>
      </c>
      <c r="K974" s="5">
        <f>+919867944988</f>
        <v>919867944988</v>
      </c>
      <c r="L974" s="4" t="str">
        <f t="shared" si="1"/>
        <v>kripi46@gmail.com919867944988</v>
      </c>
      <c r="M974" s="10" t="s">
        <v>67</v>
      </c>
      <c r="N974" s="4" t="b">
        <v>0</v>
      </c>
      <c r="O974" s="4" t="str">
        <f>VLOOKUP(A974,payment_ids!D:E,2,FALSE)</f>
        <v>card</v>
      </c>
      <c r="P974" s="4" t="s">
        <v>69</v>
      </c>
      <c r="Q974" s="11">
        <v>44202.70347222222</v>
      </c>
      <c r="R974" s="4"/>
      <c r="S974" s="12" t="s">
        <v>3988</v>
      </c>
      <c r="T974" s="5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5"/>
      <c r="AI974" s="5"/>
      <c r="AJ974" s="5"/>
      <c r="AK974" s="5"/>
      <c r="AL974" s="5"/>
    </row>
    <row r="975">
      <c r="A975" s="4" t="str">
        <f>VLOOKUP(L975,payment_ids!C:D,2,FALSE)</f>
        <v>pay_HIdiW1LDVtjSbq</v>
      </c>
      <c r="B975" s="4"/>
      <c r="C975" s="4" t="s">
        <v>3986</v>
      </c>
      <c r="D975" s="4">
        <v>50086.0</v>
      </c>
      <c r="E975" s="5"/>
      <c r="F975" s="4">
        <v>1.0</v>
      </c>
      <c r="G975" s="4">
        <v>249.0</v>
      </c>
      <c r="H975" s="4"/>
      <c r="I975" s="4">
        <v>249.0</v>
      </c>
      <c r="J975" s="4" t="s">
        <v>3993</v>
      </c>
      <c r="K975" s="5">
        <f>+918072741848</f>
        <v>918072741848</v>
      </c>
      <c r="L975" s="4" t="str">
        <f t="shared" si="1"/>
        <v>pavithran7777@gmail.com918072741848</v>
      </c>
      <c r="M975" s="10" t="s">
        <v>67</v>
      </c>
      <c r="N975" s="4" t="b">
        <v>0</v>
      </c>
      <c r="O975" s="4" t="str">
        <f>VLOOKUP(A975,payment_ids!D:E,2,FALSE)</f>
        <v>upi</v>
      </c>
      <c r="P975" s="4" t="s">
        <v>69</v>
      </c>
      <c r="Q975" s="11">
        <v>44261.88263888889</v>
      </c>
      <c r="R975" s="4"/>
      <c r="S975" s="12" t="s">
        <v>3988</v>
      </c>
      <c r="T975" s="5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5"/>
      <c r="AI975" s="5"/>
      <c r="AJ975" s="5"/>
      <c r="AK975" s="5"/>
      <c r="AL975" s="5"/>
    </row>
    <row r="976">
      <c r="A976" s="4" t="str">
        <f>VLOOKUP(L976,payment_ids!C:D,2,FALSE)</f>
        <v>pay_HJPGtpgnz034JK</v>
      </c>
      <c r="B976" s="4"/>
      <c r="C976" s="4" t="s">
        <v>3986</v>
      </c>
      <c r="D976" s="4">
        <v>50086.0</v>
      </c>
      <c r="E976" s="5"/>
      <c r="F976" s="4">
        <v>1.0</v>
      </c>
      <c r="G976" s="4">
        <v>249.0</v>
      </c>
      <c r="H976" s="4"/>
      <c r="I976" s="4">
        <v>249.0</v>
      </c>
      <c r="J976" s="4" t="s">
        <v>3994</v>
      </c>
      <c r="K976" s="5">
        <f>+919565555592</f>
        <v>919565555592</v>
      </c>
      <c r="L976" s="4" t="str">
        <f t="shared" si="1"/>
        <v>tarunchaudhary30.tc@gmail.com919565555592</v>
      </c>
      <c r="M976" s="10" t="s">
        <v>67</v>
      </c>
      <c r="N976" s="4" t="b">
        <v>0</v>
      </c>
      <c r="O976" s="4" t="str">
        <f>VLOOKUP(A976,payment_ids!D:E,2,FALSE)</f>
        <v>upi</v>
      </c>
      <c r="P976" s="4" t="s">
        <v>69</v>
      </c>
      <c r="Q976" s="11">
        <v>44322.82083333333</v>
      </c>
      <c r="R976" s="4"/>
      <c r="S976" s="12" t="s">
        <v>3988</v>
      </c>
      <c r="T976" s="5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5"/>
      <c r="AI976" s="5"/>
      <c r="AJ976" s="5"/>
      <c r="AK976" s="5"/>
      <c r="AL976" s="5"/>
    </row>
    <row r="977">
      <c r="A977" s="4" t="str">
        <f>VLOOKUP(L977,payment_ids!C:D,2,FALSE)</f>
        <v>pay_HKClL6BNpoWZjy</v>
      </c>
      <c r="B977" s="4"/>
      <c r="C977" s="4" t="s">
        <v>3986</v>
      </c>
      <c r="D977" s="4">
        <v>50086.0</v>
      </c>
      <c r="E977" s="5"/>
      <c r="F977" s="4">
        <v>1.0</v>
      </c>
      <c r="G977" s="4">
        <v>249.0</v>
      </c>
      <c r="H977" s="4"/>
      <c r="I977" s="4">
        <v>249.0</v>
      </c>
      <c r="J977" s="4" t="s">
        <v>3995</v>
      </c>
      <c r="K977" s="5">
        <f>+918007939553</f>
        <v>918007939553</v>
      </c>
      <c r="L977" s="4" t="str">
        <f t="shared" si="1"/>
        <v>avinashrox@gmail.com918007939553</v>
      </c>
      <c r="M977" s="10" t="s">
        <v>67</v>
      </c>
      <c r="N977" s="4" t="b">
        <v>0</v>
      </c>
      <c r="O977" s="4" t="str">
        <f>VLOOKUP(A977,payment_ids!D:E,2,FALSE)</f>
        <v>upi</v>
      </c>
      <c r="P977" s="4" t="s">
        <v>69</v>
      </c>
      <c r="Q977" s="11">
        <v>44383.83888888889</v>
      </c>
      <c r="R977" s="4"/>
      <c r="S977" s="12" t="s">
        <v>3988</v>
      </c>
      <c r="T977" s="5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5"/>
      <c r="AI977" s="5"/>
      <c r="AJ977" s="5"/>
      <c r="AK977" s="5"/>
      <c r="AL977" s="5"/>
    </row>
    <row r="978">
      <c r="A978" s="4" t="str">
        <f>VLOOKUP(L978,payment_ids!C:D,2,FALSE)</f>
        <v>pay_HKxMC5r25RaIzv</v>
      </c>
      <c r="B978" s="4"/>
      <c r="C978" s="4" t="s">
        <v>3986</v>
      </c>
      <c r="D978" s="4">
        <v>50086.0</v>
      </c>
      <c r="E978" s="5"/>
      <c r="F978" s="4">
        <v>1.0</v>
      </c>
      <c r="G978" s="4">
        <v>249.0</v>
      </c>
      <c r="H978" s="4"/>
      <c r="I978" s="4">
        <v>249.0</v>
      </c>
      <c r="J978" s="4" t="s">
        <v>3996</v>
      </c>
      <c r="K978" s="5">
        <f>+919900511779</f>
        <v>919900511779</v>
      </c>
      <c r="L978" s="4" t="str">
        <f t="shared" si="1"/>
        <v>asmita1617@gmail.com919900511779</v>
      </c>
      <c r="M978" s="10" t="s">
        <v>67</v>
      </c>
      <c r="N978" s="4" t="b">
        <v>0</v>
      </c>
      <c r="O978" s="4" t="str">
        <f>VLOOKUP(A978,payment_ids!D:E,2,FALSE)</f>
        <v>netbanking</v>
      </c>
      <c r="P978" s="4" t="s">
        <v>69</v>
      </c>
      <c r="Q978" s="11">
        <v>44445.739583333336</v>
      </c>
      <c r="R978" s="4"/>
      <c r="S978" s="12" t="s">
        <v>3988</v>
      </c>
      <c r="T978" s="4" t="s">
        <v>2444</v>
      </c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5"/>
      <c r="AI978" s="5"/>
      <c r="AJ978" s="5"/>
      <c r="AK978" s="5"/>
      <c r="AL978" s="5"/>
    </row>
    <row r="979">
      <c r="A979" s="4" t="str">
        <f>VLOOKUP(L979,payment_ids!C:D,2,FALSE)</f>
        <v>pay_HKyjWLxDQGqT7D</v>
      </c>
      <c r="B979" s="4"/>
      <c r="C979" s="4" t="s">
        <v>3986</v>
      </c>
      <c r="D979" s="4">
        <v>50086.0</v>
      </c>
      <c r="E979" s="5"/>
      <c r="F979" s="4">
        <v>6.0</v>
      </c>
      <c r="G979" s="4">
        <v>999.0</v>
      </c>
      <c r="H979" s="4"/>
      <c r="I979" s="4">
        <v>999.0</v>
      </c>
      <c r="J979" s="4" t="s">
        <v>3997</v>
      </c>
      <c r="K979" s="5">
        <f>+244932825465</f>
        <v>244932825465</v>
      </c>
      <c r="L979" s="4" t="str">
        <f t="shared" si="1"/>
        <v>pisturoxan@gmail.com244932825465</v>
      </c>
      <c r="M979" s="10" t="s">
        <v>67</v>
      </c>
      <c r="N979" s="4" t="b">
        <v>0</v>
      </c>
      <c r="O979" s="4" t="str">
        <f>VLOOKUP(A979,payment_ids!D:E,2,FALSE)</f>
        <v>upi</v>
      </c>
      <c r="P979" s="4" t="s">
        <v>69</v>
      </c>
      <c r="Q979" s="11">
        <v>44445.79375</v>
      </c>
      <c r="R979" s="4"/>
      <c r="S979" s="12" t="s">
        <v>3988</v>
      </c>
      <c r="T979" s="4" t="s">
        <v>2444</v>
      </c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5"/>
      <c r="AI979" s="5"/>
      <c r="AJ979" s="5"/>
      <c r="AK979" s="5"/>
      <c r="AL979" s="5"/>
    </row>
    <row r="980">
      <c r="A980" s="4" t="str">
        <f>VLOOKUP(L980,payment_ids!C:D,2,FALSE)</f>
        <v>pay_HLKOpABDCqpRbS</v>
      </c>
      <c r="B980" s="4"/>
      <c r="C980" s="4" t="s">
        <v>3986</v>
      </c>
      <c r="D980" s="4">
        <v>50086.0</v>
      </c>
      <c r="E980" s="5"/>
      <c r="F980" s="4">
        <v>1.0</v>
      </c>
      <c r="G980" s="4">
        <v>249.0</v>
      </c>
      <c r="H980" s="4"/>
      <c r="I980" s="4">
        <v>249.0</v>
      </c>
      <c r="J980" s="4" t="s">
        <v>3998</v>
      </c>
      <c r="K980" s="5">
        <f>+919673179970</f>
        <v>919673179970</v>
      </c>
      <c r="L980" s="4" t="str">
        <f t="shared" si="1"/>
        <v>05poojapatil@gmail.com919673179970</v>
      </c>
      <c r="M980" s="10" t="s">
        <v>67</v>
      </c>
      <c r="N980" s="4" t="b">
        <v>0</v>
      </c>
      <c r="O980" s="4" t="str">
        <f>VLOOKUP(A980,payment_ids!D:E,2,FALSE)</f>
        <v>upi</v>
      </c>
      <c r="P980" s="4" t="s">
        <v>69</v>
      </c>
      <c r="Q980" s="11">
        <v>44475.67638888889</v>
      </c>
      <c r="R980" s="4"/>
      <c r="S980" s="12" t="s">
        <v>3988</v>
      </c>
      <c r="T980" s="4" t="s">
        <v>2444</v>
      </c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5"/>
      <c r="AI980" s="5"/>
      <c r="AJ980" s="5"/>
      <c r="AK980" s="5"/>
      <c r="AL980" s="5"/>
    </row>
    <row r="981">
      <c r="A981" s="4" t="str">
        <f>VLOOKUP(L981,payment_ids!C:D,2,FALSE)</f>
        <v>pay_HLRYyeMVWPGAzA</v>
      </c>
      <c r="B981" s="4"/>
      <c r="C981" s="4" t="s">
        <v>3986</v>
      </c>
      <c r="D981" s="4">
        <v>50086.0</v>
      </c>
      <c r="E981" s="5"/>
      <c r="F981" s="4">
        <v>1.0</v>
      </c>
      <c r="G981" s="4">
        <v>249.0</v>
      </c>
      <c r="H981" s="4"/>
      <c r="I981" s="4">
        <v>249.0</v>
      </c>
      <c r="J981" s="4" t="s">
        <v>3999</v>
      </c>
      <c r="K981" s="5">
        <f>+919871330327</f>
        <v>919871330327</v>
      </c>
      <c r="L981" s="4" t="str">
        <f t="shared" si="1"/>
        <v>ankita.dasgupta04@gmail.com919871330327</v>
      </c>
      <c r="M981" s="10" t="s">
        <v>67</v>
      </c>
      <c r="N981" s="4" t="b">
        <v>0</v>
      </c>
      <c r="O981" s="4" t="str">
        <f>VLOOKUP(A981,payment_ids!D:E,2,FALSE)</f>
        <v>upi</v>
      </c>
      <c r="P981" s="4" t="s">
        <v>69</v>
      </c>
      <c r="Q981" s="11">
        <v>44475.96875</v>
      </c>
      <c r="R981" s="4"/>
      <c r="S981" s="12" t="s">
        <v>3988</v>
      </c>
      <c r="T981" s="4" t="s">
        <v>2444</v>
      </c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5"/>
      <c r="AI981" s="5"/>
      <c r="AJ981" s="5"/>
      <c r="AK981" s="5"/>
      <c r="AL981" s="5"/>
    </row>
    <row r="982">
      <c r="A982" s="4" t="str">
        <f>VLOOKUP(L982,payment_ids!C:D,2,FALSE)</f>
        <v>pay_HLYmJngs1tlQHF</v>
      </c>
      <c r="B982" s="4"/>
      <c r="C982" s="4" t="s">
        <v>3986</v>
      </c>
      <c r="D982" s="4">
        <v>50086.0</v>
      </c>
      <c r="E982" s="5"/>
      <c r="F982" s="4">
        <v>1.0</v>
      </c>
      <c r="G982" s="4">
        <v>249.0</v>
      </c>
      <c r="H982" s="4"/>
      <c r="I982" s="4">
        <v>249.0</v>
      </c>
      <c r="J982" s="4" t="s">
        <v>4000</v>
      </c>
      <c r="K982" s="5">
        <f>+919819675259</f>
        <v>919819675259</v>
      </c>
      <c r="L982" s="4" t="str">
        <f t="shared" si="1"/>
        <v>ksheth22@gmail.com919819675259</v>
      </c>
      <c r="M982" s="10" t="s">
        <v>67</v>
      </c>
      <c r="N982" s="4" t="b">
        <v>0</v>
      </c>
      <c r="O982" s="4" t="str">
        <f>VLOOKUP(A982,payment_ids!D:E,2,FALSE)</f>
        <v>upi</v>
      </c>
      <c r="P982" s="4" t="s">
        <v>69</v>
      </c>
      <c r="Q982" s="11">
        <v>44506.2625</v>
      </c>
      <c r="R982" s="4"/>
      <c r="S982" s="12" t="s">
        <v>4001</v>
      </c>
      <c r="T982" s="4" t="s">
        <v>2444</v>
      </c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5"/>
      <c r="AI982" s="5"/>
      <c r="AJ982" s="5"/>
      <c r="AK982" s="5"/>
      <c r="AL982" s="5"/>
    </row>
    <row r="983">
      <c r="A983" s="4" t="str">
        <f>VLOOKUP(L983,payment_ids!C:D,2,FALSE)</f>
        <v>pay_HLn3PfmlbpA4HQ</v>
      </c>
      <c r="B983" s="4"/>
      <c r="C983" s="4" t="s">
        <v>3986</v>
      </c>
      <c r="D983" s="4">
        <v>50086.0</v>
      </c>
      <c r="E983" s="5"/>
      <c r="F983" s="4">
        <v>1.0</v>
      </c>
      <c r="G983" s="4">
        <v>249.0</v>
      </c>
      <c r="H983" s="4"/>
      <c r="I983" s="4">
        <v>249.0</v>
      </c>
      <c r="J983" s="4" t="s">
        <v>4002</v>
      </c>
      <c r="K983" s="5">
        <f>+919145030714</f>
        <v>919145030714</v>
      </c>
      <c r="L983" s="4" t="str">
        <f t="shared" si="1"/>
        <v>akshaykgore123@gmail.com919145030714</v>
      </c>
      <c r="M983" s="10" t="s">
        <v>67</v>
      </c>
      <c r="N983" s="4" t="b">
        <v>0</v>
      </c>
      <c r="O983" s="4" t="str">
        <f>VLOOKUP(A983,payment_ids!D:E,2,FALSE)</f>
        <v>upi</v>
      </c>
      <c r="P983" s="4" t="s">
        <v>69</v>
      </c>
      <c r="Q983" s="11">
        <v>44506.845138888886</v>
      </c>
      <c r="R983" s="4"/>
      <c r="S983" s="12" t="s">
        <v>4001</v>
      </c>
      <c r="T983" s="4" t="s">
        <v>2444</v>
      </c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5"/>
      <c r="AI983" s="5"/>
      <c r="AJ983" s="5"/>
      <c r="AK983" s="5"/>
      <c r="AL983" s="5"/>
    </row>
    <row r="984">
      <c r="A984" s="4" t="str">
        <f>VLOOKUP(L984,payment_ids!C:D,2,FALSE)</f>
        <v>pay_HLqNLX8AEUFUNP</v>
      </c>
      <c r="B984" s="4"/>
      <c r="C984" s="4" t="s">
        <v>3986</v>
      </c>
      <c r="D984" s="4">
        <v>50086.0</v>
      </c>
      <c r="E984" s="5"/>
      <c r="F984" s="4">
        <v>1.0</v>
      </c>
      <c r="G984" s="4">
        <v>249.0</v>
      </c>
      <c r="H984" s="4"/>
      <c r="I984" s="4">
        <v>249.0</v>
      </c>
      <c r="J984" s="4" t="s">
        <v>4003</v>
      </c>
      <c r="K984" s="5">
        <f>+919711281125</f>
        <v>919711281125</v>
      </c>
      <c r="L984" s="4" t="str">
        <f t="shared" si="1"/>
        <v>daminisharma9540@gmail.com919711281125</v>
      </c>
      <c r="M984" s="10" t="s">
        <v>67</v>
      </c>
      <c r="N984" s="4" t="b">
        <v>0</v>
      </c>
      <c r="O984" s="4" t="str">
        <f>VLOOKUP(A984,payment_ids!D:E,2,FALSE)</f>
        <v>card</v>
      </c>
      <c r="P984" s="4" t="s">
        <v>69</v>
      </c>
      <c r="Q984" s="11">
        <v>44506.981944444444</v>
      </c>
      <c r="R984" s="4"/>
      <c r="S984" s="12" t="s">
        <v>3988</v>
      </c>
      <c r="T984" s="4" t="s">
        <v>2444</v>
      </c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5"/>
      <c r="AI984" s="5"/>
      <c r="AJ984" s="5"/>
      <c r="AK984" s="5"/>
      <c r="AL984" s="5"/>
    </row>
    <row r="985">
      <c r="A985" s="4" t="str">
        <f>VLOOKUP(L985,payment_ids!C:D,2,FALSE)</f>
        <v>pay_HLrbKELwruOWpX</v>
      </c>
      <c r="B985" s="4"/>
      <c r="C985" s="4" t="s">
        <v>3986</v>
      </c>
      <c r="D985" s="4">
        <v>50086.0</v>
      </c>
      <c r="E985" s="5"/>
      <c r="F985" s="4">
        <v>1.0</v>
      </c>
      <c r="G985" s="4">
        <v>249.0</v>
      </c>
      <c r="H985" s="4"/>
      <c r="I985" s="4">
        <v>249.0</v>
      </c>
      <c r="J985" s="4" t="s">
        <v>4004</v>
      </c>
      <c r="K985" s="5">
        <f>+919205082927</f>
        <v>919205082927</v>
      </c>
      <c r="L985" s="4" t="str">
        <f t="shared" si="1"/>
        <v>pulkit.jmi@gmail.com919205082927</v>
      </c>
      <c r="M985" s="10" t="s">
        <v>67</v>
      </c>
      <c r="N985" s="4" t="b">
        <v>0</v>
      </c>
      <c r="O985" s="4" t="str">
        <f>VLOOKUP(A985,payment_ids!D:E,2,FALSE)</f>
        <v>card</v>
      </c>
      <c r="P985" s="4" t="s">
        <v>69</v>
      </c>
      <c r="Q985" s="11">
        <v>44536.029861111114</v>
      </c>
      <c r="R985" s="4"/>
      <c r="S985" s="12" t="s">
        <v>4001</v>
      </c>
      <c r="T985" s="4" t="s">
        <v>2444</v>
      </c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5"/>
      <c r="AI985" s="5"/>
      <c r="AJ985" s="5"/>
      <c r="AK985" s="5"/>
      <c r="AL985" s="5"/>
    </row>
    <row r="986">
      <c r="A986" s="4" t="str">
        <f>VLOOKUP(L986,payment_ids!C:D,2,FALSE)</f>
        <v>pay_HM5jw4J9vzKFNV</v>
      </c>
      <c r="B986" s="4"/>
      <c r="C986" s="4" t="s">
        <v>3986</v>
      </c>
      <c r="D986" s="4">
        <v>50086.0</v>
      </c>
      <c r="E986" s="5"/>
      <c r="F986" s="4">
        <v>1.0</v>
      </c>
      <c r="G986" s="4">
        <v>249.0</v>
      </c>
      <c r="H986" s="4"/>
      <c r="I986" s="4">
        <v>249.0</v>
      </c>
      <c r="J986" s="4" t="s">
        <v>3053</v>
      </c>
      <c r="K986" s="5">
        <f>+918769792927</f>
        <v>918769792927</v>
      </c>
      <c r="L986" s="4" t="str">
        <f t="shared" si="1"/>
        <v>kaustubh.khandelwal4@gmail.com918769792927</v>
      </c>
      <c r="M986" s="10" t="s">
        <v>67</v>
      </c>
      <c r="N986" s="4" t="b">
        <v>0</v>
      </c>
      <c r="O986" s="4" t="str">
        <f>VLOOKUP(A986,payment_ids!D:E,2,FALSE)</f>
        <v>upi</v>
      </c>
      <c r="P986" s="4" t="s">
        <v>69</v>
      </c>
      <c r="Q986" s="11">
        <v>44536.60625</v>
      </c>
      <c r="R986" s="4"/>
      <c r="S986" s="12" t="s">
        <v>4001</v>
      </c>
      <c r="T986" s="4" t="s">
        <v>2444</v>
      </c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5"/>
      <c r="AI986" s="5"/>
      <c r="AJ986" s="5"/>
      <c r="AK986" s="5"/>
      <c r="AL986" s="5"/>
    </row>
    <row r="987">
      <c r="A987" s="4" t="str">
        <f>VLOOKUP(L987,payment_ids!C:D,2,FALSE)</f>
        <v>pay_HM6KBJbngvzxor</v>
      </c>
      <c r="B987" s="4"/>
      <c r="C987" s="4" t="s">
        <v>3986</v>
      </c>
      <c r="D987" s="4">
        <v>50086.0</v>
      </c>
      <c r="E987" s="5"/>
      <c r="F987" s="4">
        <v>1.0</v>
      </c>
      <c r="G987" s="4">
        <v>249.0</v>
      </c>
      <c r="H987" s="4"/>
      <c r="I987" s="4">
        <v>249.0</v>
      </c>
      <c r="J987" s="4" t="s">
        <v>4005</v>
      </c>
      <c r="K987" s="5">
        <f>+918055382304</f>
        <v>918055382304</v>
      </c>
      <c r="L987" s="4" t="str">
        <f t="shared" si="1"/>
        <v>utsavkhare123@gmail.com918055382304</v>
      </c>
      <c r="M987" s="10" t="s">
        <v>67</v>
      </c>
      <c r="N987" s="4" t="b">
        <v>0</v>
      </c>
      <c r="O987" s="4" t="str">
        <f>VLOOKUP(A987,payment_ids!D:E,2,FALSE)</f>
        <v>upi</v>
      </c>
      <c r="P987" s="4" t="s">
        <v>69</v>
      </c>
      <c r="Q987" s="11">
        <v>44536.62986111111</v>
      </c>
      <c r="R987" s="4"/>
      <c r="S987" s="12" t="s">
        <v>3988</v>
      </c>
      <c r="T987" s="4" t="s">
        <v>2444</v>
      </c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5"/>
      <c r="AI987" s="5"/>
      <c r="AJ987" s="5"/>
      <c r="AK987" s="5"/>
      <c r="AL987" s="5"/>
    </row>
    <row r="988">
      <c r="A988" s="4" t="str">
        <f>VLOOKUP(L988,payment_ids!C:D,2,FALSE)</f>
        <v>pay_HMD63wVD8mDWip</v>
      </c>
      <c r="B988" s="4"/>
      <c r="C988" s="4" t="s">
        <v>3986</v>
      </c>
      <c r="D988" s="4">
        <v>50086.0</v>
      </c>
      <c r="E988" s="5"/>
      <c r="F988" s="4">
        <v>1.0</v>
      </c>
      <c r="G988" s="4">
        <v>249.0</v>
      </c>
      <c r="H988" s="4"/>
      <c r="I988" s="4">
        <v>249.0</v>
      </c>
      <c r="J988" s="4" t="s">
        <v>4006</v>
      </c>
      <c r="K988" s="5">
        <f>+918171055284</f>
        <v>918171055284</v>
      </c>
      <c r="L988" s="4" t="str">
        <f t="shared" si="1"/>
        <v>sapna.sikarwar0611@gmail.com918171055284</v>
      </c>
      <c r="M988" s="10" t="s">
        <v>67</v>
      </c>
      <c r="N988" s="4" t="b">
        <v>0</v>
      </c>
      <c r="O988" s="4" t="str">
        <f>VLOOKUP(A988,payment_ids!D:E,2,FALSE)</f>
        <v>card</v>
      </c>
      <c r="P988" s="4" t="s">
        <v>69</v>
      </c>
      <c r="Q988" s="11">
        <v>44536.90625</v>
      </c>
      <c r="R988" s="4"/>
      <c r="S988" s="12" t="s">
        <v>3988</v>
      </c>
      <c r="T988" s="4" t="s">
        <v>2444</v>
      </c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5"/>
      <c r="AI988" s="5"/>
      <c r="AJ988" s="5"/>
      <c r="AK988" s="5"/>
      <c r="AL988" s="5"/>
    </row>
    <row r="989">
      <c r="A989" s="4" t="str">
        <f>VLOOKUP(L989,payment_ids!C:D,2,FALSE)</f>
        <v>pay_HMTB7lFAq2ZftF</v>
      </c>
      <c r="B989" s="4"/>
      <c r="C989" s="4" t="s">
        <v>3986</v>
      </c>
      <c r="D989" s="4">
        <v>50086.0</v>
      </c>
      <c r="E989" s="5"/>
      <c r="F989" s="4">
        <v>1.0</v>
      </c>
      <c r="G989" s="4">
        <v>249.0</v>
      </c>
      <c r="H989" s="4"/>
      <c r="I989" s="4">
        <v>249.0</v>
      </c>
      <c r="J989" s="4" t="s">
        <v>4007</v>
      </c>
      <c r="K989" s="5">
        <f>+97470718294</f>
        <v>97470718294</v>
      </c>
      <c r="L989" s="4" t="str">
        <f t="shared" si="1"/>
        <v>nshusain@outlook.com97470718294</v>
      </c>
      <c r="M989" s="10" t="s">
        <v>67</v>
      </c>
      <c r="N989" s="4" t="b">
        <v>0</v>
      </c>
      <c r="O989" s="4" t="str">
        <f>VLOOKUP(A989,payment_ids!D:E,2,FALSE)</f>
        <v>netbanking</v>
      </c>
      <c r="P989" s="4" t="s">
        <v>69</v>
      </c>
      <c r="Q989" s="4" t="s">
        <v>4008</v>
      </c>
      <c r="R989" s="4"/>
      <c r="S989" s="12" t="s">
        <v>4001</v>
      </c>
      <c r="T989" s="4" t="s">
        <v>2444</v>
      </c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5"/>
      <c r="AI989" s="5"/>
      <c r="AJ989" s="5"/>
      <c r="AK989" s="5"/>
      <c r="AL989" s="5"/>
    </row>
    <row r="990">
      <c r="A990" s="4" t="str">
        <f>VLOOKUP(L990,payment_ids!C:D,2,FALSE)</f>
        <v>pay_HMafZEOnMXuCFS</v>
      </c>
      <c r="B990" s="4"/>
      <c r="C990" s="4" t="s">
        <v>3986</v>
      </c>
      <c r="D990" s="4">
        <v>50086.0</v>
      </c>
      <c r="E990" s="5"/>
      <c r="F990" s="4">
        <v>1.0</v>
      </c>
      <c r="G990" s="4">
        <v>249.0</v>
      </c>
      <c r="H990" s="4"/>
      <c r="I990" s="4">
        <v>249.0</v>
      </c>
      <c r="J990" s="4" t="s">
        <v>4009</v>
      </c>
      <c r="K990" s="5">
        <f>+919905403893</f>
        <v>919905403893</v>
      </c>
      <c r="L990" s="4" t="str">
        <f t="shared" si="1"/>
        <v>rishikeshranjjan@gmail.com919905403893</v>
      </c>
      <c r="M990" s="10" t="s">
        <v>67</v>
      </c>
      <c r="N990" s="4" t="b">
        <v>0</v>
      </c>
      <c r="O990" s="4" t="str">
        <f>VLOOKUP(A990,payment_ids!D:E,2,FALSE)</f>
        <v>upi</v>
      </c>
      <c r="P990" s="4" t="s">
        <v>69</v>
      </c>
      <c r="Q990" s="4" t="s">
        <v>4010</v>
      </c>
      <c r="R990" s="4"/>
      <c r="S990" s="12" t="s">
        <v>3988</v>
      </c>
      <c r="T990" s="4" t="s">
        <v>2444</v>
      </c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5"/>
      <c r="AI990" s="5"/>
      <c r="AJ990" s="5"/>
      <c r="AK990" s="5"/>
      <c r="AL990" s="5"/>
    </row>
    <row r="991">
      <c r="A991" s="4" t="str">
        <f>VLOOKUP(L991,payment_ids!C:D,2,FALSE)</f>
        <v>pay_HMT9SJ4g8KbX8k</v>
      </c>
      <c r="B991" s="4"/>
      <c r="C991" s="4" t="s">
        <v>3986</v>
      </c>
      <c r="D991" s="4">
        <v>50086.0</v>
      </c>
      <c r="E991" s="5"/>
      <c r="F991" s="4">
        <v>1.0</v>
      </c>
      <c r="G991" s="4">
        <v>249.0</v>
      </c>
      <c r="H991" s="4"/>
      <c r="I991" s="4">
        <v>249.0</v>
      </c>
      <c r="J991" s="4" t="s">
        <v>4007</v>
      </c>
      <c r="K991" s="5">
        <f>+971502845925</f>
        <v>971502845925</v>
      </c>
      <c r="L991" s="4" t="str">
        <f t="shared" si="1"/>
        <v>nshusain@outlook.com971502845925</v>
      </c>
      <c r="M991" s="10" t="s">
        <v>67</v>
      </c>
      <c r="N991" s="4" t="b">
        <v>0</v>
      </c>
      <c r="O991" s="4" t="str">
        <f>VLOOKUP(A991,payment_ids!D:E,2,FALSE)</f>
        <v>netbanking</v>
      </c>
      <c r="P991" s="4" t="s">
        <v>69</v>
      </c>
      <c r="Q991" s="4" t="s">
        <v>4011</v>
      </c>
      <c r="R991" s="4"/>
      <c r="S991" s="12" t="s">
        <v>3988</v>
      </c>
      <c r="T991" s="4" t="s">
        <v>2444</v>
      </c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5"/>
      <c r="AI991" s="5"/>
      <c r="AJ991" s="5"/>
      <c r="AK991" s="5"/>
      <c r="AL991" s="5"/>
    </row>
    <row r="992">
      <c r="A992" s="4" t="str">
        <f>VLOOKUP(L992,payment_ids!C:D,2,FALSE)</f>
        <v>pay_HMpGb0BrkWZrFc</v>
      </c>
      <c r="B992" s="4"/>
      <c r="C992" s="4" t="s">
        <v>3986</v>
      </c>
      <c r="D992" s="4">
        <v>50086.0</v>
      </c>
      <c r="E992" s="5"/>
      <c r="F992" s="4">
        <v>3.0</v>
      </c>
      <c r="G992" s="4">
        <v>599.0</v>
      </c>
      <c r="H992" s="4"/>
      <c r="I992" s="4">
        <v>599.0</v>
      </c>
      <c r="J992" s="4" t="s">
        <v>4012</v>
      </c>
      <c r="K992" s="5">
        <f>+919727068089</f>
        <v>919727068089</v>
      </c>
      <c r="L992" s="4" t="str">
        <f t="shared" si="1"/>
        <v>devteli28@gmail.com919727068089</v>
      </c>
      <c r="M992" s="10" t="s">
        <v>67</v>
      </c>
      <c r="N992" s="4" t="b">
        <v>0</v>
      </c>
      <c r="O992" s="4" t="str">
        <f>VLOOKUP(A992,payment_ids!D:E,2,FALSE)</f>
        <v>wallet</v>
      </c>
      <c r="P992" s="4" t="s">
        <v>69</v>
      </c>
      <c r="Q992" s="4" t="s">
        <v>4013</v>
      </c>
      <c r="R992" s="4"/>
      <c r="S992" s="12" t="s">
        <v>3988</v>
      </c>
      <c r="T992" s="4" t="s">
        <v>2444</v>
      </c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5"/>
      <c r="AI992" s="5"/>
      <c r="AJ992" s="5"/>
      <c r="AK992" s="5"/>
      <c r="AL992" s="5"/>
    </row>
    <row r="993">
      <c r="A993" s="4" t="str">
        <f>VLOOKUP(L993,payment_ids!C:D,2,FALSE)</f>
        <v>pay_HNnrdg0MzOvHzX</v>
      </c>
      <c r="B993" s="4"/>
      <c r="C993" s="4" t="s">
        <v>3986</v>
      </c>
      <c r="D993" s="4">
        <v>50086.0</v>
      </c>
      <c r="E993" s="5"/>
      <c r="F993" s="4">
        <v>3.0</v>
      </c>
      <c r="G993" s="4">
        <v>599.0</v>
      </c>
      <c r="H993" s="4"/>
      <c r="I993" s="4">
        <v>599.0</v>
      </c>
      <c r="J993" s="4" t="s">
        <v>4014</v>
      </c>
      <c r="K993" s="5">
        <f>+919966456239</f>
        <v>919966456239</v>
      </c>
      <c r="L993" s="4" t="str">
        <f t="shared" si="1"/>
        <v>yashwiz@gmail.com919966456239</v>
      </c>
      <c r="M993" s="10" t="s">
        <v>67</v>
      </c>
      <c r="N993" s="4" t="b">
        <v>0</v>
      </c>
      <c r="O993" s="4" t="str">
        <f>VLOOKUP(A993,payment_ids!D:E,2,FALSE)</f>
        <v>upi</v>
      </c>
      <c r="P993" s="4" t="s">
        <v>69</v>
      </c>
      <c r="Q993" s="4" t="s">
        <v>4015</v>
      </c>
      <c r="R993" s="4"/>
      <c r="S993" s="12" t="s">
        <v>3988</v>
      </c>
      <c r="T993" s="4" t="s">
        <v>2444</v>
      </c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5"/>
      <c r="AI993" s="5"/>
      <c r="AJ993" s="5"/>
      <c r="AK993" s="5"/>
      <c r="AL993" s="5"/>
    </row>
    <row r="994">
      <c r="A994" s="4" t="str">
        <f>VLOOKUP(L994,payment_ids!C:D,2,FALSE)</f>
        <v>pay_HNoWzg3Wprl9Nh</v>
      </c>
      <c r="B994" s="4"/>
      <c r="C994" s="4" t="s">
        <v>3986</v>
      </c>
      <c r="D994" s="4">
        <v>50086.0</v>
      </c>
      <c r="E994" s="5"/>
      <c r="F994" s="4">
        <v>6.0</v>
      </c>
      <c r="G994" s="4">
        <v>999.0</v>
      </c>
      <c r="H994" s="4"/>
      <c r="I994" s="4">
        <v>999.0</v>
      </c>
      <c r="J994" s="4" t="s">
        <v>4016</v>
      </c>
      <c r="K994" s="5">
        <f>+919999960734</f>
        <v>919999960734</v>
      </c>
      <c r="L994" s="4" t="str">
        <f t="shared" si="1"/>
        <v>parthbudhraja04@gmail.com919999960734</v>
      </c>
      <c r="M994" s="10" t="s">
        <v>67</v>
      </c>
      <c r="N994" s="4" t="b">
        <v>0</v>
      </c>
      <c r="O994" s="4" t="str">
        <f>VLOOKUP(A994,payment_ids!D:E,2,FALSE)</f>
        <v>upi</v>
      </c>
      <c r="P994" s="4" t="s">
        <v>69</v>
      </c>
      <c r="Q994" s="4" t="s">
        <v>4017</v>
      </c>
      <c r="R994" s="4"/>
      <c r="S994" s="12" t="s">
        <v>3988</v>
      </c>
      <c r="T994" s="4" t="s">
        <v>2444</v>
      </c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5"/>
      <c r="AI994" s="5"/>
      <c r="AJ994" s="5"/>
      <c r="AK994" s="5"/>
      <c r="AL994" s="5"/>
    </row>
    <row r="995">
      <c r="A995" s="4" t="str">
        <f>VLOOKUP(L995,payment_ids!C:D,2,FALSE)</f>
        <v>pay_HODgeiVovj0MdG</v>
      </c>
      <c r="B995" s="4"/>
      <c r="C995" s="4" t="s">
        <v>3986</v>
      </c>
      <c r="D995" s="4">
        <v>50086.0</v>
      </c>
      <c r="E995" s="5"/>
      <c r="F995" s="4">
        <v>6.0</v>
      </c>
      <c r="G995" s="4">
        <v>999.0</v>
      </c>
      <c r="H995" s="4"/>
      <c r="I995" s="4">
        <v>999.0</v>
      </c>
      <c r="J995" s="4" t="s">
        <v>4018</v>
      </c>
      <c r="K995" s="5">
        <f>+919538223224</f>
        <v>919538223224</v>
      </c>
      <c r="L995" s="4" t="str">
        <f t="shared" si="1"/>
        <v>giri.scotty@gmail.com919538223224</v>
      </c>
      <c r="M995" s="10" t="s">
        <v>67</v>
      </c>
      <c r="N995" s="4" t="b">
        <v>0</v>
      </c>
      <c r="O995" s="4" t="str">
        <f>VLOOKUP(A995,payment_ids!D:E,2,FALSE)</f>
        <v>upi</v>
      </c>
      <c r="P995" s="4" t="s">
        <v>69</v>
      </c>
      <c r="Q995" s="4" t="s">
        <v>4019</v>
      </c>
      <c r="R995" s="4"/>
      <c r="S995" s="12" t="s">
        <v>4001</v>
      </c>
      <c r="T995" s="4" t="s">
        <v>2444</v>
      </c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5"/>
      <c r="AI995" s="5"/>
      <c r="AJ995" s="5"/>
      <c r="AK995" s="5"/>
      <c r="AL995" s="5"/>
    </row>
    <row r="996">
      <c r="A996" s="4" t="str">
        <f>VLOOKUP(L996,payment_ids!C:D,2,FALSE)</f>
        <v>pay_HOGgfYGzPpb9ct</v>
      </c>
      <c r="B996" s="4"/>
      <c r="C996" s="4" t="s">
        <v>3986</v>
      </c>
      <c r="D996" s="4">
        <v>50086.0</v>
      </c>
      <c r="E996" s="5"/>
      <c r="F996" s="4">
        <v>6.0</v>
      </c>
      <c r="G996" s="4">
        <v>999.0</v>
      </c>
      <c r="H996" s="4"/>
      <c r="I996" s="4">
        <v>999.0</v>
      </c>
      <c r="J996" s="4" t="s">
        <v>4020</v>
      </c>
      <c r="K996" s="5">
        <f>+918093725414</f>
        <v>918093725414</v>
      </c>
      <c r="L996" s="4" t="str">
        <f t="shared" si="1"/>
        <v>cantebury119@gmail.com918093725414</v>
      </c>
      <c r="M996" s="10" t="s">
        <v>67</v>
      </c>
      <c r="N996" s="4" t="b">
        <v>0</v>
      </c>
      <c r="O996" s="4" t="str">
        <f>VLOOKUP(A996,payment_ids!D:E,2,FALSE)</f>
        <v>upi</v>
      </c>
      <c r="P996" s="4" t="s">
        <v>69</v>
      </c>
      <c r="Q996" s="4" t="s">
        <v>4021</v>
      </c>
      <c r="R996" s="4"/>
      <c r="S996" s="12" t="s">
        <v>3988</v>
      </c>
      <c r="T996" s="4" t="s">
        <v>2444</v>
      </c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5"/>
      <c r="AI996" s="5"/>
      <c r="AJ996" s="5"/>
      <c r="AK996" s="5"/>
      <c r="AL996" s="5"/>
    </row>
    <row r="997">
      <c r="A997" s="4" t="str">
        <f>VLOOKUP(L997,payment_ids!C:D,2,FALSE)</f>
        <v>pay_HOuJbNctaEbkQ4</v>
      </c>
      <c r="B997" s="4"/>
      <c r="C997" s="4" t="s">
        <v>3986</v>
      </c>
      <c r="D997" s="4">
        <v>50086.0</v>
      </c>
      <c r="E997" s="5"/>
      <c r="F997" s="4">
        <v>3.0</v>
      </c>
      <c r="G997" s="4">
        <v>599.0</v>
      </c>
      <c r="H997" s="4"/>
      <c r="I997" s="4">
        <v>599.0</v>
      </c>
      <c r="J997" s="4" t="s">
        <v>4022</v>
      </c>
      <c r="K997" s="5">
        <f>+971558838094</f>
        <v>971558838094</v>
      </c>
      <c r="L997" s="4" t="str">
        <f t="shared" si="1"/>
        <v>mohitd_mht@hotmail.com971558838094</v>
      </c>
      <c r="M997" s="10" t="s">
        <v>67</v>
      </c>
      <c r="N997" s="4" t="b">
        <v>0</v>
      </c>
      <c r="O997" s="4" t="str">
        <f>VLOOKUP(A997,payment_ids!D:E,2,FALSE)</f>
        <v>card</v>
      </c>
      <c r="P997" s="4" t="s">
        <v>69</v>
      </c>
      <c r="Q997" s="4" t="s">
        <v>4023</v>
      </c>
      <c r="R997" s="4"/>
      <c r="S997" s="12" t="s">
        <v>3988</v>
      </c>
      <c r="T997" s="4" t="s">
        <v>2444</v>
      </c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5"/>
      <c r="AI997" s="5"/>
      <c r="AJ997" s="5"/>
      <c r="AK997" s="5"/>
      <c r="AL997" s="5"/>
    </row>
    <row r="998">
      <c r="A998" s="4" t="str">
        <f>VLOOKUP(L998,payment_ids!C:D,2,FALSE)</f>
        <v>pay_HOx0rzgLbUc7cP</v>
      </c>
      <c r="B998" s="4"/>
      <c r="C998" s="4" t="s">
        <v>3986</v>
      </c>
      <c r="D998" s="4">
        <v>50086.0</v>
      </c>
      <c r="E998" s="5"/>
      <c r="F998" s="4">
        <v>1.0</v>
      </c>
      <c r="G998" s="4">
        <v>249.0</v>
      </c>
      <c r="H998" s="4"/>
      <c r="I998" s="4">
        <v>249.0</v>
      </c>
      <c r="J998" s="4" t="s">
        <v>4024</v>
      </c>
      <c r="K998" s="5">
        <f>+919896991273</f>
        <v>919896991273</v>
      </c>
      <c r="L998" s="4" t="str">
        <f t="shared" si="1"/>
        <v>hrkone@icloud.com919896991273</v>
      </c>
      <c r="M998" s="10" t="s">
        <v>67</v>
      </c>
      <c r="N998" s="4" t="b">
        <v>0</v>
      </c>
      <c r="O998" s="4" t="str">
        <f>VLOOKUP(A998,payment_ids!D:E,2,FALSE)</f>
        <v>upi</v>
      </c>
      <c r="P998" s="4" t="s">
        <v>69</v>
      </c>
      <c r="Q998" s="4" t="s">
        <v>4025</v>
      </c>
      <c r="R998" s="4"/>
      <c r="S998" s="12" t="s">
        <v>3988</v>
      </c>
      <c r="T998" s="4" t="s">
        <v>2444</v>
      </c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5"/>
      <c r="AI998" s="5"/>
      <c r="AJ998" s="5"/>
      <c r="AK998" s="5"/>
      <c r="AL998" s="5"/>
    </row>
    <row r="999">
      <c r="A999" s="4" t="str">
        <f>VLOOKUP(L999,payment_ids!C:D,2,FALSE)</f>
        <v>pay_HP0fBsIzW3GRqy</v>
      </c>
      <c r="B999" s="4"/>
      <c r="C999" s="4" t="s">
        <v>3986</v>
      </c>
      <c r="D999" s="4">
        <v>50086.0</v>
      </c>
      <c r="E999" s="5"/>
      <c r="F999" s="4">
        <v>1.0</v>
      </c>
      <c r="G999" s="4">
        <v>249.0</v>
      </c>
      <c r="H999" s="4"/>
      <c r="I999" s="4">
        <v>249.0</v>
      </c>
      <c r="J999" s="4" t="s">
        <v>4026</v>
      </c>
      <c r="K999" s="5">
        <f>+917597818723</f>
        <v>917597818723</v>
      </c>
      <c r="L999" s="4" t="str">
        <f t="shared" si="1"/>
        <v>yashdubey71@gmail.com917597818723</v>
      </c>
      <c r="M999" s="10" t="s">
        <v>67</v>
      </c>
      <c r="N999" s="4" t="b">
        <v>0</v>
      </c>
      <c r="O999" s="4" t="str">
        <f>VLOOKUP(A999,payment_ids!D:E,2,FALSE)</f>
        <v>wallet</v>
      </c>
      <c r="P999" s="4" t="s">
        <v>69</v>
      </c>
      <c r="Q999" s="4" t="s">
        <v>4027</v>
      </c>
      <c r="R999" s="4"/>
      <c r="S999" s="12" t="s">
        <v>3988</v>
      </c>
      <c r="T999" s="4" t="s">
        <v>2444</v>
      </c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5"/>
      <c r="AI999" s="5"/>
      <c r="AJ999" s="5"/>
      <c r="AK999" s="5"/>
      <c r="AL999" s="5"/>
    </row>
    <row r="1000">
      <c r="A1000" s="4" t="str">
        <f>VLOOKUP(L1000,payment_ids!C:D,2,FALSE)</f>
        <v>pay_HP1NIhXbHV0eJk</v>
      </c>
      <c r="B1000" s="4"/>
      <c r="C1000" s="4" t="s">
        <v>3986</v>
      </c>
      <c r="D1000" s="4">
        <v>50086.0</v>
      </c>
      <c r="E1000" s="5"/>
      <c r="F1000" s="4">
        <v>1.0</v>
      </c>
      <c r="G1000" s="4">
        <v>249.0</v>
      </c>
      <c r="H1000" s="4"/>
      <c r="I1000" s="4">
        <v>249.0</v>
      </c>
      <c r="J1000" s="4" t="s">
        <v>4028</v>
      </c>
      <c r="K1000" s="5">
        <f>+919952955477</f>
        <v>919952955477</v>
      </c>
      <c r="L1000" s="4" t="str">
        <f t="shared" si="1"/>
        <v>connexioncctv@gmail.com919952955477</v>
      </c>
      <c r="M1000" s="10" t="s">
        <v>67</v>
      </c>
      <c r="N1000" s="4" t="b">
        <v>0</v>
      </c>
      <c r="O1000" s="4" t="str">
        <f>VLOOKUP(A1000,payment_ids!D:E,2,FALSE)</f>
        <v>card</v>
      </c>
      <c r="P1000" s="4" t="s">
        <v>69</v>
      </c>
      <c r="Q1000" s="4" t="s">
        <v>4029</v>
      </c>
      <c r="R1000" s="4"/>
      <c r="S1000" s="12" t="s">
        <v>3988</v>
      </c>
      <c r="T1000" s="4" t="s">
        <v>2444</v>
      </c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5"/>
      <c r="AI1000" s="5"/>
      <c r="AJ1000" s="5"/>
      <c r="AK1000" s="5"/>
      <c r="AL1000" s="5"/>
    </row>
    <row r="1001">
      <c r="A1001" s="4" t="str">
        <f>VLOOKUP(L1001,payment_ids!C:D,2,FALSE)</f>
        <v>pay_HCHzAC51jhFECv</v>
      </c>
      <c r="B1001" s="4"/>
      <c r="C1001" s="4" t="s">
        <v>4030</v>
      </c>
      <c r="D1001" s="4">
        <v>49833.0</v>
      </c>
      <c r="E1001" s="4"/>
      <c r="F1001" s="4">
        <v>3.0</v>
      </c>
      <c r="G1001" s="4">
        <v>199.0</v>
      </c>
      <c r="H1001" s="4"/>
      <c r="I1001" s="4">
        <v>199.0</v>
      </c>
      <c r="J1001" s="4" t="s">
        <v>4031</v>
      </c>
      <c r="K1001" s="6">
        <f>+917259561002</f>
        <v>917259561002</v>
      </c>
      <c r="L1001" s="4" t="str">
        <f t="shared" si="1"/>
        <v>rao.diksha30@gmail.com917259561002</v>
      </c>
      <c r="M1001" s="10" t="s">
        <v>67</v>
      </c>
      <c r="N1001" s="4" t="b">
        <v>0</v>
      </c>
      <c r="O1001" s="4" t="str">
        <f>VLOOKUP(A1001,payment_ids!D:E,2,FALSE)</f>
        <v>wallet</v>
      </c>
      <c r="P1001" s="4" t="s">
        <v>69</v>
      </c>
      <c r="Q1001" s="4" t="s">
        <v>4032</v>
      </c>
      <c r="R1001" s="4"/>
      <c r="S1001" s="12" t="s">
        <v>4033</v>
      </c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5"/>
      <c r="AI1001" s="5"/>
      <c r="AJ1001" s="5"/>
      <c r="AK1001" s="5"/>
      <c r="AL1001" s="5"/>
    </row>
    <row r="1002">
      <c r="A1002" s="4" t="str">
        <f>VLOOKUP(L1002,payment_ids!C:D,2,FALSE)</f>
        <v>pay_HDNCOdkeNeU6Hf</v>
      </c>
      <c r="B1002" s="4"/>
      <c r="C1002" s="4" t="s">
        <v>4030</v>
      </c>
      <c r="D1002" s="4">
        <v>49833.0</v>
      </c>
      <c r="E1002" s="4"/>
      <c r="F1002" s="4">
        <v>6.0</v>
      </c>
      <c r="G1002" s="4">
        <v>349.0</v>
      </c>
      <c r="H1002" s="4"/>
      <c r="I1002" s="4">
        <v>349.0</v>
      </c>
      <c r="J1002" s="4" t="s">
        <v>4034</v>
      </c>
      <c r="K1002" s="6">
        <f>+919820416190</f>
        <v>919820416190</v>
      </c>
      <c r="L1002" s="4" t="str">
        <f t="shared" si="1"/>
        <v>snhptwrdhn@gmail.com919820416190</v>
      </c>
      <c r="M1002" s="10" t="s">
        <v>67</v>
      </c>
      <c r="N1002" s="4" t="b">
        <v>0</v>
      </c>
      <c r="O1002" s="4" t="str">
        <f>VLOOKUP(A1002,payment_ids!D:E,2,FALSE)</f>
        <v>upi</v>
      </c>
      <c r="P1002" s="4" t="s">
        <v>69</v>
      </c>
      <c r="Q1002" s="4" t="s">
        <v>4035</v>
      </c>
      <c r="R1002" s="4"/>
      <c r="S1002" s="12" t="s">
        <v>4033</v>
      </c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5"/>
      <c r="AI1002" s="5"/>
      <c r="AJ1002" s="5"/>
      <c r="AK1002" s="5"/>
      <c r="AL1002" s="5"/>
    </row>
    <row r="1003">
      <c r="A1003" s="4" t="str">
        <f>VLOOKUP(L1003,payment_ids!C:D,2,FALSE)</f>
        <v>pay_HDha1b6iRhG2OK</v>
      </c>
      <c r="B1003" s="4"/>
      <c r="C1003" s="4" t="s">
        <v>4030</v>
      </c>
      <c r="D1003" s="4">
        <v>49833.0</v>
      </c>
      <c r="E1003" s="4"/>
      <c r="F1003" s="4">
        <v>1.0</v>
      </c>
      <c r="G1003" s="4">
        <v>99.0</v>
      </c>
      <c r="H1003" s="4"/>
      <c r="I1003" s="4">
        <v>99.0</v>
      </c>
      <c r="J1003" s="4" t="s">
        <v>4036</v>
      </c>
      <c r="K1003" s="6">
        <f>+918948729723</f>
        <v>918948729723</v>
      </c>
      <c r="L1003" s="4" t="str">
        <f t="shared" si="1"/>
        <v>priyasaumyadubey@gmail.com918948729723</v>
      </c>
      <c r="M1003" s="10" t="s">
        <v>67</v>
      </c>
      <c r="N1003" s="4" t="b">
        <v>0</v>
      </c>
      <c r="O1003" s="4" t="str">
        <f>VLOOKUP(A1003,payment_ids!D:E,2,FALSE)</f>
        <v>upi</v>
      </c>
      <c r="P1003" s="4" t="s">
        <v>69</v>
      </c>
      <c r="Q1003" s="4" t="s">
        <v>4037</v>
      </c>
      <c r="R1003" s="4"/>
      <c r="S1003" s="12" t="s">
        <v>4033</v>
      </c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5"/>
      <c r="AI1003" s="5"/>
      <c r="AJ1003" s="5"/>
      <c r="AK1003" s="5"/>
      <c r="AL1003" s="5"/>
    </row>
    <row r="1004">
      <c r="A1004" s="4" t="str">
        <f>VLOOKUP(L1004,payment_ids!C:D,2,FALSE)</f>
        <v>pay_HDiZUB2LyrJtUq</v>
      </c>
      <c r="B1004" s="4"/>
      <c r="C1004" s="4" t="s">
        <v>4030</v>
      </c>
      <c r="D1004" s="4">
        <v>49833.0</v>
      </c>
      <c r="E1004" s="4"/>
      <c r="F1004" s="4">
        <v>1.0</v>
      </c>
      <c r="G1004" s="4">
        <v>99.0</v>
      </c>
      <c r="H1004" s="4"/>
      <c r="I1004" s="4">
        <v>99.0</v>
      </c>
      <c r="J1004" s="4" t="s">
        <v>4038</v>
      </c>
      <c r="K1004" s="6">
        <f>+919347914978</f>
        <v>919347914978</v>
      </c>
      <c r="L1004" s="4" t="str">
        <f t="shared" si="1"/>
        <v>amruthapalukuri@gmail.com919347914978</v>
      </c>
      <c r="M1004" s="10" t="s">
        <v>67</v>
      </c>
      <c r="N1004" s="4" t="b">
        <v>0</v>
      </c>
      <c r="O1004" s="4" t="str">
        <f>VLOOKUP(A1004,payment_ids!D:E,2,FALSE)</f>
        <v>upi</v>
      </c>
      <c r="P1004" s="4" t="s">
        <v>69</v>
      </c>
      <c r="Q1004" s="4" t="s">
        <v>4039</v>
      </c>
      <c r="R1004" s="4"/>
      <c r="S1004" s="12" t="s">
        <v>4033</v>
      </c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5"/>
      <c r="AI1004" s="5"/>
      <c r="AJ1004" s="5"/>
      <c r="AK1004" s="5"/>
      <c r="AL1004" s="5"/>
    </row>
    <row r="1005">
      <c r="A1005" s="4" t="str">
        <f>VLOOKUP(L1005,payment_ids!C:D,2,FALSE)</f>
        <v>pay_HDiZsHmQrcjMRo</v>
      </c>
      <c r="B1005" s="4"/>
      <c r="C1005" s="4" t="s">
        <v>4030</v>
      </c>
      <c r="D1005" s="4">
        <v>49833.0</v>
      </c>
      <c r="E1005" s="4"/>
      <c r="F1005" s="4">
        <v>1.0</v>
      </c>
      <c r="G1005" s="4">
        <v>99.0</v>
      </c>
      <c r="H1005" s="4"/>
      <c r="I1005" s="4">
        <v>99.0</v>
      </c>
      <c r="J1005" s="4" t="s">
        <v>4040</v>
      </c>
      <c r="K1005" s="6">
        <f>+918978090564</f>
        <v>918978090564</v>
      </c>
      <c r="L1005" s="4" t="str">
        <f t="shared" si="1"/>
        <v>siddapratyusha1@gmail.com918978090564</v>
      </c>
      <c r="M1005" s="10" t="s">
        <v>67</v>
      </c>
      <c r="N1005" s="4" t="b">
        <v>0</v>
      </c>
      <c r="O1005" s="4" t="str">
        <f>VLOOKUP(A1005,payment_ids!D:E,2,FALSE)</f>
        <v>upi</v>
      </c>
      <c r="P1005" s="4" t="s">
        <v>69</v>
      </c>
      <c r="Q1005" s="4" t="s">
        <v>4041</v>
      </c>
      <c r="R1005" s="4"/>
      <c r="S1005" s="12" t="s">
        <v>4033</v>
      </c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5"/>
      <c r="AI1005" s="5"/>
      <c r="AJ1005" s="5"/>
      <c r="AK1005" s="5"/>
      <c r="AL1005" s="5"/>
    </row>
    <row r="1006">
      <c r="A1006" s="4" t="str">
        <f>VLOOKUP(L1006,payment_ids!C:D,2,FALSE)</f>
        <v>pay_HDqjlB2JVL7zVI</v>
      </c>
      <c r="B1006" s="4"/>
      <c r="C1006" s="4" t="s">
        <v>4030</v>
      </c>
      <c r="D1006" s="4">
        <v>49833.0</v>
      </c>
      <c r="E1006" s="4"/>
      <c r="F1006" s="4">
        <v>1.0</v>
      </c>
      <c r="G1006" s="4">
        <v>99.0</v>
      </c>
      <c r="H1006" s="4"/>
      <c r="I1006" s="4">
        <v>99.0</v>
      </c>
      <c r="J1006" s="4" t="s">
        <v>4042</v>
      </c>
      <c r="K1006" s="6">
        <f>+919712920305</f>
        <v>919712920305</v>
      </c>
      <c r="L1006" s="4" t="str">
        <f t="shared" si="1"/>
        <v>ssareyoufine9@gmail.com919712920305</v>
      </c>
      <c r="M1006" s="10" t="s">
        <v>67</v>
      </c>
      <c r="N1006" s="4" t="b">
        <v>0</v>
      </c>
      <c r="O1006" s="4" t="str">
        <f>VLOOKUP(A1006,payment_ids!D:E,2,FALSE)</f>
        <v>upi</v>
      </c>
      <c r="P1006" s="4" t="s">
        <v>69</v>
      </c>
      <c r="Q1006" s="4" t="s">
        <v>4043</v>
      </c>
      <c r="R1006" s="4"/>
      <c r="S1006" s="12" t="s">
        <v>4033</v>
      </c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5"/>
      <c r="AI1006" s="5"/>
      <c r="AJ1006" s="5"/>
      <c r="AK1006" s="5"/>
      <c r="AL1006" s="5"/>
    </row>
    <row r="1007">
      <c r="A1007" s="4" t="str">
        <f>VLOOKUP(L1007,payment_ids!C:D,2,FALSE)</f>
        <v>pay_HDqvoLLG22Eo21</v>
      </c>
      <c r="B1007" s="4"/>
      <c r="C1007" s="4" t="s">
        <v>4030</v>
      </c>
      <c r="D1007" s="4">
        <v>49833.0</v>
      </c>
      <c r="E1007" s="4"/>
      <c r="F1007" s="4">
        <v>1.0</v>
      </c>
      <c r="G1007" s="4">
        <v>99.0</v>
      </c>
      <c r="H1007" s="4"/>
      <c r="I1007" s="4">
        <v>99.0</v>
      </c>
      <c r="J1007" s="4" t="s">
        <v>4044</v>
      </c>
      <c r="K1007" s="6">
        <f>+919167405403</f>
        <v>919167405403</v>
      </c>
      <c r="L1007" s="4" t="str">
        <f t="shared" si="1"/>
        <v>gandhiriya31@gmail.com919167405403</v>
      </c>
      <c r="M1007" s="10" t="s">
        <v>67</v>
      </c>
      <c r="N1007" s="4" t="b">
        <v>0</v>
      </c>
      <c r="O1007" s="4" t="str">
        <f>VLOOKUP(A1007,payment_ids!D:E,2,FALSE)</f>
        <v>card</v>
      </c>
      <c r="P1007" s="4" t="s">
        <v>69</v>
      </c>
      <c r="Q1007" s="4" t="s">
        <v>4045</v>
      </c>
      <c r="R1007" s="4"/>
      <c r="S1007" s="12" t="s">
        <v>4033</v>
      </c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5"/>
      <c r="AI1007" s="5"/>
      <c r="AJ1007" s="5"/>
      <c r="AK1007" s="5"/>
      <c r="AL1007" s="5"/>
    </row>
    <row r="1008">
      <c r="A1008" s="4" t="str">
        <f>VLOOKUP(L1008,payment_ids!C:D,2,FALSE)</f>
        <v>pay_HE4vvbHaeiIxdu</v>
      </c>
      <c r="B1008" s="4"/>
      <c r="C1008" s="4" t="s">
        <v>4030</v>
      </c>
      <c r="D1008" s="4">
        <v>49833.0</v>
      </c>
      <c r="E1008" s="4"/>
      <c r="F1008" s="4">
        <v>3.0</v>
      </c>
      <c r="G1008" s="4">
        <v>199.0</v>
      </c>
      <c r="H1008" s="4"/>
      <c r="I1008" s="4">
        <v>199.0</v>
      </c>
      <c r="J1008" s="4" t="s">
        <v>4046</v>
      </c>
      <c r="K1008" s="6">
        <f>+918310390152</f>
        <v>918310390152</v>
      </c>
      <c r="L1008" s="4" t="str">
        <f t="shared" si="1"/>
        <v>pratikshathakur251001@gmail.com918310390152</v>
      </c>
      <c r="M1008" s="10" t="s">
        <v>67</v>
      </c>
      <c r="N1008" s="4" t="b">
        <v>0</v>
      </c>
      <c r="O1008" s="4" t="str">
        <f>VLOOKUP(A1008,payment_ids!D:E,2,FALSE)</f>
        <v>upi</v>
      </c>
      <c r="P1008" s="4" t="s">
        <v>69</v>
      </c>
      <c r="Q1008" s="4" t="s">
        <v>4047</v>
      </c>
      <c r="R1008" s="4"/>
      <c r="S1008" s="12" t="s">
        <v>4033</v>
      </c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5"/>
      <c r="AI1008" s="5"/>
      <c r="AJ1008" s="5"/>
      <c r="AK1008" s="5"/>
      <c r="AL1008" s="5"/>
    </row>
    <row r="1009">
      <c r="A1009" s="4" t="str">
        <f>VLOOKUP(L1009,payment_ids!C:D,2,FALSE)</f>
        <v>pay_HE7JGKP0vftn6f</v>
      </c>
      <c r="B1009" s="4"/>
      <c r="C1009" s="4" t="s">
        <v>4030</v>
      </c>
      <c r="D1009" s="4">
        <v>49833.0</v>
      </c>
      <c r="E1009" s="4"/>
      <c r="F1009" s="4">
        <v>1.0</v>
      </c>
      <c r="G1009" s="4">
        <v>99.0</v>
      </c>
      <c r="H1009" s="4"/>
      <c r="I1009" s="4">
        <v>99.0</v>
      </c>
      <c r="J1009" s="4" t="s">
        <v>4048</v>
      </c>
      <c r="K1009" s="6">
        <f>+918130586081</f>
        <v>918130586081</v>
      </c>
      <c r="L1009" s="4" t="str">
        <f t="shared" si="1"/>
        <v>chhotushruti@gmail.com918130586081</v>
      </c>
      <c r="M1009" s="10" t="s">
        <v>67</v>
      </c>
      <c r="N1009" s="4" t="b">
        <v>0</v>
      </c>
      <c r="O1009" s="4" t="str">
        <f>VLOOKUP(A1009,payment_ids!D:E,2,FALSE)</f>
        <v>upi</v>
      </c>
      <c r="P1009" s="4" t="s">
        <v>69</v>
      </c>
      <c r="Q1009" s="4" t="s">
        <v>4049</v>
      </c>
      <c r="R1009" s="4"/>
      <c r="S1009" s="12" t="s">
        <v>4033</v>
      </c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5"/>
      <c r="AI1009" s="5"/>
      <c r="AJ1009" s="5"/>
      <c r="AK1009" s="5"/>
      <c r="AL1009" s="5"/>
    </row>
    <row r="1010">
      <c r="A1010" s="4" t="str">
        <f>VLOOKUP(L1010,payment_ids!C:D,2,FALSE)</f>
        <v>pay_HE8wFwdLawKMdt</v>
      </c>
      <c r="B1010" s="4"/>
      <c r="C1010" s="4" t="s">
        <v>4030</v>
      </c>
      <c r="D1010" s="4">
        <v>49833.0</v>
      </c>
      <c r="E1010" s="4"/>
      <c r="F1010" s="4">
        <v>6.0</v>
      </c>
      <c r="G1010" s="4">
        <v>349.0</v>
      </c>
      <c r="H1010" s="4"/>
      <c r="I1010" s="4">
        <v>349.0</v>
      </c>
      <c r="J1010" s="4" t="s">
        <v>4050</v>
      </c>
      <c r="K1010" s="6">
        <f>+919213237389</f>
        <v>919213237389</v>
      </c>
      <c r="L1010" s="4" t="str">
        <f t="shared" si="1"/>
        <v>jyots.gaur@gmail.com919213237389</v>
      </c>
      <c r="M1010" s="10" t="s">
        <v>67</v>
      </c>
      <c r="N1010" s="4" t="b">
        <v>0</v>
      </c>
      <c r="O1010" s="4" t="str">
        <f>VLOOKUP(A1010,payment_ids!D:E,2,FALSE)</f>
        <v>upi</v>
      </c>
      <c r="P1010" s="4" t="s">
        <v>69</v>
      </c>
      <c r="Q1010" s="4" t="s">
        <v>4051</v>
      </c>
      <c r="R1010" s="4"/>
      <c r="S1010" s="12" t="s">
        <v>4033</v>
      </c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5"/>
      <c r="AI1010" s="5"/>
      <c r="AJ1010" s="5"/>
      <c r="AK1010" s="5"/>
      <c r="AL1010" s="5"/>
    </row>
    <row r="1011">
      <c r="A1011" s="4" t="str">
        <f>VLOOKUP(L1011,payment_ids!C:D,2,FALSE)</f>
        <v>pay_HE9rhppYLWMKwm</v>
      </c>
      <c r="B1011" s="4"/>
      <c r="C1011" s="4" t="s">
        <v>4030</v>
      </c>
      <c r="D1011" s="4">
        <v>49833.0</v>
      </c>
      <c r="E1011" s="4"/>
      <c r="F1011" s="4">
        <v>1.0</v>
      </c>
      <c r="G1011" s="4">
        <v>99.0</v>
      </c>
      <c r="H1011" s="4"/>
      <c r="I1011" s="4">
        <v>99.0</v>
      </c>
      <c r="J1011" s="4" t="s">
        <v>4052</v>
      </c>
      <c r="K1011" s="6">
        <f>+917373070134</f>
        <v>917373070134</v>
      </c>
      <c r="L1011" s="4" t="str">
        <f t="shared" si="1"/>
        <v>miruthujegan@gmail.com917373070134</v>
      </c>
      <c r="M1011" s="10" t="s">
        <v>67</v>
      </c>
      <c r="N1011" s="4" t="b">
        <v>0</v>
      </c>
      <c r="O1011" s="4" t="str">
        <f>VLOOKUP(A1011,payment_ids!D:E,2,FALSE)</f>
        <v>card</v>
      </c>
      <c r="P1011" s="4" t="s">
        <v>69</v>
      </c>
      <c r="Q1011" s="4" t="s">
        <v>4053</v>
      </c>
      <c r="R1011" s="4"/>
      <c r="S1011" s="12" t="s">
        <v>4033</v>
      </c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5"/>
      <c r="AI1011" s="5"/>
      <c r="AJ1011" s="5"/>
      <c r="AK1011" s="5"/>
      <c r="AL1011" s="5"/>
    </row>
    <row r="1012">
      <c r="A1012" s="4" t="str">
        <f>VLOOKUP(L1012,payment_ids!C:D,2,FALSE)</f>
        <v>pay_HEBmx9KNFfpQ3E</v>
      </c>
      <c r="B1012" s="4"/>
      <c r="C1012" s="4" t="s">
        <v>4030</v>
      </c>
      <c r="D1012" s="4">
        <v>49833.0</v>
      </c>
      <c r="E1012" s="4"/>
      <c r="F1012" s="4">
        <v>1.0</v>
      </c>
      <c r="G1012" s="4">
        <v>99.0</v>
      </c>
      <c r="H1012" s="4"/>
      <c r="I1012" s="4">
        <v>99.0</v>
      </c>
      <c r="J1012" s="4" t="s">
        <v>4054</v>
      </c>
      <c r="K1012" s="6">
        <f>+918527009579</f>
        <v>918527009579</v>
      </c>
      <c r="L1012" s="4" t="str">
        <f t="shared" si="1"/>
        <v>poojachoudhary640@gmail.com918527009579</v>
      </c>
      <c r="M1012" s="10" t="s">
        <v>67</v>
      </c>
      <c r="N1012" s="4" t="b">
        <v>0</v>
      </c>
      <c r="O1012" s="4" t="str">
        <f>VLOOKUP(A1012,payment_ids!D:E,2,FALSE)</f>
        <v>card</v>
      </c>
      <c r="P1012" s="4" t="s">
        <v>69</v>
      </c>
      <c r="Q1012" s="4" t="s">
        <v>4055</v>
      </c>
      <c r="R1012" s="4"/>
      <c r="S1012" s="12" t="s">
        <v>4033</v>
      </c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5"/>
      <c r="AI1012" s="5"/>
      <c r="AJ1012" s="5"/>
      <c r="AK1012" s="5"/>
      <c r="AL1012" s="5"/>
    </row>
    <row r="1013">
      <c r="A1013" s="4" t="str">
        <f>VLOOKUP(L1013,payment_ids!C:D,2,FALSE)</f>
        <v>pay_HEDviBb92OjvIZ</v>
      </c>
      <c r="B1013" s="4"/>
      <c r="C1013" s="4" t="s">
        <v>4030</v>
      </c>
      <c r="D1013" s="4">
        <v>49833.0</v>
      </c>
      <c r="E1013" s="4"/>
      <c r="F1013" s="4">
        <v>1.0</v>
      </c>
      <c r="G1013" s="4">
        <v>99.0</v>
      </c>
      <c r="H1013" s="4"/>
      <c r="I1013" s="4">
        <v>99.0</v>
      </c>
      <c r="J1013" s="4" t="s">
        <v>4056</v>
      </c>
      <c r="K1013" s="6">
        <f>+918803010369</f>
        <v>918803010369</v>
      </c>
      <c r="L1013" s="4" t="str">
        <f t="shared" si="1"/>
        <v>kmansheen@gmail.com918803010369</v>
      </c>
      <c r="M1013" s="10" t="s">
        <v>67</v>
      </c>
      <c r="N1013" s="4" t="b">
        <v>0</v>
      </c>
      <c r="O1013" s="4" t="str">
        <f>VLOOKUP(A1013,payment_ids!D:E,2,FALSE)</f>
        <v>upi</v>
      </c>
      <c r="P1013" s="4" t="s">
        <v>69</v>
      </c>
      <c r="Q1013" s="4" t="s">
        <v>4057</v>
      </c>
      <c r="R1013" s="4"/>
      <c r="S1013" s="12" t="s">
        <v>4033</v>
      </c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5"/>
      <c r="AI1013" s="5"/>
      <c r="AJ1013" s="5"/>
      <c r="AK1013" s="5"/>
      <c r="AL1013" s="5"/>
    </row>
    <row r="1014">
      <c r="A1014" s="4" t="str">
        <f>VLOOKUP(L1014,payment_ids!C:D,2,FALSE)</f>
        <v>pay_HEHApMI4DXfgGO</v>
      </c>
      <c r="B1014" s="4"/>
      <c r="C1014" s="4" t="s">
        <v>4030</v>
      </c>
      <c r="D1014" s="4">
        <v>49833.0</v>
      </c>
      <c r="E1014" s="4"/>
      <c r="F1014" s="4">
        <v>1.0</v>
      </c>
      <c r="G1014" s="4">
        <v>99.0</v>
      </c>
      <c r="H1014" s="4"/>
      <c r="I1014" s="4">
        <v>99.0</v>
      </c>
      <c r="J1014" s="4" t="s">
        <v>4058</v>
      </c>
      <c r="K1014" s="6">
        <f>+919320539733</f>
        <v>919320539733</v>
      </c>
      <c r="L1014" s="4" t="str">
        <f t="shared" si="1"/>
        <v>grishadongrani@gmail.com919320539733</v>
      </c>
      <c r="M1014" s="10" t="s">
        <v>67</v>
      </c>
      <c r="N1014" s="4" t="b">
        <v>0</v>
      </c>
      <c r="O1014" s="4" t="str">
        <f>VLOOKUP(A1014,payment_ids!D:E,2,FALSE)</f>
        <v>card</v>
      </c>
      <c r="P1014" s="4" t="s">
        <v>69</v>
      </c>
      <c r="Q1014" s="4" t="s">
        <v>4059</v>
      </c>
      <c r="R1014" s="4"/>
      <c r="S1014" s="12" t="s">
        <v>4033</v>
      </c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5"/>
      <c r="AI1014" s="5"/>
      <c r="AJ1014" s="5"/>
      <c r="AK1014" s="5"/>
      <c r="AL1014" s="5"/>
    </row>
    <row r="1015">
      <c r="A1015" s="4" t="str">
        <f>VLOOKUP(L1015,payment_ids!C:D,2,FALSE)</f>
        <v>pay_HEKxJ79zFgrcCz</v>
      </c>
      <c r="B1015" s="4"/>
      <c r="C1015" s="4" t="s">
        <v>4030</v>
      </c>
      <c r="D1015" s="4">
        <v>49833.0</v>
      </c>
      <c r="E1015" s="4"/>
      <c r="F1015" s="4">
        <v>1.0</v>
      </c>
      <c r="G1015" s="4">
        <v>99.0</v>
      </c>
      <c r="H1015" s="4"/>
      <c r="I1015" s="4">
        <v>99.0</v>
      </c>
      <c r="J1015" s="4" t="s">
        <v>4060</v>
      </c>
      <c r="K1015" s="6">
        <f>+919748193462</f>
        <v>919748193462</v>
      </c>
      <c r="L1015" s="4" t="str">
        <f t="shared" si="1"/>
        <v>ujjayoniroy@gmail.com919748193462</v>
      </c>
      <c r="M1015" s="10" t="s">
        <v>67</v>
      </c>
      <c r="N1015" s="4" t="b">
        <v>0</v>
      </c>
      <c r="O1015" s="4" t="str">
        <f>VLOOKUP(A1015,payment_ids!D:E,2,FALSE)</f>
        <v>upi</v>
      </c>
      <c r="P1015" s="4" t="s">
        <v>69</v>
      </c>
      <c r="Q1015" s="4" t="s">
        <v>4061</v>
      </c>
      <c r="R1015" s="4"/>
      <c r="S1015" s="12" t="s">
        <v>4033</v>
      </c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5"/>
      <c r="AI1015" s="5"/>
      <c r="AJ1015" s="5"/>
      <c r="AK1015" s="5"/>
      <c r="AL1015" s="5"/>
    </row>
    <row r="1016">
      <c r="A1016" s="4" t="str">
        <f>VLOOKUP(L1016,payment_ids!C:D,2,FALSE)</f>
        <v>pay_HETLvCxXCCx3m9</v>
      </c>
      <c r="B1016" s="4"/>
      <c r="C1016" s="4" t="s">
        <v>4030</v>
      </c>
      <c r="D1016" s="4">
        <v>49833.0</v>
      </c>
      <c r="E1016" s="4"/>
      <c r="F1016" s="4">
        <v>1.0</v>
      </c>
      <c r="G1016" s="4">
        <v>99.0</v>
      </c>
      <c r="H1016" s="4"/>
      <c r="I1016" s="4">
        <v>99.0</v>
      </c>
      <c r="J1016" s="4" t="s">
        <v>4062</v>
      </c>
      <c r="K1016" s="6">
        <f>+919832040225</f>
        <v>919832040225</v>
      </c>
      <c r="L1016" s="4" t="str">
        <f t="shared" si="1"/>
        <v>nbajrachrya15@gmail.com919832040225</v>
      </c>
      <c r="M1016" s="10" t="s">
        <v>67</v>
      </c>
      <c r="N1016" s="4" t="b">
        <v>0</v>
      </c>
      <c r="O1016" s="4" t="str">
        <f>VLOOKUP(A1016,payment_ids!D:E,2,FALSE)</f>
        <v>upi</v>
      </c>
      <c r="P1016" s="4" t="s">
        <v>69</v>
      </c>
      <c r="Q1016" s="4" t="s">
        <v>4063</v>
      </c>
      <c r="R1016" s="4"/>
      <c r="S1016" s="12" t="s">
        <v>4033</v>
      </c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5"/>
      <c r="AI1016" s="5"/>
      <c r="AJ1016" s="5"/>
      <c r="AK1016" s="5"/>
      <c r="AL1016" s="5"/>
    </row>
    <row r="1017">
      <c r="A1017" s="4" t="str">
        <f>VLOOKUP(L1017,payment_ids!C:D,2,FALSE)</f>
        <v>pay_HETdnJae9RnHD5</v>
      </c>
      <c r="B1017" s="4"/>
      <c r="C1017" s="4" t="s">
        <v>4030</v>
      </c>
      <c r="D1017" s="4">
        <v>49833.0</v>
      </c>
      <c r="E1017" s="4"/>
      <c r="F1017" s="4">
        <v>6.0</v>
      </c>
      <c r="G1017" s="4">
        <v>349.0</v>
      </c>
      <c r="H1017" s="4"/>
      <c r="I1017" s="4">
        <v>349.0</v>
      </c>
      <c r="J1017" s="4" t="s">
        <v>4064</v>
      </c>
      <c r="K1017" s="6">
        <f>+918275416627</f>
        <v>918275416627</v>
      </c>
      <c r="L1017" s="4" t="str">
        <f t="shared" si="1"/>
        <v>madhurapawade1995@gmail.com918275416627</v>
      </c>
      <c r="M1017" s="10" t="s">
        <v>67</v>
      </c>
      <c r="N1017" s="4" t="b">
        <v>0</v>
      </c>
      <c r="O1017" s="4" t="str">
        <f>VLOOKUP(A1017,payment_ids!D:E,2,FALSE)</f>
        <v>upi</v>
      </c>
      <c r="P1017" s="4" t="s">
        <v>69</v>
      </c>
      <c r="Q1017" s="4" t="s">
        <v>4065</v>
      </c>
      <c r="R1017" s="4"/>
      <c r="S1017" s="12" t="s">
        <v>4033</v>
      </c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5"/>
      <c r="AI1017" s="5"/>
      <c r="AJ1017" s="5"/>
      <c r="AK1017" s="5"/>
      <c r="AL1017" s="5"/>
    </row>
    <row r="1018">
      <c r="A1018" s="4" t="str">
        <f>VLOOKUP(L1018,payment_ids!C:D,2,FALSE)</f>
        <v>pay_HETelhgsXYpZd3</v>
      </c>
      <c r="B1018" s="4"/>
      <c r="C1018" s="4" t="s">
        <v>4030</v>
      </c>
      <c r="D1018" s="4">
        <v>49833.0</v>
      </c>
      <c r="E1018" s="4"/>
      <c r="F1018" s="4">
        <v>1.0</v>
      </c>
      <c r="G1018" s="4">
        <v>99.0</v>
      </c>
      <c r="H1018" s="4"/>
      <c r="I1018" s="4">
        <v>99.0</v>
      </c>
      <c r="J1018" s="4" t="s">
        <v>618</v>
      </c>
      <c r="K1018" s="6">
        <f>+919445286758</f>
        <v>919445286758</v>
      </c>
      <c r="L1018" s="4" t="str">
        <f t="shared" si="1"/>
        <v>amrithaelan95@gmail.com919445286758</v>
      </c>
      <c r="M1018" s="10" t="s">
        <v>67</v>
      </c>
      <c r="N1018" s="4" t="b">
        <v>0</v>
      </c>
      <c r="O1018" s="4" t="str">
        <f>VLOOKUP(A1018,payment_ids!D:E,2,FALSE)</f>
        <v>upi</v>
      </c>
      <c r="P1018" s="4" t="s">
        <v>69</v>
      </c>
      <c r="Q1018" s="4" t="s">
        <v>4066</v>
      </c>
      <c r="R1018" s="4"/>
      <c r="S1018" s="12" t="s">
        <v>4033</v>
      </c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5"/>
      <c r="AI1018" s="5"/>
      <c r="AJ1018" s="5"/>
      <c r="AK1018" s="5"/>
      <c r="AL1018" s="5"/>
    </row>
    <row r="1019">
      <c r="A1019" s="4" t="str">
        <f>VLOOKUP(L1019,payment_ids!C:D,2,FALSE)</f>
        <v>pay_HEXDKCDfLYZ8kG</v>
      </c>
      <c r="B1019" s="4"/>
      <c r="C1019" s="4" t="s">
        <v>4030</v>
      </c>
      <c r="D1019" s="4">
        <v>49833.0</v>
      </c>
      <c r="E1019" s="4"/>
      <c r="F1019" s="4">
        <v>3.0</v>
      </c>
      <c r="G1019" s="4">
        <v>199.0</v>
      </c>
      <c r="H1019" s="4"/>
      <c r="I1019" s="4">
        <v>199.0</v>
      </c>
      <c r="J1019" s="4" t="s">
        <v>4067</v>
      </c>
      <c r="K1019" s="6">
        <f>+918168075495</f>
        <v>918168075495</v>
      </c>
      <c r="L1019" s="4" t="str">
        <f t="shared" si="1"/>
        <v>bluegirlazura1010@gmail.com918168075495</v>
      </c>
      <c r="M1019" s="10" t="s">
        <v>67</v>
      </c>
      <c r="N1019" s="4" t="b">
        <v>0</v>
      </c>
      <c r="O1019" s="4" t="str">
        <f>VLOOKUP(A1019,payment_ids!D:E,2,FALSE)</f>
        <v>upi</v>
      </c>
      <c r="P1019" s="4" t="s">
        <v>69</v>
      </c>
      <c r="Q1019" s="4" t="s">
        <v>4068</v>
      </c>
      <c r="R1019" s="4"/>
      <c r="S1019" s="12" t="s">
        <v>4033</v>
      </c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5"/>
      <c r="AI1019" s="5"/>
      <c r="AJ1019" s="5"/>
      <c r="AK1019" s="5"/>
      <c r="AL1019" s="5"/>
    </row>
    <row r="1020">
      <c r="A1020" s="4" t="str">
        <f>VLOOKUP(L1020,payment_ids!C:D,2,FALSE)</f>
        <v>pay_HEXRsy24IqcQpK</v>
      </c>
      <c r="B1020" s="4"/>
      <c r="C1020" s="4" t="s">
        <v>4030</v>
      </c>
      <c r="D1020" s="4">
        <v>49833.0</v>
      </c>
      <c r="E1020" s="4"/>
      <c r="F1020" s="4">
        <v>1.0</v>
      </c>
      <c r="G1020" s="4">
        <v>99.0</v>
      </c>
      <c r="H1020" s="4"/>
      <c r="I1020" s="4">
        <v>99.0</v>
      </c>
      <c r="J1020" s="4" t="s">
        <v>4069</v>
      </c>
      <c r="K1020" s="6">
        <f>+919841417823</f>
        <v>919841417823</v>
      </c>
      <c r="L1020" s="4" t="str">
        <f t="shared" si="1"/>
        <v>iwonder2k16@gmail.com919841417823</v>
      </c>
      <c r="M1020" s="10" t="s">
        <v>67</v>
      </c>
      <c r="N1020" s="4" t="b">
        <v>0</v>
      </c>
      <c r="O1020" s="4" t="str">
        <f>VLOOKUP(A1020,payment_ids!D:E,2,FALSE)</f>
        <v>upi</v>
      </c>
      <c r="P1020" s="4" t="s">
        <v>69</v>
      </c>
      <c r="Q1020" s="4" t="s">
        <v>4070</v>
      </c>
      <c r="R1020" s="4"/>
      <c r="S1020" s="12" t="s">
        <v>4033</v>
      </c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5"/>
      <c r="AI1020" s="5"/>
      <c r="AJ1020" s="5"/>
      <c r="AK1020" s="5"/>
      <c r="AL1020" s="5"/>
    </row>
    <row r="1021">
      <c r="A1021" s="4" t="str">
        <f>VLOOKUP(L1021,payment_ids!C:D,2,FALSE)</f>
        <v>pay_HEY4fwUvAT6gG8</v>
      </c>
      <c r="B1021" s="4"/>
      <c r="C1021" s="4" t="s">
        <v>4030</v>
      </c>
      <c r="D1021" s="4">
        <v>49833.0</v>
      </c>
      <c r="E1021" s="4"/>
      <c r="F1021" s="4">
        <v>3.0</v>
      </c>
      <c r="G1021" s="4">
        <v>199.0</v>
      </c>
      <c r="H1021" s="4"/>
      <c r="I1021" s="4">
        <v>199.0</v>
      </c>
      <c r="J1021" s="4" t="s">
        <v>4071</v>
      </c>
      <c r="K1021" s="6">
        <f>+919908156305</f>
        <v>919908156305</v>
      </c>
      <c r="L1021" s="4" t="str">
        <f t="shared" si="1"/>
        <v>pavaninune2001@gmail.com919908156305</v>
      </c>
      <c r="M1021" s="10" t="s">
        <v>67</v>
      </c>
      <c r="N1021" s="4" t="b">
        <v>0</v>
      </c>
      <c r="O1021" s="4" t="str">
        <f>VLOOKUP(A1021,payment_ids!D:E,2,FALSE)</f>
        <v>netbanking</v>
      </c>
      <c r="P1021" s="4" t="s">
        <v>69</v>
      </c>
      <c r="Q1021" s="4" t="s">
        <v>4072</v>
      </c>
      <c r="R1021" s="4"/>
      <c r="S1021" s="12" t="s">
        <v>4033</v>
      </c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5"/>
      <c r="AI1021" s="5"/>
      <c r="AJ1021" s="5"/>
      <c r="AK1021" s="5"/>
      <c r="AL1021" s="5"/>
    </row>
    <row r="1022">
      <c r="A1022" s="4" t="str">
        <f>VLOOKUP(L1022,payment_ids!C:D,2,FALSE)</f>
        <v>pay_HCcii90NwSkO0o</v>
      </c>
      <c r="B1022" s="4"/>
      <c r="C1022" s="4" t="s">
        <v>4030</v>
      </c>
      <c r="D1022" s="4">
        <v>49833.0</v>
      </c>
      <c r="E1022" s="4"/>
      <c r="F1022" s="4">
        <v>3.0</v>
      </c>
      <c r="G1022" s="4">
        <v>199.0</v>
      </c>
      <c r="H1022" s="4"/>
      <c r="I1022" s="4">
        <v>199.0</v>
      </c>
      <c r="J1022" s="4" t="s">
        <v>4073</v>
      </c>
      <c r="K1022" s="6">
        <f>+919940873060</f>
        <v>919940873060</v>
      </c>
      <c r="L1022" s="4" t="str">
        <f t="shared" si="1"/>
        <v>dhivya1371999@gmail.com919940873060</v>
      </c>
      <c r="M1022" s="10" t="s">
        <v>67</v>
      </c>
      <c r="N1022" s="4" t="b">
        <v>0</v>
      </c>
      <c r="O1022" s="4" t="str">
        <f>VLOOKUP(A1022,payment_ids!D:E,2,FALSE)</f>
        <v>card</v>
      </c>
      <c r="P1022" s="4" t="s">
        <v>69</v>
      </c>
      <c r="Q1022" s="4" t="s">
        <v>4074</v>
      </c>
      <c r="R1022" s="4"/>
      <c r="S1022" s="12" t="s">
        <v>4033</v>
      </c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5"/>
      <c r="AI1022" s="5"/>
      <c r="AJ1022" s="5"/>
      <c r="AK1022" s="5"/>
      <c r="AL1022" s="5"/>
    </row>
    <row r="1023">
      <c r="A1023" s="4" t="str">
        <f>VLOOKUP(L1023,payment_ids!C:D,2,FALSE)</f>
        <v>pay_HDnu8ztV5gSokW</v>
      </c>
      <c r="B1023" s="4"/>
      <c r="C1023" s="4" t="s">
        <v>4030</v>
      </c>
      <c r="D1023" s="4">
        <v>49833.0</v>
      </c>
      <c r="E1023" s="4"/>
      <c r="F1023" s="4">
        <v>3.0</v>
      </c>
      <c r="G1023" s="4">
        <v>199.0</v>
      </c>
      <c r="H1023" s="4"/>
      <c r="I1023" s="4">
        <v>199.0</v>
      </c>
      <c r="J1023" s="4" t="s">
        <v>4075</v>
      </c>
      <c r="K1023" s="6">
        <f>+919001189722</f>
        <v>919001189722</v>
      </c>
      <c r="L1023" s="4" t="str">
        <f t="shared" si="1"/>
        <v>kuhusharma324@gmail.com919001189722</v>
      </c>
      <c r="M1023" s="10" t="s">
        <v>67</v>
      </c>
      <c r="N1023" s="4" t="b">
        <v>0</v>
      </c>
      <c r="O1023" s="4" t="str">
        <f>VLOOKUP(A1023,payment_ids!D:E,2,FALSE)</f>
        <v>upi</v>
      </c>
      <c r="P1023" s="4" t="s">
        <v>69</v>
      </c>
      <c r="Q1023" s="4" t="s">
        <v>4076</v>
      </c>
      <c r="R1023" s="4"/>
      <c r="S1023" s="12" t="s">
        <v>4033</v>
      </c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5"/>
      <c r="AI1023" s="5"/>
      <c r="AJ1023" s="5"/>
      <c r="AK1023" s="5"/>
      <c r="AL1023" s="5"/>
    </row>
    <row r="1024">
      <c r="A1024" s="4" t="str">
        <f>VLOOKUP(L1024,payment_ids!C:D,2,FALSE)</f>
        <v>pay_HEcE2oft7fpv91</v>
      </c>
      <c r="B1024" s="4"/>
      <c r="C1024" s="4" t="s">
        <v>4030</v>
      </c>
      <c r="D1024" s="4">
        <v>49833.0</v>
      </c>
      <c r="E1024" s="4"/>
      <c r="F1024" s="4">
        <v>1.0</v>
      </c>
      <c r="G1024" s="4">
        <v>99.0</v>
      </c>
      <c r="H1024" s="4"/>
      <c r="I1024" s="4">
        <v>99.0</v>
      </c>
      <c r="J1024" s="4" t="s">
        <v>4077</v>
      </c>
      <c r="K1024" s="6">
        <f>+919811667090</f>
        <v>919811667090</v>
      </c>
      <c r="L1024" s="4" t="str">
        <f t="shared" si="1"/>
        <v>amits12978@gmail.com919811667090</v>
      </c>
      <c r="M1024" s="10" t="s">
        <v>67</v>
      </c>
      <c r="N1024" s="4" t="b">
        <v>0</v>
      </c>
      <c r="O1024" s="4" t="str">
        <f>VLOOKUP(A1024,payment_ids!D:E,2,FALSE)</f>
        <v>upi</v>
      </c>
      <c r="P1024" s="4" t="s">
        <v>69</v>
      </c>
      <c r="Q1024" s="4" t="s">
        <v>4078</v>
      </c>
      <c r="R1024" s="4"/>
      <c r="S1024" s="12" t="s">
        <v>4033</v>
      </c>
      <c r="T1024" s="4"/>
      <c r="U1024" s="4"/>
      <c r="V1024" s="4"/>
      <c r="W1024" s="4"/>
      <c r="X1024" s="4"/>
      <c r="Y1024" s="4"/>
      <c r="Z1024" s="4"/>
      <c r="AA1024" s="4"/>
      <c r="AB1024" s="4"/>
      <c r="AC1024" s="8"/>
      <c r="AD1024" s="4"/>
      <c r="AE1024" s="4"/>
      <c r="AF1024" s="4"/>
      <c r="AG1024" s="4"/>
      <c r="AH1024" s="5"/>
      <c r="AI1024" s="5"/>
      <c r="AJ1024" s="5"/>
      <c r="AK1024" s="5"/>
      <c r="AL1024" s="5"/>
    </row>
    <row r="1025">
      <c r="A1025" s="4" t="str">
        <f>VLOOKUP(L1025,payment_ids!C:D,2,FALSE)</f>
        <v>pay_HEcOb0LpIqh9Pa</v>
      </c>
      <c r="B1025" s="4"/>
      <c r="C1025" s="4" t="s">
        <v>4030</v>
      </c>
      <c r="D1025" s="4">
        <v>49833.0</v>
      </c>
      <c r="E1025" s="4"/>
      <c r="F1025" s="4">
        <v>1.0</v>
      </c>
      <c r="G1025" s="4">
        <v>99.0</v>
      </c>
      <c r="H1025" s="4"/>
      <c r="I1025" s="4">
        <v>99.0</v>
      </c>
      <c r="J1025" s="4" t="s">
        <v>4079</v>
      </c>
      <c r="K1025" s="6">
        <f>+919344517411</f>
        <v>919344517411</v>
      </c>
      <c r="L1025" s="4" t="str">
        <f t="shared" si="1"/>
        <v>dr.ys1403@gmail.com919344517411</v>
      </c>
      <c r="M1025" s="10" t="s">
        <v>67</v>
      </c>
      <c r="N1025" s="4" t="b">
        <v>0</v>
      </c>
      <c r="O1025" s="4" t="str">
        <f>VLOOKUP(A1025,payment_ids!D:E,2,FALSE)</f>
        <v>upi</v>
      </c>
      <c r="P1025" s="4" t="s">
        <v>69</v>
      </c>
      <c r="Q1025" s="4" t="s">
        <v>4080</v>
      </c>
      <c r="R1025" s="4"/>
      <c r="S1025" s="12" t="s">
        <v>4033</v>
      </c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5"/>
      <c r="AI1025" s="5"/>
      <c r="AJ1025" s="5"/>
      <c r="AK1025" s="5"/>
      <c r="AL1025" s="5"/>
    </row>
    <row r="1026">
      <c r="A1026" s="4" t="str">
        <f>VLOOKUP(L1026,payment_ids!C:D,2,FALSE)</f>
        <v>pay_HEiQrY9CxG981a</v>
      </c>
      <c r="B1026" s="4"/>
      <c r="C1026" s="4" t="s">
        <v>4030</v>
      </c>
      <c r="D1026" s="4">
        <v>49833.0</v>
      </c>
      <c r="E1026" s="4"/>
      <c r="F1026" s="4">
        <v>1.0</v>
      </c>
      <c r="G1026" s="4">
        <v>99.0</v>
      </c>
      <c r="H1026" s="4"/>
      <c r="I1026" s="4">
        <v>99.0</v>
      </c>
      <c r="J1026" s="4" t="s">
        <v>4081</v>
      </c>
      <c r="K1026" s="6">
        <f>+919365081094</f>
        <v>919365081094</v>
      </c>
      <c r="L1026" s="4" t="str">
        <f t="shared" si="1"/>
        <v>merlyndaimari62@gmail.com919365081094</v>
      </c>
      <c r="M1026" s="10" t="s">
        <v>67</v>
      </c>
      <c r="N1026" s="4" t="b">
        <v>0</v>
      </c>
      <c r="O1026" s="4" t="str">
        <f>VLOOKUP(A1026,payment_ids!D:E,2,FALSE)</f>
        <v>upi</v>
      </c>
      <c r="P1026" s="4" t="s">
        <v>69</v>
      </c>
      <c r="Q1026" s="4" t="s">
        <v>4082</v>
      </c>
      <c r="R1026" s="4"/>
      <c r="S1026" s="12" t="s">
        <v>4033</v>
      </c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5"/>
      <c r="AI1026" s="5"/>
      <c r="AJ1026" s="5"/>
      <c r="AK1026" s="5"/>
      <c r="AL1026" s="5"/>
    </row>
    <row r="1027">
      <c r="A1027" s="4" t="str">
        <f>VLOOKUP(L1027,payment_ids!C:D,2,FALSE)</f>
        <v>pay_HEjWjLNMKcoFdg</v>
      </c>
      <c r="B1027" s="4"/>
      <c r="C1027" s="4" t="s">
        <v>4030</v>
      </c>
      <c r="D1027" s="4">
        <v>49833.0</v>
      </c>
      <c r="E1027" s="4"/>
      <c r="F1027" s="4">
        <v>1.0</v>
      </c>
      <c r="G1027" s="4">
        <v>99.0</v>
      </c>
      <c r="H1027" s="4"/>
      <c r="I1027" s="4">
        <v>99.0</v>
      </c>
      <c r="J1027" s="4" t="s">
        <v>4083</v>
      </c>
      <c r="K1027" s="6">
        <f>+916006178509</f>
        <v>916006178509</v>
      </c>
      <c r="L1027" s="4" t="str">
        <f t="shared" si="1"/>
        <v>rigzinamo99@gmail.com916006178509</v>
      </c>
      <c r="M1027" s="10" t="s">
        <v>67</v>
      </c>
      <c r="N1027" s="4" t="b">
        <v>0</v>
      </c>
      <c r="O1027" s="4" t="str">
        <f>VLOOKUP(A1027,payment_ids!D:E,2,FALSE)</f>
        <v>upi</v>
      </c>
      <c r="P1027" s="4" t="s">
        <v>69</v>
      </c>
      <c r="Q1027" s="4" t="s">
        <v>4084</v>
      </c>
      <c r="R1027" s="4"/>
      <c r="S1027" s="12" t="s">
        <v>4033</v>
      </c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5"/>
      <c r="AI1027" s="5"/>
      <c r="AJ1027" s="5"/>
      <c r="AK1027" s="5"/>
      <c r="AL1027" s="5"/>
    </row>
    <row r="1028">
      <c r="A1028" s="4" t="str">
        <f>VLOOKUP(L1028,payment_ids!C:D,2,FALSE)</f>
        <v>pay_HErHrzaItsDn09</v>
      </c>
      <c r="B1028" s="4"/>
      <c r="C1028" s="4" t="s">
        <v>4030</v>
      </c>
      <c r="D1028" s="4">
        <v>49833.0</v>
      </c>
      <c r="E1028" s="4"/>
      <c r="F1028" s="4">
        <v>1.0</v>
      </c>
      <c r="G1028" s="4">
        <v>99.0</v>
      </c>
      <c r="H1028" s="4"/>
      <c r="I1028" s="4">
        <v>99.0</v>
      </c>
      <c r="J1028" s="4" t="s">
        <v>4085</v>
      </c>
      <c r="K1028" s="6">
        <f>+919916926001</f>
        <v>919916926001</v>
      </c>
      <c r="L1028" s="4" t="str">
        <f t="shared" si="1"/>
        <v>niki.pearl006@gmail.com919916926001</v>
      </c>
      <c r="M1028" s="10" t="s">
        <v>67</v>
      </c>
      <c r="N1028" s="4" t="b">
        <v>0</v>
      </c>
      <c r="O1028" s="4" t="str">
        <f>VLOOKUP(A1028,payment_ids!D:E,2,FALSE)</f>
        <v>upi</v>
      </c>
      <c r="P1028" s="4" t="s">
        <v>69</v>
      </c>
      <c r="Q1028" s="4" t="s">
        <v>4086</v>
      </c>
      <c r="R1028" s="4"/>
      <c r="S1028" s="12" t="s">
        <v>4033</v>
      </c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5"/>
      <c r="AI1028" s="5"/>
      <c r="AJ1028" s="5"/>
      <c r="AK1028" s="5"/>
      <c r="AL1028" s="5"/>
    </row>
    <row r="1029">
      <c r="A1029" s="4" t="str">
        <f>VLOOKUP(L1029,payment_ids!C:D,2,FALSE)</f>
        <v>pay_HErsdefNmAjAID</v>
      </c>
      <c r="B1029" s="4"/>
      <c r="C1029" s="4" t="s">
        <v>4030</v>
      </c>
      <c r="D1029" s="4">
        <v>49833.0</v>
      </c>
      <c r="E1029" s="4"/>
      <c r="F1029" s="4">
        <v>1.0</v>
      </c>
      <c r="G1029" s="4">
        <v>99.0</v>
      </c>
      <c r="H1029" s="4"/>
      <c r="I1029" s="4">
        <v>99.0</v>
      </c>
      <c r="J1029" s="4" t="s">
        <v>4087</v>
      </c>
      <c r="K1029" s="6">
        <f>+918904278028</f>
        <v>918904278028</v>
      </c>
      <c r="L1029" s="4" t="str">
        <f t="shared" si="1"/>
        <v>lhamyuton28@gmail.com918904278028</v>
      </c>
      <c r="M1029" s="10" t="s">
        <v>67</v>
      </c>
      <c r="N1029" s="4" t="b">
        <v>0</v>
      </c>
      <c r="O1029" s="4" t="str">
        <f>VLOOKUP(A1029,payment_ids!D:E,2,FALSE)</f>
        <v>upi</v>
      </c>
      <c r="P1029" s="4" t="s">
        <v>69</v>
      </c>
      <c r="Q1029" s="4" t="s">
        <v>4088</v>
      </c>
      <c r="R1029" s="4"/>
      <c r="S1029" s="12" t="s">
        <v>4033</v>
      </c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5"/>
      <c r="AI1029" s="5"/>
      <c r="AJ1029" s="5"/>
      <c r="AK1029" s="5"/>
      <c r="AL1029" s="5"/>
    </row>
    <row r="1030">
      <c r="A1030" s="4" t="str">
        <f>VLOOKUP(L1030,payment_ids!C:D,2,FALSE)</f>
        <v>pay_HEtMD3Vo73uxIs</v>
      </c>
      <c r="B1030" s="4"/>
      <c r="C1030" s="4" t="s">
        <v>4030</v>
      </c>
      <c r="D1030" s="4">
        <v>49833.0</v>
      </c>
      <c r="E1030" s="4"/>
      <c r="F1030" s="4">
        <v>1.0</v>
      </c>
      <c r="G1030" s="4">
        <v>99.0</v>
      </c>
      <c r="H1030" s="4"/>
      <c r="I1030" s="4">
        <v>99.0</v>
      </c>
      <c r="J1030" s="4" t="s">
        <v>4089</v>
      </c>
      <c r="K1030" s="6">
        <f>+919048332410</f>
        <v>919048332410</v>
      </c>
      <c r="L1030" s="4" t="str">
        <f t="shared" si="1"/>
        <v>amruthas935@gmail.com919048332410</v>
      </c>
      <c r="M1030" s="10" t="s">
        <v>67</v>
      </c>
      <c r="N1030" s="4" t="b">
        <v>0</v>
      </c>
      <c r="O1030" s="4" t="str">
        <f>VLOOKUP(A1030,payment_ids!D:E,2,FALSE)</f>
        <v>upi</v>
      </c>
      <c r="P1030" s="4" t="s">
        <v>69</v>
      </c>
      <c r="Q1030" s="4" t="s">
        <v>4090</v>
      </c>
      <c r="R1030" s="4"/>
      <c r="S1030" s="12" t="s">
        <v>4033</v>
      </c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5"/>
      <c r="AI1030" s="5"/>
      <c r="AJ1030" s="5"/>
      <c r="AK1030" s="5"/>
      <c r="AL1030" s="5"/>
    </row>
    <row r="1031">
      <c r="A1031" s="4" t="str">
        <f>VLOOKUP(L1031,payment_ids!C:D,2,FALSE)</f>
        <v>pay_HEtX92DdHmplTd</v>
      </c>
      <c r="B1031" s="4"/>
      <c r="C1031" s="4" t="s">
        <v>4030</v>
      </c>
      <c r="D1031" s="4">
        <v>49833.0</v>
      </c>
      <c r="E1031" s="4"/>
      <c r="F1031" s="4">
        <v>6.0</v>
      </c>
      <c r="G1031" s="4">
        <v>349.0</v>
      </c>
      <c r="H1031" s="4"/>
      <c r="I1031" s="4">
        <v>349.0</v>
      </c>
      <c r="J1031" s="4" t="s">
        <v>4091</v>
      </c>
      <c r="K1031" s="6">
        <f>+918953966699</f>
        <v>918953966699</v>
      </c>
      <c r="L1031" s="4" t="str">
        <f t="shared" si="1"/>
        <v>pragatii.dixit4299@gmail.com918953966699</v>
      </c>
      <c r="M1031" s="10" t="s">
        <v>67</v>
      </c>
      <c r="N1031" s="4" t="b">
        <v>0</v>
      </c>
      <c r="O1031" s="4" t="str">
        <f>VLOOKUP(A1031,payment_ids!D:E,2,FALSE)</f>
        <v>upi</v>
      </c>
      <c r="P1031" s="4" t="s">
        <v>69</v>
      </c>
      <c r="Q1031" s="4" t="s">
        <v>4092</v>
      </c>
      <c r="R1031" s="4"/>
      <c r="S1031" s="12" t="s">
        <v>4033</v>
      </c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5"/>
      <c r="AI1031" s="5"/>
      <c r="AJ1031" s="5"/>
      <c r="AK1031" s="5"/>
      <c r="AL1031" s="5"/>
    </row>
    <row r="1032">
      <c r="A1032" s="4" t="str">
        <f>VLOOKUP(L1032,payment_ids!C:D,2,FALSE)</f>
        <v>pay_HEu7rv3UZCdCKw</v>
      </c>
      <c r="B1032" s="4"/>
      <c r="C1032" s="4" t="s">
        <v>4030</v>
      </c>
      <c r="D1032" s="4">
        <v>49833.0</v>
      </c>
      <c r="E1032" s="4"/>
      <c r="F1032" s="4">
        <v>3.0</v>
      </c>
      <c r="G1032" s="4">
        <v>199.0</v>
      </c>
      <c r="H1032" s="4"/>
      <c r="I1032" s="4">
        <v>199.0</v>
      </c>
      <c r="J1032" s="4" t="s">
        <v>1131</v>
      </c>
      <c r="K1032" s="6">
        <f>+919920065850</f>
        <v>919920065850</v>
      </c>
      <c r="L1032" s="4" t="str">
        <f t="shared" si="1"/>
        <v>dipti.shetye@gmail.com919920065850</v>
      </c>
      <c r="M1032" s="10" t="s">
        <v>67</v>
      </c>
      <c r="N1032" s="4" t="b">
        <v>0</v>
      </c>
      <c r="O1032" s="4" t="str">
        <f>VLOOKUP(A1032,payment_ids!D:E,2,FALSE)</f>
        <v>card</v>
      </c>
      <c r="P1032" s="4" t="s">
        <v>69</v>
      </c>
      <c r="Q1032" s="4" t="s">
        <v>4093</v>
      </c>
      <c r="R1032" s="4"/>
      <c r="S1032" s="12" t="s">
        <v>4033</v>
      </c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5"/>
      <c r="AI1032" s="5"/>
      <c r="AJ1032" s="5"/>
      <c r="AK1032" s="5"/>
      <c r="AL1032" s="5"/>
    </row>
    <row r="1033">
      <c r="A1033" s="4" t="str">
        <f>VLOOKUP(L1033,payment_ids!C:D,2,FALSE)</f>
        <v>pay_HEuOrxldDra0Iw</v>
      </c>
      <c r="B1033" s="4"/>
      <c r="C1033" s="4" t="s">
        <v>4030</v>
      </c>
      <c r="D1033" s="4">
        <v>49833.0</v>
      </c>
      <c r="E1033" s="4"/>
      <c r="F1033" s="4">
        <v>1.0</v>
      </c>
      <c r="G1033" s="4">
        <v>99.0</v>
      </c>
      <c r="H1033" s="4"/>
      <c r="I1033" s="4">
        <v>99.0</v>
      </c>
      <c r="J1033" s="4" t="s">
        <v>4094</v>
      </c>
      <c r="K1033" s="6">
        <f>+919986400398</f>
        <v>919986400398</v>
      </c>
      <c r="L1033" s="4" t="str">
        <f t="shared" si="1"/>
        <v>bhagyshree.nitin@gmail.com919986400398</v>
      </c>
      <c r="M1033" s="10" t="s">
        <v>67</v>
      </c>
      <c r="N1033" s="4" t="b">
        <v>0</v>
      </c>
      <c r="O1033" s="4" t="str">
        <f>VLOOKUP(A1033,payment_ids!D:E,2,FALSE)</f>
        <v>upi</v>
      </c>
      <c r="P1033" s="4" t="s">
        <v>69</v>
      </c>
      <c r="Q1033" s="4" t="s">
        <v>4095</v>
      </c>
      <c r="R1033" s="4"/>
      <c r="S1033" s="12" t="s">
        <v>4033</v>
      </c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5"/>
      <c r="AI1033" s="5"/>
      <c r="AJ1033" s="5"/>
      <c r="AK1033" s="5"/>
      <c r="AL1033" s="5"/>
    </row>
    <row r="1034">
      <c r="A1034" s="4" t="str">
        <f>VLOOKUP(L1034,payment_ids!C:D,2,FALSE)</f>
        <v>pay_HEufLKcxkGGEsM</v>
      </c>
      <c r="B1034" s="4"/>
      <c r="C1034" s="4" t="s">
        <v>4030</v>
      </c>
      <c r="D1034" s="4">
        <v>49833.0</v>
      </c>
      <c r="E1034" s="4"/>
      <c r="F1034" s="4">
        <v>6.0</v>
      </c>
      <c r="G1034" s="4">
        <v>349.0</v>
      </c>
      <c r="H1034" s="4"/>
      <c r="I1034" s="4">
        <v>349.0</v>
      </c>
      <c r="J1034" s="4" t="s">
        <v>4096</v>
      </c>
      <c r="K1034" s="6">
        <f>+919981556104</f>
        <v>919981556104</v>
      </c>
      <c r="L1034" s="4" t="str">
        <f t="shared" si="1"/>
        <v>anamikaxaxa92@gmail.com919981556104</v>
      </c>
      <c r="M1034" s="10" t="s">
        <v>67</v>
      </c>
      <c r="N1034" s="4" t="b">
        <v>0</v>
      </c>
      <c r="O1034" s="4" t="str">
        <f>VLOOKUP(A1034,payment_ids!D:E,2,FALSE)</f>
        <v>upi</v>
      </c>
      <c r="P1034" s="4" t="s">
        <v>69</v>
      </c>
      <c r="Q1034" s="4" t="s">
        <v>4097</v>
      </c>
      <c r="R1034" s="4"/>
      <c r="S1034" s="12" t="s">
        <v>4033</v>
      </c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5"/>
      <c r="AI1034" s="5"/>
      <c r="AJ1034" s="5"/>
      <c r="AK1034" s="5"/>
      <c r="AL1034" s="5"/>
    </row>
    <row r="1035">
      <c r="A1035" s="4" t="str">
        <f>VLOOKUP(L1035,payment_ids!C:D,2,FALSE)</f>
        <v>pay_HEvmrcWXoFzl2g</v>
      </c>
      <c r="B1035" s="4"/>
      <c r="C1035" s="4" t="s">
        <v>4030</v>
      </c>
      <c r="D1035" s="4">
        <v>49833.0</v>
      </c>
      <c r="E1035" s="4"/>
      <c r="F1035" s="4">
        <v>1.0</v>
      </c>
      <c r="G1035" s="4">
        <v>99.0</v>
      </c>
      <c r="H1035" s="4"/>
      <c r="I1035" s="4">
        <v>99.0</v>
      </c>
      <c r="J1035" s="4" t="s">
        <v>4098</v>
      </c>
      <c r="K1035" s="6">
        <f>+919916871220</f>
        <v>919916871220</v>
      </c>
      <c r="L1035" s="4" t="str">
        <f t="shared" si="1"/>
        <v>ananyawarakeri@gmail.com919916871220</v>
      </c>
      <c r="M1035" s="10" t="s">
        <v>67</v>
      </c>
      <c r="N1035" s="4" t="b">
        <v>0</v>
      </c>
      <c r="O1035" s="4" t="str">
        <f>VLOOKUP(A1035,payment_ids!D:E,2,FALSE)</f>
        <v>card</v>
      </c>
      <c r="P1035" s="4" t="s">
        <v>69</v>
      </c>
      <c r="Q1035" s="4" t="s">
        <v>4099</v>
      </c>
      <c r="R1035" s="4"/>
      <c r="S1035" s="12" t="s">
        <v>4033</v>
      </c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5"/>
      <c r="AI1035" s="5"/>
      <c r="AJ1035" s="5"/>
      <c r="AK1035" s="5"/>
      <c r="AL1035" s="5"/>
    </row>
    <row r="1036">
      <c r="A1036" s="4" t="str">
        <f>VLOOKUP(L1036,payment_ids!C:D,2,FALSE)</f>
        <v>pay_HF2SCOq7LftpeG</v>
      </c>
      <c r="B1036" s="4"/>
      <c r="C1036" s="4" t="s">
        <v>4030</v>
      </c>
      <c r="D1036" s="4">
        <v>49833.0</v>
      </c>
      <c r="E1036" s="4"/>
      <c r="F1036" s="4">
        <v>1.0</v>
      </c>
      <c r="G1036" s="4">
        <v>99.0</v>
      </c>
      <c r="H1036" s="4"/>
      <c r="I1036" s="4">
        <v>99.0</v>
      </c>
      <c r="J1036" s="4" t="s">
        <v>4100</v>
      </c>
      <c r="K1036" s="6">
        <f>+917338441117</f>
        <v>917338441117</v>
      </c>
      <c r="L1036" s="4" t="str">
        <f t="shared" si="1"/>
        <v>alejasmine@gmail.com917338441117</v>
      </c>
      <c r="M1036" s="10" t="s">
        <v>67</v>
      </c>
      <c r="N1036" s="4" t="b">
        <v>0</v>
      </c>
      <c r="O1036" s="4" t="str">
        <f>VLOOKUP(A1036,payment_ids!D:E,2,FALSE)</f>
        <v>upi</v>
      </c>
      <c r="P1036" s="4" t="s">
        <v>69</v>
      </c>
      <c r="Q1036" s="4" t="s">
        <v>4101</v>
      </c>
      <c r="R1036" s="4"/>
      <c r="S1036" s="12" t="s">
        <v>4033</v>
      </c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5"/>
      <c r="AI1036" s="5"/>
      <c r="AJ1036" s="5"/>
      <c r="AK1036" s="5"/>
      <c r="AL1036" s="5"/>
    </row>
    <row r="1037">
      <c r="A1037" s="4" t="str">
        <f>VLOOKUP(L1037,payment_ids!C:D,2,FALSE)</f>
        <v>pay_HF2oivAV24AmWp</v>
      </c>
      <c r="B1037" s="4"/>
      <c r="C1037" s="4" t="s">
        <v>4030</v>
      </c>
      <c r="D1037" s="4">
        <v>49833.0</v>
      </c>
      <c r="E1037" s="4"/>
      <c r="F1037" s="4">
        <v>3.0</v>
      </c>
      <c r="G1037" s="4">
        <v>199.0</v>
      </c>
      <c r="H1037" s="4"/>
      <c r="I1037" s="4">
        <v>199.0</v>
      </c>
      <c r="J1037" s="4" t="s">
        <v>4102</v>
      </c>
      <c r="K1037" s="6">
        <f>+919171931110</f>
        <v>919171931110</v>
      </c>
      <c r="L1037" s="4" t="str">
        <f t="shared" si="1"/>
        <v>reenay0@gmail.com919171931110</v>
      </c>
      <c r="M1037" s="10" t="s">
        <v>67</v>
      </c>
      <c r="N1037" s="4" t="b">
        <v>0</v>
      </c>
      <c r="O1037" s="4" t="str">
        <f>VLOOKUP(A1037,payment_ids!D:E,2,FALSE)</f>
        <v>upi</v>
      </c>
      <c r="P1037" s="4" t="s">
        <v>69</v>
      </c>
      <c r="Q1037" s="4" t="s">
        <v>4103</v>
      </c>
      <c r="R1037" s="4"/>
      <c r="S1037" s="12" t="s">
        <v>4033</v>
      </c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5"/>
      <c r="AI1037" s="5"/>
      <c r="AJ1037" s="5"/>
      <c r="AK1037" s="5"/>
      <c r="AL1037" s="5"/>
    </row>
    <row r="1038">
      <c r="A1038" s="4" t="str">
        <f>VLOOKUP(L1038,payment_ids!C:D,2,FALSE)</f>
        <v>pay_HF2suZHHxHYiSw</v>
      </c>
      <c r="B1038" s="4"/>
      <c r="C1038" s="4" t="s">
        <v>4030</v>
      </c>
      <c r="D1038" s="4">
        <v>49833.0</v>
      </c>
      <c r="E1038" s="4"/>
      <c r="F1038" s="4">
        <v>6.0</v>
      </c>
      <c r="G1038" s="4">
        <v>349.0</v>
      </c>
      <c r="H1038" s="4"/>
      <c r="I1038" s="4">
        <v>349.0</v>
      </c>
      <c r="J1038" s="4" t="s">
        <v>4104</v>
      </c>
      <c r="K1038" s="6">
        <f>+917028194955</f>
        <v>917028194955</v>
      </c>
      <c r="L1038" s="4" t="str">
        <f t="shared" si="1"/>
        <v>scsowbhagya@gmail.com917028194955</v>
      </c>
      <c r="M1038" s="10" t="s">
        <v>67</v>
      </c>
      <c r="N1038" s="4" t="b">
        <v>0</v>
      </c>
      <c r="O1038" s="4" t="str">
        <f>VLOOKUP(A1038,payment_ids!D:E,2,FALSE)</f>
        <v>upi</v>
      </c>
      <c r="P1038" s="4" t="s">
        <v>69</v>
      </c>
      <c r="Q1038" s="4" t="s">
        <v>4105</v>
      </c>
      <c r="R1038" s="4"/>
      <c r="S1038" s="12" t="s">
        <v>4033</v>
      </c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5"/>
      <c r="AI1038" s="5"/>
      <c r="AJ1038" s="5"/>
      <c r="AK1038" s="5"/>
      <c r="AL1038" s="5"/>
    </row>
    <row r="1039">
      <c r="A1039" s="4" t="str">
        <f>VLOOKUP(L1039,payment_ids!C:D,2,FALSE)</f>
        <v>pay_HF6FIigxozXWsa</v>
      </c>
      <c r="B1039" s="4"/>
      <c r="C1039" s="4" t="s">
        <v>4030</v>
      </c>
      <c r="D1039" s="4">
        <v>49833.0</v>
      </c>
      <c r="E1039" s="4"/>
      <c r="F1039" s="4">
        <v>3.0</v>
      </c>
      <c r="G1039" s="4">
        <v>199.0</v>
      </c>
      <c r="H1039" s="4"/>
      <c r="I1039" s="4">
        <v>199.0</v>
      </c>
      <c r="J1039" s="4" t="s">
        <v>4106</v>
      </c>
      <c r="K1039" s="6">
        <f>+919897585043</f>
        <v>919897585043</v>
      </c>
      <c r="L1039" s="4" t="str">
        <f t="shared" si="1"/>
        <v>ace.ap6@gmail.com919897585043</v>
      </c>
      <c r="M1039" s="10" t="s">
        <v>67</v>
      </c>
      <c r="N1039" s="4" t="b">
        <v>0</v>
      </c>
      <c r="O1039" s="4" t="str">
        <f>VLOOKUP(A1039,payment_ids!D:E,2,FALSE)</f>
        <v>upi</v>
      </c>
      <c r="P1039" s="4" t="s">
        <v>69</v>
      </c>
      <c r="Q1039" s="4" t="s">
        <v>4107</v>
      </c>
      <c r="R1039" s="4"/>
      <c r="S1039" s="12" t="s">
        <v>4033</v>
      </c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5"/>
      <c r="AI1039" s="5"/>
      <c r="AJ1039" s="5"/>
      <c r="AK1039" s="5"/>
      <c r="AL1039" s="5"/>
    </row>
    <row r="1040">
      <c r="A1040" s="4" t="str">
        <f>VLOOKUP(L1040,payment_ids!C:D,2,FALSE)</f>
        <v>pay_HFEB2kkTkoIWKq</v>
      </c>
      <c r="B1040" s="4"/>
      <c r="C1040" s="4" t="s">
        <v>4030</v>
      </c>
      <c r="D1040" s="4">
        <v>49833.0</v>
      </c>
      <c r="E1040" s="5"/>
      <c r="F1040" s="4">
        <v>1.0</v>
      </c>
      <c r="G1040" s="4">
        <v>99.0</v>
      </c>
      <c r="H1040" s="4"/>
      <c r="I1040" s="4">
        <v>99.0</v>
      </c>
      <c r="J1040" s="4" t="s">
        <v>4108</v>
      </c>
      <c r="K1040" s="5">
        <f>+918971888824</f>
        <v>918971888824</v>
      </c>
      <c r="L1040" s="4" t="str">
        <f t="shared" si="1"/>
        <v>bhmthi8@gmail.com918971888824</v>
      </c>
      <c r="M1040" s="10" t="s">
        <v>67</v>
      </c>
      <c r="N1040" s="4" t="b">
        <v>0</v>
      </c>
      <c r="O1040" s="4" t="str">
        <f>VLOOKUP(A1040,payment_ids!D:E,2,FALSE)</f>
        <v>upi</v>
      </c>
      <c r="P1040" s="4" t="s">
        <v>69</v>
      </c>
      <c r="Q1040" s="4" t="s">
        <v>4109</v>
      </c>
      <c r="R1040" s="4"/>
      <c r="S1040" s="12" t="s">
        <v>4033</v>
      </c>
      <c r="T1040" s="5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5"/>
      <c r="AI1040" s="5"/>
      <c r="AJ1040" s="5"/>
      <c r="AK1040" s="5"/>
      <c r="AL1040" s="5"/>
    </row>
    <row r="1041">
      <c r="A1041" s="4" t="str">
        <f>VLOOKUP(L1041,payment_ids!C:D,2,FALSE)</f>
        <v>pay_HFIH5X302gpwa0</v>
      </c>
      <c r="B1041" s="4"/>
      <c r="C1041" s="4" t="s">
        <v>4030</v>
      </c>
      <c r="D1041" s="4">
        <v>49833.0</v>
      </c>
      <c r="E1041" s="5"/>
      <c r="F1041" s="4">
        <v>1.0</v>
      </c>
      <c r="G1041" s="4">
        <v>99.0</v>
      </c>
      <c r="H1041" s="4"/>
      <c r="I1041" s="4">
        <v>99.0</v>
      </c>
      <c r="J1041" s="4" t="s">
        <v>4110</v>
      </c>
      <c r="K1041" s="5">
        <f>+919741546133</f>
        <v>919741546133</v>
      </c>
      <c r="L1041" s="4" t="str">
        <f t="shared" si="1"/>
        <v>akshu.nadig@gmail.com919741546133</v>
      </c>
      <c r="M1041" s="10" t="s">
        <v>67</v>
      </c>
      <c r="N1041" s="4" t="b">
        <v>0</v>
      </c>
      <c r="O1041" s="4" t="str">
        <f>VLOOKUP(A1041,payment_ids!D:E,2,FALSE)</f>
        <v>card</v>
      </c>
      <c r="P1041" s="4" t="s">
        <v>69</v>
      </c>
      <c r="Q1041" s="4" t="s">
        <v>4111</v>
      </c>
      <c r="R1041" s="4"/>
      <c r="S1041" s="12" t="s">
        <v>4033</v>
      </c>
      <c r="T1041" s="5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5"/>
      <c r="AI1041" s="5"/>
      <c r="AJ1041" s="5"/>
      <c r="AK1041" s="5"/>
      <c r="AL1041" s="5"/>
    </row>
    <row r="1042">
      <c r="A1042" s="4" t="str">
        <f>VLOOKUP(L1042,payment_ids!C:D,2,FALSE)</f>
        <v>pay_HFIKoIHLrBtu15</v>
      </c>
      <c r="B1042" s="4"/>
      <c r="C1042" s="4" t="s">
        <v>4030</v>
      </c>
      <c r="D1042" s="4">
        <v>49833.0</v>
      </c>
      <c r="E1042" s="5"/>
      <c r="F1042" s="4">
        <v>1.0</v>
      </c>
      <c r="G1042" s="4">
        <v>99.0</v>
      </c>
      <c r="H1042" s="4"/>
      <c r="I1042" s="4">
        <v>99.0</v>
      </c>
      <c r="J1042" s="4" t="s">
        <v>4112</v>
      </c>
      <c r="K1042" s="5">
        <f>+918830165844</f>
        <v>918830165844</v>
      </c>
      <c r="L1042" s="4" t="str">
        <f t="shared" si="1"/>
        <v>paridhoke2d@gmail.com918830165844</v>
      </c>
      <c r="M1042" s="10" t="s">
        <v>67</v>
      </c>
      <c r="N1042" s="4" t="b">
        <v>0</v>
      </c>
      <c r="O1042" s="4" t="str">
        <f>VLOOKUP(A1042,payment_ids!D:E,2,FALSE)</f>
        <v>upi</v>
      </c>
      <c r="P1042" s="4" t="s">
        <v>69</v>
      </c>
      <c r="Q1042" s="4" t="s">
        <v>4113</v>
      </c>
      <c r="R1042" s="4"/>
      <c r="S1042" s="12" t="s">
        <v>4033</v>
      </c>
      <c r="T1042" s="5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5"/>
      <c r="AI1042" s="5"/>
      <c r="AJ1042" s="5"/>
      <c r="AK1042" s="5"/>
      <c r="AL1042" s="5"/>
    </row>
    <row r="1043">
      <c r="A1043" s="4" t="str">
        <f>VLOOKUP(L1043,payment_ids!C:D,2,FALSE)</f>
        <v>pay_HFJQ1cS0DXanWM</v>
      </c>
      <c r="B1043" s="4"/>
      <c r="C1043" s="4" t="s">
        <v>4030</v>
      </c>
      <c r="D1043" s="4">
        <v>49833.0</v>
      </c>
      <c r="E1043" s="5"/>
      <c r="F1043" s="4">
        <v>1.0</v>
      </c>
      <c r="G1043" s="4">
        <v>99.0</v>
      </c>
      <c r="H1043" s="4"/>
      <c r="I1043" s="4">
        <v>99.0</v>
      </c>
      <c r="J1043" s="4" t="s">
        <v>4114</v>
      </c>
      <c r="K1043" s="5">
        <f>+916281679434</f>
        <v>916281679434</v>
      </c>
      <c r="L1043" s="4" t="str">
        <f t="shared" si="1"/>
        <v>mailmevijusha@gmail.com916281679434</v>
      </c>
      <c r="M1043" s="10" t="s">
        <v>67</v>
      </c>
      <c r="N1043" s="4" t="b">
        <v>0</v>
      </c>
      <c r="O1043" s="4" t="str">
        <f>VLOOKUP(A1043,payment_ids!D:E,2,FALSE)</f>
        <v>upi</v>
      </c>
      <c r="P1043" s="4" t="s">
        <v>69</v>
      </c>
      <c r="Q1043" s="4" t="s">
        <v>4115</v>
      </c>
      <c r="R1043" s="4"/>
      <c r="S1043" s="12" t="s">
        <v>4033</v>
      </c>
      <c r="T1043" s="5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5"/>
      <c r="AI1043" s="5"/>
      <c r="AJ1043" s="5"/>
      <c r="AK1043" s="5"/>
      <c r="AL1043" s="5"/>
    </row>
    <row r="1044">
      <c r="A1044" s="4" t="str">
        <f>VLOOKUP(L1044,payment_ids!C:D,2,FALSE)</f>
        <v>pay_HFLCpBAhxaBhD8</v>
      </c>
      <c r="B1044" s="4"/>
      <c r="C1044" s="4" t="s">
        <v>4030</v>
      </c>
      <c r="D1044" s="4">
        <v>49833.0</v>
      </c>
      <c r="E1044" s="5"/>
      <c r="F1044" s="4">
        <v>1.0</v>
      </c>
      <c r="G1044" s="4">
        <v>99.0</v>
      </c>
      <c r="H1044" s="4"/>
      <c r="I1044" s="4">
        <v>99.0</v>
      </c>
      <c r="J1044" s="4" t="s">
        <v>4116</v>
      </c>
      <c r="K1044" s="5">
        <f>+919969806141</f>
        <v>919969806141</v>
      </c>
      <c r="L1044" s="4" t="str">
        <f t="shared" si="1"/>
        <v>dhanug632@gmail.com919969806141</v>
      </c>
      <c r="M1044" s="10" t="s">
        <v>67</v>
      </c>
      <c r="N1044" s="4" t="b">
        <v>0</v>
      </c>
      <c r="O1044" s="4" t="str">
        <f>VLOOKUP(A1044,payment_ids!D:E,2,FALSE)</f>
        <v>upi</v>
      </c>
      <c r="P1044" s="4" t="s">
        <v>69</v>
      </c>
      <c r="Q1044" s="4" t="s">
        <v>4117</v>
      </c>
      <c r="R1044" s="4"/>
      <c r="S1044" s="12" t="s">
        <v>4033</v>
      </c>
      <c r="T1044" s="5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5"/>
      <c r="AI1044" s="5"/>
      <c r="AJ1044" s="5"/>
      <c r="AK1044" s="5"/>
      <c r="AL1044" s="5"/>
    </row>
    <row r="1045">
      <c r="A1045" s="4" t="str">
        <f>VLOOKUP(L1045,payment_ids!C:D,2,FALSE)</f>
        <v>pay_HFNBOzq3CgNwIm</v>
      </c>
      <c r="B1045" s="4"/>
      <c r="C1045" s="4" t="s">
        <v>4030</v>
      </c>
      <c r="D1045" s="4">
        <v>49833.0</v>
      </c>
      <c r="E1045" s="5"/>
      <c r="F1045" s="4">
        <v>1.0</v>
      </c>
      <c r="G1045" s="4">
        <v>99.0</v>
      </c>
      <c r="H1045" s="4"/>
      <c r="I1045" s="4">
        <v>99.0</v>
      </c>
      <c r="J1045" s="4" t="s">
        <v>4118</v>
      </c>
      <c r="K1045" s="5">
        <f>+916309635477</f>
        <v>916309635477</v>
      </c>
      <c r="L1045" s="4" t="str">
        <f t="shared" si="1"/>
        <v>blue_skyy_bee00@gmail.com916309635477</v>
      </c>
      <c r="M1045" s="10" t="s">
        <v>67</v>
      </c>
      <c r="N1045" s="4" t="b">
        <v>0</v>
      </c>
      <c r="O1045" s="4" t="str">
        <f>VLOOKUP(A1045,payment_ids!D:E,2,FALSE)</f>
        <v>upi</v>
      </c>
      <c r="P1045" s="4" t="s">
        <v>69</v>
      </c>
      <c r="Q1045" s="4" t="s">
        <v>4119</v>
      </c>
      <c r="R1045" s="4"/>
      <c r="S1045" s="12" t="s">
        <v>4033</v>
      </c>
      <c r="T1045" s="5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5"/>
      <c r="AI1045" s="5"/>
      <c r="AJ1045" s="5"/>
      <c r="AK1045" s="5"/>
      <c r="AL1045" s="5"/>
    </row>
    <row r="1046">
      <c r="A1046" s="4" t="str">
        <f>VLOOKUP(L1046,payment_ids!C:D,2,FALSE)</f>
        <v>pay_HFNtju5Y2NzgR3</v>
      </c>
      <c r="B1046" s="4"/>
      <c r="C1046" s="4" t="s">
        <v>4030</v>
      </c>
      <c r="D1046" s="4">
        <v>49833.0</v>
      </c>
      <c r="E1046" s="5"/>
      <c r="F1046" s="4">
        <v>3.0</v>
      </c>
      <c r="G1046" s="4">
        <v>199.0</v>
      </c>
      <c r="H1046" s="4"/>
      <c r="I1046" s="4">
        <v>199.0</v>
      </c>
      <c r="J1046" s="4" t="s">
        <v>4120</v>
      </c>
      <c r="K1046" s="5">
        <f>+919819106090</f>
        <v>919819106090</v>
      </c>
      <c r="L1046" s="4" t="str">
        <f t="shared" si="1"/>
        <v>wanderlust0509@gmail.com919819106090</v>
      </c>
      <c r="M1046" s="10" t="s">
        <v>67</v>
      </c>
      <c r="N1046" s="4" t="b">
        <v>0</v>
      </c>
      <c r="O1046" s="4" t="str">
        <f>VLOOKUP(A1046,payment_ids!D:E,2,FALSE)</f>
        <v>upi</v>
      </c>
      <c r="P1046" s="4" t="s">
        <v>69</v>
      </c>
      <c r="Q1046" s="4" t="s">
        <v>4121</v>
      </c>
      <c r="R1046" s="4"/>
      <c r="S1046" s="12" t="s">
        <v>4033</v>
      </c>
      <c r="T1046" s="5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5"/>
      <c r="AI1046" s="5"/>
      <c r="AJ1046" s="5"/>
      <c r="AK1046" s="5"/>
      <c r="AL1046" s="5"/>
    </row>
    <row r="1047">
      <c r="A1047" s="4" t="str">
        <f>VLOOKUP(L1047,payment_ids!C:D,2,FALSE)</f>
        <v>pay_HFPiEoB649s7EE</v>
      </c>
      <c r="B1047" s="4"/>
      <c r="C1047" s="4" t="s">
        <v>4030</v>
      </c>
      <c r="D1047" s="4">
        <v>49833.0</v>
      </c>
      <c r="E1047" s="5"/>
      <c r="F1047" s="4">
        <v>1.0</v>
      </c>
      <c r="G1047" s="4">
        <v>99.0</v>
      </c>
      <c r="H1047" s="4"/>
      <c r="I1047" s="4">
        <v>99.0</v>
      </c>
      <c r="J1047" s="4" t="s">
        <v>4122</v>
      </c>
      <c r="K1047" s="5">
        <f>+918826143785</f>
        <v>918826143785</v>
      </c>
      <c r="L1047" s="4" t="str">
        <f t="shared" si="1"/>
        <v>sharmashwet35@gmail.com918826143785</v>
      </c>
      <c r="M1047" s="10" t="s">
        <v>67</v>
      </c>
      <c r="N1047" s="4" t="b">
        <v>0</v>
      </c>
      <c r="O1047" s="4" t="str">
        <f>VLOOKUP(A1047,payment_ids!D:E,2,FALSE)</f>
        <v>upi</v>
      </c>
      <c r="P1047" s="4" t="s">
        <v>69</v>
      </c>
      <c r="Q1047" s="4" t="s">
        <v>4123</v>
      </c>
      <c r="R1047" s="4"/>
      <c r="S1047" s="12" t="s">
        <v>4033</v>
      </c>
      <c r="T1047" s="5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5"/>
      <c r="AI1047" s="5"/>
      <c r="AJ1047" s="5"/>
      <c r="AK1047" s="5"/>
      <c r="AL1047" s="5"/>
    </row>
    <row r="1048">
      <c r="A1048" s="4" t="str">
        <f>VLOOKUP(L1048,payment_ids!C:D,2,FALSE)</f>
        <v>pay_HFTYVQTaoLTgJo</v>
      </c>
      <c r="B1048" s="4"/>
      <c r="C1048" s="4" t="s">
        <v>4030</v>
      </c>
      <c r="D1048" s="4">
        <v>49833.0</v>
      </c>
      <c r="E1048" s="5"/>
      <c r="F1048" s="4">
        <v>1.0</v>
      </c>
      <c r="G1048" s="4">
        <v>99.0</v>
      </c>
      <c r="H1048" s="4"/>
      <c r="I1048" s="4">
        <v>99.0</v>
      </c>
      <c r="J1048" s="4" t="s">
        <v>4124</v>
      </c>
      <c r="K1048" s="5">
        <f>+919677163732</f>
        <v>919677163732</v>
      </c>
      <c r="L1048" s="4" t="str">
        <f t="shared" si="1"/>
        <v>bhavana.mallavaram.18@gmail.com919677163732</v>
      </c>
      <c r="M1048" s="10" t="s">
        <v>67</v>
      </c>
      <c r="N1048" s="4" t="b">
        <v>0</v>
      </c>
      <c r="O1048" s="4" t="str">
        <f>VLOOKUP(A1048,payment_ids!D:E,2,FALSE)</f>
        <v>upi</v>
      </c>
      <c r="P1048" s="4" t="s">
        <v>69</v>
      </c>
      <c r="Q1048" s="4" t="s">
        <v>4125</v>
      </c>
      <c r="R1048" s="4"/>
      <c r="S1048" s="12" t="s">
        <v>4033</v>
      </c>
      <c r="T1048" s="5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5"/>
      <c r="AI1048" s="5"/>
      <c r="AJ1048" s="5"/>
      <c r="AK1048" s="5"/>
      <c r="AL1048" s="5"/>
    </row>
    <row r="1049">
      <c r="A1049" s="4" t="str">
        <f>VLOOKUP(L1049,payment_ids!C:D,2,FALSE)</f>
        <v>pay_HFUkvF8lB06tbN</v>
      </c>
      <c r="B1049" s="4"/>
      <c r="C1049" s="4" t="s">
        <v>4030</v>
      </c>
      <c r="D1049" s="4">
        <v>49833.0</v>
      </c>
      <c r="E1049" s="5"/>
      <c r="F1049" s="4">
        <v>1.0</v>
      </c>
      <c r="G1049" s="4">
        <v>99.0</v>
      </c>
      <c r="H1049" s="4"/>
      <c r="I1049" s="4">
        <v>99.0</v>
      </c>
      <c r="J1049" s="4" t="s">
        <v>4126</v>
      </c>
      <c r="K1049" s="5">
        <f>+916306447830</f>
        <v>916306447830</v>
      </c>
      <c r="L1049" s="4" t="str">
        <f t="shared" si="1"/>
        <v>bhumikarajput1510@gmail.com916306447830</v>
      </c>
      <c r="M1049" s="10" t="s">
        <v>67</v>
      </c>
      <c r="N1049" s="4" t="b">
        <v>0</v>
      </c>
      <c r="O1049" s="4" t="str">
        <f>VLOOKUP(A1049,payment_ids!D:E,2,FALSE)</f>
        <v>upi</v>
      </c>
      <c r="P1049" s="4" t="s">
        <v>69</v>
      </c>
      <c r="Q1049" s="4" t="s">
        <v>4127</v>
      </c>
      <c r="R1049" s="4"/>
      <c r="S1049" s="12" t="s">
        <v>4033</v>
      </c>
      <c r="T1049" s="5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5"/>
      <c r="AI1049" s="5"/>
      <c r="AJ1049" s="5"/>
      <c r="AK1049" s="5"/>
      <c r="AL1049" s="5"/>
    </row>
    <row r="1050">
      <c r="A1050" s="4" t="str">
        <f>VLOOKUP(L1050,payment_ids!C:D,2,FALSE)</f>
        <v>pay_HFV0brafOhzD07</v>
      </c>
      <c r="B1050" s="4"/>
      <c r="C1050" s="4" t="s">
        <v>4030</v>
      </c>
      <c r="D1050" s="4">
        <v>49833.0</v>
      </c>
      <c r="E1050" s="5"/>
      <c r="F1050" s="4">
        <v>1.0</v>
      </c>
      <c r="G1050" s="4">
        <v>99.0</v>
      </c>
      <c r="H1050" s="4"/>
      <c r="I1050" s="4">
        <v>99.0</v>
      </c>
      <c r="J1050" s="4" t="s">
        <v>4128</v>
      </c>
      <c r="K1050" s="5">
        <f>+918688736685</f>
        <v>918688736685</v>
      </c>
      <c r="L1050" s="4" t="str">
        <f t="shared" si="1"/>
        <v>surekhabangari06@gmail.com918688736685</v>
      </c>
      <c r="M1050" s="10" t="s">
        <v>67</v>
      </c>
      <c r="N1050" s="4" t="b">
        <v>0</v>
      </c>
      <c r="O1050" s="4" t="str">
        <f>VLOOKUP(A1050,payment_ids!D:E,2,FALSE)</f>
        <v>upi</v>
      </c>
      <c r="P1050" s="4" t="s">
        <v>69</v>
      </c>
      <c r="Q1050" s="4" t="s">
        <v>4129</v>
      </c>
      <c r="R1050" s="4"/>
      <c r="S1050" s="12" t="s">
        <v>4033</v>
      </c>
      <c r="T1050" s="5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5"/>
      <c r="AI1050" s="5"/>
      <c r="AJ1050" s="5"/>
      <c r="AK1050" s="5"/>
      <c r="AL1050" s="5"/>
    </row>
    <row r="1051">
      <c r="A1051" s="4" t="str">
        <f>VLOOKUP(L1051,payment_ids!C:D,2,FALSE)</f>
        <v>pay_HFW8s6eFAZI4gQ</v>
      </c>
      <c r="B1051" s="4"/>
      <c r="C1051" s="4" t="s">
        <v>4030</v>
      </c>
      <c r="D1051" s="4">
        <v>49833.0</v>
      </c>
      <c r="E1051" s="5"/>
      <c r="F1051" s="4">
        <v>1.0</v>
      </c>
      <c r="G1051" s="4">
        <v>99.0</v>
      </c>
      <c r="H1051" s="4"/>
      <c r="I1051" s="4">
        <v>99.0</v>
      </c>
      <c r="J1051" s="4" t="s">
        <v>4130</v>
      </c>
      <c r="K1051" s="5">
        <f>+918848884773</f>
        <v>918848884773</v>
      </c>
      <c r="L1051" s="4" t="str">
        <f t="shared" si="1"/>
        <v>subilal@outlook.com918848884773</v>
      </c>
      <c r="M1051" s="10" t="s">
        <v>67</v>
      </c>
      <c r="N1051" s="4" t="b">
        <v>0</v>
      </c>
      <c r="O1051" s="4" t="str">
        <f>VLOOKUP(A1051,payment_ids!D:E,2,FALSE)</f>
        <v>upi</v>
      </c>
      <c r="P1051" s="4" t="s">
        <v>69</v>
      </c>
      <c r="Q1051" s="4" t="s">
        <v>4131</v>
      </c>
      <c r="R1051" s="4"/>
      <c r="S1051" s="12" t="s">
        <v>4033</v>
      </c>
      <c r="T1051" s="5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5"/>
      <c r="AI1051" s="5"/>
      <c r="AJ1051" s="5"/>
      <c r="AK1051" s="5"/>
      <c r="AL1051" s="5"/>
    </row>
    <row r="1052">
      <c r="A1052" s="4" t="str">
        <f>VLOOKUP(L1052,payment_ids!C:D,2,FALSE)</f>
        <v>pay_HFWIZPHSu8hHAK</v>
      </c>
      <c r="B1052" s="4"/>
      <c r="C1052" s="4" t="s">
        <v>4030</v>
      </c>
      <c r="D1052" s="4">
        <v>49833.0</v>
      </c>
      <c r="E1052" s="5"/>
      <c r="F1052" s="4">
        <v>1.0</v>
      </c>
      <c r="G1052" s="4">
        <v>99.0</v>
      </c>
      <c r="H1052" s="4"/>
      <c r="I1052" s="4">
        <v>99.0</v>
      </c>
      <c r="J1052" s="4" t="s">
        <v>4132</v>
      </c>
      <c r="K1052" s="5">
        <f>+919652171615</f>
        <v>919652171615</v>
      </c>
      <c r="L1052" s="4" t="str">
        <f t="shared" si="1"/>
        <v>mlalekhya3@gmail.com919652171615</v>
      </c>
      <c r="M1052" s="10" t="s">
        <v>67</v>
      </c>
      <c r="N1052" s="4" t="b">
        <v>0</v>
      </c>
      <c r="O1052" s="4" t="str">
        <f>VLOOKUP(A1052,payment_ids!D:E,2,FALSE)</f>
        <v>upi</v>
      </c>
      <c r="P1052" s="4" t="s">
        <v>69</v>
      </c>
      <c r="Q1052" s="4" t="s">
        <v>4133</v>
      </c>
      <c r="R1052" s="4"/>
      <c r="S1052" s="12" t="s">
        <v>4033</v>
      </c>
      <c r="T1052" s="5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5"/>
      <c r="AI1052" s="5"/>
      <c r="AJ1052" s="5"/>
      <c r="AK1052" s="5"/>
      <c r="AL1052" s="5"/>
    </row>
    <row r="1053">
      <c r="A1053" s="4" t="str">
        <f>VLOOKUP(L1053,payment_ids!C:D,2,FALSE)</f>
        <v>pay_HFYQBRok5iWY0D</v>
      </c>
      <c r="B1053" s="4"/>
      <c r="C1053" s="4" t="s">
        <v>4030</v>
      </c>
      <c r="D1053" s="4">
        <v>49833.0</v>
      </c>
      <c r="E1053" s="5"/>
      <c r="F1053" s="4">
        <v>6.0</v>
      </c>
      <c r="G1053" s="4">
        <v>349.0</v>
      </c>
      <c r="H1053" s="4"/>
      <c r="I1053" s="4">
        <v>349.0</v>
      </c>
      <c r="J1053" s="4" t="s">
        <v>4134</v>
      </c>
      <c r="K1053" s="5">
        <f>+919168017669</f>
        <v>919168017669</v>
      </c>
      <c r="L1053" s="4" t="str">
        <f t="shared" si="1"/>
        <v>vaishnavigparande@gmail.com919168017669</v>
      </c>
      <c r="M1053" s="10" t="s">
        <v>67</v>
      </c>
      <c r="N1053" s="4" t="b">
        <v>0</v>
      </c>
      <c r="O1053" s="4" t="str">
        <f>VLOOKUP(A1053,payment_ids!D:E,2,FALSE)</f>
        <v>upi</v>
      </c>
      <c r="P1053" s="4" t="s">
        <v>69</v>
      </c>
      <c r="Q1053" s="4" t="s">
        <v>4135</v>
      </c>
      <c r="R1053" s="4"/>
      <c r="S1053" s="12" t="s">
        <v>4033</v>
      </c>
      <c r="T1053" s="5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5"/>
      <c r="AI1053" s="5"/>
      <c r="AJ1053" s="5"/>
      <c r="AK1053" s="5"/>
      <c r="AL1053" s="5"/>
    </row>
    <row r="1054">
      <c r="A1054" s="4" t="str">
        <f>VLOOKUP(L1054,payment_ids!C:D,2,FALSE)</f>
        <v>pay_HFh3ELiiiAGVcT</v>
      </c>
      <c r="B1054" s="4"/>
      <c r="C1054" s="4" t="s">
        <v>4030</v>
      </c>
      <c r="D1054" s="4">
        <v>49833.0</v>
      </c>
      <c r="E1054" s="5"/>
      <c r="F1054" s="4">
        <v>1.0</v>
      </c>
      <c r="G1054" s="4">
        <v>99.0</v>
      </c>
      <c r="H1054" s="4"/>
      <c r="I1054" s="4">
        <v>99.0</v>
      </c>
      <c r="J1054" s="4" t="s">
        <v>4136</v>
      </c>
      <c r="K1054" s="5">
        <f>+919389898150</f>
        <v>919389898150</v>
      </c>
      <c r="L1054" s="4" t="str">
        <f t="shared" si="1"/>
        <v>avnarana@gmail.com919389898150</v>
      </c>
      <c r="M1054" s="10" t="s">
        <v>67</v>
      </c>
      <c r="N1054" s="4" t="b">
        <v>0</v>
      </c>
      <c r="O1054" s="4" t="str">
        <f>VLOOKUP(A1054,payment_ids!D:E,2,FALSE)</f>
        <v>upi</v>
      </c>
      <c r="P1054" s="4" t="s">
        <v>69</v>
      </c>
      <c r="Q1054" s="4" t="s">
        <v>4137</v>
      </c>
      <c r="R1054" s="4"/>
      <c r="S1054" s="12" t="s">
        <v>4033</v>
      </c>
      <c r="T1054" s="5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5"/>
      <c r="AI1054" s="5"/>
      <c r="AJ1054" s="5"/>
      <c r="AK1054" s="5"/>
      <c r="AL1054" s="5"/>
    </row>
    <row r="1055">
      <c r="A1055" s="4" t="str">
        <f>VLOOKUP(L1055,payment_ids!C:D,2,FALSE)</f>
        <v>pay_HFiK8QGXZDzWJq</v>
      </c>
      <c r="B1055" s="4"/>
      <c r="C1055" s="4" t="s">
        <v>4030</v>
      </c>
      <c r="D1055" s="4">
        <v>49833.0</v>
      </c>
      <c r="E1055" s="5"/>
      <c r="F1055" s="4">
        <v>1.0</v>
      </c>
      <c r="G1055" s="4">
        <v>99.0</v>
      </c>
      <c r="H1055" s="4"/>
      <c r="I1055" s="4">
        <v>99.0</v>
      </c>
      <c r="J1055" s="4" t="s">
        <v>4138</v>
      </c>
      <c r="K1055" s="5">
        <f>+917578863897</f>
        <v>917578863897</v>
      </c>
      <c r="L1055" s="4" t="str">
        <f t="shared" si="1"/>
        <v>gitanjanapaul@gmail.com917578863897</v>
      </c>
      <c r="M1055" s="10" t="s">
        <v>67</v>
      </c>
      <c r="N1055" s="4" t="b">
        <v>0</v>
      </c>
      <c r="O1055" s="4" t="str">
        <f>VLOOKUP(A1055,payment_ids!D:E,2,FALSE)</f>
        <v>upi</v>
      </c>
      <c r="P1055" s="4" t="s">
        <v>69</v>
      </c>
      <c r="Q1055" s="4" t="s">
        <v>4139</v>
      </c>
      <c r="R1055" s="4"/>
      <c r="S1055" s="12" t="s">
        <v>4033</v>
      </c>
      <c r="T1055" s="5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5"/>
      <c r="AI1055" s="5"/>
      <c r="AJ1055" s="5"/>
      <c r="AK1055" s="5"/>
      <c r="AL1055" s="5"/>
    </row>
    <row r="1056">
      <c r="A1056" s="4" t="str">
        <f>VLOOKUP(L1056,payment_ids!C:D,2,FALSE)</f>
        <v>pay_HFiuN0mX1gFqKX</v>
      </c>
      <c r="B1056" s="4"/>
      <c r="C1056" s="4" t="s">
        <v>4030</v>
      </c>
      <c r="D1056" s="4">
        <v>49833.0</v>
      </c>
      <c r="E1056" s="5"/>
      <c r="F1056" s="4">
        <v>1.0</v>
      </c>
      <c r="G1056" s="4">
        <v>99.0</v>
      </c>
      <c r="H1056" s="4"/>
      <c r="I1056" s="4">
        <v>99.0</v>
      </c>
      <c r="J1056" s="4" t="s">
        <v>4140</v>
      </c>
      <c r="K1056" s="5">
        <f>+919416093035</f>
        <v>919416093035</v>
      </c>
      <c r="L1056" s="4" t="str">
        <f t="shared" si="1"/>
        <v>hardiksuneja@gmail.com919416093035</v>
      </c>
      <c r="M1056" s="10" t="s">
        <v>67</v>
      </c>
      <c r="N1056" s="4" t="b">
        <v>0</v>
      </c>
      <c r="O1056" s="4" t="str">
        <f>VLOOKUP(A1056,payment_ids!D:E,2,FALSE)</f>
        <v>upi</v>
      </c>
      <c r="P1056" s="4" t="s">
        <v>69</v>
      </c>
      <c r="Q1056" s="4" t="s">
        <v>4141</v>
      </c>
      <c r="R1056" s="4"/>
      <c r="S1056" s="12" t="s">
        <v>4033</v>
      </c>
      <c r="T1056" s="5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5"/>
      <c r="AI1056" s="5"/>
      <c r="AJ1056" s="5"/>
      <c r="AK1056" s="5"/>
      <c r="AL1056" s="5"/>
    </row>
    <row r="1057">
      <c r="A1057" s="4" t="str">
        <f>VLOOKUP(L1057,payment_ids!C:D,2,FALSE)</f>
        <v>pay_HFlTtvMPdgPrQk</v>
      </c>
      <c r="B1057" s="4"/>
      <c r="C1057" s="4" t="s">
        <v>4030</v>
      </c>
      <c r="D1057" s="4">
        <v>49833.0</v>
      </c>
      <c r="E1057" s="5"/>
      <c r="F1057" s="4">
        <v>1.0</v>
      </c>
      <c r="G1057" s="4">
        <v>99.0</v>
      </c>
      <c r="H1057" s="4"/>
      <c r="I1057" s="4">
        <v>99.0</v>
      </c>
      <c r="J1057" s="4" t="s">
        <v>4142</v>
      </c>
      <c r="K1057" s="5">
        <f>+919884956368</f>
        <v>919884956368</v>
      </c>
      <c r="L1057" s="4" t="str">
        <f t="shared" si="1"/>
        <v>sskall90@gmail.com919884956368</v>
      </c>
      <c r="M1057" s="10" t="s">
        <v>67</v>
      </c>
      <c r="N1057" s="4" t="b">
        <v>0</v>
      </c>
      <c r="O1057" s="4" t="str">
        <f>VLOOKUP(A1057,payment_ids!D:E,2,FALSE)</f>
        <v>upi</v>
      </c>
      <c r="P1057" s="4" t="s">
        <v>69</v>
      </c>
      <c r="Q1057" s="4" t="s">
        <v>4143</v>
      </c>
      <c r="R1057" s="4"/>
      <c r="S1057" s="12" t="s">
        <v>4033</v>
      </c>
      <c r="T1057" s="5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5"/>
      <c r="AI1057" s="5"/>
      <c r="AJ1057" s="5"/>
      <c r="AK1057" s="5"/>
      <c r="AL1057" s="5"/>
    </row>
    <row r="1058">
      <c r="A1058" s="4" t="str">
        <f>VLOOKUP(L1058,payment_ids!C:D,2,FALSE)</f>
        <v>pay_HFlk4rHmPlgS9z</v>
      </c>
      <c r="B1058" s="4"/>
      <c r="C1058" s="4" t="s">
        <v>4030</v>
      </c>
      <c r="D1058" s="4">
        <v>49833.0</v>
      </c>
      <c r="E1058" s="5"/>
      <c r="F1058" s="4">
        <v>3.0</v>
      </c>
      <c r="G1058" s="4">
        <v>199.0</v>
      </c>
      <c r="H1058" s="4"/>
      <c r="I1058" s="4">
        <v>199.0</v>
      </c>
      <c r="J1058" s="4" t="s">
        <v>4144</v>
      </c>
      <c r="K1058" s="5">
        <f>+919952058532</f>
        <v>919952058532</v>
      </c>
      <c r="L1058" s="4" t="str">
        <f t="shared" si="1"/>
        <v>rahulsinghmp968@gmail.com919952058532</v>
      </c>
      <c r="M1058" s="10" t="s">
        <v>67</v>
      </c>
      <c r="N1058" s="4" t="b">
        <v>0</v>
      </c>
      <c r="O1058" s="4" t="str">
        <f>VLOOKUP(A1058,payment_ids!D:E,2,FALSE)</f>
        <v>card</v>
      </c>
      <c r="P1058" s="4" t="s">
        <v>69</v>
      </c>
      <c r="Q1058" s="4" t="s">
        <v>4145</v>
      </c>
      <c r="R1058" s="4"/>
      <c r="S1058" s="12" t="s">
        <v>4033</v>
      </c>
      <c r="T1058" s="5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5"/>
      <c r="AI1058" s="5"/>
      <c r="AJ1058" s="5"/>
      <c r="AK1058" s="5"/>
      <c r="AL1058" s="5"/>
    </row>
    <row r="1059">
      <c r="A1059" s="4" t="str">
        <f>VLOOKUP(L1059,payment_ids!C:D,2,FALSE)</f>
        <v>pay_HFn4RAd2q65vWB</v>
      </c>
      <c r="B1059" s="4"/>
      <c r="C1059" s="4" t="s">
        <v>4030</v>
      </c>
      <c r="D1059" s="4">
        <v>49833.0</v>
      </c>
      <c r="E1059" s="5"/>
      <c r="F1059" s="4">
        <v>1.0</v>
      </c>
      <c r="G1059" s="4">
        <v>99.0</v>
      </c>
      <c r="H1059" s="4"/>
      <c r="I1059" s="4">
        <v>99.0</v>
      </c>
      <c r="J1059" s="4" t="s">
        <v>4146</v>
      </c>
      <c r="K1059" s="5">
        <f>+917019989483</f>
        <v>917019989483</v>
      </c>
      <c r="L1059" s="4" t="str">
        <f t="shared" si="1"/>
        <v>ryashika712@gmail.com917019989483</v>
      </c>
      <c r="M1059" s="10" t="s">
        <v>67</v>
      </c>
      <c r="N1059" s="4" t="b">
        <v>0</v>
      </c>
      <c r="O1059" s="4" t="str">
        <f>VLOOKUP(A1059,payment_ids!D:E,2,FALSE)</f>
        <v>upi</v>
      </c>
      <c r="P1059" s="4" t="s">
        <v>69</v>
      </c>
      <c r="Q1059" s="4" t="s">
        <v>4147</v>
      </c>
      <c r="R1059" s="4"/>
      <c r="S1059" s="12" t="s">
        <v>4033</v>
      </c>
      <c r="T1059" s="5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5"/>
      <c r="AI1059" s="5"/>
      <c r="AJ1059" s="5"/>
      <c r="AK1059" s="5"/>
      <c r="AL1059" s="5"/>
    </row>
    <row r="1060">
      <c r="A1060" s="4" t="str">
        <f>VLOOKUP(L1060,payment_ids!C:D,2,FALSE)</f>
        <v>pay_HFqrOiVUsz6ndm</v>
      </c>
      <c r="B1060" s="4"/>
      <c r="C1060" s="4" t="s">
        <v>4030</v>
      </c>
      <c r="D1060" s="4">
        <v>49833.0</v>
      </c>
      <c r="E1060" s="5"/>
      <c r="F1060" s="4">
        <v>6.0</v>
      </c>
      <c r="G1060" s="4">
        <v>349.0</v>
      </c>
      <c r="H1060" s="4"/>
      <c r="I1060" s="4">
        <v>349.0</v>
      </c>
      <c r="J1060" s="4" t="s">
        <v>1830</v>
      </c>
      <c r="K1060" s="5">
        <f>+919769288349</f>
        <v>919769288349</v>
      </c>
      <c r="L1060" s="4" t="str">
        <f t="shared" si="1"/>
        <v>kanisfatima31@gmail.com919769288349</v>
      </c>
      <c r="M1060" s="10" t="s">
        <v>67</v>
      </c>
      <c r="N1060" s="4" t="b">
        <v>0</v>
      </c>
      <c r="O1060" s="4" t="str">
        <f>VLOOKUP(A1060,payment_ids!D:E,2,FALSE)</f>
        <v>card</v>
      </c>
      <c r="P1060" s="4" t="s">
        <v>69</v>
      </c>
      <c r="Q1060" s="4" t="s">
        <v>4148</v>
      </c>
      <c r="R1060" s="4"/>
      <c r="S1060" s="12" t="s">
        <v>4033</v>
      </c>
      <c r="T1060" s="5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5"/>
      <c r="AI1060" s="5"/>
      <c r="AJ1060" s="5"/>
      <c r="AK1060" s="5"/>
      <c r="AL1060" s="5"/>
    </row>
    <row r="1061">
      <c r="A1061" s="4" t="str">
        <f>VLOOKUP(L1061,payment_ids!C:D,2,FALSE)</f>
        <v>pay_HG3gSz1coKvbKZ</v>
      </c>
      <c r="B1061" s="4"/>
      <c r="C1061" s="4" t="s">
        <v>4030</v>
      </c>
      <c r="D1061" s="4">
        <v>49833.0</v>
      </c>
      <c r="E1061" s="5"/>
      <c r="F1061" s="4">
        <v>6.0</v>
      </c>
      <c r="G1061" s="4">
        <v>349.0</v>
      </c>
      <c r="H1061" s="4"/>
      <c r="I1061" s="4">
        <v>349.0</v>
      </c>
      <c r="J1061" s="4" t="s">
        <v>4149</v>
      </c>
      <c r="K1061" s="5">
        <f>+918651191810</f>
        <v>918651191810</v>
      </c>
      <c r="L1061" s="4" t="str">
        <f t="shared" si="1"/>
        <v>gyanvijaiswal349@gmail.com918651191810</v>
      </c>
      <c r="M1061" s="10" t="s">
        <v>67</v>
      </c>
      <c r="N1061" s="4" t="b">
        <v>0</v>
      </c>
      <c r="O1061" s="4" t="str">
        <f>VLOOKUP(A1061,payment_ids!D:E,2,FALSE)</f>
        <v>upi</v>
      </c>
      <c r="P1061" s="4" t="s">
        <v>69</v>
      </c>
      <c r="Q1061" s="4" t="s">
        <v>4150</v>
      </c>
      <c r="R1061" s="4"/>
      <c r="S1061" s="12" t="s">
        <v>4033</v>
      </c>
      <c r="T1061" s="5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5"/>
      <c r="AI1061" s="5"/>
      <c r="AJ1061" s="5"/>
      <c r="AK1061" s="5"/>
      <c r="AL1061" s="5"/>
    </row>
    <row r="1062">
      <c r="A1062" s="4" t="str">
        <f>VLOOKUP(L1062,payment_ids!C:D,2,FALSE)</f>
        <v>pay_HGHAGJ6pKoANZP</v>
      </c>
      <c r="B1062" s="4"/>
      <c r="C1062" s="4" t="s">
        <v>4030</v>
      </c>
      <c r="D1062" s="4">
        <v>49833.0</v>
      </c>
      <c r="E1062" s="5"/>
      <c r="F1062" s="4">
        <v>1.0</v>
      </c>
      <c r="G1062" s="4">
        <v>99.0</v>
      </c>
      <c r="H1062" s="4"/>
      <c r="I1062" s="4">
        <v>99.0</v>
      </c>
      <c r="J1062" s="4" t="s">
        <v>4151</v>
      </c>
      <c r="K1062" s="5">
        <f>+919589437701</f>
        <v>919589437701</v>
      </c>
      <c r="L1062" s="4" t="str">
        <f t="shared" si="1"/>
        <v>ssingh.ishita@gmail.com919589437701</v>
      </c>
      <c r="M1062" s="10" t="s">
        <v>67</v>
      </c>
      <c r="N1062" s="4" t="b">
        <v>0</v>
      </c>
      <c r="O1062" s="4" t="str">
        <f>VLOOKUP(A1062,payment_ids!D:E,2,FALSE)</f>
        <v>upi</v>
      </c>
      <c r="P1062" s="4" t="s">
        <v>69</v>
      </c>
      <c r="Q1062" s="4" t="s">
        <v>4152</v>
      </c>
      <c r="R1062" s="4"/>
      <c r="S1062" s="12" t="s">
        <v>4033</v>
      </c>
      <c r="T1062" s="5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5"/>
      <c r="AI1062" s="5"/>
      <c r="AJ1062" s="5"/>
      <c r="AK1062" s="5"/>
      <c r="AL1062" s="5"/>
    </row>
    <row r="1063">
      <c r="A1063" s="4" t="str">
        <f>VLOOKUP(L1063,payment_ids!C:D,2,FALSE)</f>
        <v>pay_HGHc4bhzrjS28s</v>
      </c>
      <c r="B1063" s="4"/>
      <c r="C1063" s="4" t="s">
        <v>4030</v>
      </c>
      <c r="D1063" s="4">
        <v>49833.0</v>
      </c>
      <c r="E1063" s="5"/>
      <c r="F1063" s="4">
        <v>1.0</v>
      </c>
      <c r="G1063" s="4">
        <v>99.0</v>
      </c>
      <c r="H1063" s="4"/>
      <c r="I1063" s="4">
        <v>99.0</v>
      </c>
      <c r="J1063" s="4" t="s">
        <v>4153</v>
      </c>
      <c r="K1063" s="5">
        <f>+919967087458</f>
        <v>919967087458</v>
      </c>
      <c r="L1063" s="4" t="str">
        <f t="shared" si="1"/>
        <v>pawarpallu14@gmail.com919967087458</v>
      </c>
      <c r="M1063" s="10" t="s">
        <v>67</v>
      </c>
      <c r="N1063" s="4" t="b">
        <v>0</v>
      </c>
      <c r="O1063" s="4" t="str">
        <f>VLOOKUP(A1063,payment_ids!D:E,2,FALSE)</f>
        <v>upi</v>
      </c>
      <c r="P1063" s="4" t="s">
        <v>69</v>
      </c>
      <c r="Q1063" s="4" t="s">
        <v>4154</v>
      </c>
      <c r="R1063" s="4"/>
      <c r="S1063" s="12" t="s">
        <v>4033</v>
      </c>
      <c r="T1063" s="5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5"/>
      <c r="AI1063" s="5"/>
      <c r="AJ1063" s="5"/>
      <c r="AK1063" s="5"/>
      <c r="AL1063" s="5"/>
    </row>
    <row r="1064">
      <c r="A1064" s="4" t="str">
        <f>VLOOKUP(L1064,payment_ids!C:D,2,FALSE)</f>
        <v>pay_HGHc9Spw6nKNvd</v>
      </c>
      <c r="B1064" s="4"/>
      <c r="C1064" s="4" t="s">
        <v>4030</v>
      </c>
      <c r="D1064" s="4">
        <v>49833.0</v>
      </c>
      <c r="E1064" s="5"/>
      <c r="F1064" s="4">
        <v>1.0</v>
      </c>
      <c r="G1064" s="4">
        <v>99.0</v>
      </c>
      <c r="H1064" s="4"/>
      <c r="I1064" s="4">
        <v>99.0</v>
      </c>
      <c r="J1064" s="4" t="s">
        <v>4155</v>
      </c>
      <c r="K1064" s="5">
        <f>+917718851551</f>
        <v>917718851551</v>
      </c>
      <c r="L1064" s="4" t="str">
        <f t="shared" si="1"/>
        <v>sawantarya2000@gmail.com917718851551</v>
      </c>
      <c r="M1064" s="10" t="s">
        <v>67</v>
      </c>
      <c r="N1064" s="4" t="b">
        <v>0</v>
      </c>
      <c r="O1064" s="4" t="str">
        <f>VLOOKUP(A1064,payment_ids!D:E,2,FALSE)</f>
        <v>upi</v>
      </c>
      <c r="P1064" s="4" t="s">
        <v>69</v>
      </c>
      <c r="Q1064" s="4" t="s">
        <v>4156</v>
      </c>
      <c r="R1064" s="4"/>
      <c r="S1064" s="12" t="s">
        <v>4033</v>
      </c>
      <c r="T1064" s="5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5"/>
      <c r="AI1064" s="5"/>
      <c r="AJ1064" s="5"/>
      <c r="AK1064" s="5"/>
      <c r="AL1064" s="5"/>
    </row>
    <row r="1065">
      <c r="A1065" s="4" t="str">
        <f>VLOOKUP(L1065,payment_ids!C:D,2,FALSE)</f>
        <v>pay_HGHlKSguXd3JId</v>
      </c>
      <c r="B1065" s="4"/>
      <c r="C1065" s="4" t="s">
        <v>4030</v>
      </c>
      <c r="D1065" s="4">
        <v>49833.0</v>
      </c>
      <c r="E1065" s="5"/>
      <c r="F1065" s="4">
        <v>1.0</v>
      </c>
      <c r="G1065" s="4">
        <v>99.0</v>
      </c>
      <c r="H1065" s="4"/>
      <c r="I1065" s="4">
        <v>99.0</v>
      </c>
      <c r="J1065" s="4" t="s">
        <v>4157</v>
      </c>
      <c r="K1065" s="5">
        <f>+917071805590</f>
        <v>917071805590</v>
      </c>
      <c r="L1065" s="4" t="str">
        <f t="shared" si="1"/>
        <v>ashisaxena6409@gmail.com917071805590</v>
      </c>
      <c r="M1065" s="10" t="s">
        <v>67</v>
      </c>
      <c r="N1065" s="4" t="b">
        <v>0</v>
      </c>
      <c r="O1065" s="4" t="str">
        <f>VLOOKUP(A1065,payment_ids!D:E,2,FALSE)</f>
        <v>upi</v>
      </c>
      <c r="P1065" s="4" t="s">
        <v>69</v>
      </c>
      <c r="Q1065" s="4" t="s">
        <v>4158</v>
      </c>
      <c r="R1065" s="4"/>
      <c r="S1065" s="12" t="s">
        <v>4033</v>
      </c>
      <c r="T1065" s="5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5"/>
      <c r="AI1065" s="5"/>
      <c r="AJ1065" s="5"/>
      <c r="AK1065" s="5"/>
      <c r="AL1065" s="5"/>
    </row>
    <row r="1066">
      <c r="A1066" s="4" t="str">
        <f>VLOOKUP(L1066,payment_ids!C:D,2,FALSE)</f>
        <v>pay_HGRnEZ00BhByei</v>
      </c>
      <c r="B1066" s="4"/>
      <c r="C1066" s="4" t="s">
        <v>4030</v>
      </c>
      <c r="D1066" s="4">
        <v>49833.0</v>
      </c>
      <c r="E1066" s="5"/>
      <c r="F1066" s="4">
        <v>1.0</v>
      </c>
      <c r="G1066" s="4">
        <v>99.0</v>
      </c>
      <c r="H1066" s="4"/>
      <c r="I1066" s="4">
        <v>99.0</v>
      </c>
      <c r="J1066" s="4" t="s">
        <v>966</v>
      </c>
      <c r="K1066" s="5">
        <f>+918826223205</f>
        <v>918826223205</v>
      </c>
      <c r="L1066" s="4" t="str">
        <f t="shared" si="1"/>
        <v>niharikayadav808@gmail.com918826223205</v>
      </c>
      <c r="M1066" s="10" t="s">
        <v>67</v>
      </c>
      <c r="N1066" s="4" t="b">
        <v>0</v>
      </c>
      <c r="O1066" s="4" t="str">
        <f>VLOOKUP(A1066,payment_ids!D:E,2,FALSE)</f>
        <v>upi</v>
      </c>
      <c r="P1066" s="4" t="s">
        <v>69</v>
      </c>
      <c r="Q1066" s="4" t="s">
        <v>4159</v>
      </c>
      <c r="R1066" s="4"/>
      <c r="S1066" s="12" t="s">
        <v>4033</v>
      </c>
      <c r="T1066" s="5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5"/>
      <c r="AI1066" s="5"/>
      <c r="AJ1066" s="5"/>
      <c r="AK1066" s="5"/>
      <c r="AL1066" s="5"/>
    </row>
    <row r="1067">
      <c r="A1067" s="4" t="str">
        <f>VLOOKUP(L1067,payment_ids!C:D,2,FALSE)</f>
        <v>pay_HGUFzoPv0ABJ6o</v>
      </c>
      <c r="B1067" s="4"/>
      <c r="C1067" s="4" t="s">
        <v>4030</v>
      </c>
      <c r="D1067" s="4">
        <v>49833.0</v>
      </c>
      <c r="E1067" s="5"/>
      <c r="F1067" s="4">
        <v>6.0</v>
      </c>
      <c r="G1067" s="4">
        <v>349.0</v>
      </c>
      <c r="H1067" s="4"/>
      <c r="I1067" s="4">
        <v>349.0</v>
      </c>
      <c r="J1067" s="4" t="s">
        <v>4160</v>
      </c>
      <c r="K1067" s="5">
        <f>+918839661910</f>
        <v>918839661910</v>
      </c>
      <c r="L1067" s="4" t="str">
        <f t="shared" si="1"/>
        <v>shweta.jaiswal9005@gmail.com918839661910</v>
      </c>
      <c r="M1067" s="10" t="s">
        <v>67</v>
      </c>
      <c r="N1067" s="4" t="b">
        <v>0</v>
      </c>
      <c r="O1067" s="4" t="str">
        <f>VLOOKUP(A1067,payment_ids!D:E,2,FALSE)</f>
        <v>upi</v>
      </c>
      <c r="P1067" s="4" t="s">
        <v>69</v>
      </c>
      <c r="Q1067" s="4" t="s">
        <v>4161</v>
      </c>
      <c r="R1067" s="4"/>
      <c r="S1067" s="12" t="s">
        <v>4033</v>
      </c>
      <c r="T1067" s="5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5"/>
      <c r="AI1067" s="5"/>
      <c r="AJ1067" s="5"/>
      <c r="AK1067" s="5"/>
      <c r="AL1067" s="5"/>
    </row>
    <row r="1068">
      <c r="A1068" s="4" t="str">
        <f>VLOOKUP(L1068,payment_ids!C:D,2,FALSE)</f>
        <v>pay_HGaa6DD1nUnEHr</v>
      </c>
      <c r="B1068" s="4"/>
      <c r="C1068" s="4" t="s">
        <v>4030</v>
      </c>
      <c r="D1068" s="4">
        <v>49833.0</v>
      </c>
      <c r="E1068" s="5"/>
      <c r="F1068" s="4">
        <v>1.0</v>
      </c>
      <c r="G1068" s="4">
        <v>99.0</v>
      </c>
      <c r="H1068" s="4"/>
      <c r="I1068" s="4">
        <v>99.0</v>
      </c>
      <c r="J1068" s="4" t="s">
        <v>4162</v>
      </c>
      <c r="K1068" s="5">
        <f>+918260604931</f>
        <v>918260604931</v>
      </c>
      <c r="L1068" s="4" t="str">
        <f t="shared" si="1"/>
        <v>hansdahmaina10@gmail.com918260604931</v>
      </c>
      <c r="M1068" s="10" t="s">
        <v>67</v>
      </c>
      <c r="N1068" s="4" t="b">
        <v>0</v>
      </c>
      <c r="O1068" s="4" t="str">
        <f>VLOOKUP(A1068,payment_ids!D:E,2,FALSE)</f>
        <v>upi</v>
      </c>
      <c r="P1068" s="4" t="s">
        <v>69</v>
      </c>
      <c r="Q1068" s="4" t="s">
        <v>4163</v>
      </c>
      <c r="R1068" s="4"/>
      <c r="S1068" s="12" t="s">
        <v>4033</v>
      </c>
      <c r="T1068" s="5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5"/>
      <c r="AI1068" s="5"/>
      <c r="AJ1068" s="5"/>
      <c r="AK1068" s="5"/>
      <c r="AL1068" s="5"/>
    </row>
    <row r="1069">
      <c r="A1069" s="4" t="str">
        <f>VLOOKUP(L1069,payment_ids!C:D,2,FALSE)</f>
        <v>pay_HGrNgLHuOJpMpr</v>
      </c>
      <c r="B1069" s="4"/>
      <c r="C1069" s="4" t="s">
        <v>4030</v>
      </c>
      <c r="D1069" s="4">
        <v>49833.0</v>
      </c>
      <c r="E1069" s="5"/>
      <c r="F1069" s="4">
        <v>6.0</v>
      </c>
      <c r="G1069" s="4">
        <v>349.0</v>
      </c>
      <c r="H1069" s="4"/>
      <c r="I1069" s="4">
        <v>349.0</v>
      </c>
      <c r="J1069" s="4" t="s">
        <v>4164</v>
      </c>
      <c r="K1069" s="5">
        <f>+919871079550</f>
        <v>919871079550</v>
      </c>
      <c r="L1069" s="4" t="str">
        <f t="shared" si="1"/>
        <v>ayushivansh239@gmail.com919871079550</v>
      </c>
      <c r="M1069" s="10" t="s">
        <v>67</v>
      </c>
      <c r="N1069" s="4" t="b">
        <v>0</v>
      </c>
      <c r="O1069" s="4" t="str">
        <f>VLOOKUP(A1069,payment_ids!D:E,2,FALSE)</f>
        <v>upi</v>
      </c>
      <c r="P1069" s="4" t="s">
        <v>69</v>
      </c>
      <c r="Q1069" s="4" t="s">
        <v>4165</v>
      </c>
      <c r="R1069" s="4"/>
      <c r="S1069" s="12" t="s">
        <v>4033</v>
      </c>
      <c r="T1069" s="5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5"/>
      <c r="AI1069" s="5"/>
      <c r="AJ1069" s="5"/>
      <c r="AK1069" s="5"/>
      <c r="AL1069" s="5"/>
    </row>
    <row r="1070">
      <c r="A1070" s="4" t="str">
        <f>VLOOKUP(L1070,payment_ids!C:D,2,FALSE)</f>
        <v>pay_HGthcmh1MNftjO</v>
      </c>
      <c r="B1070" s="4"/>
      <c r="C1070" s="4" t="s">
        <v>4030</v>
      </c>
      <c r="D1070" s="4">
        <v>49833.0</v>
      </c>
      <c r="E1070" s="5"/>
      <c r="F1070" s="4">
        <v>3.0</v>
      </c>
      <c r="G1070" s="4">
        <v>199.0</v>
      </c>
      <c r="H1070" s="4"/>
      <c r="I1070" s="4">
        <v>199.0</v>
      </c>
      <c r="J1070" s="4" t="s">
        <v>4166</v>
      </c>
      <c r="K1070" s="5">
        <f>+919971100730</f>
        <v>919971100730</v>
      </c>
      <c r="L1070" s="4" t="str">
        <f t="shared" si="1"/>
        <v>mahajanshriyaa@gmail.com919971100730</v>
      </c>
      <c r="M1070" s="10" t="s">
        <v>67</v>
      </c>
      <c r="N1070" s="4" t="b">
        <v>0</v>
      </c>
      <c r="O1070" s="4" t="str">
        <f>VLOOKUP(A1070,payment_ids!D:E,2,FALSE)</f>
        <v>upi</v>
      </c>
      <c r="P1070" s="4" t="s">
        <v>69</v>
      </c>
      <c r="Q1070" s="4" t="s">
        <v>4167</v>
      </c>
      <c r="R1070" s="4"/>
      <c r="S1070" s="12" t="s">
        <v>4033</v>
      </c>
      <c r="T1070" s="5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5"/>
      <c r="AI1070" s="5"/>
      <c r="AJ1070" s="5"/>
      <c r="AK1070" s="5"/>
      <c r="AL1070" s="5"/>
    </row>
    <row r="1071">
      <c r="A1071" s="4" t="str">
        <f>VLOOKUP(L1071,payment_ids!C:D,2,FALSE)</f>
        <v>pay_HGuoXsGRekPM4V</v>
      </c>
      <c r="B1071" s="4"/>
      <c r="C1071" s="4" t="s">
        <v>4030</v>
      </c>
      <c r="D1071" s="4">
        <v>49833.0</v>
      </c>
      <c r="E1071" s="5"/>
      <c r="F1071" s="4">
        <v>1.0</v>
      </c>
      <c r="G1071" s="4">
        <v>99.0</v>
      </c>
      <c r="H1071" s="4"/>
      <c r="I1071" s="4">
        <v>99.0</v>
      </c>
      <c r="J1071" s="4" t="s">
        <v>4168</v>
      </c>
      <c r="K1071" s="5">
        <f>+918618147273</f>
        <v>918618147273</v>
      </c>
      <c r="L1071" s="4" t="str">
        <f t="shared" si="1"/>
        <v>venisa20@gmail.com918618147273</v>
      </c>
      <c r="M1071" s="10" t="s">
        <v>67</v>
      </c>
      <c r="N1071" s="4" t="b">
        <v>0</v>
      </c>
      <c r="O1071" s="4" t="str">
        <f>VLOOKUP(A1071,payment_ids!D:E,2,FALSE)</f>
        <v>card</v>
      </c>
      <c r="P1071" s="4" t="s">
        <v>69</v>
      </c>
      <c r="Q1071" s="4" t="s">
        <v>4169</v>
      </c>
      <c r="R1071" s="4"/>
      <c r="S1071" s="12" t="s">
        <v>4033</v>
      </c>
      <c r="T1071" s="5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5"/>
      <c r="AI1071" s="5"/>
      <c r="AJ1071" s="5"/>
      <c r="AK1071" s="5"/>
      <c r="AL1071" s="5"/>
    </row>
    <row r="1072">
      <c r="A1072" s="4" t="str">
        <f>VLOOKUP(L1072,payment_ids!C:D,2,FALSE)</f>
        <v>pay_HGxCkwe5R9jyH1</v>
      </c>
      <c r="B1072" s="4"/>
      <c r="C1072" s="4" t="s">
        <v>4030</v>
      </c>
      <c r="D1072" s="4">
        <v>49833.0</v>
      </c>
      <c r="E1072" s="5"/>
      <c r="F1072" s="4">
        <v>1.0</v>
      </c>
      <c r="G1072" s="4">
        <v>99.0</v>
      </c>
      <c r="H1072" s="4"/>
      <c r="I1072" s="4">
        <v>99.0</v>
      </c>
      <c r="J1072" s="4" t="s">
        <v>4170</v>
      </c>
      <c r="K1072" s="5">
        <f>+919959011870</f>
        <v>919959011870</v>
      </c>
      <c r="L1072" s="4" t="str">
        <f t="shared" si="1"/>
        <v>shruti.boddu92@gmail.com919959011870</v>
      </c>
      <c r="M1072" s="10" t="s">
        <v>67</v>
      </c>
      <c r="N1072" s="4" t="b">
        <v>0</v>
      </c>
      <c r="O1072" s="4" t="str">
        <f>VLOOKUP(A1072,payment_ids!D:E,2,FALSE)</f>
        <v>upi</v>
      </c>
      <c r="P1072" s="4" t="s">
        <v>69</v>
      </c>
      <c r="Q1072" s="4" t="s">
        <v>4171</v>
      </c>
      <c r="R1072" s="4"/>
      <c r="S1072" s="12" t="s">
        <v>4033</v>
      </c>
      <c r="T1072" s="5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5"/>
      <c r="AI1072" s="5"/>
      <c r="AJ1072" s="5"/>
      <c r="AK1072" s="5"/>
      <c r="AL1072" s="5"/>
    </row>
    <row r="1073">
      <c r="A1073" s="4" t="str">
        <f>VLOOKUP(L1073,payment_ids!C:D,2,FALSE)</f>
        <v>pay_HGxuBZi8pbLBZQ</v>
      </c>
      <c r="B1073" s="4"/>
      <c r="C1073" s="4" t="s">
        <v>4030</v>
      </c>
      <c r="D1073" s="4">
        <v>49833.0</v>
      </c>
      <c r="E1073" s="5"/>
      <c r="F1073" s="4">
        <v>1.0</v>
      </c>
      <c r="G1073" s="4">
        <v>99.0</v>
      </c>
      <c r="H1073" s="4"/>
      <c r="I1073" s="4">
        <v>99.0</v>
      </c>
      <c r="J1073" s="4" t="s">
        <v>4172</v>
      </c>
      <c r="K1073" s="5">
        <f>+919890829994</f>
        <v>919890829994</v>
      </c>
      <c r="L1073" s="4" t="str">
        <f t="shared" si="1"/>
        <v>manerahana@gmail.com919890829994</v>
      </c>
      <c r="M1073" s="10" t="s">
        <v>67</v>
      </c>
      <c r="N1073" s="4" t="b">
        <v>0</v>
      </c>
      <c r="O1073" s="4" t="str">
        <f>VLOOKUP(A1073,payment_ids!D:E,2,FALSE)</f>
        <v>upi</v>
      </c>
      <c r="P1073" s="4" t="s">
        <v>69</v>
      </c>
      <c r="Q1073" s="4" t="s">
        <v>4173</v>
      </c>
      <c r="R1073" s="4"/>
      <c r="S1073" s="12" t="s">
        <v>4033</v>
      </c>
      <c r="T1073" s="5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5"/>
      <c r="AI1073" s="5"/>
      <c r="AJ1073" s="5"/>
      <c r="AK1073" s="5"/>
      <c r="AL1073" s="5"/>
    </row>
    <row r="1074">
      <c r="A1074" s="4" t="str">
        <f>VLOOKUP(L1074,payment_ids!C:D,2,FALSE)</f>
        <v>pay_HGzGxYusXVHDa6</v>
      </c>
      <c r="B1074" s="4"/>
      <c r="C1074" s="4" t="s">
        <v>4030</v>
      </c>
      <c r="D1074" s="4">
        <v>49833.0</v>
      </c>
      <c r="E1074" s="5"/>
      <c r="F1074" s="4">
        <v>3.0</v>
      </c>
      <c r="G1074" s="4">
        <v>199.0</v>
      </c>
      <c r="H1074" s="4"/>
      <c r="I1074" s="4">
        <v>199.0</v>
      </c>
      <c r="J1074" s="4" t="s">
        <v>4174</v>
      </c>
      <c r="K1074" s="5">
        <f>+917727017057</f>
        <v>917727017057</v>
      </c>
      <c r="L1074" s="4" t="str">
        <f t="shared" si="1"/>
        <v>kapoorharpreet19@gmail.com917727017057</v>
      </c>
      <c r="M1074" s="10" t="s">
        <v>67</v>
      </c>
      <c r="N1074" s="4" t="b">
        <v>0</v>
      </c>
      <c r="O1074" s="4" t="str">
        <f>VLOOKUP(A1074,payment_ids!D:E,2,FALSE)</f>
        <v>upi</v>
      </c>
      <c r="P1074" s="4" t="s">
        <v>69</v>
      </c>
      <c r="Q1074" s="4" t="s">
        <v>4175</v>
      </c>
      <c r="R1074" s="4"/>
      <c r="S1074" s="12" t="s">
        <v>4033</v>
      </c>
      <c r="T1074" s="5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5"/>
      <c r="AI1074" s="5"/>
      <c r="AJ1074" s="5"/>
      <c r="AK1074" s="5"/>
      <c r="AL1074" s="5"/>
    </row>
    <row r="1075">
      <c r="A1075" s="4" t="str">
        <f>VLOOKUP(L1075,payment_ids!C:D,2,FALSE)</f>
        <v>pay_HHHBH3xkmTk9jS</v>
      </c>
      <c r="B1075" s="4"/>
      <c r="C1075" s="4" t="s">
        <v>4030</v>
      </c>
      <c r="D1075" s="4">
        <v>49833.0</v>
      </c>
      <c r="E1075" s="5"/>
      <c r="F1075" s="4">
        <v>6.0</v>
      </c>
      <c r="G1075" s="4">
        <v>349.0</v>
      </c>
      <c r="H1075" s="4"/>
      <c r="I1075" s="4">
        <v>349.0</v>
      </c>
      <c r="J1075" s="4" t="s">
        <v>4176</v>
      </c>
      <c r="K1075" s="5">
        <f>+919582791304</f>
        <v>919582791304</v>
      </c>
      <c r="L1075" s="4" t="str">
        <f t="shared" si="1"/>
        <v>nirbhikasachdev22@gmail.com919582791304</v>
      </c>
      <c r="M1075" s="10" t="s">
        <v>67</v>
      </c>
      <c r="N1075" s="4" t="b">
        <v>0</v>
      </c>
      <c r="O1075" s="4" t="str">
        <f>VLOOKUP(A1075,payment_ids!D:E,2,FALSE)</f>
        <v>upi</v>
      </c>
      <c r="P1075" s="4" t="s">
        <v>69</v>
      </c>
      <c r="Q1075" s="4" t="s">
        <v>4177</v>
      </c>
      <c r="R1075" s="4"/>
      <c r="S1075" s="12" t="s">
        <v>4033</v>
      </c>
      <c r="T1075" s="5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5"/>
      <c r="AI1075" s="5"/>
      <c r="AJ1075" s="5"/>
      <c r="AK1075" s="5"/>
      <c r="AL1075" s="5"/>
    </row>
    <row r="1076">
      <c r="A1076" s="4" t="str">
        <f>VLOOKUP(L1076,payment_ids!C:D,2,FALSE)</f>
        <v>pay_HHJII9z9qgKR2N</v>
      </c>
      <c r="B1076" s="4"/>
      <c r="C1076" s="4" t="s">
        <v>4030</v>
      </c>
      <c r="D1076" s="4">
        <v>49833.0</v>
      </c>
      <c r="E1076" s="5"/>
      <c r="F1076" s="4">
        <v>3.0</v>
      </c>
      <c r="G1076" s="4">
        <v>199.0</v>
      </c>
      <c r="H1076" s="4"/>
      <c r="I1076" s="4">
        <v>199.0</v>
      </c>
      <c r="J1076" s="4" t="s">
        <v>4178</v>
      </c>
      <c r="K1076" s="5">
        <f>+917071534761</f>
        <v>917071534761</v>
      </c>
      <c r="L1076" s="4" t="str">
        <f t="shared" si="1"/>
        <v>mohdabuzar465@gmail.com917071534761</v>
      </c>
      <c r="M1076" s="10" t="s">
        <v>67</v>
      </c>
      <c r="N1076" s="4" t="b">
        <v>0</v>
      </c>
      <c r="O1076" s="4" t="str">
        <f>VLOOKUP(A1076,payment_ids!D:E,2,FALSE)</f>
        <v>upi</v>
      </c>
      <c r="P1076" s="4" t="s">
        <v>69</v>
      </c>
      <c r="Q1076" s="4" t="s">
        <v>4179</v>
      </c>
      <c r="R1076" s="4"/>
      <c r="S1076" s="12" t="s">
        <v>4033</v>
      </c>
      <c r="T1076" s="5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5"/>
      <c r="AI1076" s="5"/>
      <c r="AJ1076" s="5"/>
      <c r="AK1076" s="5"/>
      <c r="AL1076" s="5"/>
    </row>
    <row r="1077">
      <c r="A1077" s="4" t="str">
        <f>VLOOKUP(L1077,payment_ids!C:D,2,FALSE)</f>
        <v>pay_HHKblOIgGDW3nM</v>
      </c>
      <c r="B1077" s="4"/>
      <c r="C1077" s="4" t="s">
        <v>4030</v>
      </c>
      <c r="D1077" s="4">
        <v>49833.0</v>
      </c>
      <c r="E1077" s="5"/>
      <c r="F1077" s="4">
        <v>1.0</v>
      </c>
      <c r="G1077" s="4">
        <v>99.0</v>
      </c>
      <c r="H1077" s="4"/>
      <c r="I1077" s="4">
        <v>99.0</v>
      </c>
      <c r="J1077" s="4" t="s">
        <v>4180</v>
      </c>
      <c r="K1077" s="5">
        <f>+916395144782</f>
        <v>916395144782</v>
      </c>
      <c r="L1077" s="4" t="str">
        <f t="shared" si="1"/>
        <v>sharmamusk32@gmail.com916395144782</v>
      </c>
      <c r="M1077" s="10" t="s">
        <v>67</v>
      </c>
      <c r="N1077" s="4" t="b">
        <v>0</v>
      </c>
      <c r="O1077" s="4" t="str">
        <f>VLOOKUP(A1077,payment_ids!D:E,2,FALSE)</f>
        <v>upi</v>
      </c>
      <c r="P1077" s="4" t="s">
        <v>69</v>
      </c>
      <c r="Q1077" s="4" t="s">
        <v>4181</v>
      </c>
      <c r="R1077" s="4"/>
      <c r="S1077" s="12" t="s">
        <v>4033</v>
      </c>
      <c r="T1077" s="5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5"/>
      <c r="AI1077" s="5"/>
      <c r="AJ1077" s="5"/>
      <c r="AK1077" s="5"/>
      <c r="AL1077" s="5"/>
    </row>
    <row r="1078">
      <c r="A1078" s="4" t="str">
        <f>VLOOKUP(L1078,payment_ids!C:D,2,FALSE)</f>
        <v>pay_HHVslAFJgGPJcC</v>
      </c>
      <c r="B1078" s="4"/>
      <c r="C1078" s="4" t="s">
        <v>4030</v>
      </c>
      <c r="D1078" s="4">
        <v>49833.0</v>
      </c>
      <c r="E1078" s="5"/>
      <c r="F1078" s="4">
        <v>3.0</v>
      </c>
      <c r="G1078" s="4">
        <v>199.0</v>
      </c>
      <c r="H1078" s="4"/>
      <c r="I1078" s="4">
        <v>199.0</v>
      </c>
      <c r="J1078" s="4" t="s">
        <v>4182</v>
      </c>
      <c r="K1078" s="5">
        <f>+919101738845</f>
        <v>919101738845</v>
      </c>
      <c r="L1078" s="4" t="str">
        <f t="shared" si="1"/>
        <v>fareenhussain786@gmail.com919101738845</v>
      </c>
      <c r="M1078" s="10" t="s">
        <v>67</v>
      </c>
      <c r="N1078" s="4" t="b">
        <v>0</v>
      </c>
      <c r="O1078" s="4" t="str">
        <f>VLOOKUP(A1078,payment_ids!D:E,2,FALSE)</f>
        <v>upi</v>
      </c>
      <c r="P1078" s="4" t="s">
        <v>69</v>
      </c>
      <c r="Q1078" s="11">
        <v>44202.03611111111</v>
      </c>
      <c r="R1078" s="4"/>
      <c r="S1078" s="12" t="s">
        <v>4033</v>
      </c>
      <c r="T1078" s="5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5"/>
      <c r="AI1078" s="5"/>
      <c r="AJ1078" s="5"/>
      <c r="AK1078" s="5"/>
      <c r="AL1078" s="5"/>
    </row>
    <row r="1079">
      <c r="A1079" s="4" t="str">
        <f>VLOOKUP(L1079,payment_ids!C:D,2,FALSE)</f>
        <v>pay_HHcQlQ4Nw8uH1l</v>
      </c>
      <c r="B1079" s="4"/>
      <c r="C1079" s="4" t="s">
        <v>4030</v>
      </c>
      <c r="D1079" s="4">
        <v>49833.0</v>
      </c>
      <c r="E1079" s="5"/>
      <c r="F1079" s="4">
        <v>1.0</v>
      </c>
      <c r="G1079" s="4">
        <v>99.0</v>
      </c>
      <c r="H1079" s="4"/>
      <c r="I1079" s="4">
        <v>99.0</v>
      </c>
      <c r="J1079" s="4" t="s">
        <v>4183</v>
      </c>
      <c r="K1079" s="5">
        <f>+917987886331</f>
        <v>917987886331</v>
      </c>
      <c r="L1079" s="4" t="str">
        <f t="shared" si="1"/>
        <v>priyankaayadav1807@gmail.com917987886331</v>
      </c>
      <c r="M1079" s="10" t="s">
        <v>67</v>
      </c>
      <c r="N1079" s="4" t="b">
        <v>0</v>
      </c>
      <c r="O1079" s="4" t="str">
        <f>VLOOKUP(A1079,payment_ids!D:E,2,FALSE)</f>
        <v>upi</v>
      </c>
      <c r="P1079" s="4" t="s">
        <v>69</v>
      </c>
      <c r="Q1079" s="11">
        <v>44202.30486111111</v>
      </c>
      <c r="R1079" s="4"/>
      <c r="S1079" s="12" t="s">
        <v>4033</v>
      </c>
      <c r="T1079" s="5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5"/>
      <c r="AI1079" s="5"/>
      <c r="AJ1079" s="5"/>
      <c r="AK1079" s="5"/>
      <c r="AL1079" s="5"/>
    </row>
    <row r="1080">
      <c r="A1080" s="4" t="str">
        <f>VLOOKUP(L1080,payment_ids!C:D,2,FALSE)</f>
        <v>pay_HHdtXkVdU5Mwqb</v>
      </c>
      <c r="B1080" s="4"/>
      <c r="C1080" s="4" t="s">
        <v>4030</v>
      </c>
      <c r="D1080" s="4">
        <v>49833.0</v>
      </c>
      <c r="E1080" s="5"/>
      <c r="F1080" s="4">
        <v>1.0</v>
      </c>
      <c r="G1080" s="4">
        <v>99.0</v>
      </c>
      <c r="H1080" s="4"/>
      <c r="I1080" s="4">
        <v>99.0</v>
      </c>
      <c r="J1080" s="4" t="s">
        <v>4184</v>
      </c>
      <c r="K1080" s="5">
        <f>+918247643819</f>
        <v>918247643819</v>
      </c>
      <c r="L1080" s="4" t="str">
        <f t="shared" si="1"/>
        <v>sravaninaidu499@gmail.com918247643819</v>
      </c>
      <c r="M1080" s="10" t="s">
        <v>67</v>
      </c>
      <c r="N1080" s="4" t="b">
        <v>0</v>
      </c>
      <c r="O1080" s="4" t="str">
        <f>VLOOKUP(A1080,payment_ids!D:E,2,FALSE)</f>
        <v>upi</v>
      </c>
      <c r="P1080" s="4" t="s">
        <v>69</v>
      </c>
      <c r="Q1080" s="11">
        <v>44202.36319444444</v>
      </c>
      <c r="R1080" s="4"/>
      <c r="S1080" s="12" t="s">
        <v>4033</v>
      </c>
      <c r="T1080" s="5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5"/>
      <c r="AI1080" s="5"/>
      <c r="AJ1080" s="5"/>
      <c r="AK1080" s="5"/>
      <c r="AL1080" s="5"/>
    </row>
    <row r="1081">
      <c r="A1081" s="4" t="str">
        <f>VLOOKUP(L1081,payment_ids!C:D,2,FALSE)</f>
        <v>pay_HHjzYnOcqOF4QO</v>
      </c>
      <c r="B1081" s="4"/>
      <c r="C1081" s="4" t="s">
        <v>4030</v>
      </c>
      <c r="D1081" s="4">
        <v>49833.0</v>
      </c>
      <c r="E1081" s="5"/>
      <c r="F1081" s="4">
        <v>1.0</v>
      </c>
      <c r="G1081" s="4">
        <v>99.0</v>
      </c>
      <c r="H1081" s="4"/>
      <c r="I1081" s="4">
        <v>99.0</v>
      </c>
      <c r="J1081" s="4" t="s">
        <v>4185</v>
      </c>
      <c r="K1081" s="5">
        <f>+919632509996</f>
        <v>919632509996</v>
      </c>
      <c r="L1081" s="4" t="str">
        <f t="shared" si="1"/>
        <v>amruth.kumarnn@iipr.in919632509996</v>
      </c>
      <c r="M1081" s="10" t="s">
        <v>67</v>
      </c>
      <c r="N1081" s="4" t="b">
        <v>0</v>
      </c>
      <c r="O1081" s="4" t="str">
        <f>VLOOKUP(A1081,payment_ids!D:E,2,FALSE)</f>
        <v>upi</v>
      </c>
      <c r="P1081" s="4" t="s">
        <v>69</v>
      </c>
      <c r="Q1081" s="11">
        <v>44202.61111111111</v>
      </c>
      <c r="R1081" s="4"/>
      <c r="S1081" s="12" t="s">
        <v>4033</v>
      </c>
      <c r="T1081" s="5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5"/>
      <c r="AI1081" s="5"/>
      <c r="AJ1081" s="5"/>
      <c r="AK1081" s="5"/>
      <c r="AL1081" s="5"/>
    </row>
    <row r="1082">
      <c r="A1082" s="4" t="str">
        <f>VLOOKUP(L1082,payment_ids!C:D,2,FALSE)</f>
        <v>pay_HHnxsEXUkbBARh</v>
      </c>
      <c r="B1082" s="4"/>
      <c r="C1082" s="4" t="s">
        <v>4030</v>
      </c>
      <c r="D1082" s="4">
        <v>49833.0</v>
      </c>
      <c r="E1082" s="5"/>
      <c r="F1082" s="4">
        <v>3.0</v>
      </c>
      <c r="G1082" s="4">
        <v>199.0</v>
      </c>
      <c r="H1082" s="4"/>
      <c r="I1082" s="4">
        <v>199.0</v>
      </c>
      <c r="J1082" s="4" t="s">
        <v>4186</v>
      </c>
      <c r="K1082" s="5">
        <f>+918270200725</f>
        <v>918270200725</v>
      </c>
      <c r="L1082" s="4" t="str">
        <f t="shared" si="1"/>
        <v>dutta99anindita@gmail.com918270200725</v>
      </c>
      <c r="M1082" s="10" t="s">
        <v>67</v>
      </c>
      <c r="N1082" s="4" t="b">
        <v>0</v>
      </c>
      <c r="O1082" s="4" t="str">
        <f>VLOOKUP(A1082,payment_ids!D:E,2,FALSE)</f>
        <v>upi</v>
      </c>
      <c r="P1082" s="4" t="s">
        <v>69</v>
      </c>
      <c r="Q1082" s="11">
        <v>44202.77361111111</v>
      </c>
      <c r="R1082" s="4"/>
      <c r="S1082" s="12" t="s">
        <v>4033</v>
      </c>
      <c r="T1082" s="5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5"/>
      <c r="AI1082" s="5"/>
      <c r="AJ1082" s="5"/>
      <c r="AK1082" s="5"/>
      <c r="AL1082" s="5"/>
    </row>
    <row r="1083">
      <c r="A1083" s="4" t="str">
        <f>VLOOKUP(L1083,payment_ids!C:D,2,FALSE)</f>
        <v>pay_HHsMfXEsBS8zMV</v>
      </c>
      <c r="B1083" s="4"/>
      <c r="C1083" s="4" t="s">
        <v>4030</v>
      </c>
      <c r="D1083" s="4">
        <v>49833.0</v>
      </c>
      <c r="E1083" s="5"/>
      <c r="F1083" s="4">
        <v>1.0</v>
      </c>
      <c r="G1083" s="4">
        <v>99.0</v>
      </c>
      <c r="H1083" s="4"/>
      <c r="I1083" s="4">
        <v>99.0</v>
      </c>
      <c r="J1083" s="4" t="s">
        <v>4187</v>
      </c>
      <c r="K1083" s="5">
        <f>+919643705505</f>
        <v>919643705505</v>
      </c>
      <c r="L1083" s="4" t="str">
        <f t="shared" si="1"/>
        <v>anshikachugh5@gmail.com919643705505</v>
      </c>
      <c r="M1083" s="10" t="s">
        <v>67</v>
      </c>
      <c r="N1083" s="4" t="b">
        <v>0</v>
      </c>
      <c r="O1083" s="4" t="str">
        <f>VLOOKUP(A1083,payment_ids!D:E,2,FALSE)</f>
        <v>upi</v>
      </c>
      <c r="P1083" s="4" t="s">
        <v>69</v>
      </c>
      <c r="Q1083" s="11">
        <v>44202.95347222222</v>
      </c>
      <c r="R1083" s="4"/>
      <c r="S1083" s="12" t="s">
        <v>4033</v>
      </c>
      <c r="T1083" s="5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5"/>
      <c r="AI1083" s="5"/>
      <c r="AJ1083" s="5"/>
      <c r="AK1083" s="5"/>
      <c r="AL1083" s="5"/>
    </row>
    <row r="1084">
      <c r="A1084" s="4" t="str">
        <f>VLOOKUP(L1084,payment_ids!C:D,2,FALSE)</f>
        <v>pay_HI4Zi2ZFjSLOlj</v>
      </c>
      <c r="B1084" s="4"/>
      <c r="C1084" s="4" t="s">
        <v>4030</v>
      </c>
      <c r="D1084" s="4">
        <v>49833.0</v>
      </c>
      <c r="E1084" s="5"/>
      <c r="F1084" s="4">
        <v>6.0</v>
      </c>
      <c r="G1084" s="4">
        <v>349.0</v>
      </c>
      <c r="H1084" s="4"/>
      <c r="I1084" s="4">
        <v>349.0</v>
      </c>
      <c r="J1084" s="4" t="s">
        <v>4188</v>
      </c>
      <c r="K1084" s="5">
        <f>+919774150855</f>
        <v>919774150855</v>
      </c>
      <c r="L1084" s="4" t="str">
        <f t="shared" si="1"/>
        <v>tsukjem.aj@gmail.com919774150855</v>
      </c>
      <c r="M1084" s="10" t="s">
        <v>67</v>
      </c>
      <c r="N1084" s="4" t="b">
        <v>0</v>
      </c>
      <c r="O1084" s="4" t="str">
        <f>VLOOKUP(A1084,payment_ids!D:E,2,FALSE)</f>
        <v>card</v>
      </c>
      <c r="P1084" s="4" t="s">
        <v>69</v>
      </c>
      <c r="Q1084" s="11">
        <v>44233.450694444444</v>
      </c>
      <c r="R1084" s="4"/>
      <c r="S1084" s="12" t="s">
        <v>4033</v>
      </c>
      <c r="T1084" s="5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5"/>
      <c r="AI1084" s="5"/>
      <c r="AJ1084" s="5"/>
      <c r="AK1084" s="5"/>
      <c r="AL1084" s="5"/>
    </row>
    <row r="1085">
      <c r="A1085" s="4" t="str">
        <f>VLOOKUP(L1085,payment_ids!C:D,2,FALSE)</f>
        <v>pay_HI5YgTVGUYMKPM</v>
      </c>
      <c r="B1085" s="4"/>
      <c r="C1085" s="4" t="s">
        <v>4030</v>
      </c>
      <c r="D1085" s="4">
        <v>49833.0</v>
      </c>
      <c r="E1085" s="5"/>
      <c r="F1085" s="4">
        <v>1.0</v>
      </c>
      <c r="G1085" s="4">
        <v>99.0</v>
      </c>
      <c r="H1085" s="4"/>
      <c r="I1085" s="4">
        <v>99.0</v>
      </c>
      <c r="J1085" s="4" t="s">
        <v>4189</v>
      </c>
      <c r="K1085" s="5">
        <f>+919701936867</f>
        <v>919701936867</v>
      </c>
      <c r="L1085" s="4" t="str">
        <f t="shared" si="1"/>
        <v>meghana.chintapalli09@gmail.com919701936867</v>
      </c>
      <c r="M1085" s="10" t="s">
        <v>67</v>
      </c>
      <c r="N1085" s="4" t="b">
        <v>0</v>
      </c>
      <c r="O1085" s="4" t="str">
        <f>VLOOKUP(A1085,payment_ids!D:E,2,FALSE)</f>
        <v>upi</v>
      </c>
      <c r="P1085" s="4" t="s">
        <v>69</v>
      </c>
      <c r="Q1085" s="11">
        <v>44233.490277777775</v>
      </c>
      <c r="R1085" s="4"/>
      <c r="S1085" s="12" t="s">
        <v>4033</v>
      </c>
      <c r="T1085" s="5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5"/>
      <c r="AI1085" s="5"/>
      <c r="AJ1085" s="5"/>
      <c r="AK1085" s="5"/>
      <c r="AL1085" s="5"/>
    </row>
    <row r="1086">
      <c r="A1086" s="4" t="str">
        <f>VLOOKUP(L1086,payment_ids!C:D,2,FALSE)</f>
        <v>pay_HIDudWPi3rBT9F</v>
      </c>
      <c r="B1086" s="4"/>
      <c r="C1086" s="4" t="s">
        <v>4030</v>
      </c>
      <c r="D1086" s="4">
        <v>49833.0</v>
      </c>
      <c r="E1086" s="5"/>
      <c r="F1086" s="4">
        <v>1.0</v>
      </c>
      <c r="G1086" s="4">
        <v>99.0</v>
      </c>
      <c r="H1086" s="4"/>
      <c r="I1086" s="4">
        <v>99.0</v>
      </c>
      <c r="J1086" s="4" t="s">
        <v>4190</v>
      </c>
      <c r="K1086" s="5">
        <f>+919930545330</f>
        <v>919930545330</v>
      </c>
      <c r="L1086" s="4" t="str">
        <f t="shared" si="1"/>
        <v>jayshree.awle1503@gmail.com919930545330</v>
      </c>
      <c r="M1086" s="10" t="s">
        <v>67</v>
      </c>
      <c r="N1086" s="4" t="b">
        <v>0</v>
      </c>
      <c r="O1086" s="4" t="str">
        <f>VLOOKUP(A1086,payment_ids!D:E,2,FALSE)</f>
        <v>upi</v>
      </c>
      <c r="P1086" s="4" t="s">
        <v>69</v>
      </c>
      <c r="Q1086" s="11">
        <v>44233.83125</v>
      </c>
      <c r="R1086" s="4"/>
      <c r="S1086" s="12" t="s">
        <v>4033</v>
      </c>
      <c r="T1086" s="5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5"/>
      <c r="AI1086" s="5"/>
      <c r="AJ1086" s="5"/>
      <c r="AK1086" s="5"/>
      <c r="AL1086" s="5"/>
    </row>
    <row r="1087">
      <c r="A1087" s="4" t="str">
        <f>VLOOKUP(L1087,payment_ids!C:D,2,FALSE)</f>
        <v>pay_HIJsXYOvvBVZoQ</v>
      </c>
      <c r="B1087" s="4"/>
      <c r="C1087" s="4" t="s">
        <v>4030</v>
      </c>
      <c r="D1087" s="4">
        <v>49833.0</v>
      </c>
      <c r="E1087" s="5"/>
      <c r="F1087" s="4">
        <v>1.0</v>
      </c>
      <c r="G1087" s="4">
        <v>99.0</v>
      </c>
      <c r="H1087" s="4"/>
      <c r="I1087" s="4">
        <v>99.0</v>
      </c>
      <c r="J1087" s="4" t="s">
        <v>4191</v>
      </c>
      <c r="K1087" s="5">
        <f>+918709300469</f>
        <v>918709300469</v>
      </c>
      <c r="L1087" s="4" t="str">
        <f t="shared" si="1"/>
        <v>aishwaryabala69@gmail.com918709300469</v>
      </c>
      <c r="M1087" s="10" t="s">
        <v>67</v>
      </c>
      <c r="N1087" s="4" t="b">
        <v>0</v>
      </c>
      <c r="O1087" s="4" t="str">
        <f>VLOOKUP(A1087,payment_ids!D:E,2,FALSE)</f>
        <v>upi</v>
      </c>
      <c r="P1087" s="4" t="s">
        <v>69</v>
      </c>
      <c r="Q1087" s="11">
        <v>44261.07430555556</v>
      </c>
      <c r="R1087" s="4"/>
      <c r="S1087" s="12" t="s">
        <v>4033</v>
      </c>
      <c r="T1087" s="5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5"/>
      <c r="AI1087" s="5"/>
      <c r="AJ1087" s="5"/>
      <c r="AK1087" s="5"/>
      <c r="AL1087" s="5"/>
    </row>
    <row r="1088">
      <c r="A1088" s="4" t="str">
        <f>VLOOKUP(L1088,payment_ids!C:D,2,FALSE)</f>
        <v>pay_HILiVgI9FldYHC</v>
      </c>
      <c r="B1088" s="4"/>
      <c r="C1088" s="4" t="s">
        <v>4030</v>
      </c>
      <c r="D1088" s="4">
        <v>49833.0</v>
      </c>
      <c r="E1088" s="5"/>
      <c r="F1088" s="4">
        <v>3.0</v>
      </c>
      <c r="G1088" s="4">
        <v>199.0</v>
      </c>
      <c r="H1088" s="4"/>
      <c r="I1088" s="4">
        <v>199.0</v>
      </c>
      <c r="J1088" s="4" t="s">
        <v>4192</v>
      </c>
      <c r="K1088" s="5">
        <f>+918586989070</f>
        <v>918586989070</v>
      </c>
      <c r="L1088" s="4" t="str">
        <f t="shared" si="1"/>
        <v>act.shivani12@gmail.com918586989070</v>
      </c>
      <c r="M1088" s="10" t="s">
        <v>67</v>
      </c>
      <c r="N1088" s="4" t="b">
        <v>0</v>
      </c>
      <c r="O1088" s="4" t="str">
        <f>VLOOKUP(A1088,payment_ids!D:E,2,FALSE)</f>
        <v>wallet</v>
      </c>
      <c r="P1088" s="4" t="s">
        <v>69</v>
      </c>
      <c r="Q1088" s="11">
        <v>44261.149305555555</v>
      </c>
      <c r="R1088" s="4"/>
      <c r="S1088" s="12" t="s">
        <v>4033</v>
      </c>
      <c r="T1088" s="5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5"/>
      <c r="AI1088" s="5"/>
      <c r="AJ1088" s="5"/>
      <c r="AK1088" s="5"/>
      <c r="AL1088" s="5"/>
    </row>
    <row r="1089">
      <c r="A1089" s="4" t="str">
        <f>VLOOKUP(L1089,payment_ids!C:D,2,FALSE)</f>
        <v>pay_HIQgfHna3JJurV</v>
      </c>
      <c r="B1089" s="4"/>
      <c r="C1089" s="4" t="s">
        <v>4030</v>
      </c>
      <c r="D1089" s="4">
        <v>49833.0</v>
      </c>
      <c r="E1089" s="5"/>
      <c r="F1089" s="4">
        <v>1.0</v>
      </c>
      <c r="G1089" s="4">
        <v>99.0</v>
      </c>
      <c r="H1089" s="4"/>
      <c r="I1089" s="4">
        <v>99.0</v>
      </c>
      <c r="J1089" s="4" t="s">
        <v>4193</v>
      </c>
      <c r="K1089" s="5">
        <f>+917406541514</f>
        <v>917406541514</v>
      </c>
      <c r="L1089" s="4" t="str">
        <f t="shared" si="1"/>
        <v>vaishprakash2001@gmail.com917406541514</v>
      </c>
      <c r="M1089" s="10" t="s">
        <v>67</v>
      </c>
      <c r="N1089" s="4" t="b">
        <v>0</v>
      </c>
      <c r="O1089" s="4" t="str">
        <f>VLOOKUP(A1089,payment_ids!D:E,2,FALSE)</f>
        <v>upi</v>
      </c>
      <c r="P1089" s="4" t="s">
        <v>69</v>
      </c>
      <c r="Q1089" s="11">
        <v>44261.35208333333</v>
      </c>
      <c r="R1089" s="4"/>
      <c r="S1089" s="12" t="s">
        <v>4033</v>
      </c>
      <c r="T1089" s="5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5"/>
      <c r="AI1089" s="5"/>
      <c r="AJ1089" s="5"/>
      <c r="AK1089" s="5"/>
      <c r="AL1089" s="5"/>
    </row>
    <row r="1090">
      <c r="A1090" s="4" t="str">
        <f>VLOOKUP(L1090,payment_ids!C:D,2,FALSE)</f>
        <v>pay_HIWZiflI0gI92A</v>
      </c>
      <c r="B1090" s="4"/>
      <c r="C1090" s="4" t="s">
        <v>4030</v>
      </c>
      <c r="D1090" s="4">
        <v>49833.0</v>
      </c>
      <c r="E1090" s="5"/>
      <c r="F1090" s="4">
        <v>6.0</v>
      </c>
      <c r="G1090" s="4">
        <v>349.0</v>
      </c>
      <c r="H1090" s="4"/>
      <c r="I1090" s="4">
        <v>349.0</v>
      </c>
      <c r="J1090" s="4" t="s">
        <v>4194</v>
      </c>
      <c r="K1090" s="5">
        <f>+917671013908</f>
        <v>917671013908</v>
      </c>
      <c r="L1090" s="4" t="str">
        <f t="shared" si="1"/>
        <v>pchenna61@gmail.com917671013908</v>
      </c>
      <c r="M1090" s="10" t="s">
        <v>67</v>
      </c>
      <c r="N1090" s="4" t="b">
        <v>0</v>
      </c>
      <c r="O1090" s="4" t="str">
        <f>VLOOKUP(A1090,payment_ids!D:E,2,FALSE)</f>
        <v>card</v>
      </c>
      <c r="P1090" s="4" t="s">
        <v>69</v>
      </c>
      <c r="Q1090" s="11">
        <v>44261.59652777778</v>
      </c>
      <c r="R1090" s="4"/>
      <c r="S1090" s="12" t="s">
        <v>4033</v>
      </c>
      <c r="T1090" s="5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5"/>
      <c r="AI1090" s="5"/>
      <c r="AJ1090" s="5"/>
      <c r="AK1090" s="5"/>
      <c r="AL1090" s="5"/>
    </row>
    <row r="1091">
      <c r="A1091" s="4" t="str">
        <f>VLOOKUP(L1091,payment_ids!C:D,2,FALSE)</f>
        <v>pay_HIZ0YgxK0kvmwP</v>
      </c>
      <c r="B1091" s="4"/>
      <c r="C1091" s="4" t="s">
        <v>4030</v>
      </c>
      <c r="D1091" s="4">
        <v>49833.0</v>
      </c>
      <c r="E1091" s="5"/>
      <c r="F1091" s="4">
        <v>1.0</v>
      </c>
      <c r="G1091" s="4">
        <v>99.0</v>
      </c>
      <c r="H1091" s="4"/>
      <c r="I1091" s="4">
        <v>99.0</v>
      </c>
      <c r="J1091" s="4" t="s">
        <v>4195</v>
      </c>
      <c r="K1091" s="5">
        <f>+917978687669</f>
        <v>917978687669</v>
      </c>
      <c r="L1091" s="4" t="str">
        <f t="shared" si="1"/>
        <v>sweetaarti1976@gmail.com917978687669</v>
      </c>
      <c r="M1091" s="10" t="s">
        <v>67</v>
      </c>
      <c r="N1091" s="4" t="b">
        <v>0</v>
      </c>
      <c r="O1091" s="4" t="str">
        <f>VLOOKUP(A1091,payment_ids!D:E,2,FALSE)</f>
        <v>upi</v>
      </c>
      <c r="P1091" s="4" t="s">
        <v>69</v>
      </c>
      <c r="Q1091" s="11">
        <v>44261.69097222222</v>
      </c>
      <c r="R1091" s="4"/>
      <c r="S1091" s="12" t="s">
        <v>4033</v>
      </c>
      <c r="T1091" s="5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5"/>
      <c r="AI1091" s="5"/>
      <c r="AJ1091" s="5"/>
      <c r="AK1091" s="5"/>
      <c r="AL1091" s="5"/>
    </row>
    <row r="1092">
      <c r="A1092" s="4" t="str">
        <f>VLOOKUP(L1092,payment_ids!C:D,2,FALSE)</f>
        <v>pay_HIZc3phvZ7emCh</v>
      </c>
      <c r="B1092" s="4"/>
      <c r="C1092" s="4" t="s">
        <v>4030</v>
      </c>
      <c r="D1092" s="4">
        <v>49833.0</v>
      </c>
      <c r="E1092" s="5"/>
      <c r="F1092" s="4">
        <v>1.0</v>
      </c>
      <c r="G1092" s="4">
        <v>99.0</v>
      </c>
      <c r="H1092" s="4"/>
      <c r="I1092" s="4">
        <v>99.0</v>
      </c>
      <c r="J1092" s="4" t="s">
        <v>4196</v>
      </c>
      <c r="K1092" s="5">
        <f>+918496865968</f>
        <v>918496865968</v>
      </c>
      <c r="L1092" s="4" t="str">
        <f t="shared" si="1"/>
        <v>s880115424@gmail.com918496865968</v>
      </c>
      <c r="M1092" s="10" t="s">
        <v>67</v>
      </c>
      <c r="N1092" s="4" t="b">
        <v>0</v>
      </c>
      <c r="O1092" s="4" t="str">
        <f>VLOOKUP(A1092,payment_ids!D:E,2,FALSE)</f>
        <v>upi</v>
      </c>
      <c r="P1092" s="4" t="s">
        <v>69</v>
      </c>
      <c r="Q1092" s="11">
        <v>44261.71527777778</v>
      </c>
      <c r="R1092" s="4"/>
      <c r="S1092" s="12" t="s">
        <v>4033</v>
      </c>
      <c r="T1092" s="5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5"/>
      <c r="AI1092" s="5"/>
      <c r="AJ1092" s="5"/>
      <c r="AK1092" s="5"/>
      <c r="AL1092" s="5"/>
    </row>
    <row r="1093">
      <c r="A1093" s="4" t="str">
        <f>VLOOKUP(L1093,payment_ids!C:D,2,FALSE)</f>
        <v>pay_HJLkplv6yUZSHo</v>
      </c>
      <c r="B1093" s="4"/>
      <c r="C1093" s="4" t="s">
        <v>4030</v>
      </c>
      <c r="D1093" s="4">
        <v>49833.0</v>
      </c>
      <c r="E1093" s="5"/>
      <c r="F1093" s="4">
        <v>1.0</v>
      </c>
      <c r="G1093" s="4">
        <v>99.0</v>
      </c>
      <c r="H1093" s="4"/>
      <c r="I1093" s="4">
        <v>99.0</v>
      </c>
      <c r="J1093" s="4" t="s">
        <v>4197</v>
      </c>
      <c r="K1093" s="5">
        <f>+918309005800</f>
        <v>918309005800</v>
      </c>
      <c r="L1093" s="4" t="str">
        <f t="shared" si="1"/>
        <v>aishwaryarajulu.p@gmail.com918309005800</v>
      </c>
      <c r="M1093" s="10" t="s">
        <v>67</v>
      </c>
      <c r="N1093" s="4" t="b">
        <v>0</v>
      </c>
      <c r="O1093" s="4" t="str">
        <f>VLOOKUP(A1093,payment_ids!D:E,2,FALSE)</f>
        <v>card</v>
      </c>
      <c r="P1093" s="4" t="s">
        <v>69</v>
      </c>
      <c r="Q1093" s="11">
        <v>44322.677777777775</v>
      </c>
      <c r="R1093" s="4"/>
      <c r="S1093" s="12" t="s">
        <v>4033</v>
      </c>
      <c r="T1093" s="5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5"/>
      <c r="AI1093" s="5"/>
      <c r="AJ1093" s="5"/>
      <c r="AK1093" s="5"/>
      <c r="AL1093" s="5"/>
    </row>
    <row r="1094">
      <c r="A1094" s="4" t="str">
        <f>VLOOKUP(L1094,payment_ids!C:D,2,FALSE)</f>
        <v>pay_HHn5xJdtWw2ll4</v>
      </c>
      <c r="B1094" s="4"/>
      <c r="C1094" s="4" t="s">
        <v>4030</v>
      </c>
      <c r="D1094" s="4">
        <v>49833.0</v>
      </c>
      <c r="E1094" s="5"/>
      <c r="F1094" s="4">
        <v>1.0</v>
      </c>
      <c r="G1094" s="4">
        <v>99.0</v>
      </c>
      <c r="H1094" s="4"/>
      <c r="I1094" s="4">
        <v>99.0</v>
      </c>
      <c r="J1094" s="4" t="s">
        <v>4198</v>
      </c>
      <c r="K1094" s="5">
        <f>+919976111404</f>
        <v>919976111404</v>
      </c>
      <c r="L1094" s="4" t="str">
        <f t="shared" si="1"/>
        <v>aarthi865@gmail.com919976111404</v>
      </c>
      <c r="M1094" s="10" t="s">
        <v>67</v>
      </c>
      <c r="N1094" s="4" t="b">
        <v>0</v>
      </c>
      <c r="O1094" s="4" t="str">
        <f>VLOOKUP(A1094,payment_ids!D:E,2,FALSE)</f>
        <v>wallet</v>
      </c>
      <c r="P1094" s="4" t="s">
        <v>69</v>
      </c>
      <c r="Q1094" s="11">
        <v>44353.33541666667</v>
      </c>
      <c r="R1094" s="4"/>
      <c r="S1094" s="12" t="s">
        <v>4033</v>
      </c>
      <c r="T1094" s="5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5"/>
      <c r="AI1094" s="5"/>
      <c r="AJ1094" s="5"/>
      <c r="AK1094" s="5"/>
      <c r="AL1094" s="5"/>
    </row>
    <row r="1095">
      <c r="A1095" s="4" t="str">
        <f>VLOOKUP(L1095,payment_ids!C:D,2,FALSE)</f>
        <v>pay_HJg6YsphKwAcIM</v>
      </c>
      <c r="B1095" s="4"/>
      <c r="C1095" s="4" t="s">
        <v>4030</v>
      </c>
      <c r="D1095" s="4">
        <v>49833.0</v>
      </c>
      <c r="E1095" s="5"/>
      <c r="F1095" s="4">
        <v>1.0</v>
      </c>
      <c r="G1095" s="4">
        <v>99.0</v>
      </c>
      <c r="H1095" s="4"/>
      <c r="I1095" s="4">
        <v>99.0</v>
      </c>
      <c r="J1095" s="4" t="s">
        <v>4199</v>
      </c>
      <c r="K1095" s="5">
        <f>+919618671668</f>
        <v>919618671668</v>
      </c>
      <c r="L1095" s="4" t="str">
        <f t="shared" si="1"/>
        <v>saitejaswi66@gmail.com919618671668</v>
      </c>
      <c r="M1095" s="10" t="s">
        <v>67</v>
      </c>
      <c r="N1095" s="4" t="b">
        <v>0</v>
      </c>
      <c r="O1095" s="4" t="str">
        <f>VLOOKUP(A1095,payment_ids!D:E,2,FALSE)</f>
        <v>upi</v>
      </c>
      <c r="P1095" s="4" t="s">
        <v>69</v>
      </c>
      <c r="Q1095" s="11">
        <v>44353.506944444445</v>
      </c>
      <c r="R1095" s="4"/>
      <c r="S1095" s="12" t="s">
        <v>4033</v>
      </c>
      <c r="T1095" s="5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5"/>
      <c r="AI1095" s="5"/>
      <c r="AJ1095" s="5"/>
      <c r="AK1095" s="5"/>
      <c r="AL1095" s="5"/>
    </row>
    <row r="1096">
      <c r="A1096" s="4" t="str">
        <f>VLOOKUP(L1096,payment_ids!C:D,2,FALSE)</f>
        <v>pay_HJhEKANrjkNJYp</v>
      </c>
      <c r="B1096" s="4"/>
      <c r="C1096" s="4" t="s">
        <v>4030</v>
      </c>
      <c r="D1096" s="4">
        <v>49833.0</v>
      </c>
      <c r="E1096" s="5"/>
      <c r="F1096" s="4">
        <v>3.0</v>
      </c>
      <c r="G1096" s="4">
        <v>199.0</v>
      </c>
      <c r="H1096" s="4"/>
      <c r="I1096" s="4">
        <v>199.0</v>
      </c>
      <c r="J1096" s="4" t="s">
        <v>4200</v>
      </c>
      <c r="K1096" s="5">
        <f>+917357857071</f>
        <v>917357857071</v>
      </c>
      <c r="L1096" s="4" t="str">
        <f t="shared" si="1"/>
        <v>preritanama7023@gmail.com917357857071</v>
      </c>
      <c r="M1096" s="10" t="s">
        <v>67</v>
      </c>
      <c r="N1096" s="4" t="b">
        <v>0</v>
      </c>
      <c r="O1096" s="4" t="str">
        <f>VLOOKUP(A1096,payment_ids!D:E,2,FALSE)</f>
        <v>upi</v>
      </c>
      <c r="P1096" s="4" t="s">
        <v>69</v>
      </c>
      <c r="Q1096" s="11">
        <v>44353.55347222222</v>
      </c>
      <c r="R1096" s="4"/>
      <c r="S1096" s="12" t="s">
        <v>4033</v>
      </c>
      <c r="T1096" s="5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5"/>
      <c r="AI1096" s="5"/>
      <c r="AJ1096" s="5"/>
      <c r="AK1096" s="5"/>
      <c r="AL1096" s="5"/>
    </row>
    <row r="1097">
      <c r="A1097" s="4" t="str">
        <f>VLOOKUP(L1097,payment_ids!C:D,2,FALSE)</f>
        <v>pay_HJps8tmLi0kUWh</v>
      </c>
      <c r="B1097" s="4"/>
      <c r="C1097" s="4" t="s">
        <v>4030</v>
      </c>
      <c r="D1097" s="4">
        <v>49833.0</v>
      </c>
      <c r="E1097" s="5"/>
      <c r="F1097" s="4">
        <v>3.0</v>
      </c>
      <c r="G1097" s="4">
        <v>199.0</v>
      </c>
      <c r="H1097" s="4"/>
      <c r="I1097" s="4">
        <v>199.0</v>
      </c>
      <c r="J1097" s="4" t="s">
        <v>4201</v>
      </c>
      <c r="K1097" s="5">
        <f>+919995434230</f>
        <v>919995434230</v>
      </c>
      <c r="L1097" s="4" t="str">
        <f t="shared" si="1"/>
        <v>cherianjmerlin@gmail.com919995434230</v>
      </c>
      <c r="M1097" s="10" t="s">
        <v>67</v>
      </c>
      <c r="N1097" s="4" t="b">
        <v>0</v>
      </c>
      <c r="O1097" s="4" t="str">
        <f>VLOOKUP(A1097,payment_ids!D:E,2,FALSE)</f>
        <v>card</v>
      </c>
      <c r="P1097" s="4" t="s">
        <v>69</v>
      </c>
      <c r="Q1097" s="11">
        <v>44353.90902777778</v>
      </c>
      <c r="R1097" s="4"/>
      <c r="S1097" s="12" t="s">
        <v>4202</v>
      </c>
      <c r="T1097" s="5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5"/>
      <c r="AI1097" s="5"/>
      <c r="AJ1097" s="5"/>
      <c r="AK1097" s="5"/>
      <c r="AL1097" s="5"/>
    </row>
    <row r="1098">
      <c r="A1098" s="4" t="str">
        <f>VLOOKUP(L1098,payment_ids!C:D,2,FALSE)</f>
        <v>pay_HJqdP1bP5jlpdy</v>
      </c>
      <c r="B1098" s="4"/>
      <c r="C1098" s="4" t="s">
        <v>4030</v>
      </c>
      <c r="D1098" s="4">
        <v>49833.0</v>
      </c>
      <c r="E1098" s="5"/>
      <c r="F1098" s="4">
        <v>1.0</v>
      </c>
      <c r="G1098" s="4">
        <v>99.0</v>
      </c>
      <c r="H1098" s="4"/>
      <c r="I1098" s="4">
        <v>99.0</v>
      </c>
      <c r="J1098" s="4" t="s">
        <v>4203</v>
      </c>
      <c r="K1098" s="5">
        <f>+919713479592</f>
        <v>919713479592</v>
      </c>
      <c r="L1098" s="4" t="str">
        <f t="shared" si="1"/>
        <v>satviksadh13@gamil.com919713479592</v>
      </c>
      <c r="M1098" s="10" t="s">
        <v>67</v>
      </c>
      <c r="N1098" s="4" t="b">
        <v>0</v>
      </c>
      <c r="O1098" s="4" t="str">
        <f>VLOOKUP(A1098,payment_ids!D:E,2,FALSE)</f>
        <v>upi</v>
      </c>
      <c r="P1098" s="4" t="s">
        <v>69</v>
      </c>
      <c r="Q1098" s="11">
        <v>44353.938888888886</v>
      </c>
      <c r="R1098" s="4"/>
      <c r="S1098" s="12" t="s">
        <v>4033</v>
      </c>
      <c r="T1098" s="5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5"/>
      <c r="AI1098" s="5"/>
      <c r="AJ1098" s="5"/>
      <c r="AK1098" s="5"/>
      <c r="AL1098" s="5"/>
    </row>
    <row r="1099">
      <c r="A1099" s="4" t="str">
        <f>VLOOKUP(L1099,payment_ids!C:D,2,FALSE)</f>
        <v>pay_HJsis2gS4USNvl</v>
      </c>
      <c r="B1099" s="4"/>
      <c r="C1099" s="4" t="s">
        <v>4030</v>
      </c>
      <c r="D1099" s="4">
        <v>49833.0</v>
      </c>
      <c r="E1099" s="5"/>
      <c r="F1099" s="4">
        <v>1.0</v>
      </c>
      <c r="G1099" s="4">
        <v>99.0</v>
      </c>
      <c r="H1099" s="4"/>
      <c r="I1099" s="4">
        <v>99.0</v>
      </c>
      <c r="J1099" s="4" t="s">
        <v>4204</v>
      </c>
      <c r="K1099" s="5">
        <f>+918501977101</f>
        <v>918501977101</v>
      </c>
      <c r="L1099" s="4" t="str">
        <f t="shared" si="1"/>
        <v>ayonachanda28@gmail.com918501977101</v>
      </c>
      <c r="M1099" s="10" t="s">
        <v>67</v>
      </c>
      <c r="N1099" s="4" t="b">
        <v>0</v>
      </c>
      <c r="O1099" s="4" t="str">
        <f>VLOOKUP(A1099,payment_ids!D:E,2,FALSE)</f>
        <v>upi</v>
      </c>
      <c r="P1099" s="4" t="s">
        <v>69</v>
      </c>
      <c r="Q1099" s="11">
        <v>44383.021527777775</v>
      </c>
      <c r="R1099" s="4"/>
      <c r="S1099" s="12" t="s">
        <v>4033</v>
      </c>
      <c r="T1099" s="5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5"/>
      <c r="AI1099" s="5"/>
      <c r="AJ1099" s="5"/>
      <c r="AK1099" s="5"/>
      <c r="AL1099" s="5"/>
    </row>
    <row r="1100">
      <c r="A1100" s="4" t="str">
        <f>VLOOKUP(L1100,payment_ids!C:D,2,FALSE)</f>
        <v>pay_HK2bsXkqU1NqXg</v>
      </c>
      <c r="B1100" s="4"/>
      <c r="C1100" s="4" t="s">
        <v>4030</v>
      </c>
      <c r="D1100" s="4">
        <v>49833.0</v>
      </c>
      <c r="E1100" s="5"/>
      <c r="F1100" s="4">
        <v>1.0</v>
      </c>
      <c r="G1100" s="4">
        <v>99.0</v>
      </c>
      <c r="H1100" s="4"/>
      <c r="I1100" s="4">
        <v>99.0</v>
      </c>
      <c r="J1100" s="4" t="s">
        <v>4205</v>
      </c>
      <c r="K1100" s="5">
        <f>+918152910891</f>
        <v>918152910891</v>
      </c>
      <c r="L1100" s="4" t="str">
        <f t="shared" si="1"/>
        <v>bianca.skumar@gmail.com918152910891</v>
      </c>
      <c r="M1100" s="10" t="s">
        <v>67</v>
      </c>
      <c r="N1100" s="4" t="b">
        <v>0</v>
      </c>
      <c r="O1100" s="4" t="str">
        <f>VLOOKUP(A1100,payment_ids!D:E,2,FALSE)</f>
        <v>upi</v>
      </c>
      <c r="P1100" s="4" t="s">
        <v>69</v>
      </c>
      <c r="Q1100" s="11">
        <v>44383.424305555556</v>
      </c>
      <c r="R1100" s="4"/>
      <c r="S1100" s="12" t="s">
        <v>4033</v>
      </c>
      <c r="T1100" s="5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5"/>
      <c r="AI1100" s="5"/>
      <c r="AJ1100" s="5"/>
      <c r="AK1100" s="5"/>
      <c r="AL1100" s="5"/>
    </row>
    <row r="1101">
      <c r="A1101" s="4" t="str">
        <f>VLOOKUP(L1101,payment_ids!C:D,2,FALSE)</f>
        <v>pay_HK5ofmM4UU5eqV</v>
      </c>
      <c r="B1101" s="4"/>
      <c r="C1101" s="4" t="s">
        <v>4030</v>
      </c>
      <c r="D1101" s="4">
        <v>49833.0</v>
      </c>
      <c r="E1101" s="5"/>
      <c r="F1101" s="4">
        <v>1.0</v>
      </c>
      <c r="G1101" s="4">
        <v>99.0</v>
      </c>
      <c r="H1101" s="4"/>
      <c r="I1101" s="4">
        <v>99.0</v>
      </c>
      <c r="J1101" s="4" t="s">
        <v>4206</v>
      </c>
      <c r="K1101" s="5">
        <f>+918108401195</f>
        <v>918108401195</v>
      </c>
      <c r="L1101" s="4" t="str">
        <f t="shared" si="1"/>
        <v>avishapoojari10@gmail.com918108401195</v>
      </c>
      <c r="M1101" s="10" t="s">
        <v>67</v>
      </c>
      <c r="N1101" s="4" t="b">
        <v>0</v>
      </c>
      <c r="O1101" s="4" t="str">
        <f>VLOOKUP(A1101,payment_ids!D:E,2,FALSE)</f>
        <v>upi</v>
      </c>
      <c r="P1101" s="4" t="s">
        <v>69</v>
      </c>
      <c r="Q1101" s="11">
        <v>44383.55486111111</v>
      </c>
      <c r="R1101" s="4"/>
      <c r="S1101" s="12" t="s">
        <v>4033</v>
      </c>
      <c r="T1101" s="5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5"/>
      <c r="AI1101" s="5"/>
      <c r="AJ1101" s="5"/>
      <c r="AK1101" s="5"/>
      <c r="AL1101" s="5"/>
    </row>
    <row r="1102">
      <c r="A1102" s="4" t="str">
        <f>VLOOKUP(L1102,payment_ids!C:D,2,FALSE)</f>
        <v>pay_HK4x2g64e5N7Xw</v>
      </c>
      <c r="B1102" s="4"/>
      <c r="C1102" s="4" t="s">
        <v>4030</v>
      </c>
      <c r="D1102" s="4">
        <v>49833.0</v>
      </c>
      <c r="E1102" s="5"/>
      <c r="F1102" s="4">
        <v>6.0</v>
      </c>
      <c r="G1102" s="4">
        <v>349.0</v>
      </c>
      <c r="H1102" s="4"/>
      <c r="I1102" s="4">
        <v>349.0</v>
      </c>
      <c r="J1102" s="4" t="s">
        <v>4207</v>
      </c>
      <c r="K1102" s="5">
        <f>+919351666758</f>
        <v>919351666758</v>
      </c>
      <c r="L1102" s="4" t="str">
        <f t="shared" si="1"/>
        <v>kanodialata@gmail.com919351666758</v>
      </c>
      <c r="M1102" s="10" t="s">
        <v>67</v>
      </c>
      <c r="N1102" s="4" t="b">
        <v>0</v>
      </c>
      <c r="O1102" s="4" t="str">
        <f>VLOOKUP(A1102,payment_ids!D:E,2,FALSE)</f>
        <v>upi</v>
      </c>
      <c r="P1102" s="4" t="s">
        <v>69</v>
      </c>
      <c r="Q1102" s="11">
        <v>44383.60972222222</v>
      </c>
      <c r="R1102" s="4"/>
      <c r="S1102" s="12" t="s">
        <v>4202</v>
      </c>
      <c r="T1102" s="5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5"/>
      <c r="AI1102" s="5"/>
      <c r="AJ1102" s="5"/>
      <c r="AK1102" s="5"/>
      <c r="AL1102" s="5"/>
    </row>
    <row r="1103">
      <c r="A1103" s="4" t="str">
        <f>VLOOKUP(L1103,payment_ids!C:D,2,FALSE)</f>
        <v>pay_HK7QCn22lpCkdP</v>
      </c>
      <c r="B1103" s="4"/>
      <c r="C1103" s="4" t="s">
        <v>4030</v>
      </c>
      <c r="D1103" s="4">
        <v>49833.0</v>
      </c>
      <c r="E1103" s="5"/>
      <c r="F1103" s="4">
        <v>6.0</v>
      </c>
      <c r="G1103" s="4">
        <v>349.0</v>
      </c>
      <c r="H1103" s="4"/>
      <c r="I1103" s="4">
        <v>349.0</v>
      </c>
      <c r="J1103" s="4" t="s">
        <v>4208</v>
      </c>
      <c r="K1103" s="5">
        <f>+917889009380</f>
        <v>917889009380</v>
      </c>
      <c r="L1103" s="4" t="str">
        <f t="shared" si="1"/>
        <v>nikhilkalia1991@gmail.com917889009380</v>
      </c>
      <c r="M1103" s="10" t="s">
        <v>67</v>
      </c>
      <c r="N1103" s="4" t="b">
        <v>0</v>
      </c>
      <c r="O1103" s="4" t="str">
        <f>VLOOKUP(A1103,payment_ids!D:E,2,FALSE)</f>
        <v>upi</v>
      </c>
      <c r="P1103" s="4" t="s">
        <v>69</v>
      </c>
      <c r="Q1103" s="11">
        <v>44383.620833333334</v>
      </c>
      <c r="R1103" s="4"/>
      <c r="S1103" s="12" t="s">
        <v>4033</v>
      </c>
      <c r="T1103" s="5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5"/>
      <c r="AI1103" s="5"/>
      <c r="AJ1103" s="5"/>
      <c r="AK1103" s="5"/>
      <c r="AL1103" s="5"/>
    </row>
    <row r="1104">
      <c r="A1104" s="4" t="str">
        <f>VLOOKUP(L1104,payment_ids!C:D,2,FALSE)</f>
        <v>pay_HKB9MacBlWWDQJ</v>
      </c>
      <c r="B1104" s="4"/>
      <c r="C1104" s="4" t="s">
        <v>4030</v>
      </c>
      <c r="D1104" s="4">
        <v>49833.0</v>
      </c>
      <c r="E1104" s="5"/>
      <c r="F1104" s="4">
        <v>1.0</v>
      </c>
      <c r="G1104" s="4">
        <v>99.0</v>
      </c>
      <c r="H1104" s="4"/>
      <c r="I1104" s="4">
        <v>99.0</v>
      </c>
      <c r="J1104" s="4" t="s">
        <v>4209</v>
      </c>
      <c r="K1104" s="5">
        <f>+918851253061</f>
        <v>918851253061</v>
      </c>
      <c r="L1104" s="4" t="str">
        <f t="shared" si="1"/>
        <v>aasthagoel797@gmail.com918851253061</v>
      </c>
      <c r="M1104" s="10" t="s">
        <v>67</v>
      </c>
      <c r="N1104" s="4" t="b">
        <v>0</v>
      </c>
      <c r="O1104" s="4" t="str">
        <f>VLOOKUP(A1104,payment_ids!D:E,2,FALSE)</f>
        <v>card</v>
      </c>
      <c r="P1104" s="4" t="s">
        <v>69</v>
      </c>
      <c r="Q1104" s="11">
        <v>44383.78611111111</v>
      </c>
      <c r="R1104" s="4"/>
      <c r="S1104" s="12" t="s">
        <v>4033</v>
      </c>
      <c r="T1104" s="5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5"/>
      <c r="AI1104" s="5"/>
      <c r="AJ1104" s="5"/>
      <c r="AK1104" s="5"/>
      <c r="AL1104" s="5"/>
    </row>
    <row r="1105">
      <c r="A1105" s="4" t="str">
        <f>VLOOKUP(L1105,payment_ids!C:D,2,FALSE)</f>
        <v>pay_HKEa2uhqXC53Tl</v>
      </c>
      <c r="B1105" s="4"/>
      <c r="C1105" s="4" t="s">
        <v>4030</v>
      </c>
      <c r="D1105" s="4">
        <v>49833.0</v>
      </c>
      <c r="E1105" s="5"/>
      <c r="F1105" s="4">
        <v>1.0</v>
      </c>
      <c r="G1105" s="4">
        <v>99.0</v>
      </c>
      <c r="H1105" s="4"/>
      <c r="I1105" s="4">
        <v>99.0</v>
      </c>
      <c r="J1105" s="4" t="s">
        <v>4210</v>
      </c>
      <c r="K1105" s="5">
        <f>+919345639466</f>
        <v>919345639466</v>
      </c>
      <c r="L1105" s="4" t="str">
        <f t="shared" si="1"/>
        <v>girijacr24@gmail.com919345639466</v>
      </c>
      <c r="M1105" s="10" t="s">
        <v>67</v>
      </c>
      <c r="N1105" s="4" t="b">
        <v>0</v>
      </c>
      <c r="O1105" s="4" t="str">
        <f>VLOOKUP(A1105,payment_ids!D:E,2,FALSE)</f>
        <v>upi</v>
      </c>
      <c r="P1105" s="4" t="s">
        <v>69</v>
      </c>
      <c r="Q1105" s="11">
        <v>44383.913194444445</v>
      </c>
      <c r="R1105" s="4"/>
      <c r="S1105" s="12" t="s">
        <v>4033</v>
      </c>
      <c r="T1105" s="5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5"/>
      <c r="AI1105" s="5"/>
      <c r="AJ1105" s="5"/>
      <c r="AK1105" s="5"/>
      <c r="AL1105" s="5"/>
    </row>
    <row r="1106">
      <c r="A1106" s="4" t="str">
        <f>VLOOKUP(L1106,payment_ids!C:D,2,FALSE)</f>
        <v>pay_HKRmSCE93dmjof</v>
      </c>
      <c r="B1106" s="4"/>
      <c r="C1106" s="4" t="s">
        <v>4030</v>
      </c>
      <c r="D1106" s="4">
        <v>49833.0</v>
      </c>
      <c r="E1106" s="5"/>
      <c r="F1106" s="4">
        <v>1.0</v>
      </c>
      <c r="G1106" s="4">
        <v>99.0</v>
      </c>
      <c r="H1106" s="4"/>
      <c r="I1106" s="4">
        <v>99.0</v>
      </c>
      <c r="J1106" s="4" t="s">
        <v>4211</v>
      </c>
      <c r="K1106" s="5">
        <f>+919920620909</f>
        <v>919920620909</v>
      </c>
      <c r="L1106" s="4" t="str">
        <f t="shared" si="1"/>
        <v>unnati300999@gmail.com919920620909</v>
      </c>
      <c r="M1106" s="10" t="s">
        <v>67</v>
      </c>
      <c r="N1106" s="4" t="b">
        <v>0</v>
      </c>
      <c r="O1106" s="4" t="str">
        <f>VLOOKUP(A1106,payment_ids!D:E,2,FALSE)</f>
        <v>card</v>
      </c>
      <c r="P1106" s="4" t="s">
        <v>69</v>
      </c>
      <c r="Q1106" s="11">
        <v>44414.45</v>
      </c>
      <c r="R1106" s="4"/>
      <c r="S1106" s="12" t="s">
        <v>4033</v>
      </c>
      <c r="T1106" s="5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5"/>
      <c r="AI1106" s="5"/>
      <c r="AJ1106" s="5"/>
      <c r="AK1106" s="5"/>
      <c r="AL1106" s="5"/>
    </row>
    <row r="1107">
      <c r="A1107" s="4" t="str">
        <f>VLOOKUP(L1107,payment_ids!C:D,2,FALSE)</f>
        <v>pay_HKTkehyNRkXELh</v>
      </c>
      <c r="B1107" s="4"/>
      <c r="C1107" s="4" t="s">
        <v>4030</v>
      </c>
      <c r="D1107" s="4">
        <v>49833.0</v>
      </c>
      <c r="E1107" s="5"/>
      <c r="F1107" s="4">
        <v>3.0</v>
      </c>
      <c r="G1107" s="4">
        <v>199.0</v>
      </c>
      <c r="H1107" s="4"/>
      <c r="I1107" s="4">
        <v>199.0</v>
      </c>
      <c r="J1107" s="4" t="s">
        <v>4212</v>
      </c>
      <c r="K1107" s="5">
        <f>+919822271319</f>
        <v>919822271319</v>
      </c>
      <c r="L1107" s="4" t="str">
        <f t="shared" si="1"/>
        <v>surabhi.bhosale1772@gmail.com919822271319</v>
      </c>
      <c r="M1107" s="10" t="s">
        <v>67</v>
      </c>
      <c r="N1107" s="4" t="b">
        <v>0</v>
      </c>
      <c r="O1107" s="4" t="str">
        <f>VLOOKUP(A1107,payment_ids!D:E,2,FALSE)</f>
        <v>card</v>
      </c>
      <c r="P1107" s="4" t="s">
        <v>69</v>
      </c>
      <c r="Q1107" s="11">
        <v>44414.53055555555</v>
      </c>
      <c r="R1107" s="4"/>
      <c r="S1107" s="12" t="s">
        <v>4202</v>
      </c>
      <c r="T1107" s="5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5"/>
      <c r="AI1107" s="5"/>
      <c r="AJ1107" s="5"/>
      <c r="AK1107" s="5"/>
      <c r="AL1107" s="5"/>
    </row>
    <row r="1108">
      <c r="A1108" s="4" t="str">
        <f>VLOOKUP(L1108,payment_ids!C:D,2,FALSE)</f>
        <v>pay_HKUhM0nJsCc55j</v>
      </c>
      <c r="B1108" s="4"/>
      <c r="C1108" s="4" t="s">
        <v>4030</v>
      </c>
      <c r="D1108" s="4">
        <v>49833.0</v>
      </c>
      <c r="E1108" s="5"/>
      <c r="F1108" s="4">
        <v>3.0</v>
      </c>
      <c r="G1108" s="4">
        <v>199.0</v>
      </c>
      <c r="H1108" s="4"/>
      <c r="I1108" s="4">
        <v>199.0</v>
      </c>
      <c r="J1108" s="4" t="s">
        <v>4213</v>
      </c>
      <c r="K1108" s="5">
        <f>+918080221993</f>
        <v>918080221993</v>
      </c>
      <c r="L1108" s="4" t="str">
        <f t="shared" si="1"/>
        <v>gichu92@gmail.com918080221993</v>
      </c>
      <c r="M1108" s="10" t="s">
        <v>67</v>
      </c>
      <c r="N1108" s="4" t="b">
        <v>0</v>
      </c>
      <c r="O1108" s="4" t="str">
        <f>VLOOKUP(A1108,payment_ids!D:E,2,FALSE)</f>
        <v>upi</v>
      </c>
      <c r="P1108" s="4" t="s">
        <v>69</v>
      </c>
      <c r="Q1108" s="11">
        <v>44414.569444444445</v>
      </c>
      <c r="R1108" s="4"/>
      <c r="S1108" s="12" t="s">
        <v>4033</v>
      </c>
      <c r="T1108" s="5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5"/>
      <c r="AI1108" s="5"/>
      <c r="AJ1108" s="5"/>
      <c r="AK1108" s="5"/>
      <c r="AL1108" s="5"/>
    </row>
    <row r="1109">
      <c r="A1109" s="4" t="str">
        <f>VLOOKUP(L1109,payment_ids!C:D,2,FALSE)</f>
        <v>pay_HKVYLy0QzGgbOG</v>
      </c>
      <c r="B1109" s="4"/>
      <c r="C1109" s="4" t="s">
        <v>4030</v>
      </c>
      <c r="D1109" s="4">
        <v>49833.0</v>
      </c>
      <c r="E1109" s="5"/>
      <c r="F1109" s="4">
        <v>1.0</v>
      </c>
      <c r="G1109" s="4">
        <v>99.0</v>
      </c>
      <c r="H1109" s="4"/>
      <c r="I1109" s="4">
        <v>99.0</v>
      </c>
      <c r="J1109" s="4" t="s">
        <v>4214</v>
      </c>
      <c r="K1109" s="5">
        <f>+919989395281</f>
        <v>919989395281</v>
      </c>
      <c r="L1109" s="4" t="str">
        <f t="shared" si="1"/>
        <v>sonalini.rai@gmail.com919989395281</v>
      </c>
      <c r="M1109" s="10" t="s">
        <v>67</v>
      </c>
      <c r="N1109" s="4" t="b">
        <v>0</v>
      </c>
      <c r="O1109" s="4" t="str">
        <f>VLOOKUP(A1109,payment_ids!D:E,2,FALSE)</f>
        <v>upi</v>
      </c>
      <c r="P1109" s="4" t="s">
        <v>69</v>
      </c>
      <c r="Q1109" s="11">
        <v>44414.604166666664</v>
      </c>
      <c r="R1109" s="4"/>
      <c r="S1109" s="12" t="s">
        <v>4033</v>
      </c>
      <c r="T1109" s="5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5"/>
      <c r="AI1109" s="5"/>
      <c r="AJ1109" s="5"/>
      <c r="AK1109" s="5"/>
      <c r="AL1109" s="5"/>
    </row>
    <row r="1110">
      <c r="A1110" s="4" t="str">
        <f>VLOOKUP(L1110,payment_ids!C:D,2,FALSE)</f>
        <v>pay_HKVcAPZJPtORkO</v>
      </c>
      <c r="B1110" s="4"/>
      <c r="C1110" s="4" t="s">
        <v>4030</v>
      </c>
      <c r="D1110" s="4">
        <v>49833.0</v>
      </c>
      <c r="E1110" s="5"/>
      <c r="F1110" s="4">
        <v>3.0</v>
      </c>
      <c r="G1110" s="4">
        <v>199.0</v>
      </c>
      <c r="H1110" s="4"/>
      <c r="I1110" s="4">
        <v>199.0</v>
      </c>
      <c r="J1110" s="4" t="s">
        <v>4215</v>
      </c>
      <c r="K1110" s="5">
        <f>+917814060491</f>
        <v>917814060491</v>
      </c>
      <c r="L1110" s="4" t="str">
        <f t="shared" si="1"/>
        <v>diyab929@gmail.com917814060491</v>
      </c>
      <c r="M1110" s="10" t="s">
        <v>67</v>
      </c>
      <c r="N1110" s="4" t="b">
        <v>0</v>
      </c>
      <c r="O1110" s="4" t="str">
        <f>VLOOKUP(A1110,payment_ids!D:E,2,FALSE)</f>
        <v>upi</v>
      </c>
      <c r="P1110" s="4" t="s">
        <v>69</v>
      </c>
      <c r="Q1110" s="11">
        <v>44414.60625</v>
      </c>
      <c r="R1110" s="4"/>
      <c r="S1110" s="12" t="s">
        <v>4033</v>
      </c>
      <c r="T1110" s="5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5"/>
      <c r="AI1110" s="5"/>
      <c r="AJ1110" s="5"/>
      <c r="AK1110" s="5"/>
      <c r="AL1110" s="5"/>
    </row>
    <row r="1111">
      <c r="A1111" s="4" t="str">
        <f>VLOOKUP(L1111,payment_ids!C:D,2,FALSE)</f>
        <v>pay_HKYoxMXs7qezMw</v>
      </c>
      <c r="B1111" s="4"/>
      <c r="C1111" s="4" t="s">
        <v>4030</v>
      </c>
      <c r="D1111" s="4">
        <v>49833.0</v>
      </c>
      <c r="E1111" s="5"/>
      <c r="F1111" s="4">
        <v>1.0</v>
      </c>
      <c r="G1111" s="4">
        <v>99.0</v>
      </c>
      <c r="H1111" s="4"/>
      <c r="I1111" s="4">
        <v>99.0</v>
      </c>
      <c r="J1111" s="4" t="s">
        <v>4216</v>
      </c>
      <c r="K1111" s="5">
        <f>+917208157797</f>
        <v>917208157797</v>
      </c>
      <c r="L1111" s="4" t="str">
        <f t="shared" si="1"/>
        <v>mihir@likeminds.community917208157797</v>
      </c>
      <c r="M1111" s="10" t="s">
        <v>67</v>
      </c>
      <c r="N1111" s="4" t="b">
        <v>0</v>
      </c>
      <c r="O1111" s="4" t="str">
        <f>VLOOKUP(A1111,payment_ids!D:E,2,FALSE)</f>
        <v>upi</v>
      </c>
      <c r="P1111" s="4" t="s">
        <v>69</v>
      </c>
      <c r="Q1111" s="11">
        <v>44414.7375</v>
      </c>
      <c r="R1111" s="4"/>
      <c r="S1111" s="12" t="s">
        <v>4033</v>
      </c>
      <c r="T1111" s="4" t="s">
        <v>2444</v>
      </c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5"/>
      <c r="AI1111" s="5"/>
      <c r="AJ1111" s="5"/>
      <c r="AK1111" s="5"/>
      <c r="AL1111" s="5"/>
    </row>
    <row r="1112">
      <c r="A1112" s="4" t="str">
        <f>VLOOKUP(L1112,payment_ids!C:D,2,FALSE)</f>
        <v>pay_H6M18PniZZxhuH</v>
      </c>
      <c r="B1112" s="4"/>
      <c r="C1112" s="4" t="s">
        <v>4030</v>
      </c>
      <c r="D1112" s="4">
        <v>49833.0</v>
      </c>
      <c r="E1112" s="5"/>
      <c r="F1112" s="4">
        <v>1.0</v>
      </c>
      <c r="G1112" s="4">
        <v>99.0</v>
      </c>
      <c r="H1112" s="4"/>
      <c r="I1112" s="4">
        <v>99.0</v>
      </c>
      <c r="J1112" s="4" t="s">
        <v>2458</v>
      </c>
      <c r="K1112" s="5">
        <f>+919416173796</f>
        <v>919416173796</v>
      </c>
      <c r="L1112" s="4" t="str">
        <f t="shared" si="1"/>
        <v>mahirgupta98@gmail.com919416173796</v>
      </c>
      <c r="M1112" s="10" t="s">
        <v>67</v>
      </c>
      <c r="N1112" s="4" t="b">
        <v>0</v>
      </c>
      <c r="O1112" s="4" t="str">
        <f>VLOOKUP(A1112,payment_ids!D:E,2,FALSE)</f>
        <v>upi</v>
      </c>
      <c r="P1112" s="4" t="s">
        <v>69</v>
      </c>
      <c r="Q1112" s="11">
        <v>44414.745833333334</v>
      </c>
      <c r="R1112" s="4"/>
      <c r="S1112" s="12" t="s">
        <v>4202</v>
      </c>
      <c r="T1112" s="4" t="s">
        <v>2444</v>
      </c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5"/>
      <c r="AI1112" s="5"/>
      <c r="AJ1112" s="5"/>
      <c r="AK1112" s="5"/>
      <c r="AL1112" s="5"/>
    </row>
    <row r="1113">
      <c r="A1113" s="4" t="str">
        <f>VLOOKUP(L1113,payment_ids!C:D,2,FALSE)</f>
        <v>pay_HKdq59yTKo0kY6</v>
      </c>
      <c r="B1113" s="4"/>
      <c r="C1113" s="4" t="s">
        <v>4030</v>
      </c>
      <c r="D1113" s="4">
        <v>49833.0</v>
      </c>
      <c r="E1113" s="5"/>
      <c r="F1113" s="4">
        <v>3.0</v>
      </c>
      <c r="G1113" s="4">
        <v>199.0</v>
      </c>
      <c r="H1113" s="4"/>
      <c r="I1113" s="4">
        <v>199.0</v>
      </c>
      <c r="J1113" s="4" t="s">
        <v>4217</v>
      </c>
      <c r="K1113" s="5">
        <f>+918801523296</f>
        <v>918801523296</v>
      </c>
      <c r="L1113" s="4" t="str">
        <f t="shared" si="1"/>
        <v>vishaljayanth931@gmail.com918801523296</v>
      </c>
      <c r="M1113" s="10" t="s">
        <v>67</v>
      </c>
      <c r="N1113" s="4" t="b">
        <v>0</v>
      </c>
      <c r="O1113" s="4" t="str">
        <f>VLOOKUP(A1113,payment_ids!D:E,2,FALSE)</f>
        <v>upi</v>
      </c>
      <c r="P1113" s="4" t="s">
        <v>69</v>
      </c>
      <c r="Q1113" s="11">
        <v>44414.941666666666</v>
      </c>
      <c r="R1113" s="4"/>
      <c r="S1113" s="12" t="s">
        <v>4033</v>
      </c>
      <c r="T1113" s="4" t="s">
        <v>2444</v>
      </c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5"/>
      <c r="AI1113" s="5"/>
      <c r="AJ1113" s="5"/>
      <c r="AK1113" s="5"/>
      <c r="AL1113" s="5"/>
    </row>
    <row r="1114">
      <c r="A1114" s="4" t="str">
        <f>VLOOKUP(L1114,payment_ids!C:D,2,FALSE)</f>
        <v>pay_HKC8zRTqkJgA2Q</v>
      </c>
      <c r="B1114" s="4"/>
      <c r="C1114" s="4" t="s">
        <v>4030</v>
      </c>
      <c r="D1114" s="4">
        <v>49833.0</v>
      </c>
      <c r="E1114" s="5"/>
      <c r="F1114" s="4">
        <v>1.0</v>
      </c>
      <c r="G1114" s="4">
        <v>99.0</v>
      </c>
      <c r="H1114" s="4"/>
      <c r="I1114" s="4">
        <v>99.0</v>
      </c>
      <c r="J1114" s="4" t="s">
        <v>4218</v>
      </c>
      <c r="K1114" s="5">
        <f>+919446697854</f>
        <v>919446697854</v>
      </c>
      <c r="L1114" s="4" t="str">
        <f t="shared" si="1"/>
        <v>jayalakshmip101@gmail.com919446697854</v>
      </c>
      <c r="M1114" s="10" t="s">
        <v>67</v>
      </c>
      <c r="N1114" s="4" t="b">
        <v>0</v>
      </c>
      <c r="O1114" s="4" t="str">
        <f>VLOOKUP(A1114,payment_ids!D:E,2,FALSE)</f>
        <v>upi</v>
      </c>
      <c r="P1114" s="4" t="s">
        <v>69</v>
      </c>
      <c r="Q1114" s="11">
        <v>44445.46527777778</v>
      </c>
      <c r="R1114" s="4"/>
      <c r="S1114" s="12" t="s">
        <v>4033</v>
      </c>
      <c r="T1114" s="4" t="s">
        <v>2444</v>
      </c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5"/>
      <c r="AI1114" s="5"/>
      <c r="AJ1114" s="5"/>
      <c r="AK1114" s="5"/>
      <c r="AL1114" s="5"/>
    </row>
    <row r="1115">
      <c r="A1115" s="4" t="str">
        <f>VLOOKUP(L1115,payment_ids!C:D,2,FALSE)</f>
        <v>pay_HKrxiT23jbUsA4</v>
      </c>
      <c r="B1115" s="4"/>
      <c r="C1115" s="4" t="s">
        <v>4030</v>
      </c>
      <c r="D1115" s="4">
        <v>49833.0</v>
      </c>
      <c r="E1115" s="5"/>
      <c r="F1115" s="4">
        <v>1.0</v>
      </c>
      <c r="G1115" s="4">
        <v>149.0</v>
      </c>
      <c r="H1115" s="4"/>
      <c r="I1115" s="4">
        <v>149.0</v>
      </c>
      <c r="J1115" s="4" t="s">
        <v>4219</v>
      </c>
      <c r="K1115" s="5">
        <f>+918390855988</f>
        <v>918390855988</v>
      </c>
      <c r="L1115" s="4" t="str">
        <f t="shared" si="1"/>
        <v>chinmaiekarlapudi1998@gmail.com918390855988</v>
      </c>
      <c r="M1115" s="10" t="s">
        <v>67</v>
      </c>
      <c r="N1115" s="4" t="b">
        <v>0</v>
      </c>
      <c r="O1115" s="4" t="str">
        <f>VLOOKUP(A1115,payment_ids!D:E,2,FALSE)</f>
        <v>upi</v>
      </c>
      <c r="P1115" s="4" t="s">
        <v>69</v>
      </c>
      <c r="Q1115" s="11">
        <v>44445.518055555556</v>
      </c>
      <c r="R1115" s="4"/>
      <c r="S1115" s="12" t="s">
        <v>4033</v>
      </c>
      <c r="T1115" s="4" t="s">
        <v>2444</v>
      </c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5"/>
      <c r="AI1115" s="5"/>
      <c r="AJ1115" s="5"/>
      <c r="AK1115" s="5"/>
      <c r="AL1115" s="5"/>
    </row>
    <row r="1116">
      <c r="A1116" s="4" t="str">
        <f>VLOOKUP(L1116,payment_ids!C:D,2,FALSE)</f>
        <v>pay_HKu4Zd29IKmuT3</v>
      </c>
      <c r="B1116" s="4"/>
      <c r="C1116" s="4" t="s">
        <v>4030</v>
      </c>
      <c r="D1116" s="4">
        <v>49833.0</v>
      </c>
      <c r="E1116" s="5"/>
      <c r="F1116" s="4">
        <v>6.0</v>
      </c>
      <c r="G1116" s="4">
        <v>449.0</v>
      </c>
      <c r="H1116" s="4"/>
      <c r="I1116" s="4">
        <v>449.0</v>
      </c>
      <c r="J1116" s="4" t="s">
        <v>4220</v>
      </c>
      <c r="K1116" s="5">
        <f>+918638183211</f>
        <v>918638183211</v>
      </c>
      <c r="L1116" s="4" t="str">
        <f t="shared" si="1"/>
        <v>anniekashyap7019@gmail.com918638183211</v>
      </c>
      <c r="M1116" s="10" t="s">
        <v>67</v>
      </c>
      <c r="N1116" s="4" t="b">
        <v>0</v>
      </c>
      <c r="O1116" s="4" t="str">
        <f>VLOOKUP(A1116,payment_ids!D:E,2,FALSE)</f>
        <v>card</v>
      </c>
      <c r="P1116" s="4" t="s">
        <v>69</v>
      </c>
      <c r="Q1116" s="11">
        <v>44445.603472222225</v>
      </c>
      <c r="R1116" s="4"/>
      <c r="S1116" s="12" t="s">
        <v>4033</v>
      </c>
      <c r="T1116" s="4" t="s">
        <v>2444</v>
      </c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5"/>
      <c r="AI1116" s="5"/>
      <c r="AJ1116" s="5"/>
      <c r="AK1116" s="5"/>
      <c r="AL1116" s="5"/>
    </row>
    <row r="1117">
      <c r="A1117" s="4" t="str">
        <f>VLOOKUP(L1117,payment_ids!C:D,2,FALSE)</f>
        <v>pay_HKulwZn6FwDygG</v>
      </c>
      <c r="B1117" s="4"/>
      <c r="C1117" s="4" t="s">
        <v>4030</v>
      </c>
      <c r="D1117" s="4">
        <v>49833.0</v>
      </c>
      <c r="E1117" s="5"/>
      <c r="F1117" s="4">
        <v>1.0</v>
      </c>
      <c r="G1117" s="4">
        <v>149.0</v>
      </c>
      <c r="H1117" s="4"/>
      <c r="I1117" s="4">
        <v>149.0</v>
      </c>
      <c r="J1117" s="4" t="s">
        <v>4221</v>
      </c>
      <c r="K1117" s="5">
        <f>+919844501967</f>
        <v>919844501967</v>
      </c>
      <c r="L1117" s="4" t="str">
        <f t="shared" si="1"/>
        <v>lakshmishree202@gmail.com919844501967</v>
      </c>
      <c r="M1117" s="10" t="s">
        <v>67</v>
      </c>
      <c r="N1117" s="4" t="b">
        <v>0</v>
      </c>
      <c r="O1117" s="4" t="str">
        <f>VLOOKUP(A1117,payment_ids!D:E,2,FALSE)</f>
        <v>upi</v>
      </c>
      <c r="P1117" s="4" t="s">
        <v>69</v>
      </c>
      <c r="Q1117" s="11">
        <v>44445.631944444445</v>
      </c>
      <c r="R1117" s="4"/>
      <c r="S1117" s="12" t="s">
        <v>4033</v>
      </c>
      <c r="T1117" s="4" t="s">
        <v>2444</v>
      </c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5"/>
      <c r="AI1117" s="5"/>
      <c r="AJ1117" s="5"/>
      <c r="AK1117" s="5"/>
      <c r="AL1117" s="5"/>
    </row>
    <row r="1118">
      <c r="A1118" s="4" t="str">
        <f>VLOOKUP(L1118,payment_ids!C:D,2,FALSE)</f>
        <v>pay_HL3JgNUeMs1NWV</v>
      </c>
      <c r="B1118" s="4"/>
      <c r="C1118" s="4" t="s">
        <v>4030</v>
      </c>
      <c r="D1118" s="4">
        <v>49833.0</v>
      </c>
      <c r="E1118" s="5"/>
      <c r="F1118" s="4">
        <v>1.0</v>
      </c>
      <c r="G1118" s="4">
        <v>149.0</v>
      </c>
      <c r="H1118" s="4"/>
      <c r="I1118" s="4">
        <v>149.0</v>
      </c>
      <c r="J1118" s="4" t="s">
        <v>4222</v>
      </c>
      <c r="K1118" s="5">
        <f>+917906317550</f>
        <v>917906317550</v>
      </c>
      <c r="L1118" s="4" t="str">
        <f t="shared" si="1"/>
        <v>aditi242408@gmail.com917906317550</v>
      </c>
      <c r="M1118" s="10" t="s">
        <v>67</v>
      </c>
      <c r="N1118" s="4" t="b">
        <v>0</v>
      </c>
      <c r="O1118" s="4" t="str">
        <f>VLOOKUP(A1118,payment_ids!D:E,2,FALSE)</f>
        <v>upi</v>
      </c>
      <c r="P1118" s="4" t="s">
        <v>69</v>
      </c>
      <c r="Q1118" s="11">
        <v>44445.98263888889</v>
      </c>
      <c r="R1118" s="4"/>
      <c r="S1118" s="12" t="s">
        <v>4033</v>
      </c>
      <c r="T1118" s="4" t="s">
        <v>2444</v>
      </c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5"/>
      <c r="AI1118" s="5"/>
      <c r="AJ1118" s="5"/>
      <c r="AK1118" s="5"/>
      <c r="AL1118" s="5"/>
    </row>
    <row r="1119">
      <c r="A1119" s="4" t="str">
        <f>VLOOKUP(L1119,payment_ids!C:D,2,FALSE)</f>
        <v>pay_HLPQoBdyt68IMf</v>
      </c>
      <c r="B1119" s="4"/>
      <c r="C1119" s="4" t="s">
        <v>4030</v>
      </c>
      <c r="D1119" s="4">
        <v>49833.0</v>
      </c>
      <c r="E1119" s="5"/>
      <c r="F1119" s="4">
        <v>1.0</v>
      </c>
      <c r="G1119" s="4">
        <v>149.0</v>
      </c>
      <c r="H1119" s="4"/>
      <c r="I1119" s="4">
        <v>149.0</v>
      </c>
      <c r="J1119" s="4" t="s">
        <v>4223</v>
      </c>
      <c r="K1119" s="5">
        <f>+919560893235</f>
        <v>919560893235</v>
      </c>
      <c r="L1119" s="4" t="str">
        <f t="shared" si="1"/>
        <v>komalkashyap01999@gmail.com919560893235</v>
      </c>
      <c r="M1119" s="10" t="s">
        <v>67</v>
      </c>
      <c r="N1119" s="4" t="b">
        <v>0</v>
      </c>
      <c r="O1119" s="4" t="str">
        <f>VLOOKUP(A1119,payment_ids!D:E,2,FALSE)</f>
        <v>upi</v>
      </c>
      <c r="P1119" s="4" t="s">
        <v>69</v>
      </c>
      <c r="Q1119" s="11">
        <v>44475.881944444445</v>
      </c>
      <c r="R1119" s="4"/>
      <c r="S1119" s="12" t="s">
        <v>4033</v>
      </c>
      <c r="T1119" s="4" t="s">
        <v>2444</v>
      </c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5"/>
      <c r="AI1119" s="5"/>
      <c r="AJ1119" s="5"/>
      <c r="AK1119" s="5"/>
      <c r="AL1119" s="5"/>
    </row>
    <row r="1120">
      <c r="A1120" s="4" t="str">
        <f>VLOOKUP(L1120,payment_ids!C:D,2,FALSE)</f>
        <v>pay_HLPSngQwfbv2Zt</v>
      </c>
      <c r="B1120" s="4"/>
      <c r="C1120" s="4" t="s">
        <v>4030</v>
      </c>
      <c r="D1120" s="4">
        <v>49833.0</v>
      </c>
      <c r="E1120" s="5"/>
      <c r="F1120" s="4">
        <v>1.0</v>
      </c>
      <c r="G1120" s="4">
        <v>149.0</v>
      </c>
      <c r="H1120" s="4"/>
      <c r="I1120" s="4">
        <v>149.0</v>
      </c>
      <c r="J1120" s="4" t="s">
        <v>4224</v>
      </c>
      <c r="K1120" s="5">
        <f>+917358489972</f>
        <v>917358489972</v>
      </c>
      <c r="L1120" s="4" t="str">
        <f t="shared" si="1"/>
        <v>shananair00@gmail.com917358489972</v>
      </c>
      <c r="M1120" s="10" t="s">
        <v>67</v>
      </c>
      <c r="N1120" s="4" t="b">
        <v>0</v>
      </c>
      <c r="O1120" s="4" t="str">
        <f>VLOOKUP(A1120,payment_ids!D:E,2,FALSE)</f>
        <v>upi</v>
      </c>
      <c r="P1120" s="4" t="s">
        <v>69</v>
      </c>
      <c r="Q1120" s="11">
        <v>44475.888194444444</v>
      </c>
      <c r="R1120" s="4"/>
      <c r="S1120" s="12" t="s">
        <v>4033</v>
      </c>
      <c r="T1120" s="4" t="s">
        <v>2444</v>
      </c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5"/>
      <c r="AI1120" s="5"/>
      <c r="AJ1120" s="5"/>
      <c r="AK1120" s="5"/>
      <c r="AL1120" s="5"/>
    </row>
    <row r="1121">
      <c r="A1121" s="4" t="str">
        <f>VLOOKUP(L1121,payment_ids!C:D,2,FALSE)</f>
        <v>pay_HLj1Id8xL72AUB</v>
      </c>
      <c r="B1121" s="4"/>
      <c r="C1121" s="4" t="s">
        <v>4030</v>
      </c>
      <c r="D1121" s="4">
        <v>49833.0</v>
      </c>
      <c r="E1121" s="5"/>
      <c r="F1121" s="4">
        <v>1.0</v>
      </c>
      <c r="G1121" s="4">
        <v>149.0</v>
      </c>
      <c r="H1121" s="4"/>
      <c r="I1121" s="4">
        <v>149.0</v>
      </c>
      <c r="J1121" s="4" t="s">
        <v>4225</v>
      </c>
      <c r="K1121" s="5">
        <f>+918618210959</f>
        <v>918618210959</v>
      </c>
      <c r="L1121" s="4" t="str">
        <f t="shared" si="1"/>
        <v>smeeta551@gmail.com918618210959</v>
      </c>
      <c r="M1121" s="10" t="s">
        <v>67</v>
      </c>
      <c r="N1121" s="4" t="b">
        <v>0</v>
      </c>
      <c r="O1121" s="4" t="str">
        <f>VLOOKUP(A1121,payment_ids!D:E,2,FALSE)</f>
        <v>upi</v>
      </c>
      <c r="P1121" s="4" t="s">
        <v>69</v>
      </c>
      <c r="Q1121" s="11">
        <v>44506.67986111111</v>
      </c>
      <c r="R1121" s="4"/>
      <c r="S1121" s="12" t="s">
        <v>4033</v>
      </c>
      <c r="T1121" s="4" t="s">
        <v>2444</v>
      </c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5"/>
      <c r="AI1121" s="5"/>
      <c r="AJ1121" s="5"/>
      <c r="AK1121" s="5"/>
      <c r="AL1121" s="5"/>
    </row>
    <row r="1122">
      <c r="A1122" s="4" t="str">
        <f>VLOOKUP(L1122,payment_ids!C:D,2,FALSE)</f>
        <v>pay_HLkChtl1RaCPfR</v>
      </c>
      <c r="B1122" s="4"/>
      <c r="C1122" s="4" t="s">
        <v>4030</v>
      </c>
      <c r="D1122" s="4">
        <v>49833.0</v>
      </c>
      <c r="E1122" s="5"/>
      <c r="F1122" s="4">
        <v>1.0</v>
      </c>
      <c r="G1122" s="4">
        <v>149.0</v>
      </c>
      <c r="H1122" s="4"/>
      <c r="I1122" s="4">
        <v>149.0</v>
      </c>
      <c r="J1122" s="4" t="s">
        <v>4226</v>
      </c>
      <c r="K1122" s="5">
        <f>+919890658863</f>
        <v>919890658863</v>
      </c>
      <c r="L1122" s="4" t="str">
        <f t="shared" si="1"/>
        <v>rupalimundle0309@gmail.com919890658863</v>
      </c>
      <c r="M1122" s="10" t="s">
        <v>67</v>
      </c>
      <c r="N1122" s="4" t="b">
        <v>0</v>
      </c>
      <c r="O1122" s="4" t="str">
        <f>VLOOKUP(A1122,payment_ids!D:E,2,FALSE)</f>
        <v>upi</v>
      </c>
      <c r="P1122" s="4" t="s">
        <v>69</v>
      </c>
      <c r="Q1122" s="11">
        <v>44506.728472222225</v>
      </c>
      <c r="R1122" s="4"/>
      <c r="S1122" s="12" t="s">
        <v>4033</v>
      </c>
      <c r="T1122" s="4" t="s">
        <v>2444</v>
      </c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5"/>
      <c r="AI1122" s="5"/>
      <c r="AJ1122" s="5"/>
      <c r="AK1122" s="5"/>
      <c r="AL1122" s="5"/>
    </row>
    <row r="1123">
      <c r="A1123" s="4" t="str">
        <f>VLOOKUP(L1123,payment_ids!C:D,2,FALSE)</f>
        <v>pay_HLkKM5XfwAkvsf</v>
      </c>
      <c r="B1123" s="4"/>
      <c r="C1123" s="4" t="s">
        <v>4030</v>
      </c>
      <c r="D1123" s="4">
        <v>49833.0</v>
      </c>
      <c r="E1123" s="5"/>
      <c r="F1123" s="4">
        <v>1.0</v>
      </c>
      <c r="G1123" s="4">
        <v>149.0</v>
      </c>
      <c r="H1123" s="4"/>
      <c r="I1123" s="4">
        <v>149.0</v>
      </c>
      <c r="J1123" s="4" t="s">
        <v>4227</v>
      </c>
      <c r="K1123" s="5">
        <f>+919657742062</f>
        <v>919657742062</v>
      </c>
      <c r="L1123" s="4" t="str">
        <f t="shared" si="1"/>
        <v>amrutashant08@gmail.com919657742062</v>
      </c>
      <c r="M1123" s="10" t="s">
        <v>67</v>
      </c>
      <c r="N1123" s="4" t="b">
        <v>0</v>
      </c>
      <c r="O1123" s="4" t="str">
        <f>VLOOKUP(A1123,payment_ids!D:E,2,FALSE)</f>
        <v>upi</v>
      </c>
      <c r="P1123" s="4" t="s">
        <v>69</v>
      </c>
      <c r="Q1123" s="11">
        <v>44506.73333333333</v>
      </c>
      <c r="R1123" s="4"/>
      <c r="S1123" s="12" t="s">
        <v>4033</v>
      </c>
      <c r="T1123" s="4" t="s">
        <v>2444</v>
      </c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5"/>
      <c r="AI1123" s="5"/>
      <c r="AJ1123" s="5"/>
      <c r="AK1123" s="5"/>
      <c r="AL1123" s="5"/>
    </row>
    <row r="1124">
      <c r="A1124" s="4" t="str">
        <f>VLOOKUP(L1124,payment_ids!C:D,2,FALSE)</f>
        <v>pay_HLp4YK1BVWneSW</v>
      </c>
      <c r="B1124" s="4"/>
      <c r="C1124" s="4" t="s">
        <v>4030</v>
      </c>
      <c r="D1124" s="4">
        <v>49833.0</v>
      </c>
      <c r="E1124" s="5"/>
      <c r="F1124" s="4">
        <v>6.0</v>
      </c>
      <c r="G1124" s="4">
        <v>449.0</v>
      </c>
      <c r="H1124" s="4"/>
      <c r="I1124" s="4">
        <v>449.0</v>
      </c>
      <c r="J1124" s="4" t="s">
        <v>4228</v>
      </c>
      <c r="K1124" s="5">
        <f>+919445965711</f>
        <v>919445965711</v>
      </c>
      <c r="L1124" s="4" t="str">
        <f t="shared" si="1"/>
        <v>gowthamiramesh98@gmail.com919445965711</v>
      </c>
      <c r="M1124" s="10" t="s">
        <v>67</v>
      </c>
      <c r="N1124" s="4" t="b">
        <v>0</v>
      </c>
      <c r="O1124" s="4" t="str">
        <f>VLOOKUP(A1124,payment_ids!D:E,2,FALSE)</f>
        <v>upi</v>
      </c>
      <c r="P1124" s="4" t="s">
        <v>69</v>
      </c>
      <c r="Q1124" s="11">
        <v>44506.927083333336</v>
      </c>
      <c r="R1124" s="4"/>
      <c r="S1124" s="12" t="s">
        <v>4033</v>
      </c>
      <c r="T1124" s="4" t="s">
        <v>2444</v>
      </c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5"/>
      <c r="AI1124" s="5"/>
      <c r="AJ1124" s="5"/>
      <c r="AK1124" s="5"/>
      <c r="AL1124" s="5"/>
    </row>
    <row r="1125">
      <c r="A1125" s="4" t="str">
        <f>VLOOKUP(L1125,payment_ids!C:D,2,FALSE)</f>
        <v>pay_HLs3urJxoH7eBR</v>
      </c>
      <c r="B1125" s="4"/>
      <c r="C1125" s="4" t="s">
        <v>4030</v>
      </c>
      <c r="D1125" s="4">
        <v>49833.0</v>
      </c>
      <c r="E1125" s="5"/>
      <c r="F1125" s="4">
        <v>1.0</v>
      </c>
      <c r="G1125" s="4">
        <v>149.0</v>
      </c>
      <c r="H1125" s="4"/>
      <c r="I1125" s="4">
        <v>149.0</v>
      </c>
      <c r="J1125" s="4" t="s">
        <v>4229</v>
      </c>
      <c r="K1125" s="5">
        <f>+918197653704</f>
        <v>918197653704</v>
      </c>
      <c r="L1125" s="4" t="str">
        <f t="shared" si="1"/>
        <v>fenellalopez@gmail.com918197653704</v>
      </c>
      <c r="M1125" s="10" t="s">
        <v>67</v>
      </c>
      <c r="N1125" s="4" t="b">
        <v>0</v>
      </c>
      <c r="O1125" s="4" t="str">
        <f>VLOOKUP(A1125,payment_ids!D:E,2,FALSE)</f>
        <v>upi</v>
      </c>
      <c r="P1125" s="4" t="s">
        <v>69</v>
      </c>
      <c r="Q1125" s="11">
        <v>44536.049305555556</v>
      </c>
      <c r="R1125" s="4"/>
      <c r="S1125" s="12" t="s">
        <v>4033</v>
      </c>
      <c r="T1125" s="4" t="s">
        <v>2444</v>
      </c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5"/>
      <c r="AI1125" s="5"/>
      <c r="AJ1125" s="5"/>
      <c r="AK1125" s="5"/>
      <c r="AL1125" s="5"/>
    </row>
    <row r="1126">
      <c r="A1126" s="4" t="str">
        <f>VLOOKUP(L1126,payment_ids!C:D,2,FALSE)</f>
        <v>pay_HM7gMFZlUQVBy7</v>
      </c>
      <c r="B1126" s="4"/>
      <c r="C1126" s="4" t="s">
        <v>4030</v>
      </c>
      <c r="D1126" s="4">
        <v>49833.0</v>
      </c>
      <c r="E1126" s="5"/>
      <c r="F1126" s="4">
        <v>6.0</v>
      </c>
      <c r="G1126" s="4">
        <v>449.0</v>
      </c>
      <c r="H1126" s="4"/>
      <c r="I1126" s="4">
        <v>449.0</v>
      </c>
      <c r="J1126" s="4" t="s">
        <v>4230</v>
      </c>
      <c r="K1126" s="5">
        <f>+919999740730</f>
        <v>919999740730</v>
      </c>
      <c r="L1126" s="4" t="str">
        <f t="shared" si="1"/>
        <v>akshita.sharma2901@gmail.com919999740730</v>
      </c>
      <c r="M1126" s="10" t="s">
        <v>67</v>
      </c>
      <c r="N1126" s="4" t="b">
        <v>0</v>
      </c>
      <c r="O1126" s="4" t="str">
        <f>VLOOKUP(A1126,payment_ids!D:E,2,FALSE)</f>
        <v>upi</v>
      </c>
      <c r="P1126" s="4" t="s">
        <v>69</v>
      </c>
      <c r="Q1126" s="11">
        <v>44536.68541666667</v>
      </c>
      <c r="R1126" s="4"/>
      <c r="S1126" s="12" t="s">
        <v>4033</v>
      </c>
      <c r="T1126" s="4" t="s">
        <v>2444</v>
      </c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5"/>
      <c r="AI1126" s="5"/>
      <c r="AJ1126" s="5"/>
      <c r="AK1126" s="5"/>
      <c r="AL1126" s="5"/>
    </row>
    <row r="1127">
      <c r="A1127" s="4" t="str">
        <f>VLOOKUP(L1127,payment_ids!C:D,2,FALSE)</f>
        <v>pay_HM94SYmsluLFsh</v>
      </c>
      <c r="B1127" s="4"/>
      <c r="C1127" s="4" t="s">
        <v>4030</v>
      </c>
      <c r="D1127" s="4">
        <v>49833.0</v>
      </c>
      <c r="E1127" s="5"/>
      <c r="F1127" s="4">
        <v>1.0</v>
      </c>
      <c r="G1127" s="4">
        <v>149.0</v>
      </c>
      <c r="H1127" s="4"/>
      <c r="I1127" s="4">
        <v>149.0</v>
      </c>
      <c r="J1127" s="4" t="s">
        <v>4231</v>
      </c>
      <c r="K1127" s="5">
        <f>+918669167266</f>
        <v>918669167266</v>
      </c>
      <c r="L1127" s="4" t="str">
        <f t="shared" si="1"/>
        <v>mehermemon2@gmail.com918669167266</v>
      </c>
      <c r="M1127" s="10" t="s">
        <v>67</v>
      </c>
      <c r="N1127" s="4" t="b">
        <v>0</v>
      </c>
      <c r="O1127" s="4" t="str">
        <f>VLOOKUP(A1127,payment_ids!D:E,2,FALSE)</f>
        <v>card</v>
      </c>
      <c r="P1127" s="4" t="s">
        <v>69</v>
      </c>
      <c r="Q1127" s="11">
        <v>44536.74166666667</v>
      </c>
      <c r="R1127" s="4"/>
      <c r="S1127" s="12" t="s">
        <v>4033</v>
      </c>
      <c r="T1127" s="4" t="s">
        <v>2444</v>
      </c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5"/>
      <c r="AI1127" s="5"/>
      <c r="AJ1127" s="5"/>
      <c r="AK1127" s="5"/>
      <c r="AL1127" s="5"/>
    </row>
    <row r="1128">
      <c r="A1128" s="4" t="str">
        <f>VLOOKUP(L1128,payment_ids!C:D,2,FALSE)</f>
        <v>pay_HMBVxIOLjm5UnY</v>
      </c>
      <c r="B1128" s="4"/>
      <c r="C1128" s="4" t="s">
        <v>4030</v>
      </c>
      <c r="D1128" s="4">
        <v>49833.0</v>
      </c>
      <c r="E1128" s="5"/>
      <c r="F1128" s="4">
        <v>3.0</v>
      </c>
      <c r="G1128" s="4">
        <v>299.0</v>
      </c>
      <c r="H1128" s="4"/>
      <c r="I1128" s="4">
        <v>299.0</v>
      </c>
      <c r="J1128" s="4" t="s">
        <v>189</v>
      </c>
      <c r="K1128" s="5">
        <f>+919108229430</f>
        <v>919108229430</v>
      </c>
      <c r="L1128" s="4" t="str">
        <f t="shared" si="1"/>
        <v>rinhamuneer24@gmail.com919108229430</v>
      </c>
      <c r="M1128" s="10" t="s">
        <v>67</v>
      </c>
      <c r="N1128" s="4" t="b">
        <v>0</v>
      </c>
      <c r="O1128" s="4" t="str">
        <f>VLOOKUP(A1128,payment_ids!D:E,2,FALSE)</f>
        <v>upi</v>
      </c>
      <c r="P1128" s="4" t="s">
        <v>69</v>
      </c>
      <c r="Q1128" s="11">
        <v>44536.84166666667</v>
      </c>
      <c r="R1128" s="4"/>
      <c r="S1128" s="12" t="s">
        <v>4232</v>
      </c>
      <c r="T1128" s="4" t="s">
        <v>2444</v>
      </c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5"/>
      <c r="AI1128" s="5"/>
      <c r="AJ1128" s="5"/>
      <c r="AK1128" s="5"/>
      <c r="AL1128" s="5"/>
    </row>
    <row r="1129">
      <c r="A1129" s="4" t="str">
        <f>VLOOKUP(L1129,payment_ids!C:D,2,FALSE)</f>
        <v>pay_HMCmlhvIdZPRZd</v>
      </c>
      <c r="B1129" s="4"/>
      <c r="C1129" s="4" t="s">
        <v>4030</v>
      </c>
      <c r="D1129" s="4">
        <v>49833.0</v>
      </c>
      <c r="E1129" s="5"/>
      <c r="F1129" s="4">
        <v>1.0</v>
      </c>
      <c r="G1129" s="4">
        <v>149.0</v>
      </c>
      <c r="H1129" s="4"/>
      <c r="I1129" s="4">
        <v>149.0</v>
      </c>
      <c r="J1129" s="4" t="s">
        <v>4233</v>
      </c>
      <c r="K1129" s="5">
        <f>+918788034988</f>
        <v>918788034988</v>
      </c>
      <c r="L1129" s="4" t="str">
        <f t="shared" si="1"/>
        <v>vaishnavi.gore812@gmail.com918788034988</v>
      </c>
      <c r="M1129" s="10" t="s">
        <v>67</v>
      </c>
      <c r="N1129" s="4" t="b">
        <v>0</v>
      </c>
      <c r="O1129" s="4" t="str">
        <f>VLOOKUP(A1129,payment_ids!D:E,2,FALSE)</f>
        <v>upi</v>
      </c>
      <c r="P1129" s="4" t="s">
        <v>69</v>
      </c>
      <c r="Q1129" s="11">
        <v>44536.89375</v>
      </c>
      <c r="R1129" s="4"/>
      <c r="S1129" s="12" t="s">
        <v>4033</v>
      </c>
      <c r="T1129" s="4" t="s">
        <v>2444</v>
      </c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5"/>
      <c r="AI1129" s="5"/>
      <c r="AJ1129" s="5"/>
      <c r="AK1129" s="5"/>
      <c r="AL1129" s="5"/>
    </row>
    <row r="1130">
      <c r="A1130" s="4" t="str">
        <f>VLOOKUP(L1130,payment_ids!C:D,2,FALSE)</f>
        <v>pay_H78Oq2bTVvVg4d</v>
      </c>
      <c r="B1130" s="4"/>
      <c r="C1130" s="4" t="s">
        <v>4030</v>
      </c>
      <c r="D1130" s="4">
        <v>49833.0</v>
      </c>
      <c r="E1130" s="5"/>
      <c r="F1130" s="4">
        <v>1.0</v>
      </c>
      <c r="G1130" s="4">
        <v>149.0</v>
      </c>
      <c r="H1130" s="4"/>
      <c r="I1130" s="4">
        <v>149.0</v>
      </c>
      <c r="J1130" s="4" t="s">
        <v>4234</v>
      </c>
      <c r="K1130" s="5">
        <f>+918983081469</f>
        <v>918983081469</v>
      </c>
      <c r="L1130" s="4" t="str">
        <f t="shared" si="1"/>
        <v>rashmijagtap63@gmail.com918983081469</v>
      </c>
      <c r="M1130" s="10" t="s">
        <v>67</v>
      </c>
      <c r="N1130" s="4" t="b">
        <v>0</v>
      </c>
      <c r="O1130" s="4" t="str">
        <f>VLOOKUP(A1130,payment_ids!D:E,2,FALSE)</f>
        <v>upi</v>
      </c>
      <c r="P1130" s="4" t="s">
        <v>69</v>
      </c>
      <c r="Q1130" s="4" t="s">
        <v>4235</v>
      </c>
      <c r="R1130" s="4"/>
      <c r="S1130" s="12" t="s">
        <v>4033</v>
      </c>
      <c r="T1130" s="4" t="s">
        <v>2444</v>
      </c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5"/>
      <c r="AI1130" s="5"/>
      <c r="AJ1130" s="5"/>
      <c r="AK1130" s="5"/>
      <c r="AL1130" s="5"/>
    </row>
    <row r="1131">
      <c r="A1131" s="4" t="str">
        <f>VLOOKUP(L1131,payment_ids!C:D,2,FALSE)</f>
        <v>pay_HMaUpxjknpiGhr</v>
      </c>
      <c r="B1131" s="4"/>
      <c r="C1131" s="4" t="s">
        <v>4030</v>
      </c>
      <c r="D1131" s="4">
        <v>49833.0</v>
      </c>
      <c r="E1131" s="5"/>
      <c r="F1131" s="4">
        <v>3.0</v>
      </c>
      <c r="G1131" s="4">
        <v>299.0</v>
      </c>
      <c r="H1131" s="4"/>
      <c r="I1131" s="4">
        <v>299.0</v>
      </c>
      <c r="J1131" s="4" t="s">
        <v>4236</v>
      </c>
      <c r="K1131" s="5">
        <f>+917605977705</f>
        <v>917605977705</v>
      </c>
      <c r="L1131" s="4" t="str">
        <f t="shared" si="1"/>
        <v>layndaynasha@gmail.com917605977705</v>
      </c>
      <c r="M1131" s="10" t="s">
        <v>67</v>
      </c>
      <c r="N1131" s="4" t="b">
        <v>0</v>
      </c>
      <c r="O1131" s="4" t="str">
        <f>VLOOKUP(A1131,payment_ids!D:E,2,FALSE)</f>
        <v>upi</v>
      </c>
      <c r="P1131" s="4" t="s">
        <v>69</v>
      </c>
      <c r="Q1131" s="4" t="s">
        <v>3167</v>
      </c>
      <c r="R1131" s="4"/>
      <c r="S1131" s="12" t="s">
        <v>4033</v>
      </c>
      <c r="T1131" s="4" t="s">
        <v>2444</v>
      </c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5"/>
      <c r="AI1131" s="5"/>
      <c r="AJ1131" s="5"/>
      <c r="AK1131" s="5"/>
      <c r="AL1131" s="5"/>
    </row>
    <row r="1132">
      <c r="A1132" s="4" t="str">
        <f>VLOOKUP(L1132,payment_ids!C:D,2,FALSE)</f>
        <v>pay_HN0V30Ijafvb7A</v>
      </c>
      <c r="B1132" s="4"/>
      <c r="C1132" s="4" t="s">
        <v>4030</v>
      </c>
      <c r="D1132" s="4">
        <v>49833.0</v>
      </c>
      <c r="E1132" s="5"/>
      <c r="F1132" s="4">
        <v>1.0</v>
      </c>
      <c r="G1132" s="4">
        <v>149.0</v>
      </c>
      <c r="H1132" s="4"/>
      <c r="I1132" s="4">
        <v>149.0</v>
      </c>
      <c r="J1132" s="4" t="s">
        <v>4237</v>
      </c>
      <c r="K1132" s="5">
        <f>+919321852038</f>
        <v>919321852038</v>
      </c>
      <c r="L1132" s="4" t="str">
        <f t="shared" si="1"/>
        <v>ayanshmediahouse@gmail.com919321852038</v>
      </c>
      <c r="M1132" s="10" t="s">
        <v>67</v>
      </c>
      <c r="N1132" s="4" t="b">
        <v>0</v>
      </c>
      <c r="O1132" s="4" t="str">
        <f>VLOOKUP(A1132,payment_ids!D:E,2,FALSE)</f>
        <v>upi</v>
      </c>
      <c r="P1132" s="4" t="s">
        <v>69</v>
      </c>
      <c r="Q1132" s="4" t="s">
        <v>4238</v>
      </c>
      <c r="R1132" s="4"/>
      <c r="S1132" s="12" t="s">
        <v>4033</v>
      </c>
      <c r="T1132" s="4" t="s">
        <v>2444</v>
      </c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5"/>
      <c r="AI1132" s="5"/>
      <c r="AJ1132" s="5"/>
      <c r="AK1132" s="5"/>
      <c r="AL1132" s="5"/>
    </row>
    <row r="1133">
      <c r="A1133" s="4" t="str">
        <f>VLOOKUP(L1133,payment_ids!C:D,2,FALSE)</f>
        <v>pay_HNGWE8JS0ezHSk</v>
      </c>
      <c r="B1133" s="4"/>
      <c r="C1133" s="4" t="s">
        <v>4030</v>
      </c>
      <c r="D1133" s="4">
        <v>49833.0</v>
      </c>
      <c r="E1133" s="5"/>
      <c r="F1133" s="4">
        <v>1.0</v>
      </c>
      <c r="G1133" s="4">
        <v>149.0</v>
      </c>
      <c r="H1133" s="4"/>
      <c r="I1133" s="4">
        <v>149.0</v>
      </c>
      <c r="J1133" s="4" t="s">
        <v>4239</v>
      </c>
      <c r="K1133" s="5">
        <f>+916305799219</f>
        <v>916305799219</v>
      </c>
      <c r="L1133" s="4" t="str">
        <f t="shared" si="1"/>
        <v>fizamanu1234@gmail.com916305799219</v>
      </c>
      <c r="M1133" s="10" t="s">
        <v>67</v>
      </c>
      <c r="N1133" s="4" t="b">
        <v>0</v>
      </c>
      <c r="O1133" s="4" t="str">
        <f>VLOOKUP(A1133,payment_ids!D:E,2,FALSE)</f>
        <v>wallet</v>
      </c>
      <c r="P1133" s="4" t="s">
        <v>69</v>
      </c>
      <c r="Q1133" s="4" t="s">
        <v>4240</v>
      </c>
      <c r="R1133" s="4"/>
      <c r="S1133" s="12" t="s">
        <v>4202</v>
      </c>
      <c r="T1133" s="4" t="s">
        <v>2444</v>
      </c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5"/>
      <c r="AI1133" s="5"/>
      <c r="AJ1133" s="5"/>
      <c r="AK1133" s="5"/>
      <c r="AL1133" s="5"/>
    </row>
    <row r="1134">
      <c r="A1134" s="4" t="str">
        <f>VLOOKUP(L1134,payment_ids!C:D,2,FALSE)</f>
        <v>pay_HNMFBndCfmkvoZ</v>
      </c>
      <c r="B1134" s="4"/>
      <c r="C1134" s="4" t="s">
        <v>4030</v>
      </c>
      <c r="D1134" s="4">
        <v>49833.0</v>
      </c>
      <c r="E1134" s="5"/>
      <c r="F1134" s="4">
        <v>3.0</v>
      </c>
      <c r="G1134" s="4">
        <v>299.0</v>
      </c>
      <c r="H1134" s="4"/>
      <c r="I1134" s="4">
        <v>299.0</v>
      </c>
      <c r="J1134" s="4" t="s">
        <v>769</v>
      </c>
      <c r="K1134" s="5">
        <f>+917083064416</f>
        <v>917083064416</v>
      </c>
      <c r="L1134" s="4" t="str">
        <f t="shared" si="1"/>
        <v>adityi.k@gmail.com917083064416</v>
      </c>
      <c r="M1134" s="10" t="s">
        <v>67</v>
      </c>
      <c r="N1134" s="4" t="b">
        <v>0</v>
      </c>
      <c r="O1134" s="4" t="str">
        <f>VLOOKUP(A1134,payment_ids!D:E,2,FALSE)</f>
        <v>card</v>
      </c>
      <c r="P1134" s="4" t="s">
        <v>69</v>
      </c>
      <c r="Q1134" s="4" t="s">
        <v>4241</v>
      </c>
      <c r="R1134" s="4"/>
      <c r="S1134" s="12" t="s">
        <v>4033</v>
      </c>
      <c r="T1134" s="4" t="s">
        <v>2444</v>
      </c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5"/>
      <c r="AI1134" s="5"/>
      <c r="AJ1134" s="5"/>
      <c r="AK1134" s="5"/>
      <c r="AL1134" s="5"/>
    </row>
    <row r="1135">
      <c r="A1135" s="4" t="str">
        <f>VLOOKUP(L1135,payment_ids!C:D,2,FALSE)</f>
        <v>pay_HNb7QiUPK2ejzs</v>
      </c>
      <c r="B1135" s="4"/>
      <c r="C1135" s="4" t="s">
        <v>4030</v>
      </c>
      <c r="D1135" s="4">
        <v>49833.0</v>
      </c>
      <c r="E1135" s="5"/>
      <c r="F1135" s="4">
        <v>6.0</v>
      </c>
      <c r="G1135" s="4">
        <v>449.0</v>
      </c>
      <c r="H1135" s="4"/>
      <c r="I1135" s="4">
        <v>449.0</v>
      </c>
      <c r="J1135" s="4" t="s">
        <v>185</v>
      </c>
      <c r="K1135" s="5">
        <f>+919611611019</f>
        <v>919611611019</v>
      </c>
      <c r="L1135" s="4" t="str">
        <f t="shared" si="1"/>
        <v>tanmayee.maiya@gmail.com919611611019</v>
      </c>
      <c r="M1135" s="10" t="s">
        <v>67</v>
      </c>
      <c r="N1135" s="4" t="b">
        <v>0</v>
      </c>
      <c r="O1135" s="4" t="str">
        <f>VLOOKUP(A1135,payment_ids!D:E,2,FALSE)</f>
        <v>upi</v>
      </c>
      <c r="P1135" s="4" t="s">
        <v>69</v>
      </c>
      <c r="Q1135" s="4" t="s">
        <v>4242</v>
      </c>
      <c r="R1135" s="4"/>
      <c r="S1135" s="12" t="s">
        <v>4232</v>
      </c>
      <c r="T1135" s="4" t="s">
        <v>2444</v>
      </c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5"/>
      <c r="AI1135" s="5"/>
      <c r="AJ1135" s="5"/>
      <c r="AK1135" s="5"/>
      <c r="AL1135" s="5"/>
    </row>
    <row r="1136">
      <c r="A1136" s="4" t="str">
        <f>VLOOKUP(L1136,payment_ids!C:D,2,FALSE)</f>
        <v>pay_HNcDe6S5gzP1zp</v>
      </c>
      <c r="B1136" s="4"/>
      <c r="C1136" s="4" t="s">
        <v>4030</v>
      </c>
      <c r="D1136" s="4">
        <v>49833.0</v>
      </c>
      <c r="E1136" s="5"/>
      <c r="F1136" s="4">
        <v>3.0</v>
      </c>
      <c r="G1136" s="4">
        <v>299.0</v>
      </c>
      <c r="H1136" s="4"/>
      <c r="I1136" s="4">
        <v>299.0</v>
      </c>
      <c r="J1136" s="4" t="s">
        <v>269</v>
      </c>
      <c r="K1136" s="5">
        <f>+918281831033</f>
        <v>918281831033</v>
      </c>
      <c r="L1136" s="4" t="str">
        <f t="shared" si="1"/>
        <v>chippimuthu96@gmail.com918281831033</v>
      </c>
      <c r="M1136" s="10" t="s">
        <v>67</v>
      </c>
      <c r="N1136" s="4" t="b">
        <v>0</v>
      </c>
      <c r="O1136" s="4" t="str">
        <f>VLOOKUP(A1136,payment_ids!D:E,2,FALSE)</f>
        <v>upi</v>
      </c>
      <c r="P1136" s="4" t="s">
        <v>69</v>
      </c>
      <c r="Q1136" s="4" t="s">
        <v>4243</v>
      </c>
      <c r="R1136" s="4"/>
      <c r="S1136" s="12" t="s">
        <v>4232</v>
      </c>
      <c r="T1136" s="4" t="s">
        <v>2444</v>
      </c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5"/>
      <c r="AI1136" s="5"/>
      <c r="AJ1136" s="5"/>
      <c r="AK1136" s="5"/>
      <c r="AL1136" s="5"/>
    </row>
    <row r="1137">
      <c r="A1137" s="4" t="str">
        <f>VLOOKUP(L1137,payment_ids!C:D,2,FALSE)</f>
        <v>pay_HNd2FuYkKsQuc1</v>
      </c>
      <c r="B1137" s="4"/>
      <c r="C1137" s="4" t="s">
        <v>4030</v>
      </c>
      <c r="D1137" s="4">
        <v>49833.0</v>
      </c>
      <c r="E1137" s="5"/>
      <c r="F1137" s="4">
        <v>6.0</v>
      </c>
      <c r="G1137" s="4">
        <v>449.0</v>
      </c>
      <c r="H1137" s="4"/>
      <c r="I1137" s="4">
        <v>449.0</v>
      </c>
      <c r="J1137" s="4" t="s">
        <v>285</v>
      </c>
      <c r="K1137" s="5">
        <f>+918979531948</f>
        <v>918979531948</v>
      </c>
      <c r="L1137" s="4" t="str">
        <f t="shared" si="1"/>
        <v>saraperry44444444@gmail.com918979531948</v>
      </c>
      <c r="M1137" s="10" t="s">
        <v>67</v>
      </c>
      <c r="N1137" s="4" t="b">
        <v>0</v>
      </c>
      <c r="O1137" s="4" t="str">
        <f>VLOOKUP(A1137,payment_ids!D:E,2,FALSE)</f>
        <v>upi</v>
      </c>
      <c r="P1137" s="4" t="s">
        <v>69</v>
      </c>
      <c r="Q1137" s="4" t="s">
        <v>4244</v>
      </c>
      <c r="R1137" s="4"/>
      <c r="S1137" s="12" t="s">
        <v>4232</v>
      </c>
      <c r="T1137" s="4" t="s">
        <v>2444</v>
      </c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5"/>
      <c r="AI1137" s="5"/>
      <c r="AJ1137" s="5"/>
      <c r="AK1137" s="5"/>
      <c r="AL1137" s="5"/>
    </row>
    <row r="1138">
      <c r="A1138" s="4" t="str">
        <f>VLOOKUP(L1138,payment_ids!C:D,2,FALSE)</f>
        <v>pay_HNjI6Mxr3TAsjT</v>
      </c>
      <c r="B1138" s="4"/>
      <c r="C1138" s="4" t="s">
        <v>4030</v>
      </c>
      <c r="D1138" s="4">
        <v>49833.0</v>
      </c>
      <c r="E1138" s="5"/>
      <c r="F1138" s="4">
        <v>1.0</v>
      </c>
      <c r="G1138" s="4">
        <v>149.0</v>
      </c>
      <c r="H1138" s="4"/>
      <c r="I1138" s="4">
        <v>149.0</v>
      </c>
      <c r="J1138" s="4" t="s">
        <v>4245</v>
      </c>
      <c r="K1138" s="5">
        <f>+918787544244</f>
        <v>918787544244</v>
      </c>
      <c r="L1138" s="4" t="str">
        <f t="shared" si="1"/>
        <v>viviennekhaiyar@gmail.com918787544244</v>
      </c>
      <c r="M1138" s="10" t="s">
        <v>67</v>
      </c>
      <c r="N1138" s="4" t="b">
        <v>0</v>
      </c>
      <c r="O1138" s="4" t="str">
        <f>VLOOKUP(A1138,payment_ids!D:E,2,FALSE)</f>
        <v>wallet</v>
      </c>
      <c r="P1138" s="4" t="s">
        <v>69</v>
      </c>
      <c r="Q1138" s="4" t="s">
        <v>4246</v>
      </c>
      <c r="R1138" s="4"/>
      <c r="S1138" s="12" t="s">
        <v>4202</v>
      </c>
      <c r="T1138" s="4" t="s">
        <v>2444</v>
      </c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5"/>
      <c r="AI1138" s="5"/>
      <c r="AJ1138" s="5"/>
      <c r="AK1138" s="5"/>
      <c r="AL1138" s="5"/>
    </row>
    <row r="1139">
      <c r="A1139" s="4" t="str">
        <f>VLOOKUP(L1139,payment_ids!C:D,2,FALSE)</f>
        <v>pay_HNkmh1yKTnpCce</v>
      </c>
      <c r="B1139" s="4"/>
      <c r="C1139" s="4" t="s">
        <v>4030</v>
      </c>
      <c r="D1139" s="4">
        <v>49833.0</v>
      </c>
      <c r="E1139" s="5"/>
      <c r="F1139" s="4">
        <v>1.0</v>
      </c>
      <c r="G1139" s="4">
        <v>149.0</v>
      </c>
      <c r="H1139" s="4"/>
      <c r="I1139" s="4">
        <v>149.0</v>
      </c>
      <c r="J1139" s="4" t="s">
        <v>4247</v>
      </c>
      <c r="K1139" s="5">
        <f>+918894536226</f>
        <v>918894536226</v>
      </c>
      <c r="L1139" s="4" t="str">
        <f t="shared" si="1"/>
        <v>shreyayonhi@gmail.com918894536226</v>
      </c>
      <c r="M1139" s="10" t="s">
        <v>67</v>
      </c>
      <c r="N1139" s="4" t="b">
        <v>0</v>
      </c>
      <c r="O1139" s="4" t="str">
        <f>VLOOKUP(A1139,payment_ids!D:E,2,FALSE)</f>
        <v>upi</v>
      </c>
      <c r="P1139" s="4" t="s">
        <v>69</v>
      </c>
      <c r="Q1139" s="4" t="s">
        <v>3564</v>
      </c>
      <c r="R1139" s="4"/>
      <c r="S1139" s="12" t="s">
        <v>4033</v>
      </c>
      <c r="T1139" s="4" t="s">
        <v>2444</v>
      </c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5"/>
      <c r="AI1139" s="5"/>
      <c r="AJ1139" s="5"/>
      <c r="AK1139" s="5"/>
      <c r="AL1139" s="5"/>
    </row>
    <row r="1140">
      <c r="A1140" s="4" t="str">
        <f>VLOOKUP(L1140,payment_ids!C:D,2,FALSE)</f>
        <v>pay_HNwzgwZR3WDlhh</v>
      </c>
      <c r="B1140" s="4"/>
      <c r="C1140" s="4" t="s">
        <v>4030</v>
      </c>
      <c r="D1140" s="4">
        <v>49833.0</v>
      </c>
      <c r="E1140" s="5"/>
      <c r="F1140" s="4">
        <v>3.0</v>
      </c>
      <c r="G1140" s="4">
        <v>299.0</v>
      </c>
      <c r="H1140" s="4"/>
      <c r="I1140" s="4">
        <v>299.0</v>
      </c>
      <c r="J1140" s="4" t="s">
        <v>4248</v>
      </c>
      <c r="K1140" s="5">
        <f>+919347914978</f>
        <v>919347914978</v>
      </c>
      <c r="L1140" s="4" t="str">
        <f t="shared" si="1"/>
        <v>amruthapalukuri01@gmail.com919347914978</v>
      </c>
      <c r="M1140" s="10" t="s">
        <v>67</v>
      </c>
      <c r="N1140" s="4" t="b">
        <v>0</v>
      </c>
      <c r="O1140" s="4" t="str">
        <f>VLOOKUP(A1140,payment_ids!D:E,2,FALSE)</f>
        <v>upi</v>
      </c>
      <c r="P1140" s="4" t="s">
        <v>69</v>
      </c>
      <c r="Q1140" s="4" t="s">
        <v>4249</v>
      </c>
      <c r="R1140" s="4"/>
      <c r="S1140" s="12" t="s">
        <v>4033</v>
      </c>
      <c r="T1140" s="4" t="s">
        <v>2444</v>
      </c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5"/>
      <c r="AI1140" s="5"/>
      <c r="AJ1140" s="5"/>
      <c r="AK1140" s="5"/>
      <c r="AL1140" s="5"/>
    </row>
    <row r="1141">
      <c r="A1141" s="4" t="str">
        <f>VLOOKUP(L1141,payment_ids!C:D,2,FALSE)</f>
        <v>pay_HDha1b6iRhG2OK</v>
      </c>
      <c r="B1141" s="4"/>
      <c r="C1141" s="4" t="s">
        <v>4030</v>
      </c>
      <c r="D1141" s="4">
        <v>49833.0</v>
      </c>
      <c r="E1141" s="5"/>
      <c r="F1141" s="4">
        <v>6.0</v>
      </c>
      <c r="G1141" s="4">
        <v>449.0</v>
      </c>
      <c r="H1141" s="4"/>
      <c r="I1141" s="4">
        <v>449.0</v>
      </c>
      <c r="J1141" s="4" t="s">
        <v>4036</v>
      </c>
      <c r="K1141" s="5">
        <f>+918948729723</f>
        <v>918948729723</v>
      </c>
      <c r="L1141" s="4" t="str">
        <f t="shared" si="1"/>
        <v>priyasaumyadubey@gmail.com918948729723</v>
      </c>
      <c r="M1141" s="10" t="s">
        <v>67</v>
      </c>
      <c r="N1141" s="4" t="b">
        <v>0</v>
      </c>
      <c r="O1141" s="4" t="str">
        <f>VLOOKUP(A1141,payment_ids!D:E,2,FALSE)</f>
        <v>upi</v>
      </c>
      <c r="P1141" s="4" t="s">
        <v>69</v>
      </c>
      <c r="Q1141" s="4" t="s">
        <v>4250</v>
      </c>
      <c r="R1141" s="4"/>
      <c r="S1141" s="12" t="s">
        <v>4033</v>
      </c>
      <c r="T1141" s="4" t="s">
        <v>2444</v>
      </c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5"/>
      <c r="AI1141" s="5"/>
      <c r="AJ1141" s="5"/>
      <c r="AK1141" s="5"/>
      <c r="AL1141" s="5"/>
    </row>
    <row r="1142">
      <c r="A1142" s="4" t="str">
        <f>VLOOKUP(L1142,payment_ids!C:D,2,FALSE)</f>
        <v>pay_HNyav9pgnjRLY7</v>
      </c>
      <c r="B1142" s="4"/>
      <c r="C1142" s="4" t="s">
        <v>4030</v>
      </c>
      <c r="D1142" s="4">
        <v>49833.0</v>
      </c>
      <c r="E1142" s="5"/>
      <c r="F1142" s="4">
        <v>3.0</v>
      </c>
      <c r="G1142" s="4">
        <v>299.0</v>
      </c>
      <c r="H1142" s="4"/>
      <c r="I1142" s="4">
        <v>299.0</v>
      </c>
      <c r="J1142" s="4" t="s">
        <v>4251</v>
      </c>
      <c r="K1142" s="5">
        <f>+917005628647</f>
        <v>917005628647</v>
      </c>
      <c r="L1142" s="4" t="str">
        <f t="shared" si="1"/>
        <v>phrangsngi15@gmail.com917005628647</v>
      </c>
      <c r="M1142" s="10" t="s">
        <v>67</v>
      </c>
      <c r="N1142" s="4" t="b">
        <v>0</v>
      </c>
      <c r="O1142" s="4" t="str">
        <f>VLOOKUP(A1142,payment_ids!D:E,2,FALSE)</f>
        <v>upi</v>
      </c>
      <c r="P1142" s="4" t="s">
        <v>69</v>
      </c>
      <c r="Q1142" s="4" t="s">
        <v>4252</v>
      </c>
      <c r="R1142" s="4"/>
      <c r="S1142" s="12" t="s">
        <v>4033</v>
      </c>
      <c r="T1142" s="4" t="s">
        <v>2444</v>
      </c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5"/>
      <c r="AI1142" s="5"/>
      <c r="AJ1142" s="5"/>
      <c r="AK1142" s="5"/>
      <c r="AL1142" s="5"/>
    </row>
    <row r="1143">
      <c r="A1143" s="4" t="str">
        <f>VLOOKUP(L1143,payment_ids!C:D,2,FALSE)</f>
        <v>pay_HOt1BJcwmegR5Z</v>
      </c>
      <c r="B1143" s="4"/>
      <c r="C1143" s="4" t="s">
        <v>4030</v>
      </c>
      <c r="D1143" s="4">
        <v>49833.0</v>
      </c>
      <c r="E1143" s="5"/>
      <c r="F1143" s="4">
        <v>3.0</v>
      </c>
      <c r="G1143" s="4">
        <v>299.0</v>
      </c>
      <c r="H1143" s="4"/>
      <c r="I1143" s="4">
        <v>299.0</v>
      </c>
      <c r="J1143" s="4" t="s">
        <v>4253</v>
      </c>
      <c r="K1143" s="5">
        <f>+917036442068</f>
        <v>917036442068</v>
      </c>
      <c r="L1143" s="4" t="str">
        <f t="shared" si="1"/>
        <v>saipranavi488@gmail.com917036442068</v>
      </c>
      <c r="M1143" s="10" t="s">
        <v>67</v>
      </c>
      <c r="N1143" s="4" t="b">
        <v>0</v>
      </c>
      <c r="O1143" s="4" t="str">
        <f>VLOOKUP(A1143,payment_ids!D:E,2,FALSE)</f>
        <v>upi</v>
      </c>
      <c r="P1143" s="4" t="s">
        <v>69</v>
      </c>
      <c r="Q1143" s="4" t="s">
        <v>4254</v>
      </c>
      <c r="R1143" s="4"/>
      <c r="S1143" s="12" t="s">
        <v>4033</v>
      </c>
      <c r="T1143" s="4" t="s">
        <v>2444</v>
      </c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5"/>
      <c r="AI1143" s="5"/>
      <c r="AJ1143" s="5"/>
      <c r="AK1143" s="5"/>
      <c r="AL1143" s="5"/>
    </row>
    <row r="1144">
      <c r="A1144" s="4" t="str">
        <f>VLOOKUP(L1144,payment_ids!C:D,2,FALSE)</f>
        <v>pay_HPDqEshiBH0KSP</v>
      </c>
      <c r="B1144" s="4"/>
      <c r="C1144" s="4" t="s">
        <v>4030</v>
      </c>
      <c r="D1144" s="4">
        <v>49833.0</v>
      </c>
      <c r="E1144" s="5"/>
      <c r="F1144" s="4">
        <v>1.0</v>
      </c>
      <c r="G1144" s="4">
        <v>149.0</v>
      </c>
      <c r="H1144" s="4"/>
      <c r="I1144" s="4">
        <v>149.0</v>
      </c>
      <c r="J1144" s="4" t="s">
        <v>4255</v>
      </c>
      <c r="K1144" s="5">
        <f>+919337603073</f>
        <v>919337603073</v>
      </c>
      <c r="L1144" s="4" t="str">
        <f t="shared" si="1"/>
        <v>nayakabhinanda1998@gmail.com919337603073</v>
      </c>
      <c r="M1144" s="10" t="s">
        <v>67</v>
      </c>
      <c r="N1144" s="4" t="b">
        <v>0</v>
      </c>
      <c r="O1144" s="4" t="str">
        <f>VLOOKUP(A1144,payment_ids!D:E,2,FALSE)</f>
        <v>upi</v>
      </c>
      <c r="P1144" s="4" t="s">
        <v>69</v>
      </c>
      <c r="Q1144" s="4" t="s">
        <v>4256</v>
      </c>
      <c r="R1144" s="4"/>
      <c r="S1144" s="12" t="s">
        <v>4033</v>
      </c>
      <c r="T1144" s="4" t="s">
        <v>2444</v>
      </c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5"/>
      <c r="AI1144" s="5"/>
      <c r="AJ1144" s="5"/>
      <c r="AK1144" s="5"/>
      <c r="AL1144" s="5"/>
    </row>
    <row r="1145">
      <c r="A1145" s="4" t="str">
        <f>VLOOKUP(L1145,payment_ids!C:D,2,FALSE)</f>
        <v>pay_HPEMr6VIvUG23O</v>
      </c>
      <c r="B1145" s="4"/>
      <c r="C1145" s="4" t="s">
        <v>4030</v>
      </c>
      <c r="D1145" s="4">
        <v>49833.0</v>
      </c>
      <c r="E1145" s="5"/>
      <c r="F1145" s="4">
        <v>1.0</v>
      </c>
      <c r="G1145" s="4">
        <v>149.0</v>
      </c>
      <c r="H1145" s="4"/>
      <c r="I1145" s="4">
        <v>149.0</v>
      </c>
      <c r="J1145" s="4" t="s">
        <v>4257</v>
      </c>
      <c r="K1145" s="5">
        <f>+918291899207</f>
        <v>918291899207</v>
      </c>
      <c r="L1145" s="4" t="str">
        <f t="shared" si="1"/>
        <v>barik.laxmi92@gmail.com918291899207</v>
      </c>
      <c r="M1145" s="10" t="s">
        <v>67</v>
      </c>
      <c r="N1145" s="4" t="b">
        <v>0</v>
      </c>
      <c r="O1145" s="4" t="str">
        <f>VLOOKUP(A1145,payment_ids!D:E,2,FALSE)</f>
        <v>upi</v>
      </c>
      <c r="P1145" s="4" t="s">
        <v>69</v>
      </c>
      <c r="Q1145" s="4" t="s">
        <v>4258</v>
      </c>
      <c r="R1145" s="4"/>
      <c r="S1145" s="12" t="s">
        <v>4033</v>
      </c>
      <c r="T1145" s="4" t="s">
        <v>2444</v>
      </c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5"/>
      <c r="AI1145" s="5"/>
      <c r="AJ1145" s="5"/>
      <c r="AK1145" s="5"/>
      <c r="AL1145" s="5"/>
    </row>
    <row r="1146">
      <c r="A1146" s="4" t="str">
        <f>VLOOKUP(L1146,payment_ids!C:D,2,FALSE)</f>
        <v>pay_HPF71I1cgQTZyt</v>
      </c>
      <c r="B1146" s="4"/>
      <c r="C1146" s="4" t="s">
        <v>4030</v>
      </c>
      <c r="D1146" s="4">
        <v>49833.0</v>
      </c>
      <c r="E1146" s="5"/>
      <c r="F1146" s="4">
        <v>1.0</v>
      </c>
      <c r="G1146" s="4">
        <v>149.0</v>
      </c>
      <c r="H1146" s="4"/>
      <c r="I1146" s="4">
        <v>149.0</v>
      </c>
      <c r="J1146" s="4" t="s">
        <v>4259</v>
      </c>
      <c r="K1146" s="5">
        <f>+917093753974</f>
        <v>917093753974</v>
      </c>
      <c r="L1146" s="4" t="str">
        <f t="shared" si="1"/>
        <v>ananyadutta2910@gmail.com917093753974</v>
      </c>
      <c r="M1146" s="10" t="s">
        <v>67</v>
      </c>
      <c r="N1146" s="4" t="b">
        <v>0</v>
      </c>
      <c r="O1146" s="4" t="str">
        <f>VLOOKUP(A1146,payment_ids!D:E,2,FALSE)</f>
        <v>upi</v>
      </c>
      <c r="P1146" s="4" t="s">
        <v>69</v>
      </c>
      <c r="Q1146" s="4" t="s">
        <v>4260</v>
      </c>
      <c r="R1146" s="4"/>
      <c r="S1146" s="12" t="s">
        <v>4033</v>
      </c>
      <c r="T1146" s="4" t="s">
        <v>2444</v>
      </c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5"/>
      <c r="AI1146" s="5"/>
      <c r="AJ1146" s="5"/>
      <c r="AK1146" s="5"/>
      <c r="AL1146" s="5"/>
    </row>
    <row r="1147">
      <c r="A1147" s="4" t="str">
        <f>VLOOKUP(L1147,payment_ids!C:D,2,FALSE)</f>
        <v>pay_HPJJaQIIFNixql</v>
      </c>
      <c r="B1147" s="4"/>
      <c r="C1147" s="4" t="s">
        <v>4030</v>
      </c>
      <c r="D1147" s="4">
        <v>49833.0</v>
      </c>
      <c r="E1147" s="5"/>
      <c r="F1147" s="4">
        <v>1.0</v>
      </c>
      <c r="G1147" s="4">
        <v>149.0</v>
      </c>
      <c r="H1147" s="4"/>
      <c r="I1147" s="4">
        <v>149.0</v>
      </c>
      <c r="J1147" s="4" t="s">
        <v>4261</v>
      </c>
      <c r="K1147" s="5">
        <f>+917041965001</f>
        <v>917041965001</v>
      </c>
      <c r="L1147" s="4" t="str">
        <f t="shared" si="1"/>
        <v>payaldhar41@gmail.com917041965001</v>
      </c>
      <c r="M1147" s="10" t="s">
        <v>67</v>
      </c>
      <c r="N1147" s="4" t="b">
        <v>0</v>
      </c>
      <c r="O1147" s="4" t="str">
        <f>VLOOKUP(A1147,payment_ids!D:E,2,FALSE)</f>
        <v>upi</v>
      </c>
      <c r="P1147" s="4" t="s">
        <v>69</v>
      </c>
      <c r="Q1147" s="4" t="s">
        <v>4262</v>
      </c>
      <c r="R1147" s="4"/>
      <c r="S1147" s="12" t="s">
        <v>4033</v>
      </c>
      <c r="T1147" s="4" t="s">
        <v>2444</v>
      </c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5"/>
      <c r="AI1147" s="5"/>
      <c r="AJ1147" s="5"/>
      <c r="AK1147" s="5"/>
      <c r="AL1147" s="5"/>
    </row>
    <row r="1148">
      <c r="A1148" s="4" t="str">
        <f>VLOOKUP(L1148,payment_ids!C:D,2,FALSE)</f>
        <v>pay_HPMY7QjcL0Veuq</v>
      </c>
      <c r="B1148" s="4"/>
      <c r="C1148" s="4" t="s">
        <v>4030</v>
      </c>
      <c r="D1148" s="4">
        <v>49833.0</v>
      </c>
      <c r="E1148" s="5"/>
      <c r="F1148" s="4">
        <v>1.0</v>
      </c>
      <c r="G1148" s="4">
        <v>149.0</v>
      </c>
      <c r="H1148" s="4"/>
      <c r="I1148" s="4">
        <v>149.0</v>
      </c>
      <c r="J1148" s="4" t="s">
        <v>4263</v>
      </c>
      <c r="K1148" s="5">
        <f>+917017133200</f>
        <v>917017133200</v>
      </c>
      <c r="L1148" s="4" t="str">
        <f t="shared" si="1"/>
        <v>kritisha5252@gmail.com917017133200</v>
      </c>
      <c r="M1148" s="10" t="s">
        <v>67</v>
      </c>
      <c r="N1148" s="4" t="b">
        <v>0</v>
      </c>
      <c r="O1148" s="4" t="str">
        <f>VLOOKUP(A1148,payment_ids!D:E,2,FALSE)</f>
        <v>card</v>
      </c>
      <c r="P1148" s="4" t="s">
        <v>69</v>
      </c>
      <c r="Q1148" s="4" t="s">
        <v>4264</v>
      </c>
      <c r="R1148" s="4"/>
      <c r="S1148" s="12" t="s">
        <v>4033</v>
      </c>
      <c r="T1148" s="4" t="s">
        <v>2444</v>
      </c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5"/>
      <c r="AI1148" s="5"/>
      <c r="AJ1148" s="5"/>
      <c r="AK1148" s="5"/>
      <c r="AL1148" s="5"/>
    </row>
    <row r="1149">
      <c r="A1149" s="4" t="str">
        <f>VLOOKUP(L1149,payment_ids!C:D,2,FALSE)</f>
        <v>pay_HPa9wNtSAJ60YQ</v>
      </c>
      <c r="B1149" s="4"/>
      <c r="C1149" s="4" t="s">
        <v>4030</v>
      </c>
      <c r="D1149" s="4">
        <v>49833.0</v>
      </c>
      <c r="E1149" s="5"/>
      <c r="F1149" s="4">
        <v>1.0</v>
      </c>
      <c r="G1149" s="4">
        <v>149.0</v>
      </c>
      <c r="H1149" s="4"/>
      <c r="I1149" s="4">
        <v>149.0</v>
      </c>
      <c r="J1149" s="4" t="s">
        <v>4265</v>
      </c>
      <c r="K1149" s="5">
        <f>+918124979749</f>
        <v>918124979749</v>
      </c>
      <c r="L1149" s="4" t="str">
        <f t="shared" si="1"/>
        <v>kamalibaby3@gmail.com918124979749</v>
      </c>
      <c r="M1149" s="10" t="s">
        <v>67</v>
      </c>
      <c r="N1149" s="4" t="b">
        <v>0</v>
      </c>
      <c r="O1149" s="4" t="str">
        <f>VLOOKUP(A1149,payment_ids!D:E,2,FALSE)</f>
        <v>upi</v>
      </c>
      <c r="P1149" s="4" t="s">
        <v>69</v>
      </c>
      <c r="Q1149" s="4" t="s">
        <v>4266</v>
      </c>
      <c r="R1149" s="4"/>
      <c r="S1149" s="12" t="s">
        <v>4033</v>
      </c>
      <c r="T1149" s="4" t="s">
        <v>2444</v>
      </c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5"/>
      <c r="AI1149" s="5"/>
      <c r="AJ1149" s="5"/>
      <c r="AK1149" s="5"/>
      <c r="AL1149" s="5"/>
    </row>
    <row r="1150">
      <c r="A1150" s="4" t="str">
        <f>VLOOKUP(L1150,payment_ids!C:D,2,FALSE)</f>
        <v>pay_HParE6KoEypqXW</v>
      </c>
      <c r="B1150" s="4"/>
      <c r="C1150" s="4" t="s">
        <v>4030</v>
      </c>
      <c r="D1150" s="4">
        <v>49833.0</v>
      </c>
      <c r="E1150" s="5"/>
      <c r="F1150" s="4">
        <v>3.0</v>
      </c>
      <c r="G1150" s="4">
        <v>299.0</v>
      </c>
      <c r="H1150" s="4"/>
      <c r="I1150" s="4">
        <v>299.0</v>
      </c>
      <c r="J1150" s="4" t="s">
        <v>4267</v>
      </c>
      <c r="K1150" s="5">
        <f>+917973153073</f>
        <v>917973153073</v>
      </c>
      <c r="L1150" s="4" t="str">
        <f t="shared" si="1"/>
        <v>tarandeepkaurladhar@gmail.com917973153073</v>
      </c>
      <c r="M1150" s="10" t="s">
        <v>67</v>
      </c>
      <c r="N1150" s="4" t="b">
        <v>0</v>
      </c>
      <c r="O1150" s="4" t="str">
        <f>VLOOKUP(A1150,payment_ids!D:E,2,FALSE)</f>
        <v>upi</v>
      </c>
      <c r="P1150" s="4" t="s">
        <v>69</v>
      </c>
      <c r="Q1150" s="4" t="s">
        <v>4268</v>
      </c>
      <c r="R1150" s="4"/>
      <c r="S1150" s="12" t="s">
        <v>4033</v>
      </c>
      <c r="T1150" s="4" t="s">
        <v>2444</v>
      </c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5"/>
      <c r="AI1150" s="5"/>
      <c r="AJ1150" s="5"/>
      <c r="AK1150" s="5"/>
      <c r="AL1150" s="5"/>
    </row>
    <row r="1151">
      <c r="A1151" s="4" t="str">
        <f>VLOOKUP(L1151,payment_ids!C:D,2,FALSE)</f>
        <v>pay_HPbrFtm6WcGa0g</v>
      </c>
      <c r="B1151" s="4"/>
      <c r="C1151" s="4" t="s">
        <v>4030</v>
      </c>
      <c r="D1151" s="4">
        <v>49833.0</v>
      </c>
      <c r="E1151" s="5"/>
      <c r="F1151" s="4">
        <v>1.0</v>
      </c>
      <c r="G1151" s="4">
        <v>149.0</v>
      </c>
      <c r="H1151" s="4"/>
      <c r="I1151" s="4">
        <v>149.0</v>
      </c>
      <c r="J1151" s="4" t="s">
        <v>4269</v>
      </c>
      <c r="K1151" s="5">
        <f>+918368489041</f>
        <v>918368489041</v>
      </c>
      <c r="L1151" s="4" t="str">
        <f t="shared" si="1"/>
        <v>vartikarajput1@gmail.com918368489041</v>
      </c>
      <c r="M1151" s="10" t="s">
        <v>67</v>
      </c>
      <c r="N1151" s="4" t="b">
        <v>0</v>
      </c>
      <c r="O1151" s="4" t="str">
        <f>VLOOKUP(A1151,payment_ids!D:E,2,FALSE)</f>
        <v>upi</v>
      </c>
      <c r="P1151" s="4" t="s">
        <v>69</v>
      </c>
      <c r="Q1151" s="4" t="s">
        <v>4270</v>
      </c>
      <c r="R1151" s="4"/>
      <c r="S1151" s="12" t="s">
        <v>4033</v>
      </c>
      <c r="T1151" s="4" t="s">
        <v>2444</v>
      </c>
      <c r="U1151" s="4"/>
      <c r="V1151" s="4"/>
      <c r="W1151" s="5"/>
      <c r="X1151" s="4"/>
      <c r="Y1151" s="4"/>
      <c r="Z1151" s="5"/>
      <c r="AA1151" s="4"/>
      <c r="AB1151" s="4"/>
      <c r="AC1151" s="4"/>
      <c r="AD1151" s="5"/>
      <c r="AE1151" s="5"/>
      <c r="AF1151" s="5"/>
      <c r="AG1151" s="5"/>
      <c r="AH1151" s="5"/>
      <c r="AI1151" s="5"/>
      <c r="AJ1151" s="5"/>
      <c r="AK1151" s="5"/>
      <c r="AL1151" s="5"/>
    </row>
    <row r="1152">
      <c r="A1152" s="4" t="str">
        <f>VLOOKUP(L1152,payment_ids!C:D,2,FALSE)</f>
        <v>pay_HFiuN0mX1gFqKX</v>
      </c>
      <c r="B1152" s="4"/>
      <c r="C1152" s="4" t="s">
        <v>4030</v>
      </c>
      <c r="D1152" s="4">
        <v>49833.0</v>
      </c>
      <c r="E1152" s="5"/>
      <c r="F1152" s="4">
        <v>1.0</v>
      </c>
      <c r="G1152" s="4">
        <v>149.0</v>
      </c>
      <c r="H1152" s="4"/>
      <c r="I1152" s="4">
        <v>149.0</v>
      </c>
      <c r="J1152" s="4" t="s">
        <v>4140</v>
      </c>
      <c r="K1152" s="5">
        <f>+919416093035</f>
        <v>919416093035</v>
      </c>
      <c r="L1152" s="4" t="str">
        <f t="shared" si="1"/>
        <v>hardiksuneja@gmail.com919416093035</v>
      </c>
      <c r="M1152" s="10" t="s">
        <v>67</v>
      </c>
      <c r="N1152" s="4" t="b">
        <v>0</v>
      </c>
      <c r="O1152" s="4" t="str">
        <f>VLOOKUP(A1152,payment_ids!D:E,2,FALSE)</f>
        <v>upi</v>
      </c>
      <c r="P1152" s="4" t="s">
        <v>69</v>
      </c>
      <c r="Q1152" s="4" t="s">
        <v>4271</v>
      </c>
      <c r="R1152" s="4"/>
      <c r="S1152" s="12" t="s">
        <v>4033</v>
      </c>
      <c r="T1152" s="4" t="s">
        <v>2444</v>
      </c>
      <c r="U1152" s="4"/>
      <c r="V1152" s="4"/>
      <c r="W1152" s="5"/>
      <c r="X1152" s="4"/>
      <c r="Y1152" s="4"/>
      <c r="Z1152" s="5"/>
      <c r="AA1152" s="4"/>
      <c r="AB1152" s="4"/>
      <c r="AC1152" s="4"/>
      <c r="AD1152" s="5"/>
      <c r="AE1152" s="5"/>
      <c r="AF1152" s="5"/>
      <c r="AG1152" s="5"/>
      <c r="AH1152" s="5"/>
      <c r="AI1152" s="5"/>
      <c r="AJ1152" s="5"/>
      <c r="AK1152" s="5"/>
      <c r="AL1152" s="5"/>
    </row>
    <row r="1153">
      <c r="A1153" s="4" t="str">
        <f>VLOOKUP(L1153,payment_ids!C:D,2,FALSE)</f>
        <v>pay_HPlnna5zTtyTpr</v>
      </c>
      <c r="B1153" s="4"/>
      <c r="C1153" s="4" t="s">
        <v>4030</v>
      </c>
      <c r="D1153" s="4">
        <v>49833.0</v>
      </c>
      <c r="E1153" s="5"/>
      <c r="F1153" s="4">
        <v>3.0</v>
      </c>
      <c r="G1153" s="4">
        <v>299.0</v>
      </c>
      <c r="H1153" s="4"/>
      <c r="I1153" s="4">
        <v>299.0</v>
      </c>
      <c r="J1153" s="4" t="s">
        <v>4272</v>
      </c>
      <c r="K1153" s="5">
        <f>+919112104997</f>
        <v>919112104997</v>
      </c>
      <c r="L1153" s="4" t="str">
        <f t="shared" si="1"/>
        <v>tejaswini97.tm@gmail.com919112104997</v>
      </c>
      <c r="M1153" s="10" t="s">
        <v>67</v>
      </c>
      <c r="N1153" s="4" t="b">
        <v>0</v>
      </c>
      <c r="O1153" s="4" t="str">
        <f>VLOOKUP(A1153,payment_ids!D:E,2,FALSE)</f>
        <v>upi</v>
      </c>
      <c r="P1153" s="4" t="s">
        <v>69</v>
      </c>
      <c r="Q1153" s="4" t="s">
        <v>4273</v>
      </c>
      <c r="R1153" s="4"/>
      <c r="S1153" s="12" t="s">
        <v>4033</v>
      </c>
      <c r="T1153" s="4" t="s">
        <v>2444</v>
      </c>
      <c r="U1153" s="4"/>
      <c r="V1153" s="4"/>
      <c r="W1153" s="5"/>
      <c r="X1153" s="4"/>
      <c r="Y1153" s="4"/>
      <c r="Z1153" s="5"/>
      <c r="AA1153" s="4"/>
      <c r="AB1153" s="4"/>
      <c r="AC1153" s="4"/>
      <c r="AD1153" s="5"/>
      <c r="AE1153" s="5"/>
      <c r="AF1153" s="5"/>
      <c r="AG1153" s="5"/>
      <c r="AH1153" s="5"/>
      <c r="AI1153" s="5"/>
      <c r="AJ1153" s="5"/>
      <c r="AK1153" s="5"/>
      <c r="AL1153" s="5"/>
    </row>
    <row r="1154">
      <c r="A1154" s="4" t="str">
        <f>VLOOKUP(L1154,payment_ids!C:D,2,FALSE)</f>
        <v>pay_HPo4LbeorkMP5V</v>
      </c>
      <c r="B1154" s="4"/>
      <c r="C1154" s="4" t="s">
        <v>4030</v>
      </c>
      <c r="D1154" s="4">
        <v>49833.0</v>
      </c>
      <c r="E1154" s="5"/>
      <c r="F1154" s="4">
        <v>1.0</v>
      </c>
      <c r="G1154" s="4">
        <v>149.0</v>
      </c>
      <c r="H1154" s="4"/>
      <c r="I1154" s="4">
        <v>149.0</v>
      </c>
      <c r="J1154" s="4" t="s">
        <v>4274</v>
      </c>
      <c r="K1154" s="5">
        <f>+917009424413</f>
        <v>917009424413</v>
      </c>
      <c r="L1154" s="4" t="str">
        <f t="shared" si="1"/>
        <v>sehar1507@gmail.com917009424413</v>
      </c>
      <c r="M1154" s="10" t="s">
        <v>67</v>
      </c>
      <c r="N1154" s="4" t="b">
        <v>0</v>
      </c>
      <c r="O1154" s="4" t="str">
        <f>VLOOKUP(A1154,payment_ids!D:E,2,FALSE)</f>
        <v>upi</v>
      </c>
      <c r="P1154" s="4" t="s">
        <v>69</v>
      </c>
      <c r="Q1154" s="4" t="s">
        <v>4275</v>
      </c>
      <c r="R1154" s="4"/>
      <c r="S1154" s="12" t="s">
        <v>4033</v>
      </c>
      <c r="T1154" s="4" t="s">
        <v>2444</v>
      </c>
      <c r="U1154" s="4"/>
      <c r="V1154" s="4"/>
      <c r="W1154" s="5"/>
      <c r="X1154" s="4"/>
      <c r="Y1154" s="4"/>
      <c r="Z1154" s="5"/>
      <c r="AA1154" s="4"/>
      <c r="AB1154" s="4"/>
      <c r="AC1154" s="4"/>
      <c r="AD1154" s="5"/>
      <c r="AE1154" s="5"/>
      <c r="AF1154" s="5"/>
      <c r="AG1154" s="5"/>
      <c r="AH1154" s="5"/>
      <c r="AI1154" s="5"/>
      <c r="AJ1154" s="5"/>
      <c r="AK1154" s="5"/>
      <c r="AL1154" s="5"/>
    </row>
    <row r="1155">
      <c r="A1155" s="4" t="str">
        <f>VLOOKUP(L1155,payment_ids!C:D,2,FALSE)</f>
        <v>#N/A</v>
      </c>
      <c r="B1155" s="4"/>
      <c r="C1155" s="4" t="s">
        <v>4030</v>
      </c>
      <c r="D1155" s="4">
        <v>49833.0</v>
      </c>
      <c r="E1155" s="4"/>
      <c r="F1155" s="4">
        <v>3.0</v>
      </c>
      <c r="G1155" s="4">
        <v>499.0</v>
      </c>
      <c r="H1155" s="4"/>
      <c r="I1155" s="4">
        <v>499.0</v>
      </c>
      <c r="J1155" s="4" t="s">
        <v>2413</v>
      </c>
      <c r="K1155" s="6">
        <f>+919742048408</f>
        <v>919742048408</v>
      </c>
      <c r="L1155" s="4" t="str">
        <f t="shared" si="1"/>
        <v>ramsi2k@gmail.com919742048408</v>
      </c>
      <c r="M1155" s="10" t="s">
        <v>67</v>
      </c>
      <c r="N1155" s="4" t="b">
        <v>0</v>
      </c>
      <c r="O1155" s="4" t="str">
        <f>VLOOKUP(A1155,payment_ids!D:E,2,FALSE)</f>
        <v>#N/A</v>
      </c>
      <c r="P1155" s="4" t="s">
        <v>69</v>
      </c>
      <c r="Q1155" s="4" t="s">
        <v>4276</v>
      </c>
      <c r="R1155" s="4"/>
      <c r="S1155" s="12" t="s">
        <v>4033</v>
      </c>
      <c r="T1155" s="4"/>
      <c r="U1155" s="4"/>
      <c r="V1155" s="4"/>
      <c r="W1155" s="5"/>
      <c r="X1155" s="4"/>
      <c r="Y1155" s="4"/>
      <c r="Z1155" s="5"/>
      <c r="AA1155" s="4"/>
      <c r="AB1155" s="4"/>
      <c r="AC1155" s="4"/>
      <c r="AD1155" s="5"/>
      <c r="AE1155" s="5"/>
      <c r="AF1155" s="5"/>
      <c r="AG1155" s="5"/>
      <c r="AH1155" s="5"/>
      <c r="AI1155" s="5"/>
      <c r="AJ1155" s="5"/>
      <c r="AK1155" s="5"/>
      <c r="AL1155" s="5"/>
    </row>
    <row r="1156">
      <c r="A1156" s="4" t="str">
        <f>VLOOKUP(L1156,payment_ids!C:D,2,FALSE)</f>
        <v>pay_H6M18PniZZxhuH</v>
      </c>
      <c r="B1156" s="4"/>
      <c r="C1156" s="4" t="s">
        <v>4030</v>
      </c>
      <c r="D1156" s="4">
        <v>49833.0</v>
      </c>
      <c r="E1156" s="4"/>
      <c r="F1156" s="4">
        <v>1.0</v>
      </c>
      <c r="G1156" s="4">
        <v>199.0</v>
      </c>
      <c r="H1156" s="4"/>
      <c r="I1156" s="4">
        <v>199.0</v>
      </c>
      <c r="J1156" s="4" t="s">
        <v>2458</v>
      </c>
      <c r="K1156" s="6">
        <f>+919416173796</f>
        <v>919416173796</v>
      </c>
      <c r="L1156" s="4" t="str">
        <f t="shared" si="1"/>
        <v>mahirgupta98@gmail.com919416173796</v>
      </c>
      <c r="M1156" s="10" t="s">
        <v>67</v>
      </c>
      <c r="N1156" s="4" t="b">
        <v>0</v>
      </c>
      <c r="O1156" s="4" t="str">
        <f>VLOOKUP(A1156,payment_ids!D:E,2,FALSE)</f>
        <v>upi</v>
      </c>
      <c r="P1156" s="4" t="s">
        <v>69</v>
      </c>
      <c r="Q1156" s="11">
        <v>44352.680555555555</v>
      </c>
      <c r="R1156" s="4"/>
      <c r="S1156" s="12" t="s">
        <v>4033</v>
      </c>
      <c r="T1156" s="4"/>
      <c r="U1156" s="4"/>
      <c r="V1156" s="4"/>
      <c r="W1156" s="5"/>
      <c r="X1156" s="4"/>
      <c r="Y1156" s="4"/>
      <c r="Z1156" s="5"/>
      <c r="AA1156" s="4"/>
      <c r="AB1156" s="4"/>
      <c r="AC1156" s="4"/>
      <c r="AD1156" s="5"/>
      <c r="AE1156" s="5"/>
      <c r="AF1156" s="5"/>
      <c r="AG1156" s="5"/>
      <c r="AH1156" s="5"/>
      <c r="AI1156" s="5"/>
      <c r="AJ1156" s="5"/>
      <c r="AK1156" s="5"/>
      <c r="AL1156" s="5"/>
    </row>
    <row r="1157">
      <c r="A1157" s="4" t="str">
        <f>VLOOKUP(L1157,payment_ids!C:D,2,FALSE)</f>
        <v>pay_H8Hn3fI97dQXDl</v>
      </c>
      <c r="B1157" s="4"/>
      <c r="C1157" s="4" t="s">
        <v>4030</v>
      </c>
      <c r="D1157" s="4">
        <v>49833.0</v>
      </c>
      <c r="E1157" s="4"/>
      <c r="F1157" s="4">
        <v>1.0</v>
      </c>
      <c r="G1157" s="4">
        <v>199.0</v>
      </c>
      <c r="H1157" s="4"/>
      <c r="I1157" s="4">
        <v>199.0</v>
      </c>
      <c r="J1157" s="4" t="s">
        <v>4277</v>
      </c>
      <c r="K1157" s="6">
        <f>+917045001199</f>
        <v>917045001199</v>
      </c>
      <c r="L1157" s="4" t="str">
        <f t="shared" si="1"/>
        <v>jeevikamehta@gmail.com917045001199</v>
      </c>
      <c r="M1157" s="10" t="s">
        <v>67</v>
      </c>
      <c r="N1157" s="4" t="b">
        <v>0</v>
      </c>
      <c r="O1157" s="4" t="str">
        <f>VLOOKUP(A1157,payment_ids!D:E,2,FALSE)</f>
        <v>card</v>
      </c>
      <c r="P1157" s="4" t="s">
        <v>69</v>
      </c>
      <c r="Q1157" s="11">
        <v>44413.71805555555</v>
      </c>
      <c r="R1157" s="4"/>
      <c r="S1157" s="12" t="s">
        <v>4033</v>
      </c>
      <c r="T1157" s="4"/>
      <c r="U1157" s="4"/>
      <c r="V1157" s="4"/>
      <c r="W1157" s="5"/>
      <c r="X1157" s="4"/>
      <c r="Y1157" s="4"/>
      <c r="Z1157" s="5"/>
      <c r="AA1157" s="4"/>
      <c r="AB1157" s="4"/>
      <c r="AC1157" s="4"/>
      <c r="AD1157" s="5"/>
      <c r="AE1157" s="5"/>
      <c r="AF1157" s="5"/>
      <c r="AG1157" s="5"/>
      <c r="AH1157" s="5"/>
      <c r="AI1157" s="5"/>
      <c r="AJ1157" s="5"/>
      <c r="AK1157" s="5"/>
      <c r="AL1157" s="5"/>
    </row>
    <row r="1158">
      <c r="A1158" s="4" t="str">
        <f>VLOOKUP(L1158,payment_ids!C:D,2,FALSE)</f>
        <v>pay_H8hq4n96XSWwIq</v>
      </c>
      <c r="B1158" s="4"/>
      <c r="C1158" s="4" t="s">
        <v>4030</v>
      </c>
      <c r="D1158" s="4">
        <v>49833.0</v>
      </c>
      <c r="E1158" s="4"/>
      <c r="F1158" s="4">
        <v>3.0</v>
      </c>
      <c r="G1158" s="4">
        <v>299.0</v>
      </c>
      <c r="H1158" s="4"/>
      <c r="I1158" s="4">
        <v>299.0</v>
      </c>
      <c r="J1158" s="4" t="s">
        <v>4278</v>
      </c>
      <c r="K1158" s="6">
        <f>+919742733472</f>
        <v>919742733472</v>
      </c>
      <c r="L1158" s="4" t="str">
        <f t="shared" si="1"/>
        <v>sonalavarku@gmail.com919742733472</v>
      </c>
      <c r="M1158" s="10" t="s">
        <v>67</v>
      </c>
      <c r="N1158" s="4" t="b">
        <v>0</v>
      </c>
      <c r="O1158" s="4" t="str">
        <f>VLOOKUP(A1158,payment_ids!D:E,2,FALSE)</f>
        <v>upi</v>
      </c>
      <c r="P1158" s="4" t="s">
        <v>69</v>
      </c>
      <c r="Q1158" s="11">
        <v>44444.78055555555</v>
      </c>
      <c r="R1158" s="4"/>
      <c r="S1158" s="12" t="s">
        <v>4033</v>
      </c>
      <c r="T1158" s="4"/>
      <c r="U1158" s="4"/>
      <c r="V1158" s="4"/>
      <c r="W1158" s="5"/>
      <c r="X1158" s="4"/>
      <c r="Y1158" s="4"/>
      <c r="Z1158" s="5"/>
      <c r="AA1158" s="4"/>
      <c r="AB1158" s="4"/>
      <c r="AC1158" s="4"/>
      <c r="AD1158" s="5"/>
      <c r="AE1158" s="5"/>
      <c r="AF1158" s="5"/>
      <c r="AG1158" s="5"/>
      <c r="AH1158" s="5"/>
      <c r="AI1158" s="5"/>
      <c r="AJ1158" s="5"/>
      <c r="AK1158" s="5"/>
      <c r="AL1158" s="5"/>
    </row>
    <row r="1159">
      <c r="A1159" s="4" t="str">
        <f>VLOOKUP(L1159,payment_ids!C:D,2,FALSE)</f>
        <v>pay_H8zXdIpEhYrK1z</v>
      </c>
      <c r="B1159" s="4"/>
      <c r="C1159" s="4" t="s">
        <v>4030</v>
      </c>
      <c r="D1159" s="4">
        <v>49833.0</v>
      </c>
      <c r="E1159" s="4"/>
      <c r="F1159" s="4">
        <v>1.0</v>
      </c>
      <c r="G1159" s="4">
        <v>199.0</v>
      </c>
      <c r="H1159" s="4"/>
      <c r="I1159" s="4">
        <v>199.0</v>
      </c>
      <c r="J1159" s="4" t="s">
        <v>4279</v>
      </c>
      <c r="K1159" s="6">
        <f>+917995154137</f>
        <v>917995154137</v>
      </c>
      <c r="L1159" s="4" t="str">
        <f t="shared" si="1"/>
        <v>asrithagrace123@gmail.com917995154137</v>
      </c>
      <c r="M1159" s="10" t="s">
        <v>67</v>
      </c>
      <c r="N1159" s="4" t="b">
        <v>0</v>
      </c>
      <c r="O1159" s="4" t="str">
        <f>VLOOKUP(A1159,payment_ids!D:E,2,FALSE)</f>
        <v>upi</v>
      </c>
      <c r="P1159" s="4" t="s">
        <v>69</v>
      </c>
      <c r="Q1159" s="11">
        <v>44474.501388888886</v>
      </c>
      <c r="R1159" s="4"/>
      <c r="S1159" s="12" t="s">
        <v>4033</v>
      </c>
      <c r="T1159" s="4"/>
      <c r="U1159" s="4"/>
      <c r="V1159" s="4"/>
      <c r="W1159" s="5"/>
      <c r="X1159" s="4"/>
      <c r="Y1159" s="4"/>
      <c r="Z1159" s="5"/>
      <c r="AA1159" s="4"/>
      <c r="AB1159" s="4"/>
      <c r="AC1159" s="4"/>
      <c r="AD1159" s="5"/>
      <c r="AE1159" s="5"/>
      <c r="AF1159" s="5"/>
      <c r="AG1159" s="5"/>
      <c r="AH1159" s="5"/>
      <c r="AI1159" s="5"/>
      <c r="AJ1159" s="5"/>
      <c r="AK1159" s="5"/>
      <c r="AL1159" s="5"/>
    </row>
    <row r="1160">
      <c r="A1160" s="4" t="str">
        <f>VLOOKUP(L1160,payment_ids!C:D,2,FALSE)</f>
        <v>pay_H9Tv1DWM9lqjUn</v>
      </c>
      <c r="B1160" s="4"/>
      <c r="C1160" s="4" t="s">
        <v>4030</v>
      </c>
      <c r="D1160" s="4">
        <v>49833.0</v>
      </c>
      <c r="E1160" s="4"/>
      <c r="F1160" s="4">
        <v>3.0</v>
      </c>
      <c r="G1160" s="4">
        <v>349.0</v>
      </c>
      <c r="H1160" s="4"/>
      <c r="I1160" s="4">
        <v>349.0</v>
      </c>
      <c r="J1160" s="4" t="s">
        <v>1086</v>
      </c>
      <c r="K1160" s="6">
        <f>+917978295558</f>
        <v>917978295558</v>
      </c>
      <c r="L1160" s="4" t="str">
        <f t="shared" si="1"/>
        <v>sulagna.kaushik@gmail.com917978295558</v>
      </c>
      <c r="M1160" s="10" t="s">
        <v>67</v>
      </c>
      <c r="N1160" s="4" t="b">
        <v>0</v>
      </c>
      <c r="O1160" s="4" t="str">
        <f>VLOOKUP(A1160,payment_ids!D:E,2,FALSE)</f>
        <v>card</v>
      </c>
      <c r="P1160" s="4" t="s">
        <v>69</v>
      </c>
      <c r="Q1160" s="11">
        <v>44505.739583333336</v>
      </c>
      <c r="R1160" s="4"/>
      <c r="S1160" s="12" t="s">
        <v>4033</v>
      </c>
      <c r="T1160" s="4"/>
      <c r="U1160" s="4"/>
      <c r="V1160" s="4"/>
      <c r="W1160" s="5"/>
      <c r="X1160" s="4"/>
      <c r="Y1160" s="4"/>
      <c r="Z1160" s="5"/>
      <c r="AA1160" s="4"/>
      <c r="AB1160" s="4"/>
      <c r="AC1160" s="4"/>
      <c r="AD1160" s="5"/>
      <c r="AE1160" s="5"/>
      <c r="AF1160" s="5"/>
      <c r="AG1160" s="5"/>
      <c r="AH1160" s="5"/>
      <c r="AI1160" s="5"/>
      <c r="AJ1160" s="5"/>
      <c r="AK1160" s="5"/>
      <c r="AL1160" s="5"/>
    </row>
    <row r="1161">
      <c r="A1161" s="4" t="str">
        <f>VLOOKUP(L1161,payment_ids!C:D,2,FALSE)</f>
        <v>pay_H9pKaK7TBOk8te</v>
      </c>
      <c r="B1161" s="4"/>
      <c r="C1161" s="4" t="s">
        <v>4030</v>
      </c>
      <c r="D1161" s="4">
        <v>49833.0</v>
      </c>
      <c r="E1161" s="4"/>
      <c r="F1161" s="4">
        <v>3.0</v>
      </c>
      <c r="G1161" s="4">
        <v>199.0</v>
      </c>
      <c r="H1161" s="4"/>
      <c r="I1161" s="4">
        <v>199.0</v>
      </c>
      <c r="J1161" s="4" t="s">
        <v>4280</v>
      </c>
      <c r="K1161" s="6">
        <f>+919167106193</f>
        <v>919167106193</v>
      </c>
      <c r="L1161" s="4" t="str">
        <f t="shared" si="1"/>
        <v>nandanijaiswal193@gmail.com919167106193</v>
      </c>
      <c r="M1161" s="10" t="s">
        <v>67</v>
      </c>
      <c r="N1161" s="4" t="b">
        <v>0</v>
      </c>
      <c r="O1161" s="4" t="str">
        <f>VLOOKUP(A1161,payment_ids!D:E,2,FALSE)</f>
        <v>upi</v>
      </c>
      <c r="P1161" s="4" t="s">
        <v>69</v>
      </c>
      <c r="Q1161" s="11">
        <v>44535.6125</v>
      </c>
      <c r="R1161" s="4"/>
      <c r="S1161" s="12" t="s">
        <v>4033</v>
      </c>
      <c r="T1161" s="4"/>
      <c r="U1161" s="4"/>
      <c r="V1161" s="4"/>
      <c r="W1161" s="5"/>
      <c r="X1161" s="4"/>
      <c r="Y1161" s="4"/>
      <c r="Z1161" s="5"/>
      <c r="AA1161" s="4"/>
      <c r="AB1161" s="4"/>
      <c r="AC1161" s="4"/>
      <c r="AD1161" s="5"/>
      <c r="AE1161" s="5"/>
      <c r="AF1161" s="5"/>
      <c r="AG1161" s="5"/>
      <c r="AH1161" s="5"/>
      <c r="AI1161" s="5"/>
      <c r="AJ1161" s="5"/>
      <c r="AK1161" s="5"/>
      <c r="AL1161" s="5"/>
    </row>
    <row r="1162">
      <c r="A1162" s="4" t="str">
        <f>VLOOKUP(L1162,payment_ids!C:D,2,FALSE)</f>
        <v>pay_HD2mrtFZA3eX76</v>
      </c>
      <c r="B1162" s="4"/>
      <c r="C1162" s="4" t="s">
        <v>4281</v>
      </c>
      <c r="D1162" s="4">
        <v>50079.0</v>
      </c>
      <c r="E1162" s="4"/>
      <c r="F1162" s="4">
        <v>1.0</v>
      </c>
      <c r="G1162" s="4">
        <v>99.0</v>
      </c>
      <c r="H1162" s="4"/>
      <c r="I1162" s="4">
        <v>99.0</v>
      </c>
      <c r="J1162" s="4" t="s">
        <v>4282</v>
      </c>
      <c r="K1162" s="6">
        <f>+919006060531</f>
        <v>919006060531</v>
      </c>
      <c r="L1162" s="4" t="str">
        <f t="shared" si="1"/>
        <v>rahulraj6028@gmail.com919006060531</v>
      </c>
      <c r="M1162" s="10" t="s">
        <v>67</v>
      </c>
      <c r="N1162" s="4" t="b">
        <v>0</v>
      </c>
      <c r="O1162" s="4" t="str">
        <f>VLOOKUP(A1162,payment_ids!D:E,2,FALSE)</f>
        <v>upi</v>
      </c>
      <c r="P1162" s="4" t="s">
        <v>69</v>
      </c>
      <c r="Q1162" s="4" t="s">
        <v>4283</v>
      </c>
      <c r="R1162" s="4"/>
      <c r="S1162" s="12" t="s">
        <v>4284</v>
      </c>
      <c r="T1162" s="4"/>
      <c r="U1162" s="4"/>
      <c r="V1162" s="4"/>
      <c r="W1162" s="5"/>
      <c r="X1162" s="4"/>
      <c r="Y1162" s="4"/>
      <c r="Z1162" s="5"/>
      <c r="AA1162" s="4"/>
      <c r="AB1162" s="4"/>
      <c r="AC1162" s="4"/>
      <c r="AD1162" s="5"/>
      <c r="AE1162" s="5"/>
      <c r="AF1162" s="5"/>
      <c r="AG1162" s="5"/>
      <c r="AH1162" s="5"/>
      <c r="AI1162" s="5"/>
      <c r="AJ1162" s="5"/>
      <c r="AK1162" s="5"/>
      <c r="AL1162" s="5"/>
    </row>
    <row r="1163">
      <c r="A1163" s="4" t="str">
        <f>VLOOKUP(L1163,payment_ids!C:D,2,FALSE)</f>
        <v>pay_HDGU9kZCfeHAZG</v>
      </c>
      <c r="B1163" s="4"/>
      <c r="C1163" s="4" t="s">
        <v>4281</v>
      </c>
      <c r="D1163" s="4">
        <v>50079.0</v>
      </c>
      <c r="E1163" s="4"/>
      <c r="F1163" s="4">
        <v>1.0</v>
      </c>
      <c r="G1163" s="4">
        <v>99.0</v>
      </c>
      <c r="H1163" s="4"/>
      <c r="I1163" s="4">
        <v>99.0</v>
      </c>
      <c r="J1163" s="4" t="s">
        <v>1078</v>
      </c>
      <c r="K1163" s="6">
        <f>+919182641223</f>
        <v>919182641223</v>
      </c>
      <c r="L1163" s="4" t="str">
        <f t="shared" si="1"/>
        <v>mdyousufpsy@gmail.com919182641223</v>
      </c>
      <c r="M1163" s="10" t="s">
        <v>67</v>
      </c>
      <c r="N1163" s="4" t="b">
        <v>0</v>
      </c>
      <c r="O1163" s="4" t="str">
        <f>VLOOKUP(A1163,payment_ids!D:E,2,FALSE)</f>
        <v>upi</v>
      </c>
      <c r="P1163" s="4" t="s">
        <v>69</v>
      </c>
      <c r="Q1163" s="4" t="s">
        <v>4285</v>
      </c>
      <c r="R1163" s="4"/>
      <c r="S1163" s="12" t="s">
        <v>4284</v>
      </c>
      <c r="T1163" s="4"/>
      <c r="U1163" s="4"/>
      <c r="V1163" s="4"/>
      <c r="W1163" s="5"/>
      <c r="X1163" s="4"/>
      <c r="Y1163" s="4"/>
      <c r="Z1163" s="5"/>
      <c r="AA1163" s="4"/>
      <c r="AB1163" s="4"/>
      <c r="AC1163" s="4"/>
      <c r="AD1163" s="5"/>
      <c r="AE1163" s="5"/>
      <c r="AF1163" s="5"/>
      <c r="AG1163" s="5"/>
      <c r="AH1163" s="5"/>
      <c r="AI1163" s="5"/>
      <c r="AJ1163" s="5"/>
      <c r="AK1163" s="5"/>
      <c r="AL1163" s="5"/>
    </row>
    <row r="1164">
      <c r="A1164" s="4" t="str">
        <f>VLOOKUP(L1164,payment_ids!C:D,2,FALSE)</f>
        <v>pay_HDLxc3cp6VfpMC</v>
      </c>
      <c r="B1164" s="4"/>
      <c r="C1164" s="4" t="s">
        <v>4281</v>
      </c>
      <c r="D1164" s="4">
        <v>50079.0</v>
      </c>
      <c r="E1164" s="4"/>
      <c r="F1164" s="4">
        <v>1.0</v>
      </c>
      <c r="G1164" s="4">
        <v>99.0</v>
      </c>
      <c r="H1164" s="4"/>
      <c r="I1164" s="4">
        <v>99.0</v>
      </c>
      <c r="J1164" s="4" t="s">
        <v>4286</v>
      </c>
      <c r="K1164" s="6">
        <f>+919718686900</f>
        <v>919718686900</v>
      </c>
      <c r="L1164" s="4" t="str">
        <f t="shared" si="1"/>
        <v>deepakmukundan2012@gmail.com919718686900</v>
      </c>
      <c r="M1164" s="10" t="s">
        <v>67</v>
      </c>
      <c r="N1164" s="4" t="b">
        <v>0</v>
      </c>
      <c r="O1164" s="4" t="str">
        <f>VLOOKUP(A1164,payment_ids!D:E,2,FALSE)</f>
        <v>upi</v>
      </c>
      <c r="P1164" s="4" t="s">
        <v>69</v>
      </c>
      <c r="Q1164" s="4" t="s">
        <v>4287</v>
      </c>
      <c r="R1164" s="4"/>
      <c r="S1164" s="12" t="s">
        <v>4284</v>
      </c>
      <c r="T1164" s="4"/>
      <c r="U1164" s="4"/>
      <c r="V1164" s="4"/>
      <c r="W1164" s="5"/>
      <c r="X1164" s="4"/>
      <c r="Y1164" s="4"/>
      <c r="Z1164" s="5"/>
      <c r="AA1164" s="4"/>
      <c r="AB1164" s="4"/>
      <c r="AC1164" s="4"/>
      <c r="AD1164" s="5"/>
      <c r="AE1164" s="5"/>
      <c r="AF1164" s="5"/>
      <c r="AG1164" s="5"/>
      <c r="AH1164" s="5"/>
      <c r="AI1164" s="5"/>
      <c r="AJ1164" s="5"/>
      <c r="AK1164" s="5"/>
      <c r="AL1164" s="5"/>
    </row>
    <row r="1165">
      <c r="A1165" s="4" t="str">
        <f>VLOOKUP(L1165,payment_ids!C:D,2,FALSE)</f>
        <v>pay_HDjSbDEU36wyaU</v>
      </c>
      <c r="B1165" s="4"/>
      <c r="C1165" s="4" t="s">
        <v>4281</v>
      </c>
      <c r="D1165" s="4">
        <v>50079.0</v>
      </c>
      <c r="E1165" s="4"/>
      <c r="F1165" s="4">
        <v>1.0</v>
      </c>
      <c r="G1165" s="4">
        <v>99.0</v>
      </c>
      <c r="H1165" s="4"/>
      <c r="I1165" s="4">
        <v>99.0</v>
      </c>
      <c r="J1165" s="4" t="s">
        <v>4288</v>
      </c>
      <c r="K1165" s="6">
        <f>+918719838363</f>
        <v>918719838363</v>
      </c>
      <c r="L1165" s="4" t="str">
        <f t="shared" si="1"/>
        <v>rajshreerajoria897@gmail.com918719838363</v>
      </c>
      <c r="M1165" s="10" t="s">
        <v>67</v>
      </c>
      <c r="N1165" s="4" t="b">
        <v>0</v>
      </c>
      <c r="O1165" s="4" t="str">
        <f>VLOOKUP(A1165,payment_ids!D:E,2,FALSE)</f>
        <v>upi</v>
      </c>
      <c r="P1165" s="4" t="s">
        <v>69</v>
      </c>
      <c r="Q1165" s="4" t="s">
        <v>4289</v>
      </c>
      <c r="R1165" s="4"/>
      <c r="S1165" s="12" t="s">
        <v>4284</v>
      </c>
      <c r="T1165" s="4"/>
      <c r="U1165" s="4"/>
      <c r="V1165" s="4"/>
      <c r="W1165" s="5"/>
      <c r="X1165" s="4"/>
      <c r="Y1165" s="4"/>
      <c r="Z1165" s="5"/>
      <c r="AA1165" s="4"/>
      <c r="AB1165" s="4"/>
      <c r="AC1165" s="4"/>
      <c r="AD1165" s="5"/>
      <c r="AE1165" s="5"/>
      <c r="AF1165" s="5"/>
      <c r="AG1165" s="5"/>
      <c r="AH1165" s="5"/>
      <c r="AI1165" s="5"/>
      <c r="AJ1165" s="5"/>
      <c r="AK1165" s="5"/>
      <c r="AL1165" s="5"/>
    </row>
    <row r="1166">
      <c r="A1166" s="4" t="str">
        <f>VLOOKUP(L1166,payment_ids!C:D,2,FALSE)</f>
        <v>pay_HDo25sgeD9rxS3</v>
      </c>
      <c r="B1166" s="4"/>
      <c r="C1166" s="4" t="s">
        <v>4281</v>
      </c>
      <c r="D1166" s="4">
        <v>50079.0</v>
      </c>
      <c r="E1166" s="4"/>
      <c r="F1166" s="4">
        <v>1.0</v>
      </c>
      <c r="G1166" s="4">
        <v>99.0</v>
      </c>
      <c r="H1166" s="4"/>
      <c r="I1166" s="4">
        <v>99.0</v>
      </c>
      <c r="J1166" s="4" t="s">
        <v>4290</v>
      </c>
      <c r="K1166" s="6">
        <f>+919989948146</f>
        <v>919989948146</v>
      </c>
      <c r="L1166" s="4" t="str">
        <f t="shared" si="1"/>
        <v>ammacare.pani@gmail.com919989948146</v>
      </c>
      <c r="M1166" s="10" t="s">
        <v>67</v>
      </c>
      <c r="N1166" s="4" t="b">
        <v>0</v>
      </c>
      <c r="O1166" s="4" t="str">
        <f>VLOOKUP(A1166,payment_ids!D:E,2,FALSE)</f>
        <v>card</v>
      </c>
      <c r="P1166" s="4" t="s">
        <v>69</v>
      </c>
      <c r="Q1166" s="4" t="s">
        <v>4291</v>
      </c>
      <c r="R1166" s="4"/>
      <c r="S1166" s="12" t="s">
        <v>4284</v>
      </c>
      <c r="T1166" s="4"/>
      <c r="U1166" s="4"/>
      <c r="V1166" s="4"/>
      <c r="W1166" s="5"/>
      <c r="X1166" s="4"/>
      <c r="Y1166" s="4"/>
      <c r="Z1166" s="5"/>
      <c r="AA1166" s="4"/>
      <c r="AB1166" s="4"/>
      <c r="AC1166" s="4"/>
      <c r="AD1166" s="5"/>
      <c r="AE1166" s="5"/>
      <c r="AF1166" s="5"/>
      <c r="AG1166" s="5"/>
      <c r="AH1166" s="5"/>
      <c r="AI1166" s="5"/>
      <c r="AJ1166" s="5"/>
      <c r="AK1166" s="5"/>
      <c r="AL1166" s="5"/>
    </row>
    <row r="1167">
      <c r="A1167" s="4" t="str">
        <f>VLOOKUP(L1167,payment_ids!C:D,2,FALSE)</f>
        <v>pay_H8k2qERpMIkRZa</v>
      </c>
      <c r="B1167" s="4"/>
      <c r="C1167" s="4" t="s">
        <v>4281</v>
      </c>
      <c r="D1167" s="4">
        <v>50079.0</v>
      </c>
      <c r="E1167" s="4"/>
      <c r="F1167" s="4">
        <v>1.0</v>
      </c>
      <c r="G1167" s="4">
        <v>199.0</v>
      </c>
      <c r="H1167" s="4"/>
      <c r="I1167" s="4">
        <v>199.0</v>
      </c>
      <c r="J1167" s="4" t="s">
        <v>4292</v>
      </c>
      <c r="K1167" s="6">
        <f>+919953295925</f>
        <v>919953295925</v>
      </c>
      <c r="L1167" s="4" t="str">
        <f t="shared" si="1"/>
        <v>sanya.sabharwal@gmail.com919953295925</v>
      </c>
      <c r="M1167" s="10" t="s">
        <v>67</v>
      </c>
      <c r="N1167" s="4" t="b">
        <v>0</v>
      </c>
      <c r="O1167" s="4" t="str">
        <f>VLOOKUP(A1167,payment_ids!D:E,2,FALSE)</f>
        <v>upi</v>
      </c>
      <c r="P1167" s="4" t="s">
        <v>69</v>
      </c>
      <c r="Q1167" s="4" t="s">
        <v>4293</v>
      </c>
      <c r="R1167" s="4"/>
      <c r="S1167" s="12" t="s">
        <v>4284</v>
      </c>
      <c r="T1167" s="4"/>
      <c r="U1167" s="4"/>
      <c r="V1167" s="4"/>
      <c r="W1167" s="5"/>
      <c r="X1167" s="4"/>
      <c r="Y1167" s="4"/>
      <c r="Z1167" s="5"/>
      <c r="AA1167" s="4"/>
      <c r="AB1167" s="4"/>
      <c r="AC1167" s="4"/>
      <c r="AD1167" s="5"/>
      <c r="AE1167" s="5"/>
      <c r="AF1167" s="5"/>
      <c r="AG1167" s="5"/>
      <c r="AH1167" s="5"/>
      <c r="AI1167" s="5"/>
      <c r="AJ1167" s="5"/>
      <c r="AK1167" s="5"/>
      <c r="AL1167" s="5"/>
    </row>
    <row r="1168">
      <c r="A1168" s="4" t="str">
        <f>VLOOKUP(L1168,payment_ids!C:D,2,FALSE)</f>
        <v>pay_HE95E0ciKQFyZv</v>
      </c>
      <c r="B1168" s="4"/>
      <c r="C1168" s="4" t="s">
        <v>4281</v>
      </c>
      <c r="D1168" s="4">
        <v>50079.0</v>
      </c>
      <c r="E1168" s="4"/>
      <c r="F1168" s="4">
        <v>1.0</v>
      </c>
      <c r="G1168" s="4">
        <v>99.0</v>
      </c>
      <c r="H1168" s="4"/>
      <c r="I1168" s="4">
        <v>99.0</v>
      </c>
      <c r="J1168" s="4" t="s">
        <v>4294</v>
      </c>
      <c r="K1168" s="6">
        <f>+919325873738</f>
        <v>919325873738</v>
      </c>
      <c r="L1168" s="4" t="str">
        <f t="shared" si="1"/>
        <v>luke.desouza7@gmail.com919325873738</v>
      </c>
      <c r="M1168" s="10" t="s">
        <v>67</v>
      </c>
      <c r="N1168" s="4" t="b">
        <v>0</v>
      </c>
      <c r="O1168" s="4" t="str">
        <f>VLOOKUP(A1168,payment_ids!D:E,2,FALSE)</f>
        <v>upi</v>
      </c>
      <c r="P1168" s="4" t="s">
        <v>69</v>
      </c>
      <c r="Q1168" s="4" t="s">
        <v>4295</v>
      </c>
      <c r="R1168" s="4"/>
      <c r="S1168" s="12" t="s">
        <v>4284</v>
      </c>
      <c r="T1168" s="4"/>
      <c r="U1168" s="4"/>
      <c r="V1168" s="4"/>
      <c r="W1168" s="5"/>
      <c r="X1168" s="4"/>
      <c r="Y1168" s="4"/>
      <c r="Z1168" s="5"/>
      <c r="AA1168" s="4"/>
      <c r="AB1168" s="4"/>
      <c r="AC1168" s="4"/>
      <c r="AD1168" s="5"/>
      <c r="AE1168" s="5"/>
      <c r="AF1168" s="5"/>
      <c r="AG1168" s="5"/>
      <c r="AH1168" s="5"/>
      <c r="AI1168" s="5"/>
      <c r="AJ1168" s="5"/>
      <c r="AK1168" s="5"/>
      <c r="AL1168" s="5"/>
    </row>
    <row r="1169">
      <c r="A1169" s="4" t="str">
        <f>VLOOKUP(L1169,payment_ids!C:D,2,FALSE)</f>
        <v>pay_HEcdRPj5Se2fgb</v>
      </c>
      <c r="B1169" s="4"/>
      <c r="C1169" s="4" t="s">
        <v>4281</v>
      </c>
      <c r="D1169" s="4">
        <v>50079.0</v>
      </c>
      <c r="E1169" s="4"/>
      <c r="F1169" s="4">
        <v>1.0</v>
      </c>
      <c r="G1169" s="4">
        <v>99.0</v>
      </c>
      <c r="H1169" s="4"/>
      <c r="I1169" s="4">
        <v>99.0</v>
      </c>
      <c r="J1169" s="4" t="s">
        <v>4296</v>
      </c>
      <c r="K1169" s="6">
        <f>+919411463675</f>
        <v>919411463675</v>
      </c>
      <c r="L1169" s="4" t="str">
        <f t="shared" si="1"/>
        <v>somyayadavsy2001@gmail.com919411463675</v>
      </c>
      <c r="M1169" s="10" t="s">
        <v>67</v>
      </c>
      <c r="N1169" s="4" t="b">
        <v>0</v>
      </c>
      <c r="O1169" s="4" t="str">
        <f>VLOOKUP(A1169,payment_ids!D:E,2,FALSE)</f>
        <v>upi</v>
      </c>
      <c r="P1169" s="4" t="s">
        <v>69</v>
      </c>
      <c r="Q1169" s="4" t="s">
        <v>4297</v>
      </c>
      <c r="R1169" s="4"/>
      <c r="S1169" s="12" t="s">
        <v>4284</v>
      </c>
      <c r="T1169" s="4"/>
      <c r="U1169" s="4"/>
      <c r="V1169" s="4"/>
      <c r="W1169" s="5"/>
      <c r="X1169" s="4"/>
      <c r="Y1169" s="4"/>
      <c r="Z1169" s="5"/>
      <c r="AA1169" s="4"/>
      <c r="AB1169" s="4"/>
      <c r="AC1169" s="4"/>
      <c r="AD1169" s="5"/>
      <c r="AE1169" s="5"/>
      <c r="AF1169" s="5"/>
      <c r="AG1169" s="5"/>
      <c r="AH1169" s="5"/>
      <c r="AI1169" s="5"/>
      <c r="AJ1169" s="5"/>
      <c r="AK1169" s="5"/>
      <c r="AL1169" s="5"/>
    </row>
    <row r="1170">
      <c r="A1170" s="4" t="str">
        <f>VLOOKUP(L1170,payment_ids!C:D,2,FALSE)</f>
        <v>pay_HEeXNxng5IYM2G</v>
      </c>
      <c r="B1170" s="4"/>
      <c r="C1170" s="4" t="s">
        <v>4281</v>
      </c>
      <c r="D1170" s="4">
        <v>50079.0</v>
      </c>
      <c r="E1170" s="4"/>
      <c r="F1170" s="4">
        <v>1.0</v>
      </c>
      <c r="G1170" s="4">
        <v>199.0</v>
      </c>
      <c r="H1170" s="4"/>
      <c r="I1170" s="4">
        <v>199.0</v>
      </c>
      <c r="J1170" s="4" t="s">
        <v>4298</v>
      </c>
      <c r="K1170" s="6">
        <f>+917799082763</f>
        <v>917799082763</v>
      </c>
      <c r="L1170" s="4" t="str">
        <f t="shared" si="1"/>
        <v>poojitha9.siripurapu@gmail.com917799082763</v>
      </c>
      <c r="M1170" s="10" t="s">
        <v>67</v>
      </c>
      <c r="N1170" s="4" t="b">
        <v>0</v>
      </c>
      <c r="O1170" s="4" t="str">
        <f>VLOOKUP(A1170,payment_ids!D:E,2,FALSE)</f>
        <v>card</v>
      </c>
      <c r="P1170" s="4" t="s">
        <v>69</v>
      </c>
      <c r="Q1170" s="4" t="s">
        <v>4299</v>
      </c>
      <c r="R1170" s="4"/>
      <c r="S1170" s="12" t="s">
        <v>4284</v>
      </c>
      <c r="T1170" s="4"/>
      <c r="U1170" s="4"/>
      <c r="V1170" s="4"/>
      <c r="W1170" s="5"/>
      <c r="X1170" s="4"/>
      <c r="Y1170" s="4"/>
      <c r="Z1170" s="5"/>
      <c r="AA1170" s="4"/>
      <c r="AB1170" s="4"/>
      <c r="AC1170" s="4"/>
      <c r="AD1170" s="5"/>
      <c r="AE1170" s="5"/>
      <c r="AF1170" s="5"/>
      <c r="AG1170" s="5"/>
      <c r="AH1170" s="5"/>
      <c r="AI1170" s="5"/>
      <c r="AJ1170" s="5"/>
      <c r="AK1170" s="5"/>
      <c r="AL1170" s="5"/>
    </row>
    <row r="1171">
      <c r="A1171" s="4" t="str">
        <f>VLOOKUP(L1171,payment_ids!C:D,2,FALSE)</f>
        <v>pay_H9tt17iZr281dm</v>
      </c>
      <c r="B1171" s="4"/>
      <c r="C1171" s="4" t="s">
        <v>4281</v>
      </c>
      <c r="D1171" s="4">
        <v>50079.0</v>
      </c>
      <c r="E1171" s="4"/>
      <c r="F1171" s="4">
        <v>1.0</v>
      </c>
      <c r="G1171" s="4">
        <v>99.0</v>
      </c>
      <c r="H1171" s="4"/>
      <c r="I1171" s="4">
        <v>99.0</v>
      </c>
      <c r="J1171" s="4" t="s">
        <v>4300</v>
      </c>
      <c r="K1171" s="6">
        <f>+917715861705</f>
        <v>917715861705</v>
      </c>
      <c r="L1171" s="4" t="str">
        <f t="shared" si="1"/>
        <v>vksndhle@gmail.com917715861705</v>
      </c>
      <c r="M1171" s="10" t="s">
        <v>67</v>
      </c>
      <c r="N1171" s="4" t="b">
        <v>0</v>
      </c>
      <c r="O1171" s="4" t="str">
        <f>VLOOKUP(A1171,payment_ids!D:E,2,FALSE)</f>
        <v>upi</v>
      </c>
      <c r="P1171" s="4" t="s">
        <v>69</v>
      </c>
      <c r="Q1171" s="4" t="s">
        <v>4301</v>
      </c>
      <c r="R1171" s="4"/>
      <c r="S1171" s="12" t="s">
        <v>4284</v>
      </c>
      <c r="T1171" s="4"/>
      <c r="U1171" s="4"/>
      <c r="V1171" s="4"/>
      <c r="W1171" s="5"/>
      <c r="X1171" s="4"/>
      <c r="Y1171" s="4"/>
      <c r="Z1171" s="5"/>
      <c r="AA1171" s="4"/>
      <c r="AB1171" s="4"/>
      <c r="AC1171" s="4"/>
      <c r="AD1171" s="5"/>
      <c r="AE1171" s="5"/>
      <c r="AF1171" s="5"/>
      <c r="AG1171" s="5"/>
      <c r="AH1171" s="5"/>
      <c r="AI1171" s="5"/>
      <c r="AJ1171" s="5"/>
      <c r="AK1171" s="5"/>
      <c r="AL1171" s="5"/>
    </row>
    <row r="1172">
      <c r="A1172" s="4" t="str">
        <f>VLOOKUP(L1172,payment_ids!C:D,2,FALSE)</f>
        <v>pay_HFC07Nnm4V1wF6</v>
      </c>
      <c r="B1172" s="4"/>
      <c r="C1172" s="4" t="s">
        <v>4281</v>
      </c>
      <c r="D1172" s="4">
        <v>50079.0</v>
      </c>
      <c r="E1172" s="5"/>
      <c r="F1172" s="4">
        <v>1.0</v>
      </c>
      <c r="G1172" s="4">
        <v>99.0</v>
      </c>
      <c r="H1172" s="4"/>
      <c r="I1172" s="4">
        <v>99.0</v>
      </c>
      <c r="J1172" s="4" t="s">
        <v>4302</v>
      </c>
      <c r="K1172" s="5">
        <f>+919773645273</f>
        <v>919773645273</v>
      </c>
      <c r="L1172" s="4" t="str">
        <f t="shared" si="1"/>
        <v>soharehman7838@gmail.com919773645273</v>
      </c>
      <c r="M1172" s="10" t="s">
        <v>67</v>
      </c>
      <c r="N1172" s="4" t="b">
        <v>0</v>
      </c>
      <c r="O1172" s="4" t="str">
        <f>VLOOKUP(A1172,payment_ids!D:E,2,FALSE)</f>
        <v>upi</v>
      </c>
      <c r="P1172" s="4" t="s">
        <v>69</v>
      </c>
      <c r="Q1172" s="4" t="s">
        <v>4303</v>
      </c>
      <c r="R1172" s="4"/>
      <c r="S1172" s="12" t="s">
        <v>4284</v>
      </c>
      <c r="T1172" s="5"/>
      <c r="U1172" s="4"/>
      <c r="V1172" s="4"/>
      <c r="W1172" s="5"/>
      <c r="X1172" s="4"/>
      <c r="Y1172" s="4"/>
      <c r="Z1172" s="5"/>
      <c r="AA1172" s="4"/>
      <c r="AB1172" s="4"/>
      <c r="AC1172" s="4"/>
      <c r="AD1172" s="5"/>
      <c r="AE1172" s="5"/>
      <c r="AF1172" s="5"/>
      <c r="AG1172" s="5"/>
      <c r="AH1172" s="5"/>
      <c r="AI1172" s="5"/>
      <c r="AJ1172" s="5"/>
      <c r="AK1172" s="5"/>
      <c r="AL1172" s="5"/>
    </row>
    <row r="1173">
      <c r="A1173" s="4" t="str">
        <f>VLOOKUP(L1173,payment_ids!C:D,2,FALSE)</f>
        <v>pay_HFJpdYMtajAjjL</v>
      </c>
      <c r="B1173" s="4"/>
      <c r="C1173" s="4" t="s">
        <v>4281</v>
      </c>
      <c r="D1173" s="4">
        <v>50079.0</v>
      </c>
      <c r="E1173" s="5"/>
      <c r="F1173" s="4">
        <v>1.0</v>
      </c>
      <c r="G1173" s="4">
        <v>99.0</v>
      </c>
      <c r="H1173" s="4"/>
      <c r="I1173" s="4">
        <v>99.0</v>
      </c>
      <c r="J1173" s="4" t="s">
        <v>4304</v>
      </c>
      <c r="K1173" s="5">
        <f>+919137233142</f>
        <v>919137233142</v>
      </c>
      <c r="L1173" s="4" t="str">
        <f t="shared" si="1"/>
        <v>kavita.iyer22@gmail.com919137233142</v>
      </c>
      <c r="M1173" s="10" t="s">
        <v>67</v>
      </c>
      <c r="N1173" s="4" t="b">
        <v>0</v>
      </c>
      <c r="O1173" s="4" t="str">
        <f>VLOOKUP(A1173,payment_ids!D:E,2,FALSE)</f>
        <v>wallet</v>
      </c>
      <c r="P1173" s="4" t="s">
        <v>69</v>
      </c>
      <c r="Q1173" s="4" t="s">
        <v>4305</v>
      </c>
      <c r="R1173" s="4"/>
      <c r="S1173" s="12" t="s">
        <v>4284</v>
      </c>
      <c r="T1173" s="5"/>
      <c r="U1173" s="4"/>
      <c r="V1173" s="4"/>
      <c r="W1173" s="5"/>
      <c r="X1173" s="4"/>
      <c r="Y1173" s="4"/>
      <c r="Z1173" s="5"/>
      <c r="AA1173" s="4"/>
      <c r="AB1173" s="4"/>
      <c r="AC1173" s="4"/>
      <c r="AD1173" s="5"/>
      <c r="AE1173" s="5"/>
      <c r="AF1173" s="5"/>
      <c r="AG1173" s="5"/>
      <c r="AH1173" s="5"/>
      <c r="AI1173" s="5"/>
      <c r="AJ1173" s="5"/>
      <c r="AK1173" s="5"/>
      <c r="AL1173" s="5"/>
    </row>
    <row r="1174">
      <c r="A1174" s="4" t="str">
        <f>VLOOKUP(L1174,payment_ids!C:D,2,FALSE)</f>
        <v>pay_HFKpIfkUIKNTMU</v>
      </c>
      <c r="B1174" s="4"/>
      <c r="C1174" s="4" t="s">
        <v>4281</v>
      </c>
      <c r="D1174" s="4">
        <v>50079.0</v>
      </c>
      <c r="E1174" s="5"/>
      <c r="F1174" s="4">
        <v>1.0</v>
      </c>
      <c r="G1174" s="4">
        <v>349.0</v>
      </c>
      <c r="H1174" s="4"/>
      <c r="I1174" s="4">
        <v>349.0</v>
      </c>
      <c r="J1174" s="4" t="s">
        <v>4306</v>
      </c>
      <c r="K1174" s="5">
        <f>+918553401198</f>
        <v>918553401198</v>
      </c>
      <c r="L1174" s="4" t="str">
        <f t="shared" si="1"/>
        <v>namrqthq.mpmp@gmail.com918553401198</v>
      </c>
      <c r="M1174" s="10" t="s">
        <v>67</v>
      </c>
      <c r="N1174" s="4" t="b">
        <v>0</v>
      </c>
      <c r="O1174" s="4" t="str">
        <f>VLOOKUP(A1174,payment_ids!D:E,2,FALSE)</f>
        <v>upi</v>
      </c>
      <c r="P1174" s="4" t="s">
        <v>69</v>
      </c>
      <c r="Q1174" s="4" t="s">
        <v>4307</v>
      </c>
      <c r="R1174" s="4"/>
      <c r="S1174" s="12" t="s">
        <v>4284</v>
      </c>
      <c r="T1174" s="5"/>
      <c r="U1174" s="4"/>
      <c r="V1174" s="4"/>
      <c r="W1174" s="5"/>
      <c r="X1174" s="4"/>
      <c r="Y1174" s="4"/>
      <c r="Z1174" s="5"/>
      <c r="AA1174" s="4"/>
      <c r="AB1174" s="4"/>
      <c r="AC1174" s="4"/>
      <c r="AD1174" s="5"/>
      <c r="AE1174" s="5"/>
      <c r="AF1174" s="5"/>
      <c r="AG1174" s="5"/>
      <c r="AH1174" s="5"/>
      <c r="AI1174" s="5"/>
      <c r="AJ1174" s="5"/>
      <c r="AK1174" s="5"/>
      <c r="AL1174" s="5"/>
    </row>
    <row r="1175">
      <c r="A1175" s="4" t="str">
        <f>VLOOKUP(L1175,payment_ids!C:D,2,FALSE)</f>
        <v>pay_HFRbSqHFb0fnLY</v>
      </c>
      <c r="B1175" s="4"/>
      <c r="C1175" s="4" t="s">
        <v>4281</v>
      </c>
      <c r="D1175" s="4">
        <v>50079.0</v>
      </c>
      <c r="E1175" s="5"/>
      <c r="F1175" s="4">
        <v>1.0</v>
      </c>
      <c r="G1175" s="4">
        <v>99.0</v>
      </c>
      <c r="H1175" s="4"/>
      <c r="I1175" s="4">
        <v>99.0</v>
      </c>
      <c r="J1175" s="4" t="s">
        <v>4308</v>
      </c>
      <c r="K1175" s="5">
        <f>+917775024848</f>
        <v>917775024848</v>
      </c>
      <c r="L1175" s="4" t="str">
        <f t="shared" si="1"/>
        <v>innovationcarepune@gmail.com917775024848</v>
      </c>
      <c r="M1175" s="10" t="s">
        <v>67</v>
      </c>
      <c r="N1175" s="4" t="b">
        <v>0</v>
      </c>
      <c r="O1175" s="4" t="str">
        <f>VLOOKUP(A1175,payment_ids!D:E,2,FALSE)</f>
        <v>upi</v>
      </c>
      <c r="P1175" s="4" t="s">
        <v>69</v>
      </c>
      <c r="Q1175" s="4" t="s">
        <v>4309</v>
      </c>
      <c r="R1175" s="4"/>
      <c r="S1175" s="12" t="s">
        <v>4284</v>
      </c>
      <c r="T1175" s="5"/>
      <c r="U1175" s="4"/>
      <c r="V1175" s="4"/>
      <c r="W1175" s="5"/>
      <c r="X1175" s="4"/>
      <c r="Y1175" s="4"/>
      <c r="Z1175" s="5"/>
      <c r="AA1175" s="4"/>
      <c r="AB1175" s="4"/>
      <c r="AC1175" s="4"/>
      <c r="AD1175" s="5"/>
      <c r="AE1175" s="5"/>
      <c r="AF1175" s="5"/>
      <c r="AG1175" s="5"/>
      <c r="AH1175" s="5"/>
      <c r="AI1175" s="5"/>
      <c r="AJ1175" s="5"/>
      <c r="AK1175" s="5"/>
      <c r="AL1175" s="5"/>
    </row>
    <row r="1176">
      <c r="A1176" s="4" t="str">
        <f>VLOOKUP(L1176,payment_ids!C:D,2,FALSE)</f>
        <v>pay_HFUS5ie5OWKmdv</v>
      </c>
      <c r="B1176" s="4"/>
      <c r="C1176" s="4" t="s">
        <v>4281</v>
      </c>
      <c r="D1176" s="4">
        <v>50079.0</v>
      </c>
      <c r="E1176" s="5"/>
      <c r="F1176" s="4">
        <v>1.0</v>
      </c>
      <c r="G1176" s="4">
        <v>349.0</v>
      </c>
      <c r="H1176" s="4"/>
      <c r="I1176" s="4">
        <v>349.0</v>
      </c>
      <c r="J1176" s="4" t="s">
        <v>4310</v>
      </c>
      <c r="K1176" s="5">
        <f>+919380529304</f>
        <v>919380529304</v>
      </c>
      <c r="L1176" s="4" t="str">
        <f t="shared" si="1"/>
        <v>deepaseren@gmail.com919380529304</v>
      </c>
      <c r="M1176" s="10" t="s">
        <v>67</v>
      </c>
      <c r="N1176" s="4" t="b">
        <v>0</v>
      </c>
      <c r="O1176" s="4" t="str">
        <f>VLOOKUP(A1176,payment_ids!D:E,2,FALSE)</f>
        <v>upi</v>
      </c>
      <c r="P1176" s="4" t="s">
        <v>69</v>
      </c>
      <c r="Q1176" s="4" t="s">
        <v>4311</v>
      </c>
      <c r="R1176" s="4"/>
      <c r="S1176" s="12" t="s">
        <v>4284</v>
      </c>
      <c r="T1176" s="5"/>
      <c r="U1176" s="4"/>
      <c r="V1176" s="4"/>
      <c r="W1176" s="5"/>
      <c r="X1176" s="4"/>
      <c r="Y1176" s="4"/>
      <c r="Z1176" s="5"/>
      <c r="AA1176" s="4"/>
      <c r="AB1176" s="4"/>
      <c r="AC1176" s="4"/>
      <c r="AD1176" s="5"/>
      <c r="AE1176" s="5"/>
      <c r="AF1176" s="5"/>
      <c r="AG1176" s="5"/>
      <c r="AH1176" s="5"/>
      <c r="AI1176" s="5"/>
      <c r="AJ1176" s="5"/>
      <c r="AK1176" s="5"/>
      <c r="AL1176" s="5"/>
    </row>
    <row r="1177">
      <c r="A1177" s="4" t="str">
        <f>VLOOKUP(L1177,payment_ids!C:D,2,FALSE)</f>
        <v>pay_HFqfFAJx1gkZgb</v>
      </c>
      <c r="B1177" s="4"/>
      <c r="C1177" s="4" t="s">
        <v>4281</v>
      </c>
      <c r="D1177" s="4">
        <v>50079.0</v>
      </c>
      <c r="E1177" s="5"/>
      <c r="F1177" s="4">
        <v>1.0</v>
      </c>
      <c r="G1177" s="4">
        <v>99.0</v>
      </c>
      <c r="H1177" s="4"/>
      <c r="I1177" s="4">
        <v>99.0</v>
      </c>
      <c r="J1177" s="4" t="s">
        <v>4312</v>
      </c>
      <c r="K1177" s="5">
        <f>+919140775659</f>
        <v>919140775659</v>
      </c>
      <c r="L1177" s="4" t="str">
        <f t="shared" si="1"/>
        <v>rjbhardwaj216@gmail.com919140775659</v>
      </c>
      <c r="M1177" s="10" t="s">
        <v>67</v>
      </c>
      <c r="N1177" s="4" t="b">
        <v>0</v>
      </c>
      <c r="O1177" s="4" t="str">
        <f>VLOOKUP(A1177,payment_ids!D:E,2,FALSE)</f>
        <v>upi</v>
      </c>
      <c r="P1177" s="4" t="s">
        <v>69</v>
      </c>
      <c r="Q1177" s="4" t="s">
        <v>4313</v>
      </c>
      <c r="R1177" s="4"/>
      <c r="S1177" s="12" t="s">
        <v>4284</v>
      </c>
      <c r="T1177" s="5"/>
      <c r="U1177" s="4"/>
      <c r="V1177" s="4"/>
      <c r="W1177" s="5"/>
      <c r="X1177" s="4"/>
      <c r="Y1177" s="4"/>
      <c r="Z1177" s="5"/>
      <c r="AA1177" s="4"/>
      <c r="AB1177" s="4"/>
      <c r="AC1177" s="4"/>
      <c r="AD1177" s="5"/>
      <c r="AE1177" s="5"/>
      <c r="AF1177" s="5"/>
      <c r="AG1177" s="5"/>
      <c r="AH1177" s="5"/>
      <c r="AI1177" s="5"/>
      <c r="AJ1177" s="5"/>
      <c r="AK1177" s="5"/>
      <c r="AL1177" s="5"/>
    </row>
    <row r="1178">
      <c r="A1178" s="4" t="str">
        <f>VLOOKUP(L1178,payment_ids!C:D,2,FALSE)</f>
        <v>pay_HGBHUU1wJ8qfd0</v>
      </c>
      <c r="B1178" s="4"/>
      <c r="C1178" s="4" t="s">
        <v>4281</v>
      </c>
      <c r="D1178" s="4">
        <v>50079.0</v>
      </c>
      <c r="E1178" s="5"/>
      <c r="F1178" s="4">
        <v>1.0</v>
      </c>
      <c r="G1178" s="4">
        <v>99.0</v>
      </c>
      <c r="H1178" s="4"/>
      <c r="I1178" s="4">
        <v>99.0</v>
      </c>
      <c r="J1178" s="4" t="s">
        <v>4314</v>
      </c>
      <c r="K1178" s="5">
        <f>+917588468999</f>
        <v>917588468999</v>
      </c>
      <c r="L1178" s="4" t="str">
        <f t="shared" si="1"/>
        <v>ishakdubai2788@gmail.com917588468999</v>
      </c>
      <c r="M1178" s="10" t="s">
        <v>67</v>
      </c>
      <c r="N1178" s="4" t="b">
        <v>0</v>
      </c>
      <c r="O1178" s="4" t="str">
        <f>VLOOKUP(A1178,payment_ids!D:E,2,FALSE)</f>
        <v>upi</v>
      </c>
      <c r="P1178" s="4" t="s">
        <v>69</v>
      </c>
      <c r="Q1178" s="4" t="s">
        <v>4315</v>
      </c>
      <c r="R1178" s="4"/>
      <c r="S1178" s="12" t="s">
        <v>4284</v>
      </c>
      <c r="T1178" s="5"/>
      <c r="U1178" s="4"/>
      <c r="V1178" s="4"/>
      <c r="W1178" s="5"/>
      <c r="X1178" s="4"/>
      <c r="Y1178" s="4"/>
      <c r="Z1178" s="5"/>
      <c r="AA1178" s="4"/>
      <c r="AB1178" s="4"/>
      <c r="AC1178" s="4"/>
      <c r="AD1178" s="5"/>
      <c r="AE1178" s="5"/>
      <c r="AF1178" s="5"/>
      <c r="AG1178" s="5"/>
      <c r="AH1178" s="5"/>
      <c r="AI1178" s="5"/>
      <c r="AJ1178" s="5"/>
      <c r="AK1178" s="5"/>
      <c r="AL1178" s="5"/>
    </row>
    <row r="1179">
      <c r="A1179" s="4" t="str">
        <f>VLOOKUP(L1179,payment_ids!C:D,2,FALSE)</f>
        <v>pay_HGGrglqtwYlpNi</v>
      </c>
      <c r="B1179" s="4"/>
      <c r="C1179" s="4" t="s">
        <v>4281</v>
      </c>
      <c r="D1179" s="4">
        <v>50079.0</v>
      </c>
      <c r="E1179" s="5"/>
      <c r="F1179" s="4">
        <v>1.0</v>
      </c>
      <c r="G1179" s="4">
        <v>99.0</v>
      </c>
      <c r="H1179" s="4"/>
      <c r="I1179" s="4">
        <v>99.0</v>
      </c>
      <c r="J1179" s="4" t="s">
        <v>4316</v>
      </c>
      <c r="K1179" s="5">
        <f>+919452701336</f>
        <v>919452701336</v>
      </c>
      <c r="L1179" s="4" t="str">
        <f t="shared" si="1"/>
        <v>chandansharma010028@gmail.com919452701336</v>
      </c>
      <c r="M1179" s="10" t="s">
        <v>67</v>
      </c>
      <c r="N1179" s="4" t="b">
        <v>0</v>
      </c>
      <c r="O1179" s="4" t="str">
        <f>VLOOKUP(A1179,payment_ids!D:E,2,FALSE)</f>
        <v>upi</v>
      </c>
      <c r="P1179" s="4" t="s">
        <v>69</v>
      </c>
      <c r="Q1179" s="4" t="s">
        <v>4317</v>
      </c>
      <c r="R1179" s="4"/>
      <c r="S1179" s="12" t="s">
        <v>4284</v>
      </c>
      <c r="T1179" s="5"/>
      <c r="U1179" s="4"/>
      <c r="V1179" s="4"/>
      <c r="W1179" s="5"/>
      <c r="X1179" s="4"/>
      <c r="Y1179" s="4"/>
      <c r="Z1179" s="5"/>
      <c r="AA1179" s="4"/>
      <c r="AB1179" s="4"/>
      <c r="AC1179" s="4"/>
      <c r="AD1179" s="5"/>
      <c r="AE1179" s="5"/>
      <c r="AF1179" s="5"/>
      <c r="AG1179" s="5"/>
      <c r="AH1179" s="5"/>
      <c r="AI1179" s="5"/>
      <c r="AJ1179" s="5"/>
      <c r="AK1179" s="5"/>
      <c r="AL1179" s="5"/>
    </row>
    <row r="1180">
      <c r="A1180" s="4" t="str">
        <f>VLOOKUP(L1180,payment_ids!C:D,2,FALSE)</f>
        <v>pay_HGIOlK0lZt4cQh</v>
      </c>
      <c r="B1180" s="4"/>
      <c r="C1180" s="4" t="s">
        <v>4281</v>
      </c>
      <c r="D1180" s="4">
        <v>50079.0</v>
      </c>
      <c r="E1180" s="5"/>
      <c r="F1180" s="4">
        <v>1.0</v>
      </c>
      <c r="G1180" s="4">
        <v>99.0</v>
      </c>
      <c r="H1180" s="4"/>
      <c r="I1180" s="4">
        <v>99.0</v>
      </c>
      <c r="J1180" s="4" t="s">
        <v>4318</v>
      </c>
      <c r="K1180" s="5">
        <f>+918220861260</f>
        <v>918220861260</v>
      </c>
      <c r="L1180" s="4" t="str">
        <f t="shared" si="1"/>
        <v>chandruit8@gmail.com918220861260</v>
      </c>
      <c r="M1180" s="10" t="s">
        <v>67</v>
      </c>
      <c r="N1180" s="4" t="b">
        <v>0</v>
      </c>
      <c r="O1180" s="4" t="str">
        <f>VLOOKUP(A1180,payment_ids!D:E,2,FALSE)</f>
        <v>wallet</v>
      </c>
      <c r="P1180" s="4" t="s">
        <v>69</v>
      </c>
      <c r="Q1180" s="4" t="s">
        <v>4319</v>
      </c>
      <c r="R1180" s="4"/>
      <c r="S1180" s="12" t="s">
        <v>4284</v>
      </c>
      <c r="T1180" s="5"/>
      <c r="U1180" s="4"/>
      <c r="V1180" s="4"/>
      <c r="W1180" s="5"/>
      <c r="X1180" s="4"/>
      <c r="Y1180" s="4"/>
      <c r="Z1180" s="5"/>
      <c r="AA1180" s="4"/>
      <c r="AB1180" s="4"/>
      <c r="AC1180" s="4"/>
      <c r="AD1180" s="5"/>
      <c r="AE1180" s="5"/>
      <c r="AF1180" s="5"/>
      <c r="AG1180" s="5"/>
      <c r="AH1180" s="5"/>
      <c r="AI1180" s="5"/>
      <c r="AJ1180" s="5"/>
      <c r="AK1180" s="5"/>
      <c r="AL1180" s="5"/>
    </row>
    <row r="1181">
      <c r="A1181" s="4" t="str">
        <f>VLOOKUP(L1181,payment_ids!C:D,2,FALSE)</f>
        <v>pay_HGurjHNtVwVBoZ</v>
      </c>
      <c r="B1181" s="4"/>
      <c r="C1181" s="4" t="s">
        <v>4281</v>
      </c>
      <c r="D1181" s="4">
        <v>50079.0</v>
      </c>
      <c r="E1181" s="5"/>
      <c r="F1181" s="4">
        <v>1.0</v>
      </c>
      <c r="G1181" s="4">
        <v>99.0</v>
      </c>
      <c r="H1181" s="4"/>
      <c r="I1181" s="4">
        <v>99.0</v>
      </c>
      <c r="J1181" s="4" t="s">
        <v>4320</v>
      </c>
      <c r="K1181" s="5">
        <f>+919512999943</f>
        <v>919512999943</v>
      </c>
      <c r="L1181" s="4" t="str">
        <f t="shared" si="1"/>
        <v>dhaval.chandaranaaz@gmail.com919512999943</v>
      </c>
      <c r="M1181" s="10" t="s">
        <v>67</v>
      </c>
      <c r="N1181" s="4" t="b">
        <v>0</v>
      </c>
      <c r="O1181" s="4" t="str">
        <f>VLOOKUP(A1181,payment_ids!D:E,2,FALSE)</f>
        <v>upi</v>
      </c>
      <c r="P1181" s="4" t="s">
        <v>69</v>
      </c>
      <c r="Q1181" s="4" t="s">
        <v>4321</v>
      </c>
      <c r="R1181" s="4"/>
      <c r="S1181" s="12" t="s">
        <v>4284</v>
      </c>
      <c r="T1181" s="5"/>
      <c r="U1181" s="4"/>
      <c r="V1181" s="4"/>
      <c r="W1181" s="5"/>
      <c r="X1181" s="4"/>
      <c r="Y1181" s="4"/>
      <c r="Z1181" s="5"/>
      <c r="AA1181" s="4"/>
      <c r="AB1181" s="4"/>
      <c r="AC1181" s="4"/>
      <c r="AD1181" s="5"/>
      <c r="AE1181" s="5"/>
      <c r="AF1181" s="5"/>
      <c r="AG1181" s="5"/>
      <c r="AH1181" s="5"/>
      <c r="AI1181" s="5"/>
      <c r="AJ1181" s="5"/>
      <c r="AK1181" s="5"/>
      <c r="AL1181" s="5"/>
    </row>
    <row r="1182">
      <c r="A1182" s="4" t="str">
        <f>VLOOKUP(L1182,payment_ids!C:D,2,FALSE)</f>
        <v>pay_HH5l9KRRc04qVH</v>
      </c>
      <c r="B1182" s="4"/>
      <c r="C1182" s="4" t="s">
        <v>4281</v>
      </c>
      <c r="D1182" s="4">
        <v>50079.0</v>
      </c>
      <c r="E1182" s="5"/>
      <c r="F1182" s="4">
        <v>1.0</v>
      </c>
      <c r="G1182" s="4">
        <v>99.0</v>
      </c>
      <c r="H1182" s="4"/>
      <c r="I1182" s="4">
        <v>99.0</v>
      </c>
      <c r="J1182" s="4" t="s">
        <v>4322</v>
      </c>
      <c r="K1182" s="5">
        <f>+919483476349</f>
        <v>919483476349</v>
      </c>
      <c r="L1182" s="4" t="str">
        <f t="shared" si="1"/>
        <v>bsukrutha22@gmail.com919483476349</v>
      </c>
      <c r="M1182" s="10" t="s">
        <v>67</v>
      </c>
      <c r="N1182" s="4" t="b">
        <v>0</v>
      </c>
      <c r="O1182" s="4" t="str">
        <f>VLOOKUP(A1182,payment_ids!D:E,2,FALSE)</f>
        <v>upi</v>
      </c>
      <c r="P1182" s="4" t="s">
        <v>69</v>
      </c>
      <c r="Q1182" s="4" t="s">
        <v>4323</v>
      </c>
      <c r="R1182" s="4"/>
      <c r="S1182" s="12" t="s">
        <v>4284</v>
      </c>
      <c r="T1182" s="5"/>
      <c r="U1182" s="4"/>
      <c r="V1182" s="4"/>
      <c r="W1182" s="5"/>
      <c r="X1182" s="4"/>
      <c r="Y1182" s="4"/>
      <c r="Z1182" s="5"/>
      <c r="AA1182" s="4"/>
      <c r="AB1182" s="4"/>
      <c r="AC1182" s="4"/>
      <c r="AD1182" s="5"/>
      <c r="AE1182" s="5"/>
      <c r="AF1182" s="5"/>
      <c r="AG1182" s="5"/>
      <c r="AH1182" s="5"/>
      <c r="AI1182" s="5"/>
      <c r="AJ1182" s="5"/>
      <c r="AK1182" s="5"/>
      <c r="AL1182" s="5"/>
    </row>
    <row r="1183">
      <c r="A1183" s="4" t="str">
        <f>VLOOKUP(L1183,payment_ids!C:D,2,FALSE)</f>
        <v>pay_HHIDp2O2xQM4JH</v>
      </c>
      <c r="B1183" s="4"/>
      <c r="C1183" s="4" t="s">
        <v>4281</v>
      </c>
      <c r="D1183" s="4">
        <v>50079.0</v>
      </c>
      <c r="E1183" s="5"/>
      <c r="F1183" s="4">
        <v>1.0</v>
      </c>
      <c r="G1183" s="4">
        <v>99.0</v>
      </c>
      <c r="H1183" s="4"/>
      <c r="I1183" s="4">
        <v>99.0</v>
      </c>
      <c r="J1183" s="4" t="s">
        <v>4324</v>
      </c>
      <c r="K1183" s="5">
        <f>+918143336534</f>
        <v>918143336534</v>
      </c>
      <c r="L1183" s="4" t="str">
        <f t="shared" si="1"/>
        <v>chaitanyakuppala12@gmail.com918143336534</v>
      </c>
      <c r="M1183" s="10" t="s">
        <v>67</v>
      </c>
      <c r="N1183" s="4" t="b">
        <v>0</v>
      </c>
      <c r="O1183" s="4" t="str">
        <f>VLOOKUP(A1183,payment_ids!D:E,2,FALSE)</f>
        <v>upi</v>
      </c>
      <c r="P1183" s="4" t="s">
        <v>69</v>
      </c>
      <c r="Q1183" s="4" t="s">
        <v>4325</v>
      </c>
      <c r="R1183" s="4"/>
      <c r="S1183" s="12" t="s">
        <v>4284</v>
      </c>
      <c r="T1183" s="5"/>
      <c r="U1183" s="4"/>
      <c r="V1183" s="4"/>
      <c r="W1183" s="5"/>
      <c r="X1183" s="4"/>
      <c r="Y1183" s="4"/>
      <c r="Z1183" s="5"/>
      <c r="AA1183" s="4"/>
      <c r="AB1183" s="4"/>
      <c r="AC1183" s="4"/>
      <c r="AD1183" s="5"/>
      <c r="AE1183" s="5"/>
      <c r="AF1183" s="5"/>
      <c r="AG1183" s="5"/>
      <c r="AH1183" s="5"/>
      <c r="AI1183" s="5"/>
      <c r="AJ1183" s="5"/>
      <c r="AK1183" s="5"/>
      <c r="AL1183" s="5"/>
    </row>
    <row r="1184">
      <c r="A1184" s="4" t="str">
        <f>VLOOKUP(L1184,payment_ids!C:D,2,FALSE)</f>
        <v>pay_HHUVxCoc8XCWvB</v>
      </c>
      <c r="B1184" s="4"/>
      <c r="C1184" s="4" t="s">
        <v>4281</v>
      </c>
      <c r="D1184" s="4">
        <v>50079.0</v>
      </c>
      <c r="E1184" s="5"/>
      <c r="F1184" s="4">
        <v>1.0</v>
      </c>
      <c r="G1184" s="4">
        <v>99.0</v>
      </c>
      <c r="H1184" s="4"/>
      <c r="I1184" s="4">
        <v>99.0</v>
      </c>
      <c r="J1184" s="4" t="s">
        <v>4326</v>
      </c>
      <c r="K1184" s="5">
        <f>+919619563306</f>
        <v>919619563306</v>
      </c>
      <c r="L1184" s="4" t="str">
        <f t="shared" si="1"/>
        <v>leenapoulose1971@gmail.com919619563306</v>
      </c>
      <c r="M1184" s="10" t="s">
        <v>67</v>
      </c>
      <c r="N1184" s="4" t="b">
        <v>0</v>
      </c>
      <c r="O1184" s="4" t="str">
        <f>VLOOKUP(A1184,payment_ids!D:E,2,FALSE)</f>
        <v>card</v>
      </c>
      <c r="P1184" s="4" t="s">
        <v>69</v>
      </c>
      <c r="Q1184" s="4" t="s">
        <v>4327</v>
      </c>
      <c r="R1184" s="4"/>
      <c r="S1184" s="12" t="s">
        <v>4284</v>
      </c>
      <c r="T1184" s="5"/>
      <c r="U1184" s="4"/>
      <c r="V1184" s="4"/>
      <c r="W1184" s="5"/>
      <c r="X1184" s="4"/>
      <c r="Y1184" s="4"/>
      <c r="Z1184" s="5"/>
      <c r="AA1184" s="4"/>
      <c r="AB1184" s="4"/>
      <c r="AC1184" s="4"/>
      <c r="AD1184" s="5"/>
      <c r="AE1184" s="5"/>
      <c r="AF1184" s="5"/>
      <c r="AG1184" s="5"/>
      <c r="AH1184" s="5"/>
      <c r="AI1184" s="5"/>
      <c r="AJ1184" s="5"/>
      <c r="AK1184" s="5"/>
      <c r="AL1184" s="5"/>
    </row>
    <row r="1185">
      <c r="A1185" s="4" t="str">
        <f>VLOOKUP(L1185,payment_ids!C:D,2,FALSE)</f>
        <v>pay_HHVHUMSu2nZca1</v>
      </c>
      <c r="B1185" s="4"/>
      <c r="C1185" s="4" t="s">
        <v>4281</v>
      </c>
      <c r="D1185" s="4">
        <v>50079.0</v>
      </c>
      <c r="E1185" s="5"/>
      <c r="F1185" s="4">
        <v>1.0</v>
      </c>
      <c r="G1185" s="4">
        <v>99.0</v>
      </c>
      <c r="H1185" s="4"/>
      <c r="I1185" s="4">
        <v>99.0</v>
      </c>
      <c r="J1185" s="4" t="s">
        <v>4328</v>
      </c>
      <c r="K1185" s="5">
        <f>+917977481051</f>
        <v>917977481051</v>
      </c>
      <c r="L1185" s="4" t="str">
        <f t="shared" si="1"/>
        <v>ruchimm12@gmail.com917977481051</v>
      </c>
      <c r="M1185" s="10" t="s">
        <v>67</v>
      </c>
      <c r="N1185" s="4" t="b">
        <v>0</v>
      </c>
      <c r="O1185" s="4" t="str">
        <f>VLOOKUP(A1185,payment_ids!D:E,2,FALSE)</f>
        <v>upi</v>
      </c>
      <c r="P1185" s="4" t="s">
        <v>69</v>
      </c>
      <c r="Q1185" s="11">
        <v>44202.01180555556</v>
      </c>
      <c r="R1185" s="4"/>
      <c r="S1185" s="12" t="s">
        <v>4284</v>
      </c>
      <c r="T1185" s="5"/>
      <c r="U1185" s="4"/>
      <c r="V1185" s="4"/>
      <c r="W1185" s="5"/>
      <c r="X1185" s="4"/>
      <c r="Y1185" s="4"/>
      <c r="Z1185" s="5"/>
      <c r="AA1185" s="4"/>
      <c r="AB1185" s="4"/>
      <c r="AC1185" s="4"/>
      <c r="AD1185" s="5"/>
      <c r="AE1185" s="5"/>
      <c r="AF1185" s="5"/>
      <c r="AG1185" s="5"/>
      <c r="AH1185" s="5"/>
      <c r="AI1185" s="5"/>
      <c r="AJ1185" s="5"/>
      <c r="AK1185" s="5"/>
      <c r="AL1185" s="5"/>
    </row>
    <row r="1186">
      <c r="A1186" s="4" t="str">
        <f>VLOOKUP(L1186,payment_ids!C:D,2,FALSE)</f>
        <v>pay_HHXmfWB3PBWTxU</v>
      </c>
      <c r="B1186" s="4"/>
      <c r="C1186" s="4" t="s">
        <v>4281</v>
      </c>
      <c r="D1186" s="4">
        <v>50079.0</v>
      </c>
      <c r="E1186" s="5"/>
      <c r="F1186" s="4">
        <v>1.0</v>
      </c>
      <c r="G1186" s="4">
        <v>99.0</v>
      </c>
      <c r="H1186" s="4"/>
      <c r="I1186" s="4">
        <v>99.0</v>
      </c>
      <c r="J1186" s="4" t="s">
        <v>4329</v>
      </c>
      <c r="K1186" s="5">
        <f>+918375053340</f>
        <v>918375053340</v>
      </c>
      <c r="L1186" s="4" t="str">
        <f t="shared" si="1"/>
        <v>priyasinghal527@gmail.com918375053340</v>
      </c>
      <c r="M1186" s="10" t="s">
        <v>67</v>
      </c>
      <c r="N1186" s="4" t="b">
        <v>0</v>
      </c>
      <c r="O1186" s="4" t="str">
        <f>VLOOKUP(A1186,payment_ids!D:E,2,FALSE)</f>
        <v>upi</v>
      </c>
      <c r="P1186" s="4" t="s">
        <v>69</v>
      </c>
      <c r="Q1186" s="11">
        <v>44202.11388888889</v>
      </c>
      <c r="R1186" s="4"/>
      <c r="S1186" s="12" t="s">
        <v>4284</v>
      </c>
      <c r="T1186" s="5"/>
      <c r="U1186" s="4"/>
      <c r="V1186" s="4"/>
      <c r="W1186" s="5"/>
      <c r="X1186" s="4"/>
      <c r="Y1186" s="4"/>
      <c r="Z1186" s="5"/>
      <c r="AA1186" s="4"/>
      <c r="AB1186" s="4"/>
      <c r="AC1186" s="4"/>
      <c r="AD1186" s="5"/>
      <c r="AE1186" s="5"/>
      <c r="AF1186" s="5"/>
      <c r="AG1186" s="5"/>
      <c r="AH1186" s="5"/>
      <c r="AI1186" s="5"/>
      <c r="AJ1186" s="5"/>
      <c r="AK1186" s="5"/>
      <c r="AL1186" s="5"/>
    </row>
    <row r="1187">
      <c r="A1187" s="4" t="str">
        <f>VLOOKUP(L1187,payment_ids!C:D,2,FALSE)</f>
        <v>pay_HHc4FzXbkT9Jsm</v>
      </c>
      <c r="B1187" s="4"/>
      <c r="C1187" s="4" t="s">
        <v>4281</v>
      </c>
      <c r="D1187" s="4">
        <v>50079.0</v>
      </c>
      <c r="E1187" s="5"/>
      <c r="F1187" s="4">
        <v>1.0</v>
      </c>
      <c r="G1187" s="4">
        <v>99.0</v>
      </c>
      <c r="H1187" s="4"/>
      <c r="I1187" s="4">
        <v>99.0</v>
      </c>
      <c r="J1187" s="4" t="s">
        <v>4330</v>
      </c>
      <c r="K1187" s="5">
        <f>+919068454571</f>
        <v>919068454571</v>
      </c>
      <c r="L1187" s="4" t="str">
        <f t="shared" si="1"/>
        <v>silky.arora8@gmail.com919068454571</v>
      </c>
      <c r="M1187" s="10" t="s">
        <v>67</v>
      </c>
      <c r="N1187" s="4" t="b">
        <v>0</v>
      </c>
      <c r="O1187" s="4" t="str">
        <f>VLOOKUP(A1187,payment_ids!D:E,2,FALSE)</f>
        <v>card</v>
      </c>
      <c r="P1187" s="4" t="s">
        <v>69</v>
      </c>
      <c r="Q1187" s="11">
        <v>44202.288194444445</v>
      </c>
      <c r="R1187" s="4"/>
      <c r="S1187" s="12" t="s">
        <v>4284</v>
      </c>
      <c r="T1187" s="5"/>
      <c r="U1187" s="4"/>
      <c r="V1187" s="4"/>
      <c r="W1187" s="5"/>
      <c r="X1187" s="4"/>
      <c r="Y1187" s="4"/>
      <c r="Z1187" s="5"/>
      <c r="AA1187" s="4"/>
      <c r="AB1187" s="4"/>
      <c r="AC1187" s="4"/>
      <c r="AD1187" s="5"/>
      <c r="AE1187" s="5"/>
      <c r="AF1187" s="5"/>
      <c r="AG1187" s="5"/>
      <c r="AH1187" s="5"/>
      <c r="AI1187" s="5"/>
      <c r="AJ1187" s="5"/>
      <c r="AK1187" s="5"/>
      <c r="AL1187" s="5"/>
    </row>
    <row r="1188">
      <c r="A1188" s="4" t="str">
        <f>VLOOKUP(L1188,payment_ids!C:D,2,FALSE)</f>
        <v>pay_HHe2AVQKS1Qeja</v>
      </c>
      <c r="B1188" s="4"/>
      <c r="C1188" s="4" t="s">
        <v>4281</v>
      </c>
      <c r="D1188" s="4">
        <v>50079.0</v>
      </c>
      <c r="E1188" s="5"/>
      <c r="F1188" s="4">
        <v>1.0</v>
      </c>
      <c r="G1188" s="4">
        <v>99.0</v>
      </c>
      <c r="H1188" s="4"/>
      <c r="I1188" s="4">
        <v>99.0</v>
      </c>
      <c r="J1188" s="4" t="s">
        <v>4331</v>
      </c>
      <c r="K1188" s="5">
        <f>+918431726383</f>
        <v>918431726383</v>
      </c>
      <c r="L1188" s="4" t="str">
        <f t="shared" si="1"/>
        <v>jayanthiv761@gmail.com918431726383</v>
      </c>
      <c r="M1188" s="10" t="s">
        <v>67</v>
      </c>
      <c r="N1188" s="4" t="b">
        <v>0</v>
      </c>
      <c r="O1188" s="4" t="str">
        <f>VLOOKUP(A1188,payment_ids!D:E,2,FALSE)</f>
        <v>upi</v>
      </c>
      <c r="P1188" s="4" t="s">
        <v>69</v>
      </c>
      <c r="Q1188" s="11">
        <v>44202.36875</v>
      </c>
      <c r="R1188" s="4"/>
      <c r="S1188" s="12" t="s">
        <v>4284</v>
      </c>
      <c r="T1188" s="5"/>
      <c r="U1188" s="4"/>
      <c r="V1188" s="4"/>
      <c r="W1188" s="5"/>
      <c r="X1188" s="4"/>
      <c r="Y1188" s="4"/>
      <c r="Z1188" s="5"/>
      <c r="AA1188" s="4"/>
      <c r="AB1188" s="4"/>
      <c r="AC1188" s="4"/>
      <c r="AD1188" s="5"/>
      <c r="AE1188" s="5"/>
      <c r="AF1188" s="5"/>
      <c r="AG1188" s="5"/>
      <c r="AH1188" s="5"/>
      <c r="AI1188" s="5"/>
      <c r="AJ1188" s="5"/>
      <c r="AK1188" s="5"/>
      <c r="AL1188" s="5"/>
    </row>
    <row r="1189">
      <c r="A1189" s="4" t="str">
        <f>VLOOKUP(L1189,payment_ids!C:D,2,FALSE)</f>
        <v>pay_HHegxFBakmDrf7</v>
      </c>
      <c r="B1189" s="4"/>
      <c r="C1189" s="4" t="s">
        <v>4281</v>
      </c>
      <c r="D1189" s="4">
        <v>50079.0</v>
      </c>
      <c r="E1189" s="5"/>
      <c r="F1189" s="4">
        <v>1.0</v>
      </c>
      <c r="G1189" s="4">
        <v>99.0</v>
      </c>
      <c r="H1189" s="4"/>
      <c r="I1189" s="4">
        <v>99.0</v>
      </c>
      <c r="J1189" s="4" t="s">
        <v>4332</v>
      </c>
      <c r="K1189" s="5">
        <f>+918806851180</f>
        <v>918806851180</v>
      </c>
      <c r="L1189" s="4" t="str">
        <f t="shared" si="1"/>
        <v>sonaladdu361@gmail.com918806851180</v>
      </c>
      <c r="M1189" s="10" t="s">
        <v>67</v>
      </c>
      <c r="N1189" s="4" t="b">
        <v>0</v>
      </c>
      <c r="O1189" s="4" t="str">
        <f>VLOOKUP(A1189,payment_ids!D:E,2,FALSE)</f>
        <v>upi</v>
      </c>
      <c r="P1189" s="4" t="s">
        <v>69</v>
      </c>
      <c r="Q1189" s="11">
        <v>44202.395833333336</v>
      </c>
      <c r="R1189" s="4"/>
      <c r="S1189" s="12" t="s">
        <v>4284</v>
      </c>
      <c r="T1189" s="5"/>
      <c r="U1189" s="4"/>
      <c r="V1189" s="4"/>
      <c r="W1189" s="5"/>
      <c r="X1189" s="4"/>
      <c r="Y1189" s="4"/>
      <c r="Z1189" s="5"/>
      <c r="AA1189" s="4"/>
      <c r="AB1189" s="4"/>
      <c r="AC1189" s="4"/>
      <c r="AD1189" s="5"/>
      <c r="AE1189" s="5"/>
      <c r="AF1189" s="5"/>
      <c r="AG1189" s="5"/>
      <c r="AH1189" s="5"/>
      <c r="AI1189" s="5"/>
      <c r="AJ1189" s="5"/>
      <c r="AK1189" s="5"/>
      <c r="AL1189" s="5"/>
    </row>
    <row r="1190">
      <c r="A1190" s="4" t="str">
        <f>VLOOKUP(L1190,payment_ids!C:D,2,FALSE)</f>
        <v>pay_HHfHaOiBTprVdt</v>
      </c>
      <c r="B1190" s="4"/>
      <c r="C1190" s="4" t="s">
        <v>4281</v>
      </c>
      <c r="D1190" s="4">
        <v>50079.0</v>
      </c>
      <c r="E1190" s="5"/>
      <c r="F1190" s="4">
        <v>1.0</v>
      </c>
      <c r="G1190" s="4">
        <v>99.0</v>
      </c>
      <c r="H1190" s="4"/>
      <c r="I1190" s="4">
        <v>99.0</v>
      </c>
      <c r="J1190" s="4" t="s">
        <v>4333</v>
      </c>
      <c r="K1190" s="5">
        <f>+919318380912</f>
        <v>919318380912</v>
      </c>
      <c r="L1190" s="4" t="str">
        <f t="shared" si="1"/>
        <v>mkumar147258@gmail.com919318380912</v>
      </c>
      <c r="M1190" s="10" t="s">
        <v>67</v>
      </c>
      <c r="N1190" s="4" t="b">
        <v>0</v>
      </c>
      <c r="O1190" s="4" t="str">
        <f>VLOOKUP(A1190,payment_ids!D:E,2,FALSE)</f>
        <v>upi</v>
      </c>
      <c r="P1190" s="4" t="s">
        <v>69</v>
      </c>
      <c r="Q1190" s="11">
        <v>44202.42222222222</v>
      </c>
      <c r="R1190" s="4"/>
      <c r="S1190" s="12" t="s">
        <v>4284</v>
      </c>
      <c r="T1190" s="5"/>
      <c r="U1190" s="4"/>
      <c r="V1190" s="4"/>
      <c r="W1190" s="5"/>
      <c r="X1190" s="4"/>
      <c r="Y1190" s="4"/>
      <c r="Z1190" s="5"/>
      <c r="AA1190" s="4"/>
      <c r="AB1190" s="4"/>
      <c r="AC1190" s="4"/>
      <c r="AD1190" s="5"/>
      <c r="AE1190" s="5"/>
      <c r="AF1190" s="5"/>
      <c r="AG1190" s="5"/>
      <c r="AH1190" s="5"/>
      <c r="AI1190" s="5"/>
      <c r="AJ1190" s="5"/>
      <c r="AK1190" s="5"/>
      <c r="AL1190" s="5"/>
    </row>
    <row r="1191">
      <c r="A1191" s="4" t="str">
        <f>VLOOKUP(L1191,payment_ids!C:D,2,FALSE)</f>
        <v>pay_HHhuqldtyuLxre</v>
      </c>
      <c r="B1191" s="4"/>
      <c r="C1191" s="4" t="s">
        <v>4281</v>
      </c>
      <c r="D1191" s="4">
        <v>50079.0</v>
      </c>
      <c r="E1191" s="5"/>
      <c r="F1191" s="4">
        <v>1.0</v>
      </c>
      <c r="G1191" s="4">
        <v>99.0</v>
      </c>
      <c r="H1191" s="4"/>
      <c r="I1191" s="4">
        <v>99.0</v>
      </c>
      <c r="J1191" s="4" t="s">
        <v>4334</v>
      </c>
      <c r="K1191" s="5">
        <f>+918595411738</f>
        <v>918595411738</v>
      </c>
      <c r="L1191" s="4" t="str">
        <f t="shared" si="1"/>
        <v>msquareinternationalm@gmail.com918595411738</v>
      </c>
      <c r="M1191" s="10" t="s">
        <v>67</v>
      </c>
      <c r="N1191" s="4" t="b">
        <v>0</v>
      </c>
      <c r="O1191" s="4" t="str">
        <f>VLOOKUP(A1191,payment_ids!D:E,2,FALSE)</f>
        <v>wallet</v>
      </c>
      <c r="P1191" s="4" t="s">
        <v>69</v>
      </c>
      <c r="Q1191" s="11">
        <v>44202.53333333333</v>
      </c>
      <c r="R1191" s="4"/>
      <c r="S1191" s="12" t="s">
        <v>4284</v>
      </c>
      <c r="T1191" s="5"/>
      <c r="U1191" s="4"/>
      <c r="V1191" s="4"/>
      <c r="W1191" s="5"/>
      <c r="X1191" s="4"/>
      <c r="Y1191" s="4"/>
      <c r="Z1191" s="5"/>
      <c r="AA1191" s="4"/>
      <c r="AB1191" s="4"/>
      <c r="AC1191" s="4"/>
      <c r="AD1191" s="5"/>
      <c r="AE1191" s="5"/>
      <c r="AF1191" s="5"/>
      <c r="AG1191" s="5"/>
      <c r="AH1191" s="5"/>
      <c r="AI1191" s="5"/>
      <c r="AJ1191" s="5"/>
      <c r="AK1191" s="5"/>
      <c r="AL1191" s="5"/>
    </row>
    <row r="1192">
      <c r="A1192" s="4" t="str">
        <f>VLOOKUP(L1192,payment_ids!C:D,2,FALSE)</f>
        <v>pay_HEKrFzxFZaYWim</v>
      </c>
      <c r="B1192" s="4"/>
      <c r="C1192" s="4" t="s">
        <v>4281</v>
      </c>
      <c r="D1192" s="4">
        <v>50079.0</v>
      </c>
      <c r="E1192" s="5"/>
      <c r="F1192" s="4">
        <v>1.0</v>
      </c>
      <c r="G1192" s="4">
        <v>99.0</v>
      </c>
      <c r="H1192" s="4"/>
      <c r="I1192" s="4">
        <v>99.0</v>
      </c>
      <c r="J1192" s="4" t="s">
        <v>4335</v>
      </c>
      <c r="K1192" s="5">
        <f>+919611815533</f>
        <v>919611815533</v>
      </c>
      <c r="L1192" s="4" t="str">
        <f t="shared" si="1"/>
        <v>kunalgour.gour@gmail.com919611815533</v>
      </c>
      <c r="M1192" s="10" t="s">
        <v>67</v>
      </c>
      <c r="N1192" s="4" t="b">
        <v>0</v>
      </c>
      <c r="O1192" s="4" t="str">
        <f>VLOOKUP(A1192,payment_ids!D:E,2,FALSE)</f>
        <v>upi</v>
      </c>
      <c r="P1192" s="4" t="s">
        <v>69</v>
      </c>
      <c r="Q1192" s="11">
        <v>44202.913194444445</v>
      </c>
      <c r="R1192" s="4"/>
      <c r="S1192" s="12" t="s">
        <v>4284</v>
      </c>
      <c r="T1192" s="5"/>
      <c r="U1192" s="4"/>
      <c r="V1192" s="4"/>
      <c r="W1192" s="5"/>
      <c r="X1192" s="4"/>
      <c r="Y1192" s="4"/>
      <c r="Z1192" s="5"/>
      <c r="AA1192" s="4"/>
      <c r="AB1192" s="4"/>
      <c r="AC1192" s="4"/>
      <c r="AD1192" s="5"/>
      <c r="AE1192" s="5"/>
      <c r="AF1192" s="5"/>
      <c r="AG1192" s="5"/>
      <c r="AH1192" s="5"/>
      <c r="AI1192" s="5"/>
      <c r="AJ1192" s="5"/>
      <c r="AK1192" s="5"/>
      <c r="AL1192" s="5"/>
    </row>
    <row r="1193">
      <c r="A1193" s="4" t="str">
        <f>VLOOKUP(L1193,payment_ids!C:D,2,FALSE)</f>
        <v>pay_HI20USX8H9cFjO</v>
      </c>
      <c r="B1193" s="4"/>
      <c r="C1193" s="4" t="s">
        <v>4281</v>
      </c>
      <c r="D1193" s="4">
        <v>50079.0</v>
      </c>
      <c r="E1193" s="5"/>
      <c r="F1193" s="4">
        <v>1.0</v>
      </c>
      <c r="G1193" s="4">
        <v>349.0</v>
      </c>
      <c r="H1193" s="4"/>
      <c r="I1193" s="4">
        <v>349.0</v>
      </c>
      <c r="J1193" s="4" t="s">
        <v>4336</v>
      </c>
      <c r="K1193" s="5">
        <f>+917694074788</f>
        <v>917694074788</v>
      </c>
      <c r="L1193" s="4" t="str">
        <f t="shared" si="1"/>
        <v>himanichauhan699@gmail.com917694074788</v>
      </c>
      <c r="M1193" s="10" t="s">
        <v>67</v>
      </c>
      <c r="N1193" s="4" t="b">
        <v>0</v>
      </c>
      <c r="O1193" s="4" t="str">
        <f>VLOOKUP(A1193,payment_ids!D:E,2,FALSE)</f>
        <v>upi</v>
      </c>
      <c r="P1193" s="4" t="s">
        <v>69</v>
      </c>
      <c r="Q1193" s="11">
        <v>44233.34583333333</v>
      </c>
      <c r="R1193" s="4"/>
      <c r="S1193" s="12" t="s">
        <v>4284</v>
      </c>
      <c r="T1193" s="5"/>
      <c r="U1193" s="4"/>
      <c r="V1193" s="4"/>
      <c r="W1193" s="5"/>
      <c r="X1193" s="4"/>
      <c r="Y1193" s="4"/>
      <c r="Z1193" s="5"/>
      <c r="AA1193" s="4"/>
      <c r="AB1193" s="4"/>
      <c r="AC1193" s="4"/>
      <c r="AD1193" s="5"/>
      <c r="AE1193" s="5"/>
      <c r="AF1193" s="5"/>
      <c r="AG1193" s="5"/>
      <c r="AH1193" s="5"/>
      <c r="AI1193" s="5"/>
      <c r="AJ1193" s="5"/>
      <c r="AK1193" s="5"/>
      <c r="AL1193" s="5"/>
    </row>
    <row r="1194">
      <c r="A1194" s="4" t="str">
        <f>VLOOKUP(L1194,payment_ids!C:D,2,FALSE)</f>
        <v>pay_HI4AkFndYkV21J</v>
      </c>
      <c r="B1194" s="4"/>
      <c r="C1194" s="4" t="s">
        <v>4281</v>
      </c>
      <c r="D1194" s="4">
        <v>50079.0</v>
      </c>
      <c r="E1194" s="5"/>
      <c r="F1194" s="4">
        <v>1.0</v>
      </c>
      <c r="G1194" s="4">
        <v>349.0</v>
      </c>
      <c r="H1194" s="4"/>
      <c r="I1194" s="4">
        <v>349.0</v>
      </c>
      <c r="J1194" s="4" t="s">
        <v>4337</v>
      </c>
      <c r="K1194" s="5">
        <f>+918149722659</f>
        <v>918149722659</v>
      </c>
      <c r="L1194" s="4" t="str">
        <f t="shared" si="1"/>
        <v>suruchighaiye@yahoo.com918149722659</v>
      </c>
      <c r="M1194" s="10" t="s">
        <v>67</v>
      </c>
      <c r="N1194" s="4" t="b">
        <v>0</v>
      </c>
      <c r="O1194" s="4" t="str">
        <f>VLOOKUP(A1194,payment_ids!D:E,2,FALSE)</f>
        <v>upi</v>
      </c>
      <c r="P1194" s="4" t="s">
        <v>69</v>
      </c>
      <c r="Q1194" s="11">
        <v>44233.43402777778</v>
      </c>
      <c r="R1194" s="4"/>
      <c r="S1194" s="12" t="s">
        <v>4284</v>
      </c>
      <c r="T1194" s="5"/>
      <c r="U1194" s="4"/>
      <c r="V1194" s="4"/>
      <c r="W1194" s="5"/>
      <c r="X1194" s="4"/>
      <c r="Y1194" s="4"/>
      <c r="Z1194" s="5"/>
      <c r="AA1194" s="4"/>
      <c r="AB1194" s="4"/>
      <c r="AC1194" s="4"/>
      <c r="AD1194" s="5"/>
      <c r="AE1194" s="5"/>
      <c r="AF1194" s="5"/>
      <c r="AG1194" s="5"/>
      <c r="AH1194" s="5"/>
      <c r="AI1194" s="5"/>
      <c r="AJ1194" s="5"/>
      <c r="AK1194" s="5"/>
      <c r="AL1194" s="5"/>
    </row>
    <row r="1195">
      <c r="A1195" s="4" t="str">
        <f>VLOOKUP(L1195,payment_ids!C:D,2,FALSE)</f>
        <v>pay_HI9O4pVr47tmi6</v>
      </c>
      <c r="B1195" s="4"/>
      <c r="C1195" s="4" t="s">
        <v>4281</v>
      </c>
      <c r="D1195" s="4">
        <v>50079.0</v>
      </c>
      <c r="E1195" s="5"/>
      <c r="F1195" s="4">
        <v>1.0</v>
      </c>
      <c r="G1195" s="4">
        <v>99.0</v>
      </c>
      <c r="H1195" s="4"/>
      <c r="I1195" s="4">
        <v>99.0</v>
      </c>
      <c r="J1195" s="4" t="s">
        <v>4338</v>
      </c>
      <c r="K1195" s="5">
        <f>+919977430111</f>
        <v>919977430111</v>
      </c>
      <c r="L1195" s="4" t="str">
        <f t="shared" si="1"/>
        <v>mitali8989@gmail.com919977430111</v>
      </c>
      <c r="M1195" s="10" t="s">
        <v>67</v>
      </c>
      <c r="N1195" s="4" t="b">
        <v>0</v>
      </c>
      <c r="O1195" s="4" t="str">
        <f>VLOOKUP(A1195,payment_ids!D:E,2,FALSE)</f>
        <v>upi</v>
      </c>
      <c r="P1195" s="4" t="s">
        <v>69</v>
      </c>
      <c r="Q1195" s="11">
        <v>44233.646527777775</v>
      </c>
      <c r="R1195" s="4"/>
      <c r="S1195" s="12" t="s">
        <v>4284</v>
      </c>
      <c r="T1195" s="5"/>
      <c r="U1195" s="4"/>
      <c r="V1195" s="4"/>
      <c r="W1195" s="5"/>
      <c r="X1195" s="4"/>
      <c r="Y1195" s="4"/>
      <c r="Z1195" s="5"/>
      <c r="AA1195" s="4"/>
      <c r="AB1195" s="4"/>
      <c r="AC1195" s="4"/>
      <c r="AD1195" s="5"/>
      <c r="AE1195" s="5"/>
      <c r="AF1195" s="5"/>
      <c r="AG1195" s="5"/>
      <c r="AH1195" s="5"/>
      <c r="AI1195" s="5"/>
      <c r="AJ1195" s="5"/>
      <c r="AK1195" s="5"/>
      <c r="AL1195" s="5"/>
    </row>
    <row r="1196">
      <c r="A1196" s="4" t="str">
        <f>VLOOKUP(L1196,payment_ids!C:D,2,FALSE)</f>
        <v>pay_HI9iDt0Zeta109</v>
      </c>
      <c r="B1196" s="4"/>
      <c r="C1196" s="4" t="s">
        <v>4281</v>
      </c>
      <c r="D1196" s="4">
        <v>50079.0</v>
      </c>
      <c r="E1196" s="5"/>
      <c r="F1196" s="4">
        <v>1.0</v>
      </c>
      <c r="G1196" s="4">
        <v>99.0</v>
      </c>
      <c r="H1196" s="4"/>
      <c r="I1196" s="4">
        <v>99.0</v>
      </c>
      <c r="J1196" s="4" t="s">
        <v>4339</v>
      </c>
      <c r="K1196" s="5">
        <f>+919545451193</f>
        <v>919545451193</v>
      </c>
      <c r="L1196" s="4" t="str">
        <f t="shared" si="1"/>
        <v>sonybagga@gmail.com919545451193</v>
      </c>
      <c r="M1196" s="10" t="s">
        <v>67</v>
      </c>
      <c r="N1196" s="4" t="b">
        <v>0</v>
      </c>
      <c r="O1196" s="4" t="str">
        <f>VLOOKUP(A1196,payment_ids!D:E,2,FALSE)</f>
        <v>upi</v>
      </c>
      <c r="P1196" s="4" t="s">
        <v>69</v>
      </c>
      <c r="Q1196" s="11">
        <v>44233.65972222222</v>
      </c>
      <c r="R1196" s="4"/>
      <c r="S1196" s="12" t="s">
        <v>4284</v>
      </c>
      <c r="T1196" s="5"/>
      <c r="U1196" s="4"/>
      <c r="V1196" s="4"/>
      <c r="W1196" s="5"/>
      <c r="X1196" s="4"/>
      <c r="Y1196" s="4"/>
      <c r="Z1196" s="5"/>
      <c r="AA1196" s="4"/>
      <c r="AB1196" s="4"/>
      <c r="AC1196" s="4"/>
      <c r="AD1196" s="5"/>
      <c r="AE1196" s="5"/>
      <c r="AF1196" s="5"/>
      <c r="AG1196" s="5"/>
      <c r="AH1196" s="5"/>
      <c r="AI1196" s="5"/>
      <c r="AJ1196" s="5"/>
      <c r="AK1196" s="5"/>
      <c r="AL1196" s="5"/>
    </row>
    <row r="1197">
      <c r="A1197" s="4" t="str">
        <f>VLOOKUP(L1197,payment_ids!C:D,2,FALSE)</f>
        <v>pay_HIE7wpRX7qvBbI</v>
      </c>
      <c r="B1197" s="4"/>
      <c r="C1197" s="4" t="s">
        <v>4281</v>
      </c>
      <c r="D1197" s="4">
        <v>50079.0</v>
      </c>
      <c r="E1197" s="5"/>
      <c r="F1197" s="4">
        <v>1.0</v>
      </c>
      <c r="G1197" s="4">
        <v>99.0</v>
      </c>
      <c r="H1197" s="4"/>
      <c r="I1197" s="4">
        <v>99.0</v>
      </c>
      <c r="J1197" s="4" t="s">
        <v>4340</v>
      </c>
      <c r="K1197" s="5">
        <f>+919644518495</f>
        <v>919644518495</v>
      </c>
      <c r="L1197" s="4" t="str">
        <f t="shared" si="1"/>
        <v>ambadevaid@gmail.com919644518495</v>
      </c>
      <c r="M1197" s="10" t="s">
        <v>67</v>
      </c>
      <c r="N1197" s="4" t="b">
        <v>0</v>
      </c>
      <c r="O1197" s="4" t="str">
        <f>VLOOKUP(A1197,payment_ids!D:E,2,FALSE)</f>
        <v>upi</v>
      </c>
      <c r="P1197" s="4" t="s">
        <v>69</v>
      </c>
      <c r="Q1197" s="11">
        <v>44233.842361111114</v>
      </c>
      <c r="R1197" s="4"/>
      <c r="S1197" s="12" t="s">
        <v>4284</v>
      </c>
      <c r="T1197" s="5"/>
      <c r="U1197" s="4"/>
      <c r="V1197" s="4"/>
      <c r="W1197" s="5"/>
      <c r="X1197" s="4"/>
      <c r="Y1197" s="4"/>
      <c r="Z1197" s="5"/>
      <c r="AA1197" s="4"/>
      <c r="AB1197" s="4"/>
      <c r="AC1197" s="4"/>
      <c r="AD1197" s="5"/>
      <c r="AE1197" s="5"/>
      <c r="AF1197" s="5"/>
      <c r="AG1197" s="5"/>
      <c r="AH1197" s="5"/>
      <c r="AI1197" s="5"/>
      <c r="AJ1197" s="5"/>
      <c r="AK1197" s="5"/>
      <c r="AL1197" s="5"/>
    </row>
    <row r="1198">
      <c r="A1198" s="4" t="str">
        <f>VLOOKUP(L1198,payment_ids!C:D,2,FALSE)</f>
        <v>pay_H7SawirRCbQyVU</v>
      </c>
      <c r="B1198" s="4"/>
      <c r="C1198" s="4" t="s">
        <v>4341</v>
      </c>
      <c r="D1198" s="4">
        <v>50039.0</v>
      </c>
      <c r="E1198" s="4"/>
      <c r="F1198" s="4">
        <v>3.0</v>
      </c>
      <c r="G1198" s="4">
        <v>199.0</v>
      </c>
      <c r="H1198" s="4"/>
      <c r="I1198" s="4">
        <v>199.0</v>
      </c>
      <c r="J1198" s="4" t="s">
        <v>4342</v>
      </c>
      <c r="K1198" s="6">
        <f>+917330993304</f>
        <v>917330993304</v>
      </c>
      <c r="L1198" s="4" t="str">
        <f t="shared" si="1"/>
        <v>nittalayamini@gmail.com917330993304</v>
      </c>
      <c r="M1198" s="10" t="s">
        <v>67</v>
      </c>
      <c r="N1198" s="4" t="b">
        <v>0</v>
      </c>
      <c r="O1198" s="4" t="str">
        <f>VLOOKUP(A1198,payment_ids!D:E,2,FALSE)</f>
        <v>upi</v>
      </c>
      <c r="P1198" s="4" t="s">
        <v>69</v>
      </c>
      <c r="Q1198" s="11">
        <v>44352.63125</v>
      </c>
      <c r="R1198" s="4"/>
      <c r="S1198" s="12" t="s">
        <v>4343</v>
      </c>
      <c r="T1198" s="4"/>
      <c r="U1198" s="4"/>
      <c r="V1198" s="4"/>
      <c r="W1198" s="5"/>
      <c r="X1198" s="4"/>
      <c r="Y1198" s="4"/>
      <c r="Z1198" s="5"/>
      <c r="AA1198" s="4"/>
      <c r="AB1198" s="4"/>
      <c r="AC1198" s="4"/>
      <c r="AD1198" s="5"/>
      <c r="AE1198" s="5"/>
      <c r="AF1198" s="5"/>
      <c r="AG1198" s="5"/>
      <c r="AH1198" s="5"/>
      <c r="AI1198" s="5"/>
      <c r="AJ1198" s="5"/>
      <c r="AK1198" s="5"/>
      <c r="AL1198" s="5"/>
    </row>
    <row r="1199">
      <c r="A1199" s="4" t="str">
        <f>VLOOKUP(L1199,payment_ids!C:D,2,FALSE)</f>
        <v>pay_H7Pk6IcRN0Jofh</v>
      </c>
      <c r="B1199" s="4"/>
      <c r="C1199" s="4" t="s">
        <v>4341</v>
      </c>
      <c r="D1199" s="4">
        <v>50039.0</v>
      </c>
      <c r="E1199" s="4"/>
      <c r="F1199" s="4">
        <v>1.0</v>
      </c>
      <c r="G1199" s="4">
        <v>99.0</v>
      </c>
      <c r="H1199" s="4"/>
      <c r="I1199" s="4">
        <v>99.0</v>
      </c>
      <c r="J1199" s="4" t="s">
        <v>1983</v>
      </c>
      <c r="K1199" s="6">
        <f>+919712769928</f>
        <v>919712769928</v>
      </c>
      <c r="L1199" s="4" t="str">
        <f t="shared" si="1"/>
        <v>shreeya.kharbanda@gmail.com919712769928</v>
      </c>
      <c r="M1199" s="10" t="s">
        <v>67</v>
      </c>
      <c r="N1199" s="4" t="b">
        <v>0</v>
      </c>
      <c r="O1199" s="4" t="str">
        <f>VLOOKUP(A1199,payment_ids!D:E,2,FALSE)</f>
        <v>upi</v>
      </c>
      <c r="P1199" s="4" t="s">
        <v>69</v>
      </c>
      <c r="Q1199" s="11">
        <v>44352.51527777778</v>
      </c>
      <c r="R1199" s="4"/>
      <c r="S1199" s="12" t="s">
        <v>4343</v>
      </c>
      <c r="T1199" s="4"/>
      <c r="U1199" s="4"/>
      <c r="V1199" s="4"/>
      <c r="W1199" s="5"/>
      <c r="X1199" s="4"/>
      <c r="Y1199" s="4"/>
      <c r="Z1199" s="5"/>
      <c r="AA1199" s="4"/>
      <c r="AB1199" s="4"/>
      <c r="AC1199" s="4"/>
      <c r="AD1199" s="5"/>
      <c r="AE1199" s="5"/>
      <c r="AF1199" s="5"/>
      <c r="AG1199" s="5"/>
      <c r="AH1199" s="5"/>
      <c r="AI1199" s="5"/>
      <c r="AJ1199" s="5"/>
      <c r="AK1199" s="5"/>
      <c r="AL1199" s="5"/>
    </row>
    <row r="1200">
      <c r="A1200" s="4" t="str">
        <f>VLOOKUP(L1200,payment_ids!C:D,2,FALSE)</f>
        <v>pay_H8An4U5m9l9dyL</v>
      </c>
      <c r="B1200" s="4"/>
      <c r="C1200" s="4" t="s">
        <v>4341</v>
      </c>
      <c r="D1200" s="4">
        <v>50039.0</v>
      </c>
      <c r="E1200" s="4"/>
      <c r="F1200" s="4">
        <v>1.0</v>
      </c>
      <c r="G1200" s="4">
        <v>99.0</v>
      </c>
      <c r="H1200" s="4"/>
      <c r="I1200" s="4">
        <v>99.0</v>
      </c>
      <c r="J1200" s="4" t="s">
        <v>4344</v>
      </c>
      <c r="K1200" s="6">
        <f>+919742197987</f>
        <v>919742197987</v>
      </c>
      <c r="L1200" s="4" t="str">
        <f t="shared" si="1"/>
        <v>s.swethadri@gmail.com919742197987</v>
      </c>
      <c r="M1200" s="10" t="s">
        <v>67</v>
      </c>
      <c r="N1200" s="4" t="b">
        <v>0</v>
      </c>
      <c r="O1200" s="4" t="str">
        <f>VLOOKUP(A1200,payment_ids!D:E,2,FALSE)</f>
        <v>upi</v>
      </c>
      <c r="P1200" s="4" t="s">
        <v>69</v>
      </c>
      <c r="Q1200" s="11">
        <v>44413.43263888889</v>
      </c>
      <c r="R1200" s="4"/>
      <c r="S1200" s="12" t="s">
        <v>4343</v>
      </c>
      <c r="T1200" s="4"/>
      <c r="U1200" s="4"/>
      <c r="V1200" s="4"/>
      <c r="W1200" s="5"/>
      <c r="X1200" s="4"/>
      <c r="Y1200" s="4"/>
      <c r="Z1200" s="5"/>
      <c r="AA1200" s="4"/>
      <c r="AB1200" s="4"/>
      <c r="AC1200" s="4"/>
      <c r="AD1200" s="5"/>
      <c r="AE1200" s="5"/>
      <c r="AF1200" s="5"/>
      <c r="AG1200" s="5"/>
      <c r="AH1200" s="5"/>
      <c r="AI1200" s="5"/>
      <c r="AJ1200" s="5"/>
      <c r="AK1200" s="5"/>
      <c r="AL1200" s="5"/>
    </row>
    <row r="1201">
      <c r="A1201" s="4" t="str">
        <f>VLOOKUP(L1201,payment_ids!C:D,2,FALSE)</f>
        <v>pay_H8bBs8XdrAiN5M</v>
      </c>
      <c r="B1201" s="4"/>
      <c r="C1201" s="4" t="s">
        <v>4341</v>
      </c>
      <c r="D1201" s="4">
        <v>50039.0</v>
      </c>
      <c r="E1201" s="4"/>
      <c r="F1201" s="4">
        <v>1.0</v>
      </c>
      <c r="G1201" s="4">
        <v>99.0</v>
      </c>
      <c r="H1201" s="4"/>
      <c r="I1201" s="4">
        <v>99.0</v>
      </c>
      <c r="J1201" s="4" t="s">
        <v>4345</v>
      </c>
      <c r="K1201" s="6">
        <f>+917888328650</f>
        <v>917888328650</v>
      </c>
      <c r="L1201" s="4" t="str">
        <f t="shared" si="1"/>
        <v>sonalmtech89@gmail.com917888328650</v>
      </c>
      <c r="M1201" s="10" t="s">
        <v>67</v>
      </c>
      <c r="N1201" s="4" t="b">
        <v>0</v>
      </c>
      <c r="O1201" s="4" t="str">
        <f>VLOOKUP(A1201,payment_ids!D:E,2,FALSE)</f>
        <v>upi</v>
      </c>
      <c r="P1201" s="4" t="s">
        <v>69</v>
      </c>
      <c r="Q1201" s="11">
        <v>44444.50902777778</v>
      </c>
      <c r="R1201" s="4"/>
      <c r="S1201" s="12" t="s">
        <v>4343</v>
      </c>
      <c r="T1201" s="4"/>
      <c r="U1201" s="4"/>
      <c r="V1201" s="4"/>
      <c r="W1201" s="5"/>
      <c r="X1201" s="4"/>
      <c r="Y1201" s="4"/>
      <c r="Z1201" s="5"/>
      <c r="AA1201" s="4"/>
      <c r="AB1201" s="4"/>
      <c r="AC1201" s="4"/>
      <c r="AD1201" s="5"/>
      <c r="AE1201" s="5"/>
      <c r="AF1201" s="5"/>
      <c r="AG1201" s="5"/>
      <c r="AH1201" s="5"/>
      <c r="AI1201" s="5"/>
      <c r="AJ1201" s="5"/>
      <c r="AK1201" s="5"/>
      <c r="AL1201" s="5"/>
    </row>
    <row r="1202">
      <c r="A1202" s="4" t="str">
        <f>VLOOKUP(L1202,payment_ids!C:D,2,FALSE)</f>
        <v>pay_H91D4XamaUDvi1</v>
      </c>
      <c r="B1202" s="4"/>
      <c r="C1202" s="4" t="s">
        <v>4341</v>
      </c>
      <c r="D1202" s="4">
        <v>50039.0</v>
      </c>
      <c r="E1202" s="4"/>
      <c r="F1202" s="4">
        <v>1.0</v>
      </c>
      <c r="G1202" s="4">
        <v>99.0</v>
      </c>
      <c r="H1202" s="4"/>
      <c r="I1202" s="4">
        <v>99.0</v>
      </c>
      <c r="J1202" s="4" t="s">
        <v>4346</v>
      </c>
      <c r="K1202" s="6">
        <f>+919098703100</f>
        <v>919098703100</v>
      </c>
      <c r="L1202" s="4" t="str">
        <f t="shared" si="1"/>
        <v>awasthiswapnil@gmail.com919098703100</v>
      </c>
      <c r="M1202" s="10" t="s">
        <v>67</v>
      </c>
      <c r="N1202" s="4" t="b">
        <v>0</v>
      </c>
      <c r="O1202" s="4" t="str">
        <f>VLOOKUP(A1202,payment_ids!D:E,2,FALSE)</f>
        <v>upi</v>
      </c>
      <c r="P1202" s="4" t="s">
        <v>69</v>
      </c>
      <c r="Q1202" s="11">
        <v>44474.569444444445</v>
      </c>
      <c r="R1202" s="4"/>
      <c r="S1202" s="12" t="s">
        <v>4343</v>
      </c>
      <c r="T1202" s="4"/>
      <c r="U1202" s="4"/>
      <c r="V1202" s="4"/>
      <c r="W1202" s="5"/>
      <c r="X1202" s="4"/>
      <c r="Y1202" s="4"/>
      <c r="Z1202" s="5"/>
      <c r="AA1202" s="4"/>
      <c r="AB1202" s="4"/>
      <c r="AC1202" s="4"/>
      <c r="AD1202" s="5"/>
      <c r="AE1202" s="5"/>
      <c r="AF1202" s="5"/>
      <c r="AG1202" s="5"/>
      <c r="AH1202" s="5"/>
      <c r="AI1202" s="5"/>
      <c r="AJ1202" s="5"/>
      <c r="AK1202" s="5"/>
      <c r="AL1202" s="5"/>
    </row>
    <row r="1203">
      <c r="A1203" s="4" t="str">
        <f>VLOOKUP(L1203,payment_ids!C:D,2,FALSE)</f>
        <v>pay_H9A3v3TPw3h1c9</v>
      </c>
      <c r="B1203" s="4"/>
      <c r="C1203" s="4" t="s">
        <v>4341</v>
      </c>
      <c r="D1203" s="4">
        <v>50039.0</v>
      </c>
      <c r="E1203" s="4"/>
      <c r="F1203" s="4">
        <v>1.0</v>
      </c>
      <c r="G1203" s="4">
        <v>99.0</v>
      </c>
      <c r="H1203" s="4"/>
      <c r="I1203" s="4">
        <v>99.0</v>
      </c>
      <c r="J1203" s="4" t="s">
        <v>4347</v>
      </c>
      <c r="K1203" s="6">
        <f>+917875438507</f>
        <v>917875438507</v>
      </c>
      <c r="L1203" s="4" t="str">
        <f t="shared" si="1"/>
        <v>amit.m.waghmare@gmail.com917875438507</v>
      </c>
      <c r="M1203" s="10" t="s">
        <v>67</v>
      </c>
      <c r="N1203" s="4" t="b">
        <v>0</v>
      </c>
      <c r="O1203" s="4" t="str">
        <f>VLOOKUP(A1203,payment_ids!D:E,2,FALSE)</f>
        <v>card</v>
      </c>
      <c r="P1203" s="4" t="s">
        <v>69</v>
      </c>
      <c r="Q1203" s="11">
        <v>44474.92986111111</v>
      </c>
      <c r="R1203" s="4"/>
      <c r="S1203" s="12" t="s">
        <v>4343</v>
      </c>
      <c r="T1203" s="4"/>
      <c r="U1203" s="4"/>
      <c r="V1203" s="4"/>
      <c r="W1203" s="5"/>
      <c r="X1203" s="4"/>
      <c r="Y1203" s="4"/>
      <c r="Z1203" s="5"/>
      <c r="AA1203" s="4"/>
      <c r="AB1203" s="4"/>
      <c r="AC1203" s="4"/>
      <c r="AD1203" s="5"/>
      <c r="AE1203" s="5"/>
      <c r="AF1203" s="5"/>
      <c r="AG1203" s="5"/>
      <c r="AH1203" s="5"/>
      <c r="AI1203" s="5"/>
      <c r="AJ1203" s="5"/>
      <c r="AK1203" s="5"/>
      <c r="AL1203" s="5"/>
    </row>
    <row r="1204">
      <c r="A1204" s="4" t="str">
        <f>VLOOKUP(L1204,payment_ids!C:D,2,FALSE)</f>
        <v>pay_HBC5xO2pTwDLjt</v>
      </c>
      <c r="B1204" s="4"/>
      <c r="C1204" s="4" t="s">
        <v>4341</v>
      </c>
      <c r="D1204" s="4">
        <v>50039.0</v>
      </c>
      <c r="E1204" s="4"/>
      <c r="F1204" s="4">
        <v>6.0</v>
      </c>
      <c r="G1204" s="4">
        <v>349.0</v>
      </c>
      <c r="H1204" s="4"/>
      <c r="I1204" s="4">
        <v>349.0</v>
      </c>
      <c r="J1204" s="4" t="s">
        <v>4348</v>
      </c>
      <c r="K1204" s="6">
        <f t="shared" ref="K1204:K1205" si="7">+919003024509</f>
        <v>919003024509</v>
      </c>
      <c r="L1204" s="4" t="str">
        <f t="shared" si="1"/>
        <v>alagates@gmail.com919003024509</v>
      </c>
      <c r="M1204" s="10" t="s">
        <v>67</v>
      </c>
      <c r="N1204" s="4" t="b">
        <v>0</v>
      </c>
      <c r="O1204" s="4" t="str">
        <f>VLOOKUP(A1204,payment_ids!D:E,2,FALSE)</f>
        <v>card</v>
      </c>
      <c r="P1204" s="4" t="s">
        <v>69</v>
      </c>
      <c r="Q1204" s="4" t="s">
        <v>4349</v>
      </c>
      <c r="R1204" s="4"/>
      <c r="S1204" s="12" t="s">
        <v>4343</v>
      </c>
      <c r="T1204" s="4"/>
      <c r="U1204" s="4"/>
      <c r="V1204" s="4"/>
      <c r="W1204" s="5"/>
      <c r="X1204" s="4"/>
      <c r="Y1204" s="4"/>
      <c r="Z1204" s="5"/>
      <c r="AA1204" s="4"/>
      <c r="AB1204" s="4"/>
      <c r="AC1204" s="4"/>
      <c r="AD1204" s="5"/>
      <c r="AE1204" s="5"/>
      <c r="AF1204" s="5"/>
      <c r="AG1204" s="5"/>
      <c r="AH1204" s="5"/>
      <c r="AI1204" s="5"/>
      <c r="AJ1204" s="5"/>
      <c r="AK1204" s="5"/>
      <c r="AL1204" s="5"/>
    </row>
    <row r="1205">
      <c r="A1205" s="4" t="str">
        <f>VLOOKUP(L1205,payment_ids!C:D,2,FALSE)</f>
        <v>pay_HBC5xO2pTwDLjt</v>
      </c>
      <c r="B1205" s="4"/>
      <c r="C1205" s="4" t="s">
        <v>4341</v>
      </c>
      <c r="D1205" s="4">
        <v>50039.0</v>
      </c>
      <c r="E1205" s="4"/>
      <c r="F1205" s="4">
        <v>6.0</v>
      </c>
      <c r="G1205" s="4">
        <v>349.0</v>
      </c>
      <c r="H1205" s="4"/>
      <c r="I1205" s="4">
        <v>349.0</v>
      </c>
      <c r="J1205" s="4" t="s">
        <v>4348</v>
      </c>
      <c r="K1205" s="6">
        <f t="shared" si="7"/>
        <v>919003024509</v>
      </c>
      <c r="L1205" s="4" t="str">
        <f t="shared" si="1"/>
        <v>alagates@gmail.com919003024509</v>
      </c>
      <c r="M1205" s="10" t="s">
        <v>67</v>
      </c>
      <c r="N1205" s="4" t="b">
        <v>0</v>
      </c>
      <c r="O1205" s="4" t="str">
        <f>VLOOKUP(A1205,payment_ids!D:E,2,FALSE)</f>
        <v>card</v>
      </c>
      <c r="P1205" s="4" t="s">
        <v>69</v>
      </c>
      <c r="Q1205" s="4" t="s">
        <v>4350</v>
      </c>
      <c r="R1205" s="4"/>
      <c r="S1205" s="12" t="s">
        <v>4343</v>
      </c>
      <c r="T1205" s="4"/>
      <c r="U1205" s="4"/>
      <c r="V1205" s="4"/>
      <c r="W1205" s="5"/>
      <c r="X1205" s="4"/>
      <c r="Y1205" s="4"/>
      <c r="Z1205" s="5"/>
      <c r="AA1205" s="4"/>
      <c r="AB1205" s="4"/>
      <c r="AC1205" s="4"/>
      <c r="AD1205" s="5"/>
      <c r="AE1205" s="5"/>
      <c r="AF1205" s="5"/>
      <c r="AG1205" s="5"/>
      <c r="AH1205" s="5"/>
      <c r="AI1205" s="5"/>
      <c r="AJ1205" s="5"/>
      <c r="AK1205" s="5"/>
      <c r="AL1205" s="5"/>
    </row>
    <row r="1206">
      <c r="A1206" s="4" t="str">
        <f>VLOOKUP(L1206,payment_ids!C:D,2,FALSE)</f>
        <v>pay_HBM5m4mvG1Vveq</v>
      </c>
      <c r="B1206" s="4"/>
      <c r="C1206" s="4" t="s">
        <v>4341</v>
      </c>
      <c r="D1206" s="4">
        <v>50039.0</v>
      </c>
      <c r="E1206" s="4"/>
      <c r="F1206" s="4">
        <v>6.0</v>
      </c>
      <c r="G1206" s="4">
        <v>349.0</v>
      </c>
      <c r="H1206" s="4"/>
      <c r="I1206" s="4">
        <v>349.0</v>
      </c>
      <c r="J1206" s="4" t="s">
        <v>4351</v>
      </c>
      <c r="K1206" s="6">
        <f>+919844997400</f>
        <v>919844997400</v>
      </c>
      <c r="L1206" s="4" t="str">
        <f t="shared" si="1"/>
        <v>amritap004@gmail.com919844997400</v>
      </c>
      <c r="M1206" s="10" t="s">
        <v>67</v>
      </c>
      <c r="N1206" s="4" t="b">
        <v>0</v>
      </c>
      <c r="O1206" s="4" t="str">
        <f>VLOOKUP(A1206,payment_ids!D:E,2,FALSE)</f>
        <v>upi</v>
      </c>
      <c r="P1206" s="4" t="s">
        <v>69</v>
      </c>
      <c r="Q1206" s="4" t="s">
        <v>4352</v>
      </c>
      <c r="R1206" s="4"/>
      <c r="S1206" s="12" t="s">
        <v>4343</v>
      </c>
      <c r="T1206" s="4"/>
      <c r="U1206" s="4"/>
      <c r="V1206" s="4"/>
      <c r="W1206" s="5"/>
      <c r="X1206" s="4"/>
      <c r="Y1206" s="4"/>
      <c r="Z1206" s="5"/>
      <c r="AA1206" s="4"/>
      <c r="AB1206" s="4"/>
      <c r="AC1206" s="4"/>
      <c r="AD1206" s="5"/>
      <c r="AE1206" s="5"/>
      <c r="AF1206" s="5"/>
      <c r="AG1206" s="5"/>
      <c r="AH1206" s="5"/>
      <c r="AI1206" s="5"/>
      <c r="AJ1206" s="5"/>
      <c r="AK1206" s="5"/>
      <c r="AL1206" s="5"/>
    </row>
    <row r="1207">
      <c r="A1207" s="4" t="str">
        <f>VLOOKUP(L1207,payment_ids!C:D,2,FALSE)</f>
        <v>pay_H7rPlsIO7PsZlv</v>
      </c>
      <c r="B1207" s="4"/>
      <c r="C1207" s="4" t="s">
        <v>4341</v>
      </c>
      <c r="D1207" s="4">
        <v>50039.0</v>
      </c>
      <c r="E1207" s="4"/>
      <c r="F1207" s="4">
        <v>1.0</v>
      </c>
      <c r="G1207" s="4">
        <v>99.0</v>
      </c>
      <c r="H1207" s="4"/>
      <c r="I1207" s="4">
        <v>99.0</v>
      </c>
      <c r="J1207" s="4" t="s">
        <v>4353</v>
      </c>
      <c r="K1207" s="6">
        <f>+919620029222</f>
        <v>919620029222</v>
      </c>
      <c r="L1207" s="4" t="str">
        <f t="shared" si="1"/>
        <v>venkat247@gmail.com919620029222</v>
      </c>
      <c r="M1207" s="10" t="s">
        <v>67</v>
      </c>
      <c r="N1207" s="4" t="b">
        <v>0</v>
      </c>
      <c r="O1207" s="4" t="str">
        <f>VLOOKUP(A1207,payment_ids!D:E,2,FALSE)</f>
        <v>upi</v>
      </c>
      <c r="P1207" s="4" t="s">
        <v>69</v>
      </c>
      <c r="Q1207" s="4" t="s">
        <v>4354</v>
      </c>
      <c r="R1207" s="4"/>
      <c r="S1207" s="12" t="s">
        <v>4343</v>
      </c>
      <c r="T1207" s="4"/>
      <c r="U1207" s="4"/>
      <c r="V1207" s="4"/>
      <c r="W1207" s="5"/>
      <c r="X1207" s="4"/>
      <c r="Y1207" s="4"/>
      <c r="Z1207" s="5"/>
      <c r="AA1207" s="4"/>
      <c r="AB1207" s="4"/>
      <c r="AC1207" s="4"/>
      <c r="AD1207" s="5"/>
      <c r="AE1207" s="5"/>
      <c r="AF1207" s="5"/>
      <c r="AG1207" s="5"/>
      <c r="AH1207" s="5"/>
      <c r="AI1207" s="5"/>
      <c r="AJ1207" s="5"/>
      <c r="AK1207" s="5"/>
      <c r="AL1207" s="5"/>
    </row>
    <row r="1208">
      <c r="A1208" s="4" t="str">
        <f>VLOOKUP(L1208,payment_ids!C:D,2,FALSE)</f>
        <v>pay_HDOHhFHFc2aXHU</v>
      </c>
      <c r="B1208" s="4"/>
      <c r="C1208" s="4" t="s">
        <v>4341</v>
      </c>
      <c r="D1208" s="4">
        <v>50039.0</v>
      </c>
      <c r="E1208" s="4"/>
      <c r="F1208" s="4">
        <v>3.0</v>
      </c>
      <c r="G1208" s="4">
        <v>199.0</v>
      </c>
      <c r="H1208" s="4"/>
      <c r="I1208" s="4">
        <v>199.0</v>
      </c>
      <c r="J1208" s="4" t="s">
        <v>4355</v>
      </c>
      <c r="K1208" s="6">
        <f>+919811613676</f>
        <v>919811613676</v>
      </c>
      <c r="L1208" s="4" t="str">
        <f t="shared" si="1"/>
        <v>madhur0206@gmail.com919811613676</v>
      </c>
      <c r="M1208" s="10" t="s">
        <v>67</v>
      </c>
      <c r="N1208" s="4" t="b">
        <v>0</v>
      </c>
      <c r="O1208" s="4" t="str">
        <f>VLOOKUP(A1208,payment_ids!D:E,2,FALSE)</f>
        <v>wallet</v>
      </c>
      <c r="P1208" s="4" t="s">
        <v>69</v>
      </c>
      <c r="Q1208" s="4" t="s">
        <v>4356</v>
      </c>
      <c r="R1208" s="4"/>
      <c r="S1208" s="12" t="s">
        <v>4343</v>
      </c>
      <c r="T1208" s="4"/>
      <c r="U1208" s="4"/>
      <c r="V1208" s="4"/>
      <c r="W1208" s="5"/>
      <c r="X1208" s="4"/>
      <c r="Y1208" s="4"/>
      <c r="Z1208" s="5"/>
      <c r="AA1208" s="4"/>
      <c r="AB1208" s="4"/>
      <c r="AC1208" s="4"/>
      <c r="AD1208" s="5"/>
      <c r="AE1208" s="5"/>
      <c r="AF1208" s="5"/>
      <c r="AG1208" s="5"/>
      <c r="AH1208" s="5"/>
      <c r="AI1208" s="5"/>
      <c r="AJ1208" s="5"/>
      <c r="AK1208" s="5"/>
      <c r="AL1208" s="5"/>
    </row>
    <row r="1209">
      <c r="A1209" s="4" t="str">
        <f>VLOOKUP(L1209,payment_ids!C:D,2,FALSE)</f>
        <v>pay_HDPcDTe07tAyzu</v>
      </c>
      <c r="B1209" s="4"/>
      <c r="C1209" s="4" t="s">
        <v>4341</v>
      </c>
      <c r="D1209" s="4">
        <v>50039.0</v>
      </c>
      <c r="E1209" s="4"/>
      <c r="F1209" s="4">
        <v>1.0</v>
      </c>
      <c r="G1209" s="4">
        <v>99.0</v>
      </c>
      <c r="H1209" s="4"/>
      <c r="I1209" s="4">
        <v>99.0</v>
      </c>
      <c r="J1209" s="4" t="s">
        <v>4357</v>
      </c>
      <c r="K1209" s="6">
        <f>+917827174844</f>
        <v>917827174844</v>
      </c>
      <c r="L1209" s="4" t="str">
        <f t="shared" si="1"/>
        <v>satishagrawal629@gmail.com917827174844</v>
      </c>
      <c r="M1209" s="10" t="s">
        <v>67</v>
      </c>
      <c r="N1209" s="4" t="b">
        <v>0</v>
      </c>
      <c r="O1209" s="4" t="str">
        <f>VLOOKUP(A1209,payment_ids!D:E,2,FALSE)</f>
        <v>upi</v>
      </c>
      <c r="P1209" s="4" t="s">
        <v>69</v>
      </c>
      <c r="Q1209" s="4" t="s">
        <v>4358</v>
      </c>
      <c r="R1209" s="4"/>
      <c r="S1209" s="12" t="s">
        <v>4343</v>
      </c>
      <c r="T1209" s="4"/>
      <c r="U1209" s="4"/>
      <c r="V1209" s="4"/>
      <c r="W1209" s="5"/>
      <c r="X1209" s="4"/>
      <c r="Y1209" s="4"/>
      <c r="Z1209" s="5"/>
      <c r="AA1209" s="4"/>
      <c r="AB1209" s="4"/>
      <c r="AC1209" s="4"/>
      <c r="AD1209" s="5"/>
      <c r="AE1209" s="5"/>
      <c r="AF1209" s="5"/>
      <c r="AG1209" s="5"/>
      <c r="AH1209" s="5"/>
      <c r="AI1209" s="5"/>
      <c r="AJ1209" s="5"/>
      <c r="AK1209" s="5"/>
      <c r="AL1209" s="5"/>
    </row>
    <row r="1210">
      <c r="A1210" s="4" t="str">
        <f>VLOOKUP(L1210,payment_ids!C:D,2,FALSE)</f>
        <v>pay_HDPwK6WfL1IHqH</v>
      </c>
      <c r="B1210" s="4"/>
      <c r="C1210" s="4" t="s">
        <v>4341</v>
      </c>
      <c r="D1210" s="4">
        <v>50039.0</v>
      </c>
      <c r="E1210" s="4"/>
      <c r="F1210" s="4">
        <v>1.0</v>
      </c>
      <c r="G1210" s="4">
        <v>99.0</v>
      </c>
      <c r="H1210" s="4"/>
      <c r="I1210" s="4">
        <v>99.0</v>
      </c>
      <c r="J1210" s="4" t="s">
        <v>4359</v>
      </c>
      <c r="K1210" s="6">
        <f>+919321982105</f>
        <v>919321982105</v>
      </c>
      <c r="L1210" s="4" t="str">
        <f t="shared" si="1"/>
        <v>bhavnadamania9@gmail.com919321982105</v>
      </c>
      <c r="M1210" s="10" t="s">
        <v>67</v>
      </c>
      <c r="N1210" s="4" t="b">
        <v>0</v>
      </c>
      <c r="O1210" s="4" t="str">
        <f>VLOOKUP(A1210,payment_ids!D:E,2,FALSE)</f>
        <v>upi</v>
      </c>
      <c r="P1210" s="4" t="s">
        <v>69</v>
      </c>
      <c r="Q1210" s="4" t="s">
        <v>4360</v>
      </c>
      <c r="R1210" s="4"/>
      <c r="S1210" s="12" t="s">
        <v>4343</v>
      </c>
      <c r="T1210" s="4"/>
      <c r="U1210" s="4"/>
      <c r="V1210" s="4"/>
      <c r="W1210" s="5"/>
      <c r="X1210" s="4"/>
      <c r="Y1210" s="4"/>
      <c r="Z1210" s="5"/>
      <c r="AA1210" s="4"/>
      <c r="AB1210" s="4"/>
      <c r="AC1210" s="4"/>
      <c r="AD1210" s="5"/>
      <c r="AE1210" s="5"/>
      <c r="AF1210" s="5"/>
      <c r="AG1210" s="5"/>
      <c r="AH1210" s="5"/>
      <c r="AI1210" s="5"/>
      <c r="AJ1210" s="5"/>
      <c r="AK1210" s="5"/>
      <c r="AL1210" s="5"/>
    </row>
    <row r="1211">
      <c r="A1211" s="4" t="str">
        <f>VLOOKUP(L1211,payment_ids!C:D,2,FALSE)</f>
        <v>pay_HDok5zOeHGIvco</v>
      </c>
      <c r="B1211" s="4"/>
      <c r="C1211" s="4" t="s">
        <v>4341</v>
      </c>
      <c r="D1211" s="4">
        <v>50039.0</v>
      </c>
      <c r="E1211" s="4"/>
      <c r="F1211" s="4">
        <v>1.0</v>
      </c>
      <c r="G1211" s="4">
        <v>99.0</v>
      </c>
      <c r="H1211" s="4"/>
      <c r="I1211" s="4">
        <v>99.0</v>
      </c>
      <c r="J1211" s="4" t="s">
        <v>4361</v>
      </c>
      <c r="K1211" s="6">
        <f>+919848062362</f>
        <v>919848062362</v>
      </c>
      <c r="L1211" s="4" t="str">
        <f t="shared" si="1"/>
        <v>4590sudhir@gmail.com919848062362</v>
      </c>
      <c r="M1211" s="10" t="s">
        <v>67</v>
      </c>
      <c r="N1211" s="4" t="b">
        <v>0</v>
      </c>
      <c r="O1211" s="4" t="str">
        <f>VLOOKUP(A1211,payment_ids!D:E,2,FALSE)</f>
        <v>upi</v>
      </c>
      <c r="P1211" s="4" t="s">
        <v>69</v>
      </c>
      <c r="Q1211" s="4" t="s">
        <v>4362</v>
      </c>
      <c r="R1211" s="4"/>
      <c r="S1211" s="12" t="s">
        <v>4343</v>
      </c>
      <c r="T1211" s="4"/>
      <c r="U1211" s="4"/>
      <c r="V1211" s="4"/>
      <c r="W1211" s="5"/>
      <c r="X1211" s="4"/>
      <c r="Y1211" s="4"/>
      <c r="Z1211" s="5"/>
      <c r="AA1211" s="4"/>
      <c r="AB1211" s="4"/>
      <c r="AC1211" s="4"/>
      <c r="AD1211" s="5"/>
      <c r="AE1211" s="5"/>
      <c r="AF1211" s="5"/>
      <c r="AG1211" s="5"/>
      <c r="AH1211" s="5"/>
      <c r="AI1211" s="5"/>
      <c r="AJ1211" s="5"/>
      <c r="AK1211" s="5"/>
      <c r="AL1211" s="5"/>
    </row>
    <row r="1212">
      <c r="A1212" s="4" t="str">
        <f>VLOOKUP(L1212,payment_ids!C:D,2,FALSE)</f>
        <v>pay_HEFiHVyt5AsxXP</v>
      </c>
      <c r="B1212" s="4"/>
      <c r="C1212" s="4" t="s">
        <v>4341</v>
      </c>
      <c r="D1212" s="4">
        <v>50039.0</v>
      </c>
      <c r="E1212" s="4"/>
      <c r="F1212" s="4">
        <v>6.0</v>
      </c>
      <c r="G1212" s="4">
        <v>349.0</v>
      </c>
      <c r="H1212" s="4"/>
      <c r="I1212" s="4">
        <v>349.0</v>
      </c>
      <c r="J1212" s="4" t="s">
        <v>4363</v>
      </c>
      <c r="K1212" s="6">
        <f>+919811200929</f>
        <v>919811200929</v>
      </c>
      <c r="L1212" s="4" t="str">
        <f t="shared" si="1"/>
        <v>preetisha.kaur@gmail.com919811200929</v>
      </c>
      <c r="M1212" s="10" t="s">
        <v>67</v>
      </c>
      <c r="N1212" s="4" t="b">
        <v>0</v>
      </c>
      <c r="O1212" s="4" t="str">
        <f>VLOOKUP(A1212,payment_ids!D:E,2,FALSE)</f>
        <v>card</v>
      </c>
      <c r="P1212" s="4" t="s">
        <v>69</v>
      </c>
      <c r="Q1212" s="4" t="s">
        <v>4364</v>
      </c>
      <c r="R1212" s="4"/>
      <c r="S1212" s="12" t="s">
        <v>4343</v>
      </c>
      <c r="T1212" s="4"/>
      <c r="U1212" s="4"/>
      <c r="V1212" s="4"/>
      <c r="W1212" s="5"/>
      <c r="X1212" s="4"/>
      <c r="Y1212" s="4"/>
      <c r="Z1212" s="5"/>
      <c r="AA1212" s="4"/>
      <c r="AB1212" s="4"/>
      <c r="AC1212" s="4"/>
      <c r="AD1212" s="5"/>
      <c r="AE1212" s="5"/>
      <c r="AF1212" s="5"/>
      <c r="AG1212" s="5"/>
      <c r="AH1212" s="5"/>
      <c r="AI1212" s="5"/>
      <c r="AJ1212" s="5"/>
      <c r="AK1212" s="5"/>
      <c r="AL1212" s="5"/>
    </row>
    <row r="1213">
      <c r="A1213" s="4" t="str">
        <f>VLOOKUP(L1213,payment_ids!C:D,2,FALSE)</f>
        <v>pay_HEdXdW43RvXf0k</v>
      </c>
      <c r="B1213" s="4"/>
      <c r="C1213" s="4" t="s">
        <v>4341</v>
      </c>
      <c r="D1213" s="4">
        <v>50039.0</v>
      </c>
      <c r="E1213" s="4"/>
      <c r="F1213" s="4">
        <v>3.0</v>
      </c>
      <c r="G1213" s="4">
        <v>199.0</v>
      </c>
      <c r="H1213" s="4"/>
      <c r="I1213" s="4">
        <v>199.0</v>
      </c>
      <c r="J1213" s="4" t="s">
        <v>4365</v>
      </c>
      <c r="K1213" s="6">
        <f>+919030513605</f>
        <v>919030513605</v>
      </c>
      <c r="L1213" s="4" t="str">
        <f t="shared" si="1"/>
        <v>niharikagupta365@gmail.com919030513605</v>
      </c>
      <c r="M1213" s="10" t="s">
        <v>67</v>
      </c>
      <c r="N1213" s="4" t="b">
        <v>0</v>
      </c>
      <c r="O1213" s="4" t="str">
        <f>VLOOKUP(A1213,payment_ids!D:E,2,FALSE)</f>
        <v>upi</v>
      </c>
      <c r="P1213" s="4" t="s">
        <v>69</v>
      </c>
      <c r="Q1213" s="4" t="s">
        <v>4366</v>
      </c>
      <c r="R1213" s="4"/>
      <c r="S1213" s="12" t="s">
        <v>4343</v>
      </c>
      <c r="T1213" s="4"/>
      <c r="U1213" s="4"/>
      <c r="V1213" s="4"/>
      <c r="W1213" s="5"/>
      <c r="X1213" s="4"/>
      <c r="Y1213" s="4"/>
      <c r="Z1213" s="5"/>
      <c r="AA1213" s="4"/>
      <c r="AB1213" s="4"/>
      <c r="AC1213" s="4"/>
      <c r="AD1213" s="5"/>
      <c r="AE1213" s="5"/>
      <c r="AF1213" s="5"/>
      <c r="AG1213" s="5"/>
      <c r="AH1213" s="5"/>
      <c r="AI1213" s="5"/>
      <c r="AJ1213" s="5"/>
      <c r="AK1213" s="5"/>
      <c r="AL1213" s="5"/>
    </row>
    <row r="1214">
      <c r="A1214" s="4" t="str">
        <f>VLOOKUP(L1214,payment_ids!C:D,2,FALSE)</f>
        <v>pay_HEi1GtRvLKr3LX</v>
      </c>
      <c r="B1214" s="4"/>
      <c r="C1214" s="4" t="s">
        <v>4341</v>
      </c>
      <c r="D1214" s="4">
        <v>50039.0</v>
      </c>
      <c r="E1214" s="4"/>
      <c r="F1214" s="4">
        <v>1.0</v>
      </c>
      <c r="G1214" s="4">
        <v>99.0</v>
      </c>
      <c r="H1214" s="4"/>
      <c r="I1214" s="4">
        <v>99.0</v>
      </c>
      <c r="J1214" s="4" t="s">
        <v>4367</v>
      </c>
      <c r="K1214" s="6">
        <f>+919975672777</f>
        <v>919975672777</v>
      </c>
      <c r="L1214" s="4" t="str">
        <f t="shared" si="1"/>
        <v>vijusmoon@gmail.com919975672777</v>
      </c>
      <c r="M1214" s="10" t="s">
        <v>67</v>
      </c>
      <c r="N1214" s="4" t="b">
        <v>0</v>
      </c>
      <c r="O1214" s="4" t="str">
        <f>VLOOKUP(A1214,payment_ids!D:E,2,FALSE)</f>
        <v>upi</v>
      </c>
      <c r="P1214" s="4" t="s">
        <v>69</v>
      </c>
      <c r="Q1214" s="4" t="s">
        <v>4368</v>
      </c>
      <c r="R1214" s="4"/>
      <c r="S1214" s="12" t="s">
        <v>4343</v>
      </c>
      <c r="T1214" s="4"/>
      <c r="U1214" s="4"/>
      <c r="V1214" s="4"/>
      <c r="W1214" s="5"/>
      <c r="X1214" s="4"/>
      <c r="Y1214" s="4"/>
      <c r="Z1214" s="5"/>
      <c r="AA1214" s="4"/>
      <c r="AB1214" s="4"/>
      <c r="AC1214" s="4"/>
      <c r="AD1214" s="5"/>
      <c r="AE1214" s="5"/>
      <c r="AF1214" s="5"/>
      <c r="AG1214" s="5"/>
      <c r="AH1214" s="5"/>
      <c r="AI1214" s="5"/>
      <c r="AJ1214" s="5"/>
      <c r="AK1214" s="5"/>
      <c r="AL1214" s="5"/>
    </row>
    <row r="1215">
      <c r="A1215" s="4" t="str">
        <f>VLOOKUP(L1215,payment_ids!C:D,2,FALSE)</f>
        <v>pay_H8zW2N7UwsDguG</v>
      </c>
      <c r="B1215" s="4"/>
      <c r="C1215" s="4" t="s">
        <v>4341</v>
      </c>
      <c r="D1215" s="4">
        <v>50039.0</v>
      </c>
      <c r="E1215" s="4"/>
      <c r="F1215" s="4">
        <v>1.0</v>
      </c>
      <c r="G1215" s="4">
        <v>99.0</v>
      </c>
      <c r="H1215" s="4"/>
      <c r="I1215" s="4">
        <v>99.0</v>
      </c>
      <c r="J1215" s="4" t="s">
        <v>4369</v>
      </c>
      <c r="K1215" s="6">
        <f>+919899824290</f>
        <v>919899824290</v>
      </c>
      <c r="L1215" s="4" t="str">
        <f t="shared" si="1"/>
        <v>divya.batraconnect@gmail.com919899824290</v>
      </c>
      <c r="M1215" s="10" t="s">
        <v>67</v>
      </c>
      <c r="N1215" s="4" t="b">
        <v>0</v>
      </c>
      <c r="O1215" s="4" t="str">
        <f>VLOOKUP(A1215,payment_ids!D:E,2,FALSE)</f>
        <v>upi</v>
      </c>
      <c r="P1215" s="4" t="s">
        <v>69</v>
      </c>
      <c r="Q1215" s="4" t="s">
        <v>4370</v>
      </c>
      <c r="R1215" s="4"/>
      <c r="S1215" s="12" t="s">
        <v>4343</v>
      </c>
      <c r="T1215" s="4"/>
      <c r="U1215" s="4"/>
      <c r="V1215" s="4"/>
      <c r="W1215" s="5"/>
      <c r="X1215" s="4"/>
      <c r="Y1215" s="4"/>
      <c r="Z1215" s="5"/>
      <c r="AA1215" s="4"/>
      <c r="AB1215" s="4"/>
      <c r="AC1215" s="4"/>
      <c r="AD1215" s="5"/>
      <c r="AE1215" s="5"/>
      <c r="AF1215" s="5"/>
      <c r="AG1215" s="5"/>
      <c r="AH1215" s="5"/>
      <c r="AI1215" s="5"/>
      <c r="AJ1215" s="5"/>
      <c r="AK1215" s="5"/>
      <c r="AL1215" s="5"/>
    </row>
    <row r="1216">
      <c r="A1216" s="4" t="str">
        <f>VLOOKUP(L1216,payment_ids!C:D,2,FALSE)</f>
        <v>pay_HFN0GlxPK7qfL6</v>
      </c>
      <c r="B1216" s="4"/>
      <c r="C1216" s="4" t="s">
        <v>4341</v>
      </c>
      <c r="D1216" s="4">
        <v>50039.0</v>
      </c>
      <c r="E1216" s="5"/>
      <c r="F1216" s="4">
        <v>3.0</v>
      </c>
      <c r="G1216" s="4">
        <v>199.0</v>
      </c>
      <c r="H1216" s="4"/>
      <c r="I1216" s="4">
        <v>199.0</v>
      </c>
      <c r="J1216" s="4" t="s">
        <v>4371</v>
      </c>
      <c r="K1216" s="5">
        <f>+918826865050</f>
        <v>918826865050</v>
      </c>
      <c r="L1216" s="4" t="str">
        <f t="shared" si="1"/>
        <v>jaideep.abichandani@gmail.com918826865050</v>
      </c>
      <c r="M1216" s="10" t="s">
        <v>67</v>
      </c>
      <c r="N1216" s="4" t="b">
        <v>0</v>
      </c>
      <c r="O1216" s="4" t="str">
        <f>VLOOKUP(A1216,payment_ids!D:E,2,FALSE)</f>
        <v>card</v>
      </c>
      <c r="P1216" s="4" t="s">
        <v>69</v>
      </c>
      <c r="Q1216" s="4" t="s">
        <v>4372</v>
      </c>
      <c r="R1216" s="4"/>
      <c r="S1216" s="12" t="s">
        <v>4343</v>
      </c>
      <c r="T1216" s="5"/>
      <c r="U1216" s="4"/>
      <c r="V1216" s="4"/>
      <c r="W1216" s="5"/>
      <c r="X1216" s="4"/>
      <c r="Y1216" s="4"/>
      <c r="Z1216" s="5"/>
      <c r="AA1216" s="4"/>
      <c r="AB1216" s="4"/>
      <c r="AC1216" s="4"/>
      <c r="AD1216" s="5"/>
      <c r="AE1216" s="5"/>
      <c r="AF1216" s="5"/>
      <c r="AG1216" s="5"/>
      <c r="AH1216" s="5"/>
      <c r="AI1216" s="5"/>
      <c r="AJ1216" s="5"/>
      <c r="AK1216" s="5"/>
      <c r="AL1216" s="5"/>
    </row>
    <row r="1217">
      <c r="A1217" s="4" t="str">
        <f>VLOOKUP(L1217,payment_ids!C:D,2,FALSE)</f>
        <v>pay_HFSwz7CZWHeBU6</v>
      </c>
      <c r="B1217" s="4"/>
      <c r="C1217" s="4" t="s">
        <v>4341</v>
      </c>
      <c r="D1217" s="4">
        <v>50039.0</v>
      </c>
      <c r="E1217" s="5"/>
      <c r="F1217" s="4">
        <v>1.0</v>
      </c>
      <c r="G1217" s="4">
        <v>99.0</v>
      </c>
      <c r="H1217" s="4"/>
      <c r="I1217" s="4">
        <v>99.0</v>
      </c>
      <c r="J1217" s="4" t="s">
        <v>4373</v>
      </c>
      <c r="K1217" s="5">
        <f>+918369093163</f>
        <v>918369093163</v>
      </c>
      <c r="L1217" s="4" t="str">
        <f t="shared" si="1"/>
        <v>nimkarchitrangana@gmail.com918369093163</v>
      </c>
      <c r="M1217" s="10" t="s">
        <v>67</v>
      </c>
      <c r="N1217" s="4" t="b">
        <v>0</v>
      </c>
      <c r="O1217" s="4" t="str">
        <f>VLOOKUP(A1217,payment_ids!D:E,2,FALSE)</f>
        <v>upi</v>
      </c>
      <c r="P1217" s="4" t="s">
        <v>69</v>
      </c>
      <c r="Q1217" s="4" t="s">
        <v>4374</v>
      </c>
      <c r="R1217" s="4"/>
      <c r="S1217" s="12" t="s">
        <v>4343</v>
      </c>
      <c r="T1217" s="5"/>
      <c r="U1217" s="4"/>
      <c r="V1217" s="4"/>
      <c r="W1217" s="5"/>
      <c r="X1217" s="4"/>
      <c r="Y1217" s="4"/>
      <c r="Z1217" s="5"/>
      <c r="AA1217" s="4"/>
      <c r="AB1217" s="4"/>
      <c r="AC1217" s="4"/>
      <c r="AD1217" s="5"/>
      <c r="AE1217" s="5"/>
      <c r="AF1217" s="5"/>
      <c r="AG1217" s="5"/>
      <c r="AH1217" s="5"/>
      <c r="AI1217" s="5"/>
      <c r="AJ1217" s="5"/>
      <c r="AK1217" s="5"/>
      <c r="AL1217" s="5"/>
    </row>
    <row r="1218">
      <c r="A1218" s="4" t="str">
        <f>VLOOKUP(L1218,payment_ids!C:D,2,FALSE)</f>
        <v>pay_HFfKdjP00gR5fb</v>
      </c>
      <c r="B1218" s="4"/>
      <c r="C1218" s="4" t="s">
        <v>4341</v>
      </c>
      <c r="D1218" s="4">
        <v>50039.0</v>
      </c>
      <c r="E1218" s="5"/>
      <c r="F1218" s="4">
        <v>1.0</v>
      </c>
      <c r="G1218" s="4">
        <v>99.0</v>
      </c>
      <c r="H1218" s="4"/>
      <c r="I1218" s="4">
        <v>99.0</v>
      </c>
      <c r="J1218" s="4" t="s">
        <v>4375</v>
      </c>
      <c r="K1218" s="5">
        <f>+917989198192</f>
        <v>917989198192</v>
      </c>
      <c r="L1218" s="4" t="str">
        <f t="shared" si="1"/>
        <v>biswajit.bage@gmail.com917989198192</v>
      </c>
      <c r="M1218" s="10" t="s">
        <v>67</v>
      </c>
      <c r="N1218" s="4" t="b">
        <v>0</v>
      </c>
      <c r="O1218" s="4" t="str">
        <f>VLOOKUP(A1218,payment_ids!D:E,2,FALSE)</f>
        <v>card</v>
      </c>
      <c r="P1218" s="4" t="s">
        <v>69</v>
      </c>
      <c r="Q1218" s="4" t="s">
        <v>4376</v>
      </c>
      <c r="R1218" s="4"/>
      <c r="S1218" s="12" t="s">
        <v>4343</v>
      </c>
      <c r="T1218" s="5"/>
      <c r="U1218" s="4"/>
      <c r="V1218" s="4"/>
      <c r="W1218" s="5"/>
      <c r="X1218" s="4"/>
      <c r="Y1218" s="4"/>
      <c r="Z1218" s="5"/>
      <c r="AA1218" s="4"/>
      <c r="AB1218" s="4"/>
      <c r="AC1218" s="4"/>
      <c r="AD1218" s="5"/>
      <c r="AE1218" s="5"/>
      <c r="AF1218" s="5"/>
      <c r="AG1218" s="5"/>
      <c r="AH1218" s="5"/>
      <c r="AI1218" s="5"/>
      <c r="AJ1218" s="5"/>
      <c r="AK1218" s="5"/>
      <c r="AL1218" s="5"/>
    </row>
    <row r="1219">
      <c r="A1219" s="4" t="str">
        <f>VLOOKUP(L1219,payment_ids!C:D,2,FALSE)</f>
        <v>pay_HGfyYPgJjU5n7q</v>
      </c>
      <c r="B1219" s="4"/>
      <c r="C1219" s="4" t="s">
        <v>4341</v>
      </c>
      <c r="D1219" s="4">
        <v>50039.0</v>
      </c>
      <c r="E1219" s="5"/>
      <c r="F1219" s="4">
        <v>1.0</v>
      </c>
      <c r="G1219" s="4">
        <v>99.0</v>
      </c>
      <c r="H1219" s="4"/>
      <c r="I1219" s="4">
        <v>99.0</v>
      </c>
      <c r="J1219" s="4" t="s">
        <v>4377</v>
      </c>
      <c r="K1219" s="5">
        <f>+919739916537</f>
        <v>919739916537</v>
      </c>
      <c r="L1219" s="4" t="str">
        <f t="shared" si="1"/>
        <v>nagarjun316@gmail.com919739916537</v>
      </c>
      <c r="M1219" s="10" t="s">
        <v>67</v>
      </c>
      <c r="N1219" s="4" t="b">
        <v>0</v>
      </c>
      <c r="O1219" s="4" t="str">
        <f>VLOOKUP(A1219,payment_ids!D:E,2,FALSE)</f>
        <v>card</v>
      </c>
      <c r="P1219" s="4" t="s">
        <v>69</v>
      </c>
      <c r="Q1219" s="4" t="s">
        <v>4378</v>
      </c>
      <c r="R1219" s="4"/>
      <c r="S1219" s="12" t="s">
        <v>4343</v>
      </c>
      <c r="T1219" s="5"/>
      <c r="U1219" s="4"/>
      <c r="V1219" s="4"/>
      <c r="W1219" s="5"/>
      <c r="X1219" s="4"/>
      <c r="Y1219" s="4"/>
      <c r="Z1219" s="5"/>
      <c r="AA1219" s="4"/>
      <c r="AB1219" s="4"/>
      <c r="AC1219" s="4"/>
      <c r="AD1219" s="5"/>
      <c r="AE1219" s="5"/>
      <c r="AF1219" s="5"/>
      <c r="AG1219" s="5"/>
      <c r="AH1219" s="5"/>
      <c r="AI1219" s="5"/>
      <c r="AJ1219" s="5"/>
      <c r="AK1219" s="5"/>
      <c r="AL1219" s="5"/>
    </row>
    <row r="1220">
      <c r="A1220" s="4" t="str">
        <f>VLOOKUP(L1220,payment_ids!C:D,2,FALSE)</f>
        <v>pay_HGy8TsUnw390W0</v>
      </c>
      <c r="B1220" s="4"/>
      <c r="C1220" s="4" t="s">
        <v>4341</v>
      </c>
      <c r="D1220" s="4">
        <v>50039.0</v>
      </c>
      <c r="E1220" s="5"/>
      <c r="F1220" s="4">
        <v>1.0</v>
      </c>
      <c r="G1220" s="4">
        <v>99.0</v>
      </c>
      <c r="H1220" s="4"/>
      <c r="I1220" s="4">
        <v>99.0</v>
      </c>
      <c r="J1220" s="4" t="s">
        <v>4379</v>
      </c>
      <c r="K1220" s="5">
        <f>+917977321930</f>
        <v>917977321930</v>
      </c>
      <c r="L1220" s="4" t="str">
        <f t="shared" si="1"/>
        <v>9kbhardwaj@gmail.com917977321930</v>
      </c>
      <c r="M1220" s="10" t="s">
        <v>67</v>
      </c>
      <c r="N1220" s="4" t="b">
        <v>0</v>
      </c>
      <c r="O1220" s="4" t="str">
        <f>VLOOKUP(A1220,payment_ids!D:E,2,FALSE)</f>
        <v>upi</v>
      </c>
      <c r="P1220" s="4" t="s">
        <v>69</v>
      </c>
      <c r="Q1220" s="4" t="s">
        <v>4380</v>
      </c>
      <c r="R1220" s="4"/>
      <c r="S1220" s="12" t="s">
        <v>4343</v>
      </c>
      <c r="T1220" s="5"/>
      <c r="U1220" s="4"/>
      <c r="V1220" s="4"/>
      <c r="W1220" s="5"/>
      <c r="X1220" s="4"/>
      <c r="Y1220" s="4"/>
      <c r="Z1220" s="5"/>
      <c r="AA1220" s="4"/>
      <c r="AB1220" s="4"/>
      <c r="AC1220" s="4"/>
      <c r="AD1220" s="5"/>
      <c r="AE1220" s="5"/>
      <c r="AF1220" s="5"/>
      <c r="AG1220" s="5"/>
      <c r="AH1220" s="5"/>
      <c r="AI1220" s="5"/>
      <c r="AJ1220" s="5"/>
      <c r="AK1220" s="5"/>
      <c r="AL1220" s="5"/>
    </row>
    <row r="1221">
      <c r="A1221" s="4" t="str">
        <f>VLOOKUP(L1221,payment_ids!C:D,2,FALSE)</f>
        <v>pay_HI6hpZRJbOQTKW</v>
      </c>
      <c r="B1221" s="4"/>
      <c r="C1221" s="4" t="s">
        <v>4341</v>
      </c>
      <c r="D1221" s="4">
        <v>50039.0</v>
      </c>
      <c r="E1221" s="5"/>
      <c r="F1221" s="4">
        <v>1.0</v>
      </c>
      <c r="G1221" s="4">
        <v>99.0</v>
      </c>
      <c r="H1221" s="4"/>
      <c r="I1221" s="4">
        <v>99.0</v>
      </c>
      <c r="J1221" s="4" t="s">
        <v>4381</v>
      </c>
      <c r="K1221" s="5">
        <f>+919884041538</f>
        <v>919884041538</v>
      </c>
      <c r="L1221" s="4" t="str">
        <f t="shared" si="1"/>
        <v>srinivishvarun@gmail.com919884041538</v>
      </c>
      <c r="M1221" s="10" t="s">
        <v>67</v>
      </c>
      <c r="N1221" s="4" t="b">
        <v>0</v>
      </c>
      <c r="O1221" s="4" t="str">
        <f>VLOOKUP(A1221,payment_ids!D:E,2,FALSE)</f>
        <v>upi</v>
      </c>
      <c r="P1221" s="4" t="s">
        <v>69</v>
      </c>
      <c r="Q1221" s="11">
        <v>44233.5375</v>
      </c>
      <c r="R1221" s="4"/>
      <c r="S1221" s="12" t="s">
        <v>4343</v>
      </c>
      <c r="T1221" s="5"/>
      <c r="U1221" s="4"/>
      <c r="V1221" s="4"/>
      <c r="W1221" s="5"/>
      <c r="X1221" s="4"/>
      <c r="Y1221" s="4"/>
      <c r="Z1221" s="5"/>
      <c r="AA1221" s="4"/>
      <c r="AB1221" s="4"/>
      <c r="AC1221" s="4"/>
      <c r="AD1221" s="5"/>
      <c r="AE1221" s="5"/>
      <c r="AF1221" s="5"/>
      <c r="AG1221" s="5"/>
      <c r="AH1221" s="5"/>
      <c r="AI1221" s="5"/>
      <c r="AJ1221" s="5"/>
      <c r="AK1221" s="5"/>
      <c r="AL1221" s="5"/>
    </row>
    <row r="1222">
      <c r="A1222" s="4" t="str">
        <f>VLOOKUP(L1222,payment_ids!C:D,2,FALSE)</f>
        <v>pay_HIAhdKe7P7qpMz</v>
      </c>
      <c r="B1222" s="4"/>
      <c r="C1222" s="4" t="s">
        <v>4341</v>
      </c>
      <c r="D1222" s="4">
        <v>50039.0</v>
      </c>
      <c r="E1222" s="5"/>
      <c r="F1222" s="4">
        <v>3.0</v>
      </c>
      <c r="G1222" s="4">
        <v>199.0</v>
      </c>
      <c r="H1222" s="4"/>
      <c r="I1222" s="4">
        <v>199.0</v>
      </c>
      <c r="J1222" s="4" t="s">
        <v>4382</v>
      </c>
      <c r="K1222" s="5">
        <f>+919804510896</f>
        <v>919804510896</v>
      </c>
      <c r="L1222" s="4" t="str">
        <f t="shared" si="1"/>
        <v>future.nag@gmail.com919804510896</v>
      </c>
      <c r="M1222" s="10" t="s">
        <v>67</v>
      </c>
      <c r="N1222" s="4" t="b">
        <v>0</v>
      </c>
      <c r="O1222" s="4" t="str">
        <f>VLOOKUP(A1222,payment_ids!D:E,2,FALSE)</f>
        <v>card</v>
      </c>
      <c r="P1222" s="4" t="s">
        <v>69</v>
      </c>
      <c r="Q1222" s="11">
        <v>44233.70138888889</v>
      </c>
      <c r="R1222" s="4"/>
      <c r="S1222" s="12" t="s">
        <v>4343</v>
      </c>
      <c r="T1222" s="5"/>
      <c r="U1222" s="4"/>
      <c r="V1222" s="4"/>
      <c r="W1222" s="5"/>
      <c r="X1222" s="4"/>
      <c r="Y1222" s="4"/>
      <c r="Z1222" s="5"/>
      <c r="AA1222" s="4"/>
      <c r="AB1222" s="4"/>
      <c r="AC1222" s="4"/>
      <c r="AD1222" s="5"/>
      <c r="AE1222" s="5"/>
      <c r="AF1222" s="5"/>
      <c r="AG1222" s="5"/>
      <c r="AH1222" s="5"/>
      <c r="AI1222" s="5"/>
      <c r="AJ1222" s="5"/>
      <c r="AK1222" s="5"/>
      <c r="AL1222" s="5"/>
    </row>
    <row r="1223">
      <c r="A1223" s="4" t="str">
        <f>VLOOKUP(L1223,payment_ids!C:D,2,FALSE)</f>
        <v>pay_HIBnUYcI3qqf2G</v>
      </c>
      <c r="B1223" s="4"/>
      <c r="C1223" s="4" t="s">
        <v>4341</v>
      </c>
      <c r="D1223" s="4">
        <v>50039.0</v>
      </c>
      <c r="E1223" s="5"/>
      <c r="F1223" s="4">
        <v>1.0</v>
      </c>
      <c r="G1223" s="4">
        <v>99.0</v>
      </c>
      <c r="H1223" s="4"/>
      <c r="I1223" s="4">
        <v>99.0</v>
      </c>
      <c r="J1223" s="4" t="s">
        <v>4383</v>
      </c>
      <c r="K1223" s="5">
        <f>+918008449452</f>
        <v>918008449452</v>
      </c>
      <c r="L1223" s="4" t="str">
        <f t="shared" si="1"/>
        <v>balarajumallikarjuna@gmail.com918008449452</v>
      </c>
      <c r="M1223" s="10" t="s">
        <v>67</v>
      </c>
      <c r="N1223" s="4" t="b">
        <v>0</v>
      </c>
      <c r="O1223" s="4" t="str">
        <f>VLOOKUP(A1223,payment_ids!D:E,2,FALSE)</f>
        <v>upi</v>
      </c>
      <c r="P1223" s="4" t="s">
        <v>69</v>
      </c>
      <c r="Q1223" s="11">
        <v>44233.74513888889</v>
      </c>
      <c r="R1223" s="4"/>
      <c r="S1223" s="12" t="s">
        <v>4343</v>
      </c>
      <c r="T1223" s="5"/>
      <c r="U1223" s="4"/>
      <c r="V1223" s="4"/>
      <c r="W1223" s="5"/>
      <c r="X1223" s="4"/>
      <c r="Y1223" s="4"/>
      <c r="Z1223" s="5"/>
      <c r="AA1223" s="4"/>
      <c r="AB1223" s="4"/>
      <c r="AC1223" s="4"/>
      <c r="AD1223" s="5"/>
      <c r="AE1223" s="5"/>
      <c r="AF1223" s="5"/>
      <c r="AG1223" s="5"/>
      <c r="AH1223" s="5"/>
      <c r="AI1223" s="5"/>
      <c r="AJ1223" s="5"/>
      <c r="AK1223" s="5"/>
      <c r="AL1223" s="5"/>
    </row>
    <row r="1224">
      <c r="A1224" s="4" t="str">
        <f>VLOOKUP(L1224,payment_ids!C:D,2,FALSE)</f>
        <v>pay_HIUMuZkL4EsU6B</v>
      </c>
      <c r="B1224" s="4"/>
      <c r="C1224" s="4" t="s">
        <v>4341</v>
      </c>
      <c r="D1224" s="4">
        <v>50039.0</v>
      </c>
      <c r="E1224" s="5"/>
      <c r="F1224" s="4">
        <v>3.0</v>
      </c>
      <c r="G1224" s="4">
        <v>199.0</v>
      </c>
      <c r="H1224" s="4"/>
      <c r="I1224" s="4">
        <v>199.0</v>
      </c>
      <c r="J1224" s="4" t="s">
        <v>4384</v>
      </c>
      <c r="K1224" s="5">
        <f>+918460102401</f>
        <v>918460102401</v>
      </c>
      <c r="L1224" s="4" t="str">
        <f t="shared" si="1"/>
        <v>patel.zil245@gmail.com918460102401</v>
      </c>
      <c r="M1224" s="10" t="s">
        <v>67</v>
      </c>
      <c r="N1224" s="4" t="b">
        <v>0</v>
      </c>
      <c r="O1224" s="4" t="str">
        <f>VLOOKUP(A1224,payment_ids!D:E,2,FALSE)</f>
        <v>upi</v>
      </c>
      <c r="P1224" s="4" t="s">
        <v>69</v>
      </c>
      <c r="Q1224" s="11">
        <v>44261.501388888886</v>
      </c>
      <c r="R1224" s="4"/>
      <c r="S1224" s="12" t="s">
        <v>4343</v>
      </c>
      <c r="T1224" s="5"/>
      <c r="U1224" s="4"/>
      <c r="V1224" s="4"/>
      <c r="W1224" s="5"/>
      <c r="X1224" s="4"/>
      <c r="Y1224" s="4"/>
      <c r="Z1224" s="5"/>
      <c r="AA1224" s="4"/>
      <c r="AB1224" s="4"/>
      <c r="AC1224" s="4"/>
      <c r="AD1224" s="5"/>
      <c r="AE1224" s="5"/>
      <c r="AF1224" s="5"/>
      <c r="AG1224" s="5"/>
      <c r="AH1224" s="5"/>
      <c r="AI1224" s="5"/>
      <c r="AJ1224" s="5"/>
      <c r="AK1224" s="5"/>
      <c r="AL1224" s="5"/>
    </row>
    <row r="1225">
      <c r="A1225" s="4" t="str">
        <f>VLOOKUP(L1225,payment_ids!C:D,2,FALSE)</f>
        <v>pay_HJibRf9bWpZNws</v>
      </c>
      <c r="B1225" s="4"/>
      <c r="C1225" s="4" t="s">
        <v>4341</v>
      </c>
      <c r="D1225" s="4">
        <v>50039.0</v>
      </c>
      <c r="E1225" s="5"/>
      <c r="F1225" s="4">
        <v>1.0</v>
      </c>
      <c r="G1225" s="4">
        <v>99.0</v>
      </c>
      <c r="H1225" s="4"/>
      <c r="I1225" s="4">
        <v>99.0</v>
      </c>
      <c r="J1225" s="4" t="s">
        <v>4385</v>
      </c>
      <c r="K1225" s="5">
        <f>+918457886513</f>
        <v>918457886513</v>
      </c>
      <c r="L1225" s="4" t="str">
        <f t="shared" si="1"/>
        <v>adityaparhimfc@gmail.com918457886513</v>
      </c>
      <c r="M1225" s="10" t="s">
        <v>67</v>
      </c>
      <c r="N1225" s="4" t="b">
        <v>0</v>
      </c>
      <c r="O1225" s="4" t="str">
        <f>VLOOKUP(A1225,payment_ids!D:E,2,FALSE)</f>
        <v>netbanking</v>
      </c>
      <c r="P1225" s="4" t="s">
        <v>69</v>
      </c>
      <c r="Q1225" s="11">
        <v>44353.60972222222</v>
      </c>
      <c r="R1225" s="4"/>
      <c r="S1225" s="12" t="s">
        <v>4343</v>
      </c>
      <c r="T1225" s="5"/>
      <c r="U1225" s="4"/>
      <c r="V1225" s="4"/>
      <c r="W1225" s="5"/>
      <c r="X1225" s="4"/>
      <c r="Y1225" s="4"/>
      <c r="Z1225" s="5"/>
      <c r="AA1225" s="4"/>
      <c r="AB1225" s="4"/>
      <c r="AC1225" s="4"/>
      <c r="AD1225" s="5"/>
      <c r="AE1225" s="5"/>
      <c r="AF1225" s="5"/>
      <c r="AG1225" s="5"/>
      <c r="AH1225" s="5"/>
      <c r="AI1225" s="5"/>
      <c r="AJ1225" s="5"/>
      <c r="AK1225" s="5"/>
      <c r="AL1225" s="5"/>
    </row>
    <row r="1226">
      <c r="A1226" s="4" t="str">
        <f>VLOOKUP(L1226,payment_ids!C:D,2,FALSE)</f>
        <v>pay_HK4weAoBzz2BBg</v>
      </c>
      <c r="B1226" s="4"/>
      <c r="C1226" s="4" t="s">
        <v>4341</v>
      </c>
      <c r="D1226" s="4">
        <v>50039.0</v>
      </c>
      <c r="E1226" s="5"/>
      <c r="F1226" s="4">
        <v>1.0</v>
      </c>
      <c r="G1226" s="4">
        <v>99.0</v>
      </c>
      <c r="H1226" s="4"/>
      <c r="I1226" s="4">
        <v>99.0</v>
      </c>
      <c r="J1226" s="4" t="s">
        <v>3721</v>
      </c>
      <c r="K1226" s="5">
        <f>+919920356552</f>
        <v>919920356552</v>
      </c>
      <c r="L1226" s="4" t="str">
        <f t="shared" si="1"/>
        <v>dmit2163@gmail.com919920356552</v>
      </c>
      <c r="M1226" s="10" t="s">
        <v>67</v>
      </c>
      <c r="N1226" s="4" t="b">
        <v>0</v>
      </c>
      <c r="O1226" s="4" t="str">
        <f>VLOOKUP(A1226,payment_ids!D:E,2,FALSE)</f>
        <v>upi</v>
      </c>
      <c r="P1226" s="4" t="s">
        <v>69</v>
      </c>
      <c r="Q1226" s="11">
        <v>44383.51944444444</v>
      </c>
      <c r="R1226" s="4"/>
      <c r="S1226" s="12" t="s">
        <v>4343</v>
      </c>
      <c r="T1226" s="5"/>
      <c r="U1226" s="4"/>
      <c r="V1226" s="4"/>
      <c r="W1226" s="5"/>
      <c r="X1226" s="4"/>
      <c r="Y1226" s="4"/>
      <c r="Z1226" s="5"/>
      <c r="AA1226" s="4"/>
      <c r="AB1226" s="4"/>
      <c r="AC1226" s="4"/>
      <c r="AD1226" s="5"/>
      <c r="AE1226" s="5"/>
      <c r="AF1226" s="5"/>
      <c r="AG1226" s="5"/>
      <c r="AH1226" s="5"/>
      <c r="AI1226" s="5"/>
      <c r="AJ1226" s="5"/>
      <c r="AK1226" s="5"/>
      <c r="AL1226" s="5"/>
    </row>
    <row r="1227">
      <c r="A1227" s="4" t="str">
        <f>VLOOKUP(L1227,payment_ids!C:D,2,FALSE)</f>
        <v>pay_HKqsiIKPadPvr6</v>
      </c>
      <c r="B1227" s="4"/>
      <c r="C1227" s="4" t="s">
        <v>4341</v>
      </c>
      <c r="D1227" s="4">
        <v>50039.0</v>
      </c>
      <c r="E1227" s="5"/>
      <c r="F1227" s="4">
        <v>1.0</v>
      </c>
      <c r="G1227" s="4">
        <v>99.0</v>
      </c>
      <c r="H1227" s="4"/>
      <c r="I1227" s="4">
        <v>99.0</v>
      </c>
      <c r="J1227" s="4" t="s">
        <v>4386</v>
      </c>
      <c r="K1227" s="5">
        <f>+919442054240</f>
        <v>919442054240</v>
      </c>
      <c r="L1227" s="4" t="str">
        <f t="shared" si="1"/>
        <v>roseramaa@gmail.com919442054240</v>
      </c>
      <c r="M1227" s="10" t="s">
        <v>67</v>
      </c>
      <c r="N1227" s="4" t="b">
        <v>0</v>
      </c>
      <c r="O1227" s="4" t="str">
        <f>VLOOKUP(A1227,payment_ids!D:E,2,FALSE)</f>
        <v>card</v>
      </c>
      <c r="P1227" s="4" t="s">
        <v>69</v>
      </c>
      <c r="Q1227" s="11">
        <v>44445.47361111111</v>
      </c>
      <c r="R1227" s="4"/>
      <c r="S1227" s="12" t="s">
        <v>4343</v>
      </c>
      <c r="T1227" s="4" t="s">
        <v>2444</v>
      </c>
      <c r="U1227" s="4"/>
      <c r="V1227" s="4"/>
      <c r="W1227" s="5"/>
      <c r="X1227" s="4"/>
      <c r="Y1227" s="4"/>
      <c r="Z1227" s="5"/>
      <c r="AA1227" s="4"/>
      <c r="AB1227" s="4"/>
      <c r="AC1227" s="4"/>
      <c r="AD1227" s="5"/>
      <c r="AE1227" s="5"/>
      <c r="AF1227" s="5"/>
      <c r="AG1227" s="5"/>
      <c r="AH1227" s="5"/>
      <c r="AI1227" s="5"/>
      <c r="AJ1227" s="5"/>
      <c r="AK1227" s="5"/>
      <c r="AL1227" s="5"/>
    </row>
    <row r="1228">
      <c r="A1228" s="4" t="str">
        <f>VLOOKUP(L1228,payment_ids!C:D,2,FALSE)</f>
        <v>pay_HKwlQuoivWcLQJ</v>
      </c>
      <c r="B1228" s="4"/>
      <c r="C1228" s="4" t="s">
        <v>4341</v>
      </c>
      <c r="D1228" s="4">
        <v>50039.0</v>
      </c>
      <c r="E1228" s="5"/>
      <c r="F1228" s="4">
        <v>1.0</v>
      </c>
      <c r="G1228" s="4">
        <v>99.0</v>
      </c>
      <c r="H1228" s="4"/>
      <c r="I1228" s="4">
        <v>99.0</v>
      </c>
      <c r="J1228" s="4" t="s">
        <v>4387</v>
      </c>
      <c r="K1228" s="5">
        <f>+919850173327</f>
        <v>919850173327</v>
      </c>
      <c r="L1228" s="4" t="str">
        <f t="shared" si="1"/>
        <v>neetunt@hotmail.com919850173327</v>
      </c>
      <c r="M1228" s="10" t="s">
        <v>67</v>
      </c>
      <c r="N1228" s="4" t="b">
        <v>0</v>
      </c>
      <c r="O1228" s="4" t="str">
        <f>VLOOKUP(A1228,payment_ids!D:E,2,FALSE)</f>
        <v>netbanking</v>
      </c>
      <c r="P1228" s="4" t="s">
        <v>69</v>
      </c>
      <c r="Q1228" s="11">
        <v>44445.71875</v>
      </c>
      <c r="R1228" s="4"/>
      <c r="S1228" s="12" t="s">
        <v>4388</v>
      </c>
      <c r="T1228" s="4" t="s">
        <v>2444</v>
      </c>
      <c r="U1228" s="4"/>
      <c r="V1228" s="4"/>
      <c r="W1228" s="5"/>
      <c r="X1228" s="4"/>
      <c r="Y1228" s="4"/>
      <c r="Z1228" s="5"/>
      <c r="AA1228" s="4"/>
      <c r="AB1228" s="4"/>
      <c r="AC1228" s="4"/>
      <c r="AD1228" s="5"/>
      <c r="AE1228" s="5"/>
      <c r="AF1228" s="5"/>
      <c r="AG1228" s="5"/>
      <c r="AH1228" s="5"/>
      <c r="AI1228" s="5"/>
      <c r="AJ1228" s="5"/>
      <c r="AK1228" s="5"/>
      <c r="AL1228" s="5"/>
    </row>
    <row r="1229">
      <c r="A1229" s="4" t="str">
        <f>VLOOKUP(L1229,payment_ids!C:D,2,FALSE)</f>
        <v>pay_HLGigg417FNNAf</v>
      </c>
      <c r="B1229" s="4"/>
      <c r="C1229" s="4" t="s">
        <v>4341</v>
      </c>
      <c r="D1229" s="4">
        <v>50039.0</v>
      </c>
      <c r="E1229" s="5"/>
      <c r="F1229" s="4">
        <v>3.0</v>
      </c>
      <c r="G1229" s="4">
        <v>199.0</v>
      </c>
      <c r="H1229" s="4"/>
      <c r="I1229" s="4">
        <v>199.0</v>
      </c>
      <c r="J1229" s="4" t="s">
        <v>4389</v>
      </c>
      <c r="K1229" s="5">
        <f>+918919555586</f>
        <v>918919555586</v>
      </c>
      <c r="L1229" s="4" t="str">
        <f t="shared" si="1"/>
        <v>sandeepsheshadri.m@gmail.com918919555586</v>
      </c>
      <c r="M1229" s="10" t="s">
        <v>67</v>
      </c>
      <c r="N1229" s="4" t="b">
        <v>0</v>
      </c>
      <c r="O1229" s="4" t="str">
        <f>VLOOKUP(A1229,payment_ids!D:E,2,FALSE)</f>
        <v>upi</v>
      </c>
      <c r="P1229" s="4" t="s">
        <v>69</v>
      </c>
      <c r="Q1229" s="11">
        <v>44475.52638888889</v>
      </c>
      <c r="R1229" s="4"/>
      <c r="S1229" s="12" t="s">
        <v>4343</v>
      </c>
      <c r="T1229" s="4" t="s">
        <v>2444</v>
      </c>
      <c r="U1229" s="4"/>
      <c r="V1229" s="4"/>
      <c r="W1229" s="5"/>
      <c r="X1229" s="4"/>
      <c r="Y1229" s="4"/>
      <c r="Z1229" s="5"/>
      <c r="AA1229" s="4"/>
      <c r="AB1229" s="4"/>
      <c r="AC1229" s="4"/>
      <c r="AD1229" s="5"/>
      <c r="AE1229" s="5"/>
      <c r="AF1229" s="5"/>
      <c r="AG1229" s="5"/>
      <c r="AH1229" s="5"/>
      <c r="AI1229" s="5"/>
      <c r="AJ1229" s="5"/>
      <c r="AK1229" s="5"/>
      <c r="AL1229" s="5"/>
    </row>
    <row r="1230">
      <c r="A1230" s="4" t="str">
        <f>VLOOKUP(L1230,payment_ids!C:D,2,FALSE)</f>
        <v>pay_HLUHxzMYxBkTXu</v>
      </c>
      <c r="B1230" s="4"/>
      <c r="C1230" s="4" t="s">
        <v>4341</v>
      </c>
      <c r="D1230" s="4">
        <v>50039.0</v>
      </c>
      <c r="E1230" s="5"/>
      <c r="F1230" s="4">
        <v>6.0</v>
      </c>
      <c r="G1230" s="4">
        <v>349.0</v>
      </c>
      <c r="H1230" s="4"/>
      <c r="I1230" s="4">
        <v>349.0</v>
      </c>
      <c r="J1230" s="4" t="s">
        <v>4390</v>
      </c>
      <c r="K1230" s="5">
        <f>+919960903637</f>
        <v>919960903637</v>
      </c>
      <c r="L1230" s="4" t="str">
        <f t="shared" si="1"/>
        <v>amolchitale11@gmail.com919960903637</v>
      </c>
      <c r="M1230" s="10" t="s">
        <v>67</v>
      </c>
      <c r="N1230" s="4" t="b">
        <v>0</v>
      </c>
      <c r="O1230" s="4" t="str">
        <f>VLOOKUP(A1230,payment_ids!D:E,2,FALSE)</f>
        <v>upi</v>
      </c>
      <c r="P1230" s="4" t="s">
        <v>69</v>
      </c>
      <c r="Q1230" s="11">
        <v>44506.07986111111</v>
      </c>
      <c r="R1230" s="4"/>
      <c r="S1230" s="12" t="s">
        <v>4343</v>
      </c>
      <c r="T1230" s="4" t="s">
        <v>2444</v>
      </c>
      <c r="U1230" s="4"/>
      <c r="V1230" s="4"/>
      <c r="W1230" s="5"/>
      <c r="X1230" s="4"/>
      <c r="Y1230" s="4"/>
      <c r="Z1230" s="5"/>
      <c r="AA1230" s="4"/>
      <c r="AB1230" s="4"/>
      <c r="AC1230" s="4"/>
      <c r="AD1230" s="5"/>
      <c r="AE1230" s="5"/>
      <c r="AF1230" s="5"/>
      <c r="AG1230" s="5"/>
      <c r="AH1230" s="5"/>
      <c r="AI1230" s="5"/>
      <c r="AJ1230" s="5"/>
      <c r="AK1230" s="5"/>
      <c r="AL1230" s="5"/>
    </row>
    <row r="1231">
      <c r="A1231" s="4" t="str">
        <f>VLOOKUP(L1231,payment_ids!C:D,2,FALSE)</f>
        <v>pay_HLpFS6EBqNW0MB</v>
      </c>
      <c r="B1231" s="4"/>
      <c r="C1231" s="4" t="s">
        <v>4341</v>
      </c>
      <c r="D1231" s="4">
        <v>50039.0</v>
      </c>
      <c r="E1231" s="5"/>
      <c r="F1231" s="4">
        <v>6.0</v>
      </c>
      <c r="G1231" s="4">
        <v>349.0</v>
      </c>
      <c r="H1231" s="4"/>
      <c r="I1231" s="4">
        <v>349.0</v>
      </c>
      <c r="J1231" s="4" t="s">
        <v>4391</v>
      </c>
      <c r="K1231" s="5">
        <f>+919819663556</f>
        <v>919819663556</v>
      </c>
      <c r="L1231" s="4" t="str">
        <f t="shared" si="1"/>
        <v>sapre.anita1202@gmail.com919819663556</v>
      </c>
      <c r="M1231" s="10" t="s">
        <v>67</v>
      </c>
      <c r="N1231" s="4" t="b">
        <v>0</v>
      </c>
      <c r="O1231" s="4" t="str">
        <f>VLOOKUP(A1231,payment_ids!D:E,2,FALSE)</f>
        <v>upi</v>
      </c>
      <c r="P1231" s="4" t="s">
        <v>69</v>
      </c>
      <c r="Q1231" s="11">
        <v>44506.93541666667</v>
      </c>
      <c r="R1231" s="4"/>
      <c r="S1231" s="12" t="s">
        <v>4343</v>
      </c>
      <c r="T1231" s="4" t="s">
        <v>2444</v>
      </c>
      <c r="U1231" s="4"/>
      <c r="V1231" s="4"/>
      <c r="W1231" s="5"/>
      <c r="X1231" s="4"/>
      <c r="Y1231" s="4"/>
      <c r="Z1231" s="5"/>
      <c r="AA1231" s="4"/>
      <c r="AB1231" s="4"/>
      <c r="AC1231" s="4"/>
      <c r="AD1231" s="5"/>
      <c r="AE1231" s="5"/>
      <c r="AF1231" s="5"/>
      <c r="AG1231" s="5"/>
      <c r="AH1231" s="5"/>
      <c r="AI1231" s="5"/>
      <c r="AJ1231" s="5"/>
      <c r="AK1231" s="5"/>
      <c r="AL1231" s="5"/>
    </row>
    <row r="1232">
      <c r="A1232" s="4" t="str">
        <f>VLOOKUP(L1232,payment_ids!C:D,2,FALSE)</f>
        <v>pay_HNd1i7VmaP4a7P</v>
      </c>
      <c r="B1232" s="4"/>
      <c r="C1232" s="4" t="s">
        <v>4341</v>
      </c>
      <c r="D1232" s="4">
        <v>50039.0</v>
      </c>
      <c r="E1232" s="5"/>
      <c r="F1232" s="4">
        <v>3.0</v>
      </c>
      <c r="G1232" s="4">
        <v>199.0</v>
      </c>
      <c r="H1232" s="4"/>
      <c r="I1232" s="4">
        <v>199.0</v>
      </c>
      <c r="J1232" s="4" t="s">
        <v>4392</v>
      </c>
      <c r="K1232" s="5">
        <f>+917558496133</f>
        <v>917558496133</v>
      </c>
      <c r="L1232" s="4" t="str">
        <f t="shared" si="1"/>
        <v>drvidhinshah@gmail.com917558496133</v>
      </c>
      <c r="M1232" s="10" t="s">
        <v>67</v>
      </c>
      <c r="N1232" s="4" t="b">
        <v>0</v>
      </c>
      <c r="O1232" s="4" t="str">
        <f>VLOOKUP(A1232,payment_ids!D:E,2,FALSE)</f>
        <v>upi</v>
      </c>
      <c r="P1232" s="4" t="s">
        <v>69</v>
      </c>
      <c r="Q1232" s="4" t="s">
        <v>4393</v>
      </c>
      <c r="R1232" s="4"/>
      <c r="S1232" s="12" t="s">
        <v>4388</v>
      </c>
      <c r="T1232" s="4" t="s">
        <v>2444</v>
      </c>
      <c r="U1232" s="4"/>
      <c r="V1232" s="4"/>
      <c r="W1232" s="5"/>
      <c r="X1232" s="4"/>
      <c r="Y1232" s="4"/>
      <c r="Z1232" s="5"/>
      <c r="AA1232" s="4"/>
      <c r="AB1232" s="4"/>
      <c r="AC1232" s="4"/>
      <c r="AD1232" s="5"/>
      <c r="AE1232" s="5"/>
      <c r="AF1232" s="5"/>
      <c r="AG1232" s="5"/>
      <c r="AH1232" s="5"/>
      <c r="AI1232" s="5"/>
      <c r="AJ1232" s="5"/>
      <c r="AK1232" s="5"/>
      <c r="AL1232" s="5"/>
    </row>
    <row r="1233">
      <c r="A1233" s="4" t="str">
        <f>VLOOKUP(L1233,payment_ids!C:D,2,FALSE)</f>
        <v>pay_HNfj0whyot9hN6</v>
      </c>
      <c r="B1233" s="4"/>
      <c r="C1233" s="4" t="s">
        <v>4341</v>
      </c>
      <c r="D1233" s="4">
        <v>50039.0</v>
      </c>
      <c r="E1233" s="5"/>
      <c r="F1233" s="4">
        <v>6.0</v>
      </c>
      <c r="G1233" s="4">
        <v>349.0</v>
      </c>
      <c r="H1233" s="4"/>
      <c r="I1233" s="4">
        <v>349.0</v>
      </c>
      <c r="J1233" s="4" t="s">
        <v>4394</v>
      </c>
      <c r="K1233" s="5">
        <f>+917011280319</f>
        <v>917011280319</v>
      </c>
      <c r="L1233" s="4" t="str">
        <f t="shared" si="1"/>
        <v>choudharymani20@gmail.com917011280319</v>
      </c>
      <c r="M1233" s="10" t="s">
        <v>67</v>
      </c>
      <c r="N1233" s="4" t="b">
        <v>0</v>
      </c>
      <c r="O1233" s="4" t="str">
        <f>VLOOKUP(A1233,payment_ids!D:E,2,FALSE)</f>
        <v>upi</v>
      </c>
      <c r="P1233" s="4" t="s">
        <v>69</v>
      </c>
      <c r="Q1233" s="4" t="s">
        <v>4395</v>
      </c>
      <c r="R1233" s="4"/>
      <c r="S1233" s="12" t="s">
        <v>4388</v>
      </c>
      <c r="T1233" s="4" t="s">
        <v>2444</v>
      </c>
      <c r="U1233" s="4"/>
      <c r="V1233" s="4"/>
      <c r="W1233" s="5"/>
      <c r="X1233" s="4"/>
      <c r="Y1233" s="4"/>
      <c r="Z1233" s="5"/>
      <c r="AA1233" s="4"/>
      <c r="AB1233" s="4"/>
      <c r="AC1233" s="4"/>
      <c r="AD1233" s="5"/>
      <c r="AE1233" s="5"/>
      <c r="AF1233" s="5"/>
      <c r="AG1233" s="5"/>
      <c r="AH1233" s="5"/>
      <c r="AI1233" s="5"/>
      <c r="AJ1233" s="5"/>
      <c r="AK1233" s="5"/>
      <c r="AL1233" s="5"/>
    </row>
    <row r="1234">
      <c r="A1234" s="4" t="str">
        <f>VLOOKUP(L1234,payment_ids!C:D,2,FALSE)</f>
        <v>pay_HGZceCXHhsEOJ2</v>
      </c>
      <c r="B1234" s="4"/>
      <c r="C1234" s="4" t="s">
        <v>4341</v>
      </c>
      <c r="D1234" s="4">
        <v>50039.0</v>
      </c>
      <c r="E1234" s="5"/>
      <c r="F1234" s="4">
        <v>3.0</v>
      </c>
      <c r="G1234" s="4">
        <v>199.0</v>
      </c>
      <c r="H1234" s="4"/>
      <c r="I1234" s="4">
        <v>199.0</v>
      </c>
      <c r="J1234" s="4" t="s">
        <v>4396</v>
      </c>
      <c r="K1234" s="5">
        <f>+917376504908</f>
        <v>917376504908</v>
      </c>
      <c r="L1234" s="4" t="str">
        <f t="shared" si="1"/>
        <v>inbox.aayushi@gmail.com917376504908</v>
      </c>
      <c r="M1234" s="10" t="s">
        <v>67</v>
      </c>
      <c r="N1234" s="4" t="b">
        <v>0</v>
      </c>
      <c r="O1234" s="4" t="str">
        <f>VLOOKUP(A1234,payment_ids!D:E,2,FALSE)</f>
        <v>upi</v>
      </c>
      <c r="P1234" s="4" t="s">
        <v>69</v>
      </c>
      <c r="Q1234" s="4" t="s">
        <v>4397</v>
      </c>
      <c r="R1234" s="4"/>
      <c r="S1234" s="12" t="s">
        <v>4388</v>
      </c>
      <c r="T1234" s="4" t="s">
        <v>2444</v>
      </c>
      <c r="U1234" s="4"/>
      <c r="V1234" s="4"/>
      <c r="W1234" s="5"/>
      <c r="X1234" s="4"/>
      <c r="Y1234" s="4"/>
      <c r="Z1234" s="5"/>
      <c r="AA1234" s="4"/>
      <c r="AB1234" s="4"/>
      <c r="AC1234" s="4"/>
      <c r="AD1234" s="5"/>
      <c r="AE1234" s="5"/>
      <c r="AF1234" s="5"/>
      <c r="AG1234" s="5"/>
      <c r="AH1234" s="5"/>
      <c r="AI1234" s="5"/>
      <c r="AJ1234" s="5"/>
      <c r="AK1234" s="5"/>
      <c r="AL1234" s="5"/>
    </row>
    <row r="1235">
      <c r="A1235" s="4" t="str">
        <f>VLOOKUP(L1235,payment_ids!C:D,2,FALSE)</f>
        <v>pay_HPxoc7alKKwkBw</v>
      </c>
      <c r="B1235" s="4"/>
      <c r="C1235" s="4" t="s">
        <v>4341</v>
      </c>
      <c r="D1235" s="4">
        <v>50039.0</v>
      </c>
      <c r="E1235" s="5"/>
      <c r="F1235" s="4">
        <v>6.0</v>
      </c>
      <c r="G1235" s="4">
        <v>349.0</v>
      </c>
      <c r="H1235" s="4"/>
      <c r="I1235" s="4">
        <v>349.0</v>
      </c>
      <c r="J1235" s="4" t="s">
        <v>4375</v>
      </c>
      <c r="K1235" s="5">
        <f>+919618610455</f>
        <v>919618610455</v>
      </c>
      <c r="L1235" s="4" t="str">
        <f t="shared" si="1"/>
        <v>biswajit.bage@gmail.com919618610455</v>
      </c>
      <c r="M1235" s="10" t="s">
        <v>67</v>
      </c>
      <c r="N1235" s="4" t="b">
        <v>0</v>
      </c>
      <c r="O1235" s="4" t="str">
        <f>VLOOKUP(A1235,payment_ids!D:E,2,FALSE)</f>
        <v>wallet</v>
      </c>
      <c r="P1235" s="4" t="s">
        <v>69</v>
      </c>
      <c r="Q1235" s="4" t="s">
        <v>4398</v>
      </c>
      <c r="R1235" s="4"/>
      <c r="S1235" s="12" t="s">
        <v>4343</v>
      </c>
      <c r="T1235" s="4" t="s">
        <v>2444</v>
      </c>
      <c r="U1235" s="4"/>
      <c r="V1235" s="4"/>
      <c r="W1235" s="5"/>
      <c r="X1235" s="4"/>
      <c r="Y1235" s="4"/>
      <c r="Z1235" s="5"/>
      <c r="AA1235" s="4"/>
      <c r="AB1235" s="4"/>
      <c r="AC1235" s="4"/>
      <c r="AD1235" s="5"/>
      <c r="AE1235" s="5"/>
      <c r="AF1235" s="5"/>
      <c r="AG1235" s="5"/>
      <c r="AH1235" s="5"/>
      <c r="AI1235" s="5"/>
      <c r="AJ1235" s="5"/>
      <c r="AK1235" s="5"/>
      <c r="AL1235" s="5"/>
    </row>
    <row r="1236">
      <c r="A1236" s="4" t="str">
        <f>VLOOKUP(L1236,payment_ids!C:D,2,FALSE)</f>
        <v>pay_HFJlmEsmikeFWN</v>
      </c>
      <c r="B1236" s="4"/>
      <c r="C1236" s="4" t="s">
        <v>4399</v>
      </c>
      <c r="D1236" s="4">
        <v>50110.0</v>
      </c>
      <c r="E1236" s="5"/>
      <c r="F1236" s="4">
        <v>1.0</v>
      </c>
      <c r="G1236" s="4">
        <v>99.0</v>
      </c>
      <c r="H1236" s="4"/>
      <c r="I1236" s="4">
        <v>99.0</v>
      </c>
      <c r="J1236" s="4" t="s">
        <v>4400</v>
      </c>
      <c r="K1236" s="5">
        <f>+919899987512</f>
        <v>919899987512</v>
      </c>
      <c r="L1236" s="4" t="str">
        <f t="shared" si="1"/>
        <v>sndhabu98e@gmail.com919899987512</v>
      </c>
      <c r="M1236" s="10" t="s">
        <v>67</v>
      </c>
      <c r="N1236" s="4" t="b">
        <v>0</v>
      </c>
      <c r="O1236" s="4" t="str">
        <f>VLOOKUP(A1236,payment_ids!D:E,2,FALSE)</f>
        <v>upi</v>
      </c>
      <c r="P1236" s="4" t="s">
        <v>69</v>
      </c>
      <c r="Q1236" s="4" t="s">
        <v>4401</v>
      </c>
      <c r="R1236" s="4"/>
      <c r="S1236" s="12" t="s">
        <v>4402</v>
      </c>
      <c r="T1236" s="5"/>
      <c r="U1236" s="4"/>
      <c r="V1236" s="4"/>
      <c r="W1236" s="5"/>
      <c r="X1236" s="4"/>
      <c r="Y1236" s="4"/>
      <c r="Z1236" s="5"/>
      <c r="AA1236" s="4"/>
      <c r="AB1236" s="4"/>
      <c r="AC1236" s="4"/>
      <c r="AD1236" s="5"/>
      <c r="AE1236" s="5"/>
      <c r="AF1236" s="5"/>
      <c r="AG1236" s="5"/>
      <c r="AH1236" s="5"/>
      <c r="AI1236" s="5"/>
      <c r="AJ1236" s="5"/>
      <c r="AK1236" s="5"/>
      <c r="AL1236" s="5"/>
    </row>
    <row r="1237">
      <c r="A1237" s="4" t="str">
        <f>VLOOKUP(L1237,payment_ids!C:D,2,FALSE)</f>
        <v>pay_HFMg08qrLQvrg7</v>
      </c>
      <c r="B1237" s="4"/>
      <c r="C1237" s="4" t="s">
        <v>4399</v>
      </c>
      <c r="D1237" s="4">
        <v>50110.0</v>
      </c>
      <c r="E1237" s="5"/>
      <c r="F1237" s="4">
        <v>1.0</v>
      </c>
      <c r="G1237" s="4">
        <v>99.0</v>
      </c>
      <c r="H1237" s="4"/>
      <c r="I1237" s="4">
        <v>99.0</v>
      </c>
      <c r="J1237" s="4" t="s">
        <v>4403</v>
      </c>
      <c r="K1237" s="5">
        <f>+918360021038</f>
        <v>918360021038</v>
      </c>
      <c r="L1237" s="4" t="str">
        <f t="shared" si="1"/>
        <v>samridhikhanna55@gmail.com918360021038</v>
      </c>
      <c r="M1237" s="10" t="s">
        <v>67</v>
      </c>
      <c r="N1237" s="4" t="b">
        <v>0</v>
      </c>
      <c r="O1237" s="4" t="str">
        <f>VLOOKUP(A1237,payment_ids!D:E,2,FALSE)</f>
        <v>upi</v>
      </c>
      <c r="P1237" s="4" t="s">
        <v>69</v>
      </c>
      <c r="Q1237" s="4" t="s">
        <v>4404</v>
      </c>
      <c r="R1237" s="4"/>
      <c r="S1237" s="12" t="s">
        <v>4402</v>
      </c>
      <c r="T1237" s="5"/>
      <c r="U1237" s="4"/>
      <c r="V1237" s="4"/>
      <c r="W1237" s="5"/>
      <c r="X1237" s="4"/>
      <c r="Y1237" s="4"/>
      <c r="Z1237" s="5"/>
      <c r="AA1237" s="4"/>
      <c r="AB1237" s="4"/>
      <c r="AC1237" s="4"/>
      <c r="AD1237" s="5"/>
      <c r="AE1237" s="5"/>
      <c r="AF1237" s="5"/>
      <c r="AG1237" s="5"/>
      <c r="AH1237" s="5"/>
      <c r="AI1237" s="5"/>
      <c r="AJ1237" s="5"/>
      <c r="AK1237" s="5"/>
      <c r="AL1237" s="5"/>
    </row>
    <row r="1238">
      <c r="A1238" s="4" t="str">
        <f>VLOOKUP(L1238,payment_ids!C:D,2,FALSE)</f>
        <v>pay_HGIVnQLkwFlgC8</v>
      </c>
      <c r="B1238" s="4"/>
      <c r="C1238" s="4" t="s">
        <v>4399</v>
      </c>
      <c r="D1238" s="4">
        <v>50110.0</v>
      </c>
      <c r="E1238" s="5"/>
      <c r="F1238" s="4">
        <v>1.0</v>
      </c>
      <c r="G1238" s="4">
        <v>99.0</v>
      </c>
      <c r="H1238" s="4"/>
      <c r="I1238" s="4">
        <v>99.0</v>
      </c>
      <c r="J1238" s="4" t="s">
        <v>4405</v>
      </c>
      <c r="K1238" s="5">
        <f>+919867583240</f>
        <v>919867583240</v>
      </c>
      <c r="L1238" s="4" t="str">
        <f t="shared" si="1"/>
        <v>dashingabhishek@gmail.com919867583240</v>
      </c>
      <c r="M1238" s="10" t="s">
        <v>67</v>
      </c>
      <c r="N1238" s="4" t="b">
        <v>0</v>
      </c>
      <c r="O1238" s="4" t="str">
        <f>VLOOKUP(A1238,payment_ids!D:E,2,FALSE)</f>
        <v>upi</v>
      </c>
      <c r="P1238" s="4" t="s">
        <v>69</v>
      </c>
      <c r="Q1238" s="4" t="s">
        <v>4406</v>
      </c>
      <c r="R1238" s="4"/>
      <c r="S1238" s="12" t="s">
        <v>4402</v>
      </c>
      <c r="T1238" s="5"/>
      <c r="U1238" s="4"/>
      <c r="V1238" s="4"/>
      <c r="W1238" s="5"/>
      <c r="X1238" s="4"/>
      <c r="Y1238" s="4"/>
      <c r="Z1238" s="5"/>
      <c r="AA1238" s="4"/>
      <c r="AB1238" s="4"/>
      <c r="AC1238" s="4"/>
      <c r="AD1238" s="5"/>
      <c r="AE1238" s="5"/>
      <c r="AF1238" s="5"/>
      <c r="AG1238" s="5"/>
      <c r="AH1238" s="5"/>
      <c r="AI1238" s="5"/>
      <c r="AJ1238" s="5"/>
      <c r="AK1238" s="5"/>
      <c r="AL1238" s="5"/>
    </row>
    <row r="1239">
      <c r="A1239" s="4" t="str">
        <f>VLOOKUP(L1239,payment_ids!C:D,2,FALSE)</f>
        <v>pay_HHKLORa27CA8bz</v>
      </c>
      <c r="B1239" s="4"/>
      <c r="C1239" s="4" t="s">
        <v>4399</v>
      </c>
      <c r="D1239" s="4">
        <v>50110.0</v>
      </c>
      <c r="E1239" s="5"/>
      <c r="F1239" s="4">
        <v>1.0</v>
      </c>
      <c r="G1239" s="4">
        <v>99.0</v>
      </c>
      <c r="H1239" s="4"/>
      <c r="I1239" s="4">
        <v>99.0</v>
      </c>
      <c r="J1239" s="4" t="s">
        <v>4407</v>
      </c>
      <c r="K1239" s="5">
        <f>+918309908354</f>
        <v>918309908354</v>
      </c>
      <c r="L1239" s="4" t="str">
        <f t="shared" si="1"/>
        <v>mallupavani22@gmail.com918309908354</v>
      </c>
      <c r="M1239" s="10" t="s">
        <v>67</v>
      </c>
      <c r="N1239" s="4" t="b">
        <v>0</v>
      </c>
      <c r="O1239" s="4" t="str">
        <f>VLOOKUP(A1239,payment_ids!D:E,2,FALSE)</f>
        <v>upi</v>
      </c>
      <c r="P1239" s="4" t="s">
        <v>69</v>
      </c>
      <c r="Q1239" s="4" t="s">
        <v>4408</v>
      </c>
      <c r="R1239" s="4"/>
      <c r="S1239" s="12" t="s">
        <v>4402</v>
      </c>
      <c r="T1239" s="5"/>
      <c r="U1239" s="4"/>
      <c r="V1239" s="4"/>
      <c r="W1239" s="5"/>
      <c r="X1239" s="4"/>
      <c r="Y1239" s="4"/>
      <c r="Z1239" s="5"/>
      <c r="AA1239" s="4"/>
      <c r="AB1239" s="4"/>
      <c r="AC1239" s="4"/>
      <c r="AD1239" s="5"/>
      <c r="AE1239" s="5"/>
      <c r="AF1239" s="5"/>
      <c r="AG1239" s="5"/>
      <c r="AH1239" s="5"/>
      <c r="AI1239" s="5"/>
      <c r="AJ1239" s="5"/>
      <c r="AK1239" s="5"/>
      <c r="AL1239" s="5"/>
    </row>
    <row r="1240">
      <c r="A1240" s="4" t="str">
        <f>VLOOKUP(L1240,payment_ids!C:D,2,FALSE)</f>
        <v>pay_HIRNv6sQZz1v1x</v>
      </c>
      <c r="B1240" s="4"/>
      <c r="C1240" s="4" t="s">
        <v>4399</v>
      </c>
      <c r="D1240" s="4">
        <v>50110.0</v>
      </c>
      <c r="E1240" s="5"/>
      <c r="F1240" s="4">
        <v>1.0</v>
      </c>
      <c r="G1240" s="4">
        <v>99.0</v>
      </c>
      <c r="H1240" s="4"/>
      <c r="I1240" s="4">
        <v>99.0</v>
      </c>
      <c r="J1240" s="4" t="s">
        <v>4409</v>
      </c>
      <c r="K1240" s="5">
        <f>+919891363718</f>
        <v>919891363718</v>
      </c>
      <c r="L1240" s="4" t="str">
        <f t="shared" si="1"/>
        <v>anujaggl1980@gmail.com919891363718</v>
      </c>
      <c r="M1240" s="10" t="s">
        <v>67</v>
      </c>
      <c r="N1240" s="4" t="b">
        <v>0</v>
      </c>
      <c r="O1240" s="4" t="str">
        <f>VLOOKUP(A1240,payment_ids!D:E,2,FALSE)</f>
        <v>upi</v>
      </c>
      <c r="P1240" s="4" t="s">
        <v>69</v>
      </c>
      <c r="Q1240" s="11">
        <v>44261.38055555556</v>
      </c>
      <c r="R1240" s="4"/>
      <c r="S1240" s="12" t="s">
        <v>4402</v>
      </c>
      <c r="T1240" s="5"/>
      <c r="U1240" s="4"/>
      <c r="V1240" s="4"/>
      <c r="W1240" s="5"/>
      <c r="X1240" s="4"/>
      <c r="Y1240" s="4"/>
      <c r="Z1240" s="5"/>
      <c r="AA1240" s="4"/>
      <c r="AB1240" s="4"/>
      <c r="AC1240" s="4"/>
      <c r="AD1240" s="5"/>
      <c r="AE1240" s="5"/>
      <c r="AF1240" s="5"/>
      <c r="AG1240" s="5"/>
      <c r="AH1240" s="5"/>
      <c r="AI1240" s="5"/>
      <c r="AJ1240" s="5"/>
      <c r="AK1240" s="5"/>
      <c r="AL1240" s="5"/>
    </row>
    <row r="1241">
      <c r="A1241" s="4" t="str">
        <f>VLOOKUP(L1241,payment_ids!C:D,2,FALSE)</f>
        <v>pay_HJpuAXJWRzmvNq</v>
      </c>
      <c r="B1241" s="4"/>
      <c r="C1241" s="4" t="s">
        <v>4399</v>
      </c>
      <c r="D1241" s="4">
        <v>50110.0</v>
      </c>
      <c r="E1241" s="5"/>
      <c r="F1241" s="4">
        <v>1.0</v>
      </c>
      <c r="G1241" s="4">
        <v>99.0</v>
      </c>
      <c r="H1241" s="4"/>
      <c r="I1241" s="4">
        <v>99.0</v>
      </c>
      <c r="J1241" s="4" t="s">
        <v>4410</v>
      </c>
      <c r="K1241" s="5">
        <f>+919007260879</f>
        <v>919007260879</v>
      </c>
      <c r="L1241" s="4" t="str">
        <f t="shared" si="1"/>
        <v>sumega24@gmail.com919007260879</v>
      </c>
      <c r="M1241" s="10" t="s">
        <v>67</v>
      </c>
      <c r="N1241" s="4" t="b">
        <v>0</v>
      </c>
      <c r="O1241" s="4" t="str">
        <f>VLOOKUP(A1241,payment_ids!D:E,2,FALSE)</f>
        <v>card</v>
      </c>
      <c r="P1241" s="4" t="s">
        <v>69</v>
      </c>
      <c r="Q1241" s="11">
        <v>44353.90902777778</v>
      </c>
      <c r="R1241" s="4"/>
      <c r="S1241" s="12" t="s">
        <v>4402</v>
      </c>
      <c r="T1241" s="5"/>
      <c r="U1241" s="4"/>
      <c r="V1241" s="4"/>
      <c r="W1241" s="5"/>
      <c r="X1241" s="4"/>
      <c r="Y1241" s="4"/>
      <c r="Z1241" s="5"/>
      <c r="AA1241" s="4"/>
      <c r="AB1241" s="4"/>
      <c r="AC1241" s="4"/>
      <c r="AD1241" s="5"/>
      <c r="AE1241" s="5"/>
      <c r="AF1241" s="5"/>
      <c r="AG1241" s="5"/>
      <c r="AH1241" s="5"/>
      <c r="AI1241" s="5"/>
      <c r="AJ1241" s="5"/>
      <c r="AK1241" s="5"/>
      <c r="AL1241" s="5"/>
    </row>
    <row r="1242">
      <c r="A1242" s="4" t="str">
        <f>VLOOKUP(L1242,payment_ids!C:D,2,FALSE)</f>
        <v>pay_HD2dOCxrF7MNkP</v>
      </c>
      <c r="B1242" s="4"/>
      <c r="C1242" s="4" t="s">
        <v>4399</v>
      </c>
      <c r="D1242" s="4">
        <v>50110.0</v>
      </c>
      <c r="E1242" s="5"/>
      <c r="F1242" s="4">
        <v>1.0</v>
      </c>
      <c r="G1242" s="4">
        <v>99.0</v>
      </c>
      <c r="H1242" s="4"/>
      <c r="I1242" s="4">
        <v>99.0</v>
      </c>
      <c r="J1242" s="4" t="s">
        <v>4411</v>
      </c>
      <c r="K1242" s="5">
        <f>+918124342599</f>
        <v>918124342599</v>
      </c>
      <c r="L1242" s="4" t="str">
        <f t="shared" si="1"/>
        <v>micheal0827@gmail.com918124342599</v>
      </c>
      <c r="M1242" s="10" t="s">
        <v>67</v>
      </c>
      <c r="N1242" s="4" t="b">
        <v>0</v>
      </c>
      <c r="O1242" s="4" t="str">
        <f>VLOOKUP(A1242,payment_ids!D:E,2,FALSE)</f>
        <v>wallet</v>
      </c>
      <c r="P1242" s="4" t="s">
        <v>69</v>
      </c>
      <c r="Q1242" s="11">
        <v>44383.802083333336</v>
      </c>
      <c r="R1242" s="4"/>
      <c r="S1242" s="12" t="s">
        <v>4402</v>
      </c>
      <c r="T1242" s="5"/>
      <c r="U1242" s="4"/>
      <c r="V1242" s="4"/>
      <c r="W1242" s="5"/>
      <c r="X1242" s="4"/>
      <c r="Y1242" s="4"/>
      <c r="Z1242" s="5"/>
      <c r="AA1242" s="4"/>
      <c r="AB1242" s="4"/>
      <c r="AC1242" s="4"/>
      <c r="AD1242" s="5"/>
      <c r="AE1242" s="5"/>
      <c r="AF1242" s="5"/>
      <c r="AG1242" s="5"/>
      <c r="AH1242" s="5"/>
      <c r="AI1242" s="5"/>
      <c r="AJ1242" s="5"/>
      <c r="AK1242" s="5"/>
      <c r="AL1242" s="5"/>
    </row>
    <row r="1243">
      <c r="A1243" s="4" t="str">
        <f>VLOOKUP(L1243,payment_ids!C:D,2,FALSE)</f>
        <v>pay_HKdYW2k5SUvpl9</v>
      </c>
      <c r="B1243" s="4"/>
      <c r="C1243" s="4" t="s">
        <v>4399</v>
      </c>
      <c r="D1243" s="4">
        <v>50110.0</v>
      </c>
      <c r="E1243" s="5"/>
      <c r="F1243" s="4">
        <v>1.0</v>
      </c>
      <c r="G1243" s="4">
        <v>99.0</v>
      </c>
      <c r="H1243" s="4"/>
      <c r="I1243" s="4">
        <v>99.0</v>
      </c>
      <c r="J1243" s="4" t="s">
        <v>3957</v>
      </c>
      <c r="K1243" s="5">
        <f>+918148413883</f>
        <v>918148413883</v>
      </c>
      <c r="L1243" s="4" t="str">
        <f t="shared" si="1"/>
        <v>raghavendira.sankaran@gmail.com918148413883</v>
      </c>
      <c r="M1243" s="10" t="s">
        <v>67</v>
      </c>
      <c r="N1243" s="4" t="b">
        <v>0</v>
      </c>
      <c r="O1243" s="4" t="str">
        <f>VLOOKUP(A1243,payment_ids!D:E,2,FALSE)</f>
        <v>card</v>
      </c>
      <c r="P1243" s="4" t="s">
        <v>69</v>
      </c>
      <c r="Q1243" s="11">
        <v>44414.933333333334</v>
      </c>
      <c r="R1243" s="4"/>
      <c r="S1243" s="12" t="s">
        <v>4412</v>
      </c>
      <c r="T1243" s="4" t="s">
        <v>2444</v>
      </c>
      <c r="U1243" s="4"/>
      <c r="V1243" s="4"/>
      <c r="W1243" s="5"/>
      <c r="X1243" s="4"/>
      <c r="Y1243" s="4"/>
      <c r="Z1243" s="5"/>
      <c r="AA1243" s="4"/>
      <c r="AB1243" s="4"/>
      <c r="AC1243" s="4"/>
      <c r="AD1243" s="5"/>
      <c r="AE1243" s="5"/>
      <c r="AF1243" s="5"/>
      <c r="AG1243" s="5"/>
      <c r="AH1243" s="5"/>
      <c r="AI1243" s="5"/>
      <c r="AJ1243" s="5"/>
      <c r="AK1243" s="5"/>
      <c r="AL1243" s="5"/>
    </row>
    <row r="1244">
      <c r="A1244" s="4" t="str">
        <f>VLOOKUP(L1244,payment_ids!C:D,2,FALSE)</f>
        <v>pay_HLfysiUH1jBWtf</v>
      </c>
      <c r="B1244" s="4"/>
      <c r="C1244" s="4" t="s">
        <v>4399</v>
      </c>
      <c r="D1244" s="4">
        <v>50110.0</v>
      </c>
      <c r="E1244" s="5"/>
      <c r="F1244" s="4">
        <v>1.0</v>
      </c>
      <c r="G1244" s="4">
        <v>99.0</v>
      </c>
      <c r="H1244" s="4"/>
      <c r="I1244" s="4">
        <v>99.0</v>
      </c>
      <c r="J1244" s="4" t="s">
        <v>4413</v>
      </c>
      <c r="K1244" s="5">
        <f>+918574492554</f>
        <v>918574492554</v>
      </c>
      <c r="L1244" s="4" t="str">
        <f t="shared" si="1"/>
        <v>purnima.bisht21@gmail.com918574492554</v>
      </c>
      <c r="M1244" s="10" t="s">
        <v>67</v>
      </c>
      <c r="N1244" s="4" t="b">
        <v>0</v>
      </c>
      <c r="O1244" s="4" t="str">
        <f>VLOOKUP(A1244,payment_ids!D:E,2,FALSE)</f>
        <v>upi</v>
      </c>
      <c r="P1244" s="4" t="s">
        <v>69</v>
      </c>
      <c r="Q1244" s="11">
        <v>44506.55625</v>
      </c>
      <c r="R1244" s="4"/>
      <c r="S1244" s="12" t="s">
        <v>4402</v>
      </c>
      <c r="T1244" s="4" t="s">
        <v>2444</v>
      </c>
      <c r="U1244" s="4"/>
      <c r="V1244" s="4"/>
      <c r="W1244" s="5"/>
      <c r="X1244" s="4"/>
      <c r="Y1244" s="4"/>
      <c r="Z1244" s="5"/>
      <c r="AA1244" s="4"/>
      <c r="AB1244" s="4"/>
      <c r="AC1244" s="4"/>
      <c r="AD1244" s="5"/>
      <c r="AE1244" s="5"/>
      <c r="AF1244" s="5"/>
      <c r="AG1244" s="5"/>
      <c r="AH1244" s="5"/>
      <c r="AI1244" s="5"/>
      <c r="AJ1244" s="5"/>
      <c r="AK1244" s="5"/>
      <c r="AL1244" s="5"/>
    </row>
    <row r="1245">
      <c r="A1245" s="4" t="str">
        <f>VLOOKUP(L1245,payment_ids!C:D,2,FALSE)</f>
        <v>pay_HCbIhR7hr7kTxY</v>
      </c>
      <c r="B1245" s="4"/>
      <c r="C1245" s="4" t="s">
        <v>4399</v>
      </c>
      <c r="D1245" s="4">
        <v>50110.0</v>
      </c>
      <c r="E1245" s="5"/>
      <c r="F1245" s="4">
        <v>6.0</v>
      </c>
      <c r="G1245" s="4">
        <v>349.0</v>
      </c>
      <c r="H1245" s="4"/>
      <c r="I1245" s="4">
        <v>349.0</v>
      </c>
      <c r="J1245" s="4" t="s">
        <v>4414</v>
      </c>
      <c r="K1245" s="5">
        <f>+918754541518</f>
        <v>918754541518</v>
      </c>
      <c r="L1245" s="4" t="str">
        <f t="shared" si="1"/>
        <v>arul.georginal@gmail.com918754541518</v>
      </c>
      <c r="M1245" s="10" t="s">
        <v>67</v>
      </c>
      <c r="N1245" s="4" t="b">
        <v>0</v>
      </c>
      <c r="O1245" s="4" t="str">
        <f>VLOOKUP(A1245,payment_ids!D:E,2,FALSE)</f>
        <v>upi</v>
      </c>
      <c r="P1245" s="4" t="s">
        <v>69</v>
      </c>
      <c r="Q1245" s="11">
        <v>44506.90902777778</v>
      </c>
      <c r="R1245" s="4"/>
      <c r="S1245" s="12" t="s">
        <v>4402</v>
      </c>
      <c r="T1245" s="4" t="s">
        <v>2444</v>
      </c>
      <c r="U1245" s="4"/>
      <c r="V1245" s="4"/>
      <c r="W1245" s="5"/>
      <c r="X1245" s="4"/>
      <c r="Y1245" s="4"/>
      <c r="Z1245" s="5"/>
      <c r="AA1245" s="4"/>
      <c r="AB1245" s="4"/>
      <c r="AC1245" s="4"/>
      <c r="AD1245" s="5"/>
      <c r="AE1245" s="5"/>
      <c r="AF1245" s="5"/>
      <c r="AG1245" s="5"/>
      <c r="AH1245" s="5"/>
      <c r="AI1245" s="5"/>
      <c r="AJ1245" s="5"/>
      <c r="AK1245" s="5"/>
      <c r="AL1245" s="5"/>
    </row>
    <row r="1246">
      <c r="A1246" s="4" t="str">
        <f>VLOOKUP(L1246,payment_ids!C:D,2,FALSE)</f>
        <v>pay_HGAHGXLPvgneTY</v>
      </c>
      <c r="B1246" s="4"/>
      <c r="C1246" s="4" t="s">
        <v>4399</v>
      </c>
      <c r="D1246" s="4">
        <v>50110.0</v>
      </c>
      <c r="E1246" s="5"/>
      <c r="F1246" s="4">
        <v>1.0</v>
      </c>
      <c r="G1246" s="4">
        <v>99.0</v>
      </c>
      <c r="H1246" s="4"/>
      <c r="I1246" s="4">
        <v>99.0</v>
      </c>
      <c r="J1246" s="4" t="s">
        <v>4415</v>
      </c>
      <c r="K1246" s="5">
        <f>+918114971986</f>
        <v>918114971986</v>
      </c>
      <c r="L1246" s="4" t="str">
        <f t="shared" si="1"/>
        <v>shraddhakunmun97@gmail.com918114971986</v>
      </c>
      <c r="M1246" s="10" t="s">
        <v>67</v>
      </c>
      <c r="N1246" s="4" t="b">
        <v>0</v>
      </c>
      <c r="O1246" s="4" t="str">
        <f>VLOOKUP(A1246,payment_ids!D:E,2,FALSE)</f>
        <v>upi</v>
      </c>
      <c r="P1246" s="4" t="s">
        <v>69</v>
      </c>
      <c r="Q1246" s="11">
        <v>44536.93402777778</v>
      </c>
      <c r="R1246" s="4"/>
      <c r="S1246" s="12" t="s">
        <v>4402</v>
      </c>
      <c r="T1246" s="4" t="s">
        <v>2444</v>
      </c>
      <c r="U1246" s="4"/>
      <c r="V1246" s="4"/>
      <c r="W1246" s="5"/>
      <c r="X1246" s="4"/>
      <c r="Y1246" s="4"/>
      <c r="Z1246" s="5"/>
      <c r="AA1246" s="4"/>
      <c r="AB1246" s="4"/>
      <c r="AC1246" s="4"/>
      <c r="AD1246" s="5"/>
      <c r="AE1246" s="5"/>
      <c r="AF1246" s="5"/>
      <c r="AG1246" s="5"/>
      <c r="AH1246" s="5"/>
      <c r="AI1246" s="5"/>
      <c r="AJ1246" s="5"/>
      <c r="AK1246" s="5"/>
      <c r="AL1246" s="5"/>
    </row>
    <row r="1247">
      <c r="A1247" s="4" t="str">
        <f>VLOOKUP(L1247,payment_ids!C:D,2,FALSE)</f>
        <v>pay_HMdfLLjIHDXWcs</v>
      </c>
      <c r="B1247" s="4"/>
      <c r="C1247" s="4" t="s">
        <v>4399</v>
      </c>
      <c r="D1247" s="4">
        <v>50110.0</v>
      </c>
      <c r="E1247" s="5"/>
      <c r="F1247" s="4">
        <v>1.0</v>
      </c>
      <c r="G1247" s="4">
        <v>99.0</v>
      </c>
      <c r="H1247" s="4"/>
      <c r="I1247" s="4">
        <v>99.0</v>
      </c>
      <c r="J1247" s="4" t="s">
        <v>4416</v>
      </c>
      <c r="K1247" s="5">
        <f>+919581414567</f>
        <v>919581414567</v>
      </c>
      <c r="L1247" s="4" t="str">
        <f t="shared" si="1"/>
        <v>gaurav.chandwani@gmail.com919581414567</v>
      </c>
      <c r="M1247" s="10" t="s">
        <v>67</v>
      </c>
      <c r="N1247" s="4" t="b">
        <v>0</v>
      </c>
      <c r="O1247" s="4" t="str">
        <f>VLOOKUP(A1247,payment_ids!D:E,2,FALSE)</f>
        <v>upi</v>
      </c>
      <c r="P1247" s="4" t="s">
        <v>69</v>
      </c>
      <c r="Q1247" s="4" t="s">
        <v>4417</v>
      </c>
      <c r="R1247" s="4"/>
      <c r="S1247" s="12" t="s">
        <v>4402</v>
      </c>
      <c r="T1247" s="4" t="s">
        <v>2444</v>
      </c>
      <c r="U1247" s="4"/>
      <c r="V1247" s="4"/>
      <c r="W1247" s="5"/>
      <c r="X1247" s="4"/>
      <c r="Y1247" s="4"/>
      <c r="Z1247" s="5"/>
      <c r="AA1247" s="4"/>
      <c r="AB1247" s="4"/>
      <c r="AC1247" s="4"/>
      <c r="AD1247" s="5"/>
      <c r="AE1247" s="5"/>
      <c r="AF1247" s="5"/>
      <c r="AG1247" s="5"/>
      <c r="AH1247" s="5"/>
      <c r="AI1247" s="5"/>
      <c r="AJ1247" s="5"/>
      <c r="AK1247" s="5"/>
      <c r="AL1247" s="5"/>
    </row>
    <row r="1248">
      <c r="A1248" s="4" t="str">
        <f>VLOOKUP(L1248,payment_ids!C:D,2,FALSE)</f>
        <v>pay_HMrcNnjwx5h7mq</v>
      </c>
      <c r="B1248" s="4"/>
      <c r="C1248" s="4" t="s">
        <v>4399</v>
      </c>
      <c r="D1248" s="4">
        <v>50110.0</v>
      </c>
      <c r="E1248" s="5"/>
      <c r="F1248" s="4">
        <v>3.0</v>
      </c>
      <c r="G1248" s="4">
        <v>199.0</v>
      </c>
      <c r="H1248" s="4"/>
      <c r="I1248" s="4">
        <v>199.0</v>
      </c>
      <c r="J1248" s="4" t="s">
        <v>4418</v>
      </c>
      <c r="K1248" s="5">
        <f>+918793790617</f>
        <v>918793790617</v>
      </c>
      <c r="L1248" s="4" t="str">
        <f t="shared" si="1"/>
        <v>ashutoshkundan2020@gmail.com918793790617</v>
      </c>
      <c r="M1248" s="10" t="s">
        <v>67</v>
      </c>
      <c r="N1248" s="4" t="b">
        <v>0</v>
      </c>
      <c r="O1248" s="4" t="str">
        <f>VLOOKUP(A1248,payment_ids!D:E,2,FALSE)</f>
        <v>upi</v>
      </c>
      <c r="P1248" s="4" t="s">
        <v>69</v>
      </c>
      <c r="Q1248" s="4" t="s">
        <v>4419</v>
      </c>
      <c r="R1248" s="4"/>
      <c r="S1248" s="12" t="s">
        <v>4402</v>
      </c>
      <c r="T1248" s="4" t="s">
        <v>2444</v>
      </c>
      <c r="U1248" s="4"/>
      <c r="V1248" s="4"/>
      <c r="W1248" s="5"/>
      <c r="X1248" s="4"/>
      <c r="Y1248" s="4"/>
      <c r="Z1248" s="5"/>
      <c r="AA1248" s="4"/>
      <c r="AB1248" s="4"/>
      <c r="AC1248" s="4"/>
      <c r="AD1248" s="5"/>
      <c r="AE1248" s="5"/>
      <c r="AF1248" s="5"/>
      <c r="AG1248" s="5"/>
      <c r="AH1248" s="5"/>
      <c r="AI1248" s="5"/>
      <c r="AJ1248" s="5"/>
      <c r="AK1248" s="5"/>
      <c r="AL1248" s="5"/>
    </row>
    <row r="1249">
      <c r="A1249" s="4" t="str">
        <f>VLOOKUP(L1249,payment_ids!C:D,2,FALSE)</f>
        <v>pay_HMt00EWGS3Oahn</v>
      </c>
      <c r="B1249" s="4"/>
      <c r="C1249" s="4" t="s">
        <v>4399</v>
      </c>
      <c r="D1249" s="4">
        <v>50110.0</v>
      </c>
      <c r="E1249" s="5"/>
      <c r="F1249" s="4">
        <v>1.0</v>
      </c>
      <c r="G1249" s="4">
        <v>99.0</v>
      </c>
      <c r="H1249" s="4"/>
      <c r="I1249" s="4">
        <v>99.0</v>
      </c>
      <c r="J1249" s="4" t="s">
        <v>4420</v>
      </c>
      <c r="K1249" s="5">
        <f>+919515372808</f>
        <v>919515372808</v>
      </c>
      <c r="L1249" s="4" t="str">
        <f t="shared" si="1"/>
        <v>diyaredsy21@gmail.com919515372808</v>
      </c>
      <c r="M1249" s="10" t="s">
        <v>67</v>
      </c>
      <c r="N1249" s="4" t="b">
        <v>0</v>
      </c>
      <c r="O1249" s="4" t="str">
        <f>VLOOKUP(A1249,payment_ids!D:E,2,FALSE)</f>
        <v>upi</v>
      </c>
      <c r="P1249" s="4" t="s">
        <v>69</v>
      </c>
      <c r="Q1249" s="4" t="s">
        <v>4421</v>
      </c>
      <c r="R1249" s="4"/>
      <c r="S1249" s="12" t="s">
        <v>4402</v>
      </c>
      <c r="T1249" s="4" t="s">
        <v>2444</v>
      </c>
      <c r="U1249" s="4"/>
      <c r="V1249" s="4"/>
      <c r="W1249" s="5"/>
      <c r="X1249" s="4"/>
      <c r="Y1249" s="4"/>
      <c r="Z1249" s="5"/>
      <c r="AA1249" s="4"/>
      <c r="AB1249" s="4"/>
      <c r="AC1249" s="4"/>
      <c r="AD1249" s="5"/>
      <c r="AE1249" s="5"/>
      <c r="AF1249" s="5"/>
      <c r="AG1249" s="5"/>
      <c r="AH1249" s="5"/>
      <c r="AI1249" s="5"/>
      <c r="AJ1249" s="5"/>
      <c r="AK1249" s="5"/>
      <c r="AL1249" s="5"/>
    </row>
    <row r="1250">
      <c r="A1250" s="4" t="str">
        <f>VLOOKUP(L1250,payment_ids!C:D,2,FALSE)</f>
        <v>pay_H6dDZuXUs5wJYw</v>
      </c>
      <c r="B1250" s="4"/>
      <c r="C1250" s="4" t="s">
        <v>4422</v>
      </c>
      <c r="D1250" s="4">
        <v>50026.0</v>
      </c>
      <c r="E1250" s="4"/>
      <c r="F1250" s="4">
        <v>1.0</v>
      </c>
      <c r="G1250" s="4">
        <v>999.0</v>
      </c>
      <c r="H1250" s="4"/>
      <c r="I1250" s="4">
        <v>999.0</v>
      </c>
      <c r="J1250" s="4" t="s">
        <v>4423</v>
      </c>
      <c r="K1250" s="6">
        <f>+919999861974</f>
        <v>919999861974</v>
      </c>
      <c r="L1250" s="4" t="str">
        <f t="shared" si="1"/>
        <v>spoojac@outlook.com919999861974</v>
      </c>
      <c r="M1250" s="10" t="s">
        <v>67</v>
      </c>
      <c r="N1250" s="4" t="b">
        <v>0</v>
      </c>
      <c r="O1250" s="4" t="str">
        <f>VLOOKUP(A1250,payment_ids!D:E,2,FALSE)</f>
        <v>upi</v>
      </c>
      <c r="P1250" s="4" t="s">
        <v>69</v>
      </c>
      <c r="Q1250" s="11">
        <v>44291.5375</v>
      </c>
      <c r="R1250" s="4"/>
      <c r="S1250" s="12" t="s">
        <v>4424</v>
      </c>
      <c r="T1250" s="4"/>
      <c r="U1250" s="4"/>
      <c r="V1250" s="4"/>
      <c r="W1250" s="5"/>
      <c r="X1250" s="4"/>
      <c r="Y1250" s="4"/>
      <c r="Z1250" s="5"/>
      <c r="AA1250" s="4"/>
      <c r="AB1250" s="4"/>
      <c r="AC1250" s="4"/>
      <c r="AD1250" s="5"/>
      <c r="AE1250" s="5"/>
      <c r="AF1250" s="5"/>
      <c r="AG1250" s="5"/>
      <c r="AH1250" s="5"/>
      <c r="AI1250" s="5"/>
      <c r="AJ1250" s="5"/>
      <c r="AK1250" s="5"/>
      <c r="AL1250" s="5"/>
    </row>
    <row r="1251">
      <c r="A1251" s="4" t="str">
        <f>VLOOKUP(L1251,payment_ids!C:D,2,FALSE)</f>
        <v>pay_HBSDmL6xDWlPOP</v>
      </c>
      <c r="B1251" s="4"/>
      <c r="C1251" s="4" t="s">
        <v>4422</v>
      </c>
      <c r="D1251" s="4">
        <v>50026.0</v>
      </c>
      <c r="E1251" s="4"/>
      <c r="F1251" s="4">
        <v>1.0</v>
      </c>
      <c r="G1251" s="4">
        <v>999.0</v>
      </c>
      <c r="H1251" s="4"/>
      <c r="I1251" s="4">
        <v>999.0</v>
      </c>
      <c r="J1251" s="4" t="s">
        <v>4425</v>
      </c>
      <c r="K1251" s="6">
        <f>+919899259874</f>
        <v>919899259874</v>
      </c>
      <c r="L1251" s="4" t="str">
        <f t="shared" si="1"/>
        <v>yugantika2313@gmail.con919899259874</v>
      </c>
      <c r="M1251" s="10" t="s">
        <v>67</v>
      </c>
      <c r="N1251" s="4" t="b">
        <v>0</v>
      </c>
      <c r="O1251" s="4" t="str">
        <f>VLOOKUP(A1251,payment_ids!D:E,2,FALSE)</f>
        <v>upi</v>
      </c>
      <c r="P1251" s="4" t="s">
        <v>69</v>
      </c>
      <c r="Q1251" s="4" t="s">
        <v>4426</v>
      </c>
      <c r="R1251" s="4"/>
      <c r="S1251" s="12" t="s">
        <v>4424</v>
      </c>
      <c r="T1251" s="4"/>
      <c r="U1251" s="4"/>
      <c r="V1251" s="4"/>
      <c r="W1251" s="5"/>
      <c r="X1251" s="4"/>
      <c r="Y1251" s="4"/>
      <c r="Z1251" s="5"/>
      <c r="AA1251" s="4"/>
      <c r="AB1251" s="4"/>
      <c r="AC1251" s="4"/>
      <c r="AD1251" s="5"/>
      <c r="AE1251" s="5"/>
      <c r="AF1251" s="5"/>
      <c r="AG1251" s="5"/>
      <c r="AH1251" s="5"/>
      <c r="AI1251" s="5"/>
      <c r="AJ1251" s="5"/>
      <c r="AK1251" s="5"/>
      <c r="AL1251" s="5"/>
    </row>
    <row r="1252">
      <c r="A1252" s="4" t="str">
        <f>VLOOKUP(L1252,payment_ids!C:D,2,FALSE)</f>
        <v>pay_HCKAeNix9yiYtq</v>
      </c>
      <c r="B1252" s="4"/>
      <c r="C1252" s="4" t="s">
        <v>4422</v>
      </c>
      <c r="D1252" s="4">
        <v>50026.0</v>
      </c>
      <c r="E1252" s="4"/>
      <c r="F1252" s="4">
        <v>1.0</v>
      </c>
      <c r="G1252" s="4">
        <v>999.0</v>
      </c>
      <c r="H1252" s="4"/>
      <c r="I1252" s="4">
        <v>999.0</v>
      </c>
      <c r="J1252" s="4" t="s">
        <v>4427</v>
      </c>
      <c r="K1252" s="6">
        <f>+919448378204</f>
        <v>919448378204</v>
      </c>
      <c r="L1252" s="4" t="str">
        <f t="shared" si="1"/>
        <v>smyk.kejriwal@gmail.com919448378204</v>
      </c>
      <c r="M1252" s="10" t="s">
        <v>67</v>
      </c>
      <c r="N1252" s="4" t="b">
        <v>0</v>
      </c>
      <c r="O1252" s="4" t="str">
        <f>VLOOKUP(A1252,payment_ids!D:E,2,FALSE)</f>
        <v>upi</v>
      </c>
      <c r="P1252" s="4" t="s">
        <v>69</v>
      </c>
      <c r="Q1252" s="4" t="s">
        <v>4428</v>
      </c>
      <c r="R1252" s="4"/>
      <c r="S1252" s="12" t="s">
        <v>4424</v>
      </c>
      <c r="T1252" s="4"/>
      <c r="U1252" s="4"/>
      <c r="V1252" s="4"/>
      <c r="W1252" s="5"/>
      <c r="X1252" s="4"/>
      <c r="Y1252" s="4"/>
      <c r="Z1252" s="5"/>
      <c r="AA1252" s="4"/>
      <c r="AB1252" s="4"/>
      <c r="AC1252" s="4"/>
      <c r="AD1252" s="5"/>
      <c r="AE1252" s="5"/>
      <c r="AF1252" s="5"/>
      <c r="AG1252" s="5"/>
      <c r="AH1252" s="5"/>
      <c r="AI1252" s="5"/>
      <c r="AJ1252" s="5"/>
      <c r="AK1252" s="5"/>
      <c r="AL1252" s="5"/>
    </row>
    <row r="1253">
      <c r="A1253" s="4" t="str">
        <f>VLOOKUP(L1253,payment_ids!C:D,2,FALSE)</f>
        <v>pay_HL24FsPDDMsBZL</v>
      </c>
      <c r="B1253" s="4"/>
      <c r="C1253" s="4" t="s">
        <v>4422</v>
      </c>
      <c r="D1253" s="4">
        <v>50026.0</v>
      </c>
      <c r="E1253" s="5"/>
      <c r="F1253" s="4">
        <v>1.0</v>
      </c>
      <c r="G1253" s="4">
        <v>499.0</v>
      </c>
      <c r="H1253" s="4"/>
      <c r="I1253" s="4">
        <v>499.0</v>
      </c>
      <c r="J1253" s="4" t="s">
        <v>4429</v>
      </c>
      <c r="K1253" s="5">
        <f>+919384399515</f>
        <v>919384399515</v>
      </c>
      <c r="L1253" s="4" t="str">
        <f t="shared" si="1"/>
        <v>ajibujji98@gmail.com919384399515</v>
      </c>
      <c r="M1253" s="10" t="s">
        <v>67</v>
      </c>
      <c r="N1253" s="4" t="b">
        <v>0</v>
      </c>
      <c r="O1253" s="4" t="str">
        <f>VLOOKUP(A1253,payment_ids!D:E,2,FALSE)</f>
        <v>upi</v>
      </c>
      <c r="P1253" s="4" t="s">
        <v>69</v>
      </c>
      <c r="Q1253" s="11">
        <v>44445.930555555555</v>
      </c>
      <c r="R1253" s="4"/>
      <c r="S1253" s="12" t="s">
        <v>4430</v>
      </c>
      <c r="T1253" s="4" t="s">
        <v>2444</v>
      </c>
      <c r="U1253" s="4"/>
      <c r="V1253" s="4"/>
      <c r="W1253" s="5"/>
      <c r="X1253" s="4"/>
      <c r="Y1253" s="4"/>
      <c r="Z1253" s="5"/>
      <c r="AA1253" s="4"/>
      <c r="AB1253" s="4"/>
      <c r="AC1253" s="4"/>
      <c r="AD1253" s="5"/>
      <c r="AE1253" s="5"/>
      <c r="AF1253" s="5"/>
      <c r="AG1253" s="5"/>
      <c r="AH1253" s="5"/>
      <c r="AI1253" s="5"/>
      <c r="AJ1253" s="5"/>
      <c r="AK1253" s="5"/>
      <c r="AL1253" s="5"/>
    </row>
    <row r="1254">
      <c r="A1254" s="4" t="str">
        <f>VLOOKUP(L1254,payment_ids!C:D,2,FALSE)</f>
        <v>pay_HOYawbwg6czQzO</v>
      </c>
      <c r="B1254" s="4"/>
      <c r="C1254" s="4" t="s">
        <v>4422</v>
      </c>
      <c r="D1254" s="4">
        <v>50026.0</v>
      </c>
      <c r="E1254" s="5"/>
      <c r="F1254" s="4">
        <v>1.0</v>
      </c>
      <c r="G1254" s="4">
        <v>199.0</v>
      </c>
      <c r="H1254" s="4"/>
      <c r="I1254" s="4">
        <v>199.0</v>
      </c>
      <c r="J1254" s="4" t="s">
        <v>4431</v>
      </c>
      <c r="K1254" s="5">
        <f>+917499633179</f>
        <v>917499633179</v>
      </c>
      <c r="L1254" s="4" t="str">
        <f t="shared" si="1"/>
        <v>preranagawde08@gmail.com917499633179</v>
      </c>
      <c r="M1254" s="10" t="s">
        <v>67</v>
      </c>
      <c r="N1254" s="4" t="b">
        <v>0</v>
      </c>
      <c r="O1254" s="4" t="str">
        <f>VLOOKUP(A1254,payment_ids!D:E,2,FALSE)</f>
        <v>wallet</v>
      </c>
      <c r="P1254" s="4" t="s">
        <v>69</v>
      </c>
      <c r="Q1254" s="4" t="s">
        <v>4432</v>
      </c>
      <c r="R1254" s="4"/>
      <c r="S1254" s="12" t="s">
        <v>4424</v>
      </c>
      <c r="T1254" s="4" t="s">
        <v>2444</v>
      </c>
      <c r="U1254" s="4"/>
      <c r="V1254" s="4"/>
      <c r="W1254" s="5"/>
      <c r="X1254" s="4"/>
      <c r="Y1254" s="4"/>
      <c r="Z1254" s="5"/>
      <c r="AA1254" s="4"/>
      <c r="AB1254" s="4"/>
      <c r="AC1254" s="4"/>
      <c r="AD1254" s="5"/>
      <c r="AE1254" s="5"/>
      <c r="AF1254" s="5"/>
      <c r="AG1254" s="5"/>
      <c r="AH1254" s="5"/>
      <c r="AI1254" s="5"/>
      <c r="AJ1254" s="5"/>
      <c r="AK1254" s="5"/>
      <c r="AL1254" s="5"/>
    </row>
    <row r="1255">
      <c r="A1255" s="4" t="str">
        <f>VLOOKUP(L1255,payment_ids!C:D,2,FALSE)</f>
        <v>pay_H8LtDPE1m52UzA</v>
      </c>
      <c r="B1255" s="4"/>
      <c r="C1255" s="4" t="s">
        <v>4433</v>
      </c>
      <c r="D1255" s="4">
        <v>50052.0</v>
      </c>
      <c r="E1255" s="4"/>
      <c r="F1255" s="4">
        <v>1.0</v>
      </c>
      <c r="G1255" s="4">
        <v>99.0</v>
      </c>
      <c r="H1255" s="4"/>
      <c r="I1255" s="4">
        <v>99.0</v>
      </c>
      <c r="J1255" s="4" t="s">
        <v>4434</v>
      </c>
      <c r="K1255" s="6">
        <f>+919573145697</f>
        <v>919573145697</v>
      </c>
      <c r="L1255" s="4" t="str">
        <f t="shared" si="1"/>
        <v>yogitha0b47@gmail.com919573145697</v>
      </c>
      <c r="M1255" s="10" t="s">
        <v>67</v>
      </c>
      <c r="N1255" s="4" t="b">
        <v>0</v>
      </c>
      <c r="O1255" s="4" t="str">
        <f>VLOOKUP(A1255,payment_ids!D:E,2,FALSE)</f>
        <v>upi</v>
      </c>
      <c r="P1255" s="4" t="s">
        <v>69</v>
      </c>
      <c r="Q1255" s="11">
        <v>44413.885416666664</v>
      </c>
      <c r="R1255" s="4"/>
      <c r="S1255" s="12" t="s">
        <v>4435</v>
      </c>
      <c r="T1255" s="4"/>
      <c r="U1255" s="4"/>
      <c r="V1255" s="4"/>
      <c r="W1255" s="5"/>
      <c r="X1255" s="4"/>
      <c r="Y1255" s="4"/>
      <c r="Z1255" s="5"/>
      <c r="AA1255" s="4"/>
      <c r="AB1255" s="4"/>
      <c r="AC1255" s="4"/>
      <c r="AD1255" s="5"/>
      <c r="AE1255" s="5"/>
      <c r="AF1255" s="5"/>
      <c r="AG1255" s="5"/>
      <c r="AH1255" s="5"/>
      <c r="AI1255" s="5"/>
      <c r="AJ1255" s="5"/>
      <c r="AK1255" s="5"/>
      <c r="AL1255" s="5"/>
    </row>
    <row r="1256">
      <c r="A1256" s="4" t="str">
        <f>VLOOKUP(L1256,payment_ids!C:D,2,FALSE)</f>
        <v>pay_H8YnYkdQbLlS2M</v>
      </c>
      <c r="B1256" s="4"/>
      <c r="C1256" s="4" t="s">
        <v>4433</v>
      </c>
      <c r="D1256" s="4">
        <v>50052.0</v>
      </c>
      <c r="E1256" s="4"/>
      <c r="F1256" s="4">
        <v>1.0</v>
      </c>
      <c r="G1256" s="4">
        <v>349.0</v>
      </c>
      <c r="H1256" s="4"/>
      <c r="I1256" s="4">
        <v>349.0</v>
      </c>
      <c r="J1256" s="4" t="s">
        <v>4436</v>
      </c>
      <c r="K1256" s="6">
        <f>+919949655132</f>
        <v>919949655132</v>
      </c>
      <c r="L1256" s="4" t="str">
        <f t="shared" si="1"/>
        <v>udspat1964@gmail.com919949655132</v>
      </c>
      <c r="M1256" s="10" t="s">
        <v>67</v>
      </c>
      <c r="N1256" s="4" t="b">
        <v>0</v>
      </c>
      <c r="O1256" s="4" t="str">
        <f>VLOOKUP(A1256,payment_ids!D:E,2,FALSE)</f>
        <v>card</v>
      </c>
      <c r="P1256" s="4" t="s">
        <v>69</v>
      </c>
      <c r="Q1256" s="11">
        <v>44444.41111111111</v>
      </c>
      <c r="R1256" s="4"/>
      <c r="S1256" s="12" t="s">
        <v>4435</v>
      </c>
      <c r="T1256" s="4"/>
      <c r="U1256" s="4"/>
      <c r="V1256" s="4"/>
      <c r="W1256" s="5"/>
      <c r="X1256" s="4"/>
      <c r="Y1256" s="4"/>
      <c r="Z1256" s="5"/>
      <c r="AA1256" s="4"/>
      <c r="AB1256" s="4"/>
      <c r="AC1256" s="4"/>
      <c r="AD1256" s="5"/>
      <c r="AE1256" s="5"/>
      <c r="AF1256" s="5"/>
      <c r="AG1256" s="5"/>
      <c r="AH1256" s="5"/>
      <c r="AI1256" s="5"/>
      <c r="AJ1256" s="5"/>
      <c r="AK1256" s="5"/>
      <c r="AL1256" s="5"/>
    </row>
    <row r="1257">
      <c r="A1257" s="4" t="str">
        <f>VLOOKUP(L1257,payment_ids!C:D,2,FALSE)</f>
        <v>pay_H944fMQwVum374</v>
      </c>
      <c r="B1257" s="4"/>
      <c r="C1257" s="4" t="s">
        <v>4433</v>
      </c>
      <c r="D1257" s="4">
        <v>50052.0</v>
      </c>
      <c r="E1257" s="4"/>
      <c r="F1257" s="4">
        <v>1.0</v>
      </c>
      <c r="G1257" s="4">
        <v>349.0</v>
      </c>
      <c r="H1257" s="4"/>
      <c r="I1257" s="4">
        <v>349.0</v>
      </c>
      <c r="J1257" s="4" t="s">
        <v>4437</v>
      </c>
      <c r="K1257" s="6">
        <f>+917204041202</f>
        <v>917204041202</v>
      </c>
      <c r="L1257" s="4" t="str">
        <f t="shared" si="1"/>
        <v>baggapavan@hotmail.com917204041202</v>
      </c>
      <c r="M1257" s="10" t="s">
        <v>67</v>
      </c>
      <c r="N1257" s="4" t="b">
        <v>0</v>
      </c>
      <c r="O1257" s="4" t="str">
        <f>VLOOKUP(A1257,payment_ids!D:E,2,FALSE)</f>
        <v>card</v>
      </c>
      <c r="P1257" s="4" t="s">
        <v>69</v>
      </c>
      <c r="Q1257" s="11">
        <v>44474.68819444445</v>
      </c>
      <c r="R1257" s="4"/>
      <c r="S1257" s="12" t="s">
        <v>4435</v>
      </c>
      <c r="T1257" s="4"/>
      <c r="U1257" s="4"/>
      <c r="V1257" s="4"/>
      <c r="W1257" s="5"/>
      <c r="X1257" s="4"/>
      <c r="Y1257" s="4"/>
      <c r="Z1257" s="5"/>
      <c r="AA1257" s="4"/>
      <c r="AB1257" s="4"/>
      <c r="AC1257" s="4"/>
      <c r="AD1257" s="5"/>
      <c r="AE1257" s="5"/>
      <c r="AF1257" s="5"/>
      <c r="AG1257" s="5"/>
      <c r="AH1257" s="5"/>
      <c r="AI1257" s="5"/>
      <c r="AJ1257" s="5"/>
      <c r="AK1257" s="5"/>
      <c r="AL1257" s="5"/>
    </row>
    <row r="1258">
      <c r="A1258" s="4" t="str">
        <f>VLOOKUP(L1258,payment_ids!C:D,2,FALSE)</f>
        <v>pay_H8vviClq6mgFB9</v>
      </c>
      <c r="B1258" s="4"/>
      <c r="C1258" s="4" t="s">
        <v>4433</v>
      </c>
      <c r="D1258" s="4">
        <v>50052.0</v>
      </c>
      <c r="E1258" s="4"/>
      <c r="F1258" s="4">
        <v>1.0</v>
      </c>
      <c r="G1258" s="4">
        <v>99.0</v>
      </c>
      <c r="H1258" s="4"/>
      <c r="I1258" s="4">
        <v>99.0</v>
      </c>
      <c r="J1258" s="4" t="s">
        <v>4438</v>
      </c>
      <c r="K1258" s="6">
        <f>+919171168888</f>
        <v>919171168888</v>
      </c>
      <c r="L1258" s="4" t="str">
        <f t="shared" si="1"/>
        <v>purvikhandelwal.pk@gmail.com919171168888</v>
      </c>
      <c r="M1258" s="10" t="s">
        <v>67</v>
      </c>
      <c r="N1258" s="4" t="b">
        <v>0</v>
      </c>
      <c r="O1258" s="4" t="str">
        <f>VLOOKUP(A1258,payment_ids!D:E,2,FALSE)</f>
        <v>upi</v>
      </c>
      <c r="P1258" s="4" t="s">
        <v>69</v>
      </c>
      <c r="Q1258" s="11">
        <v>44474.354166666664</v>
      </c>
      <c r="R1258" s="4"/>
      <c r="S1258" s="12" t="s">
        <v>4435</v>
      </c>
      <c r="T1258" s="4"/>
      <c r="U1258" s="4"/>
      <c r="V1258" s="4"/>
      <c r="W1258" s="5"/>
      <c r="X1258" s="4"/>
      <c r="Y1258" s="4"/>
      <c r="Z1258" s="5"/>
      <c r="AA1258" s="4"/>
      <c r="AB1258" s="4"/>
      <c r="AC1258" s="4"/>
      <c r="AD1258" s="5"/>
      <c r="AE1258" s="5"/>
      <c r="AF1258" s="5"/>
      <c r="AG1258" s="5"/>
      <c r="AH1258" s="5"/>
      <c r="AI1258" s="5"/>
      <c r="AJ1258" s="5"/>
      <c r="AK1258" s="5"/>
      <c r="AL1258" s="5"/>
    </row>
    <row r="1259">
      <c r="A1259" s="4" t="str">
        <f>VLOOKUP(L1259,payment_ids!C:D,2,FALSE)</f>
        <v>pay_H8wNbC5bKacnt2</v>
      </c>
      <c r="B1259" s="4"/>
      <c r="C1259" s="4" t="s">
        <v>4433</v>
      </c>
      <c r="D1259" s="4">
        <v>50052.0</v>
      </c>
      <c r="E1259" s="4"/>
      <c r="F1259" s="4">
        <v>1.0</v>
      </c>
      <c r="G1259" s="4">
        <v>99.0</v>
      </c>
      <c r="H1259" s="4"/>
      <c r="I1259" s="4">
        <v>99.0</v>
      </c>
      <c r="J1259" s="4" t="s">
        <v>4439</v>
      </c>
      <c r="K1259" s="6">
        <f>+918985811279</f>
        <v>918985811279</v>
      </c>
      <c r="L1259" s="4" t="str">
        <f t="shared" si="1"/>
        <v>sravan93.davagni@gmail.com918985811279</v>
      </c>
      <c r="M1259" s="10" t="s">
        <v>67</v>
      </c>
      <c r="N1259" s="4" t="b">
        <v>0</v>
      </c>
      <c r="O1259" s="4" t="str">
        <f>VLOOKUP(A1259,payment_ids!D:E,2,FALSE)</f>
        <v>upi</v>
      </c>
      <c r="P1259" s="4" t="s">
        <v>69</v>
      </c>
      <c r="Q1259" s="11">
        <v>44474.37222222222</v>
      </c>
      <c r="R1259" s="4"/>
      <c r="S1259" s="12" t="s">
        <v>4435</v>
      </c>
      <c r="T1259" s="4"/>
      <c r="U1259" s="4"/>
      <c r="V1259" s="4"/>
      <c r="W1259" s="5"/>
      <c r="X1259" s="4"/>
      <c r="Y1259" s="4"/>
      <c r="Z1259" s="5"/>
      <c r="AA1259" s="4"/>
      <c r="AB1259" s="4"/>
      <c r="AC1259" s="4"/>
      <c r="AD1259" s="5"/>
      <c r="AE1259" s="5"/>
      <c r="AF1259" s="5"/>
      <c r="AG1259" s="5"/>
      <c r="AH1259" s="5"/>
      <c r="AI1259" s="5"/>
      <c r="AJ1259" s="5"/>
      <c r="AK1259" s="5"/>
      <c r="AL1259" s="5"/>
    </row>
    <row r="1260">
      <c r="A1260" s="4" t="str">
        <f>VLOOKUP(L1260,payment_ids!C:D,2,FALSE)</f>
        <v>pay_H9Q3C7tKgBZQ5o</v>
      </c>
      <c r="B1260" s="4"/>
      <c r="C1260" s="4" t="s">
        <v>4433</v>
      </c>
      <c r="D1260" s="4">
        <v>50052.0</v>
      </c>
      <c r="E1260" s="4"/>
      <c r="F1260" s="4">
        <v>1.0</v>
      </c>
      <c r="G1260" s="4">
        <v>99.0</v>
      </c>
      <c r="H1260" s="4"/>
      <c r="I1260" s="4">
        <v>99.0</v>
      </c>
      <c r="J1260" s="4" t="s">
        <v>2775</v>
      </c>
      <c r="K1260" s="6">
        <f>+918610147050</f>
        <v>918610147050</v>
      </c>
      <c r="L1260" s="4" t="str">
        <f t="shared" si="1"/>
        <v>hariprasad3785@gmail.com918610147050</v>
      </c>
      <c r="M1260" s="10" t="s">
        <v>67</v>
      </c>
      <c r="N1260" s="4" t="b">
        <v>0</v>
      </c>
      <c r="O1260" s="4" t="str">
        <f>VLOOKUP(A1260,payment_ids!D:E,2,FALSE)</f>
        <v>upi</v>
      </c>
      <c r="P1260" s="4" t="s">
        <v>69</v>
      </c>
      <c r="Q1260" s="4" t="s">
        <v>4440</v>
      </c>
      <c r="R1260" s="4"/>
      <c r="S1260" s="12" t="s">
        <v>4435</v>
      </c>
      <c r="T1260" s="4"/>
      <c r="U1260" s="4"/>
      <c r="V1260" s="4"/>
      <c r="W1260" s="5"/>
      <c r="X1260" s="4"/>
      <c r="Y1260" s="4"/>
      <c r="Z1260" s="5"/>
      <c r="AA1260" s="4"/>
      <c r="AB1260" s="4"/>
      <c r="AC1260" s="4"/>
      <c r="AD1260" s="5"/>
      <c r="AE1260" s="5"/>
      <c r="AF1260" s="5"/>
      <c r="AG1260" s="5"/>
      <c r="AH1260" s="5"/>
      <c r="AI1260" s="5"/>
      <c r="AJ1260" s="5"/>
      <c r="AK1260" s="5"/>
      <c r="AL1260" s="5"/>
    </row>
    <row r="1261">
      <c r="A1261" s="4" t="str">
        <f>VLOOKUP(L1261,payment_ids!C:D,2,FALSE)</f>
        <v>pay_HDBuLMSiXeiz0z</v>
      </c>
      <c r="B1261" s="4"/>
      <c r="C1261" s="4" t="s">
        <v>4433</v>
      </c>
      <c r="D1261" s="4">
        <v>50052.0</v>
      </c>
      <c r="E1261" s="4"/>
      <c r="F1261" s="4">
        <v>6.0</v>
      </c>
      <c r="G1261" s="4">
        <v>349.0</v>
      </c>
      <c r="H1261" s="4"/>
      <c r="I1261" s="4">
        <v>349.0</v>
      </c>
      <c r="J1261" s="4" t="s">
        <v>4441</v>
      </c>
      <c r="K1261" s="6">
        <f>+917566189836</f>
        <v>917566189836</v>
      </c>
      <c r="L1261" s="4" t="str">
        <f t="shared" si="1"/>
        <v>sdhruve2016@gmail.com917566189836</v>
      </c>
      <c r="M1261" s="10" t="s">
        <v>67</v>
      </c>
      <c r="N1261" s="4" t="b">
        <v>0</v>
      </c>
      <c r="O1261" s="4" t="str">
        <f>VLOOKUP(A1261,payment_ids!D:E,2,FALSE)</f>
        <v>upi</v>
      </c>
      <c r="P1261" s="4" t="s">
        <v>69</v>
      </c>
      <c r="Q1261" s="4" t="s">
        <v>4442</v>
      </c>
      <c r="R1261" s="4"/>
      <c r="S1261" s="12" t="s">
        <v>4435</v>
      </c>
      <c r="T1261" s="4"/>
      <c r="U1261" s="4"/>
      <c r="V1261" s="4"/>
      <c r="W1261" s="5"/>
      <c r="X1261" s="4"/>
      <c r="Y1261" s="4"/>
      <c r="Z1261" s="5"/>
      <c r="AA1261" s="4"/>
      <c r="AB1261" s="4"/>
      <c r="AC1261" s="4"/>
      <c r="AD1261" s="5"/>
      <c r="AE1261" s="5"/>
      <c r="AF1261" s="5"/>
      <c r="AG1261" s="5"/>
      <c r="AH1261" s="5"/>
      <c r="AI1261" s="5"/>
      <c r="AJ1261" s="5"/>
      <c r="AK1261" s="5"/>
      <c r="AL1261" s="5"/>
    </row>
    <row r="1262">
      <c r="A1262" s="4" t="str">
        <f>VLOOKUP(L1262,payment_ids!C:D,2,FALSE)</f>
        <v>pay_HDQQ5VBxpraqNZ</v>
      </c>
      <c r="B1262" s="4"/>
      <c r="C1262" s="4" t="s">
        <v>4433</v>
      </c>
      <c r="D1262" s="4">
        <v>50052.0</v>
      </c>
      <c r="E1262" s="4"/>
      <c r="F1262" s="4">
        <v>3.0</v>
      </c>
      <c r="G1262" s="4">
        <v>199.0</v>
      </c>
      <c r="H1262" s="4"/>
      <c r="I1262" s="4">
        <v>199.0</v>
      </c>
      <c r="J1262" s="4" t="s">
        <v>4443</v>
      </c>
      <c r="K1262" s="6">
        <f>+919480137751</f>
        <v>919480137751</v>
      </c>
      <c r="L1262" s="4" t="str">
        <f t="shared" si="1"/>
        <v>shilpa24822@gmail.com919480137751</v>
      </c>
      <c r="M1262" s="10" t="s">
        <v>67</v>
      </c>
      <c r="N1262" s="4" t="b">
        <v>0</v>
      </c>
      <c r="O1262" s="4" t="str">
        <f>VLOOKUP(A1262,payment_ids!D:E,2,FALSE)</f>
        <v>upi</v>
      </c>
      <c r="P1262" s="4" t="s">
        <v>69</v>
      </c>
      <c r="Q1262" s="4" t="s">
        <v>4444</v>
      </c>
      <c r="R1262" s="4"/>
      <c r="S1262" s="12" t="s">
        <v>4435</v>
      </c>
      <c r="T1262" s="4"/>
      <c r="U1262" s="4"/>
      <c r="V1262" s="4"/>
      <c r="W1262" s="5"/>
      <c r="X1262" s="4"/>
      <c r="Y1262" s="4"/>
      <c r="Z1262" s="5"/>
      <c r="AA1262" s="4"/>
      <c r="AB1262" s="4"/>
      <c r="AC1262" s="4"/>
      <c r="AD1262" s="5"/>
      <c r="AE1262" s="5"/>
      <c r="AF1262" s="5"/>
      <c r="AG1262" s="5"/>
      <c r="AH1262" s="5"/>
      <c r="AI1262" s="5"/>
      <c r="AJ1262" s="5"/>
      <c r="AK1262" s="5"/>
      <c r="AL1262" s="5"/>
    </row>
    <row r="1263">
      <c r="A1263" s="4" t="str">
        <f>VLOOKUP(L1263,payment_ids!C:D,2,FALSE)</f>
        <v>pay_HDiicNZTU8Lks2</v>
      </c>
      <c r="B1263" s="4"/>
      <c r="C1263" s="4" t="s">
        <v>4433</v>
      </c>
      <c r="D1263" s="4">
        <v>50052.0</v>
      </c>
      <c r="E1263" s="4"/>
      <c r="F1263" s="4">
        <v>1.0</v>
      </c>
      <c r="G1263" s="4">
        <v>99.0</v>
      </c>
      <c r="H1263" s="4"/>
      <c r="I1263" s="4">
        <v>99.0</v>
      </c>
      <c r="J1263" s="4" t="s">
        <v>4445</v>
      </c>
      <c r="K1263" s="6">
        <f>+918512828570</f>
        <v>918512828570</v>
      </c>
      <c r="L1263" s="4" t="str">
        <f t="shared" si="1"/>
        <v>bansalanchal18@gmail.com918512828570</v>
      </c>
      <c r="M1263" s="10" t="s">
        <v>67</v>
      </c>
      <c r="N1263" s="4" t="b">
        <v>0</v>
      </c>
      <c r="O1263" s="4" t="str">
        <f>VLOOKUP(A1263,payment_ids!D:E,2,FALSE)</f>
        <v>upi</v>
      </c>
      <c r="P1263" s="4" t="s">
        <v>69</v>
      </c>
      <c r="Q1263" s="4" t="s">
        <v>4446</v>
      </c>
      <c r="R1263" s="4"/>
      <c r="S1263" s="12" t="s">
        <v>4435</v>
      </c>
      <c r="T1263" s="4"/>
      <c r="U1263" s="4"/>
      <c r="V1263" s="4"/>
      <c r="W1263" s="5"/>
      <c r="X1263" s="4"/>
      <c r="Y1263" s="4"/>
      <c r="Z1263" s="5"/>
      <c r="AA1263" s="4"/>
      <c r="AB1263" s="4"/>
      <c r="AC1263" s="4"/>
      <c r="AD1263" s="5"/>
      <c r="AE1263" s="5"/>
      <c r="AF1263" s="5"/>
      <c r="AG1263" s="5"/>
      <c r="AH1263" s="5"/>
      <c r="AI1263" s="5"/>
      <c r="AJ1263" s="5"/>
      <c r="AK1263" s="5"/>
      <c r="AL1263" s="5"/>
    </row>
    <row r="1264">
      <c r="A1264" s="4" t="str">
        <f>VLOOKUP(L1264,payment_ids!C:D,2,FALSE)</f>
        <v>pay_HDsNrjedwCcvA8</v>
      </c>
      <c r="B1264" s="4"/>
      <c r="C1264" s="4" t="s">
        <v>4433</v>
      </c>
      <c r="D1264" s="4">
        <v>50052.0</v>
      </c>
      <c r="E1264" s="4"/>
      <c r="F1264" s="4">
        <v>1.0</v>
      </c>
      <c r="G1264" s="4">
        <v>99.0</v>
      </c>
      <c r="H1264" s="4"/>
      <c r="I1264" s="4">
        <v>99.0</v>
      </c>
      <c r="J1264" s="4" t="s">
        <v>4447</v>
      </c>
      <c r="K1264" s="6">
        <f>+918655668068</f>
        <v>918655668068</v>
      </c>
      <c r="L1264" s="4" t="str">
        <f t="shared" si="1"/>
        <v>niksarode09@gmail.com918655668068</v>
      </c>
      <c r="M1264" s="10" t="s">
        <v>67</v>
      </c>
      <c r="N1264" s="4" t="b">
        <v>0</v>
      </c>
      <c r="O1264" s="4" t="str">
        <f>VLOOKUP(A1264,payment_ids!D:E,2,FALSE)</f>
        <v>upi</v>
      </c>
      <c r="P1264" s="4" t="s">
        <v>69</v>
      </c>
      <c r="Q1264" s="4" t="s">
        <v>4448</v>
      </c>
      <c r="R1264" s="4"/>
      <c r="S1264" s="12" t="s">
        <v>4435</v>
      </c>
      <c r="T1264" s="4"/>
      <c r="U1264" s="4"/>
      <c r="V1264" s="4"/>
      <c r="W1264" s="5"/>
      <c r="X1264" s="4"/>
      <c r="Y1264" s="4"/>
      <c r="Z1264" s="5"/>
      <c r="AA1264" s="4"/>
      <c r="AB1264" s="4"/>
      <c r="AC1264" s="4"/>
      <c r="AD1264" s="5"/>
      <c r="AE1264" s="5"/>
      <c r="AF1264" s="5"/>
      <c r="AG1264" s="5"/>
      <c r="AH1264" s="5"/>
      <c r="AI1264" s="5"/>
      <c r="AJ1264" s="5"/>
      <c r="AK1264" s="5"/>
      <c r="AL1264" s="5"/>
    </row>
    <row r="1265">
      <c r="A1265" s="4" t="str">
        <f>VLOOKUP(L1265,payment_ids!C:D,2,FALSE)</f>
        <v>pay_HDuZJU3UCZS6Az</v>
      </c>
      <c r="B1265" s="4"/>
      <c r="C1265" s="4" t="s">
        <v>4433</v>
      </c>
      <c r="D1265" s="4">
        <v>50052.0</v>
      </c>
      <c r="E1265" s="4"/>
      <c r="F1265" s="4">
        <v>1.0</v>
      </c>
      <c r="G1265" s="4">
        <v>99.0</v>
      </c>
      <c r="H1265" s="4"/>
      <c r="I1265" s="4">
        <v>99.0</v>
      </c>
      <c r="J1265" s="4" t="s">
        <v>4449</v>
      </c>
      <c r="K1265" s="6">
        <f>+919347728954</f>
        <v>919347728954</v>
      </c>
      <c r="L1265" s="4" t="str">
        <f t="shared" si="1"/>
        <v>aiswaryakalle888@gmail.com919347728954</v>
      </c>
      <c r="M1265" s="10" t="s">
        <v>67</v>
      </c>
      <c r="N1265" s="4" t="b">
        <v>0</v>
      </c>
      <c r="O1265" s="4" t="str">
        <f>VLOOKUP(A1265,payment_ids!D:E,2,FALSE)</f>
        <v>upi</v>
      </c>
      <c r="P1265" s="4" t="s">
        <v>69</v>
      </c>
      <c r="Q1265" s="4" t="s">
        <v>4450</v>
      </c>
      <c r="R1265" s="4"/>
      <c r="S1265" s="12" t="s">
        <v>4435</v>
      </c>
      <c r="T1265" s="4"/>
      <c r="U1265" s="4"/>
      <c r="V1265" s="4"/>
      <c r="W1265" s="5"/>
      <c r="X1265" s="4"/>
      <c r="Y1265" s="4"/>
      <c r="Z1265" s="5"/>
      <c r="AA1265" s="4"/>
      <c r="AB1265" s="4"/>
      <c r="AC1265" s="4"/>
      <c r="AD1265" s="5"/>
      <c r="AE1265" s="5"/>
      <c r="AF1265" s="5"/>
      <c r="AG1265" s="5"/>
      <c r="AH1265" s="5"/>
      <c r="AI1265" s="5"/>
      <c r="AJ1265" s="5"/>
      <c r="AK1265" s="5"/>
      <c r="AL1265" s="5"/>
    </row>
    <row r="1266">
      <c r="A1266" s="4" t="str">
        <f>VLOOKUP(L1266,payment_ids!C:D,2,FALSE)</f>
        <v>pay_HEWbV8UdwSAwtV</v>
      </c>
      <c r="B1266" s="4"/>
      <c r="C1266" s="4" t="s">
        <v>4433</v>
      </c>
      <c r="D1266" s="4">
        <v>50052.0</v>
      </c>
      <c r="E1266" s="4"/>
      <c r="F1266" s="4">
        <v>1.0</v>
      </c>
      <c r="G1266" s="4">
        <v>99.0</v>
      </c>
      <c r="H1266" s="4"/>
      <c r="I1266" s="4">
        <v>99.0</v>
      </c>
      <c r="J1266" s="4" t="s">
        <v>4451</v>
      </c>
      <c r="K1266" s="6">
        <f>+919770259449</f>
        <v>919770259449</v>
      </c>
      <c r="L1266" s="4" t="str">
        <f t="shared" si="1"/>
        <v>ingleshubham3093@gmail.com919770259449</v>
      </c>
      <c r="M1266" s="10" t="s">
        <v>67</v>
      </c>
      <c r="N1266" s="4" t="b">
        <v>0</v>
      </c>
      <c r="O1266" s="4" t="str">
        <f>VLOOKUP(A1266,payment_ids!D:E,2,FALSE)</f>
        <v>upi</v>
      </c>
      <c r="P1266" s="4" t="s">
        <v>69</v>
      </c>
      <c r="Q1266" s="4" t="s">
        <v>4452</v>
      </c>
      <c r="R1266" s="4"/>
      <c r="S1266" s="12" t="s">
        <v>4435</v>
      </c>
      <c r="T1266" s="4"/>
      <c r="U1266" s="4"/>
      <c r="V1266" s="4"/>
      <c r="W1266" s="5"/>
      <c r="X1266" s="4"/>
      <c r="Y1266" s="4"/>
      <c r="Z1266" s="5"/>
      <c r="AA1266" s="4"/>
      <c r="AB1266" s="4"/>
      <c r="AC1266" s="4"/>
      <c r="AD1266" s="5"/>
      <c r="AE1266" s="5"/>
      <c r="AF1266" s="5"/>
      <c r="AG1266" s="5"/>
      <c r="AH1266" s="5"/>
      <c r="AI1266" s="5"/>
      <c r="AJ1266" s="5"/>
      <c r="AK1266" s="5"/>
      <c r="AL1266" s="5"/>
    </row>
    <row r="1267">
      <c r="A1267" s="4" t="str">
        <f>VLOOKUP(L1267,payment_ids!C:D,2,FALSE)</f>
        <v>pay_HEureMtghR8CYT</v>
      </c>
      <c r="B1267" s="4"/>
      <c r="C1267" s="4" t="s">
        <v>4433</v>
      </c>
      <c r="D1267" s="4">
        <v>50052.0</v>
      </c>
      <c r="E1267" s="4"/>
      <c r="F1267" s="4">
        <v>1.0</v>
      </c>
      <c r="G1267" s="4">
        <v>99.0</v>
      </c>
      <c r="H1267" s="4"/>
      <c r="I1267" s="4">
        <v>99.0</v>
      </c>
      <c r="J1267" s="4" t="s">
        <v>4453</v>
      </c>
      <c r="K1267" s="6">
        <f>+917717736088</f>
        <v>917717736088</v>
      </c>
      <c r="L1267" s="4" t="str">
        <f t="shared" si="1"/>
        <v>maliniraman030390@gmail.com917717736088</v>
      </c>
      <c r="M1267" s="10" t="s">
        <v>67</v>
      </c>
      <c r="N1267" s="4" t="b">
        <v>0</v>
      </c>
      <c r="O1267" s="4" t="str">
        <f>VLOOKUP(A1267,payment_ids!D:E,2,FALSE)</f>
        <v>upi</v>
      </c>
      <c r="P1267" s="4" t="s">
        <v>69</v>
      </c>
      <c r="Q1267" s="4" t="s">
        <v>4454</v>
      </c>
      <c r="R1267" s="4"/>
      <c r="S1267" s="12" t="s">
        <v>4435</v>
      </c>
      <c r="T1267" s="4"/>
      <c r="U1267" s="4"/>
      <c r="V1267" s="4"/>
      <c r="W1267" s="5"/>
      <c r="X1267" s="4"/>
      <c r="Y1267" s="4"/>
      <c r="Z1267" s="5"/>
      <c r="AA1267" s="4"/>
      <c r="AB1267" s="4"/>
      <c r="AC1267" s="4"/>
      <c r="AD1267" s="5"/>
      <c r="AE1267" s="5"/>
      <c r="AF1267" s="5"/>
      <c r="AG1267" s="5"/>
      <c r="AH1267" s="5"/>
      <c r="AI1267" s="5"/>
      <c r="AJ1267" s="5"/>
      <c r="AK1267" s="5"/>
      <c r="AL1267" s="5"/>
    </row>
    <row r="1268">
      <c r="A1268" s="4" t="str">
        <f>VLOOKUP(L1268,payment_ids!C:D,2,FALSE)</f>
        <v>pay_HF3WcHOqigFXKh</v>
      </c>
      <c r="B1268" s="4"/>
      <c r="C1268" s="4" t="s">
        <v>4433</v>
      </c>
      <c r="D1268" s="4">
        <v>50052.0</v>
      </c>
      <c r="E1268" s="4"/>
      <c r="F1268" s="4">
        <v>1.0</v>
      </c>
      <c r="G1268" s="4">
        <v>99.0</v>
      </c>
      <c r="H1268" s="4"/>
      <c r="I1268" s="4">
        <v>99.0</v>
      </c>
      <c r="J1268" s="4" t="s">
        <v>4455</v>
      </c>
      <c r="K1268" s="6">
        <f>+919440766412</f>
        <v>919440766412</v>
      </c>
      <c r="L1268" s="4" t="str">
        <f t="shared" si="1"/>
        <v>koushik.gajulapalle22@gmail.com919440766412</v>
      </c>
      <c r="M1268" s="10" t="s">
        <v>67</v>
      </c>
      <c r="N1268" s="4" t="b">
        <v>0</v>
      </c>
      <c r="O1268" s="4" t="str">
        <f>VLOOKUP(A1268,payment_ids!D:E,2,FALSE)</f>
        <v>paylater</v>
      </c>
      <c r="P1268" s="4" t="s">
        <v>69</v>
      </c>
      <c r="Q1268" s="4" t="s">
        <v>4456</v>
      </c>
      <c r="R1268" s="4"/>
      <c r="S1268" s="12" t="s">
        <v>4435</v>
      </c>
      <c r="T1268" s="4"/>
      <c r="U1268" s="4"/>
      <c r="V1268" s="4"/>
      <c r="W1268" s="5"/>
      <c r="X1268" s="4"/>
      <c r="Y1268" s="4"/>
      <c r="Z1268" s="5"/>
      <c r="AA1268" s="4"/>
      <c r="AB1268" s="4"/>
      <c r="AC1268" s="4"/>
      <c r="AD1268" s="5"/>
      <c r="AE1268" s="5"/>
      <c r="AF1268" s="5"/>
      <c r="AG1268" s="5"/>
      <c r="AH1268" s="5"/>
      <c r="AI1268" s="5"/>
      <c r="AJ1268" s="5"/>
      <c r="AK1268" s="5"/>
      <c r="AL1268" s="5"/>
    </row>
    <row r="1269">
      <c r="A1269" s="4" t="str">
        <f>VLOOKUP(L1269,payment_ids!C:D,2,FALSE)</f>
        <v>pay_HF3dA07eHfQabl</v>
      </c>
      <c r="B1269" s="4"/>
      <c r="C1269" s="4" t="s">
        <v>4433</v>
      </c>
      <c r="D1269" s="4">
        <v>50052.0</v>
      </c>
      <c r="E1269" s="4"/>
      <c r="F1269" s="4">
        <v>1.0</v>
      </c>
      <c r="G1269" s="4">
        <v>99.0</v>
      </c>
      <c r="H1269" s="4"/>
      <c r="I1269" s="4">
        <v>99.0</v>
      </c>
      <c r="J1269" s="4" t="s">
        <v>4457</v>
      </c>
      <c r="K1269" s="6">
        <f>+919573245934</f>
        <v>919573245934</v>
      </c>
      <c r="L1269" s="4" t="str">
        <f t="shared" si="1"/>
        <v>bsaisatvika33@gmail.com919573245934</v>
      </c>
      <c r="M1269" s="10" t="s">
        <v>67</v>
      </c>
      <c r="N1269" s="4" t="b">
        <v>0</v>
      </c>
      <c r="O1269" s="4" t="str">
        <f>VLOOKUP(A1269,payment_ids!D:E,2,FALSE)</f>
        <v>netbanking</v>
      </c>
      <c r="P1269" s="4" t="s">
        <v>69</v>
      </c>
      <c r="Q1269" s="4" t="s">
        <v>4458</v>
      </c>
      <c r="R1269" s="4"/>
      <c r="S1269" s="12" t="s">
        <v>4435</v>
      </c>
      <c r="T1269" s="4"/>
      <c r="U1269" s="4"/>
      <c r="V1269" s="4"/>
      <c r="W1269" s="5"/>
      <c r="X1269" s="4"/>
      <c r="Y1269" s="4"/>
      <c r="Z1269" s="5"/>
      <c r="AA1269" s="4"/>
      <c r="AB1269" s="4"/>
      <c r="AC1269" s="4"/>
      <c r="AD1269" s="5"/>
      <c r="AE1269" s="5"/>
      <c r="AF1269" s="5"/>
      <c r="AG1269" s="5"/>
      <c r="AH1269" s="5"/>
      <c r="AI1269" s="5"/>
      <c r="AJ1269" s="5"/>
      <c r="AK1269" s="5"/>
      <c r="AL1269" s="5"/>
    </row>
    <row r="1270">
      <c r="A1270" s="4" t="str">
        <f>VLOOKUP(L1270,payment_ids!C:D,2,FALSE)</f>
        <v>pay_HFGH1FMFhCrESV</v>
      </c>
      <c r="B1270" s="4"/>
      <c r="C1270" s="4" t="s">
        <v>4433</v>
      </c>
      <c r="D1270" s="4">
        <v>50052.0</v>
      </c>
      <c r="E1270" s="5"/>
      <c r="F1270" s="4">
        <v>1.0</v>
      </c>
      <c r="G1270" s="4">
        <v>99.0</v>
      </c>
      <c r="H1270" s="4"/>
      <c r="I1270" s="4">
        <v>99.0</v>
      </c>
      <c r="J1270" s="4" t="s">
        <v>4459</v>
      </c>
      <c r="K1270" s="5">
        <f>+919830898748</f>
        <v>919830898748</v>
      </c>
      <c r="L1270" s="4" t="str">
        <f t="shared" si="1"/>
        <v>dr.narayan.mitra@gmail.com919830898748</v>
      </c>
      <c r="M1270" s="10" t="s">
        <v>67</v>
      </c>
      <c r="N1270" s="4" t="b">
        <v>0</v>
      </c>
      <c r="O1270" s="4" t="str">
        <f>VLOOKUP(A1270,payment_ids!D:E,2,FALSE)</f>
        <v>upi</v>
      </c>
      <c r="P1270" s="4" t="s">
        <v>69</v>
      </c>
      <c r="Q1270" s="4" t="s">
        <v>4460</v>
      </c>
      <c r="R1270" s="4"/>
      <c r="S1270" s="12" t="s">
        <v>4435</v>
      </c>
      <c r="T1270" s="5"/>
      <c r="U1270" s="4"/>
      <c r="V1270" s="4"/>
      <c r="W1270" s="5"/>
      <c r="X1270" s="4"/>
      <c r="Y1270" s="4"/>
      <c r="Z1270" s="5"/>
      <c r="AA1270" s="4"/>
      <c r="AB1270" s="4"/>
      <c r="AC1270" s="4"/>
      <c r="AD1270" s="5"/>
      <c r="AE1270" s="5"/>
      <c r="AF1270" s="5"/>
      <c r="AG1270" s="5"/>
      <c r="AH1270" s="5"/>
      <c r="AI1270" s="5"/>
      <c r="AJ1270" s="5"/>
      <c r="AK1270" s="5"/>
      <c r="AL1270" s="5"/>
    </row>
    <row r="1271">
      <c r="A1271" s="4" t="str">
        <f>VLOOKUP(L1271,payment_ids!C:D,2,FALSE)</f>
        <v>pay_HFOIR38rPRG5Rp</v>
      </c>
      <c r="B1271" s="4"/>
      <c r="C1271" s="4" t="s">
        <v>4433</v>
      </c>
      <c r="D1271" s="4">
        <v>50052.0</v>
      </c>
      <c r="E1271" s="5"/>
      <c r="F1271" s="4">
        <v>3.0</v>
      </c>
      <c r="G1271" s="4">
        <v>199.0</v>
      </c>
      <c r="H1271" s="4"/>
      <c r="I1271" s="4">
        <v>199.0</v>
      </c>
      <c r="J1271" s="4" t="s">
        <v>4461</v>
      </c>
      <c r="K1271" s="5">
        <f>+919014439907</f>
        <v>919014439907</v>
      </c>
      <c r="L1271" s="4" t="str">
        <f t="shared" si="1"/>
        <v>mokkapatigeethasri@gmail.com919014439907</v>
      </c>
      <c r="M1271" s="10" t="s">
        <v>67</v>
      </c>
      <c r="N1271" s="4" t="b">
        <v>0</v>
      </c>
      <c r="O1271" s="4" t="str">
        <f>VLOOKUP(A1271,payment_ids!D:E,2,FALSE)</f>
        <v>upi</v>
      </c>
      <c r="P1271" s="4" t="s">
        <v>69</v>
      </c>
      <c r="Q1271" s="4" t="s">
        <v>4462</v>
      </c>
      <c r="R1271" s="4"/>
      <c r="S1271" s="12" t="s">
        <v>4435</v>
      </c>
      <c r="T1271" s="5"/>
      <c r="U1271" s="4"/>
      <c r="V1271" s="4"/>
      <c r="W1271" s="5"/>
      <c r="X1271" s="4"/>
      <c r="Y1271" s="4"/>
      <c r="Z1271" s="5"/>
      <c r="AA1271" s="4"/>
      <c r="AB1271" s="4"/>
      <c r="AC1271" s="4"/>
      <c r="AD1271" s="5"/>
      <c r="AE1271" s="5"/>
      <c r="AF1271" s="5"/>
      <c r="AG1271" s="5"/>
      <c r="AH1271" s="5"/>
      <c r="AI1271" s="5"/>
      <c r="AJ1271" s="5"/>
      <c r="AK1271" s="5"/>
      <c r="AL1271" s="5"/>
    </row>
    <row r="1272">
      <c r="A1272" s="4" t="str">
        <f>VLOOKUP(L1272,payment_ids!C:D,2,FALSE)</f>
        <v>pay_HFg9NW5kPmOG3U</v>
      </c>
      <c r="B1272" s="4"/>
      <c r="C1272" s="4" t="s">
        <v>4433</v>
      </c>
      <c r="D1272" s="4">
        <v>50052.0</v>
      </c>
      <c r="E1272" s="5"/>
      <c r="F1272" s="4">
        <v>1.0</v>
      </c>
      <c r="G1272" s="4">
        <v>99.0</v>
      </c>
      <c r="H1272" s="4"/>
      <c r="I1272" s="4">
        <v>99.0</v>
      </c>
      <c r="J1272" s="4" t="s">
        <v>4463</v>
      </c>
      <c r="K1272" s="5">
        <f>+917053183655</f>
        <v>917053183655</v>
      </c>
      <c r="L1272" s="4" t="str">
        <f t="shared" si="1"/>
        <v>123movierock@gmail.com917053183655</v>
      </c>
      <c r="M1272" s="10" t="s">
        <v>67</v>
      </c>
      <c r="N1272" s="4" t="b">
        <v>0</v>
      </c>
      <c r="O1272" s="4" t="str">
        <f>VLOOKUP(A1272,payment_ids!D:E,2,FALSE)</f>
        <v>upi</v>
      </c>
      <c r="P1272" s="4" t="s">
        <v>69</v>
      </c>
      <c r="Q1272" s="4" t="s">
        <v>4464</v>
      </c>
      <c r="R1272" s="4"/>
      <c r="S1272" s="12" t="s">
        <v>4435</v>
      </c>
      <c r="T1272" s="5"/>
      <c r="U1272" s="4"/>
      <c r="V1272" s="4"/>
      <c r="W1272" s="5"/>
      <c r="X1272" s="4"/>
      <c r="Y1272" s="4"/>
      <c r="Z1272" s="5"/>
      <c r="AA1272" s="4"/>
      <c r="AB1272" s="4"/>
      <c r="AC1272" s="4"/>
      <c r="AD1272" s="5"/>
      <c r="AE1272" s="5"/>
      <c r="AF1272" s="5"/>
      <c r="AG1272" s="5"/>
      <c r="AH1272" s="5"/>
      <c r="AI1272" s="5"/>
      <c r="AJ1272" s="5"/>
      <c r="AK1272" s="5"/>
      <c r="AL1272" s="5"/>
    </row>
    <row r="1273">
      <c r="A1273" s="4" t="str">
        <f>VLOOKUP(L1273,payment_ids!C:D,2,FALSE)</f>
        <v>pay_HFmqCAJVgNHux0</v>
      </c>
      <c r="B1273" s="4"/>
      <c r="C1273" s="4" t="s">
        <v>4433</v>
      </c>
      <c r="D1273" s="4">
        <v>50052.0</v>
      </c>
      <c r="E1273" s="5"/>
      <c r="F1273" s="4">
        <v>3.0</v>
      </c>
      <c r="G1273" s="4">
        <v>199.0</v>
      </c>
      <c r="H1273" s="4"/>
      <c r="I1273" s="4">
        <v>199.0</v>
      </c>
      <c r="J1273" s="4" t="s">
        <v>4465</v>
      </c>
      <c r="K1273" s="5">
        <f>+919945878888</f>
        <v>919945878888</v>
      </c>
      <c r="L1273" s="4" t="str">
        <f t="shared" si="1"/>
        <v>kamatham.samhitha@gmail.com919945878888</v>
      </c>
      <c r="M1273" s="10" t="s">
        <v>67</v>
      </c>
      <c r="N1273" s="4" t="b">
        <v>0</v>
      </c>
      <c r="O1273" s="4" t="str">
        <f>VLOOKUP(A1273,payment_ids!D:E,2,FALSE)</f>
        <v>upi</v>
      </c>
      <c r="P1273" s="4" t="s">
        <v>69</v>
      </c>
      <c r="Q1273" s="4" t="s">
        <v>4466</v>
      </c>
      <c r="R1273" s="4"/>
      <c r="S1273" s="12" t="s">
        <v>4435</v>
      </c>
      <c r="T1273" s="5"/>
      <c r="U1273" s="4"/>
      <c r="V1273" s="4"/>
      <c r="W1273" s="5"/>
      <c r="X1273" s="4"/>
      <c r="Y1273" s="4"/>
      <c r="Z1273" s="5"/>
      <c r="AA1273" s="4"/>
      <c r="AB1273" s="4"/>
      <c r="AC1273" s="4"/>
      <c r="AD1273" s="5"/>
      <c r="AE1273" s="5"/>
      <c r="AF1273" s="5"/>
      <c r="AG1273" s="5"/>
      <c r="AH1273" s="5"/>
      <c r="AI1273" s="5"/>
      <c r="AJ1273" s="5"/>
      <c r="AK1273" s="5"/>
      <c r="AL1273" s="5"/>
    </row>
    <row r="1274">
      <c r="A1274" s="4" t="str">
        <f>VLOOKUP(L1274,payment_ids!C:D,2,FALSE)</f>
        <v>pay_HFr8QAQKVASepn</v>
      </c>
      <c r="B1274" s="4"/>
      <c r="C1274" s="4" t="s">
        <v>4433</v>
      </c>
      <c r="D1274" s="4">
        <v>50052.0</v>
      </c>
      <c r="E1274" s="5"/>
      <c r="F1274" s="4">
        <v>1.0</v>
      </c>
      <c r="G1274" s="4">
        <v>99.0</v>
      </c>
      <c r="H1274" s="4"/>
      <c r="I1274" s="4">
        <v>99.0</v>
      </c>
      <c r="J1274" s="4" t="s">
        <v>4467</v>
      </c>
      <c r="K1274" s="5">
        <f>+919880881746</f>
        <v>919880881746</v>
      </c>
      <c r="L1274" s="4" t="str">
        <f t="shared" si="1"/>
        <v>ramalnavar@gmail.com919880881746</v>
      </c>
      <c r="M1274" s="10" t="s">
        <v>67</v>
      </c>
      <c r="N1274" s="4" t="b">
        <v>0</v>
      </c>
      <c r="O1274" s="4" t="str">
        <f>VLOOKUP(A1274,payment_ids!D:E,2,FALSE)</f>
        <v>card</v>
      </c>
      <c r="P1274" s="4" t="s">
        <v>69</v>
      </c>
      <c r="Q1274" s="4" t="s">
        <v>4468</v>
      </c>
      <c r="R1274" s="4"/>
      <c r="S1274" s="12" t="s">
        <v>4435</v>
      </c>
      <c r="T1274" s="5"/>
      <c r="U1274" s="4"/>
      <c r="V1274" s="4"/>
      <c r="W1274" s="5"/>
      <c r="X1274" s="4"/>
      <c r="Y1274" s="4"/>
      <c r="Z1274" s="5"/>
      <c r="AA1274" s="4"/>
      <c r="AB1274" s="4"/>
      <c r="AC1274" s="4"/>
      <c r="AD1274" s="5"/>
      <c r="AE1274" s="5"/>
      <c r="AF1274" s="5"/>
      <c r="AG1274" s="5"/>
      <c r="AH1274" s="5"/>
      <c r="AI1274" s="5"/>
      <c r="AJ1274" s="5"/>
      <c r="AK1274" s="5"/>
      <c r="AL1274" s="5"/>
    </row>
    <row r="1275">
      <c r="A1275" s="4" t="str">
        <f>VLOOKUP(L1275,payment_ids!C:D,2,FALSE)</f>
        <v>pay_HG7sdUfX5wQCUj</v>
      </c>
      <c r="B1275" s="4"/>
      <c r="C1275" s="4" t="s">
        <v>4433</v>
      </c>
      <c r="D1275" s="4">
        <v>50052.0</v>
      </c>
      <c r="E1275" s="5"/>
      <c r="F1275" s="4">
        <v>1.0</v>
      </c>
      <c r="G1275" s="4">
        <v>99.0</v>
      </c>
      <c r="H1275" s="4"/>
      <c r="I1275" s="4">
        <v>99.0</v>
      </c>
      <c r="J1275" s="4" t="s">
        <v>4469</v>
      </c>
      <c r="K1275" s="5">
        <f>+919849505705</f>
        <v>919849505705</v>
      </c>
      <c r="L1275" s="4" t="str">
        <f t="shared" si="1"/>
        <v>srikanthgasiganti@gmail.com919849505705</v>
      </c>
      <c r="M1275" s="10" t="s">
        <v>67</v>
      </c>
      <c r="N1275" s="4" t="b">
        <v>0</v>
      </c>
      <c r="O1275" s="4" t="str">
        <f>VLOOKUP(A1275,payment_ids!D:E,2,FALSE)</f>
        <v>card</v>
      </c>
      <c r="P1275" s="4" t="s">
        <v>69</v>
      </c>
      <c r="Q1275" s="4" t="s">
        <v>4470</v>
      </c>
      <c r="R1275" s="4"/>
      <c r="S1275" s="12" t="s">
        <v>4435</v>
      </c>
      <c r="T1275" s="5"/>
      <c r="U1275" s="4"/>
      <c r="V1275" s="4"/>
      <c r="W1275" s="5"/>
      <c r="X1275" s="4"/>
      <c r="Y1275" s="4"/>
      <c r="Z1275" s="5"/>
      <c r="AA1275" s="4"/>
      <c r="AB1275" s="4"/>
      <c r="AC1275" s="4"/>
      <c r="AD1275" s="5"/>
      <c r="AE1275" s="5"/>
      <c r="AF1275" s="5"/>
      <c r="AG1275" s="5"/>
      <c r="AH1275" s="5"/>
      <c r="AI1275" s="5"/>
      <c r="AJ1275" s="5"/>
      <c r="AK1275" s="5"/>
      <c r="AL1275" s="5"/>
    </row>
    <row r="1276">
      <c r="A1276" s="4" t="str">
        <f>VLOOKUP(L1276,payment_ids!C:D,2,FALSE)</f>
        <v>pay_HGy2aU7PgmvfEe</v>
      </c>
      <c r="B1276" s="4"/>
      <c r="C1276" s="4" t="s">
        <v>4433</v>
      </c>
      <c r="D1276" s="4">
        <v>50052.0</v>
      </c>
      <c r="E1276" s="5"/>
      <c r="F1276" s="4">
        <v>3.0</v>
      </c>
      <c r="G1276" s="4">
        <v>199.0</v>
      </c>
      <c r="H1276" s="4"/>
      <c r="I1276" s="4">
        <v>199.0</v>
      </c>
      <c r="J1276" s="4" t="s">
        <v>4471</v>
      </c>
      <c r="K1276" s="5">
        <f>+919886892442</f>
        <v>919886892442</v>
      </c>
      <c r="L1276" s="4" t="str">
        <f t="shared" si="1"/>
        <v>shweta.sh2@gmail.com919886892442</v>
      </c>
      <c r="M1276" s="10" t="s">
        <v>67</v>
      </c>
      <c r="N1276" s="4" t="b">
        <v>0</v>
      </c>
      <c r="O1276" s="4" t="str">
        <f>VLOOKUP(A1276,payment_ids!D:E,2,FALSE)</f>
        <v>upi</v>
      </c>
      <c r="P1276" s="4" t="s">
        <v>69</v>
      </c>
      <c r="Q1276" s="4" t="s">
        <v>4472</v>
      </c>
      <c r="R1276" s="4"/>
      <c r="S1276" s="12" t="s">
        <v>4435</v>
      </c>
      <c r="T1276" s="5"/>
      <c r="U1276" s="4"/>
      <c r="V1276" s="4"/>
      <c r="W1276" s="5"/>
      <c r="X1276" s="4"/>
      <c r="Y1276" s="4"/>
      <c r="Z1276" s="5"/>
      <c r="AA1276" s="4"/>
      <c r="AB1276" s="4"/>
      <c r="AC1276" s="4"/>
      <c r="AD1276" s="5"/>
      <c r="AE1276" s="5"/>
      <c r="AF1276" s="5"/>
      <c r="AG1276" s="5"/>
      <c r="AH1276" s="5"/>
      <c r="AI1276" s="5"/>
      <c r="AJ1276" s="5"/>
      <c r="AK1276" s="5"/>
      <c r="AL1276" s="5"/>
    </row>
    <row r="1277">
      <c r="A1277" s="4" t="str">
        <f>VLOOKUP(L1277,payment_ids!C:D,2,FALSE)</f>
        <v>pay_HHE4fhWCeIOja9</v>
      </c>
      <c r="B1277" s="4"/>
      <c r="C1277" s="4" t="s">
        <v>4433</v>
      </c>
      <c r="D1277" s="4">
        <v>50052.0</v>
      </c>
      <c r="E1277" s="5"/>
      <c r="F1277" s="4">
        <v>1.0</v>
      </c>
      <c r="G1277" s="4">
        <v>99.0</v>
      </c>
      <c r="H1277" s="4"/>
      <c r="I1277" s="4">
        <v>99.0</v>
      </c>
      <c r="J1277" s="4" t="s">
        <v>4473</v>
      </c>
      <c r="K1277" s="5">
        <f>+919029641041</f>
        <v>919029641041</v>
      </c>
      <c r="L1277" s="4" t="str">
        <f t="shared" si="1"/>
        <v>ashakale9893@gmail.com919029641041</v>
      </c>
      <c r="M1277" s="10" t="s">
        <v>67</v>
      </c>
      <c r="N1277" s="4" t="b">
        <v>0</v>
      </c>
      <c r="O1277" s="4" t="str">
        <f>VLOOKUP(A1277,payment_ids!D:E,2,FALSE)</f>
        <v>upi</v>
      </c>
      <c r="P1277" s="4" t="s">
        <v>69</v>
      </c>
      <c r="Q1277" s="4" t="s">
        <v>4474</v>
      </c>
      <c r="R1277" s="4"/>
      <c r="S1277" s="12" t="s">
        <v>4435</v>
      </c>
      <c r="T1277" s="5"/>
      <c r="U1277" s="4"/>
      <c r="V1277" s="4"/>
      <c r="W1277" s="5"/>
      <c r="X1277" s="4"/>
      <c r="Y1277" s="4"/>
      <c r="Z1277" s="5"/>
      <c r="AA1277" s="4"/>
      <c r="AB1277" s="4"/>
      <c r="AC1277" s="4"/>
      <c r="AD1277" s="5"/>
      <c r="AE1277" s="5"/>
      <c r="AF1277" s="5"/>
      <c r="AG1277" s="5"/>
      <c r="AH1277" s="5"/>
      <c r="AI1277" s="5"/>
      <c r="AJ1277" s="5"/>
      <c r="AK1277" s="5"/>
      <c r="AL1277" s="5"/>
    </row>
    <row r="1278">
      <c r="A1278" s="4" t="str">
        <f>VLOOKUP(L1278,payment_ids!C:D,2,FALSE)</f>
        <v>pay_HHEL1Ts9Nlxw15</v>
      </c>
      <c r="B1278" s="4"/>
      <c r="C1278" s="4" t="s">
        <v>4433</v>
      </c>
      <c r="D1278" s="4">
        <v>50052.0</v>
      </c>
      <c r="E1278" s="5"/>
      <c r="F1278" s="4">
        <v>1.0</v>
      </c>
      <c r="G1278" s="4">
        <v>99.0</v>
      </c>
      <c r="H1278" s="4"/>
      <c r="I1278" s="4">
        <v>99.0</v>
      </c>
      <c r="J1278" s="4" t="s">
        <v>4475</v>
      </c>
      <c r="K1278" s="5">
        <f>+919892964482</f>
        <v>919892964482</v>
      </c>
      <c r="L1278" s="4" t="str">
        <f t="shared" si="1"/>
        <v>minalloke@gmail.com919892964482</v>
      </c>
      <c r="M1278" s="10" t="s">
        <v>67</v>
      </c>
      <c r="N1278" s="4" t="b">
        <v>0</v>
      </c>
      <c r="O1278" s="4" t="str">
        <f>VLOOKUP(A1278,payment_ids!D:E,2,FALSE)</f>
        <v>upi</v>
      </c>
      <c r="P1278" s="4" t="s">
        <v>69</v>
      </c>
      <c r="Q1278" s="4" t="s">
        <v>4476</v>
      </c>
      <c r="R1278" s="4"/>
      <c r="S1278" s="12" t="s">
        <v>4435</v>
      </c>
      <c r="T1278" s="5"/>
      <c r="U1278" s="4"/>
      <c r="V1278" s="4"/>
      <c r="W1278" s="5"/>
      <c r="X1278" s="4"/>
      <c r="Y1278" s="4"/>
      <c r="Z1278" s="5"/>
      <c r="AA1278" s="4"/>
      <c r="AB1278" s="4"/>
      <c r="AC1278" s="4"/>
      <c r="AD1278" s="5"/>
      <c r="AE1278" s="5"/>
      <c r="AF1278" s="5"/>
      <c r="AG1278" s="5"/>
      <c r="AH1278" s="5"/>
      <c r="AI1278" s="5"/>
      <c r="AJ1278" s="5"/>
      <c r="AK1278" s="5"/>
      <c r="AL1278" s="5"/>
    </row>
    <row r="1279">
      <c r="A1279" s="4" t="str">
        <f>VLOOKUP(L1279,payment_ids!C:D,2,FALSE)</f>
        <v>pay_HHHvTwBsEuO14m</v>
      </c>
      <c r="B1279" s="4"/>
      <c r="C1279" s="4" t="s">
        <v>4433</v>
      </c>
      <c r="D1279" s="4">
        <v>50052.0</v>
      </c>
      <c r="E1279" s="5"/>
      <c r="F1279" s="4">
        <v>3.0</v>
      </c>
      <c r="G1279" s="4">
        <v>199.0</v>
      </c>
      <c r="H1279" s="4"/>
      <c r="I1279" s="4">
        <v>199.0</v>
      </c>
      <c r="J1279" s="4" t="s">
        <v>4477</v>
      </c>
      <c r="K1279" s="5">
        <f>+918762135339</f>
        <v>918762135339</v>
      </c>
      <c r="L1279" s="4" t="str">
        <f t="shared" si="1"/>
        <v>bhajan920@gmail.com918762135339</v>
      </c>
      <c r="M1279" s="10" t="s">
        <v>67</v>
      </c>
      <c r="N1279" s="4" t="b">
        <v>0</v>
      </c>
      <c r="O1279" s="4" t="str">
        <f>VLOOKUP(A1279,payment_ids!D:E,2,FALSE)</f>
        <v>upi</v>
      </c>
      <c r="P1279" s="4" t="s">
        <v>69</v>
      </c>
      <c r="Q1279" s="4" t="s">
        <v>4478</v>
      </c>
      <c r="R1279" s="4"/>
      <c r="S1279" s="12" t="s">
        <v>4435</v>
      </c>
      <c r="T1279" s="5"/>
      <c r="U1279" s="4"/>
      <c r="V1279" s="4"/>
      <c r="W1279" s="5"/>
      <c r="X1279" s="4"/>
      <c r="Y1279" s="4"/>
      <c r="Z1279" s="5"/>
      <c r="AA1279" s="4"/>
      <c r="AB1279" s="4"/>
      <c r="AC1279" s="4"/>
      <c r="AD1279" s="5"/>
      <c r="AE1279" s="5"/>
      <c r="AF1279" s="5"/>
      <c r="AG1279" s="5"/>
      <c r="AH1279" s="5"/>
      <c r="AI1279" s="5"/>
      <c r="AJ1279" s="5"/>
      <c r="AK1279" s="5"/>
      <c r="AL1279" s="5"/>
    </row>
    <row r="1280">
      <c r="A1280" s="4" t="str">
        <f>VLOOKUP(L1280,payment_ids!C:D,2,FALSE)</f>
        <v>pay_HHPgKjiNpwz34j</v>
      </c>
      <c r="B1280" s="4"/>
      <c r="C1280" s="4" t="s">
        <v>4433</v>
      </c>
      <c r="D1280" s="4">
        <v>50052.0</v>
      </c>
      <c r="E1280" s="5"/>
      <c r="F1280" s="4">
        <v>1.0</v>
      </c>
      <c r="G1280" s="4">
        <v>99.0</v>
      </c>
      <c r="H1280" s="4"/>
      <c r="I1280" s="4">
        <v>99.0</v>
      </c>
      <c r="J1280" s="4" t="s">
        <v>4479</v>
      </c>
      <c r="K1280" s="5">
        <f>+919647944822</f>
        <v>919647944822</v>
      </c>
      <c r="L1280" s="4" t="str">
        <f t="shared" si="1"/>
        <v>nasrins1905@gmail.com919647944822</v>
      </c>
      <c r="M1280" s="10" t="s">
        <v>67</v>
      </c>
      <c r="N1280" s="4" t="b">
        <v>0</v>
      </c>
      <c r="O1280" s="4" t="str">
        <f>VLOOKUP(A1280,payment_ids!D:E,2,FALSE)</f>
        <v>upi</v>
      </c>
      <c r="P1280" s="4" t="s">
        <v>69</v>
      </c>
      <c r="Q1280" s="4" t="s">
        <v>4480</v>
      </c>
      <c r="R1280" s="4"/>
      <c r="S1280" s="12" t="s">
        <v>4435</v>
      </c>
      <c r="T1280" s="5"/>
      <c r="U1280" s="4"/>
      <c r="V1280" s="4"/>
      <c r="W1280" s="5"/>
      <c r="X1280" s="4"/>
      <c r="Y1280" s="4"/>
      <c r="Z1280" s="5"/>
      <c r="AA1280" s="4"/>
      <c r="AB1280" s="4"/>
      <c r="AC1280" s="4"/>
      <c r="AD1280" s="5"/>
      <c r="AE1280" s="5"/>
      <c r="AF1280" s="5"/>
      <c r="AG1280" s="5"/>
      <c r="AH1280" s="5"/>
      <c r="AI1280" s="5"/>
      <c r="AJ1280" s="5"/>
      <c r="AK1280" s="5"/>
      <c r="AL1280" s="5"/>
    </row>
    <row r="1281">
      <c r="A1281" s="4" t="str">
        <f>VLOOKUP(L1281,payment_ids!C:D,2,FALSE)</f>
        <v>pay_HHRHBjnIE2br80</v>
      </c>
      <c r="B1281" s="4"/>
      <c r="C1281" s="4" t="s">
        <v>4433</v>
      </c>
      <c r="D1281" s="4">
        <v>50052.0</v>
      </c>
      <c r="E1281" s="5"/>
      <c r="F1281" s="4">
        <v>1.0</v>
      </c>
      <c r="G1281" s="4">
        <v>99.0</v>
      </c>
      <c r="H1281" s="4"/>
      <c r="I1281" s="4">
        <v>99.0</v>
      </c>
      <c r="J1281" s="4" t="s">
        <v>4481</v>
      </c>
      <c r="K1281" s="5">
        <f>+919113675732</f>
        <v>919113675732</v>
      </c>
      <c r="L1281" s="4" t="str">
        <f t="shared" si="1"/>
        <v>zainabizzynotsobusy@gmail.com919113675732</v>
      </c>
      <c r="M1281" s="10" t="s">
        <v>67</v>
      </c>
      <c r="N1281" s="4" t="b">
        <v>0</v>
      </c>
      <c r="O1281" s="4" t="str">
        <f>VLOOKUP(A1281,payment_ids!D:E,2,FALSE)</f>
        <v>upi</v>
      </c>
      <c r="P1281" s="4" t="s">
        <v>69</v>
      </c>
      <c r="Q1281" s="4" t="s">
        <v>4482</v>
      </c>
      <c r="R1281" s="4"/>
      <c r="S1281" s="12" t="s">
        <v>4435</v>
      </c>
      <c r="T1281" s="5"/>
      <c r="U1281" s="4"/>
      <c r="V1281" s="4"/>
      <c r="W1281" s="5"/>
      <c r="X1281" s="4"/>
      <c r="Y1281" s="4"/>
      <c r="Z1281" s="5"/>
      <c r="AA1281" s="4"/>
      <c r="AB1281" s="4"/>
      <c r="AC1281" s="4"/>
      <c r="AD1281" s="5"/>
      <c r="AE1281" s="5"/>
      <c r="AF1281" s="5"/>
      <c r="AG1281" s="5"/>
      <c r="AH1281" s="5"/>
      <c r="AI1281" s="5"/>
      <c r="AJ1281" s="5"/>
      <c r="AK1281" s="5"/>
      <c r="AL1281" s="5"/>
    </row>
    <row r="1282">
      <c r="A1282" s="4" t="str">
        <f>VLOOKUP(L1282,payment_ids!C:D,2,FALSE)</f>
        <v>pay_HHdQmTRaHK3NgB</v>
      </c>
      <c r="B1282" s="4"/>
      <c r="C1282" s="4" t="s">
        <v>4433</v>
      </c>
      <c r="D1282" s="4">
        <v>50052.0</v>
      </c>
      <c r="E1282" s="5"/>
      <c r="F1282" s="4">
        <v>1.0</v>
      </c>
      <c r="G1282" s="4">
        <v>99.0</v>
      </c>
      <c r="H1282" s="4"/>
      <c r="I1282" s="4">
        <v>99.0</v>
      </c>
      <c r="J1282" s="4" t="s">
        <v>4483</v>
      </c>
      <c r="K1282" s="5">
        <f>+919779770358</f>
        <v>919779770358</v>
      </c>
      <c r="L1282" s="4" t="str">
        <f t="shared" si="1"/>
        <v>sasuke11400374@gmail.com919779770358</v>
      </c>
      <c r="M1282" s="10" t="s">
        <v>67</v>
      </c>
      <c r="N1282" s="4" t="b">
        <v>0</v>
      </c>
      <c r="O1282" s="4" t="str">
        <f>VLOOKUP(A1282,payment_ids!D:E,2,FALSE)</f>
        <v>upi</v>
      </c>
      <c r="P1282" s="4" t="s">
        <v>69</v>
      </c>
      <c r="Q1282" s="11">
        <v>44202.34444444445</v>
      </c>
      <c r="R1282" s="4"/>
      <c r="S1282" s="12" t="s">
        <v>4435</v>
      </c>
      <c r="T1282" s="5"/>
      <c r="U1282" s="4"/>
      <c r="V1282" s="4"/>
      <c r="W1282" s="5"/>
      <c r="X1282" s="4"/>
      <c r="Y1282" s="4"/>
      <c r="Z1282" s="5"/>
      <c r="AA1282" s="4"/>
      <c r="AB1282" s="4"/>
      <c r="AC1282" s="4"/>
      <c r="AD1282" s="5"/>
      <c r="AE1282" s="5"/>
      <c r="AF1282" s="5"/>
      <c r="AG1282" s="5"/>
      <c r="AH1282" s="5"/>
      <c r="AI1282" s="5"/>
      <c r="AJ1282" s="5"/>
      <c r="AK1282" s="5"/>
      <c r="AL1282" s="5"/>
    </row>
    <row r="1283">
      <c r="A1283" s="4" t="str">
        <f>VLOOKUP(L1283,payment_ids!C:D,2,FALSE)</f>
        <v>pay_HHjr4fr0DKzzsJ</v>
      </c>
      <c r="B1283" s="4"/>
      <c r="C1283" s="4" t="s">
        <v>4433</v>
      </c>
      <c r="D1283" s="4">
        <v>50052.0</v>
      </c>
      <c r="E1283" s="5"/>
      <c r="F1283" s="4">
        <v>1.0</v>
      </c>
      <c r="G1283" s="4">
        <v>99.0</v>
      </c>
      <c r="H1283" s="4"/>
      <c r="I1283" s="4">
        <v>99.0</v>
      </c>
      <c r="J1283" s="4" t="s">
        <v>4484</v>
      </c>
      <c r="K1283" s="5">
        <f>+919036659449</f>
        <v>919036659449</v>
      </c>
      <c r="L1283" s="4" t="str">
        <f t="shared" si="1"/>
        <v>nazz7867@gmail.com919036659449</v>
      </c>
      <c r="M1283" s="10" t="s">
        <v>67</v>
      </c>
      <c r="N1283" s="4" t="b">
        <v>0</v>
      </c>
      <c r="O1283" s="4" t="str">
        <f>VLOOKUP(A1283,payment_ids!D:E,2,FALSE)</f>
        <v>upi</v>
      </c>
      <c r="P1283" s="4" t="s">
        <v>69</v>
      </c>
      <c r="Q1283" s="11">
        <v>44202.60625</v>
      </c>
      <c r="R1283" s="4"/>
      <c r="S1283" s="12" t="s">
        <v>4435</v>
      </c>
      <c r="T1283" s="5"/>
      <c r="U1283" s="4"/>
      <c r="V1283" s="4"/>
      <c r="W1283" s="5"/>
      <c r="X1283" s="4"/>
      <c r="Y1283" s="4"/>
      <c r="Z1283" s="5"/>
      <c r="AA1283" s="4"/>
      <c r="AB1283" s="4"/>
      <c r="AC1283" s="4"/>
      <c r="AD1283" s="5"/>
      <c r="AE1283" s="5"/>
      <c r="AF1283" s="5"/>
      <c r="AG1283" s="5"/>
      <c r="AH1283" s="5"/>
      <c r="AI1283" s="5"/>
      <c r="AJ1283" s="5"/>
      <c r="AK1283" s="5"/>
      <c r="AL1283" s="5"/>
    </row>
    <row r="1284">
      <c r="A1284" s="4" t="str">
        <f>VLOOKUP(L1284,payment_ids!C:D,2,FALSE)</f>
        <v>pay_HI4eqqByTA9aQa</v>
      </c>
      <c r="B1284" s="4"/>
      <c r="C1284" s="4" t="s">
        <v>4433</v>
      </c>
      <c r="D1284" s="4">
        <v>50052.0</v>
      </c>
      <c r="E1284" s="5"/>
      <c r="F1284" s="4">
        <v>1.0</v>
      </c>
      <c r="G1284" s="4">
        <v>99.0</v>
      </c>
      <c r="H1284" s="4"/>
      <c r="I1284" s="4">
        <v>99.0</v>
      </c>
      <c r="J1284" s="4" t="s">
        <v>4485</v>
      </c>
      <c r="K1284" s="5">
        <f>+919676374558</f>
        <v>919676374558</v>
      </c>
      <c r="L1284" s="4" t="str">
        <f t="shared" si="1"/>
        <v>erevathi21@gmail.com919676374558</v>
      </c>
      <c r="M1284" s="10" t="s">
        <v>67</v>
      </c>
      <c r="N1284" s="4" t="b">
        <v>0</v>
      </c>
      <c r="O1284" s="4" t="str">
        <f>VLOOKUP(A1284,payment_ids!D:E,2,FALSE)</f>
        <v>netbanking</v>
      </c>
      <c r="P1284" s="4" t="s">
        <v>69</v>
      </c>
      <c r="Q1284" s="11">
        <v>44233.45416666667</v>
      </c>
      <c r="R1284" s="4"/>
      <c r="S1284" s="12" t="s">
        <v>4435</v>
      </c>
      <c r="T1284" s="5"/>
      <c r="U1284" s="4"/>
      <c r="V1284" s="4"/>
      <c r="W1284" s="5"/>
      <c r="X1284" s="4"/>
      <c r="Y1284" s="4"/>
      <c r="Z1284" s="5"/>
      <c r="AA1284" s="4"/>
      <c r="AB1284" s="4"/>
      <c r="AC1284" s="4"/>
      <c r="AD1284" s="5"/>
      <c r="AE1284" s="5"/>
      <c r="AF1284" s="5"/>
      <c r="AG1284" s="5"/>
      <c r="AH1284" s="5"/>
      <c r="AI1284" s="5"/>
      <c r="AJ1284" s="5"/>
      <c r="AK1284" s="5"/>
      <c r="AL1284" s="5"/>
    </row>
    <row r="1285">
      <c r="A1285" s="4" t="str">
        <f>VLOOKUP(L1285,payment_ids!C:D,2,FALSE)</f>
        <v>pay_HI9SsucX3hpAac</v>
      </c>
      <c r="B1285" s="4"/>
      <c r="C1285" s="4" t="s">
        <v>4433</v>
      </c>
      <c r="D1285" s="4">
        <v>50052.0</v>
      </c>
      <c r="E1285" s="5"/>
      <c r="F1285" s="4">
        <v>1.0</v>
      </c>
      <c r="G1285" s="4">
        <v>99.0</v>
      </c>
      <c r="H1285" s="4"/>
      <c r="I1285" s="4">
        <v>99.0</v>
      </c>
      <c r="J1285" s="4" t="s">
        <v>4486</v>
      </c>
      <c r="K1285" s="5">
        <f>+918538021882</f>
        <v>918538021882</v>
      </c>
      <c r="L1285" s="4" t="str">
        <f t="shared" si="1"/>
        <v>saraniangelbanerjee@gmail.com918538021882</v>
      </c>
      <c r="M1285" s="10" t="s">
        <v>67</v>
      </c>
      <c r="N1285" s="4" t="b">
        <v>0</v>
      </c>
      <c r="O1285" s="4" t="str">
        <f>VLOOKUP(A1285,payment_ids!D:E,2,FALSE)</f>
        <v>upi</v>
      </c>
      <c r="P1285" s="4" t="s">
        <v>69</v>
      </c>
      <c r="Q1285" s="11">
        <v>44233.65</v>
      </c>
      <c r="R1285" s="4"/>
      <c r="S1285" s="12" t="s">
        <v>4435</v>
      </c>
      <c r="T1285" s="5"/>
      <c r="U1285" s="4"/>
      <c r="V1285" s="4"/>
      <c r="W1285" s="5"/>
      <c r="X1285" s="4"/>
      <c r="Y1285" s="4"/>
      <c r="Z1285" s="5"/>
      <c r="AA1285" s="4"/>
      <c r="AB1285" s="4"/>
      <c r="AC1285" s="4"/>
      <c r="AD1285" s="5"/>
      <c r="AE1285" s="5"/>
      <c r="AF1285" s="5"/>
      <c r="AG1285" s="5"/>
      <c r="AH1285" s="5"/>
      <c r="AI1285" s="5"/>
      <c r="AJ1285" s="5"/>
      <c r="AK1285" s="5"/>
      <c r="AL1285" s="5"/>
    </row>
    <row r="1286">
      <c r="A1286" s="4" t="str">
        <f>VLOOKUP(L1286,payment_ids!C:D,2,FALSE)</f>
        <v>pay_HIA6DIgV290Urj</v>
      </c>
      <c r="B1286" s="4"/>
      <c r="C1286" s="4" t="s">
        <v>4433</v>
      </c>
      <c r="D1286" s="4">
        <v>50052.0</v>
      </c>
      <c r="E1286" s="5"/>
      <c r="F1286" s="4">
        <v>1.0</v>
      </c>
      <c r="G1286" s="4">
        <v>99.0</v>
      </c>
      <c r="H1286" s="4"/>
      <c r="I1286" s="4">
        <v>99.0</v>
      </c>
      <c r="J1286" s="4" t="s">
        <v>4487</v>
      </c>
      <c r="K1286" s="5">
        <f>+919591812767</f>
        <v>919591812767</v>
      </c>
      <c r="L1286" s="4" t="str">
        <f t="shared" si="1"/>
        <v>jyothi8008@gmail.com919591812767</v>
      </c>
      <c r="M1286" s="10" t="s">
        <v>67</v>
      </c>
      <c r="N1286" s="4" t="b">
        <v>0</v>
      </c>
      <c r="O1286" s="4" t="str">
        <f>VLOOKUP(A1286,payment_ids!D:E,2,FALSE)</f>
        <v>upi</v>
      </c>
      <c r="P1286" s="4" t="s">
        <v>69</v>
      </c>
      <c r="Q1286" s="11">
        <v>44233.67638888889</v>
      </c>
      <c r="R1286" s="4"/>
      <c r="S1286" s="12" t="s">
        <v>4435</v>
      </c>
      <c r="T1286" s="5"/>
      <c r="U1286" s="4"/>
      <c r="V1286" s="4"/>
      <c r="W1286" s="5"/>
      <c r="X1286" s="4"/>
      <c r="Y1286" s="4"/>
      <c r="Z1286" s="5"/>
      <c r="AA1286" s="4"/>
      <c r="AB1286" s="4"/>
      <c r="AC1286" s="4"/>
      <c r="AD1286" s="5"/>
      <c r="AE1286" s="5"/>
      <c r="AF1286" s="5"/>
      <c r="AG1286" s="5"/>
      <c r="AH1286" s="5"/>
      <c r="AI1286" s="5"/>
      <c r="AJ1286" s="5"/>
      <c r="AK1286" s="5"/>
      <c r="AL1286" s="5"/>
    </row>
    <row r="1287">
      <c r="A1287" s="4" t="str">
        <f>VLOOKUP(L1287,payment_ids!C:D,2,FALSE)</f>
        <v>pay_HICPAv92c7ugGo</v>
      </c>
      <c r="B1287" s="4"/>
      <c r="C1287" s="4" t="s">
        <v>4433</v>
      </c>
      <c r="D1287" s="4">
        <v>50052.0</v>
      </c>
      <c r="E1287" s="5"/>
      <c r="F1287" s="4">
        <v>1.0</v>
      </c>
      <c r="G1287" s="4">
        <v>99.0</v>
      </c>
      <c r="H1287" s="4"/>
      <c r="I1287" s="4">
        <v>99.0</v>
      </c>
      <c r="J1287" s="4" t="s">
        <v>4488</v>
      </c>
      <c r="K1287" s="5">
        <f>+919425692964</f>
        <v>919425692964</v>
      </c>
      <c r="L1287" s="4" t="str">
        <f t="shared" si="1"/>
        <v>padmawatirajput94@gmail.com919425692964</v>
      </c>
      <c r="M1287" s="10" t="s">
        <v>67</v>
      </c>
      <c r="N1287" s="4" t="b">
        <v>0</v>
      </c>
      <c r="O1287" s="4" t="str">
        <f>VLOOKUP(A1287,payment_ids!D:E,2,FALSE)</f>
        <v>upi</v>
      </c>
      <c r="P1287" s="4" t="s">
        <v>69</v>
      </c>
      <c r="Q1287" s="11">
        <v>44233.76944444444</v>
      </c>
      <c r="R1287" s="4"/>
      <c r="S1287" s="12" t="s">
        <v>4435</v>
      </c>
      <c r="T1287" s="5"/>
      <c r="U1287" s="4"/>
      <c r="V1287" s="4"/>
      <c r="W1287" s="5"/>
      <c r="X1287" s="4"/>
      <c r="Y1287" s="4"/>
      <c r="Z1287" s="5"/>
      <c r="AA1287" s="4"/>
      <c r="AB1287" s="4"/>
      <c r="AC1287" s="4"/>
      <c r="AD1287" s="5"/>
      <c r="AE1287" s="5"/>
      <c r="AF1287" s="5"/>
      <c r="AG1287" s="5"/>
      <c r="AH1287" s="5"/>
      <c r="AI1287" s="5"/>
      <c r="AJ1287" s="5"/>
      <c r="AK1287" s="5"/>
      <c r="AL1287" s="5"/>
    </row>
    <row r="1288">
      <c r="A1288" s="4" t="str">
        <f>VLOOKUP(L1288,payment_ids!C:D,2,FALSE)</f>
        <v>pay_HIR5IhIQXia71R</v>
      </c>
      <c r="B1288" s="4"/>
      <c r="C1288" s="4" t="s">
        <v>4433</v>
      </c>
      <c r="D1288" s="4">
        <v>50052.0</v>
      </c>
      <c r="E1288" s="5"/>
      <c r="F1288" s="4">
        <v>1.0</v>
      </c>
      <c r="G1288" s="4">
        <v>99.0</v>
      </c>
      <c r="H1288" s="4"/>
      <c r="I1288" s="4">
        <v>99.0</v>
      </c>
      <c r="J1288" s="4" t="s">
        <v>4489</v>
      </c>
      <c r="K1288" s="5">
        <f>+917904174347</f>
        <v>917904174347</v>
      </c>
      <c r="L1288" s="4" t="str">
        <f t="shared" si="1"/>
        <v>selvarajanj97@gmail.com917904174347</v>
      </c>
      <c r="M1288" s="10" t="s">
        <v>67</v>
      </c>
      <c r="N1288" s="4" t="b">
        <v>0</v>
      </c>
      <c r="O1288" s="4" t="str">
        <f>VLOOKUP(A1288,payment_ids!D:E,2,FALSE)</f>
        <v>upi</v>
      </c>
      <c r="P1288" s="4" t="s">
        <v>69</v>
      </c>
      <c r="Q1288" s="11">
        <v>44261.368055555555</v>
      </c>
      <c r="R1288" s="4"/>
      <c r="S1288" s="12" t="s">
        <v>4435</v>
      </c>
      <c r="T1288" s="5"/>
      <c r="U1288" s="4"/>
      <c r="V1288" s="4"/>
      <c r="W1288" s="5"/>
      <c r="X1288" s="4"/>
      <c r="Y1288" s="4"/>
      <c r="Z1288" s="5"/>
      <c r="AA1288" s="4"/>
      <c r="AB1288" s="4"/>
      <c r="AC1288" s="4"/>
      <c r="AD1288" s="5"/>
      <c r="AE1288" s="5"/>
      <c r="AF1288" s="5"/>
      <c r="AG1288" s="5"/>
      <c r="AH1288" s="5"/>
      <c r="AI1288" s="5"/>
      <c r="AJ1288" s="5"/>
      <c r="AK1288" s="5"/>
      <c r="AL1288" s="5"/>
    </row>
    <row r="1289">
      <c r="A1289" s="4" t="str">
        <f>VLOOKUP(L1289,payment_ids!C:D,2,FALSE)</f>
        <v>pay_HIar7ubbIBqhYO</v>
      </c>
      <c r="B1289" s="4"/>
      <c r="C1289" s="4" t="s">
        <v>4433</v>
      </c>
      <c r="D1289" s="4">
        <v>50052.0</v>
      </c>
      <c r="E1289" s="5"/>
      <c r="F1289" s="4">
        <v>1.0</v>
      </c>
      <c r="G1289" s="4">
        <v>99.0</v>
      </c>
      <c r="H1289" s="4"/>
      <c r="I1289" s="4">
        <v>99.0</v>
      </c>
      <c r="J1289" s="4" t="s">
        <v>4490</v>
      </c>
      <c r="K1289" s="5">
        <f>+917828922558</f>
        <v>917828922558</v>
      </c>
      <c r="L1289" s="4" t="str">
        <f t="shared" si="1"/>
        <v>ppatidardivya740@gmail.com917828922558</v>
      </c>
      <c r="M1289" s="10" t="s">
        <v>67</v>
      </c>
      <c r="N1289" s="4" t="b">
        <v>0</v>
      </c>
      <c r="O1289" s="4" t="str">
        <f>VLOOKUP(A1289,payment_ids!D:E,2,FALSE)</f>
        <v>upi</v>
      </c>
      <c r="P1289" s="4" t="s">
        <v>69</v>
      </c>
      <c r="Q1289" s="11">
        <v>44261.76597222222</v>
      </c>
      <c r="R1289" s="4"/>
      <c r="S1289" s="12" t="s">
        <v>4435</v>
      </c>
      <c r="T1289" s="5"/>
      <c r="U1289" s="4"/>
      <c r="V1289" s="4"/>
      <c r="W1289" s="5"/>
      <c r="X1289" s="4"/>
      <c r="Y1289" s="4"/>
      <c r="Z1289" s="5"/>
      <c r="AA1289" s="4"/>
      <c r="AB1289" s="4"/>
      <c r="AC1289" s="4"/>
      <c r="AD1289" s="5"/>
      <c r="AE1289" s="5"/>
      <c r="AF1289" s="5"/>
      <c r="AG1289" s="5"/>
      <c r="AH1289" s="5"/>
      <c r="AI1289" s="5"/>
      <c r="AJ1289" s="5"/>
      <c r="AK1289" s="5"/>
      <c r="AL1289" s="5"/>
    </row>
    <row r="1290">
      <c r="A1290" s="4" t="str">
        <f>VLOOKUP(L1290,payment_ids!C:D,2,FALSE)</f>
        <v>pay_HIcE1cXpFsdM2N</v>
      </c>
      <c r="B1290" s="4"/>
      <c r="C1290" s="4" t="s">
        <v>4433</v>
      </c>
      <c r="D1290" s="4">
        <v>50052.0</v>
      </c>
      <c r="E1290" s="5"/>
      <c r="F1290" s="4">
        <v>1.0</v>
      </c>
      <c r="G1290" s="4">
        <v>99.0</v>
      </c>
      <c r="H1290" s="4"/>
      <c r="I1290" s="4">
        <v>99.0</v>
      </c>
      <c r="J1290" s="4" t="s">
        <v>4491</v>
      </c>
      <c r="K1290" s="5">
        <f>+919594435171</f>
        <v>919594435171</v>
      </c>
      <c r="L1290" s="4" t="str">
        <f t="shared" si="1"/>
        <v>anita.korade@gmail.com919594435171</v>
      </c>
      <c r="M1290" s="10" t="s">
        <v>67</v>
      </c>
      <c r="N1290" s="4" t="b">
        <v>0</v>
      </c>
      <c r="O1290" s="4" t="str">
        <f>VLOOKUP(A1290,payment_ids!D:E,2,FALSE)</f>
        <v>upi</v>
      </c>
      <c r="P1290" s="4" t="s">
        <v>69</v>
      </c>
      <c r="Q1290" s="11">
        <v>44261.822222222225</v>
      </c>
      <c r="R1290" s="4"/>
      <c r="S1290" s="12" t="s">
        <v>4435</v>
      </c>
      <c r="T1290" s="5"/>
      <c r="U1290" s="4"/>
      <c r="V1290" s="4"/>
      <c r="W1290" s="5"/>
      <c r="X1290" s="4"/>
      <c r="Y1290" s="4"/>
      <c r="Z1290" s="5"/>
      <c r="AA1290" s="4"/>
      <c r="AB1290" s="4"/>
      <c r="AC1290" s="4"/>
      <c r="AD1290" s="5"/>
      <c r="AE1290" s="5"/>
      <c r="AF1290" s="5"/>
      <c r="AG1290" s="5"/>
      <c r="AH1290" s="5"/>
      <c r="AI1290" s="5"/>
      <c r="AJ1290" s="5"/>
      <c r="AK1290" s="5"/>
      <c r="AL1290" s="5"/>
    </row>
    <row r="1291">
      <c r="A1291" s="4" t="str">
        <f>VLOOKUP(L1291,payment_ids!C:D,2,FALSE)</f>
        <v>pay_HJm6mhja13keRu</v>
      </c>
      <c r="B1291" s="4"/>
      <c r="C1291" s="4" t="s">
        <v>4433</v>
      </c>
      <c r="D1291" s="4">
        <v>50052.0</v>
      </c>
      <c r="E1291" s="5"/>
      <c r="F1291" s="4">
        <v>1.0</v>
      </c>
      <c r="G1291" s="4">
        <v>99.0</v>
      </c>
      <c r="H1291" s="4"/>
      <c r="I1291" s="4">
        <v>99.0</v>
      </c>
      <c r="J1291" s="4" t="s">
        <v>4492</v>
      </c>
      <c r="K1291" s="5">
        <f>+919769821754</f>
        <v>919769821754</v>
      </c>
      <c r="L1291" s="4" t="str">
        <f t="shared" si="1"/>
        <v>deshu97@gmail.com919769821754</v>
      </c>
      <c r="M1291" s="10" t="s">
        <v>67</v>
      </c>
      <c r="N1291" s="4" t="b">
        <v>0</v>
      </c>
      <c r="O1291" s="4" t="str">
        <f>VLOOKUP(A1291,payment_ids!D:E,2,FALSE)</f>
        <v>upi</v>
      </c>
      <c r="P1291" s="4" t="s">
        <v>69</v>
      </c>
      <c r="Q1291" s="11">
        <v>44353.75277777778</v>
      </c>
      <c r="R1291" s="4"/>
      <c r="S1291" s="12" t="s">
        <v>4435</v>
      </c>
      <c r="T1291" s="5"/>
      <c r="U1291" s="4"/>
      <c r="V1291" s="4"/>
      <c r="W1291" s="5"/>
      <c r="X1291" s="4"/>
      <c r="Y1291" s="4"/>
      <c r="Z1291" s="5"/>
      <c r="AA1291" s="4"/>
      <c r="AB1291" s="4"/>
      <c r="AC1291" s="4"/>
      <c r="AD1291" s="5"/>
      <c r="AE1291" s="5"/>
      <c r="AF1291" s="5"/>
      <c r="AG1291" s="5"/>
      <c r="AH1291" s="5"/>
      <c r="AI1291" s="5"/>
      <c r="AJ1291" s="5"/>
      <c r="AK1291" s="5"/>
      <c r="AL1291" s="5"/>
    </row>
    <row r="1292">
      <c r="A1292" s="4" t="str">
        <f>VLOOKUP(L1292,payment_ids!C:D,2,FALSE)</f>
        <v>pay_HJo834xSZ3Wt1e</v>
      </c>
      <c r="B1292" s="4"/>
      <c r="C1292" s="4" t="s">
        <v>4433</v>
      </c>
      <c r="D1292" s="4">
        <v>50052.0</v>
      </c>
      <c r="E1292" s="5"/>
      <c r="F1292" s="4">
        <v>1.0</v>
      </c>
      <c r="G1292" s="4">
        <v>99.0</v>
      </c>
      <c r="H1292" s="4"/>
      <c r="I1292" s="4">
        <v>99.0</v>
      </c>
      <c r="J1292" s="4" t="s">
        <v>4493</v>
      </c>
      <c r="K1292" s="5">
        <f>+917548867943</f>
        <v>917548867943</v>
      </c>
      <c r="L1292" s="4" t="str">
        <f t="shared" si="1"/>
        <v>venkateshg4562@gmail.com917548867943</v>
      </c>
      <c r="M1292" s="10" t="s">
        <v>67</v>
      </c>
      <c r="N1292" s="4" t="b">
        <v>0</v>
      </c>
      <c r="O1292" s="4" t="str">
        <f>VLOOKUP(A1292,payment_ids!D:E,2,FALSE)</f>
        <v>upi</v>
      </c>
      <c r="P1292" s="4" t="s">
        <v>69</v>
      </c>
      <c r="Q1292" s="11">
        <v>44353.834027777775</v>
      </c>
      <c r="R1292" s="4"/>
      <c r="S1292" s="12" t="s">
        <v>4435</v>
      </c>
      <c r="T1292" s="5"/>
      <c r="U1292" s="4"/>
      <c r="V1292" s="4"/>
      <c r="W1292" s="5"/>
      <c r="X1292" s="4"/>
      <c r="Y1292" s="4"/>
      <c r="Z1292" s="5"/>
      <c r="AA1292" s="4"/>
      <c r="AB1292" s="4"/>
      <c r="AC1292" s="4"/>
      <c r="AD1292" s="5"/>
      <c r="AE1292" s="5"/>
      <c r="AF1292" s="5"/>
      <c r="AG1292" s="5"/>
      <c r="AH1292" s="5"/>
      <c r="AI1292" s="5"/>
      <c r="AJ1292" s="5"/>
      <c r="AK1292" s="5"/>
      <c r="AL1292" s="5"/>
    </row>
    <row r="1293">
      <c r="A1293" s="4" t="str">
        <f>VLOOKUP(L1293,payment_ids!C:D,2,FALSE)</f>
        <v>pay_HJrZuAGwPY88ar</v>
      </c>
      <c r="B1293" s="4"/>
      <c r="C1293" s="4" t="s">
        <v>4433</v>
      </c>
      <c r="D1293" s="4">
        <v>50052.0</v>
      </c>
      <c r="E1293" s="5"/>
      <c r="F1293" s="4">
        <v>1.0</v>
      </c>
      <c r="G1293" s="4">
        <v>99.0</v>
      </c>
      <c r="H1293" s="4"/>
      <c r="I1293" s="4">
        <v>99.0</v>
      </c>
      <c r="J1293" s="4" t="s">
        <v>4494</v>
      </c>
      <c r="K1293" s="5">
        <f>+919690416784</f>
        <v>919690416784</v>
      </c>
      <c r="L1293" s="4" t="str">
        <f t="shared" si="1"/>
        <v>agarwals112@live.com919690416784</v>
      </c>
      <c r="M1293" s="10" t="s">
        <v>67</v>
      </c>
      <c r="N1293" s="4" t="b">
        <v>0</v>
      </c>
      <c r="O1293" s="4" t="str">
        <f>VLOOKUP(A1293,payment_ids!D:E,2,FALSE)</f>
        <v>upi</v>
      </c>
      <c r="P1293" s="4" t="s">
        <v>69</v>
      </c>
      <c r="Q1293" s="11">
        <v>44353.975</v>
      </c>
      <c r="R1293" s="4"/>
      <c r="S1293" s="12" t="s">
        <v>4435</v>
      </c>
      <c r="T1293" s="5"/>
      <c r="U1293" s="4"/>
      <c r="V1293" s="4"/>
      <c r="W1293" s="5"/>
      <c r="X1293" s="4"/>
      <c r="Y1293" s="4"/>
      <c r="Z1293" s="5"/>
      <c r="AA1293" s="4"/>
      <c r="AB1293" s="4"/>
      <c r="AC1293" s="4"/>
      <c r="AD1293" s="5"/>
      <c r="AE1293" s="5"/>
      <c r="AF1293" s="5"/>
      <c r="AG1293" s="5"/>
      <c r="AH1293" s="5"/>
      <c r="AI1293" s="5"/>
      <c r="AJ1293" s="5"/>
      <c r="AK1293" s="5"/>
      <c r="AL1293" s="5"/>
    </row>
    <row r="1294">
      <c r="A1294" s="4" t="str">
        <f>VLOOKUP(L1294,payment_ids!C:D,2,FALSE)</f>
        <v>pay_HK85L7CvBupdLG</v>
      </c>
      <c r="B1294" s="4"/>
      <c r="C1294" s="4" t="s">
        <v>4433</v>
      </c>
      <c r="D1294" s="4">
        <v>50052.0</v>
      </c>
      <c r="E1294" s="5"/>
      <c r="F1294" s="4">
        <v>1.0</v>
      </c>
      <c r="G1294" s="4">
        <v>99.0</v>
      </c>
      <c r="H1294" s="4"/>
      <c r="I1294" s="4">
        <v>99.0</v>
      </c>
      <c r="J1294" s="4" t="s">
        <v>4495</v>
      </c>
      <c r="K1294" s="5">
        <f>+919394347179</f>
        <v>919394347179</v>
      </c>
      <c r="L1294" s="4" t="str">
        <f t="shared" si="1"/>
        <v>nanitha.dulam97@gmail.com919394347179</v>
      </c>
      <c r="M1294" s="10" t="s">
        <v>67</v>
      </c>
      <c r="N1294" s="4" t="b">
        <v>0</v>
      </c>
      <c r="O1294" s="4" t="str">
        <f>VLOOKUP(A1294,payment_ids!D:E,2,FALSE)</f>
        <v>upi</v>
      </c>
      <c r="P1294" s="4" t="s">
        <v>69</v>
      </c>
      <c r="Q1294" s="11">
        <v>44383.64791666667</v>
      </c>
      <c r="R1294" s="4"/>
      <c r="S1294" s="12" t="s">
        <v>4435</v>
      </c>
      <c r="T1294" s="5"/>
      <c r="U1294" s="4"/>
      <c r="V1294" s="4"/>
      <c r="W1294" s="5"/>
      <c r="X1294" s="4"/>
      <c r="Y1294" s="4"/>
      <c r="Z1294" s="5"/>
      <c r="AA1294" s="4"/>
      <c r="AB1294" s="4"/>
      <c r="AC1294" s="4"/>
      <c r="AD1294" s="5"/>
      <c r="AE1294" s="5"/>
      <c r="AF1294" s="5"/>
      <c r="AG1294" s="5"/>
      <c r="AH1294" s="5"/>
      <c r="AI1294" s="5"/>
      <c r="AJ1294" s="5"/>
      <c r="AK1294" s="5"/>
      <c r="AL1294" s="5"/>
    </row>
    <row r="1295">
      <c r="A1295" s="4" t="str">
        <f>VLOOKUP(L1295,payment_ids!C:D,2,FALSE)</f>
        <v>pay_HKD9QNVPik4gcR</v>
      </c>
      <c r="B1295" s="4"/>
      <c r="C1295" s="4" t="s">
        <v>4433</v>
      </c>
      <c r="D1295" s="4">
        <v>50052.0</v>
      </c>
      <c r="E1295" s="5"/>
      <c r="F1295" s="4">
        <v>1.0</v>
      </c>
      <c r="G1295" s="4">
        <v>99.0</v>
      </c>
      <c r="H1295" s="4"/>
      <c r="I1295" s="4">
        <v>99.0</v>
      </c>
      <c r="J1295" s="4" t="s">
        <v>4496</v>
      </c>
      <c r="K1295" s="5">
        <f>+919663735277</f>
        <v>919663735277</v>
      </c>
      <c r="L1295" s="4" t="str">
        <f t="shared" si="1"/>
        <v>suchi@idaksh.in919663735277</v>
      </c>
      <c r="M1295" s="10" t="s">
        <v>67</v>
      </c>
      <c r="N1295" s="4" t="b">
        <v>0</v>
      </c>
      <c r="O1295" s="4" t="str">
        <f>VLOOKUP(A1295,payment_ids!D:E,2,FALSE)</f>
        <v>upi</v>
      </c>
      <c r="P1295" s="4" t="s">
        <v>69</v>
      </c>
      <c r="Q1295" s="11">
        <v>44383.854166666664</v>
      </c>
      <c r="R1295" s="4"/>
      <c r="S1295" s="12" t="s">
        <v>4435</v>
      </c>
      <c r="T1295" s="5"/>
      <c r="U1295" s="4"/>
      <c r="V1295" s="4"/>
      <c r="W1295" s="5"/>
      <c r="X1295" s="4"/>
      <c r="Y1295" s="4"/>
      <c r="Z1295" s="5"/>
      <c r="AA1295" s="4"/>
      <c r="AB1295" s="4"/>
      <c r="AC1295" s="4"/>
      <c r="AD1295" s="5"/>
      <c r="AE1295" s="5"/>
      <c r="AF1295" s="5"/>
      <c r="AG1295" s="5"/>
      <c r="AH1295" s="5"/>
      <c r="AI1295" s="5"/>
      <c r="AJ1295" s="5"/>
      <c r="AK1295" s="5"/>
      <c r="AL1295" s="5"/>
    </row>
    <row r="1296">
      <c r="A1296" s="4" t="str">
        <f>VLOOKUP(L1296,payment_ids!C:D,2,FALSE)</f>
        <v>pay_HKGTUkEsdVzPgH</v>
      </c>
      <c r="B1296" s="4"/>
      <c r="C1296" s="4" t="s">
        <v>4433</v>
      </c>
      <c r="D1296" s="4">
        <v>50052.0</v>
      </c>
      <c r="E1296" s="5"/>
      <c r="F1296" s="4">
        <v>1.0</v>
      </c>
      <c r="G1296" s="4">
        <v>99.0</v>
      </c>
      <c r="H1296" s="4"/>
      <c r="I1296" s="4">
        <v>99.0</v>
      </c>
      <c r="J1296" s="4" t="s">
        <v>4497</v>
      </c>
      <c r="K1296" s="5">
        <f>+919566618910</f>
        <v>919566618910</v>
      </c>
      <c r="L1296" s="4" t="str">
        <f t="shared" si="1"/>
        <v>abilashsp@gmail.com919566618910</v>
      </c>
      <c r="M1296" s="10" t="s">
        <v>67</v>
      </c>
      <c r="N1296" s="4" t="b">
        <v>0</v>
      </c>
      <c r="O1296" s="4" t="str">
        <f>VLOOKUP(A1296,payment_ids!D:E,2,FALSE)</f>
        <v>card</v>
      </c>
      <c r="P1296" s="4" t="s">
        <v>69</v>
      </c>
      <c r="Q1296" s="11">
        <v>44383.989583333336</v>
      </c>
      <c r="R1296" s="4"/>
      <c r="S1296" s="12" t="s">
        <v>4435</v>
      </c>
      <c r="T1296" s="5"/>
      <c r="U1296" s="4"/>
      <c r="V1296" s="4"/>
      <c r="W1296" s="5"/>
      <c r="X1296" s="4"/>
      <c r="Y1296" s="4"/>
      <c r="Z1296" s="5"/>
      <c r="AA1296" s="4"/>
      <c r="AB1296" s="4"/>
      <c r="AC1296" s="4"/>
      <c r="AD1296" s="5"/>
      <c r="AE1296" s="5"/>
      <c r="AF1296" s="5"/>
      <c r="AG1296" s="5"/>
      <c r="AH1296" s="5"/>
      <c r="AI1296" s="5"/>
      <c r="AJ1296" s="5"/>
      <c r="AK1296" s="5"/>
      <c r="AL1296" s="5"/>
    </row>
    <row r="1297">
      <c r="A1297" s="4" t="str">
        <f>VLOOKUP(L1297,payment_ids!C:D,2,FALSE)</f>
        <v>pay_HKUkGhkJhFtapz</v>
      </c>
      <c r="B1297" s="4"/>
      <c r="C1297" s="4" t="s">
        <v>4433</v>
      </c>
      <c r="D1297" s="4">
        <v>50052.0</v>
      </c>
      <c r="E1297" s="5"/>
      <c r="F1297" s="4">
        <v>3.0</v>
      </c>
      <c r="G1297" s="4">
        <v>199.0</v>
      </c>
      <c r="H1297" s="4"/>
      <c r="I1297" s="4">
        <v>199.0</v>
      </c>
      <c r="J1297" s="4" t="s">
        <v>4498</v>
      </c>
      <c r="K1297" s="5">
        <f>+919952412626</f>
        <v>919952412626</v>
      </c>
      <c r="L1297" s="4" t="str">
        <f t="shared" si="1"/>
        <v>aksamicheal@gmail.com919952412626</v>
      </c>
      <c r="M1297" s="10" t="s">
        <v>67</v>
      </c>
      <c r="N1297" s="4" t="b">
        <v>0</v>
      </c>
      <c r="O1297" s="4" t="str">
        <f>VLOOKUP(A1297,payment_ids!D:E,2,FALSE)</f>
        <v>card</v>
      </c>
      <c r="P1297" s="4" t="s">
        <v>69</v>
      </c>
      <c r="Q1297" s="11">
        <v>44414.572222222225</v>
      </c>
      <c r="R1297" s="4"/>
      <c r="S1297" s="12" t="s">
        <v>4435</v>
      </c>
      <c r="T1297" s="5"/>
      <c r="U1297" s="4"/>
      <c r="V1297" s="4"/>
      <c r="W1297" s="5"/>
      <c r="X1297" s="4"/>
      <c r="Y1297" s="4"/>
      <c r="Z1297" s="5"/>
      <c r="AA1297" s="4"/>
      <c r="AB1297" s="4"/>
      <c r="AC1297" s="4"/>
      <c r="AD1297" s="5"/>
      <c r="AE1297" s="5"/>
      <c r="AF1297" s="5"/>
      <c r="AG1297" s="5"/>
      <c r="AH1297" s="5"/>
      <c r="AI1297" s="5"/>
      <c r="AJ1297" s="5"/>
      <c r="AK1297" s="5"/>
      <c r="AL1297" s="5"/>
    </row>
    <row r="1298">
      <c r="A1298" s="4" t="str">
        <f>VLOOKUP(L1298,payment_ids!C:D,2,FALSE)</f>
        <v>pay_HKVAOUn4Jd9tFr</v>
      </c>
      <c r="B1298" s="4"/>
      <c r="C1298" s="4" t="s">
        <v>4433</v>
      </c>
      <c r="D1298" s="4">
        <v>50052.0</v>
      </c>
      <c r="E1298" s="5"/>
      <c r="F1298" s="4">
        <v>1.0</v>
      </c>
      <c r="G1298" s="4">
        <v>99.0</v>
      </c>
      <c r="H1298" s="4"/>
      <c r="I1298" s="4">
        <v>99.0</v>
      </c>
      <c r="J1298" s="4" t="s">
        <v>4499</v>
      </c>
      <c r="K1298" s="5">
        <f>+919099963966</f>
        <v>919099963966</v>
      </c>
      <c r="L1298" s="4" t="str">
        <f t="shared" si="1"/>
        <v>darshitashah1920@gmail.com919099963966</v>
      </c>
      <c r="M1298" s="10" t="s">
        <v>67</v>
      </c>
      <c r="N1298" s="4" t="b">
        <v>0</v>
      </c>
      <c r="O1298" s="4" t="str">
        <f>VLOOKUP(A1298,payment_ids!D:E,2,FALSE)</f>
        <v>upi</v>
      </c>
      <c r="P1298" s="4" t="s">
        <v>69</v>
      </c>
      <c r="Q1298" s="11">
        <v>44414.589583333334</v>
      </c>
      <c r="R1298" s="4"/>
      <c r="S1298" s="12" t="s">
        <v>4435</v>
      </c>
      <c r="T1298" s="5"/>
      <c r="U1298" s="4"/>
      <c r="V1298" s="4"/>
      <c r="W1298" s="5"/>
      <c r="X1298" s="4"/>
      <c r="Y1298" s="4"/>
      <c r="Z1298" s="5"/>
      <c r="AA1298" s="4"/>
      <c r="AB1298" s="4"/>
      <c r="AC1298" s="4"/>
      <c r="AD1298" s="5"/>
      <c r="AE1298" s="5"/>
      <c r="AF1298" s="5"/>
      <c r="AG1298" s="5"/>
      <c r="AH1298" s="5"/>
      <c r="AI1298" s="5"/>
      <c r="AJ1298" s="5"/>
      <c r="AK1298" s="5"/>
      <c r="AL1298" s="5"/>
    </row>
    <row r="1299">
      <c r="A1299" s="4" t="str">
        <f>VLOOKUP(L1299,payment_ids!C:D,2,FALSE)</f>
        <v>pay_HKdugyjkXtX4W6</v>
      </c>
      <c r="B1299" s="4"/>
      <c r="C1299" s="4" t="s">
        <v>4433</v>
      </c>
      <c r="D1299" s="4">
        <v>50052.0</v>
      </c>
      <c r="E1299" s="5"/>
      <c r="F1299" s="4">
        <v>1.0</v>
      </c>
      <c r="G1299" s="4">
        <v>99.0</v>
      </c>
      <c r="H1299" s="4"/>
      <c r="I1299" s="4">
        <v>99.0</v>
      </c>
      <c r="J1299" s="4" t="s">
        <v>4500</v>
      </c>
      <c r="K1299" s="5">
        <f>+918317334139</f>
        <v>918317334139</v>
      </c>
      <c r="L1299" s="4" t="str">
        <f t="shared" si="1"/>
        <v>deekshithasims@gmail.com918317334139</v>
      </c>
      <c r="M1299" s="10" t="s">
        <v>67</v>
      </c>
      <c r="N1299" s="4" t="b">
        <v>0</v>
      </c>
      <c r="O1299" s="4" t="str">
        <f>VLOOKUP(A1299,payment_ids!D:E,2,FALSE)</f>
        <v>upi</v>
      </c>
      <c r="P1299" s="4" t="s">
        <v>69</v>
      </c>
      <c r="Q1299" s="11">
        <v>44414.94513888889</v>
      </c>
      <c r="R1299" s="4"/>
      <c r="S1299" s="12" t="s">
        <v>4435</v>
      </c>
      <c r="T1299" s="4" t="s">
        <v>2444</v>
      </c>
      <c r="U1299" s="4"/>
      <c r="V1299" s="4"/>
      <c r="W1299" s="5"/>
      <c r="X1299" s="4"/>
      <c r="Y1299" s="4"/>
      <c r="Z1299" s="5"/>
      <c r="AA1299" s="4"/>
      <c r="AB1299" s="4"/>
      <c r="AC1299" s="4"/>
      <c r="AD1299" s="5"/>
      <c r="AE1299" s="5"/>
      <c r="AF1299" s="5"/>
      <c r="AG1299" s="5"/>
      <c r="AH1299" s="5"/>
      <c r="AI1299" s="5"/>
      <c r="AJ1299" s="5"/>
      <c r="AK1299" s="5"/>
      <c r="AL1299" s="5"/>
    </row>
    <row r="1300">
      <c r="A1300" s="4" t="str">
        <f>VLOOKUP(L1300,payment_ids!C:D,2,FALSE)</f>
        <v>pay_HKsA41YMeHfT6L</v>
      </c>
      <c r="B1300" s="4"/>
      <c r="C1300" s="4" t="s">
        <v>4433</v>
      </c>
      <c r="D1300" s="4">
        <v>50052.0</v>
      </c>
      <c r="E1300" s="5"/>
      <c r="F1300" s="4">
        <v>1.0</v>
      </c>
      <c r="G1300" s="4">
        <v>99.0</v>
      </c>
      <c r="H1300" s="4"/>
      <c r="I1300" s="4">
        <v>99.0</v>
      </c>
      <c r="J1300" s="4" t="s">
        <v>4501</v>
      </c>
      <c r="K1300" s="5">
        <f>+919667255077</f>
        <v>919667255077</v>
      </c>
      <c r="L1300" s="4" t="str">
        <f t="shared" si="1"/>
        <v>gupta.atulgupta@gmail.com919667255077</v>
      </c>
      <c r="M1300" s="10" t="s">
        <v>67</v>
      </c>
      <c r="N1300" s="4" t="b">
        <v>0</v>
      </c>
      <c r="O1300" s="4" t="str">
        <f>VLOOKUP(A1300,payment_ids!D:E,2,FALSE)</f>
        <v>upi</v>
      </c>
      <c r="P1300" s="4" t="s">
        <v>69</v>
      </c>
      <c r="Q1300" s="11">
        <v>44445.52569444444</v>
      </c>
      <c r="R1300" s="4"/>
      <c r="S1300" s="12" t="s">
        <v>4435</v>
      </c>
      <c r="T1300" s="4" t="s">
        <v>2444</v>
      </c>
      <c r="U1300" s="4"/>
      <c r="V1300" s="4"/>
      <c r="W1300" s="5"/>
      <c r="X1300" s="4"/>
      <c r="Y1300" s="4"/>
      <c r="Z1300" s="5"/>
      <c r="AA1300" s="4"/>
      <c r="AB1300" s="4"/>
      <c r="AC1300" s="4"/>
      <c r="AD1300" s="5"/>
      <c r="AE1300" s="5"/>
      <c r="AF1300" s="5"/>
      <c r="AG1300" s="5"/>
      <c r="AH1300" s="5"/>
      <c r="AI1300" s="5"/>
      <c r="AJ1300" s="5"/>
      <c r="AK1300" s="5"/>
      <c r="AL1300" s="5"/>
    </row>
    <row r="1301">
      <c r="A1301" s="4" t="str">
        <f>VLOOKUP(L1301,payment_ids!C:D,2,FALSE)</f>
        <v>pay_HLHxg1sBKqYyBR</v>
      </c>
      <c r="B1301" s="4"/>
      <c r="C1301" s="4" t="s">
        <v>4433</v>
      </c>
      <c r="D1301" s="4">
        <v>50052.0</v>
      </c>
      <c r="E1301" s="5"/>
      <c r="F1301" s="4">
        <v>1.0</v>
      </c>
      <c r="G1301" s="4">
        <v>99.0</v>
      </c>
      <c r="H1301" s="4"/>
      <c r="I1301" s="4">
        <v>99.0</v>
      </c>
      <c r="J1301" s="4" t="s">
        <v>4502</v>
      </c>
      <c r="K1301" s="5">
        <f>+919820808583</f>
        <v>919820808583</v>
      </c>
      <c r="L1301" s="4" t="str">
        <f t="shared" si="1"/>
        <v>garg_dheeraj@ymail.com919820808583</v>
      </c>
      <c r="M1301" s="10" t="s">
        <v>67</v>
      </c>
      <c r="N1301" s="4" t="b">
        <v>0</v>
      </c>
      <c r="O1301" s="4" t="str">
        <f>VLOOKUP(A1301,payment_ids!D:E,2,FALSE)</f>
        <v>upi</v>
      </c>
      <c r="P1301" s="4" t="s">
        <v>69</v>
      </c>
      <c r="Q1301" s="11">
        <v>44475.57708333333</v>
      </c>
      <c r="R1301" s="4"/>
      <c r="S1301" s="12" t="s">
        <v>4435</v>
      </c>
      <c r="T1301" s="4" t="s">
        <v>2444</v>
      </c>
      <c r="U1301" s="4"/>
      <c r="V1301" s="4"/>
      <c r="W1301" s="5"/>
      <c r="X1301" s="4"/>
      <c r="Y1301" s="4"/>
      <c r="Z1301" s="5"/>
      <c r="AA1301" s="4"/>
      <c r="AB1301" s="4"/>
      <c r="AC1301" s="4"/>
      <c r="AD1301" s="5"/>
      <c r="AE1301" s="5"/>
      <c r="AF1301" s="5"/>
      <c r="AG1301" s="5"/>
      <c r="AH1301" s="5"/>
      <c r="AI1301" s="5"/>
      <c r="AJ1301" s="5"/>
      <c r="AK1301" s="5"/>
      <c r="AL1301" s="5"/>
    </row>
    <row r="1302">
      <c r="A1302" s="4" t="str">
        <f>VLOOKUP(L1302,payment_ids!C:D,2,FALSE)</f>
        <v>pay_HLLXBSsiDor7s0</v>
      </c>
      <c r="B1302" s="4"/>
      <c r="C1302" s="4" t="s">
        <v>4433</v>
      </c>
      <c r="D1302" s="4">
        <v>50052.0</v>
      </c>
      <c r="E1302" s="5"/>
      <c r="F1302" s="4">
        <v>1.0</v>
      </c>
      <c r="G1302" s="4">
        <v>99.0</v>
      </c>
      <c r="H1302" s="4"/>
      <c r="I1302" s="4">
        <v>99.0</v>
      </c>
      <c r="J1302" s="4" t="s">
        <v>4503</v>
      </c>
      <c r="K1302" s="5">
        <f>+918149833346</f>
        <v>918149833346</v>
      </c>
      <c r="L1302" s="4" t="str">
        <f t="shared" si="1"/>
        <v>pavee4all@gmail.com918149833346</v>
      </c>
      <c r="M1302" s="10" t="s">
        <v>67</v>
      </c>
      <c r="N1302" s="4" t="b">
        <v>0</v>
      </c>
      <c r="O1302" s="4" t="str">
        <f>VLOOKUP(A1302,payment_ids!D:E,2,FALSE)</f>
        <v>upi</v>
      </c>
      <c r="P1302" s="4" t="s">
        <v>69</v>
      </c>
      <c r="Q1302" s="11">
        <v>44475.722916666666</v>
      </c>
      <c r="R1302" s="4"/>
      <c r="S1302" s="12" t="s">
        <v>4435</v>
      </c>
      <c r="T1302" s="4" t="s">
        <v>2444</v>
      </c>
      <c r="U1302" s="4"/>
      <c r="V1302" s="4"/>
      <c r="W1302" s="5"/>
      <c r="X1302" s="4"/>
      <c r="Y1302" s="4"/>
      <c r="Z1302" s="5"/>
      <c r="AA1302" s="4"/>
      <c r="AB1302" s="4"/>
      <c r="AC1302" s="4"/>
      <c r="AD1302" s="5"/>
      <c r="AE1302" s="5"/>
      <c r="AF1302" s="5"/>
      <c r="AG1302" s="5"/>
      <c r="AH1302" s="5"/>
      <c r="AI1302" s="5"/>
      <c r="AJ1302" s="5"/>
      <c r="AK1302" s="5"/>
      <c r="AL1302" s="5"/>
    </row>
    <row r="1303">
      <c r="A1303" s="4" t="str">
        <f>VLOOKUP(L1303,payment_ids!C:D,2,FALSE)</f>
        <v>pay_HLdMNdqEJRlPi7</v>
      </c>
      <c r="B1303" s="4"/>
      <c r="C1303" s="4" t="s">
        <v>4433</v>
      </c>
      <c r="D1303" s="4">
        <v>50052.0</v>
      </c>
      <c r="E1303" s="5"/>
      <c r="F1303" s="4">
        <v>1.0</v>
      </c>
      <c r="G1303" s="4">
        <v>99.0</v>
      </c>
      <c r="H1303" s="4"/>
      <c r="I1303" s="4">
        <v>99.0</v>
      </c>
      <c r="J1303" s="4" t="s">
        <v>4504</v>
      </c>
      <c r="K1303" s="5">
        <f>+919725749488</f>
        <v>919725749488</v>
      </c>
      <c r="L1303" s="4" t="str">
        <f t="shared" si="1"/>
        <v>silentchords@gmail.com919725749488</v>
      </c>
      <c r="M1303" s="10" t="s">
        <v>67</v>
      </c>
      <c r="N1303" s="4" t="b">
        <v>0</v>
      </c>
      <c r="O1303" s="4" t="str">
        <f>VLOOKUP(A1303,payment_ids!D:E,2,FALSE)</f>
        <v>card</v>
      </c>
      <c r="P1303" s="4" t="s">
        <v>69</v>
      </c>
      <c r="Q1303" s="11">
        <v>44506.45</v>
      </c>
      <c r="R1303" s="4"/>
      <c r="S1303" s="12" t="s">
        <v>4435</v>
      </c>
      <c r="T1303" s="4" t="s">
        <v>2444</v>
      </c>
      <c r="U1303" s="4"/>
      <c r="V1303" s="4"/>
      <c r="W1303" s="5"/>
      <c r="X1303" s="4"/>
      <c r="Y1303" s="4"/>
      <c r="Z1303" s="5"/>
      <c r="AA1303" s="4"/>
      <c r="AB1303" s="4"/>
      <c r="AC1303" s="4"/>
      <c r="AD1303" s="5"/>
      <c r="AE1303" s="5"/>
      <c r="AF1303" s="5"/>
      <c r="AG1303" s="5"/>
      <c r="AH1303" s="5"/>
      <c r="AI1303" s="5"/>
      <c r="AJ1303" s="5"/>
      <c r="AK1303" s="5"/>
      <c r="AL1303" s="5"/>
    </row>
    <row r="1304">
      <c r="A1304" s="4" t="str">
        <f>VLOOKUP(L1304,payment_ids!C:D,2,FALSE)</f>
        <v>pay_HLjPEG3fQsduql</v>
      </c>
      <c r="B1304" s="4"/>
      <c r="C1304" s="4" t="s">
        <v>4433</v>
      </c>
      <c r="D1304" s="4">
        <v>50052.0</v>
      </c>
      <c r="E1304" s="5"/>
      <c r="F1304" s="4">
        <v>3.0</v>
      </c>
      <c r="G1304" s="4">
        <v>199.0</v>
      </c>
      <c r="H1304" s="4"/>
      <c r="I1304" s="4">
        <v>199.0</v>
      </c>
      <c r="J1304" s="4" t="s">
        <v>4505</v>
      </c>
      <c r="K1304" s="5">
        <f>+919113973540</f>
        <v>919113973540</v>
      </c>
      <c r="L1304" s="4" t="str">
        <f t="shared" si="1"/>
        <v>suhasinisubramani@gmail.com919113973540</v>
      </c>
      <c r="M1304" s="10" t="s">
        <v>67</v>
      </c>
      <c r="N1304" s="4" t="b">
        <v>0</v>
      </c>
      <c r="O1304" s="4" t="str">
        <f>VLOOKUP(A1304,payment_ids!D:E,2,FALSE)</f>
        <v>upi</v>
      </c>
      <c r="P1304" s="4" t="s">
        <v>69</v>
      </c>
      <c r="Q1304" s="11">
        <v>44506.69652777778</v>
      </c>
      <c r="R1304" s="4"/>
      <c r="S1304" s="12" t="s">
        <v>4435</v>
      </c>
      <c r="T1304" s="4" t="s">
        <v>2444</v>
      </c>
      <c r="U1304" s="4"/>
      <c r="V1304" s="4"/>
      <c r="W1304" s="5"/>
      <c r="X1304" s="4"/>
      <c r="Y1304" s="4"/>
      <c r="Z1304" s="5"/>
      <c r="AA1304" s="4"/>
      <c r="AB1304" s="4"/>
      <c r="AC1304" s="4"/>
      <c r="AD1304" s="5"/>
      <c r="AE1304" s="5"/>
      <c r="AF1304" s="5"/>
      <c r="AG1304" s="5"/>
      <c r="AH1304" s="5"/>
      <c r="AI1304" s="5"/>
      <c r="AJ1304" s="5"/>
      <c r="AK1304" s="5"/>
      <c r="AL1304" s="5"/>
    </row>
    <row r="1305">
      <c r="A1305" s="4" t="str">
        <f>VLOOKUP(L1305,payment_ids!C:D,2,FALSE)</f>
        <v>pay_HLtd1pDK5qXGx4</v>
      </c>
      <c r="B1305" s="4"/>
      <c r="C1305" s="4" t="s">
        <v>4433</v>
      </c>
      <c r="D1305" s="4">
        <v>50052.0</v>
      </c>
      <c r="E1305" s="5"/>
      <c r="F1305" s="4">
        <v>1.0</v>
      </c>
      <c r="G1305" s="4">
        <v>99.0</v>
      </c>
      <c r="H1305" s="4"/>
      <c r="I1305" s="4">
        <v>99.0</v>
      </c>
      <c r="J1305" s="4" t="s">
        <v>4506</v>
      </c>
      <c r="K1305" s="5">
        <f>+919988487048</f>
        <v>919988487048</v>
      </c>
      <c r="L1305" s="4" t="str">
        <f t="shared" si="1"/>
        <v>binnymurria@gmail.com919988487048</v>
      </c>
      <c r="M1305" s="10" t="s">
        <v>67</v>
      </c>
      <c r="N1305" s="4" t="b">
        <v>0</v>
      </c>
      <c r="O1305" s="4" t="str">
        <f>VLOOKUP(A1305,payment_ids!D:E,2,FALSE)</f>
        <v>upi</v>
      </c>
      <c r="P1305" s="4" t="s">
        <v>69</v>
      </c>
      <c r="Q1305" s="11">
        <v>44536.1125</v>
      </c>
      <c r="R1305" s="4"/>
      <c r="S1305" s="12" t="s">
        <v>4435</v>
      </c>
      <c r="T1305" s="4" t="s">
        <v>2444</v>
      </c>
      <c r="U1305" s="4"/>
      <c r="V1305" s="4"/>
      <c r="W1305" s="5"/>
      <c r="X1305" s="4"/>
      <c r="Y1305" s="4"/>
      <c r="Z1305" s="5"/>
      <c r="AA1305" s="4"/>
      <c r="AB1305" s="4"/>
      <c r="AC1305" s="4"/>
      <c r="AD1305" s="5"/>
      <c r="AE1305" s="5"/>
      <c r="AF1305" s="5"/>
      <c r="AG1305" s="5"/>
      <c r="AH1305" s="5"/>
      <c r="AI1305" s="5"/>
      <c r="AJ1305" s="5"/>
      <c r="AK1305" s="5"/>
      <c r="AL1305" s="5"/>
    </row>
    <row r="1306">
      <c r="A1306" s="4" t="str">
        <f>VLOOKUP(L1306,payment_ids!C:D,2,FALSE)</f>
        <v>pay_HM7254HkXrNrdp</v>
      </c>
      <c r="B1306" s="4"/>
      <c r="C1306" s="4" t="s">
        <v>4433</v>
      </c>
      <c r="D1306" s="4">
        <v>50052.0</v>
      </c>
      <c r="E1306" s="5"/>
      <c r="F1306" s="4">
        <v>3.0</v>
      </c>
      <c r="G1306" s="4">
        <v>199.0</v>
      </c>
      <c r="H1306" s="4"/>
      <c r="I1306" s="4">
        <v>199.0</v>
      </c>
      <c r="J1306" s="4" t="s">
        <v>4507</v>
      </c>
      <c r="K1306" s="5">
        <f>+918867534485</f>
        <v>918867534485</v>
      </c>
      <c r="L1306" s="4" t="str">
        <f t="shared" si="1"/>
        <v>kundekarvikram910@gmail.com918867534485</v>
      </c>
      <c r="M1306" s="10" t="s">
        <v>67</v>
      </c>
      <c r="N1306" s="4" t="b">
        <v>0</v>
      </c>
      <c r="O1306" s="4" t="str">
        <f>VLOOKUP(A1306,payment_ids!D:E,2,FALSE)</f>
        <v>upi</v>
      </c>
      <c r="P1306" s="4" t="s">
        <v>69</v>
      </c>
      <c r="Q1306" s="11">
        <v>44536.65902777778</v>
      </c>
      <c r="R1306" s="4"/>
      <c r="S1306" s="12" t="s">
        <v>4435</v>
      </c>
      <c r="T1306" s="4" t="s">
        <v>2444</v>
      </c>
      <c r="U1306" s="4"/>
      <c r="V1306" s="4"/>
      <c r="W1306" s="5"/>
      <c r="X1306" s="4"/>
      <c r="Y1306" s="4"/>
      <c r="Z1306" s="5"/>
      <c r="AA1306" s="4"/>
      <c r="AB1306" s="4"/>
      <c r="AC1306" s="4"/>
      <c r="AD1306" s="5"/>
      <c r="AE1306" s="5"/>
      <c r="AF1306" s="5"/>
      <c r="AG1306" s="5"/>
      <c r="AH1306" s="5"/>
      <c r="AI1306" s="5"/>
      <c r="AJ1306" s="5"/>
      <c r="AK1306" s="5"/>
      <c r="AL1306" s="5"/>
    </row>
    <row r="1307">
      <c r="A1307" s="4" t="str">
        <f>VLOOKUP(L1307,payment_ids!C:D,2,FALSE)</f>
        <v>pay_HMDKeBEE2u7nbb</v>
      </c>
      <c r="B1307" s="4"/>
      <c r="C1307" s="4" t="s">
        <v>4433</v>
      </c>
      <c r="D1307" s="4">
        <v>50052.0</v>
      </c>
      <c r="E1307" s="5"/>
      <c r="F1307" s="4">
        <v>1.0</v>
      </c>
      <c r="G1307" s="4">
        <v>99.0</v>
      </c>
      <c r="H1307" s="4"/>
      <c r="I1307" s="4">
        <v>99.0</v>
      </c>
      <c r="J1307" s="4" t="s">
        <v>4508</v>
      </c>
      <c r="K1307" s="5">
        <f>+919004343795</f>
        <v>919004343795</v>
      </c>
      <c r="L1307" s="4" t="str">
        <f t="shared" si="1"/>
        <v>sumit.laxane@gmail.com919004343795</v>
      </c>
      <c r="M1307" s="10" t="s">
        <v>67</v>
      </c>
      <c r="N1307" s="4" t="b">
        <v>0</v>
      </c>
      <c r="O1307" s="4" t="str">
        <f>VLOOKUP(A1307,payment_ids!D:E,2,FALSE)</f>
        <v>upi</v>
      </c>
      <c r="P1307" s="4" t="s">
        <v>69</v>
      </c>
      <c r="Q1307" s="11">
        <v>44536.915972222225</v>
      </c>
      <c r="R1307" s="4"/>
      <c r="S1307" s="12" t="s">
        <v>4435</v>
      </c>
      <c r="T1307" s="4" t="s">
        <v>2444</v>
      </c>
      <c r="U1307" s="4"/>
      <c r="V1307" s="4"/>
      <c r="W1307" s="5"/>
      <c r="X1307" s="4"/>
      <c r="Y1307" s="4"/>
      <c r="Z1307" s="5"/>
      <c r="AA1307" s="4"/>
      <c r="AB1307" s="4"/>
      <c r="AC1307" s="4"/>
      <c r="AD1307" s="5"/>
      <c r="AE1307" s="5"/>
      <c r="AF1307" s="5"/>
      <c r="AG1307" s="5"/>
      <c r="AH1307" s="5"/>
      <c r="AI1307" s="5"/>
      <c r="AJ1307" s="5"/>
      <c r="AK1307" s="5"/>
      <c r="AL1307" s="5"/>
    </row>
    <row r="1308">
      <c r="A1308" s="4" t="str">
        <f>VLOOKUP(L1308,payment_ids!C:D,2,FALSE)</f>
        <v>pay_HMELZlQ8Ijl6pR</v>
      </c>
      <c r="B1308" s="4"/>
      <c r="C1308" s="4" t="s">
        <v>4433</v>
      </c>
      <c r="D1308" s="4">
        <v>50052.0</v>
      </c>
      <c r="E1308" s="5"/>
      <c r="F1308" s="4">
        <v>1.0</v>
      </c>
      <c r="G1308" s="4">
        <v>99.0</v>
      </c>
      <c r="H1308" s="4"/>
      <c r="I1308" s="4">
        <v>99.0</v>
      </c>
      <c r="J1308" s="4" t="s">
        <v>4509</v>
      </c>
      <c r="K1308" s="5">
        <f>+918511139665</f>
        <v>918511139665</v>
      </c>
      <c r="L1308" s="4" t="str">
        <f t="shared" si="1"/>
        <v>prajinst@gmail.com918511139665</v>
      </c>
      <c r="M1308" s="10" t="s">
        <v>67</v>
      </c>
      <c r="N1308" s="4" t="b">
        <v>0</v>
      </c>
      <c r="O1308" s="4" t="str">
        <f>VLOOKUP(A1308,payment_ids!D:E,2,FALSE)</f>
        <v>upi</v>
      </c>
      <c r="P1308" s="4" t="s">
        <v>69</v>
      </c>
      <c r="Q1308" s="11">
        <v>44536.95694444444</v>
      </c>
      <c r="R1308" s="4"/>
      <c r="S1308" s="12" t="s">
        <v>4435</v>
      </c>
      <c r="T1308" s="4" t="s">
        <v>2444</v>
      </c>
      <c r="U1308" s="4"/>
      <c r="V1308" s="4"/>
      <c r="W1308" s="5"/>
      <c r="X1308" s="4"/>
      <c r="Y1308" s="4"/>
      <c r="Z1308" s="5"/>
      <c r="AA1308" s="4"/>
      <c r="AB1308" s="4"/>
      <c r="AC1308" s="4"/>
      <c r="AD1308" s="5"/>
      <c r="AE1308" s="5"/>
      <c r="AF1308" s="5"/>
      <c r="AG1308" s="5"/>
      <c r="AH1308" s="5"/>
      <c r="AI1308" s="5"/>
      <c r="AJ1308" s="5"/>
      <c r="AK1308" s="5"/>
      <c r="AL1308" s="5"/>
    </row>
    <row r="1309">
      <c r="A1309" s="4" t="str">
        <f>VLOOKUP(L1309,payment_ids!C:D,2,FALSE)</f>
        <v>pay_HMQD8eQk7q8TRH</v>
      </c>
      <c r="B1309" s="4"/>
      <c r="C1309" s="4" t="s">
        <v>4433</v>
      </c>
      <c r="D1309" s="4">
        <v>50052.0</v>
      </c>
      <c r="E1309" s="5"/>
      <c r="F1309" s="4">
        <v>6.0</v>
      </c>
      <c r="G1309" s="4">
        <v>349.0</v>
      </c>
      <c r="H1309" s="4"/>
      <c r="I1309" s="4">
        <v>349.0</v>
      </c>
      <c r="J1309" s="4" t="s">
        <v>4510</v>
      </c>
      <c r="K1309" s="5">
        <f>+919819047773</f>
        <v>919819047773</v>
      </c>
      <c r="L1309" s="4" t="str">
        <f t="shared" si="1"/>
        <v>akshugor@gmail.com919819047773</v>
      </c>
      <c r="M1309" s="10" t="s">
        <v>67</v>
      </c>
      <c r="N1309" s="4" t="b">
        <v>0</v>
      </c>
      <c r="O1309" s="4" t="str">
        <f>VLOOKUP(A1309,payment_ids!D:E,2,FALSE)</f>
        <v>card</v>
      </c>
      <c r="P1309" s="4" t="s">
        <v>69</v>
      </c>
      <c r="Q1309" s="4" t="s">
        <v>4511</v>
      </c>
      <c r="R1309" s="4"/>
      <c r="S1309" s="12" t="s">
        <v>4512</v>
      </c>
      <c r="T1309" s="4" t="s">
        <v>2444</v>
      </c>
      <c r="U1309" s="4"/>
      <c r="V1309" s="4"/>
      <c r="W1309" s="5"/>
      <c r="X1309" s="4"/>
      <c r="Y1309" s="4"/>
      <c r="Z1309" s="5"/>
      <c r="AA1309" s="4"/>
      <c r="AB1309" s="4"/>
      <c r="AC1309" s="4"/>
      <c r="AD1309" s="5"/>
      <c r="AE1309" s="5"/>
      <c r="AF1309" s="5"/>
      <c r="AG1309" s="5"/>
      <c r="AH1309" s="5"/>
      <c r="AI1309" s="5"/>
      <c r="AJ1309" s="5"/>
      <c r="AK1309" s="5"/>
      <c r="AL1309" s="5"/>
    </row>
    <row r="1310">
      <c r="A1310" s="4" t="str">
        <f>VLOOKUP(L1310,payment_ids!C:D,2,FALSE)</f>
        <v>pay_HMWudmEP7Ir5hG</v>
      </c>
      <c r="B1310" s="4"/>
      <c r="C1310" s="4" t="s">
        <v>4433</v>
      </c>
      <c r="D1310" s="4">
        <v>50052.0</v>
      </c>
      <c r="E1310" s="5"/>
      <c r="F1310" s="4">
        <v>3.0</v>
      </c>
      <c r="G1310" s="4">
        <v>199.0</v>
      </c>
      <c r="H1310" s="4"/>
      <c r="I1310" s="4">
        <v>199.0</v>
      </c>
      <c r="J1310" s="4" t="s">
        <v>4513</v>
      </c>
      <c r="K1310" s="5">
        <f>+919148591569</f>
        <v>919148591569</v>
      </c>
      <c r="L1310" s="4" t="str">
        <f t="shared" si="1"/>
        <v>rajanthangap@gmail.com919148591569</v>
      </c>
      <c r="M1310" s="10" t="s">
        <v>67</v>
      </c>
      <c r="N1310" s="4" t="b">
        <v>0</v>
      </c>
      <c r="O1310" s="4" t="str">
        <f>VLOOKUP(A1310,payment_ids!D:E,2,FALSE)</f>
        <v>upi</v>
      </c>
      <c r="P1310" s="4" t="s">
        <v>69</v>
      </c>
      <c r="Q1310" s="4" t="s">
        <v>3519</v>
      </c>
      <c r="R1310" s="4"/>
      <c r="S1310" s="12" t="s">
        <v>4435</v>
      </c>
      <c r="T1310" s="4" t="s">
        <v>2444</v>
      </c>
      <c r="U1310" s="4"/>
      <c r="V1310" s="4"/>
      <c r="W1310" s="5"/>
      <c r="X1310" s="4"/>
      <c r="Y1310" s="4"/>
      <c r="Z1310" s="5"/>
      <c r="AA1310" s="4"/>
      <c r="AB1310" s="4"/>
      <c r="AC1310" s="4"/>
      <c r="AD1310" s="5"/>
      <c r="AE1310" s="5"/>
      <c r="AF1310" s="5"/>
      <c r="AG1310" s="5"/>
      <c r="AH1310" s="5"/>
      <c r="AI1310" s="5"/>
      <c r="AJ1310" s="5"/>
      <c r="AK1310" s="5"/>
      <c r="AL1310" s="5"/>
    </row>
    <row r="1311">
      <c r="A1311" s="4" t="str">
        <f>VLOOKUP(L1311,payment_ids!C:D,2,FALSE)</f>
        <v>pay_HMbFF2wJ9VRHno</v>
      </c>
      <c r="B1311" s="4"/>
      <c r="C1311" s="4" t="s">
        <v>4433</v>
      </c>
      <c r="D1311" s="4">
        <v>50052.0</v>
      </c>
      <c r="E1311" s="5"/>
      <c r="F1311" s="4">
        <v>1.0</v>
      </c>
      <c r="G1311" s="4">
        <v>99.0</v>
      </c>
      <c r="H1311" s="4"/>
      <c r="I1311" s="4">
        <v>99.0</v>
      </c>
      <c r="J1311" s="4" t="s">
        <v>4514</v>
      </c>
      <c r="K1311" s="5">
        <f>+917045856108</f>
        <v>917045856108</v>
      </c>
      <c r="L1311" s="4" t="str">
        <f t="shared" si="1"/>
        <v>pswbpl@gmail.com917045856108</v>
      </c>
      <c r="M1311" s="10" t="s">
        <v>67</v>
      </c>
      <c r="N1311" s="4" t="b">
        <v>0</v>
      </c>
      <c r="O1311" s="4" t="str">
        <f>VLOOKUP(A1311,payment_ids!D:E,2,FALSE)</f>
        <v>wallet</v>
      </c>
      <c r="P1311" s="4" t="s">
        <v>69</v>
      </c>
      <c r="Q1311" s="4" t="s">
        <v>4515</v>
      </c>
      <c r="R1311" s="4"/>
      <c r="S1311" s="12" t="s">
        <v>4435</v>
      </c>
      <c r="T1311" s="4" t="s">
        <v>2444</v>
      </c>
      <c r="U1311" s="4"/>
      <c r="V1311" s="4"/>
      <c r="W1311" s="5"/>
      <c r="X1311" s="4"/>
      <c r="Y1311" s="4"/>
      <c r="Z1311" s="5"/>
      <c r="AA1311" s="4"/>
      <c r="AB1311" s="4"/>
      <c r="AC1311" s="4"/>
      <c r="AD1311" s="5"/>
      <c r="AE1311" s="5"/>
      <c r="AF1311" s="5"/>
      <c r="AG1311" s="5"/>
      <c r="AH1311" s="5"/>
      <c r="AI1311" s="5"/>
      <c r="AJ1311" s="5"/>
      <c r="AK1311" s="5"/>
      <c r="AL1311" s="5"/>
    </row>
    <row r="1312">
      <c r="A1312" s="4" t="str">
        <f>VLOOKUP(L1312,payment_ids!C:D,2,FALSE)</f>
        <v>pay_HMda6oKvWDFE5p</v>
      </c>
      <c r="B1312" s="4"/>
      <c r="C1312" s="4" t="s">
        <v>4433</v>
      </c>
      <c r="D1312" s="4">
        <v>50052.0</v>
      </c>
      <c r="E1312" s="5"/>
      <c r="F1312" s="4">
        <v>1.0</v>
      </c>
      <c r="G1312" s="4">
        <v>99.0</v>
      </c>
      <c r="H1312" s="4"/>
      <c r="I1312" s="4">
        <v>99.0</v>
      </c>
      <c r="J1312" s="4" t="s">
        <v>4516</v>
      </c>
      <c r="K1312" s="5">
        <f>+919899144734</f>
        <v>919899144734</v>
      </c>
      <c r="L1312" s="4" t="str">
        <f t="shared" si="1"/>
        <v>pratikachauhan1002@gmail.c919899144734</v>
      </c>
      <c r="M1312" s="10" t="s">
        <v>67</v>
      </c>
      <c r="N1312" s="4" t="b">
        <v>0</v>
      </c>
      <c r="O1312" s="4" t="str">
        <f>VLOOKUP(A1312,payment_ids!D:E,2,FALSE)</f>
        <v>upi</v>
      </c>
      <c r="P1312" s="4" t="s">
        <v>69</v>
      </c>
      <c r="Q1312" s="4" t="s">
        <v>4517</v>
      </c>
      <c r="R1312" s="4"/>
      <c r="S1312" s="12" t="s">
        <v>4435</v>
      </c>
      <c r="T1312" s="4" t="s">
        <v>2444</v>
      </c>
      <c r="U1312" s="4"/>
      <c r="V1312" s="4"/>
      <c r="W1312" s="5"/>
      <c r="X1312" s="4"/>
      <c r="Y1312" s="4"/>
      <c r="Z1312" s="5"/>
      <c r="AA1312" s="4"/>
      <c r="AB1312" s="4"/>
      <c r="AC1312" s="4"/>
      <c r="AD1312" s="5"/>
      <c r="AE1312" s="5"/>
      <c r="AF1312" s="5"/>
      <c r="AG1312" s="5"/>
      <c r="AH1312" s="5"/>
      <c r="AI1312" s="5"/>
      <c r="AJ1312" s="5"/>
      <c r="AK1312" s="5"/>
      <c r="AL1312" s="5"/>
    </row>
    <row r="1313">
      <c r="A1313" s="4" t="str">
        <f>VLOOKUP(L1313,payment_ids!C:D,2,FALSE)</f>
        <v>pay_HMe9CRC9aX04jp</v>
      </c>
      <c r="B1313" s="4"/>
      <c r="C1313" s="4" t="s">
        <v>4433</v>
      </c>
      <c r="D1313" s="4">
        <v>50052.0</v>
      </c>
      <c r="E1313" s="5"/>
      <c r="F1313" s="4">
        <v>1.0</v>
      </c>
      <c r="G1313" s="4">
        <v>99.0</v>
      </c>
      <c r="H1313" s="4"/>
      <c r="I1313" s="4">
        <v>99.0</v>
      </c>
      <c r="J1313" s="4" t="s">
        <v>4518</v>
      </c>
      <c r="K1313" s="5">
        <f>+919846684410</f>
        <v>919846684410</v>
      </c>
      <c r="L1313" s="4" t="str">
        <f t="shared" si="1"/>
        <v>sheenusivaraj@sahrdaya.ac.in919846684410</v>
      </c>
      <c r="M1313" s="10" t="s">
        <v>67</v>
      </c>
      <c r="N1313" s="4" t="b">
        <v>0</v>
      </c>
      <c r="O1313" s="4" t="str">
        <f>VLOOKUP(A1313,payment_ids!D:E,2,FALSE)</f>
        <v>upi</v>
      </c>
      <c r="P1313" s="4" t="s">
        <v>69</v>
      </c>
      <c r="Q1313" s="4" t="s">
        <v>4519</v>
      </c>
      <c r="R1313" s="4"/>
      <c r="S1313" s="12" t="s">
        <v>4435</v>
      </c>
      <c r="T1313" s="4" t="s">
        <v>2444</v>
      </c>
      <c r="U1313" s="4"/>
      <c r="V1313" s="4"/>
      <c r="W1313" s="5"/>
      <c r="X1313" s="4"/>
      <c r="Y1313" s="4"/>
      <c r="Z1313" s="5"/>
      <c r="AA1313" s="4"/>
      <c r="AB1313" s="4"/>
      <c r="AC1313" s="4"/>
      <c r="AD1313" s="5"/>
      <c r="AE1313" s="5"/>
      <c r="AF1313" s="5"/>
      <c r="AG1313" s="5"/>
      <c r="AH1313" s="5"/>
      <c r="AI1313" s="5"/>
      <c r="AJ1313" s="5"/>
      <c r="AK1313" s="5"/>
      <c r="AL1313" s="5"/>
    </row>
    <row r="1314">
      <c r="A1314" s="4" t="str">
        <f>VLOOKUP(L1314,payment_ids!C:D,2,FALSE)</f>
        <v>pay_HMnnDoT0MuWZUX</v>
      </c>
      <c r="B1314" s="4"/>
      <c r="C1314" s="4" t="s">
        <v>4433</v>
      </c>
      <c r="D1314" s="4">
        <v>50052.0</v>
      </c>
      <c r="E1314" s="5"/>
      <c r="F1314" s="4">
        <v>3.0</v>
      </c>
      <c r="G1314" s="4">
        <v>199.0</v>
      </c>
      <c r="H1314" s="4"/>
      <c r="I1314" s="4">
        <v>199.0</v>
      </c>
      <c r="J1314" s="4" t="s">
        <v>4520</v>
      </c>
      <c r="K1314" s="5">
        <f>+917975250261</f>
        <v>917975250261</v>
      </c>
      <c r="L1314" s="4" t="str">
        <f t="shared" si="1"/>
        <v>arbhavani@gmail.com917975250261</v>
      </c>
      <c r="M1314" s="10" t="s">
        <v>67</v>
      </c>
      <c r="N1314" s="4" t="b">
        <v>0</v>
      </c>
      <c r="O1314" s="4" t="str">
        <f>VLOOKUP(A1314,payment_ids!D:E,2,FALSE)</f>
        <v>upi</v>
      </c>
      <c r="P1314" s="4" t="s">
        <v>69</v>
      </c>
      <c r="Q1314" s="4" t="s">
        <v>4521</v>
      </c>
      <c r="R1314" s="4"/>
      <c r="S1314" s="12" t="s">
        <v>4435</v>
      </c>
      <c r="T1314" s="4" t="s">
        <v>2444</v>
      </c>
      <c r="U1314" s="4"/>
      <c r="V1314" s="4"/>
      <c r="W1314" s="5"/>
      <c r="X1314" s="4"/>
      <c r="Y1314" s="4"/>
      <c r="Z1314" s="5"/>
      <c r="AA1314" s="4"/>
      <c r="AB1314" s="4"/>
      <c r="AC1314" s="4"/>
      <c r="AD1314" s="5"/>
      <c r="AE1314" s="5"/>
      <c r="AF1314" s="5"/>
      <c r="AG1314" s="5"/>
      <c r="AH1314" s="5"/>
      <c r="AI1314" s="5"/>
      <c r="AJ1314" s="5"/>
      <c r="AK1314" s="5"/>
      <c r="AL1314" s="5"/>
    </row>
    <row r="1315">
      <c r="A1315" s="4" t="str">
        <f>VLOOKUP(L1315,payment_ids!C:D,2,FALSE)</f>
        <v>pay_HN2W9cBtedtH3C</v>
      </c>
      <c r="B1315" s="4"/>
      <c r="C1315" s="4" t="s">
        <v>4433</v>
      </c>
      <c r="D1315" s="4">
        <v>50052.0</v>
      </c>
      <c r="E1315" s="5"/>
      <c r="F1315" s="4">
        <v>1.0</v>
      </c>
      <c r="G1315" s="4">
        <v>99.0</v>
      </c>
      <c r="H1315" s="4"/>
      <c r="I1315" s="4">
        <v>99.0</v>
      </c>
      <c r="J1315" s="4" t="s">
        <v>4522</v>
      </c>
      <c r="K1315" s="5">
        <f>+917023222297</f>
        <v>917023222297</v>
      </c>
      <c r="L1315" s="4" t="str">
        <f t="shared" si="1"/>
        <v>yuktasgi@gmail.com917023222297</v>
      </c>
      <c r="M1315" s="10" t="s">
        <v>67</v>
      </c>
      <c r="N1315" s="4" t="b">
        <v>0</v>
      </c>
      <c r="O1315" s="4" t="str">
        <f>VLOOKUP(A1315,payment_ids!D:E,2,FALSE)</f>
        <v>upi</v>
      </c>
      <c r="P1315" s="4" t="s">
        <v>69</v>
      </c>
      <c r="Q1315" s="4" t="s">
        <v>4523</v>
      </c>
      <c r="R1315" s="4"/>
      <c r="S1315" s="12" t="s">
        <v>4435</v>
      </c>
      <c r="T1315" s="4" t="s">
        <v>2444</v>
      </c>
      <c r="U1315" s="4"/>
      <c r="V1315" s="4"/>
      <c r="W1315" s="5"/>
      <c r="X1315" s="4"/>
      <c r="Y1315" s="4"/>
      <c r="Z1315" s="5"/>
      <c r="AA1315" s="4"/>
      <c r="AB1315" s="4"/>
      <c r="AC1315" s="4"/>
      <c r="AD1315" s="5"/>
      <c r="AE1315" s="5"/>
      <c r="AF1315" s="5"/>
      <c r="AG1315" s="5"/>
      <c r="AH1315" s="5"/>
      <c r="AI1315" s="5"/>
      <c r="AJ1315" s="5"/>
      <c r="AK1315" s="5"/>
      <c r="AL1315" s="5"/>
    </row>
    <row r="1316">
      <c r="A1316" s="4" t="str">
        <f>VLOOKUP(L1316,payment_ids!C:D,2,FALSE)</f>
        <v>pay_HNJyJufgrugzUz</v>
      </c>
      <c r="B1316" s="4"/>
      <c r="C1316" s="4" t="s">
        <v>4433</v>
      </c>
      <c r="D1316" s="4">
        <v>50052.0</v>
      </c>
      <c r="E1316" s="5"/>
      <c r="F1316" s="4">
        <v>1.0</v>
      </c>
      <c r="G1316" s="4">
        <v>99.0</v>
      </c>
      <c r="H1316" s="4"/>
      <c r="I1316" s="4">
        <v>99.0</v>
      </c>
      <c r="J1316" s="4" t="s">
        <v>4524</v>
      </c>
      <c r="K1316" s="5">
        <f>+919010567759</f>
        <v>919010567759</v>
      </c>
      <c r="L1316" s="4" t="str">
        <f t="shared" si="1"/>
        <v>kalpanareddy27594@gmail.com919010567759</v>
      </c>
      <c r="M1316" s="10" t="s">
        <v>67</v>
      </c>
      <c r="N1316" s="4" t="b">
        <v>0</v>
      </c>
      <c r="O1316" s="4" t="str">
        <f>VLOOKUP(A1316,payment_ids!D:E,2,FALSE)</f>
        <v>upi</v>
      </c>
      <c r="P1316" s="4" t="s">
        <v>69</v>
      </c>
      <c r="Q1316" s="4" t="s">
        <v>4525</v>
      </c>
      <c r="R1316" s="4"/>
      <c r="S1316" s="12" t="s">
        <v>4435</v>
      </c>
      <c r="T1316" s="4" t="s">
        <v>2444</v>
      </c>
      <c r="U1316" s="4"/>
      <c r="V1316" s="4"/>
      <c r="W1316" s="5"/>
      <c r="X1316" s="4"/>
      <c r="Y1316" s="4"/>
      <c r="Z1316" s="5"/>
      <c r="AA1316" s="4"/>
      <c r="AB1316" s="4"/>
      <c r="AC1316" s="4"/>
      <c r="AD1316" s="5"/>
      <c r="AE1316" s="5"/>
      <c r="AF1316" s="5"/>
      <c r="AG1316" s="5"/>
      <c r="AH1316" s="5"/>
      <c r="AI1316" s="5"/>
      <c r="AJ1316" s="5"/>
      <c r="AK1316" s="5"/>
      <c r="AL1316" s="5"/>
    </row>
    <row r="1317">
      <c r="A1317" s="4" t="str">
        <f>VLOOKUP(L1317,payment_ids!C:D,2,FALSE)</f>
        <v>pay_HNZPvvVXOZobpn</v>
      </c>
      <c r="B1317" s="4"/>
      <c r="C1317" s="4" t="s">
        <v>4433</v>
      </c>
      <c r="D1317" s="4">
        <v>50052.0</v>
      </c>
      <c r="E1317" s="5"/>
      <c r="F1317" s="4">
        <v>3.0</v>
      </c>
      <c r="G1317" s="4">
        <v>199.0</v>
      </c>
      <c r="H1317" s="4"/>
      <c r="I1317" s="4">
        <v>199.0</v>
      </c>
      <c r="J1317" s="4" t="s">
        <v>4526</v>
      </c>
      <c r="K1317" s="5">
        <f>+918019010917</f>
        <v>918019010917</v>
      </c>
      <c r="L1317" s="4" t="str">
        <f t="shared" si="1"/>
        <v>shirisha.kurra38@gmail.com918019010917</v>
      </c>
      <c r="M1317" s="10" t="s">
        <v>67</v>
      </c>
      <c r="N1317" s="4" t="b">
        <v>0</v>
      </c>
      <c r="O1317" s="4" t="str">
        <f>VLOOKUP(A1317,payment_ids!D:E,2,FALSE)</f>
        <v>upi</v>
      </c>
      <c r="P1317" s="4" t="s">
        <v>69</v>
      </c>
      <c r="Q1317" s="4" t="s">
        <v>4527</v>
      </c>
      <c r="R1317" s="4"/>
      <c r="S1317" s="12" t="s">
        <v>4435</v>
      </c>
      <c r="T1317" s="4" t="s">
        <v>2444</v>
      </c>
      <c r="U1317" s="4"/>
      <c r="V1317" s="4"/>
      <c r="W1317" s="5"/>
      <c r="X1317" s="4"/>
      <c r="Y1317" s="4"/>
      <c r="Z1317" s="5"/>
      <c r="AA1317" s="4"/>
      <c r="AB1317" s="4"/>
      <c r="AC1317" s="4"/>
      <c r="AD1317" s="5"/>
      <c r="AE1317" s="5"/>
      <c r="AF1317" s="5"/>
      <c r="AG1317" s="5"/>
      <c r="AH1317" s="5"/>
      <c r="AI1317" s="5"/>
      <c r="AJ1317" s="5"/>
      <c r="AK1317" s="5"/>
      <c r="AL1317" s="5"/>
    </row>
    <row r="1318">
      <c r="A1318" s="4" t="str">
        <f>VLOOKUP(L1318,payment_ids!C:D,2,FALSE)</f>
        <v>pay_HNdqXicjjm13wK</v>
      </c>
      <c r="B1318" s="4"/>
      <c r="C1318" s="4" t="s">
        <v>4433</v>
      </c>
      <c r="D1318" s="4">
        <v>50052.0</v>
      </c>
      <c r="E1318" s="5"/>
      <c r="F1318" s="4">
        <v>1.0</v>
      </c>
      <c r="G1318" s="4">
        <v>99.0</v>
      </c>
      <c r="H1318" s="4"/>
      <c r="I1318" s="4">
        <v>99.0</v>
      </c>
      <c r="J1318" s="4" t="s">
        <v>4528</v>
      </c>
      <c r="K1318" s="5">
        <f>+919704508777</f>
        <v>919704508777</v>
      </c>
      <c r="L1318" s="4" t="str">
        <f t="shared" si="1"/>
        <v>sunraysalapati@yahoo.com919704508777</v>
      </c>
      <c r="M1318" s="10" t="s">
        <v>67</v>
      </c>
      <c r="N1318" s="4" t="b">
        <v>0</v>
      </c>
      <c r="O1318" s="4" t="str">
        <f>VLOOKUP(A1318,payment_ids!D:E,2,FALSE)</f>
        <v>upi</v>
      </c>
      <c r="P1318" s="4" t="s">
        <v>69</v>
      </c>
      <c r="Q1318" s="4" t="s">
        <v>4529</v>
      </c>
      <c r="R1318" s="4"/>
      <c r="S1318" s="12" t="s">
        <v>4435</v>
      </c>
      <c r="T1318" s="4" t="s">
        <v>2444</v>
      </c>
      <c r="U1318" s="4"/>
      <c r="V1318" s="4"/>
      <c r="W1318" s="5"/>
      <c r="X1318" s="4"/>
      <c r="Y1318" s="4"/>
      <c r="Z1318" s="5"/>
      <c r="AA1318" s="4"/>
      <c r="AB1318" s="4"/>
      <c r="AC1318" s="4"/>
      <c r="AD1318" s="5"/>
      <c r="AE1318" s="5"/>
      <c r="AF1318" s="5"/>
      <c r="AG1318" s="5"/>
      <c r="AH1318" s="5"/>
      <c r="AI1318" s="5"/>
      <c r="AJ1318" s="5"/>
      <c r="AK1318" s="5"/>
      <c r="AL1318" s="5"/>
    </row>
    <row r="1319">
      <c r="A1319" s="4" t="str">
        <f>VLOOKUP(L1319,payment_ids!C:D,2,FALSE)</f>
        <v>pay_HOAazpPugVneQN</v>
      </c>
      <c r="B1319" s="4"/>
      <c r="C1319" s="4" t="s">
        <v>4433</v>
      </c>
      <c r="D1319" s="4">
        <v>50052.0</v>
      </c>
      <c r="E1319" s="5"/>
      <c r="F1319" s="4">
        <v>1.0</v>
      </c>
      <c r="G1319" s="4">
        <v>99.0</v>
      </c>
      <c r="H1319" s="4"/>
      <c r="I1319" s="4">
        <v>99.0</v>
      </c>
      <c r="J1319" s="4" t="s">
        <v>4530</v>
      </c>
      <c r="K1319" s="5">
        <f>+917026719290</f>
        <v>917026719290</v>
      </c>
      <c r="L1319" s="4" t="str">
        <f t="shared" si="1"/>
        <v>sharantejashivakumar@gmail.com917026719290</v>
      </c>
      <c r="M1319" s="10" t="s">
        <v>67</v>
      </c>
      <c r="N1319" s="4" t="b">
        <v>0</v>
      </c>
      <c r="O1319" s="4" t="str">
        <f>VLOOKUP(A1319,payment_ids!D:E,2,FALSE)</f>
        <v>upi</v>
      </c>
      <c r="P1319" s="4" t="s">
        <v>69</v>
      </c>
      <c r="Q1319" s="4" t="s">
        <v>4531</v>
      </c>
      <c r="R1319" s="4"/>
      <c r="S1319" s="12" t="s">
        <v>4512</v>
      </c>
      <c r="T1319" s="4" t="s">
        <v>2444</v>
      </c>
      <c r="U1319" s="4"/>
      <c r="V1319" s="4"/>
      <c r="W1319" s="5"/>
      <c r="X1319" s="4"/>
      <c r="Y1319" s="4"/>
      <c r="Z1319" s="5"/>
      <c r="AA1319" s="4"/>
      <c r="AB1319" s="4"/>
      <c r="AC1319" s="4"/>
      <c r="AD1319" s="5"/>
      <c r="AE1319" s="5"/>
      <c r="AF1319" s="5"/>
      <c r="AG1319" s="5"/>
      <c r="AH1319" s="5"/>
      <c r="AI1319" s="5"/>
      <c r="AJ1319" s="5"/>
      <c r="AK1319" s="5"/>
      <c r="AL1319" s="5"/>
    </row>
    <row r="1320">
      <c r="A1320" s="4" t="str">
        <f>VLOOKUP(L1320,payment_ids!C:D,2,FALSE)</f>
        <v>pay_HML9NS2kfdYDvv</v>
      </c>
      <c r="B1320" s="4"/>
      <c r="C1320" s="4" t="s">
        <v>4433</v>
      </c>
      <c r="D1320" s="4">
        <v>50052.0</v>
      </c>
      <c r="E1320" s="5"/>
      <c r="F1320" s="4">
        <v>1.0</v>
      </c>
      <c r="G1320" s="4">
        <v>99.0</v>
      </c>
      <c r="H1320" s="4"/>
      <c r="I1320" s="4">
        <v>99.0</v>
      </c>
      <c r="J1320" s="4" t="s">
        <v>4532</v>
      </c>
      <c r="K1320" s="5">
        <f>+919829060727</f>
        <v>919829060727</v>
      </c>
      <c r="L1320" s="4" t="str">
        <f t="shared" si="1"/>
        <v>sahilsinghal@gmail.com919829060727</v>
      </c>
      <c r="M1320" s="10" t="s">
        <v>67</v>
      </c>
      <c r="N1320" s="4" t="b">
        <v>0</v>
      </c>
      <c r="O1320" s="4" t="str">
        <f>VLOOKUP(A1320,payment_ids!D:E,2,FALSE)</f>
        <v>upi</v>
      </c>
      <c r="P1320" s="4" t="s">
        <v>69</v>
      </c>
      <c r="Q1320" s="4" t="s">
        <v>4533</v>
      </c>
      <c r="R1320" s="4"/>
      <c r="S1320" s="12" t="s">
        <v>4435</v>
      </c>
      <c r="T1320" s="4" t="s">
        <v>2444</v>
      </c>
      <c r="U1320" s="4"/>
      <c r="V1320" s="4"/>
      <c r="W1320" s="5"/>
      <c r="X1320" s="4"/>
      <c r="Y1320" s="4"/>
      <c r="Z1320" s="5"/>
      <c r="AA1320" s="4"/>
      <c r="AB1320" s="4"/>
      <c r="AC1320" s="4"/>
      <c r="AD1320" s="5"/>
      <c r="AE1320" s="5"/>
      <c r="AF1320" s="5"/>
      <c r="AG1320" s="5"/>
      <c r="AH1320" s="5"/>
      <c r="AI1320" s="5"/>
      <c r="AJ1320" s="5"/>
      <c r="AK1320" s="5"/>
      <c r="AL1320" s="5"/>
    </row>
    <row r="1321">
      <c r="A1321" s="4" t="str">
        <f>VLOOKUP(L1321,payment_ids!C:D,2,FALSE)</f>
        <v>pay_HOQ5oFdh4mm0eI</v>
      </c>
      <c r="B1321" s="4"/>
      <c r="C1321" s="4" t="s">
        <v>4433</v>
      </c>
      <c r="D1321" s="4">
        <v>50052.0</v>
      </c>
      <c r="E1321" s="5"/>
      <c r="F1321" s="4">
        <v>3.0</v>
      </c>
      <c r="G1321" s="4">
        <v>199.0</v>
      </c>
      <c r="H1321" s="4"/>
      <c r="I1321" s="4">
        <v>199.0</v>
      </c>
      <c r="J1321" s="4" t="s">
        <v>4534</v>
      </c>
      <c r="K1321" s="5">
        <f>+919985866354</f>
        <v>919985866354</v>
      </c>
      <c r="L1321" s="4" t="str">
        <f t="shared" si="1"/>
        <v>farhazareen@yahoo.com919985866354</v>
      </c>
      <c r="M1321" s="10" t="s">
        <v>67</v>
      </c>
      <c r="N1321" s="4" t="b">
        <v>0</v>
      </c>
      <c r="O1321" s="4" t="str">
        <f>VLOOKUP(A1321,payment_ids!D:E,2,FALSE)</f>
        <v>upi</v>
      </c>
      <c r="P1321" s="4" t="s">
        <v>69</v>
      </c>
      <c r="Q1321" s="4" t="s">
        <v>4535</v>
      </c>
      <c r="R1321" s="4"/>
      <c r="S1321" s="12" t="s">
        <v>4435</v>
      </c>
      <c r="T1321" s="4" t="s">
        <v>2444</v>
      </c>
      <c r="U1321" s="4"/>
      <c r="V1321" s="4"/>
      <c r="W1321" s="5"/>
      <c r="X1321" s="4"/>
      <c r="Y1321" s="4"/>
      <c r="Z1321" s="5"/>
      <c r="AA1321" s="4"/>
      <c r="AB1321" s="4"/>
      <c r="AC1321" s="4"/>
      <c r="AD1321" s="5"/>
      <c r="AE1321" s="5"/>
      <c r="AF1321" s="5"/>
      <c r="AG1321" s="5"/>
      <c r="AH1321" s="5"/>
      <c r="AI1321" s="5"/>
      <c r="AJ1321" s="5"/>
      <c r="AK1321" s="5"/>
      <c r="AL1321" s="5"/>
    </row>
    <row r="1322">
      <c r="A1322" s="4" t="str">
        <f>VLOOKUP(L1322,payment_ids!C:D,2,FALSE)</f>
        <v>pay_HOm4aaN95qGUzu</v>
      </c>
      <c r="B1322" s="4"/>
      <c r="C1322" s="4" t="s">
        <v>4433</v>
      </c>
      <c r="D1322" s="4">
        <v>50052.0</v>
      </c>
      <c r="E1322" s="5"/>
      <c r="F1322" s="4">
        <v>3.0</v>
      </c>
      <c r="G1322" s="4">
        <v>199.0</v>
      </c>
      <c r="H1322" s="4"/>
      <c r="I1322" s="4">
        <v>199.0</v>
      </c>
      <c r="J1322" s="4" t="s">
        <v>4536</v>
      </c>
      <c r="K1322" s="5">
        <f>+917416142423</f>
        <v>917416142423</v>
      </c>
      <c r="L1322" s="4" t="str">
        <f t="shared" si="1"/>
        <v>anirudhshastry77@gmail.com917416142423</v>
      </c>
      <c r="M1322" s="10" t="s">
        <v>67</v>
      </c>
      <c r="N1322" s="4" t="b">
        <v>0</v>
      </c>
      <c r="O1322" s="4" t="str">
        <f>VLOOKUP(A1322,payment_ids!D:E,2,FALSE)</f>
        <v>upi</v>
      </c>
      <c r="P1322" s="4" t="s">
        <v>69</v>
      </c>
      <c r="Q1322" s="4" t="s">
        <v>4537</v>
      </c>
      <c r="R1322" s="4"/>
      <c r="S1322" s="12" t="s">
        <v>4435</v>
      </c>
      <c r="T1322" s="4" t="s">
        <v>2444</v>
      </c>
      <c r="U1322" s="4"/>
      <c r="V1322" s="4"/>
      <c r="W1322" s="5"/>
      <c r="X1322" s="4"/>
      <c r="Y1322" s="4"/>
      <c r="Z1322" s="5"/>
      <c r="AA1322" s="4"/>
      <c r="AB1322" s="4"/>
      <c r="AC1322" s="4"/>
      <c r="AD1322" s="5"/>
      <c r="AE1322" s="5"/>
      <c r="AF1322" s="5"/>
      <c r="AG1322" s="5"/>
      <c r="AH1322" s="5"/>
      <c r="AI1322" s="5"/>
      <c r="AJ1322" s="5"/>
      <c r="AK1322" s="5"/>
      <c r="AL1322" s="5"/>
    </row>
    <row r="1323">
      <c r="A1323" s="4" t="str">
        <f>VLOOKUP(L1323,payment_ids!C:D,2,FALSE)</f>
        <v>pay_HOooSJT2MoXa2O</v>
      </c>
      <c r="B1323" s="4"/>
      <c r="C1323" s="4" t="s">
        <v>4433</v>
      </c>
      <c r="D1323" s="4">
        <v>50052.0</v>
      </c>
      <c r="E1323" s="5"/>
      <c r="F1323" s="4">
        <v>3.0</v>
      </c>
      <c r="G1323" s="4">
        <v>199.0</v>
      </c>
      <c r="H1323" s="4"/>
      <c r="I1323" s="4">
        <v>199.0</v>
      </c>
      <c r="J1323" s="4" t="s">
        <v>4538</v>
      </c>
      <c r="K1323" s="5">
        <f>+919885155515</f>
        <v>919885155515</v>
      </c>
      <c r="L1323" s="4" t="str">
        <f t="shared" si="1"/>
        <v>shazia.sayeed@gmail.com919885155515</v>
      </c>
      <c r="M1323" s="10" t="s">
        <v>67</v>
      </c>
      <c r="N1323" s="4" t="b">
        <v>0</v>
      </c>
      <c r="O1323" s="4" t="str">
        <f>VLOOKUP(A1323,payment_ids!D:E,2,FALSE)</f>
        <v>netbanking</v>
      </c>
      <c r="P1323" s="4" t="s">
        <v>69</v>
      </c>
      <c r="Q1323" s="4" t="s">
        <v>4539</v>
      </c>
      <c r="R1323" s="4"/>
      <c r="S1323" s="12" t="s">
        <v>4512</v>
      </c>
      <c r="T1323" s="4" t="s">
        <v>2444</v>
      </c>
      <c r="U1323" s="4"/>
      <c r="V1323" s="4"/>
      <c r="W1323" s="5"/>
      <c r="X1323" s="4"/>
      <c r="Y1323" s="4"/>
      <c r="Z1323" s="5"/>
      <c r="AA1323" s="4"/>
      <c r="AB1323" s="4"/>
      <c r="AC1323" s="4"/>
      <c r="AD1323" s="5"/>
      <c r="AE1323" s="5"/>
      <c r="AF1323" s="5"/>
      <c r="AG1323" s="5"/>
      <c r="AH1323" s="5"/>
      <c r="AI1323" s="5"/>
      <c r="AJ1323" s="5"/>
      <c r="AK1323" s="5"/>
      <c r="AL1323" s="5"/>
    </row>
    <row r="1324">
      <c r="A1324" s="4" t="str">
        <f>VLOOKUP(L1324,payment_ids!C:D,2,FALSE)</f>
        <v>pay_HOpj2ZVygag8sT</v>
      </c>
      <c r="B1324" s="4"/>
      <c r="C1324" s="4" t="s">
        <v>4433</v>
      </c>
      <c r="D1324" s="4">
        <v>50052.0</v>
      </c>
      <c r="E1324" s="5"/>
      <c r="F1324" s="4">
        <v>1.0</v>
      </c>
      <c r="G1324" s="4">
        <v>99.0</v>
      </c>
      <c r="H1324" s="4"/>
      <c r="I1324" s="4">
        <v>99.0</v>
      </c>
      <c r="J1324" s="4" t="s">
        <v>4540</v>
      </c>
      <c r="K1324" s="5">
        <f>+919663152234</f>
        <v>919663152234</v>
      </c>
      <c r="L1324" s="4" t="str">
        <f t="shared" si="1"/>
        <v>namitha.vir@gmail.com919663152234</v>
      </c>
      <c r="M1324" s="10" t="s">
        <v>67</v>
      </c>
      <c r="N1324" s="4" t="b">
        <v>0</v>
      </c>
      <c r="O1324" s="4" t="str">
        <f>VLOOKUP(A1324,payment_ids!D:E,2,FALSE)</f>
        <v>upi</v>
      </c>
      <c r="P1324" s="4" t="s">
        <v>69</v>
      </c>
      <c r="Q1324" s="4" t="s">
        <v>4541</v>
      </c>
      <c r="R1324" s="4"/>
      <c r="S1324" s="12" t="s">
        <v>4435</v>
      </c>
      <c r="T1324" s="4" t="s">
        <v>2444</v>
      </c>
      <c r="U1324" s="4"/>
      <c r="V1324" s="4"/>
      <c r="W1324" s="5"/>
      <c r="X1324" s="4"/>
      <c r="Y1324" s="4"/>
      <c r="Z1324" s="5"/>
      <c r="AA1324" s="4"/>
      <c r="AB1324" s="4"/>
      <c r="AC1324" s="4"/>
      <c r="AD1324" s="5"/>
      <c r="AE1324" s="5"/>
      <c r="AF1324" s="5"/>
      <c r="AG1324" s="5"/>
      <c r="AH1324" s="5"/>
      <c r="AI1324" s="5"/>
      <c r="AJ1324" s="5"/>
      <c r="AK1324" s="5"/>
      <c r="AL1324" s="5"/>
    </row>
    <row r="1325">
      <c r="A1325" s="4" t="str">
        <f>VLOOKUP(L1325,payment_ids!C:D,2,FALSE)</f>
        <v>pay_HOywiNN2LHjd2e</v>
      </c>
      <c r="B1325" s="4"/>
      <c r="C1325" s="4" t="s">
        <v>4433</v>
      </c>
      <c r="D1325" s="4">
        <v>50052.0</v>
      </c>
      <c r="E1325" s="5"/>
      <c r="F1325" s="4">
        <v>3.0</v>
      </c>
      <c r="G1325" s="4">
        <v>199.0</v>
      </c>
      <c r="H1325" s="4"/>
      <c r="I1325" s="4">
        <v>199.0</v>
      </c>
      <c r="J1325" s="4" t="s">
        <v>4542</v>
      </c>
      <c r="K1325" s="5">
        <f>+918019021901</f>
        <v>918019021901</v>
      </c>
      <c r="L1325" s="4" t="str">
        <f t="shared" si="1"/>
        <v>geeta23002@gmail.com918019021901</v>
      </c>
      <c r="M1325" s="10" t="s">
        <v>67</v>
      </c>
      <c r="N1325" s="4" t="b">
        <v>0</v>
      </c>
      <c r="O1325" s="4" t="str">
        <f>VLOOKUP(A1325,payment_ids!D:E,2,FALSE)</f>
        <v>card</v>
      </c>
      <c r="P1325" s="4" t="s">
        <v>69</v>
      </c>
      <c r="Q1325" s="4" t="s">
        <v>4543</v>
      </c>
      <c r="R1325" s="4"/>
      <c r="S1325" s="12" t="s">
        <v>4512</v>
      </c>
      <c r="T1325" s="4" t="s">
        <v>2444</v>
      </c>
      <c r="U1325" s="4"/>
      <c r="V1325" s="4"/>
      <c r="W1325" s="5"/>
      <c r="X1325" s="4"/>
      <c r="Y1325" s="4"/>
      <c r="Z1325" s="5"/>
      <c r="AA1325" s="4"/>
      <c r="AB1325" s="4"/>
      <c r="AC1325" s="4"/>
      <c r="AD1325" s="5"/>
      <c r="AE1325" s="5"/>
      <c r="AF1325" s="5"/>
      <c r="AG1325" s="5"/>
      <c r="AH1325" s="5"/>
      <c r="AI1325" s="5"/>
      <c r="AJ1325" s="5"/>
      <c r="AK1325" s="5"/>
      <c r="AL1325" s="5"/>
    </row>
    <row r="1326">
      <c r="A1326" s="4" t="str">
        <f>VLOOKUP(L1326,payment_ids!C:D,2,FALSE)</f>
        <v>pay_HPD8Fp1pI1SE5r</v>
      </c>
      <c r="B1326" s="4"/>
      <c r="C1326" s="4" t="s">
        <v>4433</v>
      </c>
      <c r="D1326" s="4">
        <v>50052.0</v>
      </c>
      <c r="E1326" s="5"/>
      <c r="F1326" s="4">
        <v>1.0</v>
      </c>
      <c r="G1326" s="4">
        <v>99.0</v>
      </c>
      <c r="H1326" s="4"/>
      <c r="I1326" s="4">
        <v>99.0</v>
      </c>
      <c r="J1326" s="4" t="s">
        <v>4544</v>
      </c>
      <c r="K1326" s="5">
        <f>+919903196660</f>
        <v>919903196660</v>
      </c>
      <c r="L1326" s="4" t="str">
        <f t="shared" si="1"/>
        <v>datta.rup1311@gmail.com919903196660</v>
      </c>
      <c r="M1326" s="10" t="s">
        <v>67</v>
      </c>
      <c r="N1326" s="4" t="b">
        <v>0</v>
      </c>
      <c r="O1326" s="4" t="str">
        <f>VLOOKUP(A1326,payment_ids!D:E,2,FALSE)</f>
        <v>card</v>
      </c>
      <c r="P1326" s="4" t="s">
        <v>69</v>
      </c>
      <c r="Q1326" s="4" t="s">
        <v>4545</v>
      </c>
      <c r="R1326" s="4"/>
      <c r="S1326" s="12" t="s">
        <v>4435</v>
      </c>
      <c r="T1326" s="4" t="s">
        <v>2444</v>
      </c>
      <c r="U1326" s="4"/>
      <c r="V1326" s="4"/>
      <c r="W1326" s="5"/>
      <c r="X1326" s="4"/>
      <c r="Y1326" s="4"/>
      <c r="Z1326" s="5"/>
      <c r="AA1326" s="4"/>
      <c r="AB1326" s="4"/>
      <c r="AC1326" s="4"/>
      <c r="AD1326" s="5"/>
      <c r="AE1326" s="5"/>
      <c r="AF1326" s="5"/>
      <c r="AG1326" s="5"/>
      <c r="AH1326" s="5"/>
      <c r="AI1326" s="5"/>
      <c r="AJ1326" s="5"/>
      <c r="AK1326" s="5"/>
      <c r="AL1326" s="5"/>
    </row>
    <row r="1327">
      <c r="A1327" s="4" t="str">
        <f>VLOOKUP(L1327,payment_ids!C:D,2,FALSE)</f>
        <v>pay_HPNmCrnasVjpoT</v>
      </c>
      <c r="B1327" s="4"/>
      <c r="C1327" s="4" t="s">
        <v>4433</v>
      </c>
      <c r="D1327" s="4">
        <v>50052.0</v>
      </c>
      <c r="E1327" s="5"/>
      <c r="F1327" s="4">
        <v>1.0</v>
      </c>
      <c r="G1327" s="4">
        <v>99.0</v>
      </c>
      <c r="H1327" s="4"/>
      <c r="I1327" s="4">
        <v>99.0</v>
      </c>
      <c r="J1327" s="4" t="s">
        <v>4546</v>
      </c>
      <c r="K1327" s="5">
        <f>+919949236255</f>
        <v>919949236255</v>
      </c>
      <c r="L1327" s="4" t="str">
        <f t="shared" si="1"/>
        <v>swarnarg1974@gmail.com919949236255</v>
      </c>
      <c r="M1327" s="10" t="s">
        <v>67</v>
      </c>
      <c r="N1327" s="4" t="b">
        <v>0</v>
      </c>
      <c r="O1327" s="4" t="str">
        <f>VLOOKUP(A1327,payment_ids!D:E,2,FALSE)</f>
        <v>upi</v>
      </c>
      <c r="P1327" s="4" t="s">
        <v>69</v>
      </c>
      <c r="Q1327" s="4" t="s">
        <v>4547</v>
      </c>
      <c r="R1327" s="4"/>
      <c r="S1327" s="12" t="s">
        <v>4435</v>
      </c>
      <c r="T1327" s="4" t="s">
        <v>2444</v>
      </c>
      <c r="U1327" s="4"/>
      <c r="V1327" s="4"/>
      <c r="W1327" s="5"/>
      <c r="X1327" s="4"/>
      <c r="Y1327" s="4"/>
      <c r="Z1327" s="5"/>
      <c r="AA1327" s="4"/>
      <c r="AB1327" s="4"/>
      <c r="AC1327" s="4"/>
      <c r="AD1327" s="5"/>
      <c r="AE1327" s="5"/>
      <c r="AF1327" s="5"/>
      <c r="AG1327" s="5"/>
      <c r="AH1327" s="5"/>
      <c r="AI1327" s="5"/>
      <c r="AJ1327" s="5"/>
      <c r="AK1327" s="5"/>
      <c r="AL1327" s="5"/>
    </row>
    <row r="1328">
      <c r="A1328" s="4" t="str">
        <f>VLOOKUP(L1328,payment_ids!C:D,2,FALSE)</f>
        <v>pay_HPWiD1yDlKRdhk</v>
      </c>
      <c r="B1328" s="4"/>
      <c r="C1328" s="4" t="s">
        <v>4433</v>
      </c>
      <c r="D1328" s="4">
        <v>50052.0</v>
      </c>
      <c r="E1328" s="5"/>
      <c r="F1328" s="4">
        <v>1.0</v>
      </c>
      <c r="G1328" s="4">
        <v>99.0</v>
      </c>
      <c r="H1328" s="4"/>
      <c r="I1328" s="4">
        <v>99.0</v>
      </c>
      <c r="J1328" s="4" t="s">
        <v>4548</v>
      </c>
      <c r="K1328" s="5">
        <f>+919945711551</f>
        <v>919945711551</v>
      </c>
      <c r="L1328" s="4" t="str">
        <f t="shared" si="1"/>
        <v>ayelin@thebravenewworld.com919945711551</v>
      </c>
      <c r="M1328" s="10" t="s">
        <v>67</v>
      </c>
      <c r="N1328" s="4" t="b">
        <v>0</v>
      </c>
      <c r="O1328" s="4" t="str">
        <f>VLOOKUP(A1328,payment_ids!D:E,2,FALSE)</f>
        <v>upi</v>
      </c>
      <c r="P1328" s="4" t="s">
        <v>69</v>
      </c>
      <c r="Q1328" s="4" t="s">
        <v>4549</v>
      </c>
      <c r="R1328" s="4"/>
      <c r="S1328" s="12" t="s">
        <v>4435</v>
      </c>
      <c r="T1328" s="4" t="s">
        <v>2444</v>
      </c>
      <c r="U1328" s="4"/>
      <c r="V1328" s="4"/>
      <c r="W1328" s="5"/>
      <c r="X1328" s="4"/>
      <c r="Y1328" s="4"/>
      <c r="Z1328" s="5"/>
      <c r="AA1328" s="4"/>
      <c r="AB1328" s="4"/>
      <c r="AC1328" s="4"/>
      <c r="AD1328" s="5"/>
      <c r="AE1328" s="5"/>
      <c r="AF1328" s="5"/>
      <c r="AG1328" s="5"/>
      <c r="AH1328" s="5"/>
      <c r="AI1328" s="5"/>
      <c r="AJ1328" s="5"/>
      <c r="AK1328" s="5"/>
      <c r="AL1328" s="5"/>
    </row>
    <row r="1329">
      <c r="A1329" s="4" t="str">
        <f>VLOOKUP(L1329,payment_ids!C:D,2,FALSE)</f>
        <v>pay_HPcNdRh1Tc1VfX</v>
      </c>
      <c r="B1329" s="4"/>
      <c r="C1329" s="4" t="s">
        <v>4433</v>
      </c>
      <c r="D1329" s="4">
        <v>50052.0</v>
      </c>
      <c r="E1329" s="5"/>
      <c r="F1329" s="4">
        <v>3.0</v>
      </c>
      <c r="G1329" s="4">
        <v>199.0</v>
      </c>
      <c r="H1329" s="4"/>
      <c r="I1329" s="4">
        <v>199.0</v>
      </c>
      <c r="J1329" s="4" t="s">
        <v>4459</v>
      </c>
      <c r="K1329" s="5">
        <f>+919830838748</f>
        <v>919830838748</v>
      </c>
      <c r="L1329" s="4" t="str">
        <f t="shared" si="1"/>
        <v>dr.narayan.mitra@gmail.com919830838748</v>
      </c>
      <c r="M1329" s="10" t="s">
        <v>67</v>
      </c>
      <c r="N1329" s="4" t="b">
        <v>0</v>
      </c>
      <c r="O1329" s="4" t="str">
        <f>VLOOKUP(A1329,payment_ids!D:E,2,FALSE)</f>
        <v>upi</v>
      </c>
      <c r="P1329" s="4" t="s">
        <v>69</v>
      </c>
      <c r="Q1329" s="4" t="s">
        <v>4550</v>
      </c>
      <c r="R1329" s="4"/>
      <c r="S1329" s="12" t="s">
        <v>4435</v>
      </c>
      <c r="T1329" s="4" t="s">
        <v>2444</v>
      </c>
      <c r="U1329" s="4"/>
      <c r="V1329" s="4"/>
      <c r="W1329" s="5"/>
      <c r="X1329" s="4"/>
      <c r="Y1329" s="4"/>
      <c r="Z1329" s="5"/>
      <c r="AA1329" s="4"/>
      <c r="AB1329" s="4"/>
      <c r="AC1329" s="4"/>
      <c r="AD1329" s="5"/>
      <c r="AE1329" s="5"/>
      <c r="AF1329" s="5"/>
      <c r="AG1329" s="5"/>
      <c r="AH1329" s="5"/>
      <c r="AI1329" s="5"/>
      <c r="AJ1329" s="5"/>
      <c r="AK1329" s="5"/>
      <c r="AL1329" s="5"/>
    </row>
    <row r="1330">
      <c r="A1330" s="4" t="str">
        <f>VLOOKUP(L1330,payment_ids!C:D,2,FALSE)</f>
        <v>pay_HPyMgnAIhKcRFX</v>
      </c>
      <c r="B1330" s="4"/>
      <c r="C1330" s="4" t="s">
        <v>4433</v>
      </c>
      <c r="D1330" s="4">
        <v>50052.0</v>
      </c>
      <c r="E1330" s="5"/>
      <c r="F1330" s="4">
        <v>1.0</v>
      </c>
      <c r="G1330" s="4">
        <v>99.0</v>
      </c>
      <c r="H1330" s="4"/>
      <c r="I1330" s="4">
        <v>99.0</v>
      </c>
      <c r="J1330" s="4" t="s">
        <v>4551</v>
      </c>
      <c r="K1330" s="5">
        <f>+919623660712</f>
        <v>919623660712</v>
      </c>
      <c r="L1330" s="4" t="str">
        <f t="shared" si="1"/>
        <v>ppatil.301@gmail.com919623660712</v>
      </c>
      <c r="M1330" s="10" t="s">
        <v>67</v>
      </c>
      <c r="N1330" s="4" t="b">
        <v>0</v>
      </c>
      <c r="O1330" s="4" t="str">
        <f>VLOOKUP(A1330,payment_ids!D:E,2,FALSE)</f>
        <v>upi</v>
      </c>
      <c r="P1330" s="4" t="s">
        <v>69</v>
      </c>
      <c r="Q1330" s="4" t="s">
        <v>4552</v>
      </c>
      <c r="R1330" s="4"/>
      <c r="S1330" s="12" t="s">
        <v>4435</v>
      </c>
      <c r="T1330" s="4" t="s">
        <v>2444</v>
      </c>
      <c r="U1330" s="4"/>
      <c r="V1330" s="4"/>
      <c r="W1330" s="5"/>
      <c r="X1330" s="4"/>
      <c r="Y1330" s="4"/>
      <c r="Z1330" s="5"/>
      <c r="AA1330" s="4"/>
      <c r="AB1330" s="4"/>
      <c r="AC1330" s="4"/>
      <c r="AD1330" s="5"/>
      <c r="AE1330" s="5"/>
      <c r="AF1330" s="5"/>
      <c r="AG1330" s="5"/>
      <c r="AH1330" s="5"/>
      <c r="AI1330" s="5"/>
      <c r="AJ1330" s="5"/>
      <c r="AK1330" s="5"/>
      <c r="AL1330" s="5"/>
    </row>
    <row r="1331">
      <c r="A1331" s="4" t="str">
        <f>VLOOKUP(L1331,payment_ids!C:D,2,FALSE)</f>
        <v>pay_HPyWNpz5MCjIqT</v>
      </c>
      <c r="B1331" s="4"/>
      <c r="C1331" s="4" t="s">
        <v>4433</v>
      </c>
      <c r="D1331" s="4">
        <v>50052.0</v>
      </c>
      <c r="E1331" s="5"/>
      <c r="F1331" s="4">
        <v>3.0</v>
      </c>
      <c r="G1331" s="4">
        <v>199.0</v>
      </c>
      <c r="H1331" s="4"/>
      <c r="I1331" s="4">
        <v>199.0</v>
      </c>
      <c r="J1331" s="4" t="s">
        <v>4553</v>
      </c>
      <c r="K1331" s="5">
        <f>+918197578254</f>
        <v>918197578254</v>
      </c>
      <c r="L1331" s="4" t="str">
        <f t="shared" si="1"/>
        <v>vinzie1810@gmail.com918197578254</v>
      </c>
      <c r="M1331" s="10" t="s">
        <v>67</v>
      </c>
      <c r="N1331" s="4" t="b">
        <v>0</v>
      </c>
      <c r="O1331" s="4" t="str">
        <f>VLOOKUP(A1331,payment_ids!D:E,2,FALSE)</f>
        <v>upi</v>
      </c>
      <c r="P1331" s="4" t="s">
        <v>69</v>
      </c>
      <c r="Q1331" s="4" t="s">
        <v>4554</v>
      </c>
      <c r="R1331" s="4"/>
      <c r="S1331" s="12" t="s">
        <v>4435</v>
      </c>
      <c r="T1331" s="4" t="s">
        <v>2444</v>
      </c>
      <c r="U1331" s="4"/>
      <c r="V1331" s="4"/>
      <c r="W1331" s="5"/>
      <c r="X1331" s="4"/>
      <c r="Y1331" s="4"/>
      <c r="Z1331" s="5"/>
      <c r="AA1331" s="4"/>
      <c r="AB1331" s="4"/>
      <c r="AC1331" s="4"/>
      <c r="AD1331" s="5"/>
      <c r="AE1331" s="5"/>
      <c r="AF1331" s="5"/>
      <c r="AG1331" s="5"/>
      <c r="AH1331" s="5"/>
      <c r="AI1331" s="5"/>
      <c r="AJ1331" s="5"/>
      <c r="AK1331" s="5"/>
      <c r="AL1331" s="5"/>
    </row>
    <row r="1332">
      <c r="A1332" s="4" t="str">
        <f>VLOOKUP(L1332,payment_ids!C:D,2,FALSE)</f>
        <v>pay_HPyk18yM94OLyB</v>
      </c>
      <c r="B1332" s="4"/>
      <c r="C1332" s="4" t="s">
        <v>4433</v>
      </c>
      <c r="D1332" s="4">
        <v>50052.0</v>
      </c>
      <c r="E1332" s="5"/>
      <c r="F1332" s="4">
        <v>1.0</v>
      </c>
      <c r="G1332" s="4">
        <v>99.0</v>
      </c>
      <c r="H1332" s="4"/>
      <c r="I1332" s="4">
        <v>99.0</v>
      </c>
      <c r="J1332" s="4" t="s">
        <v>4555</v>
      </c>
      <c r="K1332" s="5">
        <f>+918904703204</f>
        <v>918904703204</v>
      </c>
      <c r="L1332" s="4" t="str">
        <f t="shared" si="1"/>
        <v>shanshui.moss614@gmail.com918904703204</v>
      </c>
      <c r="M1332" s="10" t="s">
        <v>67</v>
      </c>
      <c r="N1332" s="4" t="b">
        <v>0</v>
      </c>
      <c r="O1332" s="4" t="str">
        <f>VLOOKUP(A1332,payment_ids!D:E,2,FALSE)</f>
        <v>upi</v>
      </c>
      <c r="P1332" s="4" t="s">
        <v>69</v>
      </c>
      <c r="Q1332" s="4" t="s">
        <v>4556</v>
      </c>
      <c r="R1332" s="4"/>
      <c r="S1332" s="12" t="s">
        <v>4435</v>
      </c>
      <c r="T1332" s="4" t="s">
        <v>2444</v>
      </c>
      <c r="U1332" s="4"/>
      <c r="V1332" s="4"/>
      <c r="W1332" s="5"/>
      <c r="X1332" s="4"/>
      <c r="Y1332" s="4"/>
      <c r="Z1332" s="5"/>
      <c r="AA1332" s="4"/>
      <c r="AB1332" s="4"/>
      <c r="AC1332" s="4"/>
      <c r="AD1332" s="5"/>
      <c r="AE1332" s="5"/>
      <c r="AF1332" s="5"/>
      <c r="AG1332" s="5"/>
      <c r="AH1332" s="5"/>
      <c r="AI1332" s="5"/>
      <c r="AJ1332" s="5"/>
      <c r="AK1332" s="5"/>
      <c r="AL1332" s="5"/>
    </row>
    <row r="1333">
      <c r="A1333" s="4" t="str">
        <f>VLOOKUP(L1333,payment_ids!C:D,2,FALSE)</f>
        <v>pay_HQ2prcOOMioQsk</v>
      </c>
      <c r="B1333" s="4"/>
      <c r="C1333" s="4" t="s">
        <v>4433</v>
      </c>
      <c r="D1333" s="4">
        <v>50052.0</v>
      </c>
      <c r="E1333" s="5"/>
      <c r="F1333" s="4">
        <v>6.0</v>
      </c>
      <c r="G1333" s="4">
        <v>349.0</v>
      </c>
      <c r="H1333" s="4"/>
      <c r="I1333" s="4">
        <v>349.0</v>
      </c>
      <c r="J1333" s="4" t="s">
        <v>4557</v>
      </c>
      <c r="K1333" s="5">
        <f>+918697739984</f>
        <v>918697739984</v>
      </c>
      <c r="L1333" s="4" t="str">
        <f t="shared" si="1"/>
        <v>neerajkumari.nk25@gmail.com918697739984</v>
      </c>
      <c r="M1333" s="10" t="s">
        <v>67</v>
      </c>
      <c r="N1333" s="4" t="b">
        <v>0</v>
      </c>
      <c r="O1333" s="4" t="str">
        <f>VLOOKUP(A1333,payment_ids!D:E,2,FALSE)</f>
        <v>upi</v>
      </c>
      <c r="P1333" s="4" t="s">
        <v>69</v>
      </c>
      <c r="Q1333" s="4" t="s">
        <v>4558</v>
      </c>
      <c r="R1333" s="4"/>
      <c r="S1333" s="12" t="s">
        <v>4435</v>
      </c>
      <c r="T1333" s="4" t="s">
        <v>2444</v>
      </c>
      <c r="U1333" s="4"/>
      <c r="V1333" s="4"/>
      <c r="W1333" s="5"/>
      <c r="X1333" s="4"/>
      <c r="Y1333" s="4"/>
      <c r="Z1333" s="5"/>
      <c r="AA1333" s="4"/>
      <c r="AB1333" s="4"/>
      <c r="AC1333" s="4"/>
      <c r="AD1333" s="5"/>
      <c r="AE1333" s="5"/>
      <c r="AF1333" s="5"/>
      <c r="AG1333" s="5"/>
      <c r="AH1333" s="5"/>
      <c r="AI1333" s="5"/>
      <c r="AJ1333" s="5"/>
      <c r="AK1333" s="5"/>
      <c r="AL1333" s="5"/>
    </row>
    <row r="1334">
      <c r="A1334" s="4" t="str">
        <f>VLOOKUP(L1334,payment_ids!C:D,2,FALSE)</f>
        <v>pay_HQ3NhY0sMlymvJ</v>
      </c>
      <c r="B1334" s="4"/>
      <c r="C1334" s="4" t="s">
        <v>4433</v>
      </c>
      <c r="D1334" s="4">
        <v>50052.0</v>
      </c>
      <c r="E1334" s="5"/>
      <c r="F1334" s="4">
        <v>1.0</v>
      </c>
      <c r="G1334" s="4">
        <v>99.0</v>
      </c>
      <c r="H1334" s="4"/>
      <c r="I1334" s="4">
        <v>99.0</v>
      </c>
      <c r="J1334" s="4" t="s">
        <v>4559</v>
      </c>
      <c r="K1334" s="5">
        <f>+916353379278</f>
        <v>916353379278</v>
      </c>
      <c r="L1334" s="4" t="str">
        <f t="shared" si="1"/>
        <v>anjalidlalwani0@gmail.com916353379278</v>
      </c>
      <c r="M1334" s="10" t="s">
        <v>67</v>
      </c>
      <c r="N1334" s="4" t="b">
        <v>0</v>
      </c>
      <c r="O1334" s="4" t="str">
        <f>VLOOKUP(A1334,payment_ids!D:E,2,FALSE)</f>
        <v>card</v>
      </c>
      <c r="P1334" s="4" t="s">
        <v>69</v>
      </c>
      <c r="Q1334" s="4" t="s">
        <v>4560</v>
      </c>
      <c r="R1334" s="4"/>
      <c r="S1334" s="12" t="s">
        <v>4435</v>
      </c>
      <c r="T1334" s="4" t="s">
        <v>2444</v>
      </c>
      <c r="U1334" s="4"/>
      <c r="V1334" s="4"/>
      <c r="W1334" s="5"/>
      <c r="X1334" s="4"/>
      <c r="Y1334" s="4"/>
      <c r="Z1334" s="5"/>
      <c r="AA1334" s="4"/>
      <c r="AB1334" s="4"/>
      <c r="AC1334" s="4"/>
      <c r="AD1334" s="5"/>
      <c r="AE1334" s="5"/>
      <c r="AF1334" s="5"/>
      <c r="AG1334" s="5"/>
      <c r="AH1334" s="5"/>
      <c r="AI1334" s="5"/>
      <c r="AJ1334" s="5"/>
      <c r="AK1334" s="5"/>
      <c r="AL1334" s="5"/>
    </row>
    <row r="1335">
      <c r="A1335" s="4" t="str">
        <f>VLOOKUP(L1335,payment_ids!C:D,2,FALSE)</f>
        <v>pay_H6nJl9n5Yk8MrB</v>
      </c>
      <c r="B1335" s="4"/>
      <c r="C1335" s="4" t="s">
        <v>4561</v>
      </c>
      <c r="D1335" s="4">
        <v>50031.0</v>
      </c>
      <c r="E1335" s="4"/>
      <c r="F1335" s="4">
        <v>6.0</v>
      </c>
      <c r="G1335" s="4">
        <v>349.0</v>
      </c>
      <c r="H1335" s="4"/>
      <c r="I1335" s="4">
        <v>349.0</v>
      </c>
      <c r="J1335" s="4" t="s">
        <v>4562</v>
      </c>
      <c r="K1335" s="6">
        <f>+919845345383</f>
        <v>919845345383</v>
      </c>
      <c r="L1335" s="4" t="str">
        <f t="shared" si="1"/>
        <v>ashajohns@gmail.com919845345383</v>
      </c>
      <c r="M1335" s="10" t="s">
        <v>67</v>
      </c>
      <c r="N1335" s="4" t="b">
        <v>0</v>
      </c>
      <c r="O1335" s="4" t="str">
        <f>VLOOKUP(A1335,payment_ids!D:E,2,FALSE)</f>
        <v>upi</v>
      </c>
      <c r="P1335" s="4" t="s">
        <v>69</v>
      </c>
      <c r="Q1335" s="11">
        <v>44291.94930555556</v>
      </c>
      <c r="R1335" s="4"/>
      <c r="S1335" s="12" t="s">
        <v>4563</v>
      </c>
      <c r="T1335" s="4"/>
      <c r="U1335" s="4"/>
      <c r="V1335" s="4"/>
      <c r="W1335" s="5"/>
      <c r="X1335" s="4"/>
      <c r="Y1335" s="4"/>
      <c r="Z1335" s="5"/>
      <c r="AA1335" s="4"/>
      <c r="AB1335" s="4"/>
      <c r="AC1335" s="4"/>
      <c r="AD1335" s="5"/>
      <c r="AE1335" s="5"/>
      <c r="AF1335" s="5"/>
      <c r="AG1335" s="5"/>
      <c r="AH1335" s="5"/>
      <c r="AI1335" s="5"/>
      <c r="AJ1335" s="5"/>
      <c r="AK1335" s="5"/>
      <c r="AL1335" s="5"/>
    </row>
    <row r="1336">
      <c r="A1336" s="4" t="str">
        <f>VLOOKUP(L1336,payment_ids!C:D,2,FALSE)</f>
        <v>pay_H75i5JzDV9yeMF</v>
      </c>
      <c r="B1336" s="4"/>
      <c r="C1336" s="4" t="s">
        <v>4561</v>
      </c>
      <c r="D1336" s="4">
        <v>50031.0</v>
      </c>
      <c r="E1336" s="4"/>
      <c r="F1336" s="4">
        <v>1.0</v>
      </c>
      <c r="G1336" s="4">
        <v>99.0</v>
      </c>
      <c r="H1336" s="4"/>
      <c r="I1336" s="4">
        <v>99.0</v>
      </c>
      <c r="J1336" s="4" t="s">
        <v>4564</v>
      </c>
      <c r="K1336" s="6">
        <f>+919004388288</f>
        <v>919004388288</v>
      </c>
      <c r="L1336" s="4" t="str">
        <f t="shared" si="1"/>
        <v>priya.u911@gmail.com919004388288</v>
      </c>
      <c r="M1336" s="10" t="s">
        <v>67</v>
      </c>
      <c r="N1336" s="4" t="b">
        <v>0</v>
      </c>
      <c r="O1336" s="4" t="str">
        <f>VLOOKUP(A1336,payment_ids!D:E,2,FALSE)</f>
        <v>card</v>
      </c>
      <c r="P1336" s="4" t="s">
        <v>69</v>
      </c>
      <c r="Q1336" s="11">
        <v>44321.69861111111</v>
      </c>
      <c r="R1336" s="4"/>
      <c r="S1336" s="12" t="s">
        <v>4563</v>
      </c>
      <c r="T1336" s="4"/>
      <c r="U1336" s="4"/>
      <c r="V1336" s="4"/>
      <c r="W1336" s="5"/>
      <c r="X1336" s="4"/>
      <c r="Y1336" s="4"/>
      <c r="Z1336" s="5"/>
      <c r="AA1336" s="4"/>
      <c r="AB1336" s="4"/>
      <c r="AC1336" s="4"/>
      <c r="AD1336" s="5"/>
      <c r="AE1336" s="5"/>
      <c r="AF1336" s="5"/>
      <c r="AG1336" s="5"/>
      <c r="AH1336" s="5"/>
      <c r="AI1336" s="5"/>
      <c r="AJ1336" s="5"/>
      <c r="AK1336" s="5"/>
      <c r="AL1336" s="5"/>
    </row>
    <row r="1337">
      <c r="A1337" s="4" t="str">
        <f>VLOOKUP(L1337,payment_ids!C:D,2,FALSE)</f>
        <v>pay_H7PTaMkKIv3b0F</v>
      </c>
      <c r="B1337" s="4"/>
      <c r="C1337" s="4" t="s">
        <v>4561</v>
      </c>
      <c r="D1337" s="4">
        <v>50031.0</v>
      </c>
      <c r="E1337" s="4"/>
      <c r="F1337" s="4">
        <v>1.0</v>
      </c>
      <c r="G1337" s="4">
        <v>99.0</v>
      </c>
      <c r="H1337" s="4"/>
      <c r="I1337" s="4">
        <v>99.0</v>
      </c>
      <c r="J1337" s="4" t="s">
        <v>4565</v>
      </c>
      <c r="K1337" s="6">
        <f>+919820358107</f>
        <v>919820358107</v>
      </c>
      <c r="L1337" s="4" t="str">
        <f t="shared" si="1"/>
        <v>saurabhhsingh1@gmail.com919820358107</v>
      </c>
      <c r="M1337" s="10" t="s">
        <v>67</v>
      </c>
      <c r="N1337" s="4" t="b">
        <v>0</v>
      </c>
      <c r="O1337" s="4" t="str">
        <f>VLOOKUP(A1337,payment_ids!D:E,2,FALSE)</f>
        <v>upi</v>
      </c>
      <c r="P1337" s="4" t="s">
        <v>69</v>
      </c>
      <c r="Q1337" s="11">
        <v>44352.504166666666</v>
      </c>
      <c r="R1337" s="4"/>
      <c r="S1337" s="12" t="s">
        <v>4563</v>
      </c>
      <c r="T1337" s="4"/>
      <c r="U1337" s="4"/>
      <c r="V1337" s="4"/>
      <c r="W1337" s="5"/>
      <c r="X1337" s="4"/>
      <c r="Y1337" s="4"/>
      <c r="Z1337" s="5"/>
      <c r="AA1337" s="4"/>
      <c r="AB1337" s="4"/>
      <c r="AC1337" s="4"/>
      <c r="AD1337" s="5"/>
      <c r="AE1337" s="5"/>
      <c r="AF1337" s="5"/>
      <c r="AG1337" s="5"/>
      <c r="AH1337" s="5"/>
      <c r="AI1337" s="5"/>
      <c r="AJ1337" s="5"/>
      <c r="AK1337" s="5"/>
      <c r="AL1337" s="5"/>
    </row>
    <row r="1338">
      <c r="A1338" s="4" t="str">
        <f>VLOOKUP(L1338,payment_ids!C:D,2,FALSE)</f>
        <v>pay_H7wGWx9DKYRxxz</v>
      </c>
      <c r="B1338" s="4"/>
      <c r="C1338" s="4" t="s">
        <v>4561</v>
      </c>
      <c r="D1338" s="4">
        <v>50031.0</v>
      </c>
      <c r="E1338" s="4"/>
      <c r="F1338" s="4">
        <v>1.0</v>
      </c>
      <c r="G1338" s="4">
        <v>99.0</v>
      </c>
      <c r="H1338" s="4"/>
      <c r="I1338" s="4">
        <v>99.0</v>
      </c>
      <c r="J1338" s="4" t="s">
        <v>4566</v>
      </c>
      <c r="K1338" s="6">
        <f>+919980191207</f>
        <v>919980191207</v>
      </c>
      <c r="L1338" s="4" t="str">
        <f t="shared" si="1"/>
        <v>shirisha.yadav@gmail.com919980191207</v>
      </c>
      <c r="M1338" s="10" t="s">
        <v>67</v>
      </c>
      <c r="N1338" s="4" t="b">
        <v>0</v>
      </c>
      <c r="O1338" s="4" t="str">
        <f>VLOOKUP(A1338,payment_ids!D:E,2,FALSE)</f>
        <v>upi</v>
      </c>
      <c r="P1338" s="4" t="s">
        <v>69</v>
      </c>
      <c r="Q1338" s="11">
        <v>44382.84097222222</v>
      </c>
      <c r="R1338" s="4"/>
      <c r="S1338" s="12" t="s">
        <v>4563</v>
      </c>
      <c r="T1338" s="4"/>
      <c r="U1338" s="4"/>
      <c r="V1338" s="4"/>
      <c r="W1338" s="5"/>
      <c r="X1338" s="4"/>
      <c r="Y1338" s="4"/>
      <c r="Z1338" s="5"/>
      <c r="AA1338" s="4"/>
      <c r="AB1338" s="4"/>
      <c r="AC1338" s="4"/>
      <c r="AD1338" s="5"/>
      <c r="AE1338" s="5"/>
      <c r="AF1338" s="5"/>
      <c r="AG1338" s="5"/>
      <c r="AH1338" s="5"/>
      <c r="AI1338" s="5"/>
      <c r="AJ1338" s="5"/>
      <c r="AK1338" s="5"/>
      <c r="AL1338" s="5"/>
    </row>
    <row r="1339">
      <c r="A1339" s="4" t="str">
        <f>VLOOKUP(L1339,payment_ids!C:D,2,FALSE)</f>
        <v>pay_H7wLxrG0eKHTR1</v>
      </c>
      <c r="B1339" s="4"/>
      <c r="C1339" s="4" t="s">
        <v>4561</v>
      </c>
      <c r="D1339" s="4">
        <v>50031.0</v>
      </c>
      <c r="E1339" s="4"/>
      <c r="F1339" s="4">
        <v>6.0</v>
      </c>
      <c r="G1339" s="4">
        <v>349.0</v>
      </c>
      <c r="H1339" s="4"/>
      <c r="I1339" s="4">
        <v>349.0</v>
      </c>
      <c r="J1339" s="4" t="s">
        <v>4567</v>
      </c>
      <c r="K1339" s="6">
        <f>+919873643575</f>
        <v>919873643575</v>
      </c>
      <c r="L1339" s="4" t="str">
        <f t="shared" si="1"/>
        <v>sksurendraiitb3@gmail.com919873643575</v>
      </c>
      <c r="M1339" s="10" t="s">
        <v>67</v>
      </c>
      <c r="N1339" s="4" t="b">
        <v>0</v>
      </c>
      <c r="O1339" s="4" t="str">
        <f>VLOOKUP(A1339,payment_ids!D:E,2,FALSE)</f>
        <v>wallet</v>
      </c>
      <c r="P1339" s="4" t="s">
        <v>69</v>
      </c>
      <c r="Q1339" s="11">
        <v>44382.84652777778</v>
      </c>
      <c r="R1339" s="4"/>
      <c r="S1339" s="12" t="s">
        <v>4563</v>
      </c>
      <c r="T1339" s="4"/>
      <c r="U1339" s="4"/>
      <c r="V1339" s="4"/>
      <c r="W1339" s="5"/>
      <c r="X1339" s="4"/>
      <c r="Y1339" s="4"/>
      <c r="Z1339" s="5"/>
      <c r="AA1339" s="4"/>
      <c r="AB1339" s="4"/>
      <c r="AC1339" s="4"/>
      <c r="AD1339" s="5"/>
      <c r="AE1339" s="5"/>
      <c r="AF1339" s="5"/>
      <c r="AG1339" s="5"/>
      <c r="AH1339" s="5"/>
      <c r="AI1339" s="5"/>
      <c r="AJ1339" s="5"/>
      <c r="AK1339" s="5"/>
      <c r="AL1339" s="5"/>
    </row>
    <row r="1340">
      <c r="A1340" s="4" t="str">
        <f>VLOOKUP(L1340,payment_ids!C:D,2,FALSE)</f>
        <v>pay_H7kQMceRq8Dn6a</v>
      </c>
      <c r="B1340" s="4"/>
      <c r="C1340" s="4" t="s">
        <v>4561</v>
      </c>
      <c r="D1340" s="4">
        <v>50031.0</v>
      </c>
      <c r="E1340" s="4"/>
      <c r="F1340" s="4">
        <v>6.0</v>
      </c>
      <c r="G1340" s="4">
        <v>349.0</v>
      </c>
      <c r="H1340" s="4"/>
      <c r="I1340" s="4">
        <v>349.0</v>
      </c>
      <c r="J1340" s="4" t="s">
        <v>4568</v>
      </c>
      <c r="K1340" s="6">
        <f>+919880448333</f>
        <v>919880448333</v>
      </c>
      <c r="L1340" s="4" t="str">
        <f t="shared" si="1"/>
        <v>vivekn.19@gmail.com919880448333</v>
      </c>
      <c r="M1340" s="10" t="s">
        <v>67</v>
      </c>
      <c r="N1340" s="4" t="b">
        <v>0</v>
      </c>
      <c r="O1340" s="4" t="str">
        <f>VLOOKUP(A1340,payment_ids!D:E,2,FALSE)</f>
        <v>upi</v>
      </c>
      <c r="P1340" s="4" t="s">
        <v>69</v>
      </c>
      <c r="Q1340" s="11">
        <v>44382.35833333333</v>
      </c>
      <c r="R1340" s="4"/>
      <c r="S1340" s="12" t="s">
        <v>4563</v>
      </c>
      <c r="T1340" s="4"/>
      <c r="U1340" s="4"/>
      <c r="V1340" s="4"/>
      <c r="W1340" s="5"/>
      <c r="X1340" s="4"/>
      <c r="Y1340" s="4"/>
      <c r="Z1340" s="5"/>
      <c r="AA1340" s="4"/>
      <c r="AB1340" s="4"/>
      <c r="AC1340" s="4"/>
      <c r="AD1340" s="5"/>
      <c r="AE1340" s="5"/>
      <c r="AF1340" s="5"/>
      <c r="AG1340" s="5"/>
      <c r="AH1340" s="5"/>
      <c r="AI1340" s="5"/>
      <c r="AJ1340" s="5"/>
      <c r="AK1340" s="5"/>
      <c r="AL1340" s="5"/>
    </row>
    <row r="1341">
      <c r="A1341" s="4" t="str">
        <f>VLOOKUP(L1341,payment_ids!C:D,2,FALSE)</f>
        <v>pay_H7lQdeyyBxsTXO</v>
      </c>
      <c r="B1341" s="4"/>
      <c r="C1341" s="4" t="s">
        <v>4561</v>
      </c>
      <c r="D1341" s="4">
        <v>50031.0</v>
      </c>
      <c r="E1341" s="4"/>
      <c r="F1341" s="4">
        <v>1.0</v>
      </c>
      <c r="G1341" s="4">
        <v>99.0</v>
      </c>
      <c r="H1341" s="4"/>
      <c r="I1341" s="4">
        <v>99.0</v>
      </c>
      <c r="J1341" s="4" t="s">
        <v>4569</v>
      </c>
      <c r="K1341" s="6">
        <f>+919823395598</f>
        <v>919823395598</v>
      </c>
      <c r="L1341" s="4" t="str">
        <f t="shared" si="1"/>
        <v>rahulraghavan94@gmail.com919823395598</v>
      </c>
      <c r="M1341" s="10" t="s">
        <v>67</v>
      </c>
      <c r="N1341" s="4" t="b">
        <v>0</v>
      </c>
      <c r="O1341" s="4" t="str">
        <f>VLOOKUP(A1341,payment_ids!D:E,2,FALSE)</f>
        <v>upi</v>
      </c>
      <c r="P1341" s="4" t="s">
        <v>69</v>
      </c>
      <c r="Q1341" s="11">
        <v>44382.399305555555</v>
      </c>
      <c r="R1341" s="4"/>
      <c r="S1341" s="12" t="s">
        <v>4563</v>
      </c>
      <c r="T1341" s="4"/>
      <c r="U1341" s="4"/>
      <c r="V1341" s="4"/>
      <c r="W1341" s="5"/>
      <c r="X1341" s="4"/>
      <c r="Y1341" s="4"/>
      <c r="Z1341" s="5"/>
      <c r="AA1341" s="4"/>
      <c r="AB1341" s="4"/>
      <c r="AC1341" s="4"/>
      <c r="AD1341" s="5"/>
      <c r="AE1341" s="5"/>
      <c r="AF1341" s="5"/>
      <c r="AG1341" s="5"/>
      <c r="AH1341" s="5"/>
      <c r="AI1341" s="5"/>
      <c r="AJ1341" s="5"/>
      <c r="AK1341" s="5"/>
      <c r="AL1341" s="5"/>
    </row>
    <row r="1342">
      <c r="A1342" s="4" t="str">
        <f>VLOOKUP(L1342,payment_ids!C:D,2,FALSE)</f>
        <v>pay_H7nenwVxnni4bn</v>
      </c>
      <c r="B1342" s="4"/>
      <c r="C1342" s="4" t="s">
        <v>4561</v>
      </c>
      <c r="D1342" s="4">
        <v>50031.0</v>
      </c>
      <c r="E1342" s="4"/>
      <c r="F1342" s="4">
        <v>3.0</v>
      </c>
      <c r="G1342" s="4">
        <v>199.0</v>
      </c>
      <c r="H1342" s="4"/>
      <c r="I1342" s="4">
        <v>199.0</v>
      </c>
      <c r="J1342" s="4" t="s">
        <v>4570</v>
      </c>
      <c r="K1342" s="6">
        <f>+917002297663</f>
        <v>917002297663</v>
      </c>
      <c r="L1342" s="4" t="str">
        <f t="shared" si="1"/>
        <v>priyankad.july@gmail.com917002297663</v>
      </c>
      <c r="M1342" s="10" t="s">
        <v>67</v>
      </c>
      <c r="N1342" s="4" t="b">
        <v>0</v>
      </c>
      <c r="O1342" s="4" t="str">
        <f>VLOOKUP(A1342,payment_ids!D:E,2,FALSE)</f>
        <v>card</v>
      </c>
      <c r="P1342" s="4" t="s">
        <v>69</v>
      </c>
      <c r="Q1342" s="11">
        <v>44382.490277777775</v>
      </c>
      <c r="R1342" s="4"/>
      <c r="S1342" s="12" t="s">
        <v>4563</v>
      </c>
      <c r="T1342" s="4"/>
      <c r="U1342" s="4"/>
      <c r="V1342" s="4"/>
      <c r="W1342" s="5"/>
      <c r="X1342" s="4"/>
      <c r="Y1342" s="4"/>
      <c r="Z1342" s="5"/>
      <c r="AA1342" s="4"/>
      <c r="AB1342" s="4"/>
      <c r="AC1342" s="4"/>
      <c r="AD1342" s="5"/>
      <c r="AE1342" s="5"/>
      <c r="AF1342" s="5"/>
      <c r="AG1342" s="5"/>
      <c r="AH1342" s="5"/>
      <c r="AI1342" s="5"/>
      <c r="AJ1342" s="5"/>
      <c r="AK1342" s="5"/>
      <c r="AL1342" s="5"/>
    </row>
    <row r="1343">
      <c r="A1343" s="4" t="str">
        <f>VLOOKUP(L1343,payment_ids!C:D,2,FALSE)</f>
        <v>pay_H7nfaaKaI8auFZ</v>
      </c>
      <c r="B1343" s="4"/>
      <c r="C1343" s="4" t="s">
        <v>4561</v>
      </c>
      <c r="D1343" s="4">
        <v>50031.0</v>
      </c>
      <c r="E1343" s="4"/>
      <c r="F1343" s="4">
        <v>1.0</v>
      </c>
      <c r="G1343" s="4">
        <v>99.0</v>
      </c>
      <c r="H1343" s="4"/>
      <c r="I1343" s="4">
        <v>99.0</v>
      </c>
      <c r="J1343" s="4" t="s">
        <v>4571</v>
      </c>
      <c r="K1343" s="6">
        <f>+918826627323</f>
        <v>918826627323</v>
      </c>
      <c r="L1343" s="4" t="str">
        <f t="shared" si="1"/>
        <v>rustagivipul@gmail.com918826627323</v>
      </c>
      <c r="M1343" s="10" t="s">
        <v>67</v>
      </c>
      <c r="N1343" s="4" t="b">
        <v>0</v>
      </c>
      <c r="O1343" s="4" t="str">
        <f>VLOOKUP(A1343,payment_ids!D:E,2,FALSE)</f>
        <v>upi</v>
      </c>
      <c r="P1343" s="4" t="s">
        <v>69</v>
      </c>
      <c r="Q1343" s="11">
        <v>44382.49097222222</v>
      </c>
      <c r="R1343" s="4"/>
      <c r="S1343" s="12" t="s">
        <v>4563</v>
      </c>
      <c r="T1343" s="4"/>
      <c r="U1343" s="4"/>
      <c r="V1343" s="4"/>
      <c r="W1343" s="5"/>
      <c r="X1343" s="4"/>
      <c r="Y1343" s="4"/>
      <c r="Z1343" s="5"/>
      <c r="AA1343" s="4"/>
      <c r="AB1343" s="4"/>
      <c r="AC1343" s="4"/>
      <c r="AD1343" s="5"/>
      <c r="AE1343" s="5"/>
      <c r="AF1343" s="5"/>
      <c r="AG1343" s="5"/>
      <c r="AH1343" s="5"/>
      <c r="AI1343" s="5"/>
      <c r="AJ1343" s="5"/>
      <c r="AK1343" s="5"/>
      <c r="AL1343" s="5"/>
    </row>
    <row r="1344">
      <c r="A1344" s="4" t="str">
        <f>VLOOKUP(L1344,payment_ids!C:D,2,FALSE)</f>
        <v>pay_H8FRhmUKx85pZI</v>
      </c>
      <c r="B1344" s="4"/>
      <c r="C1344" s="4" t="s">
        <v>4561</v>
      </c>
      <c r="D1344" s="4">
        <v>50031.0</v>
      </c>
      <c r="E1344" s="4"/>
      <c r="F1344" s="4">
        <v>1.0</v>
      </c>
      <c r="G1344" s="4">
        <v>99.0</v>
      </c>
      <c r="H1344" s="4"/>
      <c r="I1344" s="4">
        <v>99.0</v>
      </c>
      <c r="J1344" s="4" t="s">
        <v>4572</v>
      </c>
      <c r="K1344" s="6">
        <f>+919322798720</f>
        <v>919322798720</v>
      </c>
      <c r="L1344" s="4" t="str">
        <f t="shared" si="1"/>
        <v>guptamona911@gmail.com919322798720</v>
      </c>
      <c r="M1344" s="10" t="s">
        <v>67</v>
      </c>
      <c r="N1344" s="4" t="b">
        <v>0</v>
      </c>
      <c r="O1344" s="4" t="str">
        <f>VLOOKUP(A1344,payment_ids!D:E,2,FALSE)</f>
        <v>card</v>
      </c>
      <c r="P1344" s="4" t="s">
        <v>69</v>
      </c>
      <c r="Q1344" s="11">
        <v>44413.62291666667</v>
      </c>
      <c r="R1344" s="4"/>
      <c r="S1344" s="12" t="s">
        <v>4563</v>
      </c>
      <c r="T1344" s="4"/>
      <c r="U1344" s="5"/>
      <c r="V1344" s="4"/>
      <c r="W1344" s="5"/>
      <c r="X1344" s="4"/>
      <c r="Y1344" s="4"/>
      <c r="Z1344" s="5"/>
      <c r="AA1344" s="5"/>
      <c r="AB1344" s="4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</row>
    <row r="1345">
      <c r="A1345" s="4" t="str">
        <f>VLOOKUP(L1345,payment_ids!C:D,2,FALSE)</f>
        <v>pay_H8GUvFif83xB4c</v>
      </c>
      <c r="B1345" s="4"/>
      <c r="C1345" s="4" t="s">
        <v>4561</v>
      </c>
      <c r="D1345" s="4">
        <v>50031.0</v>
      </c>
      <c r="E1345" s="4"/>
      <c r="F1345" s="4">
        <v>1.0</v>
      </c>
      <c r="G1345" s="4">
        <v>99.0</v>
      </c>
      <c r="H1345" s="4"/>
      <c r="I1345" s="4">
        <v>99.0</v>
      </c>
      <c r="J1345" s="4" t="s">
        <v>4573</v>
      </c>
      <c r="K1345" s="6">
        <f>+919821227594</f>
        <v>919821227594</v>
      </c>
      <c r="L1345" s="4" t="str">
        <f t="shared" si="1"/>
        <v>harsha.mehrotra@gmail.com919821227594</v>
      </c>
      <c r="M1345" s="10" t="s">
        <v>67</v>
      </c>
      <c r="N1345" s="4" t="b">
        <v>0</v>
      </c>
      <c r="O1345" s="4" t="str">
        <f>VLOOKUP(A1345,payment_ids!D:E,2,FALSE)</f>
        <v>card</v>
      </c>
      <c r="P1345" s="4" t="s">
        <v>69</v>
      </c>
      <c r="Q1345" s="11">
        <v>44413.665972222225</v>
      </c>
      <c r="R1345" s="4"/>
      <c r="S1345" s="12" t="s">
        <v>4563</v>
      </c>
      <c r="T1345" s="4"/>
      <c r="U1345" s="4"/>
      <c r="V1345" s="4"/>
      <c r="W1345" s="5"/>
      <c r="X1345" s="4"/>
      <c r="Y1345" s="4"/>
      <c r="Z1345" s="5"/>
      <c r="AA1345" s="4"/>
      <c r="AB1345" s="4"/>
      <c r="AC1345" s="4"/>
      <c r="AD1345" s="5"/>
      <c r="AE1345" s="5"/>
      <c r="AF1345" s="5"/>
      <c r="AG1345" s="5"/>
      <c r="AH1345" s="5"/>
      <c r="AI1345" s="5"/>
      <c r="AJ1345" s="5"/>
      <c r="AK1345" s="5"/>
      <c r="AL1345" s="5"/>
    </row>
    <row r="1346">
      <c r="A1346" s="4" t="str">
        <f>VLOOKUP(L1346,payment_ids!C:D,2,FALSE)</f>
        <v>pay_H8QVHDwXa0WvM8</v>
      </c>
      <c r="B1346" s="4"/>
      <c r="C1346" s="4" t="s">
        <v>4561</v>
      </c>
      <c r="D1346" s="4">
        <v>50031.0</v>
      </c>
      <c r="E1346" s="4"/>
      <c r="F1346" s="4">
        <v>1.0</v>
      </c>
      <c r="G1346" s="4">
        <v>99.0</v>
      </c>
      <c r="H1346" s="4"/>
      <c r="I1346" s="4">
        <v>99.0</v>
      </c>
      <c r="J1346" s="4" t="s">
        <v>4574</v>
      </c>
      <c r="K1346" s="6">
        <f>+919892531810</f>
        <v>919892531810</v>
      </c>
      <c r="L1346" s="4" t="str">
        <f t="shared" si="1"/>
        <v>diptipadhye7@gmail.com919892531810</v>
      </c>
      <c r="M1346" s="10" t="s">
        <v>67</v>
      </c>
      <c r="N1346" s="4" t="b">
        <v>0</v>
      </c>
      <c r="O1346" s="4" t="str">
        <f>VLOOKUP(A1346,payment_ids!D:E,2,FALSE)</f>
        <v>upi</v>
      </c>
      <c r="P1346" s="4" t="s">
        <v>69</v>
      </c>
      <c r="Q1346" s="11">
        <v>44444.07361111111</v>
      </c>
      <c r="R1346" s="4"/>
      <c r="S1346" s="12" t="s">
        <v>4563</v>
      </c>
      <c r="T1346" s="4"/>
      <c r="U1346" s="4"/>
      <c r="V1346" s="4"/>
      <c r="W1346" s="5"/>
      <c r="X1346" s="4"/>
      <c r="Y1346" s="4"/>
      <c r="Z1346" s="5"/>
      <c r="AA1346" s="4"/>
      <c r="AB1346" s="4"/>
      <c r="AC1346" s="4"/>
      <c r="AD1346" s="5"/>
      <c r="AE1346" s="5"/>
      <c r="AF1346" s="5"/>
      <c r="AG1346" s="5"/>
      <c r="AH1346" s="5"/>
      <c r="AI1346" s="5"/>
      <c r="AJ1346" s="5"/>
      <c r="AK1346" s="5"/>
      <c r="AL1346" s="5"/>
    </row>
    <row r="1347">
      <c r="A1347" s="4" t="str">
        <f>VLOOKUP(L1347,payment_ids!C:D,2,FALSE)</f>
        <v>pay_H8hPcjk6vzb0iA</v>
      </c>
      <c r="B1347" s="4"/>
      <c r="C1347" s="4" t="s">
        <v>4561</v>
      </c>
      <c r="D1347" s="4">
        <v>50031.0</v>
      </c>
      <c r="E1347" s="4"/>
      <c r="F1347" s="4">
        <v>1.0</v>
      </c>
      <c r="G1347" s="4">
        <v>99.0</v>
      </c>
      <c r="H1347" s="4"/>
      <c r="I1347" s="4">
        <v>99.0</v>
      </c>
      <c r="J1347" s="4" t="s">
        <v>4575</v>
      </c>
      <c r="K1347" s="6">
        <f>+917003319678</f>
        <v>917003319678</v>
      </c>
      <c r="L1347" s="4" t="str">
        <f t="shared" si="1"/>
        <v>pattanayakargha@gmail.com917003319678</v>
      </c>
      <c r="M1347" s="10" t="s">
        <v>67</v>
      </c>
      <c r="N1347" s="4" t="b">
        <v>0</v>
      </c>
      <c r="O1347" s="4" t="str">
        <f>VLOOKUP(A1347,payment_ids!D:E,2,FALSE)</f>
        <v>wallet</v>
      </c>
      <c r="P1347" s="4" t="s">
        <v>69</v>
      </c>
      <c r="Q1347" s="11">
        <v>44444.76388888889</v>
      </c>
      <c r="R1347" s="4"/>
      <c r="S1347" s="12" t="s">
        <v>4563</v>
      </c>
      <c r="T1347" s="4"/>
      <c r="U1347" s="4"/>
      <c r="V1347" s="4"/>
      <c r="W1347" s="5"/>
      <c r="X1347" s="4"/>
      <c r="Y1347" s="4"/>
      <c r="Z1347" s="5"/>
      <c r="AA1347" s="4"/>
      <c r="AB1347" s="4"/>
      <c r="AC1347" s="4"/>
      <c r="AD1347" s="5"/>
      <c r="AE1347" s="5"/>
      <c r="AF1347" s="5"/>
      <c r="AG1347" s="5"/>
      <c r="AH1347" s="5"/>
      <c r="AI1347" s="5"/>
      <c r="AJ1347" s="5"/>
      <c r="AK1347" s="5"/>
      <c r="AL1347" s="5"/>
    </row>
    <row r="1348">
      <c r="A1348" s="4" t="str">
        <f>VLOOKUP(L1348,payment_ids!C:D,2,FALSE)</f>
        <v>pay_H8ZyBOj2BqxEQC</v>
      </c>
      <c r="B1348" s="4"/>
      <c r="C1348" s="4" t="s">
        <v>4561</v>
      </c>
      <c r="D1348" s="4">
        <v>50031.0</v>
      </c>
      <c r="E1348" s="4"/>
      <c r="F1348" s="4">
        <v>1.0</v>
      </c>
      <c r="G1348" s="4">
        <v>99.0</v>
      </c>
      <c r="H1348" s="4"/>
      <c r="I1348" s="4">
        <v>99.0</v>
      </c>
      <c r="J1348" s="4" t="s">
        <v>4576</v>
      </c>
      <c r="K1348" s="6">
        <f>+918287573990</f>
        <v>918287573990</v>
      </c>
      <c r="L1348" s="4" t="str">
        <f t="shared" si="1"/>
        <v>veshakha.gulati@gmail.com918287573990</v>
      </c>
      <c r="M1348" s="10" t="s">
        <v>67</v>
      </c>
      <c r="N1348" s="4" t="b">
        <v>0</v>
      </c>
      <c r="O1348" s="4" t="str">
        <f>VLOOKUP(A1348,payment_ids!D:E,2,FALSE)</f>
        <v>upi</v>
      </c>
      <c r="P1348" s="4" t="s">
        <v>69</v>
      </c>
      <c r="Q1348" s="11">
        <v>44444.45972222222</v>
      </c>
      <c r="R1348" s="4"/>
      <c r="S1348" s="12" t="s">
        <v>4563</v>
      </c>
      <c r="T1348" s="4"/>
      <c r="U1348" s="4"/>
      <c r="V1348" s="4"/>
      <c r="W1348" s="5"/>
      <c r="X1348" s="4"/>
      <c r="Y1348" s="4"/>
      <c r="Z1348" s="5"/>
      <c r="AA1348" s="4"/>
      <c r="AB1348" s="4"/>
      <c r="AC1348" s="4"/>
      <c r="AD1348" s="5"/>
      <c r="AE1348" s="5"/>
      <c r="AF1348" s="5"/>
      <c r="AG1348" s="5"/>
      <c r="AH1348" s="5"/>
      <c r="AI1348" s="5"/>
      <c r="AJ1348" s="5"/>
      <c r="AK1348" s="5"/>
      <c r="AL1348" s="5"/>
    </row>
    <row r="1349">
      <c r="A1349" s="4" t="str">
        <f>VLOOKUP(L1349,payment_ids!C:D,2,FALSE)</f>
        <v>pay_H8aYrjresNF6Kh</v>
      </c>
      <c r="B1349" s="4"/>
      <c r="C1349" s="4" t="s">
        <v>4561</v>
      </c>
      <c r="D1349" s="4">
        <v>50031.0</v>
      </c>
      <c r="E1349" s="4"/>
      <c r="F1349" s="4">
        <v>3.0</v>
      </c>
      <c r="G1349" s="4">
        <v>199.0</v>
      </c>
      <c r="H1349" s="4"/>
      <c r="I1349" s="4">
        <v>199.0</v>
      </c>
      <c r="J1349" s="4" t="s">
        <v>4577</v>
      </c>
      <c r="K1349" s="6">
        <f>+919846554389</f>
        <v>919846554389</v>
      </c>
      <c r="L1349" s="4" t="str">
        <f t="shared" si="1"/>
        <v>fareeda.i.k@gmail.com919846554389</v>
      </c>
      <c r="M1349" s="10" t="s">
        <v>67</v>
      </c>
      <c r="N1349" s="4" t="b">
        <v>0</v>
      </c>
      <c r="O1349" s="4" t="str">
        <f>VLOOKUP(A1349,payment_ids!D:E,2,FALSE)</f>
        <v>upi</v>
      </c>
      <c r="P1349" s="4" t="s">
        <v>69</v>
      </c>
      <c r="Q1349" s="11">
        <v>44444.48333333333</v>
      </c>
      <c r="R1349" s="4"/>
      <c r="S1349" s="12" t="s">
        <v>4563</v>
      </c>
      <c r="T1349" s="4"/>
      <c r="U1349" s="4"/>
      <c r="V1349" s="4"/>
      <c r="W1349" s="5"/>
      <c r="X1349" s="4"/>
      <c r="Y1349" s="4"/>
      <c r="Z1349" s="5"/>
      <c r="AA1349" s="4"/>
      <c r="AB1349" s="4"/>
      <c r="AC1349" s="4"/>
      <c r="AD1349" s="5"/>
      <c r="AE1349" s="5"/>
      <c r="AF1349" s="5"/>
      <c r="AG1349" s="5"/>
      <c r="AH1349" s="5"/>
      <c r="AI1349" s="5"/>
      <c r="AJ1349" s="5"/>
      <c r="AK1349" s="5"/>
      <c r="AL1349" s="5"/>
    </row>
    <row r="1350">
      <c r="A1350" s="4" t="str">
        <f>VLOOKUP(L1350,payment_ids!C:D,2,FALSE)</f>
        <v>pay_H8OncwGBOIh52J</v>
      </c>
      <c r="B1350" s="4"/>
      <c r="C1350" s="4" t="s">
        <v>4561</v>
      </c>
      <c r="D1350" s="4">
        <v>50031.0</v>
      </c>
      <c r="E1350" s="4"/>
      <c r="F1350" s="4">
        <v>1.0</v>
      </c>
      <c r="G1350" s="4">
        <v>99.0</v>
      </c>
      <c r="H1350" s="4"/>
      <c r="I1350" s="4">
        <v>99.0</v>
      </c>
      <c r="J1350" s="4" t="s">
        <v>4578</v>
      </c>
      <c r="K1350" s="6">
        <f>+919036333975</f>
        <v>919036333975</v>
      </c>
      <c r="L1350" s="4" t="str">
        <f t="shared" si="1"/>
        <v>umasnairassocham@gmail.com919036333975</v>
      </c>
      <c r="M1350" s="10" t="s">
        <v>67</v>
      </c>
      <c r="N1350" s="4" t="b">
        <v>0</v>
      </c>
      <c r="O1350" s="4" t="str">
        <f>VLOOKUP(A1350,payment_ids!D:E,2,FALSE)</f>
        <v>upi</v>
      </c>
      <c r="P1350" s="4" t="s">
        <v>69</v>
      </c>
      <c r="Q1350" s="11">
        <v>44444.004166666666</v>
      </c>
      <c r="R1350" s="4"/>
      <c r="S1350" s="12" t="s">
        <v>4563</v>
      </c>
      <c r="T1350" s="4"/>
      <c r="U1350" s="4"/>
      <c r="V1350" s="4"/>
      <c r="W1350" s="5"/>
      <c r="X1350" s="4"/>
      <c r="Y1350" s="4"/>
      <c r="Z1350" s="5"/>
      <c r="AA1350" s="4"/>
      <c r="AB1350" s="4"/>
      <c r="AC1350" s="4"/>
      <c r="AD1350" s="5"/>
      <c r="AE1350" s="5"/>
      <c r="AF1350" s="5"/>
      <c r="AG1350" s="5"/>
      <c r="AH1350" s="5"/>
      <c r="AI1350" s="5"/>
      <c r="AJ1350" s="5"/>
      <c r="AK1350" s="5"/>
      <c r="AL1350" s="5"/>
    </row>
    <row r="1351">
      <c r="A1351" s="4" t="str">
        <f>VLOOKUP(L1351,payment_ids!C:D,2,FALSE)</f>
        <v>pay_H8vPPN1VHDbpfL</v>
      </c>
      <c r="B1351" s="4"/>
      <c r="C1351" s="4" t="s">
        <v>4561</v>
      </c>
      <c r="D1351" s="4">
        <v>50031.0</v>
      </c>
      <c r="E1351" s="4"/>
      <c r="F1351" s="4">
        <v>1.0</v>
      </c>
      <c r="G1351" s="4">
        <v>99.0</v>
      </c>
      <c r="H1351" s="4"/>
      <c r="I1351" s="4">
        <v>99.0</v>
      </c>
      <c r="J1351" s="4" t="s">
        <v>4579</v>
      </c>
      <c r="K1351" s="6">
        <f>+917014289144</f>
        <v>917014289144</v>
      </c>
      <c r="L1351" s="4" t="str">
        <f t="shared" si="1"/>
        <v>subh.85sharma@gmail.com917014289144</v>
      </c>
      <c r="M1351" s="10" t="s">
        <v>67</v>
      </c>
      <c r="N1351" s="4" t="b">
        <v>0</v>
      </c>
      <c r="O1351" s="4" t="str">
        <f>VLOOKUP(A1351,payment_ids!D:E,2,FALSE)</f>
        <v>card</v>
      </c>
      <c r="P1351" s="4" t="s">
        <v>69</v>
      </c>
      <c r="Q1351" s="11">
        <v>44474.33263888889</v>
      </c>
      <c r="R1351" s="4"/>
      <c r="S1351" s="12" t="s">
        <v>4563</v>
      </c>
      <c r="T1351" s="4"/>
      <c r="U1351" s="4"/>
      <c r="V1351" s="4"/>
      <c r="W1351" s="5"/>
      <c r="X1351" s="4"/>
      <c r="Y1351" s="4"/>
      <c r="Z1351" s="5"/>
      <c r="AA1351" s="4"/>
      <c r="AB1351" s="4"/>
      <c r="AC1351" s="4"/>
      <c r="AD1351" s="5"/>
      <c r="AE1351" s="5"/>
      <c r="AF1351" s="5"/>
      <c r="AG1351" s="5"/>
      <c r="AH1351" s="5"/>
      <c r="AI1351" s="5"/>
      <c r="AJ1351" s="5"/>
      <c r="AK1351" s="5"/>
      <c r="AL1351" s="5"/>
    </row>
    <row r="1352">
      <c r="A1352" s="4" t="str">
        <f>VLOOKUP(L1352,payment_ids!C:D,2,FALSE)</f>
        <v>pay_H9ChAVcoEmfD62</v>
      </c>
      <c r="B1352" s="4"/>
      <c r="C1352" s="4" t="s">
        <v>4561</v>
      </c>
      <c r="D1352" s="4">
        <v>50031.0</v>
      </c>
      <c r="E1352" s="4"/>
      <c r="F1352" s="4">
        <v>1.0</v>
      </c>
      <c r="G1352" s="4">
        <v>99.0</v>
      </c>
      <c r="H1352" s="4"/>
      <c r="I1352" s="4">
        <v>99.0</v>
      </c>
      <c r="J1352" s="4" t="s">
        <v>4580</v>
      </c>
      <c r="K1352" s="6">
        <f>+918892009696</f>
        <v>918892009696</v>
      </c>
      <c r="L1352" s="4" t="str">
        <f t="shared" si="1"/>
        <v>amahante@gmail.com918892009696</v>
      </c>
      <c r="M1352" s="10" t="s">
        <v>67</v>
      </c>
      <c r="N1352" s="4" t="b">
        <v>0</v>
      </c>
      <c r="O1352" s="4" t="str">
        <f>VLOOKUP(A1352,payment_ids!D:E,2,FALSE)</f>
        <v>upi</v>
      </c>
      <c r="P1352" s="4" t="s">
        <v>69</v>
      </c>
      <c r="Q1352" s="11">
        <v>44505.0375</v>
      </c>
      <c r="R1352" s="4"/>
      <c r="S1352" s="12" t="s">
        <v>4563</v>
      </c>
      <c r="T1352" s="4"/>
      <c r="U1352" s="4"/>
      <c r="V1352" s="4"/>
      <c r="W1352" s="5"/>
      <c r="X1352" s="4"/>
      <c r="Y1352" s="4"/>
      <c r="Z1352" s="5"/>
      <c r="AA1352" s="4"/>
      <c r="AB1352" s="4"/>
      <c r="AC1352" s="4"/>
      <c r="AD1352" s="5"/>
      <c r="AE1352" s="5"/>
      <c r="AF1352" s="5"/>
      <c r="AG1352" s="5"/>
      <c r="AH1352" s="5"/>
      <c r="AI1352" s="5"/>
      <c r="AJ1352" s="5"/>
      <c r="AK1352" s="5"/>
      <c r="AL1352" s="5"/>
    </row>
    <row r="1353">
      <c r="A1353" s="4" t="str">
        <f>VLOOKUP(L1353,payment_ids!C:D,2,FALSE)</f>
        <v>pay_HBXgdMphOczVEE</v>
      </c>
      <c r="B1353" s="4"/>
      <c r="C1353" s="4" t="s">
        <v>4561</v>
      </c>
      <c r="D1353" s="4">
        <v>50031.0</v>
      </c>
      <c r="E1353" s="4"/>
      <c r="F1353" s="4">
        <v>1.0</v>
      </c>
      <c r="G1353" s="4">
        <v>99.0</v>
      </c>
      <c r="H1353" s="4"/>
      <c r="I1353" s="4">
        <v>99.0</v>
      </c>
      <c r="J1353" s="4" t="s">
        <v>4581</v>
      </c>
      <c r="K1353" s="6">
        <f>+919323302300</f>
        <v>919323302300</v>
      </c>
      <c r="L1353" s="4" t="str">
        <f t="shared" si="1"/>
        <v>visionandmission2021@gmail.com919323302300</v>
      </c>
      <c r="M1353" s="10" t="s">
        <v>67</v>
      </c>
      <c r="N1353" s="4" t="b">
        <v>0</v>
      </c>
      <c r="O1353" s="4" t="str">
        <f>VLOOKUP(A1353,payment_ids!D:E,2,FALSE)</f>
        <v>card</v>
      </c>
      <c r="P1353" s="4" t="s">
        <v>69</v>
      </c>
      <c r="Q1353" s="4" t="s">
        <v>4582</v>
      </c>
      <c r="R1353" s="4"/>
      <c r="S1353" s="12" t="s">
        <v>4563</v>
      </c>
      <c r="T1353" s="4"/>
      <c r="U1353" s="4"/>
      <c r="V1353" s="4"/>
      <c r="W1353" s="5"/>
      <c r="X1353" s="4"/>
      <c r="Y1353" s="4"/>
      <c r="Z1353" s="5"/>
      <c r="AA1353" s="4"/>
      <c r="AB1353" s="4"/>
      <c r="AC1353" s="4"/>
      <c r="AD1353" s="5"/>
      <c r="AE1353" s="5"/>
      <c r="AF1353" s="5"/>
      <c r="AG1353" s="5"/>
      <c r="AH1353" s="5"/>
      <c r="AI1353" s="5"/>
      <c r="AJ1353" s="5"/>
      <c r="AK1353" s="5"/>
      <c r="AL1353" s="5"/>
    </row>
    <row r="1354">
      <c r="A1354" s="4" t="str">
        <f>VLOOKUP(L1354,payment_ids!C:D,2,FALSE)</f>
        <v>pay_HBAaaTzEymv660</v>
      </c>
      <c r="B1354" s="4"/>
      <c r="C1354" s="4" t="s">
        <v>4561</v>
      </c>
      <c r="D1354" s="4">
        <v>50031.0</v>
      </c>
      <c r="E1354" s="4"/>
      <c r="F1354" s="4">
        <v>1.0</v>
      </c>
      <c r="G1354" s="4">
        <v>99.0</v>
      </c>
      <c r="H1354" s="4"/>
      <c r="I1354" s="4">
        <v>99.0</v>
      </c>
      <c r="J1354" s="4" t="s">
        <v>4583</v>
      </c>
      <c r="K1354" s="6">
        <f>+919844400981</f>
        <v>919844400981</v>
      </c>
      <c r="L1354" s="4" t="str">
        <f t="shared" si="1"/>
        <v>ramagopal.nr65@gmail.com919844400981</v>
      </c>
      <c r="M1354" s="10" t="s">
        <v>67</v>
      </c>
      <c r="N1354" s="4" t="b">
        <v>0</v>
      </c>
      <c r="O1354" s="4" t="str">
        <f>VLOOKUP(A1354,payment_ids!D:E,2,FALSE)</f>
        <v>card</v>
      </c>
      <c r="P1354" s="4" t="s">
        <v>69</v>
      </c>
      <c r="Q1354" s="4" t="s">
        <v>4584</v>
      </c>
      <c r="R1354" s="4"/>
      <c r="S1354" s="12" t="s">
        <v>4563</v>
      </c>
      <c r="T1354" s="4"/>
      <c r="U1354" s="4"/>
      <c r="V1354" s="4"/>
      <c r="W1354" s="5"/>
      <c r="X1354" s="4"/>
      <c r="Y1354" s="4"/>
      <c r="Z1354" s="5"/>
      <c r="AA1354" s="4"/>
      <c r="AB1354" s="4"/>
      <c r="AC1354" s="4"/>
      <c r="AD1354" s="5"/>
      <c r="AE1354" s="5"/>
      <c r="AF1354" s="5"/>
      <c r="AG1354" s="5"/>
      <c r="AH1354" s="5"/>
      <c r="AI1354" s="5"/>
      <c r="AJ1354" s="5"/>
      <c r="AK1354" s="5"/>
      <c r="AL1354" s="5"/>
    </row>
    <row r="1355">
      <c r="A1355" s="4" t="str">
        <f>VLOOKUP(L1355,payment_ids!C:D,2,FALSE)</f>
        <v>pay_HBu0rrEzOxpYgD</v>
      </c>
      <c r="B1355" s="4"/>
      <c r="C1355" s="4" t="s">
        <v>4561</v>
      </c>
      <c r="D1355" s="4">
        <v>50031.0</v>
      </c>
      <c r="E1355" s="4"/>
      <c r="F1355" s="4">
        <v>1.0</v>
      </c>
      <c r="G1355" s="4">
        <v>99.0</v>
      </c>
      <c r="H1355" s="4"/>
      <c r="I1355" s="4">
        <v>99.0</v>
      </c>
      <c r="J1355" s="4" t="s">
        <v>4585</v>
      </c>
      <c r="K1355" s="6">
        <f>+917666516550</f>
        <v>917666516550</v>
      </c>
      <c r="L1355" s="4" t="str">
        <f t="shared" si="1"/>
        <v>jaipathre@gmail.com917666516550</v>
      </c>
      <c r="M1355" s="10" t="s">
        <v>67</v>
      </c>
      <c r="N1355" s="4" t="b">
        <v>0</v>
      </c>
      <c r="O1355" s="4" t="str">
        <f>VLOOKUP(A1355,payment_ids!D:E,2,FALSE)</f>
        <v>upi</v>
      </c>
      <c r="P1355" s="4" t="s">
        <v>69</v>
      </c>
      <c r="Q1355" s="4" t="s">
        <v>4586</v>
      </c>
      <c r="R1355" s="4"/>
      <c r="S1355" s="12" t="s">
        <v>4563</v>
      </c>
      <c r="T1355" s="4"/>
      <c r="U1355" s="4"/>
      <c r="V1355" s="4"/>
      <c r="W1355" s="5"/>
      <c r="X1355" s="4"/>
      <c r="Y1355" s="4"/>
      <c r="Z1355" s="5"/>
      <c r="AA1355" s="4"/>
      <c r="AB1355" s="4"/>
      <c r="AC1355" s="4"/>
      <c r="AD1355" s="5"/>
      <c r="AE1355" s="5"/>
      <c r="AF1355" s="5"/>
      <c r="AG1355" s="5"/>
      <c r="AH1355" s="5"/>
      <c r="AI1355" s="5"/>
      <c r="AJ1355" s="5"/>
      <c r="AK1355" s="5"/>
      <c r="AL1355" s="5"/>
    </row>
    <row r="1356">
      <c r="A1356" s="4" t="str">
        <f>VLOOKUP(L1356,payment_ids!C:D,2,FALSE)</f>
        <v>pay_HBu439YxKIo8M8</v>
      </c>
      <c r="B1356" s="4"/>
      <c r="C1356" s="4" t="s">
        <v>4561</v>
      </c>
      <c r="D1356" s="4">
        <v>50031.0</v>
      </c>
      <c r="E1356" s="4"/>
      <c r="F1356" s="4">
        <v>1.0</v>
      </c>
      <c r="G1356" s="4">
        <v>99.0</v>
      </c>
      <c r="H1356" s="4"/>
      <c r="I1356" s="4">
        <v>99.0</v>
      </c>
      <c r="J1356" s="4" t="s">
        <v>4587</v>
      </c>
      <c r="K1356" s="6">
        <f>+919739654501</f>
        <v>919739654501</v>
      </c>
      <c r="L1356" s="4" t="str">
        <f t="shared" si="1"/>
        <v>sudharao63@gmail.com919739654501</v>
      </c>
      <c r="M1356" s="10" t="s">
        <v>67</v>
      </c>
      <c r="N1356" s="4" t="b">
        <v>0</v>
      </c>
      <c r="O1356" s="4" t="str">
        <f>VLOOKUP(A1356,payment_ids!D:E,2,FALSE)</f>
        <v>upi</v>
      </c>
      <c r="P1356" s="4" t="s">
        <v>69</v>
      </c>
      <c r="Q1356" s="4" t="s">
        <v>4588</v>
      </c>
      <c r="R1356" s="4"/>
      <c r="S1356" s="12" t="s">
        <v>4563</v>
      </c>
      <c r="T1356" s="4"/>
      <c r="U1356" s="4"/>
      <c r="V1356" s="4"/>
      <c r="W1356" s="5"/>
      <c r="X1356" s="4"/>
      <c r="Y1356" s="4"/>
      <c r="Z1356" s="5"/>
      <c r="AA1356" s="4"/>
      <c r="AB1356" s="4"/>
      <c r="AC1356" s="4"/>
      <c r="AD1356" s="5"/>
      <c r="AE1356" s="5"/>
      <c r="AF1356" s="5"/>
      <c r="AG1356" s="5"/>
      <c r="AH1356" s="5"/>
      <c r="AI1356" s="5"/>
      <c r="AJ1356" s="5"/>
      <c r="AK1356" s="5"/>
      <c r="AL1356" s="5"/>
    </row>
    <row r="1357">
      <c r="A1357" s="4" t="str">
        <f>VLOOKUP(L1357,payment_ids!C:D,2,FALSE)</f>
        <v>pay_HBlzYALY1yfsuN</v>
      </c>
      <c r="B1357" s="4"/>
      <c r="C1357" s="4" t="s">
        <v>4561</v>
      </c>
      <c r="D1357" s="4">
        <v>50031.0</v>
      </c>
      <c r="E1357" s="4"/>
      <c r="F1357" s="4">
        <v>1.0</v>
      </c>
      <c r="G1357" s="4">
        <v>99.0</v>
      </c>
      <c r="H1357" s="4"/>
      <c r="I1357" s="4">
        <v>99.0</v>
      </c>
      <c r="J1357" s="4" t="s">
        <v>4589</v>
      </c>
      <c r="K1357" s="6">
        <f>+919742818903</f>
        <v>919742818903</v>
      </c>
      <c r="L1357" s="4" t="str">
        <f t="shared" si="1"/>
        <v>rsindhu79@yahoo.com919742818903</v>
      </c>
      <c r="M1357" s="10" t="s">
        <v>67</v>
      </c>
      <c r="N1357" s="4" t="b">
        <v>0</v>
      </c>
      <c r="O1357" s="4" t="str">
        <f>VLOOKUP(A1357,payment_ids!D:E,2,FALSE)</f>
        <v>upi</v>
      </c>
      <c r="P1357" s="4" t="s">
        <v>69</v>
      </c>
      <c r="Q1357" s="4" t="s">
        <v>4590</v>
      </c>
      <c r="R1357" s="4"/>
      <c r="S1357" s="12" t="s">
        <v>4563</v>
      </c>
      <c r="T1357" s="4"/>
      <c r="U1357" s="4"/>
      <c r="V1357" s="4"/>
      <c r="W1357" s="5"/>
      <c r="X1357" s="4"/>
      <c r="Y1357" s="4"/>
      <c r="Z1357" s="5"/>
      <c r="AA1357" s="4"/>
      <c r="AB1357" s="4"/>
      <c r="AC1357" s="4"/>
      <c r="AD1357" s="5"/>
      <c r="AE1357" s="5"/>
      <c r="AF1357" s="5"/>
      <c r="AG1357" s="5"/>
      <c r="AH1357" s="5"/>
      <c r="AI1357" s="5"/>
      <c r="AJ1357" s="5"/>
      <c r="AK1357" s="5"/>
      <c r="AL1357" s="5"/>
    </row>
    <row r="1358">
      <c r="A1358" s="4" t="str">
        <f>VLOOKUP(L1358,payment_ids!C:D,2,FALSE)</f>
        <v>pay_HC9TsHcZVXwrax</v>
      </c>
      <c r="B1358" s="4"/>
      <c r="C1358" s="4" t="s">
        <v>4561</v>
      </c>
      <c r="D1358" s="4">
        <v>50031.0</v>
      </c>
      <c r="E1358" s="4"/>
      <c r="F1358" s="4">
        <v>1.0</v>
      </c>
      <c r="G1358" s="4">
        <v>99.0</v>
      </c>
      <c r="H1358" s="4"/>
      <c r="I1358" s="4">
        <v>99.0</v>
      </c>
      <c r="J1358" s="4" t="s">
        <v>4591</v>
      </c>
      <c r="K1358" s="6">
        <f>+917827888080</f>
        <v>917827888080</v>
      </c>
      <c r="L1358" s="4" t="str">
        <f t="shared" si="1"/>
        <v>manushka49@gmail.com917827888080</v>
      </c>
      <c r="M1358" s="10" t="s">
        <v>67</v>
      </c>
      <c r="N1358" s="4" t="b">
        <v>0</v>
      </c>
      <c r="O1358" s="4" t="str">
        <f>VLOOKUP(A1358,payment_ids!D:E,2,FALSE)</f>
        <v>upi</v>
      </c>
      <c r="P1358" s="4" t="s">
        <v>69</v>
      </c>
      <c r="Q1358" s="4" t="s">
        <v>4592</v>
      </c>
      <c r="R1358" s="4"/>
      <c r="S1358" s="12" t="s">
        <v>4563</v>
      </c>
      <c r="T1358" s="4"/>
      <c r="U1358" s="4"/>
      <c r="V1358" s="4"/>
      <c r="W1358" s="5"/>
      <c r="X1358" s="4"/>
      <c r="Y1358" s="4"/>
      <c r="Z1358" s="5"/>
      <c r="AA1358" s="4"/>
      <c r="AB1358" s="4"/>
      <c r="AC1358" s="4"/>
      <c r="AD1358" s="5"/>
      <c r="AE1358" s="5"/>
      <c r="AF1358" s="5"/>
      <c r="AG1358" s="5"/>
      <c r="AH1358" s="5"/>
      <c r="AI1358" s="5"/>
      <c r="AJ1358" s="5"/>
      <c r="AK1358" s="5"/>
      <c r="AL1358" s="5"/>
    </row>
    <row r="1359">
      <c r="A1359" s="4" t="str">
        <f>VLOOKUP(L1359,payment_ids!C:D,2,FALSE)</f>
        <v>pay_HByAFEetk8m3JE</v>
      </c>
      <c r="B1359" s="4"/>
      <c r="C1359" s="4" t="s">
        <v>4561</v>
      </c>
      <c r="D1359" s="4">
        <v>50031.0</v>
      </c>
      <c r="E1359" s="4"/>
      <c r="F1359" s="4">
        <v>1.0</v>
      </c>
      <c r="G1359" s="4">
        <v>99.0</v>
      </c>
      <c r="H1359" s="4"/>
      <c r="I1359" s="4">
        <v>99.0</v>
      </c>
      <c r="J1359" s="4" t="s">
        <v>4593</v>
      </c>
      <c r="K1359" s="6">
        <f>+919999002861</f>
        <v>919999002861</v>
      </c>
      <c r="L1359" s="4" t="str">
        <f t="shared" si="1"/>
        <v>anshikarana@outlook.com919999002861</v>
      </c>
      <c r="M1359" s="10" t="s">
        <v>67</v>
      </c>
      <c r="N1359" s="4" t="b">
        <v>0</v>
      </c>
      <c r="O1359" s="4" t="str">
        <f>VLOOKUP(A1359,payment_ids!D:E,2,FALSE)</f>
        <v>upi</v>
      </c>
      <c r="P1359" s="4" t="s">
        <v>69</v>
      </c>
      <c r="Q1359" s="4" t="s">
        <v>4594</v>
      </c>
      <c r="R1359" s="4"/>
      <c r="S1359" s="12" t="s">
        <v>4563</v>
      </c>
      <c r="T1359" s="4"/>
      <c r="U1359" s="4"/>
      <c r="V1359" s="4"/>
      <c r="W1359" s="5"/>
      <c r="X1359" s="4"/>
      <c r="Y1359" s="4"/>
      <c r="Z1359" s="5"/>
      <c r="AA1359" s="4"/>
      <c r="AB1359" s="4"/>
      <c r="AC1359" s="4"/>
      <c r="AD1359" s="5"/>
      <c r="AE1359" s="5"/>
      <c r="AF1359" s="5"/>
      <c r="AG1359" s="5"/>
      <c r="AH1359" s="5"/>
      <c r="AI1359" s="5"/>
      <c r="AJ1359" s="5"/>
      <c r="AK1359" s="5"/>
      <c r="AL1359" s="5"/>
    </row>
    <row r="1360">
      <c r="A1360" s="4" t="str">
        <f>VLOOKUP(L1360,payment_ids!C:D,2,FALSE)</f>
        <v>pay_HCEaWAfi3RdPPo</v>
      </c>
      <c r="B1360" s="4"/>
      <c r="C1360" s="4" t="s">
        <v>4561</v>
      </c>
      <c r="D1360" s="4">
        <v>50031.0</v>
      </c>
      <c r="E1360" s="4"/>
      <c r="F1360" s="4">
        <v>1.0</v>
      </c>
      <c r="G1360" s="4">
        <v>99.0</v>
      </c>
      <c r="H1360" s="4"/>
      <c r="I1360" s="4">
        <v>99.0</v>
      </c>
      <c r="J1360" s="4" t="s">
        <v>4595</v>
      </c>
      <c r="K1360" s="6">
        <f>+919049070044</f>
        <v>919049070044</v>
      </c>
      <c r="L1360" s="4" t="str">
        <f t="shared" si="1"/>
        <v>abhilasha.shah27@gmail.com919049070044</v>
      </c>
      <c r="M1360" s="10" t="s">
        <v>67</v>
      </c>
      <c r="N1360" s="4" t="b">
        <v>0</v>
      </c>
      <c r="O1360" s="4" t="str">
        <f>VLOOKUP(A1360,payment_ids!D:E,2,FALSE)</f>
        <v>upi</v>
      </c>
      <c r="P1360" s="4" t="s">
        <v>69</v>
      </c>
      <c r="Q1360" s="4" t="s">
        <v>4596</v>
      </c>
      <c r="R1360" s="4"/>
      <c r="S1360" s="12" t="s">
        <v>4563</v>
      </c>
      <c r="T1360" s="4"/>
      <c r="U1360" s="4"/>
      <c r="V1360" s="4"/>
      <c r="W1360" s="5"/>
      <c r="X1360" s="4"/>
      <c r="Y1360" s="4"/>
      <c r="Z1360" s="5"/>
      <c r="AA1360" s="4"/>
      <c r="AB1360" s="4"/>
      <c r="AC1360" s="4"/>
      <c r="AD1360" s="5"/>
      <c r="AE1360" s="5"/>
      <c r="AF1360" s="5"/>
      <c r="AG1360" s="5"/>
      <c r="AH1360" s="5"/>
      <c r="AI1360" s="5"/>
      <c r="AJ1360" s="5"/>
      <c r="AK1360" s="5"/>
      <c r="AL1360" s="5"/>
    </row>
    <row r="1361">
      <c r="A1361" s="4" t="str">
        <f>VLOOKUP(L1361,payment_ids!C:D,2,FALSE)</f>
        <v>pay_HCHY7r6Uo6UKQP</v>
      </c>
      <c r="B1361" s="4"/>
      <c r="C1361" s="4" t="s">
        <v>4561</v>
      </c>
      <c r="D1361" s="4">
        <v>50031.0</v>
      </c>
      <c r="E1361" s="4"/>
      <c r="F1361" s="4">
        <v>1.0</v>
      </c>
      <c r="G1361" s="4">
        <v>99.0</v>
      </c>
      <c r="H1361" s="4"/>
      <c r="I1361" s="4">
        <v>99.0</v>
      </c>
      <c r="J1361" s="4" t="s">
        <v>4597</v>
      </c>
      <c r="K1361" s="6">
        <f>+919971476969</f>
        <v>919971476969</v>
      </c>
      <c r="L1361" s="4" t="str">
        <f t="shared" si="1"/>
        <v>subbaramireddy305@gmail.com919971476969</v>
      </c>
      <c r="M1361" s="10" t="s">
        <v>67</v>
      </c>
      <c r="N1361" s="4" t="b">
        <v>0</v>
      </c>
      <c r="O1361" s="4" t="str">
        <f>VLOOKUP(A1361,payment_ids!D:E,2,FALSE)</f>
        <v>netbanking</v>
      </c>
      <c r="P1361" s="4" t="s">
        <v>69</v>
      </c>
      <c r="Q1361" s="4" t="s">
        <v>4598</v>
      </c>
      <c r="R1361" s="4"/>
      <c r="S1361" s="12" t="s">
        <v>4563</v>
      </c>
      <c r="T1361" s="4"/>
      <c r="U1361" s="4"/>
      <c r="V1361" s="4"/>
      <c r="W1361" s="5"/>
      <c r="X1361" s="4"/>
      <c r="Y1361" s="4"/>
      <c r="Z1361" s="5"/>
      <c r="AA1361" s="4"/>
      <c r="AB1361" s="4"/>
      <c r="AC1361" s="4"/>
      <c r="AD1361" s="5"/>
      <c r="AE1361" s="5"/>
      <c r="AF1361" s="5"/>
      <c r="AG1361" s="5"/>
      <c r="AH1361" s="5"/>
      <c r="AI1361" s="5"/>
      <c r="AJ1361" s="5"/>
      <c r="AK1361" s="5"/>
      <c r="AL1361" s="5"/>
    </row>
    <row r="1362">
      <c r="A1362" s="4" t="str">
        <f>VLOOKUP(L1362,payment_ids!C:D,2,FALSE)</f>
        <v>pay_HCXKffFJbl6M1N</v>
      </c>
      <c r="B1362" s="4"/>
      <c r="C1362" s="4" t="s">
        <v>4561</v>
      </c>
      <c r="D1362" s="4">
        <v>50031.0</v>
      </c>
      <c r="E1362" s="4"/>
      <c r="F1362" s="4">
        <v>1.0</v>
      </c>
      <c r="G1362" s="4">
        <v>99.0</v>
      </c>
      <c r="H1362" s="4"/>
      <c r="I1362" s="4">
        <v>99.0</v>
      </c>
      <c r="J1362" s="4" t="s">
        <v>4599</v>
      </c>
      <c r="K1362" s="6">
        <f>+919972852522</f>
        <v>919972852522</v>
      </c>
      <c r="L1362" s="4" t="str">
        <f t="shared" si="1"/>
        <v>honeysibi@idrr.org919972852522</v>
      </c>
      <c r="M1362" s="10" t="s">
        <v>67</v>
      </c>
      <c r="N1362" s="4" t="b">
        <v>0</v>
      </c>
      <c r="O1362" s="4" t="str">
        <f>VLOOKUP(A1362,payment_ids!D:E,2,FALSE)</f>
        <v>upi</v>
      </c>
      <c r="P1362" s="4" t="s">
        <v>69</v>
      </c>
      <c r="Q1362" s="4" t="s">
        <v>4600</v>
      </c>
      <c r="R1362" s="4"/>
      <c r="S1362" s="12" t="s">
        <v>4563</v>
      </c>
      <c r="T1362" s="4"/>
      <c r="U1362" s="4"/>
      <c r="V1362" s="4"/>
      <c r="W1362" s="5"/>
      <c r="X1362" s="4"/>
      <c r="Y1362" s="4"/>
      <c r="Z1362" s="5"/>
      <c r="AA1362" s="4"/>
      <c r="AB1362" s="4"/>
      <c r="AC1362" s="4"/>
      <c r="AD1362" s="5"/>
      <c r="AE1362" s="5"/>
      <c r="AF1362" s="5"/>
      <c r="AG1362" s="5"/>
      <c r="AH1362" s="5"/>
      <c r="AI1362" s="5"/>
      <c r="AJ1362" s="5"/>
      <c r="AK1362" s="5"/>
      <c r="AL1362" s="5"/>
    </row>
    <row r="1363">
      <c r="A1363" s="4" t="str">
        <f>VLOOKUP(L1363,payment_ids!C:D,2,FALSE)</f>
        <v>pay_HCbIhR7hr7kTxY</v>
      </c>
      <c r="B1363" s="4"/>
      <c r="C1363" s="4" t="s">
        <v>4561</v>
      </c>
      <c r="D1363" s="4">
        <v>50031.0</v>
      </c>
      <c r="E1363" s="4"/>
      <c r="F1363" s="4">
        <v>3.0</v>
      </c>
      <c r="G1363" s="4">
        <v>199.0</v>
      </c>
      <c r="H1363" s="4"/>
      <c r="I1363" s="4">
        <v>199.0</v>
      </c>
      <c r="J1363" s="4" t="s">
        <v>4414</v>
      </c>
      <c r="K1363" s="6">
        <f>+918754541518</f>
        <v>918754541518</v>
      </c>
      <c r="L1363" s="4" t="str">
        <f t="shared" si="1"/>
        <v>arul.georginal@gmail.com918754541518</v>
      </c>
      <c r="M1363" s="10" t="s">
        <v>67</v>
      </c>
      <c r="N1363" s="4" t="b">
        <v>0</v>
      </c>
      <c r="O1363" s="4" t="str">
        <f>VLOOKUP(A1363,payment_ids!D:E,2,FALSE)</f>
        <v>upi</v>
      </c>
      <c r="P1363" s="4" t="s">
        <v>69</v>
      </c>
      <c r="Q1363" s="4" t="s">
        <v>4601</v>
      </c>
      <c r="R1363" s="4"/>
      <c r="S1363" s="12" t="s">
        <v>4563</v>
      </c>
      <c r="T1363" s="4"/>
      <c r="U1363" s="4"/>
      <c r="V1363" s="4"/>
      <c r="W1363" s="5"/>
      <c r="X1363" s="4"/>
      <c r="Y1363" s="4"/>
      <c r="Z1363" s="5"/>
      <c r="AA1363" s="4"/>
      <c r="AB1363" s="4"/>
      <c r="AC1363" s="4"/>
      <c r="AD1363" s="5"/>
      <c r="AE1363" s="5"/>
      <c r="AF1363" s="5"/>
      <c r="AG1363" s="5"/>
      <c r="AH1363" s="5"/>
      <c r="AI1363" s="5"/>
      <c r="AJ1363" s="5"/>
      <c r="AK1363" s="5"/>
      <c r="AL1363" s="5"/>
    </row>
    <row r="1364">
      <c r="A1364" s="4" t="str">
        <f>VLOOKUP(L1364,payment_ids!C:D,2,FALSE)</f>
        <v>pay_HD5r7zNBN7Cnnu</v>
      </c>
      <c r="B1364" s="4"/>
      <c r="C1364" s="4" t="s">
        <v>4561</v>
      </c>
      <c r="D1364" s="4">
        <v>50031.0</v>
      </c>
      <c r="E1364" s="4"/>
      <c r="F1364" s="4">
        <v>1.0</v>
      </c>
      <c r="G1364" s="4">
        <v>99.0</v>
      </c>
      <c r="H1364" s="4"/>
      <c r="I1364" s="4">
        <v>99.0</v>
      </c>
      <c r="J1364" s="4" t="s">
        <v>4602</v>
      </c>
      <c r="K1364" s="6">
        <f>+917231919191</f>
        <v>917231919191</v>
      </c>
      <c r="L1364" s="4" t="str">
        <f t="shared" si="1"/>
        <v>prashantcse14@gmail.com917231919191</v>
      </c>
      <c r="M1364" s="10" t="s">
        <v>67</v>
      </c>
      <c r="N1364" s="4" t="b">
        <v>0</v>
      </c>
      <c r="O1364" s="4" t="str">
        <f>VLOOKUP(A1364,payment_ids!D:E,2,FALSE)</f>
        <v>upi</v>
      </c>
      <c r="P1364" s="4" t="s">
        <v>69</v>
      </c>
      <c r="Q1364" s="4" t="s">
        <v>4603</v>
      </c>
      <c r="R1364" s="4"/>
      <c r="S1364" s="12" t="s">
        <v>4563</v>
      </c>
      <c r="T1364" s="4"/>
      <c r="U1364" s="4"/>
      <c r="V1364" s="4"/>
      <c r="W1364" s="5"/>
      <c r="X1364" s="4"/>
      <c r="Y1364" s="4"/>
      <c r="Z1364" s="5"/>
      <c r="AA1364" s="4"/>
      <c r="AB1364" s="4"/>
      <c r="AC1364" s="4"/>
      <c r="AD1364" s="5"/>
      <c r="AE1364" s="5"/>
      <c r="AF1364" s="5"/>
      <c r="AG1364" s="5"/>
      <c r="AH1364" s="5"/>
      <c r="AI1364" s="5"/>
      <c r="AJ1364" s="5"/>
      <c r="AK1364" s="5"/>
      <c r="AL1364" s="5"/>
    </row>
    <row r="1365">
      <c r="A1365" s="4" t="str">
        <f>VLOOKUP(L1365,payment_ids!C:D,2,FALSE)</f>
        <v>pay_HDHfqdBC5egyBq</v>
      </c>
      <c r="B1365" s="4"/>
      <c r="C1365" s="4" t="s">
        <v>4561</v>
      </c>
      <c r="D1365" s="4">
        <v>50031.0</v>
      </c>
      <c r="E1365" s="4"/>
      <c r="F1365" s="4">
        <v>1.0</v>
      </c>
      <c r="G1365" s="4">
        <v>99.0</v>
      </c>
      <c r="H1365" s="4"/>
      <c r="I1365" s="4">
        <v>99.0</v>
      </c>
      <c r="J1365" s="4" t="s">
        <v>4604</v>
      </c>
      <c r="K1365" s="6">
        <f>+919971999058</f>
        <v>919971999058</v>
      </c>
      <c r="L1365" s="4" t="str">
        <f t="shared" si="1"/>
        <v>deepa.mailbox@gmail.com919971999058</v>
      </c>
      <c r="M1365" s="10" t="s">
        <v>67</v>
      </c>
      <c r="N1365" s="4" t="b">
        <v>0</v>
      </c>
      <c r="O1365" s="4" t="str">
        <f>VLOOKUP(A1365,payment_ids!D:E,2,FALSE)</f>
        <v>upi</v>
      </c>
      <c r="P1365" s="4" t="s">
        <v>69</v>
      </c>
      <c r="Q1365" s="4" t="s">
        <v>4605</v>
      </c>
      <c r="R1365" s="4"/>
      <c r="S1365" s="12" t="s">
        <v>4563</v>
      </c>
      <c r="T1365" s="4"/>
      <c r="U1365" s="4"/>
      <c r="V1365" s="4"/>
      <c r="W1365" s="5"/>
      <c r="X1365" s="4"/>
      <c r="Y1365" s="4"/>
      <c r="Z1365" s="5"/>
      <c r="AA1365" s="4"/>
      <c r="AB1365" s="4"/>
      <c r="AC1365" s="4"/>
      <c r="AD1365" s="5"/>
      <c r="AE1365" s="5"/>
      <c r="AF1365" s="5"/>
      <c r="AG1365" s="5"/>
      <c r="AH1365" s="5"/>
      <c r="AI1365" s="5"/>
      <c r="AJ1365" s="5"/>
      <c r="AK1365" s="5"/>
      <c r="AL1365" s="5"/>
    </row>
    <row r="1366">
      <c r="A1366" s="4" t="str">
        <f>VLOOKUP(L1366,payment_ids!C:D,2,FALSE)</f>
        <v>pay_HDiXgNFU0SOrDg</v>
      </c>
      <c r="B1366" s="4"/>
      <c r="C1366" s="4" t="s">
        <v>4561</v>
      </c>
      <c r="D1366" s="4">
        <v>50031.0</v>
      </c>
      <c r="E1366" s="4"/>
      <c r="F1366" s="4">
        <v>1.0</v>
      </c>
      <c r="G1366" s="4">
        <v>99.0</v>
      </c>
      <c r="H1366" s="4"/>
      <c r="I1366" s="4">
        <v>99.0</v>
      </c>
      <c r="J1366" s="4" t="s">
        <v>4606</v>
      </c>
      <c r="K1366" s="6">
        <f>+919920024034</f>
        <v>919920024034</v>
      </c>
      <c r="L1366" s="4" t="str">
        <f t="shared" si="1"/>
        <v>sagar3@gmail.com919920024034</v>
      </c>
      <c r="M1366" s="10" t="s">
        <v>67</v>
      </c>
      <c r="N1366" s="4" t="b">
        <v>0</v>
      </c>
      <c r="O1366" s="4" t="str">
        <f>VLOOKUP(A1366,payment_ids!D:E,2,FALSE)</f>
        <v>upi</v>
      </c>
      <c r="P1366" s="4" t="s">
        <v>69</v>
      </c>
      <c r="Q1366" s="4" t="s">
        <v>4607</v>
      </c>
      <c r="R1366" s="4"/>
      <c r="S1366" s="12" t="s">
        <v>4563</v>
      </c>
      <c r="T1366" s="4"/>
      <c r="U1366" s="5"/>
      <c r="V1366" s="4"/>
      <c r="W1366" s="5"/>
      <c r="X1366" s="4"/>
      <c r="Y1366" s="4"/>
      <c r="Z1366" s="5"/>
      <c r="AA1366" s="5"/>
      <c r="AB1366" s="4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</row>
    <row r="1367">
      <c r="A1367" s="4" t="str">
        <f>VLOOKUP(L1367,payment_ids!C:D,2,FALSE)</f>
        <v>pay_HDmSNMoX1nt2ty</v>
      </c>
      <c r="B1367" s="4"/>
      <c r="C1367" s="4" t="s">
        <v>4561</v>
      </c>
      <c r="D1367" s="4">
        <v>50031.0</v>
      </c>
      <c r="E1367" s="4"/>
      <c r="F1367" s="4">
        <v>1.0</v>
      </c>
      <c r="G1367" s="4">
        <v>99.0</v>
      </c>
      <c r="H1367" s="4"/>
      <c r="I1367" s="4">
        <v>99.0</v>
      </c>
      <c r="J1367" s="4" t="s">
        <v>4608</v>
      </c>
      <c r="K1367" s="6">
        <f>+918307001108</f>
        <v>918307001108</v>
      </c>
      <c r="L1367" s="4" t="str">
        <f t="shared" si="1"/>
        <v>manjeetantil.antil@gmail.com918307001108</v>
      </c>
      <c r="M1367" s="10" t="s">
        <v>67</v>
      </c>
      <c r="N1367" s="4" t="b">
        <v>0</v>
      </c>
      <c r="O1367" s="4" t="str">
        <f>VLOOKUP(A1367,payment_ids!D:E,2,FALSE)</f>
        <v>upi</v>
      </c>
      <c r="P1367" s="4" t="s">
        <v>69</v>
      </c>
      <c r="Q1367" s="4" t="s">
        <v>4609</v>
      </c>
      <c r="R1367" s="4"/>
      <c r="S1367" s="12" t="s">
        <v>4563</v>
      </c>
      <c r="T1367" s="4"/>
      <c r="U1367" s="4"/>
      <c r="V1367" s="4"/>
      <c r="W1367" s="5"/>
      <c r="X1367" s="4"/>
      <c r="Y1367" s="4"/>
      <c r="Z1367" s="5"/>
      <c r="AA1367" s="4"/>
      <c r="AB1367" s="4"/>
      <c r="AC1367" s="4"/>
      <c r="AD1367" s="5"/>
      <c r="AE1367" s="5"/>
      <c r="AF1367" s="5"/>
      <c r="AG1367" s="5"/>
      <c r="AH1367" s="5"/>
      <c r="AI1367" s="5"/>
      <c r="AJ1367" s="5"/>
      <c r="AK1367" s="5"/>
      <c r="AL1367" s="5"/>
    </row>
    <row r="1368">
      <c r="A1368" s="4" t="str">
        <f>VLOOKUP(L1368,payment_ids!C:D,2,FALSE)</f>
        <v>pay_HDneeVONJGNdQ9</v>
      </c>
      <c r="B1368" s="4"/>
      <c r="C1368" s="4" t="s">
        <v>4561</v>
      </c>
      <c r="D1368" s="4">
        <v>50031.0</v>
      </c>
      <c r="E1368" s="4"/>
      <c r="F1368" s="4">
        <v>1.0</v>
      </c>
      <c r="G1368" s="4">
        <v>99.0</v>
      </c>
      <c r="H1368" s="4"/>
      <c r="I1368" s="4">
        <v>99.0</v>
      </c>
      <c r="J1368" s="4" t="s">
        <v>4610</v>
      </c>
      <c r="K1368" s="6">
        <f>+918374934363</f>
        <v>918374934363</v>
      </c>
      <c r="L1368" s="4" t="str">
        <f t="shared" si="1"/>
        <v>sdubara@gmail.com918374934363</v>
      </c>
      <c r="M1368" s="10" t="s">
        <v>67</v>
      </c>
      <c r="N1368" s="4" t="b">
        <v>0</v>
      </c>
      <c r="O1368" s="4" t="str">
        <f>VLOOKUP(A1368,payment_ids!D:E,2,FALSE)</f>
        <v>upi</v>
      </c>
      <c r="P1368" s="4" t="s">
        <v>69</v>
      </c>
      <c r="Q1368" s="4" t="s">
        <v>4611</v>
      </c>
      <c r="R1368" s="4"/>
      <c r="S1368" s="12" t="s">
        <v>4563</v>
      </c>
      <c r="T1368" s="4"/>
      <c r="U1368" s="4"/>
      <c r="V1368" s="4"/>
      <c r="W1368" s="5"/>
      <c r="X1368" s="4"/>
      <c r="Y1368" s="4"/>
      <c r="Z1368" s="5"/>
      <c r="AA1368" s="4"/>
      <c r="AB1368" s="4"/>
      <c r="AC1368" s="4"/>
      <c r="AD1368" s="5"/>
      <c r="AE1368" s="5"/>
      <c r="AF1368" s="5"/>
      <c r="AG1368" s="5"/>
      <c r="AH1368" s="5"/>
      <c r="AI1368" s="5"/>
      <c r="AJ1368" s="5"/>
      <c r="AK1368" s="5"/>
      <c r="AL1368" s="5"/>
    </row>
    <row r="1369">
      <c r="A1369" s="4" t="str">
        <f>VLOOKUP(L1369,payment_ids!C:D,2,FALSE)</f>
        <v>pay_HDp3qFDe4Cm3yI</v>
      </c>
      <c r="B1369" s="4"/>
      <c r="C1369" s="4" t="s">
        <v>4561</v>
      </c>
      <c r="D1369" s="4">
        <v>50031.0</v>
      </c>
      <c r="E1369" s="4"/>
      <c r="F1369" s="4">
        <v>1.0</v>
      </c>
      <c r="G1369" s="4">
        <v>99.0</v>
      </c>
      <c r="H1369" s="4"/>
      <c r="I1369" s="4">
        <v>99.0</v>
      </c>
      <c r="J1369" s="4" t="s">
        <v>4612</v>
      </c>
      <c r="K1369" s="6">
        <f>+919886728386</f>
        <v>919886728386</v>
      </c>
      <c r="L1369" s="4" t="str">
        <f t="shared" si="1"/>
        <v>shree_sumu@yahoo.co.in919886728386</v>
      </c>
      <c r="M1369" s="10" t="s">
        <v>67</v>
      </c>
      <c r="N1369" s="4" t="b">
        <v>0</v>
      </c>
      <c r="O1369" s="4" t="str">
        <f>VLOOKUP(A1369,payment_ids!D:E,2,FALSE)</f>
        <v>upi</v>
      </c>
      <c r="P1369" s="4" t="s">
        <v>69</v>
      </c>
      <c r="Q1369" s="4" t="s">
        <v>4613</v>
      </c>
      <c r="R1369" s="4"/>
      <c r="S1369" s="12" t="s">
        <v>4563</v>
      </c>
      <c r="T1369" s="4"/>
      <c r="U1369" s="4"/>
      <c r="V1369" s="4"/>
      <c r="W1369" s="5"/>
      <c r="X1369" s="4"/>
      <c r="Y1369" s="4"/>
      <c r="Z1369" s="5"/>
      <c r="AA1369" s="4"/>
      <c r="AB1369" s="4"/>
      <c r="AC1369" s="4"/>
      <c r="AD1369" s="5"/>
      <c r="AE1369" s="5"/>
      <c r="AF1369" s="5"/>
      <c r="AG1369" s="5"/>
      <c r="AH1369" s="5"/>
      <c r="AI1369" s="5"/>
      <c r="AJ1369" s="5"/>
      <c r="AK1369" s="5"/>
      <c r="AL1369" s="5"/>
    </row>
    <row r="1370">
      <c r="A1370" s="4" t="str">
        <f>VLOOKUP(L1370,payment_ids!C:D,2,FALSE)</f>
        <v>pay_HEFgkVgr1DrdAk</v>
      </c>
      <c r="B1370" s="4"/>
      <c r="C1370" s="4" t="s">
        <v>4561</v>
      </c>
      <c r="D1370" s="4">
        <v>50031.0</v>
      </c>
      <c r="E1370" s="4"/>
      <c r="F1370" s="4">
        <v>1.0</v>
      </c>
      <c r="G1370" s="4">
        <v>99.0</v>
      </c>
      <c r="H1370" s="4"/>
      <c r="I1370" s="4">
        <v>99.0</v>
      </c>
      <c r="J1370" s="4" t="s">
        <v>4614</v>
      </c>
      <c r="K1370" s="6">
        <f>+919926394648</f>
        <v>919926394648</v>
      </c>
      <c r="L1370" s="4" t="str">
        <f t="shared" si="1"/>
        <v>aman20tiwari@gmail.com919926394648</v>
      </c>
      <c r="M1370" s="10" t="s">
        <v>67</v>
      </c>
      <c r="N1370" s="4" t="b">
        <v>0</v>
      </c>
      <c r="O1370" s="4" t="str">
        <f>VLOOKUP(A1370,payment_ids!D:E,2,FALSE)</f>
        <v>upi</v>
      </c>
      <c r="P1370" s="4" t="s">
        <v>69</v>
      </c>
      <c r="Q1370" s="4" t="s">
        <v>4615</v>
      </c>
      <c r="R1370" s="4"/>
      <c r="S1370" s="12" t="s">
        <v>4563</v>
      </c>
      <c r="T1370" s="4"/>
      <c r="U1370" s="4"/>
      <c r="V1370" s="4"/>
      <c r="W1370" s="5"/>
      <c r="X1370" s="4"/>
      <c r="Y1370" s="4"/>
      <c r="Z1370" s="5"/>
      <c r="AA1370" s="4"/>
      <c r="AB1370" s="4"/>
      <c r="AC1370" s="4"/>
      <c r="AD1370" s="5"/>
      <c r="AE1370" s="5"/>
      <c r="AF1370" s="5"/>
      <c r="AG1370" s="5"/>
      <c r="AH1370" s="5"/>
      <c r="AI1370" s="5"/>
      <c r="AJ1370" s="5"/>
      <c r="AK1370" s="5"/>
      <c r="AL1370" s="5"/>
    </row>
    <row r="1371">
      <c r="A1371" s="4" t="str">
        <f>VLOOKUP(L1371,payment_ids!C:D,2,FALSE)</f>
        <v>pay_H7PTaMkKIv3b0F</v>
      </c>
      <c r="B1371" s="4"/>
      <c r="C1371" s="4" t="s">
        <v>4561</v>
      </c>
      <c r="D1371" s="4">
        <v>50031.0</v>
      </c>
      <c r="E1371" s="5"/>
      <c r="F1371" s="4">
        <v>1.0</v>
      </c>
      <c r="G1371" s="4">
        <v>599.0</v>
      </c>
      <c r="H1371" s="4"/>
      <c r="I1371" s="4">
        <v>599.0</v>
      </c>
      <c r="J1371" s="4" t="s">
        <v>4565</v>
      </c>
      <c r="K1371" s="5">
        <f>+919820358107</f>
        <v>919820358107</v>
      </c>
      <c r="L1371" s="4" t="str">
        <f t="shared" si="1"/>
        <v>saurabhhsingh1@gmail.com919820358107</v>
      </c>
      <c r="M1371" s="10" t="s">
        <v>67</v>
      </c>
      <c r="N1371" s="4" t="b">
        <v>0</v>
      </c>
      <c r="O1371" s="4" t="str">
        <f>VLOOKUP(A1371,payment_ids!D:E,2,FALSE)</f>
        <v>upi</v>
      </c>
      <c r="P1371" s="4" t="s">
        <v>69</v>
      </c>
      <c r="Q1371" s="4" t="s">
        <v>4616</v>
      </c>
      <c r="R1371" s="4"/>
      <c r="S1371" s="12" t="s">
        <v>4563</v>
      </c>
      <c r="T1371" s="5"/>
      <c r="U1371" s="4"/>
      <c r="V1371" s="4"/>
      <c r="W1371" s="5"/>
      <c r="X1371" s="4"/>
      <c r="Y1371" s="4"/>
      <c r="Z1371" s="5"/>
      <c r="AA1371" s="4"/>
      <c r="AB1371" s="4"/>
      <c r="AC1371" s="4"/>
      <c r="AD1371" s="5"/>
      <c r="AE1371" s="5"/>
      <c r="AF1371" s="5"/>
      <c r="AG1371" s="5"/>
      <c r="AH1371" s="5"/>
      <c r="AI1371" s="5"/>
      <c r="AJ1371" s="5"/>
      <c r="AK1371" s="5"/>
      <c r="AL1371" s="5"/>
    </row>
    <row r="1372">
      <c r="A1372" s="4" t="str">
        <f>VLOOKUP(L1372,payment_ids!C:D,2,FALSE)</f>
        <v>pay_HHr0GPUr283agH</v>
      </c>
      <c r="B1372" s="4"/>
      <c r="C1372" s="4" t="s">
        <v>4561</v>
      </c>
      <c r="D1372" s="4">
        <v>50031.0</v>
      </c>
      <c r="E1372" s="5"/>
      <c r="F1372" s="4">
        <v>1.0</v>
      </c>
      <c r="G1372" s="4">
        <v>599.0</v>
      </c>
      <c r="H1372" s="4"/>
      <c r="I1372" s="4">
        <v>599.0</v>
      </c>
      <c r="J1372" s="4" t="s">
        <v>1448</v>
      </c>
      <c r="K1372" s="5">
        <f>+919769200933</f>
        <v>919769200933</v>
      </c>
      <c r="L1372" s="4" t="str">
        <f t="shared" si="1"/>
        <v>anky05@gmail.com919769200933</v>
      </c>
      <c r="M1372" s="10" t="s">
        <v>67</v>
      </c>
      <c r="N1372" s="4" t="b">
        <v>0</v>
      </c>
      <c r="O1372" s="4" t="str">
        <f>VLOOKUP(A1372,payment_ids!D:E,2,FALSE)</f>
        <v>upi</v>
      </c>
      <c r="P1372" s="4" t="s">
        <v>69</v>
      </c>
      <c r="Q1372" s="11">
        <v>44202.89722222222</v>
      </c>
      <c r="R1372" s="4"/>
      <c r="S1372" s="12" t="s">
        <v>4563</v>
      </c>
      <c r="T1372" s="5"/>
      <c r="U1372" s="4"/>
      <c r="V1372" s="4"/>
      <c r="W1372" s="5"/>
      <c r="X1372" s="4"/>
      <c r="Y1372" s="4"/>
      <c r="Z1372" s="5"/>
      <c r="AA1372" s="4"/>
      <c r="AB1372" s="4"/>
      <c r="AC1372" s="4"/>
      <c r="AD1372" s="5"/>
      <c r="AE1372" s="5"/>
      <c r="AF1372" s="5"/>
      <c r="AG1372" s="5"/>
      <c r="AH1372" s="5"/>
      <c r="AI1372" s="5"/>
      <c r="AJ1372" s="5"/>
      <c r="AK1372" s="5"/>
      <c r="AL1372" s="5"/>
    </row>
    <row r="1373">
      <c r="A1373" s="4" t="str">
        <f>VLOOKUP(L1373,payment_ids!C:D,2,FALSE)</f>
        <v>pay_H8OncwGBOIh52J</v>
      </c>
      <c r="B1373" s="4"/>
      <c r="C1373" s="4" t="s">
        <v>4561</v>
      </c>
      <c r="D1373" s="4">
        <v>50031.0</v>
      </c>
      <c r="E1373" s="5"/>
      <c r="F1373" s="4">
        <v>1.0</v>
      </c>
      <c r="G1373" s="4">
        <v>599.0</v>
      </c>
      <c r="H1373" s="4"/>
      <c r="I1373" s="4">
        <v>599.0</v>
      </c>
      <c r="J1373" s="4" t="s">
        <v>4578</v>
      </c>
      <c r="K1373" s="5">
        <f>+919036333975</f>
        <v>919036333975</v>
      </c>
      <c r="L1373" s="4" t="str">
        <f t="shared" si="1"/>
        <v>umasnairassocham@gmail.com919036333975</v>
      </c>
      <c r="M1373" s="10" t="s">
        <v>67</v>
      </c>
      <c r="N1373" s="4" t="b">
        <v>0</v>
      </c>
      <c r="O1373" s="4" t="str">
        <f>VLOOKUP(A1373,payment_ids!D:E,2,FALSE)</f>
        <v>upi</v>
      </c>
      <c r="P1373" s="4" t="s">
        <v>69</v>
      </c>
      <c r="Q1373" s="11">
        <v>44292.32847222222</v>
      </c>
      <c r="R1373" s="4"/>
      <c r="S1373" s="12" t="s">
        <v>4563</v>
      </c>
      <c r="T1373" s="5"/>
      <c r="U1373" s="4"/>
      <c r="V1373" s="4"/>
      <c r="W1373" s="5"/>
      <c r="X1373" s="4"/>
      <c r="Y1373" s="4"/>
      <c r="Z1373" s="5"/>
      <c r="AA1373" s="4"/>
      <c r="AB1373" s="4"/>
      <c r="AC1373" s="4"/>
      <c r="AD1373" s="5"/>
      <c r="AE1373" s="5"/>
      <c r="AF1373" s="5"/>
      <c r="AG1373" s="5"/>
      <c r="AH1373" s="5"/>
      <c r="AI1373" s="5"/>
      <c r="AJ1373" s="5"/>
      <c r="AK1373" s="5"/>
      <c r="AL1373" s="5"/>
    </row>
    <row r="1374">
      <c r="A1374" s="4" t="str">
        <f>VLOOKUP(L1374,payment_ids!C:D,2,FALSE)</f>
        <v>pay_H7PTaMkKIv3b0F</v>
      </c>
      <c r="B1374" s="4"/>
      <c r="C1374" s="4" t="s">
        <v>4561</v>
      </c>
      <c r="D1374" s="4">
        <v>50031.0</v>
      </c>
      <c r="E1374" s="5"/>
      <c r="F1374" s="4">
        <v>1.0</v>
      </c>
      <c r="G1374" s="4">
        <v>599.0</v>
      </c>
      <c r="H1374" s="4"/>
      <c r="I1374" s="4">
        <v>599.0</v>
      </c>
      <c r="J1374" s="4" t="s">
        <v>4565</v>
      </c>
      <c r="K1374" s="5">
        <f>+919820358107</f>
        <v>919820358107</v>
      </c>
      <c r="L1374" s="4" t="str">
        <f t="shared" si="1"/>
        <v>saurabhhsingh1@gmail.com919820358107</v>
      </c>
      <c r="M1374" s="10" t="s">
        <v>67</v>
      </c>
      <c r="N1374" s="4" t="b">
        <v>0</v>
      </c>
      <c r="O1374" s="4" t="str">
        <f>VLOOKUP(A1374,payment_ids!D:E,2,FALSE)</f>
        <v>upi</v>
      </c>
      <c r="P1374" s="4" t="s">
        <v>69</v>
      </c>
      <c r="Q1374" s="11">
        <v>44292.566666666666</v>
      </c>
      <c r="R1374" s="4"/>
      <c r="S1374" s="12" t="s">
        <v>4563</v>
      </c>
      <c r="T1374" s="5"/>
      <c r="U1374" s="4"/>
      <c r="V1374" s="4"/>
      <c r="W1374" s="5"/>
      <c r="X1374" s="4"/>
      <c r="Y1374" s="4"/>
      <c r="Z1374" s="5"/>
      <c r="AA1374" s="4"/>
      <c r="AB1374" s="4"/>
      <c r="AC1374" s="4"/>
      <c r="AD1374" s="5"/>
      <c r="AE1374" s="5"/>
      <c r="AF1374" s="5"/>
      <c r="AG1374" s="5"/>
      <c r="AH1374" s="5"/>
      <c r="AI1374" s="5"/>
      <c r="AJ1374" s="5"/>
      <c r="AK1374" s="5"/>
      <c r="AL1374" s="5"/>
    </row>
    <row r="1375">
      <c r="A1375" s="4" t="str">
        <f>VLOOKUP(L1375,payment_ids!C:D,2,FALSE)</f>
        <v>pay_HJRp3oI7I1wEDo</v>
      </c>
      <c r="B1375" s="4"/>
      <c r="C1375" s="4" t="s">
        <v>4561</v>
      </c>
      <c r="D1375" s="4">
        <v>50031.0</v>
      </c>
      <c r="E1375" s="5"/>
      <c r="F1375" s="4">
        <v>1.0</v>
      </c>
      <c r="G1375" s="4">
        <v>599.0</v>
      </c>
      <c r="H1375" s="4"/>
      <c r="I1375" s="4">
        <v>599.0</v>
      </c>
      <c r="J1375" s="4" t="s">
        <v>4617</v>
      </c>
      <c r="K1375" s="5">
        <f>+919893972743</f>
        <v>919893972743</v>
      </c>
      <c r="L1375" s="4" t="str">
        <f t="shared" si="1"/>
        <v>poojarathore1071992@gmail.com919893972743</v>
      </c>
      <c r="M1375" s="10" t="s">
        <v>67</v>
      </c>
      <c r="N1375" s="4" t="b">
        <v>0</v>
      </c>
      <c r="O1375" s="4" t="str">
        <f>VLOOKUP(A1375,payment_ids!D:E,2,FALSE)</f>
        <v>upi</v>
      </c>
      <c r="P1375" s="4" t="s">
        <v>69</v>
      </c>
      <c r="Q1375" s="11">
        <v>44322.947222222225</v>
      </c>
      <c r="R1375" s="4"/>
      <c r="S1375" s="12" t="s">
        <v>4618</v>
      </c>
      <c r="T1375" s="5"/>
      <c r="U1375" s="4"/>
      <c r="V1375" s="4"/>
      <c r="W1375" s="5"/>
      <c r="X1375" s="4"/>
      <c r="Y1375" s="4"/>
      <c r="Z1375" s="5"/>
      <c r="AA1375" s="4"/>
      <c r="AB1375" s="4"/>
      <c r="AC1375" s="4"/>
      <c r="AD1375" s="5"/>
      <c r="AE1375" s="5"/>
      <c r="AF1375" s="5"/>
      <c r="AG1375" s="5"/>
      <c r="AH1375" s="5"/>
      <c r="AI1375" s="5"/>
      <c r="AJ1375" s="5"/>
      <c r="AK1375" s="5"/>
      <c r="AL1375" s="5"/>
    </row>
    <row r="1376">
      <c r="A1376" s="4" t="str">
        <f>VLOOKUP(L1376,payment_ids!C:D,2,FALSE)</f>
        <v>pay_H9ChAVcoEmfD62</v>
      </c>
      <c r="B1376" s="4"/>
      <c r="C1376" s="4" t="s">
        <v>4561</v>
      </c>
      <c r="D1376" s="4">
        <v>50031.0</v>
      </c>
      <c r="E1376" s="5"/>
      <c r="F1376" s="4">
        <v>1.0</v>
      </c>
      <c r="G1376" s="4">
        <v>599.0</v>
      </c>
      <c r="H1376" s="4"/>
      <c r="I1376" s="4">
        <v>599.0</v>
      </c>
      <c r="J1376" s="4" t="s">
        <v>4580</v>
      </c>
      <c r="K1376" s="5">
        <f>+918892009696</f>
        <v>918892009696</v>
      </c>
      <c r="L1376" s="4" t="str">
        <f t="shared" si="1"/>
        <v>amahante@gmail.com918892009696</v>
      </c>
      <c r="M1376" s="10" t="s">
        <v>67</v>
      </c>
      <c r="N1376" s="4" t="b">
        <v>0</v>
      </c>
      <c r="O1376" s="4" t="str">
        <f>VLOOKUP(A1376,payment_ids!D:E,2,FALSE)</f>
        <v>upi</v>
      </c>
      <c r="P1376" s="4" t="s">
        <v>69</v>
      </c>
      <c r="Q1376" s="11">
        <v>44506.705555555556</v>
      </c>
      <c r="R1376" s="4"/>
      <c r="S1376" s="12" t="s">
        <v>4563</v>
      </c>
      <c r="T1376" s="4" t="s">
        <v>2444</v>
      </c>
      <c r="U1376" s="4"/>
      <c r="V1376" s="4"/>
      <c r="W1376" s="5"/>
      <c r="X1376" s="4"/>
      <c r="Y1376" s="4"/>
      <c r="Z1376" s="5"/>
      <c r="AA1376" s="4"/>
      <c r="AB1376" s="4"/>
      <c r="AC1376" s="4"/>
      <c r="AD1376" s="5"/>
      <c r="AE1376" s="5"/>
      <c r="AF1376" s="5"/>
      <c r="AG1376" s="5"/>
      <c r="AH1376" s="5"/>
      <c r="AI1376" s="5"/>
      <c r="AJ1376" s="5"/>
      <c r="AK1376" s="5"/>
      <c r="AL1376" s="5"/>
    </row>
    <row r="1377">
      <c r="A1377" s="4" t="str">
        <f>VLOOKUP(L1377,payment_ids!C:D,2,FALSE)</f>
        <v>pay_H6o32hjh32pGfa</v>
      </c>
      <c r="B1377" s="4"/>
      <c r="C1377" s="4" t="s">
        <v>1133</v>
      </c>
      <c r="D1377" s="4">
        <v>49859.0</v>
      </c>
      <c r="E1377" s="4"/>
      <c r="F1377" s="4">
        <v>1.0</v>
      </c>
      <c r="G1377" s="4">
        <v>99.0</v>
      </c>
      <c r="H1377" s="4"/>
      <c r="I1377" s="4">
        <v>99.0</v>
      </c>
      <c r="J1377" s="4" t="s">
        <v>4619</v>
      </c>
      <c r="K1377" s="6">
        <f>+918792100662</f>
        <v>918792100662</v>
      </c>
      <c r="L1377" s="4" t="str">
        <f t="shared" si="1"/>
        <v>m.dharan85@gmail.com918792100662</v>
      </c>
      <c r="M1377" s="10" t="s">
        <v>67</v>
      </c>
      <c r="N1377" s="4" t="b">
        <v>0</v>
      </c>
      <c r="O1377" s="4" t="str">
        <f>VLOOKUP(A1377,payment_ids!D:E,2,FALSE)</f>
        <v>upi</v>
      </c>
      <c r="P1377" s="4" t="s">
        <v>69</v>
      </c>
      <c r="Q1377" s="11">
        <v>44291.979166666664</v>
      </c>
      <c r="R1377" s="4"/>
      <c r="S1377" s="12" t="s">
        <v>4620</v>
      </c>
      <c r="T1377" s="4"/>
      <c r="U1377" s="4"/>
      <c r="V1377" s="4"/>
      <c r="W1377" s="5"/>
      <c r="X1377" s="4"/>
      <c r="Y1377" s="4"/>
      <c r="Z1377" s="5"/>
      <c r="AA1377" s="4"/>
      <c r="AB1377" s="4"/>
      <c r="AC1377" s="4"/>
      <c r="AD1377" s="5"/>
      <c r="AE1377" s="5"/>
      <c r="AF1377" s="5"/>
      <c r="AG1377" s="5"/>
      <c r="AH1377" s="5"/>
      <c r="AI1377" s="5"/>
      <c r="AJ1377" s="5"/>
      <c r="AK1377" s="5"/>
      <c r="AL1377" s="5"/>
    </row>
    <row r="1378">
      <c r="A1378" s="4" t="str">
        <f>VLOOKUP(L1378,payment_ids!C:D,2,FALSE)</f>
        <v>pay_H7RDi8MAZPKydn</v>
      </c>
      <c r="B1378" s="4"/>
      <c r="C1378" s="4" t="s">
        <v>1133</v>
      </c>
      <c r="D1378" s="4">
        <v>49859.0</v>
      </c>
      <c r="E1378" s="4"/>
      <c r="F1378" s="4">
        <v>1.0</v>
      </c>
      <c r="G1378" s="4">
        <v>99.0</v>
      </c>
      <c r="H1378" s="4"/>
      <c r="I1378" s="4">
        <v>99.0</v>
      </c>
      <c r="J1378" s="4" t="s">
        <v>4621</v>
      </c>
      <c r="K1378" s="6">
        <f>+919584966693</f>
        <v>919584966693</v>
      </c>
      <c r="L1378" s="4" t="str">
        <f t="shared" si="1"/>
        <v>pranaviarora19@gmail.com919584966693</v>
      </c>
      <c r="M1378" s="10" t="s">
        <v>67</v>
      </c>
      <c r="N1378" s="4" t="b">
        <v>0</v>
      </c>
      <c r="O1378" s="4" t="str">
        <f>VLOOKUP(A1378,payment_ids!D:E,2,FALSE)</f>
        <v>upi</v>
      </c>
      <c r="P1378" s="4" t="s">
        <v>69</v>
      </c>
      <c r="Q1378" s="11">
        <v>44352.575694444444</v>
      </c>
      <c r="R1378" s="4"/>
      <c r="S1378" s="12" t="s">
        <v>4620</v>
      </c>
      <c r="T1378" s="4"/>
      <c r="U1378" s="4"/>
      <c r="V1378" s="4"/>
      <c r="W1378" s="5"/>
      <c r="X1378" s="4"/>
      <c r="Y1378" s="4"/>
      <c r="Z1378" s="5"/>
      <c r="AA1378" s="4"/>
      <c r="AB1378" s="4"/>
      <c r="AC1378" s="4"/>
      <c r="AD1378" s="5"/>
      <c r="AE1378" s="5"/>
      <c r="AF1378" s="5"/>
      <c r="AG1378" s="5"/>
      <c r="AH1378" s="5"/>
      <c r="AI1378" s="5"/>
      <c r="AJ1378" s="5"/>
      <c r="AK1378" s="5"/>
      <c r="AL1378" s="5"/>
    </row>
    <row r="1379">
      <c r="A1379" s="4" t="str">
        <f>VLOOKUP(L1379,payment_ids!C:D,2,FALSE)</f>
        <v>pay_H7ZtCx3flXTYhG</v>
      </c>
      <c r="B1379" s="4"/>
      <c r="C1379" s="4" t="s">
        <v>1133</v>
      </c>
      <c r="D1379" s="4">
        <v>49859.0</v>
      </c>
      <c r="E1379" s="4"/>
      <c r="F1379" s="4">
        <v>1.0</v>
      </c>
      <c r="G1379" s="4">
        <v>99.0</v>
      </c>
      <c r="H1379" s="4"/>
      <c r="I1379" s="4">
        <v>99.0</v>
      </c>
      <c r="J1379" s="4" t="s">
        <v>4622</v>
      </c>
      <c r="K1379" s="6">
        <f>+919746889346</f>
        <v>919746889346</v>
      </c>
      <c r="L1379" s="4" t="str">
        <f t="shared" si="1"/>
        <v>najeebnajiya1@gmail.com919746889346</v>
      </c>
      <c r="M1379" s="10" t="s">
        <v>67</v>
      </c>
      <c r="N1379" s="4" t="b">
        <v>0</v>
      </c>
      <c r="O1379" s="4" t="str">
        <f>VLOOKUP(A1379,payment_ids!D:E,2,FALSE)</f>
        <v>upi</v>
      </c>
      <c r="P1379" s="4" t="s">
        <v>69</v>
      </c>
      <c r="Q1379" s="11">
        <v>44352.92916666667</v>
      </c>
      <c r="R1379" s="4"/>
      <c r="S1379" s="12" t="s">
        <v>4620</v>
      </c>
      <c r="T1379" s="4"/>
      <c r="U1379" s="4"/>
      <c r="V1379" s="4"/>
      <c r="W1379" s="5"/>
      <c r="X1379" s="4"/>
      <c r="Y1379" s="4"/>
      <c r="Z1379" s="5"/>
      <c r="AA1379" s="4"/>
      <c r="AB1379" s="4"/>
      <c r="AC1379" s="4"/>
      <c r="AD1379" s="5"/>
      <c r="AE1379" s="5"/>
      <c r="AF1379" s="5"/>
      <c r="AG1379" s="5"/>
      <c r="AH1379" s="5"/>
      <c r="AI1379" s="5"/>
      <c r="AJ1379" s="5"/>
      <c r="AK1379" s="5"/>
      <c r="AL1379" s="5"/>
    </row>
    <row r="1380">
      <c r="A1380" s="4" t="str">
        <f>VLOOKUP(L1380,payment_ids!C:D,2,FALSE)</f>
        <v>pay_H7pZaJjOlDMAtP</v>
      </c>
      <c r="B1380" s="4"/>
      <c r="C1380" s="4" t="s">
        <v>1133</v>
      </c>
      <c r="D1380" s="4">
        <v>49859.0</v>
      </c>
      <c r="E1380" s="4"/>
      <c r="F1380" s="4">
        <v>1.0</v>
      </c>
      <c r="G1380" s="4">
        <v>99.0</v>
      </c>
      <c r="H1380" s="4"/>
      <c r="I1380" s="4">
        <v>99.0</v>
      </c>
      <c r="J1380" s="4" t="s">
        <v>4623</v>
      </c>
      <c r="K1380" s="6">
        <f>+919099901115</f>
        <v>919099901115</v>
      </c>
      <c r="L1380" s="4" t="str">
        <f t="shared" si="1"/>
        <v>krupapanchal1999@gmail.com919099901115</v>
      </c>
      <c r="M1380" s="10" t="s">
        <v>67</v>
      </c>
      <c r="N1380" s="4" t="b">
        <v>0</v>
      </c>
      <c r="O1380" s="4" t="str">
        <f>VLOOKUP(A1380,payment_ids!D:E,2,FALSE)</f>
        <v>upi</v>
      </c>
      <c r="P1380" s="4" t="s">
        <v>69</v>
      </c>
      <c r="Q1380" s="11">
        <v>44382.56805555556</v>
      </c>
      <c r="R1380" s="4"/>
      <c r="S1380" s="12" t="s">
        <v>4620</v>
      </c>
      <c r="T1380" s="4"/>
      <c r="U1380" s="4"/>
      <c r="V1380" s="4"/>
      <c r="W1380" s="5"/>
      <c r="X1380" s="4"/>
      <c r="Y1380" s="4"/>
      <c r="Z1380" s="5"/>
      <c r="AA1380" s="4"/>
      <c r="AB1380" s="4"/>
      <c r="AC1380" s="4"/>
      <c r="AD1380" s="5"/>
      <c r="AE1380" s="5"/>
      <c r="AF1380" s="5"/>
      <c r="AG1380" s="5"/>
      <c r="AH1380" s="5"/>
      <c r="AI1380" s="5"/>
      <c r="AJ1380" s="5"/>
      <c r="AK1380" s="5"/>
      <c r="AL1380" s="5"/>
    </row>
    <row r="1381">
      <c r="A1381" s="4" t="str">
        <f>VLOOKUP(L1381,payment_ids!C:D,2,FALSE)</f>
        <v>pay_H7tnwkMR9IHdVb</v>
      </c>
      <c r="B1381" s="4"/>
      <c r="C1381" s="4" t="s">
        <v>1133</v>
      </c>
      <c r="D1381" s="4">
        <v>49859.0</v>
      </c>
      <c r="E1381" s="4"/>
      <c r="F1381" s="4">
        <v>1.0</v>
      </c>
      <c r="G1381" s="4">
        <v>99.0</v>
      </c>
      <c r="H1381" s="4"/>
      <c r="I1381" s="4">
        <v>99.0</v>
      </c>
      <c r="J1381" s="4" t="s">
        <v>4624</v>
      </c>
      <c r="K1381" s="6">
        <f>+918956586014</f>
        <v>918956586014</v>
      </c>
      <c r="L1381" s="4" t="str">
        <f t="shared" si="1"/>
        <v>aritrikap123@gmail.com918956586014</v>
      </c>
      <c r="M1381" s="10" t="s">
        <v>67</v>
      </c>
      <c r="N1381" s="4" t="b">
        <v>0</v>
      </c>
      <c r="O1381" s="4" t="str">
        <f>VLOOKUP(A1381,payment_ids!D:E,2,FALSE)</f>
        <v>upi</v>
      </c>
      <c r="P1381" s="4" t="s">
        <v>69</v>
      </c>
      <c r="Q1381" s="11">
        <v>44382.74097222222</v>
      </c>
      <c r="R1381" s="4"/>
      <c r="S1381" s="12" t="s">
        <v>4620</v>
      </c>
      <c r="T1381" s="4"/>
      <c r="U1381" s="4"/>
      <c r="V1381" s="4"/>
      <c r="W1381" s="5"/>
      <c r="X1381" s="4"/>
      <c r="Y1381" s="4"/>
      <c r="Z1381" s="5"/>
      <c r="AA1381" s="4"/>
      <c r="AB1381" s="4"/>
      <c r="AC1381" s="4"/>
      <c r="AD1381" s="5"/>
      <c r="AE1381" s="5"/>
      <c r="AF1381" s="5"/>
      <c r="AG1381" s="5"/>
      <c r="AH1381" s="5"/>
      <c r="AI1381" s="5"/>
      <c r="AJ1381" s="5"/>
      <c r="AK1381" s="5"/>
      <c r="AL1381" s="5"/>
    </row>
    <row r="1382">
      <c r="A1382" s="4" t="str">
        <f>VLOOKUP(L1382,payment_ids!C:D,2,FALSE)</f>
        <v>pay_H7vVeoiez5c8Tt</v>
      </c>
      <c r="B1382" s="4"/>
      <c r="C1382" s="4" t="s">
        <v>1133</v>
      </c>
      <c r="D1382" s="4">
        <v>49859.0</v>
      </c>
      <c r="E1382" s="4"/>
      <c r="F1382" s="4">
        <v>1.0</v>
      </c>
      <c r="G1382" s="4">
        <v>99.0</v>
      </c>
      <c r="H1382" s="4"/>
      <c r="I1382" s="4">
        <v>99.0</v>
      </c>
      <c r="J1382" s="4" t="s">
        <v>4625</v>
      </c>
      <c r="K1382" s="6">
        <f>+919512047001</f>
        <v>919512047001</v>
      </c>
      <c r="L1382" s="4" t="str">
        <f t="shared" si="1"/>
        <v>sarjitchoksi950@gmail.com919512047001</v>
      </c>
      <c r="M1382" s="10" t="s">
        <v>67</v>
      </c>
      <c r="N1382" s="4" t="b">
        <v>0</v>
      </c>
      <c r="O1382" s="4" t="str">
        <f>VLOOKUP(A1382,payment_ids!D:E,2,FALSE)</f>
        <v>card</v>
      </c>
      <c r="P1382" s="4" t="s">
        <v>69</v>
      </c>
      <c r="Q1382" s="11">
        <v>44382.80972222222</v>
      </c>
      <c r="R1382" s="4"/>
      <c r="S1382" s="12" t="s">
        <v>4620</v>
      </c>
      <c r="T1382" s="4"/>
      <c r="U1382" s="4"/>
      <c r="V1382" s="4"/>
      <c r="W1382" s="5"/>
      <c r="X1382" s="4"/>
      <c r="Y1382" s="4"/>
      <c r="Z1382" s="5"/>
      <c r="AA1382" s="4"/>
      <c r="AB1382" s="4"/>
      <c r="AC1382" s="4"/>
      <c r="AD1382" s="5"/>
      <c r="AE1382" s="5"/>
      <c r="AF1382" s="5"/>
      <c r="AG1382" s="5"/>
      <c r="AH1382" s="5"/>
      <c r="AI1382" s="5"/>
      <c r="AJ1382" s="5"/>
      <c r="AK1382" s="5"/>
      <c r="AL1382" s="5"/>
    </row>
    <row r="1383">
      <c r="A1383" s="4" t="str">
        <f>VLOOKUP(L1383,payment_ids!C:D,2,FALSE)</f>
        <v>pay_H7mupvfAob86UZ</v>
      </c>
      <c r="B1383" s="4"/>
      <c r="C1383" s="4" t="s">
        <v>1133</v>
      </c>
      <c r="D1383" s="4">
        <v>49859.0</v>
      </c>
      <c r="E1383" s="4"/>
      <c r="F1383" s="4">
        <v>1.0</v>
      </c>
      <c r="G1383" s="4">
        <v>99.0</v>
      </c>
      <c r="H1383" s="4"/>
      <c r="I1383" s="4">
        <v>99.0</v>
      </c>
      <c r="J1383" s="4" t="s">
        <v>4626</v>
      </c>
      <c r="K1383" s="6">
        <f>+918511503178</f>
        <v>918511503178</v>
      </c>
      <c r="L1383" s="4" t="str">
        <f t="shared" si="1"/>
        <v>prakashd9991@gmail.com918511503178</v>
      </c>
      <c r="M1383" s="10" t="s">
        <v>67</v>
      </c>
      <c r="N1383" s="4" t="b">
        <v>0</v>
      </c>
      <c r="O1383" s="4" t="str">
        <f>VLOOKUP(A1383,payment_ids!D:E,2,FALSE)</f>
        <v>card</v>
      </c>
      <c r="P1383" s="4" t="s">
        <v>69</v>
      </c>
      <c r="Q1383" s="11">
        <v>44382.45972222222</v>
      </c>
      <c r="R1383" s="4"/>
      <c r="S1383" s="12" t="s">
        <v>4620</v>
      </c>
      <c r="T1383" s="4"/>
      <c r="U1383" s="4"/>
      <c r="V1383" s="4"/>
      <c r="W1383" s="5"/>
      <c r="X1383" s="4"/>
      <c r="Y1383" s="4"/>
      <c r="Z1383" s="5"/>
      <c r="AA1383" s="4"/>
      <c r="AB1383" s="4"/>
      <c r="AC1383" s="4"/>
      <c r="AD1383" s="5"/>
      <c r="AE1383" s="5"/>
      <c r="AF1383" s="5"/>
      <c r="AG1383" s="5"/>
      <c r="AH1383" s="5"/>
      <c r="AI1383" s="5"/>
      <c r="AJ1383" s="5"/>
      <c r="AK1383" s="5"/>
      <c r="AL1383" s="5"/>
    </row>
    <row r="1384">
      <c r="A1384" s="4" t="str">
        <f>VLOOKUP(L1384,payment_ids!C:D,2,FALSE)</f>
        <v>pay_H8H3a75f0gWfAL</v>
      </c>
      <c r="B1384" s="4"/>
      <c r="C1384" s="4" t="s">
        <v>1133</v>
      </c>
      <c r="D1384" s="4">
        <v>49859.0</v>
      </c>
      <c r="E1384" s="4"/>
      <c r="F1384" s="4">
        <v>1.0</v>
      </c>
      <c r="G1384" s="4">
        <v>99.0</v>
      </c>
      <c r="H1384" s="4"/>
      <c r="I1384" s="4">
        <v>99.0</v>
      </c>
      <c r="J1384" s="4" t="s">
        <v>4627</v>
      </c>
      <c r="K1384" s="6">
        <f>+919986703892</f>
        <v>919986703892</v>
      </c>
      <c r="L1384" s="4" t="str">
        <f t="shared" si="1"/>
        <v>arjuncshetty@gmail.com919986703892</v>
      </c>
      <c r="M1384" s="10" t="s">
        <v>67</v>
      </c>
      <c r="N1384" s="4" t="b">
        <v>0</v>
      </c>
      <c r="O1384" s="4" t="str">
        <f>VLOOKUP(A1384,payment_ids!D:E,2,FALSE)</f>
        <v>upi</v>
      </c>
      <c r="P1384" s="4" t="s">
        <v>69</v>
      </c>
      <c r="Q1384" s="11">
        <v>44413.68819444445</v>
      </c>
      <c r="R1384" s="4"/>
      <c r="S1384" s="12" t="s">
        <v>4620</v>
      </c>
      <c r="T1384" s="4"/>
      <c r="U1384" s="4"/>
      <c r="V1384" s="4"/>
      <c r="W1384" s="5"/>
      <c r="X1384" s="4"/>
      <c r="Y1384" s="4"/>
      <c r="Z1384" s="5"/>
      <c r="AA1384" s="4"/>
      <c r="AB1384" s="4"/>
      <c r="AC1384" s="4"/>
      <c r="AD1384" s="5"/>
      <c r="AE1384" s="5"/>
      <c r="AF1384" s="5"/>
      <c r="AG1384" s="5"/>
      <c r="AH1384" s="5"/>
      <c r="AI1384" s="5"/>
      <c r="AJ1384" s="5"/>
      <c r="AK1384" s="5"/>
      <c r="AL1384" s="5"/>
    </row>
    <row r="1385">
      <c r="A1385" s="4" t="str">
        <f>VLOOKUP(L1385,payment_ids!C:D,2,FALSE)</f>
        <v>pay_H8N4sKDyjXeFXv</v>
      </c>
      <c r="B1385" s="4"/>
      <c r="C1385" s="4" t="s">
        <v>1133</v>
      </c>
      <c r="D1385" s="4">
        <v>49859.0</v>
      </c>
      <c r="E1385" s="4"/>
      <c r="F1385" s="4">
        <v>3.0</v>
      </c>
      <c r="G1385" s="4">
        <v>199.0</v>
      </c>
      <c r="H1385" s="4"/>
      <c r="I1385" s="4">
        <v>199.0</v>
      </c>
      <c r="J1385" s="4" t="s">
        <v>4628</v>
      </c>
      <c r="K1385" s="6">
        <f>+919908137370</f>
        <v>919908137370</v>
      </c>
      <c r="L1385" s="4" t="str">
        <f t="shared" si="1"/>
        <v>lakshmi.illinda05@gmail.com919908137370</v>
      </c>
      <c r="M1385" s="10" t="s">
        <v>67</v>
      </c>
      <c r="N1385" s="4" t="b">
        <v>0</v>
      </c>
      <c r="O1385" s="4" t="str">
        <f>VLOOKUP(A1385,payment_ids!D:E,2,FALSE)</f>
        <v>upi</v>
      </c>
      <c r="P1385" s="4" t="s">
        <v>69</v>
      </c>
      <c r="Q1385" s="11">
        <v>44413.93402777778</v>
      </c>
      <c r="R1385" s="4"/>
      <c r="S1385" s="12" t="s">
        <v>4620</v>
      </c>
      <c r="T1385" s="4"/>
      <c r="U1385" s="4"/>
      <c r="V1385" s="4"/>
      <c r="W1385" s="5"/>
      <c r="X1385" s="4"/>
      <c r="Y1385" s="4"/>
      <c r="Z1385" s="5"/>
      <c r="AA1385" s="4"/>
      <c r="AB1385" s="4"/>
      <c r="AC1385" s="4"/>
      <c r="AD1385" s="5"/>
      <c r="AE1385" s="5"/>
      <c r="AF1385" s="5"/>
      <c r="AG1385" s="5"/>
      <c r="AH1385" s="5"/>
      <c r="AI1385" s="5"/>
      <c r="AJ1385" s="5"/>
      <c r="AK1385" s="5"/>
      <c r="AL1385" s="5"/>
    </row>
    <row r="1386">
      <c r="A1386" s="4" t="str">
        <f>VLOOKUP(L1386,payment_ids!C:D,2,FALSE)</f>
        <v>pay_H8Ajs6TmcwP2uq</v>
      </c>
      <c r="B1386" s="4"/>
      <c r="C1386" s="4" t="s">
        <v>1133</v>
      </c>
      <c r="D1386" s="4">
        <v>49859.0</v>
      </c>
      <c r="E1386" s="4"/>
      <c r="F1386" s="4">
        <v>1.0</v>
      </c>
      <c r="G1386" s="4">
        <v>99.0</v>
      </c>
      <c r="H1386" s="4"/>
      <c r="I1386" s="4">
        <v>99.0</v>
      </c>
      <c r="J1386" s="4" t="s">
        <v>4629</v>
      </c>
      <c r="K1386" s="6">
        <f t="shared" ref="K1386:K1387" si="8">+919632670331</f>
        <v>919632670331</v>
      </c>
      <c r="L1386" s="4" t="str">
        <f t="shared" si="1"/>
        <v>kumar.avinab@yahoo.com919632670331</v>
      </c>
      <c r="M1386" s="10" t="s">
        <v>67</v>
      </c>
      <c r="N1386" s="4" t="b">
        <v>0</v>
      </c>
      <c r="O1386" s="4" t="str">
        <f>VLOOKUP(A1386,payment_ids!D:E,2,FALSE)</f>
        <v>wallet</v>
      </c>
      <c r="P1386" s="4" t="s">
        <v>69</v>
      </c>
      <c r="Q1386" s="11">
        <v>44413.43680555555</v>
      </c>
      <c r="R1386" s="4"/>
      <c r="S1386" s="12" t="s">
        <v>4620</v>
      </c>
      <c r="T1386" s="4"/>
      <c r="U1386" s="4"/>
      <c r="V1386" s="4"/>
      <c r="W1386" s="5"/>
      <c r="X1386" s="4"/>
      <c r="Y1386" s="4"/>
      <c r="Z1386" s="5"/>
      <c r="AA1386" s="4"/>
      <c r="AB1386" s="4"/>
      <c r="AC1386" s="4"/>
      <c r="AD1386" s="5"/>
      <c r="AE1386" s="5"/>
      <c r="AF1386" s="5"/>
      <c r="AG1386" s="5"/>
      <c r="AH1386" s="5"/>
      <c r="AI1386" s="5"/>
      <c r="AJ1386" s="5"/>
      <c r="AK1386" s="5"/>
      <c r="AL1386" s="5"/>
    </row>
    <row r="1387">
      <c r="A1387" s="4" t="str">
        <f>VLOOKUP(L1387,payment_ids!C:D,2,FALSE)</f>
        <v>pay_H8Ajs6TmcwP2uq</v>
      </c>
      <c r="B1387" s="4"/>
      <c r="C1387" s="4" t="s">
        <v>1133</v>
      </c>
      <c r="D1387" s="4">
        <v>49859.0</v>
      </c>
      <c r="E1387" s="4"/>
      <c r="F1387" s="4">
        <v>1.0</v>
      </c>
      <c r="G1387" s="4">
        <v>99.0</v>
      </c>
      <c r="H1387" s="4"/>
      <c r="I1387" s="4">
        <v>99.0</v>
      </c>
      <c r="J1387" s="4" t="s">
        <v>4629</v>
      </c>
      <c r="K1387" s="6">
        <f t="shared" si="8"/>
        <v>919632670331</v>
      </c>
      <c r="L1387" s="4" t="str">
        <f t="shared" si="1"/>
        <v>kumar.avinab@yahoo.com919632670331</v>
      </c>
      <c r="M1387" s="10" t="s">
        <v>67</v>
      </c>
      <c r="N1387" s="4" t="b">
        <v>0</v>
      </c>
      <c r="O1387" s="4" t="str">
        <f>VLOOKUP(A1387,payment_ids!D:E,2,FALSE)</f>
        <v>wallet</v>
      </c>
      <c r="P1387" s="4" t="s">
        <v>69</v>
      </c>
      <c r="Q1387" s="11">
        <v>44413.43819444445</v>
      </c>
      <c r="R1387" s="4"/>
      <c r="S1387" s="12" t="s">
        <v>4620</v>
      </c>
      <c r="T1387" s="4"/>
      <c r="U1387" s="4"/>
      <c r="V1387" s="4"/>
      <c r="W1387" s="5"/>
      <c r="X1387" s="4"/>
      <c r="Y1387" s="4"/>
      <c r="Z1387" s="5"/>
      <c r="AA1387" s="4"/>
      <c r="AB1387" s="4"/>
      <c r="AC1387" s="4"/>
      <c r="AD1387" s="5"/>
      <c r="AE1387" s="5"/>
      <c r="AF1387" s="5"/>
      <c r="AG1387" s="5"/>
      <c r="AH1387" s="5"/>
      <c r="AI1387" s="5"/>
      <c r="AJ1387" s="5"/>
      <c r="AK1387" s="5"/>
      <c r="AL1387" s="5"/>
    </row>
    <row r="1388">
      <c r="A1388" s="4" t="str">
        <f>VLOOKUP(L1388,payment_ids!C:D,2,FALSE)</f>
        <v>pay_H8BiyYv2au5kBX</v>
      </c>
      <c r="B1388" s="4"/>
      <c r="C1388" s="4" t="s">
        <v>1133</v>
      </c>
      <c r="D1388" s="4">
        <v>49859.0</v>
      </c>
      <c r="E1388" s="4"/>
      <c r="F1388" s="4">
        <v>3.0</v>
      </c>
      <c r="G1388" s="4">
        <v>199.0</v>
      </c>
      <c r="H1388" s="4"/>
      <c r="I1388" s="4">
        <v>199.0</v>
      </c>
      <c r="J1388" s="4" t="s">
        <v>4630</v>
      </c>
      <c r="K1388" s="6">
        <f>+917389533624</f>
        <v>917389533624</v>
      </c>
      <c r="L1388" s="4" t="str">
        <f t="shared" si="1"/>
        <v>jaysingh.1999jay@gmail.com917389533624</v>
      </c>
      <c r="M1388" s="10" t="s">
        <v>67</v>
      </c>
      <c r="N1388" s="4" t="b">
        <v>0</v>
      </c>
      <c r="O1388" s="4" t="str">
        <f>VLOOKUP(A1388,payment_ids!D:E,2,FALSE)</f>
        <v>upi</v>
      </c>
      <c r="P1388" s="4" t="s">
        <v>69</v>
      </c>
      <c r="Q1388" s="11">
        <v>44413.47222222222</v>
      </c>
      <c r="R1388" s="4"/>
      <c r="S1388" s="12" t="s">
        <v>4620</v>
      </c>
      <c r="T1388" s="4"/>
      <c r="U1388" s="4"/>
      <c r="V1388" s="4"/>
      <c r="W1388" s="5"/>
      <c r="X1388" s="4"/>
      <c r="Y1388" s="4"/>
      <c r="Z1388" s="5"/>
      <c r="AA1388" s="4"/>
      <c r="AB1388" s="4"/>
      <c r="AC1388" s="4"/>
      <c r="AD1388" s="5"/>
      <c r="AE1388" s="5"/>
      <c r="AF1388" s="5"/>
      <c r="AG1388" s="5"/>
      <c r="AH1388" s="5"/>
      <c r="AI1388" s="5"/>
      <c r="AJ1388" s="5"/>
      <c r="AK1388" s="5"/>
      <c r="AL1388" s="5"/>
    </row>
    <row r="1389">
      <c r="A1389" s="4" t="str">
        <f>VLOOKUP(L1389,payment_ids!C:D,2,FALSE)</f>
        <v>pay_H80aOxulxgqKku</v>
      </c>
      <c r="B1389" s="4"/>
      <c r="C1389" s="4" t="s">
        <v>1133</v>
      </c>
      <c r="D1389" s="4">
        <v>49859.0</v>
      </c>
      <c r="E1389" s="4"/>
      <c r="F1389" s="4">
        <v>6.0</v>
      </c>
      <c r="G1389" s="4">
        <v>349.0</v>
      </c>
      <c r="H1389" s="4"/>
      <c r="I1389" s="4">
        <v>349.0</v>
      </c>
      <c r="J1389" s="4" t="s">
        <v>4631</v>
      </c>
      <c r="K1389" s="6">
        <f>+919769493632</f>
        <v>919769493632</v>
      </c>
      <c r="L1389" s="4" t="str">
        <f t="shared" si="1"/>
        <v>connect@tejassarvankar.com919769493632</v>
      </c>
      <c r="M1389" s="10" t="s">
        <v>67</v>
      </c>
      <c r="N1389" s="4" t="b">
        <v>0</v>
      </c>
      <c r="O1389" s="4" t="str">
        <f>VLOOKUP(A1389,payment_ids!D:E,2,FALSE)</f>
        <v>upi</v>
      </c>
      <c r="P1389" s="4" t="s">
        <v>69</v>
      </c>
      <c r="Q1389" s="11">
        <v>44413.018055555556</v>
      </c>
      <c r="R1389" s="4"/>
      <c r="S1389" s="12" t="s">
        <v>4620</v>
      </c>
      <c r="T1389" s="4"/>
      <c r="U1389" s="4"/>
      <c r="V1389" s="4"/>
      <c r="W1389" s="5"/>
      <c r="X1389" s="4"/>
      <c r="Y1389" s="4"/>
      <c r="Z1389" s="5"/>
      <c r="AA1389" s="4"/>
      <c r="AB1389" s="4"/>
      <c r="AC1389" s="4"/>
      <c r="AD1389" s="5"/>
      <c r="AE1389" s="5"/>
      <c r="AF1389" s="5"/>
      <c r="AG1389" s="5"/>
      <c r="AH1389" s="5"/>
      <c r="AI1389" s="5"/>
      <c r="AJ1389" s="5"/>
      <c r="AK1389" s="5"/>
      <c r="AL1389" s="5"/>
    </row>
    <row r="1390">
      <c r="A1390" s="4" t="str">
        <f>VLOOKUP(L1390,payment_ids!C:D,2,FALSE)</f>
        <v>pay_H8Ta6LgLuqa80F</v>
      </c>
      <c r="B1390" s="4"/>
      <c r="C1390" s="4" t="s">
        <v>1133</v>
      </c>
      <c r="D1390" s="4">
        <v>49859.0</v>
      </c>
      <c r="E1390" s="4"/>
      <c r="F1390" s="4">
        <v>3.0</v>
      </c>
      <c r="G1390" s="4">
        <v>199.0</v>
      </c>
      <c r="H1390" s="4"/>
      <c r="I1390" s="4">
        <v>199.0</v>
      </c>
      <c r="J1390" s="4" t="s">
        <v>4632</v>
      </c>
      <c r="K1390" s="6">
        <f>+919167707178</f>
        <v>919167707178</v>
      </c>
      <c r="L1390" s="4" t="str">
        <f t="shared" si="1"/>
        <v>sharafatmulla@gmail.com919167707178</v>
      </c>
      <c r="M1390" s="10" t="s">
        <v>67</v>
      </c>
      <c r="N1390" s="4" t="b">
        <v>0</v>
      </c>
      <c r="O1390" s="4" t="str">
        <f>VLOOKUP(A1390,payment_ids!D:E,2,FALSE)</f>
        <v>upi</v>
      </c>
      <c r="P1390" s="4" t="s">
        <v>69</v>
      </c>
      <c r="Q1390" s="11">
        <v>44444.19930555556</v>
      </c>
      <c r="R1390" s="4"/>
      <c r="S1390" s="12" t="s">
        <v>4620</v>
      </c>
      <c r="T1390" s="4"/>
      <c r="U1390" s="4"/>
      <c r="V1390" s="4"/>
      <c r="W1390" s="5"/>
      <c r="X1390" s="4"/>
      <c r="Y1390" s="4"/>
      <c r="Z1390" s="5"/>
      <c r="AA1390" s="4"/>
      <c r="AB1390" s="4"/>
      <c r="AC1390" s="4"/>
      <c r="AD1390" s="5"/>
      <c r="AE1390" s="5"/>
      <c r="AF1390" s="5"/>
      <c r="AG1390" s="5"/>
      <c r="AH1390" s="5"/>
      <c r="AI1390" s="5"/>
      <c r="AJ1390" s="5"/>
      <c r="AK1390" s="5"/>
      <c r="AL1390" s="5"/>
    </row>
    <row r="1391">
      <c r="A1391" s="4" t="str">
        <f>VLOOKUP(L1391,payment_ids!C:D,2,FALSE)</f>
        <v>pay_H8Wq3DE2qgn2ha</v>
      </c>
      <c r="B1391" s="4"/>
      <c r="C1391" s="4" t="s">
        <v>1133</v>
      </c>
      <c r="D1391" s="4">
        <v>49859.0</v>
      </c>
      <c r="E1391" s="4"/>
      <c r="F1391" s="4">
        <v>1.0</v>
      </c>
      <c r="G1391" s="4">
        <v>99.0</v>
      </c>
      <c r="H1391" s="4"/>
      <c r="I1391" s="4">
        <v>99.0</v>
      </c>
      <c r="J1391" s="4" t="s">
        <v>4633</v>
      </c>
      <c r="K1391" s="6">
        <f>+918743022033</f>
        <v>918743022033</v>
      </c>
      <c r="L1391" s="4" t="str">
        <f t="shared" si="1"/>
        <v>surya.aqu10@gmail.com918743022033</v>
      </c>
      <c r="M1391" s="10" t="s">
        <v>67</v>
      </c>
      <c r="N1391" s="4" t="b">
        <v>0</v>
      </c>
      <c r="O1391" s="4" t="str">
        <f>VLOOKUP(A1391,payment_ids!D:E,2,FALSE)</f>
        <v>card</v>
      </c>
      <c r="P1391" s="4" t="s">
        <v>69</v>
      </c>
      <c r="Q1391" s="11">
        <v>44444.33125</v>
      </c>
      <c r="R1391" s="4"/>
      <c r="S1391" s="12" t="s">
        <v>4620</v>
      </c>
      <c r="T1391" s="4"/>
      <c r="U1391" s="4"/>
      <c r="V1391" s="4"/>
      <c r="W1391" s="5"/>
      <c r="X1391" s="4"/>
      <c r="Y1391" s="4"/>
      <c r="Z1391" s="5"/>
      <c r="AA1391" s="4"/>
      <c r="AB1391" s="4"/>
      <c r="AC1391" s="4"/>
      <c r="AD1391" s="5"/>
      <c r="AE1391" s="5"/>
      <c r="AF1391" s="5"/>
      <c r="AG1391" s="5"/>
      <c r="AH1391" s="5"/>
      <c r="AI1391" s="5"/>
      <c r="AJ1391" s="5"/>
      <c r="AK1391" s="5"/>
      <c r="AL1391" s="5"/>
    </row>
    <row r="1392">
      <c r="A1392" s="4" t="str">
        <f>VLOOKUP(L1392,payment_ids!C:D,2,FALSE)</f>
        <v>pay_H8mLSpVAOW5vnP</v>
      </c>
      <c r="B1392" s="4"/>
      <c r="C1392" s="4" t="s">
        <v>1133</v>
      </c>
      <c r="D1392" s="4">
        <v>49859.0</v>
      </c>
      <c r="E1392" s="4"/>
      <c r="F1392" s="4">
        <v>1.0</v>
      </c>
      <c r="G1392" s="4">
        <v>99.0</v>
      </c>
      <c r="H1392" s="4"/>
      <c r="I1392" s="4">
        <v>99.0</v>
      </c>
      <c r="J1392" s="4" t="s">
        <v>4634</v>
      </c>
      <c r="K1392" s="6">
        <f>+919482182652</f>
        <v>919482182652</v>
      </c>
      <c r="L1392" s="4" t="str">
        <f t="shared" si="1"/>
        <v>samartha2899@gmail.com919482182652</v>
      </c>
      <c r="M1392" s="10" t="s">
        <v>67</v>
      </c>
      <c r="N1392" s="4" t="b">
        <v>0</v>
      </c>
      <c r="O1392" s="4" t="str">
        <f>VLOOKUP(A1392,payment_ids!D:E,2,FALSE)</f>
        <v>upi</v>
      </c>
      <c r="P1392" s="4" t="s">
        <v>69</v>
      </c>
      <c r="Q1392" s="11">
        <v>44444.96388888889</v>
      </c>
      <c r="R1392" s="4"/>
      <c r="S1392" s="12" t="s">
        <v>4620</v>
      </c>
      <c r="T1392" s="4"/>
      <c r="U1392" s="4"/>
      <c r="V1392" s="4"/>
      <c r="W1392" s="5"/>
      <c r="X1392" s="4"/>
      <c r="Y1392" s="4"/>
      <c r="Z1392" s="5"/>
      <c r="AA1392" s="4"/>
      <c r="AB1392" s="4"/>
      <c r="AC1392" s="4"/>
      <c r="AD1392" s="5"/>
      <c r="AE1392" s="5"/>
      <c r="AF1392" s="5"/>
      <c r="AG1392" s="5"/>
      <c r="AH1392" s="5"/>
      <c r="AI1392" s="5"/>
      <c r="AJ1392" s="5"/>
      <c r="AK1392" s="5"/>
      <c r="AL1392" s="5"/>
    </row>
    <row r="1393">
      <c r="A1393" s="4" t="str">
        <f>VLOOKUP(L1393,payment_ids!C:D,2,FALSE)</f>
        <v>pay_H90Wx1NUJt13lD</v>
      </c>
      <c r="B1393" s="4"/>
      <c r="C1393" s="4" t="s">
        <v>1133</v>
      </c>
      <c r="D1393" s="4">
        <v>49859.0</v>
      </c>
      <c r="E1393" s="4"/>
      <c r="F1393" s="4">
        <v>1.0</v>
      </c>
      <c r="G1393" s="4">
        <v>99.0</v>
      </c>
      <c r="H1393" s="4"/>
      <c r="I1393" s="4">
        <v>99.0</v>
      </c>
      <c r="J1393" s="4" t="s">
        <v>4635</v>
      </c>
      <c r="K1393" s="6">
        <f>+918296942644</f>
        <v>918296942644</v>
      </c>
      <c r="L1393" s="4" t="str">
        <f t="shared" si="1"/>
        <v>harshmsharma00@gmail.com918296942644</v>
      </c>
      <c r="M1393" s="10" t="s">
        <v>67</v>
      </c>
      <c r="N1393" s="4" t="b">
        <v>0</v>
      </c>
      <c r="O1393" s="4" t="str">
        <f>VLOOKUP(A1393,payment_ids!D:E,2,FALSE)</f>
        <v>upi</v>
      </c>
      <c r="P1393" s="4" t="s">
        <v>69</v>
      </c>
      <c r="Q1393" s="11">
        <v>44474.541666666664</v>
      </c>
      <c r="R1393" s="4"/>
      <c r="S1393" s="12" t="s">
        <v>4620</v>
      </c>
      <c r="T1393" s="4"/>
      <c r="U1393" s="4"/>
      <c r="V1393" s="4"/>
      <c r="W1393" s="5"/>
      <c r="X1393" s="4"/>
      <c r="Y1393" s="4"/>
      <c r="Z1393" s="5"/>
      <c r="AA1393" s="4"/>
      <c r="AB1393" s="4"/>
      <c r="AC1393" s="4"/>
      <c r="AD1393" s="5"/>
      <c r="AE1393" s="5"/>
      <c r="AF1393" s="5"/>
      <c r="AG1393" s="5"/>
      <c r="AH1393" s="5"/>
      <c r="AI1393" s="5"/>
      <c r="AJ1393" s="5"/>
      <c r="AK1393" s="5"/>
      <c r="AL1393" s="5"/>
    </row>
    <row r="1394">
      <c r="A1394" s="4" t="str">
        <f>VLOOKUP(L1394,payment_ids!C:D,2,FALSE)</f>
        <v>pay_H93wtGwe3sotGs</v>
      </c>
      <c r="B1394" s="4"/>
      <c r="C1394" s="4" t="s">
        <v>1133</v>
      </c>
      <c r="D1394" s="4">
        <v>49859.0</v>
      </c>
      <c r="E1394" s="4"/>
      <c r="F1394" s="4">
        <v>1.0</v>
      </c>
      <c r="G1394" s="4">
        <v>99.0</v>
      </c>
      <c r="H1394" s="4"/>
      <c r="I1394" s="4">
        <v>99.0</v>
      </c>
      <c r="J1394" s="4" t="s">
        <v>4636</v>
      </c>
      <c r="K1394" s="6">
        <f>+919890185241</f>
        <v>919890185241</v>
      </c>
      <c r="L1394" s="4" t="str">
        <f t="shared" si="1"/>
        <v>khushiaher@gmail.com919890185241</v>
      </c>
      <c r="M1394" s="10" t="s">
        <v>67</v>
      </c>
      <c r="N1394" s="4" t="b">
        <v>0</v>
      </c>
      <c r="O1394" s="4" t="str">
        <f>VLOOKUP(A1394,payment_ids!D:E,2,FALSE)</f>
        <v>upi</v>
      </c>
      <c r="P1394" s="4" t="s">
        <v>69</v>
      </c>
      <c r="Q1394" s="11">
        <v>44474.68541666667</v>
      </c>
      <c r="R1394" s="4"/>
      <c r="S1394" s="12" t="s">
        <v>4620</v>
      </c>
      <c r="T1394" s="4"/>
      <c r="U1394" s="4"/>
      <c r="V1394" s="4"/>
      <c r="W1394" s="5"/>
      <c r="X1394" s="4"/>
      <c r="Y1394" s="4"/>
      <c r="Z1394" s="5"/>
      <c r="AA1394" s="4"/>
      <c r="AB1394" s="4"/>
      <c r="AC1394" s="4"/>
      <c r="AD1394" s="5"/>
      <c r="AE1394" s="5"/>
      <c r="AF1394" s="5"/>
      <c r="AG1394" s="5"/>
      <c r="AH1394" s="5"/>
      <c r="AI1394" s="5"/>
      <c r="AJ1394" s="5"/>
      <c r="AK1394" s="5"/>
      <c r="AL1394" s="5"/>
    </row>
    <row r="1395">
      <c r="A1395" s="4" t="str">
        <f>VLOOKUP(L1395,payment_ids!C:D,2,FALSE)</f>
        <v>pay_H8tndjfz1h2NDB</v>
      </c>
      <c r="B1395" s="4"/>
      <c r="C1395" s="4" t="s">
        <v>1133</v>
      </c>
      <c r="D1395" s="4">
        <v>49859.0</v>
      </c>
      <c r="E1395" s="4"/>
      <c r="F1395" s="4">
        <v>1.0</v>
      </c>
      <c r="G1395" s="4">
        <v>99.0</v>
      </c>
      <c r="H1395" s="4"/>
      <c r="I1395" s="4">
        <v>99.0</v>
      </c>
      <c r="J1395" s="4" t="s">
        <v>4637</v>
      </c>
      <c r="K1395" s="6">
        <f>+918938061732</f>
        <v>918938061732</v>
      </c>
      <c r="L1395" s="4" t="str">
        <f t="shared" si="1"/>
        <v>mskohly@gmail.com918938061732</v>
      </c>
      <c r="M1395" s="10" t="s">
        <v>67</v>
      </c>
      <c r="N1395" s="4" t="b">
        <v>0</v>
      </c>
      <c r="O1395" s="4" t="str">
        <f>VLOOKUP(A1395,payment_ids!D:E,2,FALSE)</f>
        <v>card</v>
      </c>
      <c r="P1395" s="4" t="s">
        <v>69</v>
      </c>
      <c r="Q1395" s="11">
        <v>44474.268055555556</v>
      </c>
      <c r="R1395" s="4"/>
      <c r="S1395" s="12" t="s">
        <v>4620</v>
      </c>
      <c r="T1395" s="4"/>
      <c r="U1395" s="4"/>
      <c r="V1395" s="4"/>
      <c r="W1395" s="5"/>
      <c r="X1395" s="4"/>
      <c r="Y1395" s="4"/>
      <c r="Z1395" s="5"/>
      <c r="AA1395" s="4"/>
      <c r="AB1395" s="4"/>
      <c r="AC1395" s="4"/>
      <c r="AD1395" s="5"/>
      <c r="AE1395" s="5"/>
      <c r="AF1395" s="5"/>
      <c r="AG1395" s="5"/>
      <c r="AH1395" s="5"/>
      <c r="AI1395" s="5"/>
      <c r="AJ1395" s="5"/>
      <c r="AK1395" s="5"/>
      <c r="AL1395" s="5"/>
    </row>
    <row r="1396">
      <c r="A1396" s="4" t="str">
        <f>VLOOKUP(L1396,payment_ids!C:D,2,FALSE)</f>
        <v>pay_H8v1Up3wM6TWNi</v>
      </c>
      <c r="B1396" s="4"/>
      <c r="C1396" s="4" t="s">
        <v>1133</v>
      </c>
      <c r="D1396" s="4">
        <v>49859.0</v>
      </c>
      <c r="E1396" s="4"/>
      <c r="F1396" s="4">
        <v>1.0</v>
      </c>
      <c r="G1396" s="4">
        <v>99.0</v>
      </c>
      <c r="H1396" s="4"/>
      <c r="I1396" s="4">
        <v>99.0</v>
      </c>
      <c r="J1396" s="4" t="s">
        <v>4638</v>
      </c>
      <c r="K1396" s="6">
        <f>+919567570277</f>
        <v>919567570277</v>
      </c>
      <c r="L1396" s="4" t="str">
        <f t="shared" si="1"/>
        <v>torakeshr@gmail.com919567570277</v>
      </c>
      <c r="M1396" s="10" t="s">
        <v>67</v>
      </c>
      <c r="N1396" s="4" t="b">
        <v>0</v>
      </c>
      <c r="O1396" s="4" t="str">
        <f>VLOOKUP(A1396,payment_ids!D:E,2,FALSE)</f>
        <v>upi</v>
      </c>
      <c r="P1396" s="4" t="s">
        <v>69</v>
      </c>
      <c r="Q1396" s="11">
        <v>44474.31736111111</v>
      </c>
      <c r="R1396" s="4"/>
      <c r="S1396" s="12" t="s">
        <v>4620</v>
      </c>
      <c r="T1396" s="4"/>
      <c r="U1396" s="4"/>
      <c r="V1396" s="4"/>
      <c r="W1396" s="5"/>
      <c r="X1396" s="4"/>
      <c r="Y1396" s="4"/>
      <c r="Z1396" s="5"/>
      <c r="AA1396" s="4"/>
      <c r="AB1396" s="4"/>
      <c r="AC1396" s="4"/>
      <c r="AD1396" s="5"/>
      <c r="AE1396" s="5"/>
      <c r="AF1396" s="5"/>
      <c r="AG1396" s="5"/>
      <c r="AH1396" s="5"/>
      <c r="AI1396" s="5"/>
      <c r="AJ1396" s="5"/>
      <c r="AK1396" s="5"/>
      <c r="AL1396" s="5"/>
    </row>
    <row r="1397">
      <c r="A1397" s="4" t="str">
        <f>VLOOKUP(L1397,payment_ids!C:D,2,FALSE)</f>
        <v>pay_H9A5xRcwGnrtbM</v>
      </c>
      <c r="B1397" s="4"/>
      <c r="C1397" s="4" t="s">
        <v>1133</v>
      </c>
      <c r="D1397" s="4">
        <v>49859.0</v>
      </c>
      <c r="E1397" s="4"/>
      <c r="F1397" s="4">
        <v>3.0</v>
      </c>
      <c r="G1397" s="4">
        <v>199.0</v>
      </c>
      <c r="H1397" s="4"/>
      <c r="I1397" s="4">
        <v>199.0</v>
      </c>
      <c r="J1397" s="4" t="s">
        <v>4639</v>
      </c>
      <c r="K1397" s="6">
        <f>+919411530305</f>
        <v>919411530305</v>
      </c>
      <c r="L1397" s="4" t="str">
        <f t="shared" si="1"/>
        <v>rachanayadav3july@gmail.com919411530305</v>
      </c>
      <c r="M1397" s="10" t="s">
        <v>67</v>
      </c>
      <c r="N1397" s="4" t="b">
        <v>0</v>
      </c>
      <c r="O1397" s="4" t="str">
        <f>VLOOKUP(A1397,payment_ids!D:E,2,FALSE)</f>
        <v>upi</v>
      </c>
      <c r="P1397" s="4" t="s">
        <v>69</v>
      </c>
      <c r="Q1397" s="11">
        <v>44474.93194444444</v>
      </c>
      <c r="R1397" s="4"/>
      <c r="S1397" s="12" t="s">
        <v>4620</v>
      </c>
      <c r="T1397" s="4"/>
      <c r="U1397" s="4"/>
      <c r="V1397" s="4"/>
      <c r="W1397" s="5"/>
      <c r="X1397" s="4"/>
      <c r="Y1397" s="4"/>
      <c r="Z1397" s="5"/>
      <c r="AA1397" s="4"/>
      <c r="AB1397" s="4"/>
      <c r="AC1397" s="4"/>
      <c r="AD1397" s="5"/>
      <c r="AE1397" s="5"/>
      <c r="AF1397" s="5"/>
      <c r="AG1397" s="5"/>
      <c r="AH1397" s="5"/>
      <c r="AI1397" s="5"/>
      <c r="AJ1397" s="5"/>
      <c r="AK1397" s="5"/>
      <c r="AL1397" s="5"/>
    </row>
    <row r="1398">
      <c r="A1398" s="4" t="str">
        <f>VLOOKUP(L1398,payment_ids!C:D,2,FALSE)</f>
        <v>pay_H8oDPPh4zPfLrs</v>
      </c>
      <c r="B1398" s="4"/>
      <c r="C1398" s="4" t="s">
        <v>1133</v>
      </c>
      <c r="D1398" s="4">
        <v>49859.0</v>
      </c>
      <c r="E1398" s="4"/>
      <c r="F1398" s="4">
        <v>1.0</v>
      </c>
      <c r="G1398" s="4">
        <v>99.0</v>
      </c>
      <c r="H1398" s="4"/>
      <c r="I1398" s="4">
        <v>99.0</v>
      </c>
      <c r="J1398" s="4" t="s">
        <v>4640</v>
      </c>
      <c r="K1398" s="6">
        <f>+917489050790</f>
        <v>917489050790</v>
      </c>
      <c r="L1398" s="4" t="str">
        <f t="shared" si="1"/>
        <v>hrkambsinha@outlook.com917489050790</v>
      </c>
      <c r="M1398" s="10" t="s">
        <v>67</v>
      </c>
      <c r="N1398" s="4" t="b">
        <v>0</v>
      </c>
      <c r="O1398" s="4" t="str">
        <f>VLOOKUP(A1398,payment_ids!D:E,2,FALSE)</f>
        <v>upi</v>
      </c>
      <c r="P1398" s="4" t="s">
        <v>69</v>
      </c>
      <c r="Q1398" s="11">
        <v>44474.04027777778</v>
      </c>
      <c r="R1398" s="4"/>
      <c r="S1398" s="12" t="s">
        <v>4620</v>
      </c>
      <c r="T1398" s="4"/>
      <c r="U1398" s="4"/>
      <c r="V1398" s="4"/>
      <c r="W1398" s="5"/>
      <c r="X1398" s="4"/>
      <c r="Y1398" s="4"/>
      <c r="Z1398" s="5"/>
      <c r="AA1398" s="4"/>
      <c r="AB1398" s="4"/>
      <c r="AC1398" s="4"/>
      <c r="AD1398" s="5"/>
      <c r="AE1398" s="5"/>
      <c r="AF1398" s="5"/>
      <c r="AG1398" s="5"/>
      <c r="AH1398" s="5"/>
      <c r="AI1398" s="5"/>
      <c r="AJ1398" s="5"/>
      <c r="AK1398" s="5"/>
      <c r="AL1398" s="5"/>
    </row>
    <row r="1399">
      <c r="A1399" s="4" t="str">
        <f>VLOOKUP(L1399,payment_ids!C:D,2,FALSE)</f>
        <v>pay_HBn2H4b1hlswCe</v>
      </c>
      <c r="B1399" s="4"/>
      <c r="C1399" s="4" t="s">
        <v>1133</v>
      </c>
      <c r="D1399" s="4">
        <v>49859.0</v>
      </c>
      <c r="E1399" s="4"/>
      <c r="F1399" s="4">
        <v>1.0</v>
      </c>
      <c r="G1399" s="4">
        <v>99.0</v>
      </c>
      <c r="H1399" s="4"/>
      <c r="I1399" s="4">
        <v>99.0</v>
      </c>
      <c r="J1399" s="4" t="s">
        <v>4641</v>
      </c>
      <c r="K1399" s="6">
        <f>+919941040811</f>
        <v>919941040811</v>
      </c>
      <c r="L1399" s="4" t="str">
        <f t="shared" si="1"/>
        <v>hvardhini1994@gmail.com919941040811</v>
      </c>
      <c r="M1399" s="10" t="s">
        <v>67</v>
      </c>
      <c r="N1399" s="4" t="b">
        <v>0</v>
      </c>
      <c r="O1399" s="4" t="str">
        <f>VLOOKUP(A1399,payment_ids!D:E,2,FALSE)</f>
        <v>upi</v>
      </c>
      <c r="P1399" s="4" t="s">
        <v>69</v>
      </c>
      <c r="Q1399" s="4" t="s">
        <v>4642</v>
      </c>
      <c r="R1399" s="4"/>
      <c r="S1399" s="12" t="s">
        <v>4620</v>
      </c>
      <c r="T1399" s="4"/>
      <c r="U1399" s="4"/>
      <c r="V1399" s="4"/>
      <c r="W1399" s="5"/>
      <c r="X1399" s="4"/>
      <c r="Y1399" s="4"/>
      <c r="Z1399" s="5"/>
      <c r="AA1399" s="4"/>
      <c r="AB1399" s="4"/>
      <c r="AC1399" s="4"/>
      <c r="AD1399" s="5"/>
      <c r="AE1399" s="5"/>
      <c r="AF1399" s="5"/>
      <c r="AG1399" s="5"/>
      <c r="AH1399" s="5"/>
      <c r="AI1399" s="5"/>
      <c r="AJ1399" s="5"/>
      <c r="AK1399" s="5"/>
      <c r="AL1399" s="5"/>
    </row>
    <row r="1400">
      <c r="A1400" s="4" t="str">
        <f>VLOOKUP(L1400,payment_ids!C:D,2,FALSE)</f>
        <v>pay_HBnHaIMIUU8jKc</v>
      </c>
      <c r="B1400" s="4"/>
      <c r="C1400" s="4" t="s">
        <v>1133</v>
      </c>
      <c r="D1400" s="4">
        <v>49859.0</v>
      </c>
      <c r="E1400" s="4"/>
      <c r="F1400" s="4">
        <v>1.0</v>
      </c>
      <c r="G1400" s="4">
        <v>99.0</v>
      </c>
      <c r="H1400" s="4"/>
      <c r="I1400" s="4">
        <v>99.0</v>
      </c>
      <c r="J1400" s="4" t="s">
        <v>3405</v>
      </c>
      <c r="K1400" s="6">
        <f>+919110266512</f>
        <v>919110266512</v>
      </c>
      <c r="L1400" s="4" t="str">
        <f t="shared" si="1"/>
        <v>anubhat268@gmail.com919110266512</v>
      </c>
      <c r="M1400" s="10" t="s">
        <v>67</v>
      </c>
      <c r="N1400" s="4" t="b">
        <v>0</v>
      </c>
      <c r="O1400" s="4" t="str">
        <f>VLOOKUP(A1400,payment_ids!D:E,2,FALSE)</f>
        <v>upi</v>
      </c>
      <c r="P1400" s="4" t="s">
        <v>69</v>
      </c>
      <c r="Q1400" s="4" t="s">
        <v>4643</v>
      </c>
      <c r="R1400" s="4"/>
      <c r="S1400" s="12" t="s">
        <v>4620</v>
      </c>
      <c r="T1400" s="4"/>
      <c r="U1400" s="4"/>
      <c r="V1400" s="4"/>
      <c r="W1400" s="5"/>
      <c r="X1400" s="4"/>
      <c r="Y1400" s="4"/>
      <c r="Z1400" s="5"/>
      <c r="AA1400" s="4"/>
      <c r="AB1400" s="4"/>
      <c r="AC1400" s="4"/>
      <c r="AD1400" s="5"/>
      <c r="AE1400" s="5"/>
      <c r="AF1400" s="5"/>
      <c r="AG1400" s="5"/>
      <c r="AH1400" s="5"/>
      <c r="AI1400" s="5"/>
      <c r="AJ1400" s="5"/>
      <c r="AK1400" s="5"/>
      <c r="AL1400" s="5"/>
    </row>
    <row r="1401">
      <c r="A1401" s="4" t="str">
        <f>VLOOKUP(L1401,payment_ids!C:D,2,FALSE)</f>
        <v>pay_HBpujm4peUuk5Q</v>
      </c>
      <c r="B1401" s="4"/>
      <c r="C1401" s="4" t="s">
        <v>1133</v>
      </c>
      <c r="D1401" s="4">
        <v>49859.0</v>
      </c>
      <c r="E1401" s="4"/>
      <c r="F1401" s="4">
        <v>1.0</v>
      </c>
      <c r="G1401" s="4">
        <v>99.0</v>
      </c>
      <c r="H1401" s="4"/>
      <c r="I1401" s="4">
        <v>99.0</v>
      </c>
      <c r="J1401" s="4" t="s">
        <v>1966</v>
      </c>
      <c r="K1401" s="6">
        <f>+919873171765</f>
        <v>919873171765</v>
      </c>
      <c r="L1401" s="4" t="str">
        <f t="shared" si="1"/>
        <v>197sonal.badkur@gmail.com919873171765</v>
      </c>
      <c r="M1401" s="10" t="s">
        <v>67</v>
      </c>
      <c r="N1401" s="4" t="b">
        <v>0</v>
      </c>
      <c r="O1401" s="4" t="str">
        <f>VLOOKUP(A1401,payment_ids!D:E,2,FALSE)</f>
        <v>upi</v>
      </c>
      <c r="P1401" s="4" t="s">
        <v>69</v>
      </c>
      <c r="Q1401" s="4" t="s">
        <v>4644</v>
      </c>
      <c r="R1401" s="4"/>
      <c r="S1401" s="12" t="s">
        <v>4620</v>
      </c>
      <c r="T1401" s="4"/>
      <c r="U1401" s="4"/>
      <c r="V1401" s="4"/>
      <c r="W1401" s="5"/>
      <c r="X1401" s="4"/>
      <c r="Y1401" s="4"/>
      <c r="Z1401" s="5"/>
      <c r="AA1401" s="4"/>
      <c r="AB1401" s="4"/>
      <c r="AC1401" s="4"/>
      <c r="AD1401" s="5"/>
      <c r="AE1401" s="5"/>
      <c r="AF1401" s="5"/>
      <c r="AG1401" s="5"/>
      <c r="AH1401" s="5"/>
      <c r="AI1401" s="5"/>
      <c r="AJ1401" s="5"/>
      <c r="AK1401" s="5"/>
      <c r="AL1401" s="5"/>
    </row>
    <row r="1402">
      <c r="A1402" s="4" t="str">
        <f>VLOOKUP(L1402,payment_ids!C:D,2,FALSE)</f>
        <v>pay_HBjrBPajWnnz7L</v>
      </c>
      <c r="B1402" s="4"/>
      <c r="C1402" s="4" t="s">
        <v>1133</v>
      </c>
      <c r="D1402" s="4">
        <v>49859.0</v>
      </c>
      <c r="E1402" s="4"/>
      <c r="F1402" s="4">
        <v>1.0</v>
      </c>
      <c r="G1402" s="4">
        <v>99.0</v>
      </c>
      <c r="H1402" s="4"/>
      <c r="I1402" s="4">
        <v>99.0</v>
      </c>
      <c r="J1402" s="4" t="s">
        <v>4645</v>
      </c>
      <c r="K1402" s="6">
        <f>+917908490124</f>
        <v>917908490124</v>
      </c>
      <c r="L1402" s="4" t="str">
        <f t="shared" si="1"/>
        <v>sriyamdigitalmarketing@gmail.com917908490124</v>
      </c>
      <c r="M1402" s="10" t="s">
        <v>67</v>
      </c>
      <c r="N1402" s="4" t="b">
        <v>0</v>
      </c>
      <c r="O1402" s="4" t="str">
        <f>VLOOKUP(A1402,payment_ids!D:E,2,FALSE)</f>
        <v>upi</v>
      </c>
      <c r="P1402" s="4" t="s">
        <v>69</v>
      </c>
      <c r="Q1402" s="4" t="s">
        <v>4646</v>
      </c>
      <c r="R1402" s="4"/>
      <c r="S1402" s="12" t="s">
        <v>4620</v>
      </c>
      <c r="T1402" s="4"/>
      <c r="U1402" s="4"/>
      <c r="V1402" s="4"/>
      <c r="W1402" s="5"/>
      <c r="X1402" s="4"/>
      <c r="Y1402" s="4"/>
      <c r="Z1402" s="5"/>
      <c r="AA1402" s="4"/>
      <c r="AB1402" s="4"/>
      <c r="AC1402" s="4"/>
      <c r="AD1402" s="5"/>
      <c r="AE1402" s="5"/>
      <c r="AF1402" s="5"/>
      <c r="AG1402" s="5"/>
      <c r="AH1402" s="5"/>
      <c r="AI1402" s="5"/>
      <c r="AJ1402" s="5"/>
      <c r="AK1402" s="5"/>
      <c r="AL1402" s="5"/>
    </row>
    <row r="1403">
      <c r="A1403" s="4" t="str">
        <f>VLOOKUP(L1403,payment_ids!C:D,2,FALSE)</f>
        <v>pay_HC9WCaoJmZ0uBe</v>
      </c>
      <c r="B1403" s="4"/>
      <c r="C1403" s="4" t="s">
        <v>1133</v>
      </c>
      <c r="D1403" s="4">
        <v>49859.0</v>
      </c>
      <c r="E1403" s="4"/>
      <c r="F1403" s="4">
        <v>3.0</v>
      </c>
      <c r="G1403" s="4">
        <v>199.0</v>
      </c>
      <c r="H1403" s="4"/>
      <c r="I1403" s="4">
        <v>199.0</v>
      </c>
      <c r="J1403" s="4" t="s">
        <v>4647</v>
      </c>
      <c r="K1403" s="6">
        <f>+919436213925</f>
        <v>919436213925</v>
      </c>
      <c r="L1403" s="4" t="str">
        <f t="shared" si="1"/>
        <v>awdpawan@gmail.com919436213925</v>
      </c>
      <c r="M1403" s="10" t="s">
        <v>67</v>
      </c>
      <c r="N1403" s="4" t="b">
        <v>0</v>
      </c>
      <c r="O1403" s="4" t="str">
        <f>VLOOKUP(A1403,payment_ids!D:E,2,FALSE)</f>
        <v>upi</v>
      </c>
      <c r="P1403" s="4" t="s">
        <v>69</v>
      </c>
      <c r="Q1403" s="4" t="s">
        <v>4648</v>
      </c>
      <c r="R1403" s="4"/>
      <c r="S1403" s="12" t="s">
        <v>4620</v>
      </c>
      <c r="T1403" s="4"/>
      <c r="U1403" s="4"/>
      <c r="V1403" s="4"/>
      <c r="W1403" s="5"/>
      <c r="X1403" s="4"/>
      <c r="Y1403" s="4"/>
      <c r="Z1403" s="5"/>
      <c r="AA1403" s="4"/>
      <c r="AB1403" s="4"/>
      <c r="AC1403" s="4"/>
      <c r="AD1403" s="5"/>
      <c r="AE1403" s="5"/>
      <c r="AF1403" s="5"/>
      <c r="AG1403" s="5"/>
      <c r="AH1403" s="5"/>
      <c r="AI1403" s="5"/>
      <c r="AJ1403" s="5"/>
      <c r="AK1403" s="5"/>
      <c r="AL1403" s="5"/>
    </row>
    <row r="1404">
      <c r="A1404" s="4" t="str">
        <f>VLOOKUP(L1404,payment_ids!C:D,2,FALSE)</f>
        <v>pay_HCx7lTk3u1Ihyf</v>
      </c>
      <c r="B1404" s="4"/>
      <c r="C1404" s="4" t="s">
        <v>1133</v>
      </c>
      <c r="D1404" s="4">
        <v>49859.0</v>
      </c>
      <c r="E1404" s="4"/>
      <c r="F1404" s="4">
        <v>1.0</v>
      </c>
      <c r="G1404" s="4">
        <v>99.0</v>
      </c>
      <c r="H1404" s="4"/>
      <c r="I1404" s="4">
        <v>99.0</v>
      </c>
      <c r="J1404" s="4" t="s">
        <v>1525</v>
      </c>
      <c r="K1404" s="6">
        <f>+919815577304</f>
        <v>919815577304</v>
      </c>
      <c r="L1404" s="4" t="str">
        <f t="shared" si="1"/>
        <v>princekamboj@gmail.com919815577304</v>
      </c>
      <c r="M1404" s="10" t="s">
        <v>67</v>
      </c>
      <c r="N1404" s="4" t="b">
        <v>0</v>
      </c>
      <c r="O1404" s="4" t="str">
        <f>VLOOKUP(A1404,payment_ids!D:E,2,FALSE)</f>
        <v>card</v>
      </c>
      <c r="P1404" s="4" t="s">
        <v>69</v>
      </c>
      <c r="Q1404" s="4" t="s">
        <v>4649</v>
      </c>
      <c r="R1404" s="4"/>
      <c r="S1404" s="12" t="s">
        <v>4620</v>
      </c>
      <c r="T1404" s="4"/>
      <c r="U1404" s="4"/>
      <c r="V1404" s="4"/>
      <c r="W1404" s="5"/>
      <c r="X1404" s="4"/>
      <c r="Y1404" s="4"/>
      <c r="Z1404" s="5"/>
      <c r="AA1404" s="4"/>
      <c r="AB1404" s="4"/>
      <c r="AC1404" s="4"/>
      <c r="AD1404" s="5"/>
      <c r="AE1404" s="5"/>
      <c r="AF1404" s="5"/>
      <c r="AG1404" s="5"/>
      <c r="AH1404" s="5"/>
      <c r="AI1404" s="5"/>
      <c r="AJ1404" s="5"/>
      <c r="AK1404" s="5"/>
      <c r="AL1404" s="5"/>
    </row>
    <row r="1405">
      <c r="A1405" s="4" t="str">
        <f>VLOOKUP(L1405,payment_ids!C:D,2,FALSE)</f>
        <v>pay_HDJnb8jpOzV7EV</v>
      </c>
      <c r="B1405" s="4"/>
      <c r="C1405" s="4" t="s">
        <v>1133</v>
      </c>
      <c r="D1405" s="4">
        <v>49859.0</v>
      </c>
      <c r="E1405" s="4"/>
      <c r="F1405" s="4">
        <v>1.0</v>
      </c>
      <c r="G1405" s="4">
        <v>99.0</v>
      </c>
      <c r="H1405" s="4"/>
      <c r="I1405" s="4">
        <v>99.0</v>
      </c>
      <c r="J1405" s="4" t="s">
        <v>4650</v>
      </c>
      <c r="K1405" s="6">
        <f>+919121385521</f>
        <v>919121385521</v>
      </c>
      <c r="L1405" s="4" t="str">
        <f t="shared" si="1"/>
        <v>sumanshikha04@gmail.com919121385521</v>
      </c>
      <c r="M1405" s="10" t="s">
        <v>67</v>
      </c>
      <c r="N1405" s="4" t="b">
        <v>0</v>
      </c>
      <c r="O1405" s="4" t="str">
        <f>VLOOKUP(A1405,payment_ids!D:E,2,FALSE)</f>
        <v>upi</v>
      </c>
      <c r="P1405" s="4" t="s">
        <v>69</v>
      </c>
      <c r="Q1405" s="4" t="s">
        <v>4651</v>
      </c>
      <c r="R1405" s="4"/>
      <c r="S1405" s="12" t="s">
        <v>4620</v>
      </c>
      <c r="T1405" s="4"/>
      <c r="U1405" s="5"/>
      <c r="V1405" s="4"/>
      <c r="W1405" s="5"/>
      <c r="X1405" s="4"/>
      <c r="Y1405" s="4"/>
      <c r="Z1405" s="5"/>
      <c r="AA1405" s="5"/>
      <c r="AB1405" s="4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</row>
    <row r="1406">
      <c r="A1406" s="4" t="str">
        <f>VLOOKUP(L1406,payment_ids!C:D,2,FALSE)</f>
        <v>pay_HDrpwSnDn20sa4</v>
      </c>
      <c r="B1406" s="4"/>
      <c r="C1406" s="4" t="s">
        <v>1133</v>
      </c>
      <c r="D1406" s="4">
        <v>49859.0</v>
      </c>
      <c r="E1406" s="4"/>
      <c r="F1406" s="4">
        <v>1.0</v>
      </c>
      <c r="G1406" s="4">
        <v>99.0</v>
      </c>
      <c r="H1406" s="4"/>
      <c r="I1406" s="4">
        <v>99.0</v>
      </c>
      <c r="J1406" s="4" t="s">
        <v>4652</v>
      </c>
      <c r="K1406" s="6">
        <f>+917533868800</f>
        <v>917533868800</v>
      </c>
      <c r="L1406" s="4" t="str">
        <f t="shared" si="1"/>
        <v>rawatchinu71@gmail.com917533868800</v>
      </c>
      <c r="M1406" s="10" t="s">
        <v>67</v>
      </c>
      <c r="N1406" s="4" t="b">
        <v>0</v>
      </c>
      <c r="O1406" s="4" t="str">
        <f>VLOOKUP(A1406,payment_ids!D:E,2,FALSE)</f>
        <v>upi</v>
      </c>
      <c r="P1406" s="4" t="s">
        <v>69</v>
      </c>
      <c r="Q1406" s="4" t="s">
        <v>4653</v>
      </c>
      <c r="R1406" s="4"/>
      <c r="S1406" s="12" t="s">
        <v>4620</v>
      </c>
      <c r="T1406" s="4"/>
      <c r="U1406" s="4"/>
      <c r="V1406" s="4"/>
      <c r="W1406" s="5"/>
      <c r="X1406" s="4"/>
      <c r="Y1406" s="4"/>
      <c r="Z1406" s="5"/>
      <c r="AA1406" s="4"/>
      <c r="AB1406" s="4"/>
      <c r="AC1406" s="4"/>
      <c r="AD1406" s="5"/>
      <c r="AE1406" s="5"/>
      <c r="AF1406" s="5"/>
      <c r="AG1406" s="5"/>
      <c r="AH1406" s="5"/>
      <c r="AI1406" s="5"/>
      <c r="AJ1406" s="5"/>
      <c r="AK1406" s="5"/>
      <c r="AL1406" s="5"/>
    </row>
    <row r="1407">
      <c r="A1407" s="4" t="str">
        <f>VLOOKUP(L1407,payment_ids!C:D,2,FALSE)</f>
        <v>pay_HEAdFZI3n6DWMO</v>
      </c>
      <c r="B1407" s="4"/>
      <c r="C1407" s="4" t="s">
        <v>1133</v>
      </c>
      <c r="D1407" s="4">
        <v>49859.0</v>
      </c>
      <c r="E1407" s="4"/>
      <c r="F1407" s="4">
        <v>1.0</v>
      </c>
      <c r="G1407" s="4">
        <v>99.0</v>
      </c>
      <c r="H1407" s="4"/>
      <c r="I1407" s="4">
        <v>99.0</v>
      </c>
      <c r="J1407" s="4" t="s">
        <v>4654</v>
      </c>
      <c r="K1407" s="6">
        <f>+918760031202</f>
        <v>918760031202</v>
      </c>
      <c r="L1407" s="4" t="str">
        <f t="shared" si="1"/>
        <v>bgokuleee1997@gmail.com918760031202</v>
      </c>
      <c r="M1407" s="10" t="s">
        <v>67</v>
      </c>
      <c r="N1407" s="4" t="b">
        <v>0</v>
      </c>
      <c r="O1407" s="4" t="str">
        <f>VLOOKUP(A1407,payment_ids!D:E,2,FALSE)</f>
        <v>upi</v>
      </c>
      <c r="P1407" s="4" t="s">
        <v>69</v>
      </c>
      <c r="Q1407" s="4" t="s">
        <v>4655</v>
      </c>
      <c r="R1407" s="4"/>
      <c r="S1407" s="12" t="s">
        <v>4620</v>
      </c>
      <c r="T1407" s="4"/>
      <c r="U1407" s="4"/>
      <c r="V1407" s="4"/>
      <c r="W1407" s="5"/>
      <c r="X1407" s="4"/>
      <c r="Y1407" s="4"/>
      <c r="Z1407" s="5"/>
      <c r="AA1407" s="4"/>
      <c r="AB1407" s="4"/>
      <c r="AC1407" s="4"/>
      <c r="AD1407" s="5"/>
      <c r="AE1407" s="5"/>
      <c r="AF1407" s="5"/>
      <c r="AG1407" s="5"/>
      <c r="AH1407" s="5"/>
      <c r="AI1407" s="5"/>
      <c r="AJ1407" s="5"/>
      <c r="AK1407" s="5"/>
      <c r="AL1407" s="5"/>
    </row>
    <row r="1408">
      <c r="A1408" s="4" t="str">
        <f>VLOOKUP(L1408,payment_ids!C:D,2,FALSE)</f>
        <v>pay_HEIcFlHr7AOyAV</v>
      </c>
      <c r="B1408" s="4"/>
      <c r="C1408" s="4" t="s">
        <v>1133</v>
      </c>
      <c r="D1408" s="4">
        <v>49859.0</v>
      </c>
      <c r="E1408" s="4"/>
      <c r="F1408" s="4">
        <v>3.0</v>
      </c>
      <c r="G1408" s="4">
        <v>199.0</v>
      </c>
      <c r="H1408" s="4"/>
      <c r="I1408" s="4">
        <v>199.0</v>
      </c>
      <c r="J1408" s="4" t="s">
        <v>4656</v>
      </c>
      <c r="K1408" s="6">
        <f>+919730590769</f>
        <v>919730590769</v>
      </c>
      <c r="L1408" s="4" t="str">
        <f t="shared" si="1"/>
        <v>kedarb21@gmail.com919730590769</v>
      </c>
      <c r="M1408" s="10" t="s">
        <v>67</v>
      </c>
      <c r="N1408" s="4" t="b">
        <v>0</v>
      </c>
      <c r="O1408" s="4" t="str">
        <f>VLOOKUP(A1408,payment_ids!D:E,2,FALSE)</f>
        <v>upi</v>
      </c>
      <c r="P1408" s="4" t="s">
        <v>69</v>
      </c>
      <c r="Q1408" s="4" t="s">
        <v>4657</v>
      </c>
      <c r="R1408" s="4"/>
      <c r="S1408" s="12" t="s">
        <v>4620</v>
      </c>
      <c r="T1408" s="4"/>
      <c r="U1408" s="4"/>
      <c r="V1408" s="4"/>
      <c r="W1408" s="5"/>
      <c r="X1408" s="4"/>
      <c r="Y1408" s="4"/>
      <c r="Z1408" s="5"/>
      <c r="AA1408" s="4"/>
      <c r="AB1408" s="4"/>
      <c r="AC1408" s="4"/>
      <c r="AD1408" s="5"/>
      <c r="AE1408" s="5"/>
      <c r="AF1408" s="5"/>
      <c r="AG1408" s="5"/>
      <c r="AH1408" s="5"/>
      <c r="AI1408" s="5"/>
      <c r="AJ1408" s="5"/>
      <c r="AK1408" s="5"/>
      <c r="AL1408" s="5"/>
    </row>
    <row r="1409">
      <c r="A1409" s="4" t="str">
        <f>VLOOKUP(L1409,payment_ids!C:D,2,FALSE)</f>
        <v>pay_HEUDQOtFDKnxjt</v>
      </c>
      <c r="B1409" s="4"/>
      <c r="C1409" s="4" t="s">
        <v>1133</v>
      </c>
      <c r="D1409" s="4">
        <v>49859.0</v>
      </c>
      <c r="E1409" s="4"/>
      <c r="F1409" s="4">
        <v>6.0</v>
      </c>
      <c r="G1409" s="4">
        <v>349.0</v>
      </c>
      <c r="H1409" s="4"/>
      <c r="I1409" s="4">
        <v>349.0</v>
      </c>
      <c r="J1409" s="4" t="s">
        <v>4658</v>
      </c>
      <c r="K1409" s="6">
        <f>+919819383522</f>
        <v>919819383522</v>
      </c>
      <c r="L1409" s="4" t="str">
        <f t="shared" si="1"/>
        <v>sidpatson@gmail.com919819383522</v>
      </c>
      <c r="M1409" s="10" t="s">
        <v>67</v>
      </c>
      <c r="N1409" s="4" t="b">
        <v>0</v>
      </c>
      <c r="O1409" s="4" t="str">
        <f>VLOOKUP(A1409,payment_ids!D:E,2,FALSE)</f>
        <v>upi</v>
      </c>
      <c r="P1409" s="4" t="s">
        <v>69</v>
      </c>
      <c r="Q1409" s="4" t="s">
        <v>4659</v>
      </c>
      <c r="R1409" s="4"/>
      <c r="S1409" s="12" t="s">
        <v>4620</v>
      </c>
      <c r="T1409" s="4"/>
      <c r="U1409" s="4"/>
      <c r="V1409" s="4"/>
      <c r="W1409" s="5"/>
      <c r="X1409" s="4"/>
      <c r="Y1409" s="4"/>
      <c r="Z1409" s="5"/>
      <c r="AA1409" s="4"/>
      <c r="AB1409" s="4"/>
      <c r="AC1409" s="4"/>
      <c r="AD1409" s="5"/>
      <c r="AE1409" s="5"/>
      <c r="AF1409" s="5"/>
      <c r="AG1409" s="5"/>
      <c r="AH1409" s="5"/>
      <c r="AI1409" s="5"/>
      <c r="AJ1409" s="5"/>
      <c r="AK1409" s="5"/>
      <c r="AL1409" s="5"/>
    </row>
    <row r="1410">
      <c r="A1410" s="4" t="str">
        <f>VLOOKUP(L1410,payment_ids!C:D,2,FALSE)</f>
        <v>pay_HEa6ISd1z2I52o</v>
      </c>
      <c r="B1410" s="4"/>
      <c r="C1410" s="4" t="s">
        <v>1133</v>
      </c>
      <c r="D1410" s="4">
        <v>49859.0</v>
      </c>
      <c r="E1410" s="4"/>
      <c r="F1410" s="4">
        <v>1.0</v>
      </c>
      <c r="G1410" s="4">
        <v>99.0</v>
      </c>
      <c r="H1410" s="4"/>
      <c r="I1410" s="4">
        <v>99.0</v>
      </c>
      <c r="J1410" s="4" t="s">
        <v>4660</v>
      </c>
      <c r="K1410" s="6">
        <f>+917982986266</f>
        <v>917982986266</v>
      </c>
      <c r="L1410" s="4" t="str">
        <f t="shared" si="1"/>
        <v>transformyourself2021@gmail.com917982986266</v>
      </c>
      <c r="M1410" s="10" t="s">
        <v>67</v>
      </c>
      <c r="N1410" s="4" t="b">
        <v>0</v>
      </c>
      <c r="O1410" s="4" t="str">
        <f>VLOOKUP(A1410,payment_ids!D:E,2,FALSE)</f>
        <v>upi</v>
      </c>
      <c r="P1410" s="4" t="s">
        <v>69</v>
      </c>
      <c r="Q1410" s="4" t="s">
        <v>4661</v>
      </c>
      <c r="R1410" s="4"/>
      <c r="S1410" s="12" t="s">
        <v>4620</v>
      </c>
      <c r="T1410" s="4"/>
      <c r="U1410" s="5"/>
      <c r="V1410" s="4"/>
      <c r="W1410" s="5"/>
      <c r="X1410" s="4"/>
      <c r="Y1410" s="4"/>
      <c r="Z1410" s="5"/>
      <c r="AA1410" s="5"/>
      <c r="AB1410" s="4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</row>
    <row r="1411">
      <c r="A1411" s="4" t="str">
        <f>VLOOKUP(L1411,payment_ids!C:D,2,FALSE)</f>
        <v>pay_HEgGFM71r85wbe</v>
      </c>
      <c r="B1411" s="4"/>
      <c r="C1411" s="4" t="s">
        <v>1133</v>
      </c>
      <c r="D1411" s="4">
        <v>49859.0</v>
      </c>
      <c r="E1411" s="4"/>
      <c r="F1411" s="4">
        <v>1.0</v>
      </c>
      <c r="G1411" s="4">
        <v>99.0</v>
      </c>
      <c r="H1411" s="4"/>
      <c r="I1411" s="4">
        <v>99.0</v>
      </c>
      <c r="J1411" s="4" t="s">
        <v>4662</v>
      </c>
      <c r="K1411" s="6">
        <f>+917723954357</f>
        <v>917723954357</v>
      </c>
      <c r="L1411" s="4" t="str">
        <f t="shared" si="1"/>
        <v>raj7389171998@gmail.com917723954357</v>
      </c>
      <c r="M1411" s="10" t="s">
        <v>67</v>
      </c>
      <c r="N1411" s="4" t="b">
        <v>0</v>
      </c>
      <c r="O1411" s="4" t="str">
        <f>VLOOKUP(A1411,payment_ids!D:E,2,FALSE)</f>
        <v>upi</v>
      </c>
      <c r="P1411" s="4" t="s">
        <v>69</v>
      </c>
      <c r="Q1411" s="4" t="s">
        <v>4663</v>
      </c>
      <c r="R1411" s="4"/>
      <c r="S1411" s="12" t="s">
        <v>4620</v>
      </c>
      <c r="T1411" s="4"/>
      <c r="U1411" s="4"/>
      <c r="V1411" s="4"/>
      <c r="W1411" s="5"/>
      <c r="X1411" s="4"/>
      <c r="Y1411" s="4"/>
      <c r="Z1411" s="5"/>
      <c r="AA1411" s="4"/>
      <c r="AB1411" s="4"/>
      <c r="AC1411" s="4"/>
      <c r="AD1411" s="5"/>
      <c r="AE1411" s="5"/>
      <c r="AF1411" s="5"/>
      <c r="AG1411" s="5"/>
      <c r="AH1411" s="5"/>
      <c r="AI1411" s="5"/>
      <c r="AJ1411" s="5"/>
      <c r="AK1411" s="5"/>
      <c r="AL1411" s="5"/>
    </row>
    <row r="1412">
      <c r="A1412" s="4" t="str">
        <f>VLOOKUP(L1412,payment_ids!C:D,2,FALSE)</f>
        <v>pay_HEvWifbhWHgZ3b</v>
      </c>
      <c r="B1412" s="4"/>
      <c r="C1412" s="4" t="s">
        <v>1133</v>
      </c>
      <c r="D1412" s="4">
        <v>49859.0</v>
      </c>
      <c r="E1412" s="4"/>
      <c r="F1412" s="4">
        <v>3.0</v>
      </c>
      <c r="G1412" s="4">
        <v>199.0</v>
      </c>
      <c r="H1412" s="4"/>
      <c r="I1412" s="4">
        <v>199.0</v>
      </c>
      <c r="J1412" s="4" t="s">
        <v>4664</v>
      </c>
      <c r="K1412" s="6">
        <f>+919064651607</f>
        <v>919064651607</v>
      </c>
      <c r="L1412" s="4" t="str">
        <f t="shared" si="1"/>
        <v>sohanroy0294@gmail.com919064651607</v>
      </c>
      <c r="M1412" s="10" t="s">
        <v>67</v>
      </c>
      <c r="N1412" s="4" t="b">
        <v>0</v>
      </c>
      <c r="O1412" s="4" t="str">
        <f>VLOOKUP(A1412,payment_ids!D:E,2,FALSE)</f>
        <v>upi</v>
      </c>
      <c r="P1412" s="4" t="s">
        <v>69</v>
      </c>
      <c r="Q1412" s="4" t="s">
        <v>4665</v>
      </c>
      <c r="R1412" s="4"/>
      <c r="S1412" s="12" t="s">
        <v>4620</v>
      </c>
      <c r="T1412" s="4"/>
      <c r="U1412" s="4"/>
      <c r="V1412" s="4"/>
      <c r="W1412" s="5"/>
      <c r="X1412" s="4"/>
      <c r="Y1412" s="4"/>
      <c r="Z1412" s="5"/>
      <c r="AA1412" s="4"/>
      <c r="AB1412" s="4"/>
      <c r="AC1412" s="4"/>
      <c r="AD1412" s="5"/>
      <c r="AE1412" s="5"/>
      <c r="AF1412" s="5"/>
      <c r="AG1412" s="5"/>
      <c r="AH1412" s="5"/>
      <c r="AI1412" s="5"/>
      <c r="AJ1412" s="5"/>
      <c r="AK1412" s="5"/>
      <c r="AL1412" s="5"/>
    </row>
    <row r="1413">
      <c r="A1413" s="4" t="str">
        <f>VLOOKUP(L1413,payment_ids!C:D,2,FALSE)</f>
        <v>pay_HEwhA4Ir2E1BF6</v>
      </c>
      <c r="B1413" s="4"/>
      <c r="C1413" s="4" t="s">
        <v>1133</v>
      </c>
      <c r="D1413" s="4">
        <v>49859.0</v>
      </c>
      <c r="E1413" s="4"/>
      <c r="F1413" s="4">
        <v>1.0</v>
      </c>
      <c r="G1413" s="4">
        <v>99.0</v>
      </c>
      <c r="H1413" s="4"/>
      <c r="I1413" s="4">
        <v>99.0</v>
      </c>
      <c r="J1413" s="4" t="s">
        <v>4666</v>
      </c>
      <c r="K1413" s="6">
        <f>+918208798442</f>
        <v>918208798442</v>
      </c>
      <c r="L1413" s="4" t="str">
        <f t="shared" si="1"/>
        <v>kukrejakaran48@gmail.com918208798442</v>
      </c>
      <c r="M1413" s="10" t="s">
        <v>67</v>
      </c>
      <c r="N1413" s="4" t="b">
        <v>0</v>
      </c>
      <c r="O1413" s="4" t="str">
        <f>VLOOKUP(A1413,payment_ids!D:E,2,FALSE)</f>
        <v>upi</v>
      </c>
      <c r="P1413" s="4" t="s">
        <v>69</v>
      </c>
      <c r="Q1413" s="4" t="s">
        <v>4667</v>
      </c>
      <c r="R1413" s="4"/>
      <c r="S1413" s="12" t="s">
        <v>4620</v>
      </c>
      <c r="T1413" s="4"/>
      <c r="U1413" s="4"/>
      <c r="V1413" s="4"/>
      <c r="W1413" s="5"/>
      <c r="X1413" s="4"/>
      <c r="Y1413" s="4"/>
      <c r="Z1413" s="5"/>
      <c r="AA1413" s="4"/>
      <c r="AB1413" s="4"/>
      <c r="AC1413" s="4"/>
      <c r="AD1413" s="5"/>
      <c r="AE1413" s="5"/>
      <c r="AF1413" s="5"/>
      <c r="AG1413" s="5"/>
      <c r="AH1413" s="5"/>
      <c r="AI1413" s="5"/>
      <c r="AJ1413" s="5"/>
      <c r="AK1413" s="5"/>
      <c r="AL1413" s="5"/>
    </row>
    <row r="1414">
      <c r="A1414" s="4" t="str">
        <f>VLOOKUP(L1414,payment_ids!C:D,2,FALSE)</f>
        <v>pay_HF1KDqSMjPfLaA</v>
      </c>
      <c r="B1414" s="4"/>
      <c r="C1414" s="4" t="s">
        <v>1133</v>
      </c>
      <c r="D1414" s="4">
        <v>49859.0</v>
      </c>
      <c r="E1414" s="4"/>
      <c r="F1414" s="4">
        <v>1.0</v>
      </c>
      <c r="G1414" s="4">
        <v>99.0</v>
      </c>
      <c r="H1414" s="4"/>
      <c r="I1414" s="4">
        <v>99.0</v>
      </c>
      <c r="J1414" s="4" t="s">
        <v>4668</v>
      </c>
      <c r="K1414" s="6">
        <f>+918527312214</f>
        <v>918527312214</v>
      </c>
      <c r="L1414" s="4" t="str">
        <f t="shared" si="1"/>
        <v>ak4522912@gmail.com918527312214</v>
      </c>
      <c r="M1414" s="10" t="s">
        <v>67</v>
      </c>
      <c r="N1414" s="4" t="b">
        <v>0</v>
      </c>
      <c r="O1414" s="4" t="str">
        <f>VLOOKUP(A1414,payment_ids!D:E,2,FALSE)</f>
        <v>upi</v>
      </c>
      <c r="P1414" s="4" t="s">
        <v>69</v>
      </c>
      <c r="Q1414" s="4" t="s">
        <v>4669</v>
      </c>
      <c r="R1414" s="4"/>
      <c r="S1414" s="12" t="s">
        <v>4620</v>
      </c>
      <c r="T1414" s="4"/>
      <c r="U1414" s="4"/>
      <c r="V1414" s="4"/>
      <c r="W1414" s="5"/>
      <c r="X1414" s="4"/>
      <c r="Y1414" s="4"/>
      <c r="Z1414" s="5"/>
      <c r="AA1414" s="4"/>
      <c r="AB1414" s="4"/>
      <c r="AC1414" s="4"/>
      <c r="AD1414" s="5"/>
      <c r="AE1414" s="5"/>
      <c r="AF1414" s="5"/>
      <c r="AG1414" s="5"/>
      <c r="AH1414" s="5"/>
      <c r="AI1414" s="5"/>
      <c r="AJ1414" s="5"/>
      <c r="AK1414" s="5"/>
      <c r="AL1414" s="5"/>
    </row>
    <row r="1415">
      <c r="A1415" s="4" t="str">
        <f>VLOOKUP(L1415,payment_ids!C:D,2,FALSE)</f>
        <v>pay_HF59ERyIRqB0vz</v>
      </c>
      <c r="B1415" s="4"/>
      <c r="C1415" s="4" t="s">
        <v>1133</v>
      </c>
      <c r="D1415" s="4">
        <v>49859.0</v>
      </c>
      <c r="E1415" s="4"/>
      <c r="F1415" s="4">
        <v>1.0</v>
      </c>
      <c r="G1415" s="4">
        <v>99.0</v>
      </c>
      <c r="H1415" s="4"/>
      <c r="I1415" s="4">
        <v>99.0</v>
      </c>
      <c r="J1415" s="4" t="s">
        <v>4670</v>
      </c>
      <c r="K1415" s="6">
        <f>+919916570222</f>
        <v>919916570222</v>
      </c>
      <c r="L1415" s="4" t="str">
        <f t="shared" si="1"/>
        <v>jyotiyb@gmail.com919916570222</v>
      </c>
      <c r="M1415" s="10" t="s">
        <v>67</v>
      </c>
      <c r="N1415" s="4" t="b">
        <v>0</v>
      </c>
      <c r="O1415" s="4" t="str">
        <f>VLOOKUP(A1415,payment_ids!D:E,2,FALSE)</f>
        <v>upi</v>
      </c>
      <c r="P1415" s="4" t="s">
        <v>69</v>
      </c>
      <c r="Q1415" s="4" t="s">
        <v>4671</v>
      </c>
      <c r="R1415" s="4"/>
      <c r="S1415" s="12" t="s">
        <v>4620</v>
      </c>
      <c r="T1415" s="4"/>
      <c r="U1415" s="4"/>
      <c r="V1415" s="4"/>
      <c r="W1415" s="5"/>
      <c r="X1415" s="4"/>
      <c r="Y1415" s="4"/>
      <c r="Z1415" s="5"/>
      <c r="AA1415" s="4"/>
      <c r="AB1415" s="4"/>
      <c r="AC1415" s="4"/>
      <c r="AD1415" s="5"/>
      <c r="AE1415" s="5"/>
      <c r="AF1415" s="5"/>
      <c r="AG1415" s="5"/>
      <c r="AH1415" s="5"/>
      <c r="AI1415" s="5"/>
      <c r="AJ1415" s="5"/>
      <c r="AK1415" s="5"/>
      <c r="AL1415" s="5"/>
    </row>
    <row r="1416">
      <c r="A1416" s="4" t="str">
        <f>VLOOKUP(L1416,payment_ids!C:D,2,FALSE)</f>
        <v>pay_HF77Q73m8RvqWD</v>
      </c>
      <c r="B1416" s="4"/>
      <c r="C1416" s="4" t="s">
        <v>1133</v>
      </c>
      <c r="D1416" s="4">
        <v>49859.0</v>
      </c>
      <c r="E1416" s="5"/>
      <c r="F1416" s="4">
        <v>3.0</v>
      </c>
      <c r="G1416" s="4">
        <v>199.0</v>
      </c>
      <c r="H1416" s="4"/>
      <c r="I1416" s="4">
        <v>199.0</v>
      </c>
      <c r="J1416" s="4" t="s">
        <v>4672</v>
      </c>
      <c r="K1416" s="5">
        <f>+917533851002</f>
        <v>917533851002</v>
      </c>
      <c r="L1416" s="4" t="str">
        <f t="shared" si="1"/>
        <v>ankitrockstar064@gmail.com917533851002</v>
      </c>
      <c r="M1416" s="10" t="s">
        <v>67</v>
      </c>
      <c r="N1416" s="4" t="b">
        <v>0</v>
      </c>
      <c r="O1416" s="4" t="str">
        <f>VLOOKUP(A1416,payment_ids!D:E,2,FALSE)</f>
        <v>upi</v>
      </c>
      <c r="P1416" s="4" t="s">
        <v>69</v>
      </c>
      <c r="Q1416" s="4" t="s">
        <v>4673</v>
      </c>
      <c r="R1416" s="4"/>
      <c r="S1416" s="12" t="s">
        <v>4620</v>
      </c>
      <c r="T1416" s="5"/>
      <c r="U1416" s="4"/>
      <c r="V1416" s="4"/>
      <c r="W1416" s="5"/>
      <c r="X1416" s="4"/>
      <c r="Y1416" s="4"/>
      <c r="Z1416" s="5"/>
      <c r="AA1416" s="4"/>
      <c r="AB1416" s="4"/>
      <c r="AC1416" s="4"/>
      <c r="AD1416" s="5"/>
      <c r="AE1416" s="5"/>
      <c r="AF1416" s="5"/>
      <c r="AG1416" s="5"/>
      <c r="AH1416" s="5"/>
      <c r="AI1416" s="5"/>
      <c r="AJ1416" s="5"/>
      <c r="AK1416" s="5"/>
      <c r="AL1416" s="5"/>
    </row>
    <row r="1417">
      <c r="A1417" s="4" t="str">
        <f>VLOOKUP(L1417,payment_ids!C:D,2,FALSE)</f>
        <v>pay_HEInOLL8oiLF3X</v>
      </c>
      <c r="B1417" s="4"/>
      <c r="C1417" s="4" t="s">
        <v>1133</v>
      </c>
      <c r="D1417" s="4">
        <v>49859.0</v>
      </c>
      <c r="E1417" s="5"/>
      <c r="F1417" s="4">
        <v>6.0</v>
      </c>
      <c r="G1417" s="4">
        <v>349.0</v>
      </c>
      <c r="H1417" s="4"/>
      <c r="I1417" s="4">
        <v>349.0</v>
      </c>
      <c r="J1417" s="4" t="s">
        <v>4674</v>
      </c>
      <c r="K1417" s="5">
        <f>+919769705556</f>
        <v>919769705556</v>
      </c>
      <c r="L1417" s="4" t="str">
        <f t="shared" si="1"/>
        <v>chandrakant.ingale@gmail.com919769705556</v>
      </c>
      <c r="M1417" s="10" t="s">
        <v>67</v>
      </c>
      <c r="N1417" s="4" t="b">
        <v>0</v>
      </c>
      <c r="O1417" s="4" t="str">
        <f>VLOOKUP(A1417,payment_ids!D:E,2,FALSE)</f>
        <v>card</v>
      </c>
      <c r="P1417" s="4" t="s">
        <v>69</v>
      </c>
      <c r="Q1417" s="4" t="s">
        <v>4675</v>
      </c>
      <c r="R1417" s="4"/>
      <c r="S1417" s="12" t="s">
        <v>4620</v>
      </c>
      <c r="T1417" s="5"/>
      <c r="U1417" s="4"/>
      <c r="V1417" s="4"/>
      <c r="W1417" s="5"/>
      <c r="X1417" s="4"/>
      <c r="Y1417" s="4"/>
      <c r="Z1417" s="5"/>
      <c r="AA1417" s="4"/>
      <c r="AB1417" s="4"/>
      <c r="AC1417" s="4"/>
      <c r="AD1417" s="5"/>
      <c r="AE1417" s="5"/>
      <c r="AF1417" s="5"/>
      <c r="AG1417" s="5"/>
      <c r="AH1417" s="5"/>
      <c r="AI1417" s="5"/>
      <c r="AJ1417" s="5"/>
      <c r="AK1417" s="5"/>
      <c r="AL1417" s="5"/>
    </row>
    <row r="1418">
      <c r="A1418" s="4" t="str">
        <f>VLOOKUP(L1418,payment_ids!C:D,2,FALSE)</f>
        <v>pay_HFHRx3VuIddGSm</v>
      </c>
      <c r="B1418" s="4"/>
      <c r="C1418" s="4" t="s">
        <v>1133</v>
      </c>
      <c r="D1418" s="4">
        <v>49859.0</v>
      </c>
      <c r="E1418" s="5"/>
      <c r="F1418" s="4">
        <v>1.0</v>
      </c>
      <c r="G1418" s="4">
        <v>99.0</v>
      </c>
      <c r="H1418" s="4"/>
      <c r="I1418" s="4">
        <v>99.0</v>
      </c>
      <c r="J1418" s="4" t="s">
        <v>4676</v>
      </c>
      <c r="K1418" s="5">
        <f>+917666711139</f>
        <v>917666711139</v>
      </c>
      <c r="L1418" s="4" t="str">
        <f t="shared" si="1"/>
        <v>kakh.patil@gmail.com917666711139</v>
      </c>
      <c r="M1418" s="10" t="s">
        <v>67</v>
      </c>
      <c r="N1418" s="4" t="b">
        <v>0</v>
      </c>
      <c r="O1418" s="4" t="str">
        <f>VLOOKUP(A1418,payment_ids!D:E,2,FALSE)</f>
        <v>upi</v>
      </c>
      <c r="P1418" s="4" t="s">
        <v>69</v>
      </c>
      <c r="Q1418" s="4" t="s">
        <v>4677</v>
      </c>
      <c r="R1418" s="4"/>
      <c r="S1418" s="12" t="s">
        <v>4620</v>
      </c>
      <c r="T1418" s="5"/>
      <c r="U1418" s="4"/>
      <c r="V1418" s="4"/>
      <c r="W1418" s="5"/>
      <c r="X1418" s="4"/>
      <c r="Y1418" s="4"/>
      <c r="Z1418" s="5"/>
      <c r="AA1418" s="4"/>
      <c r="AB1418" s="4"/>
      <c r="AC1418" s="4"/>
      <c r="AD1418" s="5"/>
      <c r="AE1418" s="5"/>
      <c r="AF1418" s="5"/>
      <c r="AG1418" s="5"/>
      <c r="AH1418" s="5"/>
      <c r="AI1418" s="5"/>
      <c r="AJ1418" s="5"/>
      <c r="AK1418" s="5"/>
      <c r="AL1418" s="5"/>
    </row>
    <row r="1419">
      <c r="A1419" s="4" t="str">
        <f>VLOOKUP(L1419,payment_ids!C:D,2,FALSE)</f>
        <v>pay_HFOSt3mrxUshWH</v>
      </c>
      <c r="B1419" s="4"/>
      <c r="C1419" s="4" t="s">
        <v>1133</v>
      </c>
      <c r="D1419" s="4">
        <v>49859.0</v>
      </c>
      <c r="E1419" s="5"/>
      <c r="F1419" s="4">
        <v>1.0</v>
      </c>
      <c r="G1419" s="4">
        <v>99.0</v>
      </c>
      <c r="H1419" s="4"/>
      <c r="I1419" s="4">
        <v>99.0</v>
      </c>
      <c r="J1419" s="4" t="s">
        <v>4678</v>
      </c>
      <c r="K1419" s="5">
        <f>+918088045354</f>
        <v>918088045354</v>
      </c>
      <c r="L1419" s="4" t="str">
        <f t="shared" si="1"/>
        <v>abhilash.cv@gmail.com918088045354</v>
      </c>
      <c r="M1419" s="10" t="s">
        <v>67</v>
      </c>
      <c r="N1419" s="4" t="b">
        <v>0</v>
      </c>
      <c r="O1419" s="4" t="str">
        <f>VLOOKUP(A1419,payment_ids!D:E,2,FALSE)</f>
        <v>upi</v>
      </c>
      <c r="P1419" s="4" t="s">
        <v>69</v>
      </c>
      <c r="Q1419" s="4" t="s">
        <v>4679</v>
      </c>
      <c r="R1419" s="4"/>
      <c r="S1419" s="12" t="s">
        <v>4620</v>
      </c>
      <c r="T1419" s="5"/>
      <c r="U1419" s="4"/>
      <c r="V1419" s="4"/>
      <c r="W1419" s="5"/>
      <c r="X1419" s="4"/>
      <c r="Y1419" s="4"/>
      <c r="Z1419" s="5"/>
      <c r="AA1419" s="4"/>
      <c r="AB1419" s="4"/>
      <c r="AC1419" s="4"/>
      <c r="AD1419" s="5"/>
      <c r="AE1419" s="5"/>
      <c r="AF1419" s="5"/>
      <c r="AG1419" s="5"/>
      <c r="AH1419" s="5"/>
      <c r="AI1419" s="5"/>
      <c r="AJ1419" s="5"/>
      <c r="AK1419" s="5"/>
      <c r="AL1419" s="5"/>
    </row>
    <row r="1420">
      <c r="A1420" s="4" t="str">
        <f>VLOOKUP(L1420,payment_ids!C:D,2,FALSE)</f>
        <v>pay_HFSRkNXfRLlcuQ</v>
      </c>
      <c r="B1420" s="4"/>
      <c r="C1420" s="4" t="s">
        <v>1133</v>
      </c>
      <c r="D1420" s="4">
        <v>49859.0</v>
      </c>
      <c r="E1420" s="5"/>
      <c r="F1420" s="4">
        <v>1.0</v>
      </c>
      <c r="G1420" s="4">
        <v>99.0</v>
      </c>
      <c r="H1420" s="4"/>
      <c r="I1420" s="4">
        <v>99.0</v>
      </c>
      <c r="J1420" s="4" t="s">
        <v>4680</v>
      </c>
      <c r="K1420" s="5">
        <f>+917903090754</f>
        <v>917903090754</v>
      </c>
      <c r="L1420" s="4" t="str">
        <f t="shared" si="1"/>
        <v>trishna.sagar@likeminds.community917903090754</v>
      </c>
      <c r="M1420" s="10" t="s">
        <v>67</v>
      </c>
      <c r="N1420" s="4" t="b">
        <v>0</v>
      </c>
      <c r="O1420" s="4" t="str">
        <f>VLOOKUP(A1420,payment_ids!D:E,2,FALSE)</f>
        <v>upi</v>
      </c>
      <c r="P1420" s="4" t="s">
        <v>69</v>
      </c>
      <c r="Q1420" s="4" t="s">
        <v>4681</v>
      </c>
      <c r="R1420" s="4"/>
      <c r="S1420" s="12" t="s">
        <v>4620</v>
      </c>
      <c r="T1420" s="5"/>
      <c r="U1420" s="4"/>
      <c r="V1420" s="4"/>
      <c r="W1420" s="5"/>
      <c r="X1420" s="4"/>
      <c r="Y1420" s="4"/>
      <c r="Z1420" s="5"/>
      <c r="AA1420" s="4"/>
      <c r="AB1420" s="4"/>
      <c r="AC1420" s="4"/>
      <c r="AD1420" s="5"/>
      <c r="AE1420" s="5"/>
      <c r="AF1420" s="5"/>
      <c r="AG1420" s="5"/>
      <c r="AH1420" s="5"/>
      <c r="AI1420" s="5"/>
      <c r="AJ1420" s="5"/>
      <c r="AK1420" s="5"/>
      <c r="AL1420" s="5"/>
    </row>
    <row r="1421">
      <c r="A1421" s="4" t="str">
        <f>VLOOKUP(L1421,payment_ids!C:D,2,FALSE)</f>
        <v>pay_HFXs8n9NaYiOC2</v>
      </c>
      <c r="B1421" s="4"/>
      <c r="C1421" s="4" t="s">
        <v>1133</v>
      </c>
      <c r="D1421" s="4">
        <v>49859.0</v>
      </c>
      <c r="E1421" s="5"/>
      <c r="F1421" s="4">
        <v>1.0</v>
      </c>
      <c r="G1421" s="4">
        <v>99.0</v>
      </c>
      <c r="H1421" s="4"/>
      <c r="I1421" s="4">
        <v>99.0</v>
      </c>
      <c r="J1421" s="4" t="s">
        <v>4682</v>
      </c>
      <c r="K1421" s="5">
        <f>+918390078632</f>
        <v>918390078632</v>
      </c>
      <c r="L1421" s="4" t="str">
        <f t="shared" si="1"/>
        <v>tauhid.co786@gmail.com918390078632</v>
      </c>
      <c r="M1421" s="10" t="s">
        <v>67</v>
      </c>
      <c r="N1421" s="4" t="b">
        <v>0</v>
      </c>
      <c r="O1421" s="4" t="str">
        <f>VLOOKUP(A1421,payment_ids!D:E,2,FALSE)</f>
        <v>wallet</v>
      </c>
      <c r="P1421" s="4" t="s">
        <v>69</v>
      </c>
      <c r="Q1421" s="4" t="s">
        <v>4683</v>
      </c>
      <c r="R1421" s="4"/>
      <c r="S1421" s="12" t="s">
        <v>4620</v>
      </c>
      <c r="T1421" s="5"/>
      <c r="U1421" s="4"/>
      <c r="V1421" s="4"/>
      <c r="W1421" s="5"/>
      <c r="X1421" s="4"/>
      <c r="Y1421" s="4"/>
      <c r="Z1421" s="5"/>
      <c r="AA1421" s="4"/>
      <c r="AB1421" s="4"/>
      <c r="AC1421" s="4"/>
      <c r="AD1421" s="5"/>
      <c r="AE1421" s="5"/>
      <c r="AF1421" s="5"/>
      <c r="AG1421" s="5"/>
      <c r="AH1421" s="5"/>
      <c r="AI1421" s="5"/>
      <c r="AJ1421" s="5"/>
      <c r="AK1421" s="5"/>
      <c r="AL1421" s="5"/>
    </row>
    <row r="1422">
      <c r="A1422" s="4" t="str">
        <f>VLOOKUP(L1422,payment_ids!C:D,2,FALSE)</f>
        <v>pay_HFcFQItl7jOL1M</v>
      </c>
      <c r="B1422" s="4"/>
      <c r="C1422" s="4" t="s">
        <v>1133</v>
      </c>
      <c r="D1422" s="4">
        <v>49859.0</v>
      </c>
      <c r="E1422" s="5"/>
      <c r="F1422" s="4">
        <v>3.0</v>
      </c>
      <c r="G1422" s="4">
        <v>199.0</v>
      </c>
      <c r="H1422" s="4"/>
      <c r="I1422" s="4">
        <v>199.0</v>
      </c>
      <c r="J1422" s="4" t="s">
        <v>4684</v>
      </c>
      <c r="K1422" s="5">
        <f>+919502935039</f>
        <v>919502935039</v>
      </c>
      <c r="L1422" s="4" t="str">
        <f t="shared" si="1"/>
        <v>nag@brainovision.in919502935039</v>
      </c>
      <c r="M1422" s="10" t="s">
        <v>67</v>
      </c>
      <c r="N1422" s="4" t="b">
        <v>0</v>
      </c>
      <c r="O1422" s="4" t="str">
        <f>VLOOKUP(A1422,payment_ids!D:E,2,FALSE)</f>
        <v>upi</v>
      </c>
      <c r="P1422" s="4" t="s">
        <v>69</v>
      </c>
      <c r="Q1422" s="4" t="s">
        <v>4685</v>
      </c>
      <c r="R1422" s="4"/>
      <c r="S1422" s="12" t="s">
        <v>4620</v>
      </c>
      <c r="T1422" s="5"/>
      <c r="U1422" s="4"/>
      <c r="V1422" s="4"/>
      <c r="W1422" s="5"/>
      <c r="X1422" s="4"/>
      <c r="Y1422" s="4"/>
      <c r="Z1422" s="5"/>
      <c r="AA1422" s="4"/>
      <c r="AB1422" s="4"/>
      <c r="AC1422" s="4"/>
      <c r="AD1422" s="5"/>
      <c r="AE1422" s="5"/>
      <c r="AF1422" s="5"/>
      <c r="AG1422" s="5"/>
      <c r="AH1422" s="5"/>
      <c r="AI1422" s="5"/>
      <c r="AJ1422" s="5"/>
      <c r="AK1422" s="5"/>
      <c r="AL1422" s="5"/>
    </row>
    <row r="1423">
      <c r="A1423" s="4" t="str">
        <f>VLOOKUP(L1423,payment_ids!C:D,2,FALSE)</f>
        <v>pay_HFegmIoyTVS2eu</v>
      </c>
      <c r="B1423" s="4"/>
      <c r="C1423" s="4" t="s">
        <v>1133</v>
      </c>
      <c r="D1423" s="4">
        <v>49859.0</v>
      </c>
      <c r="E1423" s="5"/>
      <c r="F1423" s="4">
        <v>1.0</v>
      </c>
      <c r="G1423" s="4">
        <v>99.0</v>
      </c>
      <c r="H1423" s="4"/>
      <c r="I1423" s="4">
        <v>99.0</v>
      </c>
      <c r="J1423" s="4" t="s">
        <v>4686</v>
      </c>
      <c r="K1423" s="5">
        <f>+919007264041</f>
        <v>919007264041</v>
      </c>
      <c r="L1423" s="4" t="str">
        <f t="shared" si="1"/>
        <v>nikita.prasad01@gmail.com919007264041</v>
      </c>
      <c r="M1423" s="10" t="s">
        <v>67</v>
      </c>
      <c r="N1423" s="4" t="b">
        <v>0</v>
      </c>
      <c r="O1423" s="4" t="str">
        <f>VLOOKUP(A1423,payment_ids!D:E,2,FALSE)</f>
        <v>upi</v>
      </c>
      <c r="P1423" s="4" t="s">
        <v>69</v>
      </c>
      <c r="Q1423" s="4" t="s">
        <v>4687</v>
      </c>
      <c r="R1423" s="4"/>
      <c r="S1423" s="12" t="s">
        <v>4620</v>
      </c>
      <c r="T1423" s="5"/>
      <c r="U1423" s="4"/>
      <c r="V1423" s="4"/>
      <c r="W1423" s="5"/>
      <c r="X1423" s="4"/>
      <c r="Y1423" s="4"/>
      <c r="Z1423" s="5"/>
      <c r="AA1423" s="4"/>
      <c r="AB1423" s="4"/>
      <c r="AC1423" s="4"/>
      <c r="AD1423" s="5"/>
      <c r="AE1423" s="5"/>
      <c r="AF1423" s="5"/>
      <c r="AG1423" s="5"/>
      <c r="AH1423" s="5"/>
      <c r="AI1423" s="5"/>
      <c r="AJ1423" s="5"/>
      <c r="AK1423" s="5"/>
      <c r="AL1423" s="5"/>
    </row>
    <row r="1424">
      <c r="A1424" s="4" t="str">
        <f>VLOOKUP(L1424,payment_ids!C:D,2,FALSE)</f>
        <v>pay_HFioM6U1KbODqq</v>
      </c>
      <c r="B1424" s="4"/>
      <c r="C1424" s="4" t="s">
        <v>1133</v>
      </c>
      <c r="D1424" s="4">
        <v>49859.0</v>
      </c>
      <c r="E1424" s="5"/>
      <c r="F1424" s="4">
        <v>1.0</v>
      </c>
      <c r="G1424" s="4">
        <v>99.0</v>
      </c>
      <c r="H1424" s="4"/>
      <c r="I1424" s="4">
        <v>99.0</v>
      </c>
      <c r="J1424" s="4" t="s">
        <v>4688</v>
      </c>
      <c r="K1424" s="5">
        <f>+919618029555</f>
        <v>919618029555</v>
      </c>
      <c r="L1424" s="4" t="str">
        <f t="shared" si="1"/>
        <v>sanvi2805@gmail.com919618029555</v>
      </c>
      <c r="M1424" s="10" t="s">
        <v>67</v>
      </c>
      <c r="N1424" s="4" t="b">
        <v>0</v>
      </c>
      <c r="O1424" s="4" t="str">
        <f>VLOOKUP(A1424,payment_ids!D:E,2,FALSE)</f>
        <v>upi</v>
      </c>
      <c r="P1424" s="4" t="s">
        <v>69</v>
      </c>
      <c r="Q1424" s="4" t="s">
        <v>4689</v>
      </c>
      <c r="R1424" s="4"/>
      <c r="S1424" s="12" t="s">
        <v>4620</v>
      </c>
      <c r="T1424" s="5"/>
      <c r="U1424" s="4"/>
      <c r="V1424" s="4"/>
      <c r="W1424" s="5"/>
      <c r="X1424" s="4"/>
      <c r="Y1424" s="4"/>
      <c r="Z1424" s="5"/>
      <c r="AA1424" s="4"/>
      <c r="AB1424" s="4"/>
      <c r="AC1424" s="4"/>
      <c r="AD1424" s="5"/>
      <c r="AE1424" s="5"/>
      <c r="AF1424" s="5"/>
      <c r="AG1424" s="5"/>
      <c r="AH1424" s="5"/>
      <c r="AI1424" s="5"/>
      <c r="AJ1424" s="5"/>
      <c r="AK1424" s="5"/>
      <c r="AL1424" s="5"/>
    </row>
    <row r="1425">
      <c r="A1425" s="4" t="str">
        <f>VLOOKUP(L1425,payment_ids!C:D,2,FALSE)</f>
        <v>pay_HG2dlDRb9CHyig</v>
      </c>
      <c r="B1425" s="4"/>
      <c r="C1425" s="4" t="s">
        <v>1133</v>
      </c>
      <c r="D1425" s="4">
        <v>49859.0</v>
      </c>
      <c r="E1425" s="5"/>
      <c r="F1425" s="4">
        <v>1.0</v>
      </c>
      <c r="G1425" s="4">
        <v>99.0</v>
      </c>
      <c r="H1425" s="4"/>
      <c r="I1425" s="4">
        <v>99.0</v>
      </c>
      <c r="J1425" s="4" t="s">
        <v>4690</v>
      </c>
      <c r="K1425" s="5">
        <f>+919999178204</f>
        <v>919999178204</v>
      </c>
      <c r="L1425" s="4" t="str">
        <f t="shared" si="1"/>
        <v>shikha29102016@gmail.com919999178204</v>
      </c>
      <c r="M1425" s="10" t="s">
        <v>67</v>
      </c>
      <c r="N1425" s="4" t="b">
        <v>0</v>
      </c>
      <c r="O1425" s="4" t="str">
        <f>VLOOKUP(A1425,payment_ids!D:E,2,FALSE)</f>
        <v>upi</v>
      </c>
      <c r="P1425" s="4" t="s">
        <v>69</v>
      </c>
      <c r="Q1425" s="4" t="s">
        <v>4691</v>
      </c>
      <c r="R1425" s="4"/>
      <c r="S1425" s="12" t="s">
        <v>4620</v>
      </c>
      <c r="T1425" s="5"/>
      <c r="U1425" s="4"/>
      <c r="V1425" s="4"/>
      <c r="W1425" s="5"/>
      <c r="X1425" s="4"/>
      <c r="Y1425" s="4"/>
      <c r="Z1425" s="5"/>
      <c r="AA1425" s="4"/>
      <c r="AB1425" s="4"/>
      <c r="AC1425" s="4"/>
      <c r="AD1425" s="5"/>
      <c r="AE1425" s="5"/>
      <c r="AF1425" s="5"/>
      <c r="AG1425" s="5"/>
      <c r="AH1425" s="5"/>
      <c r="AI1425" s="5"/>
      <c r="AJ1425" s="5"/>
      <c r="AK1425" s="5"/>
      <c r="AL1425" s="5"/>
    </row>
    <row r="1426">
      <c r="A1426" s="4" t="str">
        <f>VLOOKUP(L1426,payment_ids!C:D,2,FALSE)</f>
        <v>pay_HG9uAGmp9BouAX</v>
      </c>
      <c r="B1426" s="4"/>
      <c r="C1426" s="4" t="s">
        <v>1133</v>
      </c>
      <c r="D1426" s="4">
        <v>49859.0</v>
      </c>
      <c r="E1426" s="5"/>
      <c r="F1426" s="4">
        <v>1.0</v>
      </c>
      <c r="G1426" s="4">
        <v>99.0</v>
      </c>
      <c r="H1426" s="4"/>
      <c r="I1426" s="4">
        <v>99.0</v>
      </c>
      <c r="J1426" s="4" t="s">
        <v>4692</v>
      </c>
      <c r="K1426" s="5">
        <f>+919715279805</f>
        <v>919715279805</v>
      </c>
      <c r="L1426" s="4" t="str">
        <f t="shared" si="1"/>
        <v>vaidekis@gmail.com919715279805</v>
      </c>
      <c r="M1426" s="10" t="s">
        <v>67</v>
      </c>
      <c r="N1426" s="4" t="b">
        <v>0</v>
      </c>
      <c r="O1426" s="4" t="str">
        <f>VLOOKUP(A1426,payment_ids!D:E,2,FALSE)</f>
        <v>upi</v>
      </c>
      <c r="P1426" s="4" t="s">
        <v>69</v>
      </c>
      <c r="Q1426" s="4" t="s">
        <v>4693</v>
      </c>
      <c r="R1426" s="4"/>
      <c r="S1426" s="12" t="s">
        <v>4620</v>
      </c>
      <c r="T1426" s="5"/>
      <c r="U1426" s="4"/>
      <c r="V1426" s="4"/>
      <c r="W1426" s="5"/>
      <c r="X1426" s="4"/>
      <c r="Y1426" s="4"/>
      <c r="Z1426" s="5"/>
      <c r="AA1426" s="4"/>
      <c r="AB1426" s="4"/>
      <c r="AC1426" s="4"/>
      <c r="AD1426" s="5"/>
      <c r="AE1426" s="5"/>
      <c r="AF1426" s="5"/>
      <c r="AG1426" s="5"/>
      <c r="AH1426" s="5"/>
      <c r="AI1426" s="5"/>
      <c r="AJ1426" s="5"/>
      <c r="AK1426" s="5"/>
      <c r="AL1426" s="5"/>
    </row>
    <row r="1427">
      <c r="A1427" s="4" t="str">
        <f>VLOOKUP(L1427,payment_ids!C:D,2,FALSE)</f>
        <v>pay_HGUOFW05uKL1vb</v>
      </c>
      <c r="B1427" s="4"/>
      <c r="C1427" s="4" t="s">
        <v>1133</v>
      </c>
      <c r="D1427" s="4">
        <v>49859.0</v>
      </c>
      <c r="E1427" s="5"/>
      <c r="F1427" s="4">
        <v>1.0</v>
      </c>
      <c r="G1427" s="4">
        <v>99.0</v>
      </c>
      <c r="H1427" s="4"/>
      <c r="I1427" s="4">
        <v>99.0</v>
      </c>
      <c r="J1427" s="4" t="s">
        <v>4694</v>
      </c>
      <c r="K1427" s="5">
        <f>+919347849691</f>
        <v>919347849691</v>
      </c>
      <c r="L1427" s="4" t="str">
        <f t="shared" si="1"/>
        <v>gayatrikarnatapu2@gmail.com919347849691</v>
      </c>
      <c r="M1427" s="10" t="s">
        <v>67</v>
      </c>
      <c r="N1427" s="4" t="b">
        <v>0</v>
      </c>
      <c r="O1427" s="4" t="str">
        <f>VLOOKUP(A1427,payment_ids!D:E,2,FALSE)</f>
        <v>upi</v>
      </c>
      <c r="P1427" s="4" t="s">
        <v>69</v>
      </c>
      <c r="Q1427" s="4" t="s">
        <v>4695</v>
      </c>
      <c r="R1427" s="4"/>
      <c r="S1427" s="12" t="s">
        <v>4620</v>
      </c>
      <c r="T1427" s="5"/>
      <c r="U1427" s="4"/>
      <c r="V1427" s="4"/>
      <c r="W1427" s="5"/>
      <c r="X1427" s="4"/>
      <c r="Y1427" s="4"/>
      <c r="Z1427" s="5"/>
      <c r="AA1427" s="4"/>
      <c r="AB1427" s="4"/>
      <c r="AC1427" s="4"/>
      <c r="AD1427" s="5"/>
      <c r="AE1427" s="5"/>
      <c r="AF1427" s="5"/>
      <c r="AG1427" s="5"/>
      <c r="AH1427" s="5"/>
      <c r="AI1427" s="5"/>
      <c r="AJ1427" s="5"/>
      <c r="AK1427" s="5"/>
      <c r="AL1427" s="5"/>
    </row>
    <row r="1428">
      <c r="A1428" s="4" t="str">
        <f>VLOOKUP(L1428,payment_ids!C:D,2,FALSE)</f>
        <v>pay_HGZ5HuUdgWdtYb</v>
      </c>
      <c r="B1428" s="4"/>
      <c r="C1428" s="4" t="s">
        <v>1133</v>
      </c>
      <c r="D1428" s="4">
        <v>49859.0</v>
      </c>
      <c r="E1428" s="5"/>
      <c r="F1428" s="4">
        <v>3.0</v>
      </c>
      <c r="G1428" s="4">
        <v>199.0</v>
      </c>
      <c r="H1428" s="4"/>
      <c r="I1428" s="4">
        <v>199.0</v>
      </c>
      <c r="J1428" s="4" t="s">
        <v>4696</v>
      </c>
      <c r="K1428" s="5">
        <f>+918960461801</f>
        <v>918960461801</v>
      </c>
      <c r="L1428" s="4" t="str">
        <f t="shared" si="1"/>
        <v>mdfarhan1801@gmail.com918960461801</v>
      </c>
      <c r="M1428" s="10" t="s">
        <v>67</v>
      </c>
      <c r="N1428" s="4" t="b">
        <v>0</v>
      </c>
      <c r="O1428" s="4" t="str">
        <f>VLOOKUP(A1428,payment_ids!D:E,2,FALSE)</f>
        <v>upi</v>
      </c>
      <c r="P1428" s="4" t="s">
        <v>69</v>
      </c>
      <c r="Q1428" s="4" t="s">
        <v>4697</v>
      </c>
      <c r="R1428" s="4"/>
      <c r="S1428" s="12" t="s">
        <v>4620</v>
      </c>
      <c r="T1428" s="5"/>
      <c r="U1428" s="4"/>
      <c r="V1428" s="4"/>
      <c r="W1428" s="5"/>
      <c r="X1428" s="4"/>
      <c r="Y1428" s="4"/>
      <c r="Z1428" s="5"/>
      <c r="AA1428" s="4"/>
      <c r="AB1428" s="4"/>
      <c r="AC1428" s="4"/>
      <c r="AD1428" s="5"/>
      <c r="AE1428" s="5"/>
      <c r="AF1428" s="5"/>
      <c r="AG1428" s="5"/>
      <c r="AH1428" s="5"/>
      <c r="AI1428" s="5"/>
      <c r="AJ1428" s="5"/>
      <c r="AK1428" s="5"/>
      <c r="AL1428" s="5"/>
    </row>
    <row r="1429">
      <c r="A1429" s="4" t="str">
        <f>VLOOKUP(L1429,payment_ids!C:D,2,FALSE)</f>
        <v>pay_HGb37wdyGi2MzU</v>
      </c>
      <c r="B1429" s="4"/>
      <c r="C1429" s="4" t="s">
        <v>1133</v>
      </c>
      <c r="D1429" s="4">
        <v>49859.0</v>
      </c>
      <c r="E1429" s="5"/>
      <c r="F1429" s="4">
        <v>1.0</v>
      </c>
      <c r="G1429" s="4">
        <v>99.0</v>
      </c>
      <c r="H1429" s="4"/>
      <c r="I1429" s="4">
        <v>99.0</v>
      </c>
      <c r="J1429" s="4" t="s">
        <v>4698</v>
      </c>
      <c r="K1429" s="5">
        <f>+919398562671</f>
        <v>919398562671</v>
      </c>
      <c r="L1429" s="4" t="str">
        <f t="shared" si="1"/>
        <v>sspavan999@gmail.com919398562671</v>
      </c>
      <c r="M1429" s="10" t="s">
        <v>67</v>
      </c>
      <c r="N1429" s="4" t="b">
        <v>0</v>
      </c>
      <c r="O1429" s="4" t="str">
        <f>VLOOKUP(A1429,payment_ids!D:E,2,FALSE)</f>
        <v>upi</v>
      </c>
      <c r="P1429" s="4" t="s">
        <v>69</v>
      </c>
      <c r="Q1429" s="4" t="s">
        <v>4699</v>
      </c>
      <c r="R1429" s="4"/>
      <c r="S1429" s="12" t="s">
        <v>4620</v>
      </c>
      <c r="T1429" s="5"/>
      <c r="U1429" s="4"/>
      <c r="V1429" s="4"/>
      <c r="W1429" s="5"/>
      <c r="X1429" s="4"/>
      <c r="Y1429" s="4"/>
      <c r="Z1429" s="5"/>
      <c r="AA1429" s="4"/>
      <c r="AB1429" s="4"/>
      <c r="AC1429" s="4"/>
      <c r="AD1429" s="5"/>
      <c r="AE1429" s="5"/>
      <c r="AF1429" s="5"/>
      <c r="AG1429" s="5"/>
      <c r="AH1429" s="5"/>
      <c r="AI1429" s="5"/>
      <c r="AJ1429" s="5"/>
      <c r="AK1429" s="5"/>
      <c r="AL1429" s="5"/>
    </row>
    <row r="1430">
      <c r="A1430" s="4" t="str">
        <f>VLOOKUP(L1430,payment_ids!C:D,2,FALSE)</f>
        <v>pay_HGWOcuIkNgbeK6</v>
      </c>
      <c r="B1430" s="4"/>
      <c r="C1430" s="4" t="s">
        <v>1133</v>
      </c>
      <c r="D1430" s="4">
        <v>49859.0</v>
      </c>
      <c r="E1430" s="5"/>
      <c r="F1430" s="4">
        <v>1.0</v>
      </c>
      <c r="G1430" s="4">
        <v>99.0</v>
      </c>
      <c r="H1430" s="4"/>
      <c r="I1430" s="4">
        <v>99.0</v>
      </c>
      <c r="J1430" s="4" t="s">
        <v>4700</v>
      </c>
      <c r="K1430" s="5">
        <f>+918895478773</f>
        <v>918895478773</v>
      </c>
      <c r="L1430" s="4" t="str">
        <f t="shared" si="1"/>
        <v>kanhar.kuntala552@gmail.com918895478773</v>
      </c>
      <c r="M1430" s="10" t="s">
        <v>67</v>
      </c>
      <c r="N1430" s="4" t="b">
        <v>0</v>
      </c>
      <c r="O1430" s="4" t="str">
        <f>VLOOKUP(A1430,payment_ids!D:E,2,FALSE)</f>
        <v>card</v>
      </c>
      <c r="P1430" s="4" t="s">
        <v>69</v>
      </c>
      <c r="Q1430" s="4" t="s">
        <v>4701</v>
      </c>
      <c r="R1430" s="4"/>
      <c r="S1430" s="12" t="s">
        <v>4620</v>
      </c>
      <c r="T1430" s="5"/>
      <c r="U1430" s="4"/>
      <c r="V1430" s="4"/>
      <c r="W1430" s="5"/>
      <c r="X1430" s="4"/>
      <c r="Y1430" s="4"/>
      <c r="Z1430" s="5"/>
      <c r="AA1430" s="4"/>
      <c r="AB1430" s="4"/>
      <c r="AC1430" s="4"/>
      <c r="AD1430" s="5"/>
      <c r="AE1430" s="5"/>
      <c r="AF1430" s="5"/>
      <c r="AG1430" s="5"/>
      <c r="AH1430" s="5"/>
      <c r="AI1430" s="5"/>
      <c r="AJ1430" s="5"/>
      <c r="AK1430" s="5"/>
      <c r="AL1430" s="5"/>
    </row>
    <row r="1431">
      <c r="A1431" s="4" t="str">
        <f>VLOOKUP(L1431,payment_ids!C:D,2,FALSE)</f>
        <v>pay_HGufS04v3WkGty</v>
      </c>
      <c r="B1431" s="4"/>
      <c r="C1431" s="4" t="s">
        <v>1133</v>
      </c>
      <c r="D1431" s="4">
        <v>49859.0</v>
      </c>
      <c r="E1431" s="5"/>
      <c r="F1431" s="4">
        <v>1.0</v>
      </c>
      <c r="G1431" s="4">
        <v>99.0</v>
      </c>
      <c r="H1431" s="4"/>
      <c r="I1431" s="4">
        <v>99.0</v>
      </c>
      <c r="J1431" s="4" t="s">
        <v>4702</v>
      </c>
      <c r="K1431" s="5">
        <f>+919508058885</f>
        <v>919508058885</v>
      </c>
      <c r="L1431" s="4" t="str">
        <f t="shared" si="1"/>
        <v>shivanisuman37@gmail.com919508058885</v>
      </c>
      <c r="M1431" s="10" t="s">
        <v>67</v>
      </c>
      <c r="N1431" s="4" t="b">
        <v>0</v>
      </c>
      <c r="O1431" s="4" t="str">
        <f>VLOOKUP(A1431,payment_ids!D:E,2,FALSE)</f>
        <v>upi</v>
      </c>
      <c r="P1431" s="4" t="s">
        <v>69</v>
      </c>
      <c r="Q1431" s="4" t="s">
        <v>4703</v>
      </c>
      <c r="R1431" s="4"/>
      <c r="S1431" s="12" t="s">
        <v>4620</v>
      </c>
      <c r="T1431" s="5"/>
      <c r="U1431" s="4"/>
      <c r="V1431" s="4"/>
      <c r="W1431" s="5"/>
      <c r="X1431" s="4"/>
      <c r="Y1431" s="4"/>
      <c r="Z1431" s="5"/>
      <c r="AA1431" s="4"/>
      <c r="AB1431" s="4"/>
      <c r="AC1431" s="4"/>
      <c r="AD1431" s="5"/>
      <c r="AE1431" s="5"/>
      <c r="AF1431" s="5"/>
      <c r="AG1431" s="5"/>
      <c r="AH1431" s="5"/>
      <c r="AI1431" s="5"/>
      <c r="AJ1431" s="5"/>
      <c r="AK1431" s="5"/>
      <c r="AL1431" s="5"/>
    </row>
    <row r="1432">
      <c r="A1432" s="4" t="str">
        <f>VLOOKUP(L1432,payment_ids!C:D,2,FALSE)</f>
        <v>pay_HGyibxyvDjotPJ</v>
      </c>
      <c r="B1432" s="4"/>
      <c r="C1432" s="4" t="s">
        <v>1133</v>
      </c>
      <c r="D1432" s="4">
        <v>49859.0</v>
      </c>
      <c r="E1432" s="5"/>
      <c r="F1432" s="4">
        <v>6.0</v>
      </c>
      <c r="G1432" s="4">
        <v>349.0</v>
      </c>
      <c r="H1432" s="4"/>
      <c r="I1432" s="4">
        <v>349.0</v>
      </c>
      <c r="J1432" s="4" t="s">
        <v>4704</v>
      </c>
      <c r="K1432" s="5">
        <f>+918102838388</f>
        <v>918102838388</v>
      </c>
      <c r="L1432" s="4" t="str">
        <f t="shared" si="1"/>
        <v>aimanfatma2001@gmail.com918102838388</v>
      </c>
      <c r="M1432" s="10" t="s">
        <v>67</v>
      </c>
      <c r="N1432" s="4" t="b">
        <v>0</v>
      </c>
      <c r="O1432" s="4" t="str">
        <f>VLOOKUP(A1432,payment_ids!D:E,2,FALSE)</f>
        <v>card</v>
      </c>
      <c r="P1432" s="4" t="s">
        <v>69</v>
      </c>
      <c r="Q1432" s="4" t="s">
        <v>4705</v>
      </c>
      <c r="R1432" s="4"/>
      <c r="S1432" s="12" t="s">
        <v>4620</v>
      </c>
      <c r="T1432" s="5"/>
      <c r="U1432" s="4"/>
      <c r="V1432" s="4"/>
      <c r="W1432" s="5"/>
      <c r="X1432" s="4"/>
      <c r="Y1432" s="4"/>
      <c r="Z1432" s="5"/>
      <c r="AA1432" s="4"/>
      <c r="AB1432" s="4"/>
      <c r="AC1432" s="4"/>
      <c r="AD1432" s="5"/>
      <c r="AE1432" s="5"/>
      <c r="AF1432" s="5"/>
      <c r="AG1432" s="5"/>
      <c r="AH1432" s="5"/>
      <c r="AI1432" s="5"/>
      <c r="AJ1432" s="5"/>
      <c r="AK1432" s="5"/>
      <c r="AL1432" s="5"/>
    </row>
    <row r="1433">
      <c r="A1433" s="4" t="str">
        <f>VLOOKUP(L1433,payment_ids!C:D,2,FALSE)</f>
        <v>pay_HGyUaI6yBmkFhQ</v>
      </c>
      <c r="B1433" s="4"/>
      <c r="C1433" s="4" t="s">
        <v>1133</v>
      </c>
      <c r="D1433" s="4">
        <v>49859.0</v>
      </c>
      <c r="E1433" s="5"/>
      <c r="F1433" s="4">
        <v>6.0</v>
      </c>
      <c r="G1433" s="4">
        <v>349.0</v>
      </c>
      <c r="H1433" s="4"/>
      <c r="I1433" s="4">
        <v>349.0</v>
      </c>
      <c r="J1433" s="4" t="s">
        <v>4706</v>
      </c>
      <c r="K1433" s="5">
        <f>+917453802176</f>
        <v>917453802176</v>
      </c>
      <c r="L1433" s="4" t="str">
        <f t="shared" si="1"/>
        <v>yuvrajgunsola7453@gmail.com917453802176</v>
      </c>
      <c r="M1433" s="10" t="s">
        <v>67</v>
      </c>
      <c r="N1433" s="4" t="b">
        <v>0</v>
      </c>
      <c r="O1433" s="4" t="str">
        <f>VLOOKUP(A1433,payment_ids!D:E,2,FALSE)</f>
        <v>netbanking</v>
      </c>
      <c r="P1433" s="4" t="s">
        <v>69</v>
      </c>
      <c r="Q1433" s="4" t="s">
        <v>4707</v>
      </c>
      <c r="R1433" s="4"/>
      <c r="S1433" s="12" t="s">
        <v>4620</v>
      </c>
      <c r="T1433" s="5"/>
      <c r="U1433" s="4"/>
      <c r="V1433" s="4"/>
      <c r="W1433" s="5"/>
      <c r="X1433" s="4"/>
      <c r="Y1433" s="4"/>
      <c r="Z1433" s="5"/>
      <c r="AA1433" s="4"/>
      <c r="AB1433" s="4"/>
      <c r="AC1433" s="4"/>
      <c r="AD1433" s="5"/>
      <c r="AE1433" s="5"/>
      <c r="AF1433" s="5"/>
      <c r="AG1433" s="5"/>
      <c r="AH1433" s="5"/>
      <c r="AI1433" s="5"/>
      <c r="AJ1433" s="5"/>
      <c r="AK1433" s="5"/>
      <c r="AL1433" s="5"/>
    </row>
    <row r="1434">
      <c r="A1434" s="4" t="str">
        <f>VLOOKUP(L1434,payment_ids!C:D,2,FALSE)</f>
        <v>pay_HGzZXNp8n8sNSW</v>
      </c>
      <c r="B1434" s="4"/>
      <c r="C1434" s="4" t="s">
        <v>1133</v>
      </c>
      <c r="D1434" s="4">
        <v>49859.0</v>
      </c>
      <c r="E1434" s="5"/>
      <c r="F1434" s="4">
        <v>6.0</v>
      </c>
      <c r="G1434" s="4">
        <v>349.0</v>
      </c>
      <c r="H1434" s="4"/>
      <c r="I1434" s="4">
        <v>349.0</v>
      </c>
      <c r="J1434" s="4" t="s">
        <v>4708</v>
      </c>
      <c r="K1434" s="5">
        <f>+919863093347</f>
        <v>919863093347</v>
      </c>
      <c r="L1434" s="4" t="str">
        <f t="shared" si="1"/>
        <v>jhanvijoshi790@gmail.com919863093347</v>
      </c>
      <c r="M1434" s="10" t="s">
        <v>67</v>
      </c>
      <c r="N1434" s="4" t="b">
        <v>0</v>
      </c>
      <c r="O1434" s="4" t="str">
        <f>VLOOKUP(A1434,payment_ids!D:E,2,FALSE)</f>
        <v>upi</v>
      </c>
      <c r="P1434" s="4" t="s">
        <v>69</v>
      </c>
      <c r="Q1434" s="4" t="s">
        <v>4709</v>
      </c>
      <c r="R1434" s="4"/>
      <c r="S1434" s="12" t="s">
        <v>4620</v>
      </c>
      <c r="T1434" s="5"/>
      <c r="U1434" s="4"/>
      <c r="V1434" s="4"/>
      <c r="W1434" s="5"/>
      <c r="X1434" s="4"/>
      <c r="Y1434" s="4"/>
      <c r="Z1434" s="5"/>
      <c r="AA1434" s="4"/>
      <c r="AB1434" s="4"/>
      <c r="AC1434" s="4"/>
      <c r="AD1434" s="5"/>
      <c r="AE1434" s="5"/>
      <c r="AF1434" s="5"/>
      <c r="AG1434" s="5"/>
      <c r="AH1434" s="5"/>
      <c r="AI1434" s="5"/>
      <c r="AJ1434" s="5"/>
      <c r="AK1434" s="5"/>
      <c r="AL1434" s="5"/>
    </row>
    <row r="1435">
      <c r="A1435" s="4" t="str">
        <f>VLOOKUP(L1435,payment_ids!C:D,2,FALSE)</f>
        <v>pay_HH1iQwrleiFpXu</v>
      </c>
      <c r="B1435" s="4"/>
      <c r="C1435" s="4" t="s">
        <v>1133</v>
      </c>
      <c r="D1435" s="4">
        <v>49859.0</v>
      </c>
      <c r="E1435" s="5"/>
      <c r="F1435" s="4">
        <v>1.0</v>
      </c>
      <c r="G1435" s="4">
        <v>99.0</v>
      </c>
      <c r="H1435" s="4"/>
      <c r="I1435" s="4">
        <v>99.0</v>
      </c>
      <c r="J1435" s="4" t="s">
        <v>4710</v>
      </c>
      <c r="K1435" s="5">
        <f>+918341262636</f>
        <v>918341262636</v>
      </c>
      <c r="L1435" s="4" t="str">
        <f t="shared" si="1"/>
        <v>cakarthiksharma@gmail.com918341262636</v>
      </c>
      <c r="M1435" s="10" t="s">
        <v>67</v>
      </c>
      <c r="N1435" s="4" t="b">
        <v>0</v>
      </c>
      <c r="O1435" s="4" t="str">
        <f>VLOOKUP(A1435,payment_ids!D:E,2,FALSE)</f>
        <v>upi</v>
      </c>
      <c r="P1435" s="4" t="s">
        <v>69</v>
      </c>
      <c r="Q1435" s="4" t="s">
        <v>4711</v>
      </c>
      <c r="R1435" s="4"/>
      <c r="S1435" s="12" t="s">
        <v>4620</v>
      </c>
      <c r="T1435" s="5"/>
      <c r="U1435" s="4"/>
      <c r="V1435" s="4"/>
      <c r="W1435" s="5"/>
      <c r="X1435" s="4"/>
      <c r="Y1435" s="4"/>
      <c r="Z1435" s="5"/>
      <c r="AA1435" s="4"/>
      <c r="AB1435" s="4"/>
      <c r="AC1435" s="4"/>
      <c r="AD1435" s="5"/>
      <c r="AE1435" s="5"/>
      <c r="AF1435" s="5"/>
      <c r="AG1435" s="5"/>
      <c r="AH1435" s="5"/>
      <c r="AI1435" s="5"/>
      <c r="AJ1435" s="5"/>
      <c r="AK1435" s="5"/>
      <c r="AL1435" s="5"/>
    </row>
    <row r="1436">
      <c r="A1436" s="4" t="str">
        <f>VLOOKUP(L1436,payment_ids!C:D,2,FALSE)</f>
        <v>pay_HH4prfRdPjpiyA</v>
      </c>
      <c r="B1436" s="4"/>
      <c r="C1436" s="4" t="s">
        <v>1133</v>
      </c>
      <c r="D1436" s="4">
        <v>49859.0</v>
      </c>
      <c r="E1436" s="5"/>
      <c r="F1436" s="4">
        <v>6.0</v>
      </c>
      <c r="G1436" s="4">
        <v>349.0</v>
      </c>
      <c r="H1436" s="4"/>
      <c r="I1436" s="4">
        <v>349.0</v>
      </c>
      <c r="J1436" s="4" t="s">
        <v>4712</v>
      </c>
      <c r="K1436" s="5">
        <f>+918660458423</f>
        <v>918660458423</v>
      </c>
      <c r="L1436" s="4" t="str">
        <f t="shared" si="1"/>
        <v>rashme290@gmail.com918660458423</v>
      </c>
      <c r="M1436" s="10" t="s">
        <v>67</v>
      </c>
      <c r="N1436" s="4" t="b">
        <v>0</v>
      </c>
      <c r="O1436" s="4" t="str">
        <f>VLOOKUP(A1436,payment_ids!D:E,2,FALSE)</f>
        <v>upi</v>
      </c>
      <c r="P1436" s="4" t="s">
        <v>69</v>
      </c>
      <c r="Q1436" s="4" t="s">
        <v>4713</v>
      </c>
      <c r="R1436" s="4"/>
      <c r="S1436" s="12" t="s">
        <v>4620</v>
      </c>
      <c r="T1436" s="5"/>
      <c r="U1436" s="4"/>
      <c r="V1436" s="4"/>
      <c r="W1436" s="5"/>
      <c r="X1436" s="4"/>
      <c r="Y1436" s="4"/>
      <c r="Z1436" s="5"/>
      <c r="AA1436" s="4"/>
      <c r="AB1436" s="4"/>
      <c r="AC1436" s="4"/>
      <c r="AD1436" s="5"/>
      <c r="AE1436" s="5"/>
      <c r="AF1436" s="5"/>
      <c r="AG1436" s="5"/>
      <c r="AH1436" s="5"/>
      <c r="AI1436" s="5"/>
      <c r="AJ1436" s="5"/>
      <c r="AK1436" s="5"/>
      <c r="AL1436" s="5"/>
    </row>
    <row r="1437">
      <c r="A1437" s="4" t="str">
        <f>VLOOKUP(L1437,payment_ids!C:D,2,FALSE)</f>
        <v>pay_HHEmQ78A8aXiTw</v>
      </c>
      <c r="B1437" s="4"/>
      <c r="C1437" s="4" t="s">
        <v>1133</v>
      </c>
      <c r="D1437" s="4">
        <v>49859.0</v>
      </c>
      <c r="E1437" s="5"/>
      <c r="F1437" s="4">
        <v>3.0</v>
      </c>
      <c r="G1437" s="4">
        <v>199.0</v>
      </c>
      <c r="H1437" s="4"/>
      <c r="I1437" s="4">
        <v>199.0</v>
      </c>
      <c r="J1437" s="4" t="s">
        <v>4714</v>
      </c>
      <c r="K1437" s="5">
        <f>+919834321467</f>
        <v>919834321467</v>
      </c>
      <c r="L1437" s="4" t="str">
        <f t="shared" si="1"/>
        <v>sheetal240024@gmail.com919834321467</v>
      </c>
      <c r="M1437" s="10" t="s">
        <v>67</v>
      </c>
      <c r="N1437" s="4" t="b">
        <v>0</v>
      </c>
      <c r="O1437" s="4" t="str">
        <f>VLOOKUP(A1437,payment_ids!D:E,2,FALSE)</f>
        <v>upi</v>
      </c>
      <c r="P1437" s="4" t="s">
        <v>69</v>
      </c>
      <c r="Q1437" s="4" t="s">
        <v>4715</v>
      </c>
      <c r="R1437" s="4"/>
      <c r="S1437" s="12" t="s">
        <v>4620</v>
      </c>
      <c r="T1437" s="5"/>
      <c r="U1437" s="4"/>
      <c r="V1437" s="4"/>
      <c r="W1437" s="5"/>
      <c r="X1437" s="4"/>
      <c r="Y1437" s="4"/>
      <c r="Z1437" s="5"/>
      <c r="AA1437" s="4"/>
      <c r="AB1437" s="4"/>
      <c r="AC1437" s="4"/>
      <c r="AD1437" s="5"/>
      <c r="AE1437" s="5"/>
      <c r="AF1437" s="5"/>
      <c r="AG1437" s="5"/>
      <c r="AH1437" s="5"/>
      <c r="AI1437" s="5"/>
      <c r="AJ1437" s="5"/>
      <c r="AK1437" s="5"/>
      <c r="AL1437" s="5"/>
    </row>
    <row r="1438">
      <c r="A1438" s="4" t="str">
        <f>VLOOKUP(L1438,payment_ids!C:D,2,FALSE)</f>
        <v>pay_HDIL9ZTINdSS9v</v>
      </c>
      <c r="B1438" s="4"/>
      <c r="C1438" s="4" t="s">
        <v>1133</v>
      </c>
      <c r="D1438" s="4">
        <v>49859.0</v>
      </c>
      <c r="E1438" s="5"/>
      <c r="F1438" s="4">
        <v>1.0</v>
      </c>
      <c r="G1438" s="4">
        <v>99.0</v>
      </c>
      <c r="H1438" s="4"/>
      <c r="I1438" s="4">
        <v>99.0</v>
      </c>
      <c r="J1438" s="4" t="s">
        <v>4716</v>
      </c>
      <c r="K1438" s="5">
        <f>+916000685506</f>
        <v>916000685506</v>
      </c>
      <c r="L1438" s="4" t="str">
        <f t="shared" si="1"/>
        <v>english@joshtalks.com916000685506</v>
      </c>
      <c r="M1438" s="10" t="s">
        <v>67</v>
      </c>
      <c r="N1438" s="4" t="b">
        <v>0</v>
      </c>
      <c r="O1438" s="4" t="str">
        <f>VLOOKUP(A1438,payment_ids!D:E,2,FALSE)</f>
        <v>card</v>
      </c>
      <c r="P1438" s="4" t="s">
        <v>69</v>
      </c>
      <c r="Q1438" s="4" t="s">
        <v>4717</v>
      </c>
      <c r="R1438" s="4"/>
      <c r="S1438" s="12" t="s">
        <v>4620</v>
      </c>
      <c r="T1438" s="5"/>
      <c r="U1438" s="4"/>
      <c r="V1438" s="4"/>
      <c r="W1438" s="5"/>
      <c r="X1438" s="4"/>
      <c r="Y1438" s="4"/>
      <c r="Z1438" s="5"/>
      <c r="AA1438" s="4"/>
      <c r="AB1438" s="4"/>
      <c r="AC1438" s="4"/>
      <c r="AD1438" s="5"/>
      <c r="AE1438" s="5"/>
      <c r="AF1438" s="5"/>
      <c r="AG1438" s="5"/>
      <c r="AH1438" s="5"/>
      <c r="AI1438" s="5"/>
      <c r="AJ1438" s="5"/>
      <c r="AK1438" s="5"/>
      <c r="AL1438" s="5"/>
    </row>
    <row r="1439">
      <c r="A1439" s="4" t="str">
        <f>VLOOKUP(L1439,payment_ids!C:D,2,FALSE)</f>
        <v>pay_HHHT2d7NVdwcyf</v>
      </c>
      <c r="B1439" s="4"/>
      <c r="C1439" s="4" t="s">
        <v>1133</v>
      </c>
      <c r="D1439" s="4">
        <v>49859.0</v>
      </c>
      <c r="E1439" s="5"/>
      <c r="F1439" s="4">
        <v>1.0</v>
      </c>
      <c r="G1439" s="4">
        <v>99.0</v>
      </c>
      <c r="H1439" s="4"/>
      <c r="I1439" s="4">
        <v>99.0</v>
      </c>
      <c r="J1439" s="4" t="s">
        <v>4718</v>
      </c>
      <c r="K1439" s="5">
        <f>+917271850860</f>
        <v>917271850860</v>
      </c>
      <c r="L1439" s="4" t="str">
        <f t="shared" si="1"/>
        <v>nishantsingh10081008@gmail.com917271850860</v>
      </c>
      <c r="M1439" s="10" t="s">
        <v>67</v>
      </c>
      <c r="N1439" s="4" t="b">
        <v>0</v>
      </c>
      <c r="O1439" s="4" t="str">
        <f>VLOOKUP(A1439,payment_ids!D:E,2,FALSE)</f>
        <v>upi</v>
      </c>
      <c r="P1439" s="4" t="s">
        <v>69</v>
      </c>
      <c r="Q1439" s="4" t="s">
        <v>4719</v>
      </c>
      <c r="R1439" s="4"/>
      <c r="S1439" s="12" t="s">
        <v>4620</v>
      </c>
      <c r="T1439" s="5"/>
      <c r="U1439" s="4"/>
      <c r="V1439" s="4"/>
      <c r="W1439" s="5"/>
      <c r="X1439" s="4"/>
      <c r="Y1439" s="4"/>
      <c r="Z1439" s="5"/>
      <c r="AA1439" s="4"/>
      <c r="AB1439" s="4"/>
      <c r="AC1439" s="4"/>
      <c r="AD1439" s="5"/>
      <c r="AE1439" s="5"/>
      <c r="AF1439" s="5"/>
      <c r="AG1439" s="5"/>
      <c r="AH1439" s="5"/>
      <c r="AI1439" s="5"/>
      <c r="AJ1439" s="5"/>
      <c r="AK1439" s="5"/>
      <c r="AL1439" s="5"/>
    </row>
    <row r="1440">
      <c r="A1440" s="4" t="str">
        <f>VLOOKUP(L1440,payment_ids!C:D,2,FALSE)</f>
        <v>pay_HHJoXfqptglGdK</v>
      </c>
      <c r="B1440" s="4"/>
      <c r="C1440" s="4" t="s">
        <v>1133</v>
      </c>
      <c r="D1440" s="4">
        <v>49859.0</v>
      </c>
      <c r="E1440" s="5"/>
      <c r="F1440" s="4">
        <v>1.0</v>
      </c>
      <c r="G1440" s="4">
        <v>99.0</v>
      </c>
      <c r="H1440" s="4"/>
      <c r="I1440" s="4">
        <v>99.0</v>
      </c>
      <c r="J1440" s="4" t="s">
        <v>4720</v>
      </c>
      <c r="K1440" s="5">
        <f>+917683097255</f>
        <v>917683097255</v>
      </c>
      <c r="L1440" s="4" t="str">
        <f t="shared" si="1"/>
        <v>swetankmehrotra@gmail.com917683097255</v>
      </c>
      <c r="M1440" s="10" t="s">
        <v>67</v>
      </c>
      <c r="N1440" s="4" t="b">
        <v>0</v>
      </c>
      <c r="O1440" s="4" t="str">
        <f>VLOOKUP(A1440,payment_ids!D:E,2,FALSE)</f>
        <v>upi</v>
      </c>
      <c r="P1440" s="4" t="s">
        <v>69</v>
      </c>
      <c r="Q1440" s="4" t="s">
        <v>4721</v>
      </c>
      <c r="R1440" s="4"/>
      <c r="S1440" s="12" t="s">
        <v>4620</v>
      </c>
      <c r="T1440" s="5"/>
      <c r="U1440" s="4"/>
      <c r="V1440" s="4"/>
      <c r="W1440" s="5"/>
      <c r="X1440" s="4"/>
      <c r="Y1440" s="4"/>
      <c r="Z1440" s="5"/>
      <c r="AA1440" s="4"/>
      <c r="AB1440" s="4"/>
      <c r="AC1440" s="4"/>
      <c r="AD1440" s="5"/>
      <c r="AE1440" s="5"/>
      <c r="AF1440" s="5"/>
      <c r="AG1440" s="5"/>
      <c r="AH1440" s="5"/>
      <c r="AI1440" s="5"/>
      <c r="AJ1440" s="5"/>
      <c r="AK1440" s="5"/>
      <c r="AL1440" s="5"/>
    </row>
    <row r="1441">
      <c r="A1441" s="4" t="str">
        <f>VLOOKUP(L1441,payment_ids!C:D,2,FALSE)</f>
        <v>pay_HHM6mqqnsbjQmQ</v>
      </c>
      <c r="B1441" s="4"/>
      <c r="C1441" s="4" t="s">
        <v>1133</v>
      </c>
      <c r="D1441" s="4">
        <v>49859.0</v>
      </c>
      <c r="E1441" s="5"/>
      <c r="F1441" s="4">
        <v>6.0</v>
      </c>
      <c r="G1441" s="4">
        <v>349.0</v>
      </c>
      <c r="H1441" s="4"/>
      <c r="I1441" s="4">
        <v>349.0</v>
      </c>
      <c r="J1441" s="4" t="s">
        <v>4722</v>
      </c>
      <c r="K1441" s="5">
        <f>+918285216604</f>
        <v>918285216604</v>
      </c>
      <c r="L1441" s="4" t="str">
        <f t="shared" si="1"/>
        <v>aruninfo19@gmail.com918285216604</v>
      </c>
      <c r="M1441" s="10" t="s">
        <v>67</v>
      </c>
      <c r="N1441" s="4" t="b">
        <v>0</v>
      </c>
      <c r="O1441" s="4" t="str">
        <f>VLOOKUP(A1441,payment_ids!D:E,2,FALSE)</f>
        <v>upi</v>
      </c>
      <c r="P1441" s="4" t="s">
        <v>69</v>
      </c>
      <c r="Q1441" s="4" t="s">
        <v>4723</v>
      </c>
      <c r="R1441" s="4"/>
      <c r="S1441" s="12" t="s">
        <v>4620</v>
      </c>
      <c r="T1441" s="5"/>
      <c r="U1441" s="4"/>
      <c r="V1441" s="4"/>
      <c r="W1441" s="5"/>
      <c r="X1441" s="4"/>
      <c r="Y1441" s="4"/>
      <c r="Z1441" s="5"/>
      <c r="AA1441" s="4"/>
      <c r="AB1441" s="4"/>
      <c r="AC1441" s="4"/>
      <c r="AD1441" s="5"/>
      <c r="AE1441" s="5"/>
      <c r="AF1441" s="5"/>
      <c r="AG1441" s="5"/>
      <c r="AH1441" s="5"/>
      <c r="AI1441" s="5"/>
      <c r="AJ1441" s="5"/>
      <c r="AK1441" s="5"/>
      <c r="AL1441" s="5"/>
    </row>
    <row r="1442">
      <c r="A1442" s="4" t="str">
        <f>VLOOKUP(L1442,payment_ids!C:D,2,FALSE)</f>
        <v>pay_HHVpYfc8LlK36I</v>
      </c>
      <c r="B1442" s="4"/>
      <c r="C1442" s="4" t="s">
        <v>1133</v>
      </c>
      <c r="D1442" s="4">
        <v>49859.0</v>
      </c>
      <c r="E1442" s="5"/>
      <c r="F1442" s="4">
        <v>1.0</v>
      </c>
      <c r="G1442" s="4">
        <v>99.0</v>
      </c>
      <c r="H1442" s="4"/>
      <c r="I1442" s="4">
        <v>99.0</v>
      </c>
      <c r="J1442" s="4" t="s">
        <v>4724</v>
      </c>
      <c r="K1442" s="5">
        <f>+919894167483</f>
        <v>919894167483</v>
      </c>
      <c r="L1442" s="4" t="str">
        <f t="shared" si="1"/>
        <v>bharathipunithavathi@gmail.com919894167483</v>
      </c>
      <c r="M1442" s="10" t="s">
        <v>67</v>
      </c>
      <c r="N1442" s="4" t="b">
        <v>0</v>
      </c>
      <c r="O1442" s="4" t="str">
        <f>VLOOKUP(A1442,payment_ids!D:E,2,FALSE)</f>
        <v>upi</v>
      </c>
      <c r="P1442" s="4" t="s">
        <v>69</v>
      </c>
      <c r="Q1442" s="11">
        <v>44202.03472222222</v>
      </c>
      <c r="R1442" s="4"/>
      <c r="S1442" s="12" t="s">
        <v>4620</v>
      </c>
      <c r="T1442" s="5"/>
      <c r="U1442" s="4"/>
      <c r="V1442" s="4"/>
      <c r="W1442" s="5"/>
      <c r="X1442" s="4"/>
      <c r="Y1442" s="4"/>
      <c r="Z1442" s="5"/>
      <c r="AA1442" s="4"/>
      <c r="AB1442" s="4"/>
      <c r="AC1442" s="4"/>
      <c r="AD1442" s="5"/>
      <c r="AE1442" s="5"/>
      <c r="AF1442" s="5"/>
      <c r="AG1442" s="5"/>
      <c r="AH1442" s="5"/>
      <c r="AI1442" s="5"/>
      <c r="AJ1442" s="5"/>
      <c r="AK1442" s="5"/>
      <c r="AL1442" s="5"/>
    </row>
    <row r="1443">
      <c r="A1443" s="4" t="str">
        <f>VLOOKUP(L1443,payment_ids!C:D,2,FALSE)</f>
        <v>pay_HHboNftCVuPIcs</v>
      </c>
      <c r="B1443" s="4"/>
      <c r="C1443" s="4" t="s">
        <v>1133</v>
      </c>
      <c r="D1443" s="4">
        <v>49859.0</v>
      </c>
      <c r="E1443" s="5"/>
      <c r="F1443" s="4">
        <v>3.0</v>
      </c>
      <c r="G1443" s="4">
        <v>199.0</v>
      </c>
      <c r="H1443" s="4"/>
      <c r="I1443" s="4">
        <v>199.0</v>
      </c>
      <c r="J1443" s="4" t="s">
        <v>4725</v>
      </c>
      <c r="K1443" s="5">
        <f>+919660288432</f>
        <v>919660288432</v>
      </c>
      <c r="L1443" s="4" t="str">
        <f t="shared" si="1"/>
        <v>ikrock88@gmail.com919660288432</v>
      </c>
      <c r="M1443" s="10" t="s">
        <v>67</v>
      </c>
      <c r="N1443" s="4" t="b">
        <v>0</v>
      </c>
      <c r="O1443" s="4" t="str">
        <f>VLOOKUP(A1443,payment_ids!D:E,2,FALSE)</f>
        <v>upi</v>
      </c>
      <c r="P1443" s="4" t="s">
        <v>69</v>
      </c>
      <c r="Q1443" s="11">
        <v>44202.27777777778</v>
      </c>
      <c r="R1443" s="4"/>
      <c r="S1443" s="12" t="s">
        <v>4620</v>
      </c>
      <c r="T1443" s="5"/>
      <c r="U1443" s="4"/>
      <c r="V1443" s="4"/>
      <c r="W1443" s="5"/>
      <c r="X1443" s="4"/>
      <c r="Y1443" s="4"/>
      <c r="Z1443" s="5"/>
      <c r="AA1443" s="4"/>
      <c r="AB1443" s="4"/>
      <c r="AC1443" s="4"/>
      <c r="AD1443" s="5"/>
      <c r="AE1443" s="5"/>
      <c r="AF1443" s="5"/>
      <c r="AG1443" s="5"/>
      <c r="AH1443" s="5"/>
      <c r="AI1443" s="5"/>
      <c r="AJ1443" s="5"/>
      <c r="AK1443" s="5"/>
      <c r="AL1443" s="5"/>
    </row>
    <row r="1444">
      <c r="A1444" s="4" t="str">
        <f>VLOOKUP(L1444,payment_ids!C:D,2,FALSE)</f>
        <v>pay_HHec96dAyvqFfg</v>
      </c>
      <c r="B1444" s="4"/>
      <c r="C1444" s="4" t="s">
        <v>1133</v>
      </c>
      <c r="D1444" s="4">
        <v>49859.0</v>
      </c>
      <c r="E1444" s="5"/>
      <c r="F1444" s="4">
        <v>1.0</v>
      </c>
      <c r="G1444" s="4">
        <v>99.0</v>
      </c>
      <c r="H1444" s="4"/>
      <c r="I1444" s="4">
        <v>99.0</v>
      </c>
      <c r="J1444" s="4" t="s">
        <v>4726</v>
      </c>
      <c r="K1444" s="5">
        <f>+918368843871</f>
        <v>918368843871</v>
      </c>
      <c r="L1444" s="4" t="str">
        <f t="shared" si="1"/>
        <v>nk32293@gmail.com918368843871</v>
      </c>
      <c r="M1444" s="10" t="s">
        <v>67</v>
      </c>
      <c r="N1444" s="4" t="b">
        <v>0</v>
      </c>
      <c r="O1444" s="4" t="str">
        <f>VLOOKUP(A1444,payment_ids!D:E,2,FALSE)</f>
        <v>upi</v>
      </c>
      <c r="P1444" s="4" t="s">
        <v>69</v>
      </c>
      <c r="Q1444" s="11">
        <v>44202.396527777775</v>
      </c>
      <c r="R1444" s="4"/>
      <c r="S1444" s="12" t="s">
        <v>4620</v>
      </c>
      <c r="T1444" s="5"/>
      <c r="U1444" s="4"/>
      <c r="V1444" s="4"/>
      <c r="W1444" s="5"/>
      <c r="X1444" s="4"/>
      <c r="Y1444" s="4"/>
      <c r="Z1444" s="5"/>
      <c r="AA1444" s="4"/>
      <c r="AB1444" s="4"/>
      <c r="AC1444" s="4"/>
      <c r="AD1444" s="5"/>
      <c r="AE1444" s="5"/>
      <c r="AF1444" s="5"/>
      <c r="AG1444" s="5"/>
      <c r="AH1444" s="5"/>
      <c r="AI1444" s="5"/>
      <c r="AJ1444" s="5"/>
      <c r="AK1444" s="5"/>
      <c r="AL1444" s="5"/>
    </row>
    <row r="1445">
      <c r="A1445" s="4" t="str">
        <f>VLOOKUP(L1445,payment_ids!C:D,2,FALSE)</f>
        <v>pay_HHh5g2xITkya7X</v>
      </c>
      <c r="B1445" s="4"/>
      <c r="C1445" s="4" t="s">
        <v>1133</v>
      </c>
      <c r="D1445" s="4">
        <v>49859.0</v>
      </c>
      <c r="E1445" s="5"/>
      <c r="F1445" s="4">
        <v>1.0</v>
      </c>
      <c r="G1445" s="4">
        <v>99.0</v>
      </c>
      <c r="H1445" s="4"/>
      <c r="I1445" s="4">
        <v>99.0</v>
      </c>
      <c r="J1445" s="4" t="s">
        <v>4727</v>
      </c>
      <c r="K1445" s="5">
        <f>+917859910412</f>
        <v>917859910412</v>
      </c>
      <c r="L1445" s="4" t="str">
        <f t="shared" si="1"/>
        <v>rudraagrawal2004@gmail.com917859910412</v>
      </c>
      <c r="M1445" s="10" t="s">
        <v>67</v>
      </c>
      <c r="N1445" s="4" t="b">
        <v>0</v>
      </c>
      <c r="O1445" s="4" t="str">
        <f>VLOOKUP(A1445,payment_ids!D:E,2,FALSE)</f>
        <v>upi</v>
      </c>
      <c r="P1445" s="4" t="s">
        <v>69</v>
      </c>
      <c r="Q1445" s="11">
        <v>44202.493055555555</v>
      </c>
      <c r="R1445" s="4"/>
      <c r="S1445" s="12" t="s">
        <v>4620</v>
      </c>
      <c r="T1445" s="5"/>
      <c r="U1445" s="4"/>
      <c r="V1445" s="4"/>
      <c r="W1445" s="5"/>
      <c r="X1445" s="4"/>
      <c r="Y1445" s="4"/>
      <c r="Z1445" s="5"/>
      <c r="AA1445" s="4"/>
      <c r="AB1445" s="4"/>
      <c r="AC1445" s="4"/>
      <c r="AD1445" s="5"/>
      <c r="AE1445" s="5"/>
      <c r="AF1445" s="5"/>
      <c r="AG1445" s="5"/>
      <c r="AH1445" s="5"/>
      <c r="AI1445" s="5"/>
      <c r="AJ1445" s="5"/>
      <c r="AK1445" s="5"/>
      <c r="AL1445" s="5"/>
    </row>
    <row r="1446">
      <c r="A1446" s="4" t="str">
        <f>VLOOKUP(L1446,payment_ids!C:D,2,FALSE)</f>
        <v>pay_HCrNBRV2URkTeu</v>
      </c>
      <c r="B1446" s="4"/>
      <c r="C1446" s="4" t="s">
        <v>1133</v>
      </c>
      <c r="D1446" s="4">
        <v>49859.0</v>
      </c>
      <c r="E1446" s="5"/>
      <c r="F1446" s="4">
        <v>6.0</v>
      </c>
      <c r="G1446" s="4">
        <v>349.0</v>
      </c>
      <c r="H1446" s="4"/>
      <c r="I1446" s="4">
        <v>349.0</v>
      </c>
      <c r="J1446" s="4" t="s">
        <v>2844</v>
      </c>
      <c r="K1446" s="5">
        <f>+917093081109</f>
        <v>917093081109</v>
      </c>
      <c r="L1446" s="4" t="str">
        <f t="shared" si="1"/>
        <v>scarysai@gmail.com917093081109</v>
      </c>
      <c r="M1446" s="10" t="s">
        <v>67</v>
      </c>
      <c r="N1446" s="4" t="b">
        <v>0</v>
      </c>
      <c r="O1446" s="4" t="str">
        <f>VLOOKUP(A1446,payment_ids!D:E,2,FALSE)</f>
        <v>netbanking</v>
      </c>
      <c r="P1446" s="4" t="s">
        <v>69</v>
      </c>
      <c r="Q1446" s="11">
        <v>44202.64513888889</v>
      </c>
      <c r="R1446" s="4"/>
      <c r="S1446" s="12" t="s">
        <v>4620</v>
      </c>
      <c r="T1446" s="5"/>
      <c r="U1446" s="4"/>
      <c r="V1446" s="4"/>
      <c r="W1446" s="5"/>
      <c r="X1446" s="4"/>
      <c r="Y1446" s="4"/>
      <c r="Z1446" s="5"/>
      <c r="AA1446" s="4"/>
      <c r="AB1446" s="4"/>
      <c r="AC1446" s="4"/>
      <c r="AD1446" s="5"/>
      <c r="AE1446" s="5"/>
      <c r="AF1446" s="5"/>
      <c r="AG1446" s="5"/>
      <c r="AH1446" s="5"/>
      <c r="AI1446" s="5"/>
      <c r="AJ1446" s="5"/>
      <c r="AK1446" s="5"/>
      <c r="AL1446" s="5"/>
    </row>
    <row r="1447">
      <c r="A1447" s="4" t="str">
        <f>VLOOKUP(L1447,payment_ids!C:D,2,FALSE)</f>
        <v>pay_HHljEo67avUx9F</v>
      </c>
      <c r="B1447" s="4"/>
      <c r="C1447" s="4" t="s">
        <v>1133</v>
      </c>
      <c r="D1447" s="4">
        <v>49859.0</v>
      </c>
      <c r="E1447" s="5"/>
      <c r="F1447" s="4">
        <v>1.0</v>
      </c>
      <c r="G1447" s="4">
        <v>99.0</v>
      </c>
      <c r="H1447" s="4"/>
      <c r="I1447" s="4">
        <v>99.0</v>
      </c>
      <c r="J1447" s="4" t="s">
        <v>4728</v>
      </c>
      <c r="K1447" s="5">
        <f>+919823721602</f>
        <v>919823721602</v>
      </c>
      <c r="L1447" s="4" t="str">
        <f t="shared" si="1"/>
        <v>anandm4m@gmail.com919823721602</v>
      </c>
      <c r="M1447" s="10" t="s">
        <v>67</v>
      </c>
      <c r="N1447" s="4" t="b">
        <v>0</v>
      </c>
      <c r="O1447" s="4" t="str">
        <f>VLOOKUP(A1447,payment_ids!D:E,2,FALSE)</f>
        <v>upi</v>
      </c>
      <c r="P1447" s="4" t="s">
        <v>69</v>
      </c>
      <c r="Q1447" s="11">
        <v>44202.683333333334</v>
      </c>
      <c r="R1447" s="4"/>
      <c r="S1447" s="12" t="s">
        <v>4620</v>
      </c>
      <c r="T1447" s="5"/>
      <c r="U1447" s="4"/>
      <c r="V1447" s="4"/>
      <c r="W1447" s="5"/>
      <c r="X1447" s="4"/>
      <c r="Y1447" s="4"/>
      <c r="Z1447" s="5"/>
      <c r="AA1447" s="4"/>
      <c r="AB1447" s="4"/>
      <c r="AC1447" s="4"/>
      <c r="AD1447" s="5"/>
      <c r="AE1447" s="5"/>
      <c r="AF1447" s="5"/>
      <c r="AG1447" s="5"/>
      <c r="AH1447" s="5"/>
      <c r="AI1447" s="5"/>
      <c r="AJ1447" s="5"/>
      <c r="AK1447" s="5"/>
      <c r="AL1447" s="5"/>
    </row>
    <row r="1448">
      <c r="A1448" s="4" t="str">
        <f>VLOOKUP(L1448,payment_ids!C:D,2,FALSE)</f>
        <v>pay_HHqn9J4pMFg450</v>
      </c>
      <c r="B1448" s="4"/>
      <c r="C1448" s="4" t="s">
        <v>1133</v>
      </c>
      <c r="D1448" s="4">
        <v>49859.0</v>
      </c>
      <c r="E1448" s="5"/>
      <c r="F1448" s="4">
        <v>1.0</v>
      </c>
      <c r="G1448" s="4">
        <v>99.0</v>
      </c>
      <c r="H1448" s="4"/>
      <c r="I1448" s="4">
        <v>99.0</v>
      </c>
      <c r="J1448" s="4" t="s">
        <v>4729</v>
      </c>
      <c r="K1448" s="5">
        <f>+918801980220</f>
        <v>918801980220</v>
      </c>
      <c r="L1448" s="4" t="str">
        <f t="shared" si="1"/>
        <v>mrmdrizwan09@gmail.com918801980220</v>
      </c>
      <c r="M1448" s="10" t="s">
        <v>67</v>
      </c>
      <c r="N1448" s="4" t="b">
        <v>0</v>
      </c>
      <c r="O1448" s="4" t="str">
        <f>VLOOKUP(A1448,payment_ids!D:E,2,FALSE)</f>
        <v>card</v>
      </c>
      <c r="P1448" s="4" t="s">
        <v>69</v>
      </c>
      <c r="Q1448" s="11">
        <v>44202.88888888889</v>
      </c>
      <c r="R1448" s="4"/>
      <c r="S1448" s="12" t="s">
        <v>4620</v>
      </c>
      <c r="T1448" s="5"/>
      <c r="U1448" s="4"/>
      <c r="V1448" s="4"/>
      <c r="W1448" s="5"/>
      <c r="X1448" s="4"/>
      <c r="Y1448" s="4"/>
      <c r="Z1448" s="5"/>
      <c r="AA1448" s="4"/>
      <c r="AB1448" s="4"/>
      <c r="AC1448" s="4"/>
      <c r="AD1448" s="5"/>
      <c r="AE1448" s="5"/>
      <c r="AF1448" s="5"/>
      <c r="AG1448" s="5"/>
      <c r="AH1448" s="5"/>
      <c r="AI1448" s="5"/>
      <c r="AJ1448" s="5"/>
      <c r="AK1448" s="5"/>
      <c r="AL1448" s="5"/>
    </row>
    <row r="1449">
      <c r="A1449" s="4" t="str">
        <f>VLOOKUP(L1449,payment_ids!C:D,2,FALSE)</f>
        <v>pay_HHrDpumUFftppF</v>
      </c>
      <c r="B1449" s="4"/>
      <c r="C1449" s="4" t="s">
        <v>1133</v>
      </c>
      <c r="D1449" s="4">
        <v>49859.0</v>
      </c>
      <c r="E1449" s="5"/>
      <c r="F1449" s="4">
        <v>1.0</v>
      </c>
      <c r="G1449" s="4">
        <v>99.0</v>
      </c>
      <c r="H1449" s="4"/>
      <c r="I1449" s="4">
        <v>99.0</v>
      </c>
      <c r="J1449" s="4" t="s">
        <v>4730</v>
      </c>
      <c r="K1449" s="5">
        <f>+919666025084</f>
        <v>919666025084</v>
      </c>
      <c r="L1449" s="4" t="str">
        <f t="shared" si="1"/>
        <v>chaitanyakumarsc@gmail.com919666025084</v>
      </c>
      <c r="M1449" s="10" t="s">
        <v>67</v>
      </c>
      <c r="N1449" s="4" t="b">
        <v>0</v>
      </c>
      <c r="O1449" s="4" t="str">
        <f>VLOOKUP(A1449,payment_ids!D:E,2,FALSE)</f>
        <v>upi</v>
      </c>
      <c r="P1449" s="4" t="s">
        <v>69</v>
      </c>
      <c r="Q1449" s="11">
        <v>44202.90625</v>
      </c>
      <c r="R1449" s="4"/>
      <c r="S1449" s="12" t="s">
        <v>4620</v>
      </c>
      <c r="T1449" s="5"/>
      <c r="U1449" s="4"/>
      <c r="V1449" s="4"/>
      <c r="W1449" s="5"/>
      <c r="X1449" s="4"/>
      <c r="Y1449" s="4"/>
      <c r="Z1449" s="5"/>
      <c r="AA1449" s="4"/>
      <c r="AB1449" s="4"/>
      <c r="AC1449" s="4"/>
      <c r="AD1449" s="5"/>
      <c r="AE1449" s="5"/>
      <c r="AF1449" s="5"/>
      <c r="AG1449" s="5"/>
      <c r="AH1449" s="5"/>
      <c r="AI1449" s="5"/>
      <c r="AJ1449" s="5"/>
      <c r="AK1449" s="5"/>
      <c r="AL1449" s="5"/>
    </row>
    <row r="1450">
      <c r="A1450" s="4" t="str">
        <f>VLOOKUP(L1450,payment_ids!C:D,2,FALSE)</f>
        <v>pay_HHrXyO55ALwG4t</v>
      </c>
      <c r="B1450" s="4"/>
      <c r="C1450" s="4" t="s">
        <v>1133</v>
      </c>
      <c r="D1450" s="4">
        <v>49859.0</v>
      </c>
      <c r="E1450" s="5"/>
      <c r="F1450" s="4">
        <v>1.0</v>
      </c>
      <c r="G1450" s="4">
        <v>99.0</v>
      </c>
      <c r="H1450" s="4"/>
      <c r="I1450" s="4">
        <v>99.0</v>
      </c>
      <c r="J1450" s="4" t="s">
        <v>4731</v>
      </c>
      <c r="K1450" s="5">
        <f>+919975288822</f>
        <v>919975288822</v>
      </c>
      <c r="L1450" s="4" t="str">
        <f t="shared" si="1"/>
        <v>prabirbera23@gmail.com919975288822</v>
      </c>
      <c r="M1450" s="10" t="s">
        <v>67</v>
      </c>
      <c r="N1450" s="4" t="b">
        <v>0</v>
      </c>
      <c r="O1450" s="4" t="str">
        <f>VLOOKUP(A1450,payment_ids!D:E,2,FALSE)</f>
        <v>upi</v>
      </c>
      <c r="P1450" s="4" t="s">
        <v>69</v>
      </c>
      <c r="Q1450" s="11">
        <v>44202.92013888889</v>
      </c>
      <c r="R1450" s="4"/>
      <c r="S1450" s="12" t="s">
        <v>4620</v>
      </c>
      <c r="T1450" s="5"/>
      <c r="U1450" s="4"/>
      <c r="V1450" s="4"/>
      <c r="W1450" s="5"/>
      <c r="X1450" s="4"/>
      <c r="Y1450" s="4"/>
      <c r="Z1450" s="5"/>
      <c r="AA1450" s="4"/>
      <c r="AB1450" s="4"/>
      <c r="AC1450" s="4"/>
      <c r="AD1450" s="5"/>
      <c r="AE1450" s="5"/>
      <c r="AF1450" s="5"/>
      <c r="AG1450" s="5"/>
      <c r="AH1450" s="5"/>
      <c r="AI1450" s="5"/>
      <c r="AJ1450" s="5"/>
      <c r="AK1450" s="5"/>
      <c r="AL1450" s="5"/>
    </row>
    <row r="1451">
      <c r="A1451" s="4" t="str">
        <f>VLOOKUP(L1451,payment_ids!C:D,2,FALSE)</f>
        <v>pay_HHugFvw9DfnwOp</v>
      </c>
      <c r="B1451" s="4"/>
      <c r="C1451" s="4" t="s">
        <v>1133</v>
      </c>
      <c r="D1451" s="4">
        <v>49859.0</v>
      </c>
      <c r="E1451" s="5"/>
      <c r="F1451" s="4">
        <v>1.0</v>
      </c>
      <c r="G1451" s="4">
        <v>99.0</v>
      </c>
      <c r="H1451" s="4"/>
      <c r="I1451" s="4">
        <v>99.0</v>
      </c>
      <c r="J1451" s="4" t="s">
        <v>4732</v>
      </c>
      <c r="K1451" s="5">
        <f>+917620632258</f>
        <v>917620632258</v>
      </c>
      <c r="L1451" s="4" t="str">
        <f t="shared" si="1"/>
        <v>gurudepandurang@gmail.com917620632258</v>
      </c>
      <c r="M1451" s="10" t="s">
        <v>67</v>
      </c>
      <c r="N1451" s="4" t="b">
        <v>0</v>
      </c>
      <c r="O1451" s="4" t="str">
        <f>VLOOKUP(A1451,payment_ids!D:E,2,FALSE)</f>
        <v>upi</v>
      </c>
      <c r="P1451" s="4" t="s">
        <v>69</v>
      </c>
      <c r="Q1451" s="11">
        <v>44233.04722222222</v>
      </c>
      <c r="R1451" s="4"/>
      <c r="S1451" s="12" t="s">
        <v>4620</v>
      </c>
      <c r="T1451" s="5"/>
      <c r="U1451" s="4"/>
      <c r="V1451" s="4"/>
      <c r="W1451" s="5"/>
      <c r="X1451" s="4"/>
      <c r="Y1451" s="4"/>
      <c r="Z1451" s="5"/>
      <c r="AA1451" s="4"/>
      <c r="AB1451" s="4"/>
      <c r="AC1451" s="4"/>
      <c r="AD1451" s="5"/>
      <c r="AE1451" s="5"/>
      <c r="AF1451" s="5"/>
      <c r="AG1451" s="5"/>
      <c r="AH1451" s="5"/>
      <c r="AI1451" s="5"/>
      <c r="AJ1451" s="5"/>
      <c r="AK1451" s="5"/>
      <c r="AL1451" s="5"/>
    </row>
    <row r="1452">
      <c r="A1452" s="4" t="str">
        <f>VLOOKUP(L1452,payment_ids!C:D,2,FALSE)</f>
        <v>pay_HI609CqsM3bBZA</v>
      </c>
      <c r="B1452" s="4"/>
      <c r="C1452" s="4" t="s">
        <v>1133</v>
      </c>
      <c r="D1452" s="4">
        <v>49859.0</v>
      </c>
      <c r="E1452" s="5"/>
      <c r="F1452" s="4">
        <v>1.0</v>
      </c>
      <c r="G1452" s="4">
        <v>99.0</v>
      </c>
      <c r="H1452" s="4"/>
      <c r="I1452" s="4">
        <v>99.0</v>
      </c>
      <c r="J1452" s="4" t="s">
        <v>4733</v>
      </c>
      <c r="K1452" s="5">
        <f>+918086498114</f>
        <v>918086498114</v>
      </c>
      <c r="L1452" s="4" t="str">
        <f t="shared" si="1"/>
        <v>siyadshameera70@gmail.com918086498114</v>
      </c>
      <c r="M1452" s="10" t="s">
        <v>67</v>
      </c>
      <c r="N1452" s="4" t="b">
        <v>0</v>
      </c>
      <c r="O1452" s="4" t="str">
        <f>VLOOKUP(A1452,payment_ids!D:E,2,FALSE)</f>
        <v>upi</v>
      </c>
      <c r="P1452" s="4" t="s">
        <v>69</v>
      </c>
      <c r="Q1452" s="11">
        <v>44233.50833333333</v>
      </c>
      <c r="R1452" s="4"/>
      <c r="S1452" s="12" t="s">
        <v>4620</v>
      </c>
      <c r="T1452" s="5"/>
      <c r="U1452" s="4"/>
      <c r="V1452" s="4"/>
      <c r="W1452" s="5"/>
      <c r="X1452" s="4"/>
      <c r="Y1452" s="4"/>
      <c r="Z1452" s="5"/>
      <c r="AA1452" s="4"/>
      <c r="AB1452" s="4"/>
      <c r="AC1452" s="4"/>
      <c r="AD1452" s="5"/>
      <c r="AE1452" s="5"/>
      <c r="AF1452" s="5"/>
      <c r="AG1452" s="5"/>
      <c r="AH1452" s="5"/>
      <c r="AI1452" s="5"/>
      <c r="AJ1452" s="5"/>
      <c r="AK1452" s="5"/>
      <c r="AL1452" s="5"/>
    </row>
    <row r="1453">
      <c r="A1453" s="4" t="str">
        <f>VLOOKUP(L1453,payment_ids!C:D,2,FALSE)</f>
        <v>pay_HI9XoQ163ryYy9</v>
      </c>
      <c r="B1453" s="4"/>
      <c r="C1453" s="4" t="s">
        <v>1133</v>
      </c>
      <c r="D1453" s="4">
        <v>49859.0</v>
      </c>
      <c r="E1453" s="5"/>
      <c r="F1453" s="4">
        <v>1.0</v>
      </c>
      <c r="G1453" s="4">
        <v>99.0</v>
      </c>
      <c r="H1453" s="4"/>
      <c r="I1453" s="4">
        <v>99.0</v>
      </c>
      <c r="J1453" s="4" t="s">
        <v>4734</v>
      </c>
      <c r="K1453" s="5">
        <f>+919822325579</f>
        <v>919822325579</v>
      </c>
      <c r="L1453" s="4" t="str">
        <f t="shared" si="1"/>
        <v>pratikjadhav027@gmail.com919822325579</v>
      </c>
      <c r="M1453" s="10" t="s">
        <v>67</v>
      </c>
      <c r="N1453" s="4" t="b">
        <v>0</v>
      </c>
      <c r="O1453" s="4" t="str">
        <f>VLOOKUP(A1453,payment_ids!D:E,2,FALSE)</f>
        <v>upi</v>
      </c>
      <c r="P1453" s="4" t="s">
        <v>69</v>
      </c>
      <c r="Q1453" s="11">
        <v>44233.65277777778</v>
      </c>
      <c r="R1453" s="4"/>
      <c r="S1453" s="12" t="s">
        <v>4620</v>
      </c>
      <c r="T1453" s="5"/>
      <c r="U1453" s="4"/>
      <c r="V1453" s="4"/>
      <c r="W1453" s="5"/>
      <c r="X1453" s="4"/>
      <c r="Y1453" s="4"/>
      <c r="Z1453" s="5"/>
      <c r="AA1453" s="4"/>
      <c r="AB1453" s="4"/>
      <c r="AC1453" s="4"/>
      <c r="AD1453" s="5"/>
      <c r="AE1453" s="5"/>
      <c r="AF1453" s="5"/>
      <c r="AG1453" s="5"/>
      <c r="AH1453" s="5"/>
      <c r="AI1453" s="5"/>
      <c r="AJ1453" s="5"/>
      <c r="AK1453" s="5"/>
      <c r="AL1453" s="5"/>
    </row>
    <row r="1454">
      <c r="A1454" s="4" t="str">
        <f>VLOOKUP(L1454,payment_ids!C:D,2,FALSE)</f>
        <v>pay_HIFOxNI6vzHrGS</v>
      </c>
      <c r="B1454" s="4"/>
      <c r="C1454" s="4" t="s">
        <v>1133</v>
      </c>
      <c r="D1454" s="4">
        <v>49859.0</v>
      </c>
      <c r="E1454" s="5"/>
      <c r="F1454" s="4">
        <v>1.0</v>
      </c>
      <c r="G1454" s="4">
        <v>99.0</v>
      </c>
      <c r="H1454" s="4"/>
      <c r="I1454" s="4">
        <v>99.0</v>
      </c>
      <c r="J1454" s="4" t="s">
        <v>4735</v>
      </c>
      <c r="K1454" s="5">
        <f>+919990866770</f>
        <v>919990866770</v>
      </c>
      <c r="L1454" s="4" t="str">
        <f t="shared" si="1"/>
        <v>singhshivamlaw93@gmail.com919990866770</v>
      </c>
      <c r="M1454" s="10" t="s">
        <v>67</v>
      </c>
      <c r="N1454" s="4" t="b">
        <v>0</v>
      </c>
      <c r="O1454" s="4" t="str">
        <f>VLOOKUP(A1454,payment_ids!D:E,2,FALSE)</f>
        <v>card</v>
      </c>
      <c r="P1454" s="4" t="s">
        <v>69</v>
      </c>
      <c r="Q1454" s="11">
        <v>44233.89513888889</v>
      </c>
      <c r="R1454" s="4"/>
      <c r="S1454" s="12" t="s">
        <v>4736</v>
      </c>
      <c r="T1454" s="5"/>
      <c r="U1454" s="5"/>
      <c r="V1454" s="4"/>
      <c r="W1454" s="5"/>
      <c r="X1454" s="4"/>
      <c r="Y1454" s="4"/>
      <c r="Z1454" s="5"/>
      <c r="AA1454" s="5"/>
      <c r="AB1454" s="4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</row>
    <row r="1455">
      <c r="A1455" s="4" t="str">
        <f>VLOOKUP(L1455,payment_ids!C:D,2,FALSE)</f>
        <v>pay_HIV16hW40fCVjZ</v>
      </c>
      <c r="B1455" s="4"/>
      <c r="C1455" s="4" t="s">
        <v>1133</v>
      </c>
      <c r="D1455" s="4">
        <v>49859.0</v>
      </c>
      <c r="E1455" s="5"/>
      <c r="F1455" s="4">
        <v>1.0</v>
      </c>
      <c r="G1455" s="4">
        <v>99.0</v>
      </c>
      <c r="H1455" s="4"/>
      <c r="I1455" s="4">
        <v>99.0</v>
      </c>
      <c r="J1455" s="4" t="s">
        <v>4737</v>
      </c>
      <c r="K1455" s="5">
        <f>+918197517349</f>
        <v>918197517349</v>
      </c>
      <c r="L1455" s="4" t="str">
        <f t="shared" si="1"/>
        <v>pema.jamson@gmail.com918197517349</v>
      </c>
      <c r="M1455" s="10" t="s">
        <v>67</v>
      </c>
      <c r="N1455" s="4" t="b">
        <v>0</v>
      </c>
      <c r="O1455" s="4" t="str">
        <f>VLOOKUP(A1455,payment_ids!D:E,2,FALSE)</f>
        <v>upi</v>
      </c>
      <c r="P1455" s="4" t="s">
        <v>69</v>
      </c>
      <c r="Q1455" s="11">
        <v>44261.52777777778</v>
      </c>
      <c r="R1455" s="4"/>
      <c r="S1455" s="12" t="s">
        <v>4736</v>
      </c>
      <c r="T1455" s="5"/>
      <c r="U1455" s="4"/>
      <c r="V1455" s="4"/>
      <c r="W1455" s="5"/>
      <c r="X1455" s="4"/>
      <c r="Y1455" s="4"/>
      <c r="Z1455" s="5"/>
      <c r="AA1455" s="4"/>
      <c r="AB1455" s="4"/>
      <c r="AC1455" s="4"/>
      <c r="AD1455" s="5"/>
      <c r="AE1455" s="5"/>
      <c r="AF1455" s="5"/>
      <c r="AG1455" s="5"/>
      <c r="AH1455" s="5"/>
      <c r="AI1455" s="5"/>
      <c r="AJ1455" s="5"/>
      <c r="AK1455" s="5"/>
      <c r="AL1455" s="5"/>
    </row>
    <row r="1456">
      <c r="A1456" s="4" t="str">
        <f>VLOOKUP(L1456,payment_ids!C:D,2,FALSE)</f>
        <v>pay_HIV5fgjN0JnOpz</v>
      </c>
      <c r="B1456" s="4"/>
      <c r="C1456" s="4" t="s">
        <v>1133</v>
      </c>
      <c r="D1456" s="4">
        <v>49859.0</v>
      </c>
      <c r="E1456" s="5"/>
      <c r="F1456" s="4">
        <v>1.0</v>
      </c>
      <c r="G1456" s="4">
        <v>99.0</v>
      </c>
      <c r="H1456" s="4"/>
      <c r="I1456" s="4">
        <v>99.0</v>
      </c>
      <c r="J1456" s="4" t="s">
        <v>4738</v>
      </c>
      <c r="K1456" s="5">
        <f>+918056597405</f>
        <v>918056597405</v>
      </c>
      <c r="L1456" s="4" t="str">
        <f t="shared" si="1"/>
        <v>nayazbashaa01@gmail.com918056597405</v>
      </c>
      <c r="M1456" s="10" t="s">
        <v>67</v>
      </c>
      <c r="N1456" s="4" t="b">
        <v>0</v>
      </c>
      <c r="O1456" s="4" t="str">
        <f>VLOOKUP(A1456,payment_ids!D:E,2,FALSE)</f>
        <v>upi</v>
      </c>
      <c r="P1456" s="4" t="s">
        <v>69</v>
      </c>
      <c r="Q1456" s="11">
        <v>44261.532638888886</v>
      </c>
      <c r="R1456" s="4"/>
      <c r="S1456" s="12" t="s">
        <v>4736</v>
      </c>
      <c r="T1456" s="5"/>
      <c r="U1456" s="4"/>
      <c r="V1456" s="4"/>
      <c r="W1456" s="5"/>
      <c r="X1456" s="4"/>
      <c r="Y1456" s="4"/>
      <c r="Z1456" s="5"/>
      <c r="AA1456" s="4"/>
      <c r="AB1456" s="4"/>
      <c r="AC1456" s="4"/>
      <c r="AD1456" s="5"/>
      <c r="AE1456" s="5"/>
      <c r="AF1456" s="5"/>
      <c r="AG1456" s="5"/>
      <c r="AH1456" s="5"/>
      <c r="AI1456" s="5"/>
      <c r="AJ1456" s="5"/>
      <c r="AK1456" s="5"/>
      <c r="AL1456" s="5"/>
    </row>
    <row r="1457">
      <c r="A1457" s="4" t="str">
        <f>VLOOKUP(L1457,payment_ids!C:D,2,FALSE)</f>
        <v>pay_H8kBQLFhTmVAB4</v>
      </c>
      <c r="B1457" s="4"/>
      <c r="C1457" s="4" t="s">
        <v>1133</v>
      </c>
      <c r="D1457" s="4">
        <v>49859.0</v>
      </c>
      <c r="E1457" s="5"/>
      <c r="F1457" s="4">
        <v>1.0</v>
      </c>
      <c r="G1457" s="4">
        <v>99.0</v>
      </c>
      <c r="H1457" s="4"/>
      <c r="I1457" s="4">
        <v>99.0</v>
      </c>
      <c r="J1457" s="4" t="s">
        <v>4739</v>
      </c>
      <c r="K1457" s="5">
        <f>+919756031125</f>
        <v>919756031125</v>
      </c>
      <c r="L1457" s="4" t="str">
        <f t="shared" si="1"/>
        <v>singhsangeet120@gmail.com919756031125</v>
      </c>
      <c r="M1457" s="10" t="s">
        <v>67</v>
      </c>
      <c r="N1457" s="4" t="b">
        <v>0</v>
      </c>
      <c r="O1457" s="4" t="str">
        <f>VLOOKUP(A1457,payment_ids!D:E,2,FALSE)</f>
        <v>upi</v>
      </c>
      <c r="P1457" s="4" t="s">
        <v>69</v>
      </c>
      <c r="Q1457" s="11">
        <v>44261.89375</v>
      </c>
      <c r="R1457" s="4"/>
      <c r="S1457" s="12" t="s">
        <v>4736</v>
      </c>
      <c r="T1457" s="5"/>
      <c r="U1457" s="4"/>
      <c r="V1457" s="4"/>
      <c r="W1457" s="5"/>
      <c r="X1457" s="4"/>
      <c r="Y1457" s="4"/>
      <c r="Z1457" s="5"/>
      <c r="AA1457" s="4"/>
      <c r="AB1457" s="4"/>
      <c r="AC1457" s="4"/>
      <c r="AD1457" s="5"/>
      <c r="AE1457" s="5"/>
      <c r="AF1457" s="5"/>
      <c r="AG1457" s="5"/>
      <c r="AH1457" s="5"/>
      <c r="AI1457" s="5"/>
      <c r="AJ1457" s="5"/>
      <c r="AK1457" s="5"/>
      <c r="AL1457" s="5"/>
    </row>
    <row r="1458">
      <c r="A1458" s="4" t="str">
        <f>VLOOKUP(L1458,payment_ids!C:D,2,FALSE)</f>
        <v>pay_HJnnPeof1Bitk1</v>
      </c>
      <c r="B1458" s="4"/>
      <c r="C1458" s="4" t="s">
        <v>1133</v>
      </c>
      <c r="D1458" s="4">
        <v>49859.0</v>
      </c>
      <c r="E1458" s="5"/>
      <c r="F1458" s="4">
        <v>1.0</v>
      </c>
      <c r="G1458" s="4">
        <v>99.0</v>
      </c>
      <c r="H1458" s="4"/>
      <c r="I1458" s="4">
        <v>99.0</v>
      </c>
      <c r="J1458" s="4" t="s">
        <v>4740</v>
      </c>
      <c r="K1458" s="5">
        <f>+917526057875</f>
        <v>917526057875</v>
      </c>
      <c r="L1458" s="4" t="str">
        <f t="shared" si="1"/>
        <v>farhataisha@gmail.com917526057875</v>
      </c>
      <c r="M1458" s="10" t="s">
        <v>67</v>
      </c>
      <c r="N1458" s="4" t="b">
        <v>0</v>
      </c>
      <c r="O1458" s="4" t="str">
        <f>VLOOKUP(A1458,payment_ids!D:E,2,FALSE)</f>
        <v>netbanking</v>
      </c>
      <c r="P1458" s="4" t="s">
        <v>69</v>
      </c>
      <c r="Q1458" s="11">
        <v>44353.822222222225</v>
      </c>
      <c r="R1458" s="4"/>
      <c r="S1458" s="12" t="s">
        <v>4741</v>
      </c>
      <c r="T1458" s="5"/>
      <c r="U1458" s="4"/>
      <c r="V1458" s="4"/>
      <c r="W1458" s="5"/>
      <c r="X1458" s="4"/>
      <c r="Y1458" s="4"/>
      <c r="Z1458" s="5"/>
      <c r="AA1458" s="4"/>
      <c r="AB1458" s="4"/>
      <c r="AC1458" s="4"/>
      <c r="AD1458" s="5"/>
      <c r="AE1458" s="5"/>
      <c r="AF1458" s="5"/>
      <c r="AG1458" s="5"/>
      <c r="AH1458" s="5"/>
      <c r="AI1458" s="5"/>
      <c r="AJ1458" s="5"/>
      <c r="AK1458" s="5"/>
      <c r="AL1458" s="5"/>
    </row>
    <row r="1459">
      <c r="A1459" s="4" t="str">
        <f>VLOOKUP(L1459,payment_ids!C:D,2,FALSE)</f>
        <v>pay_HK7pyVJYSBdP7c</v>
      </c>
      <c r="B1459" s="4"/>
      <c r="C1459" s="4" t="s">
        <v>1133</v>
      </c>
      <c r="D1459" s="4">
        <v>49859.0</v>
      </c>
      <c r="E1459" s="5"/>
      <c r="F1459" s="4">
        <v>1.0</v>
      </c>
      <c r="G1459" s="4">
        <v>99.0</v>
      </c>
      <c r="H1459" s="4"/>
      <c r="I1459" s="4">
        <v>99.0</v>
      </c>
      <c r="J1459" s="4" t="s">
        <v>4742</v>
      </c>
      <c r="K1459" s="5">
        <f>+919131583694</f>
        <v>919131583694</v>
      </c>
      <c r="L1459" s="4" t="str">
        <f t="shared" si="1"/>
        <v>shivamthakkar79@gmail.com919131583694</v>
      </c>
      <c r="M1459" s="10" t="s">
        <v>67</v>
      </c>
      <c r="N1459" s="4" t="b">
        <v>0</v>
      </c>
      <c r="O1459" s="4" t="str">
        <f>VLOOKUP(A1459,payment_ids!D:E,2,FALSE)</f>
        <v>upi</v>
      </c>
      <c r="P1459" s="4" t="s">
        <v>69</v>
      </c>
      <c r="Q1459" s="11">
        <v>44383.6375</v>
      </c>
      <c r="R1459" s="4"/>
      <c r="S1459" s="12" t="s">
        <v>4736</v>
      </c>
      <c r="T1459" s="5"/>
      <c r="U1459" s="4"/>
      <c r="V1459" s="4"/>
      <c r="W1459" s="5"/>
      <c r="X1459" s="4"/>
      <c r="Y1459" s="4"/>
      <c r="Z1459" s="5"/>
      <c r="AA1459" s="4"/>
      <c r="AB1459" s="4"/>
      <c r="AC1459" s="4"/>
      <c r="AD1459" s="5"/>
      <c r="AE1459" s="5"/>
      <c r="AF1459" s="5"/>
      <c r="AG1459" s="5"/>
      <c r="AH1459" s="5"/>
      <c r="AI1459" s="5"/>
      <c r="AJ1459" s="5"/>
      <c r="AK1459" s="5"/>
      <c r="AL1459" s="5"/>
    </row>
    <row r="1460">
      <c r="A1460" s="4" t="str">
        <f>VLOOKUP(L1460,payment_ids!C:D,2,FALSE)</f>
        <v>pay_HKUAMEu2XIZEpY</v>
      </c>
      <c r="B1460" s="4"/>
      <c r="C1460" s="4" t="s">
        <v>1133</v>
      </c>
      <c r="D1460" s="4">
        <v>49859.0</v>
      </c>
      <c r="E1460" s="5"/>
      <c r="F1460" s="4">
        <v>1.0</v>
      </c>
      <c r="G1460" s="4">
        <v>99.0</v>
      </c>
      <c r="H1460" s="4"/>
      <c r="I1460" s="4">
        <v>99.0</v>
      </c>
      <c r="J1460" s="4" t="s">
        <v>4743</v>
      </c>
      <c r="K1460" s="5">
        <f>+917893266797</f>
        <v>917893266797</v>
      </c>
      <c r="L1460" s="4" t="str">
        <f t="shared" si="1"/>
        <v>malleshkattera420@gmail.com917893266797</v>
      </c>
      <c r="M1460" s="10" t="s">
        <v>67</v>
      </c>
      <c r="N1460" s="4" t="b">
        <v>0</v>
      </c>
      <c r="O1460" s="4" t="str">
        <f>VLOOKUP(A1460,payment_ids!D:E,2,FALSE)</f>
        <v>upi</v>
      </c>
      <c r="P1460" s="4" t="s">
        <v>69</v>
      </c>
      <c r="Q1460" s="11">
        <v>44414.54791666667</v>
      </c>
      <c r="R1460" s="4"/>
      <c r="S1460" s="12" t="s">
        <v>4736</v>
      </c>
      <c r="T1460" s="5"/>
      <c r="U1460" s="4"/>
      <c r="V1460" s="4"/>
      <c r="W1460" s="5"/>
      <c r="X1460" s="4"/>
      <c r="Y1460" s="4"/>
      <c r="Z1460" s="5"/>
      <c r="AA1460" s="4"/>
      <c r="AB1460" s="4"/>
      <c r="AC1460" s="4"/>
      <c r="AD1460" s="5"/>
      <c r="AE1460" s="5"/>
      <c r="AF1460" s="5"/>
      <c r="AG1460" s="5"/>
      <c r="AH1460" s="5"/>
      <c r="AI1460" s="5"/>
      <c r="AJ1460" s="5"/>
      <c r="AK1460" s="5"/>
      <c r="AL1460" s="5"/>
    </row>
    <row r="1461">
      <c r="A1461" s="4" t="str">
        <f>VLOOKUP(L1461,payment_ids!C:D,2,FALSE)</f>
        <v>pay_HKni4RJhXr1hly</v>
      </c>
      <c r="B1461" s="4"/>
      <c r="C1461" s="4" t="s">
        <v>1133</v>
      </c>
      <c r="D1461" s="4">
        <v>49859.0</v>
      </c>
      <c r="E1461" s="5"/>
      <c r="F1461" s="4">
        <v>6.0</v>
      </c>
      <c r="G1461" s="4">
        <v>349.0</v>
      </c>
      <c r="H1461" s="4"/>
      <c r="I1461" s="4">
        <v>349.0</v>
      </c>
      <c r="J1461" s="4" t="s">
        <v>4744</v>
      </c>
      <c r="K1461" s="5">
        <f>+919599483841</f>
        <v>919599483841</v>
      </c>
      <c r="L1461" s="4" t="str">
        <f t="shared" si="1"/>
        <v>gssoni1999@gmail.com919599483841</v>
      </c>
      <c r="M1461" s="10" t="s">
        <v>67</v>
      </c>
      <c r="N1461" s="4" t="b">
        <v>0</v>
      </c>
      <c r="O1461" s="4" t="str">
        <f>VLOOKUP(A1461,payment_ids!D:E,2,FALSE)</f>
        <v>upi</v>
      </c>
      <c r="P1461" s="4" t="s">
        <v>69</v>
      </c>
      <c r="Q1461" s="11">
        <v>44445.34444444445</v>
      </c>
      <c r="R1461" s="4"/>
      <c r="S1461" s="12" t="s">
        <v>4736</v>
      </c>
      <c r="T1461" s="4" t="s">
        <v>2444</v>
      </c>
      <c r="U1461" s="4"/>
      <c r="V1461" s="4"/>
      <c r="W1461" s="5"/>
      <c r="X1461" s="4"/>
      <c r="Y1461" s="4"/>
      <c r="Z1461" s="5"/>
      <c r="AA1461" s="4"/>
      <c r="AB1461" s="4"/>
      <c r="AC1461" s="4"/>
      <c r="AD1461" s="5"/>
      <c r="AE1461" s="5"/>
      <c r="AF1461" s="5"/>
      <c r="AG1461" s="5"/>
      <c r="AH1461" s="5"/>
      <c r="AI1461" s="5"/>
      <c r="AJ1461" s="5"/>
      <c r="AK1461" s="5"/>
      <c r="AL1461" s="5"/>
    </row>
    <row r="1462">
      <c r="A1462" s="4" t="str">
        <f>VLOOKUP(L1462,payment_ids!C:D,2,FALSE)</f>
        <v>pay_HKqLX8iLxfAlqE</v>
      </c>
      <c r="B1462" s="4"/>
      <c r="C1462" s="4" t="s">
        <v>1133</v>
      </c>
      <c r="D1462" s="4">
        <v>49859.0</v>
      </c>
      <c r="E1462" s="5"/>
      <c r="F1462" s="4">
        <v>1.0</v>
      </c>
      <c r="G1462" s="4">
        <v>99.0</v>
      </c>
      <c r="H1462" s="4"/>
      <c r="I1462" s="4">
        <v>99.0</v>
      </c>
      <c r="J1462" s="4" t="s">
        <v>4745</v>
      </c>
      <c r="K1462" s="5">
        <f>+917569842427</f>
        <v>917569842427</v>
      </c>
      <c r="L1462" s="4" t="str">
        <f t="shared" si="1"/>
        <v>kaminisushmitha@gmail.com917569842427</v>
      </c>
      <c r="M1462" s="10" t="s">
        <v>67</v>
      </c>
      <c r="N1462" s="4" t="b">
        <v>0</v>
      </c>
      <c r="O1462" s="4" t="str">
        <f>VLOOKUP(A1462,payment_ids!D:E,2,FALSE)</f>
        <v>upi</v>
      </c>
      <c r="P1462" s="4" t="s">
        <v>69</v>
      </c>
      <c r="Q1462" s="11">
        <v>44445.45972222222</v>
      </c>
      <c r="R1462" s="4"/>
      <c r="S1462" s="12" t="s">
        <v>4741</v>
      </c>
      <c r="T1462" s="4" t="s">
        <v>2444</v>
      </c>
      <c r="U1462" s="4"/>
      <c r="V1462" s="4"/>
      <c r="W1462" s="5"/>
      <c r="X1462" s="4"/>
      <c r="Y1462" s="4"/>
      <c r="Z1462" s="5"/>
      <c r="AA1462" s="4"/>
      <c r="AB1462" s="4"/>
      <c r="AC1462" s="4"/>
      <c r="AD1462" s="5"/>
      <c r="AE1462" s="5"/>
      <c r="AF1462" s="5"/>
      <c r="AG1462" s="5"/>
      <c r="AH1462" s="5"/>
      <c r="AI1462" s="5"/>
      <c r="AJ1462" s="5"/>
      <c r="AK1462" s="5"/>
      <c r="AL1462" s="5"/>
    </row>
    <row r="1463">
      <c r="A1463" s="4" t="str">
        <f>VLOOKUP(L1463,payment_ids!C:D,2,FALSE)</f>
        <v>pay_HKxwKp0WpeTDKi</v>
      </c>
      <c r="B1463" s="4"/>
      <c r="C1463" s="4" t="s">
        <v>1133</v>
      </c>
      <c r="D1463" s="4">
        <v>49859.0</v>
      </c>
      <c r="E1463" s="5"/>
      <c r="F1463" s="4">
        <v>1.0</v>
      </c>
      <c r="G1463" s="4">
        <v>99.0</v>
      </c>
      <c r="H1463" s="4"/>
      <c r="I1463" s="4">
        <v>99.0</v>
      </c>
      <c r="J1463" s="4" t="s">
        <v>4746</v>
      </c>
      <c r="K1463" s="5">
        <f>+919765669495</f>
        <v>919765669495</v>
      </c>
      <c r="L1463" s="4" t="str">
        <f t="shared" si="1"/>
        <v>anuja382000@gmail.com919765669495</v>
      </c>
      <c r="M1463" s="10" t="s">
        <v>67</v>
      </c>
      <c r="N1463" s="4" t="b">
        <v>0</v>
      </c>
      <c r="O1463" s="4" t="str">
        <f>VLOOKUP(A1463,payment_ids!D:E,2,FALSE)</f>
        <v>upi</v>
      </c>
      <c r="P1463" s="4" t="s">
        <v>69</v>
      </c>
      <c r="Q1463" s="11">
        <v>44445.76180555556</v>
      </c>
      <c r="R1463" s="4"/>
      <c r="S1463" s="12" t="s">
        <v>4736</v>
      </c>
      <c r="T1463" s="4" t="s">
        <v>2444</v>
      </c>
      <c r="U1463" s="4"/>
      <c r="V1463" s="4"/>
      <c r="W1463" s="5"/>
      <c r="X1463" s="4"/>
      <c r="Y1463" s="4"/>
      <c r="Z1463" s="5"/>
      <c r="AA1463" s="4"/>
      <c r="AB1463" s="4"/>
      <c r="AC1463" s="4"/>
      <c r="AD1463" s="5"/>
      <c r="AE1463" s="5"/>
      <c r="AF1463" s="5"/>
      <c r="AG1463" s="5"/>
      <c r="AH1463" s="5"/>
      <c r="AI1463" s="5"/>
      <c r="AJ1463" s="5"/>
      <c r="AK1463" s="5"/>
      <c r="AL1463" s="5"/>
    </row>
    <row r="1464">
      <c r="A1464" s="4" t="str">
        <f>VLOOKUP(L1464,payment_ids!C:D,2,FALSE)</f>
        <v>pay_HLCip7X4ve7Bgi</v>
      </c>
      <c r="B1464" s="4"/>
      <c r="C1464" s="4" t="s">
        <v>1133</v>
      </c>
      <c r="D1464" s="4">
        <v>49859.0</v>
      </c>
      <c r="E1464" s="5"/>
      <c r="F1464" s="4">
        <v>1.0</v>
      </c>
      <c r="G1464" s="4">
        <v>99.0</v>
      </c>
      <c r="H1464" s="4"/>
      <c r="I1464" s="4">
        <v>99.0</v>
      </c>
      <c r="J1464" s="4" t="s">
        <v>4747</v>
      </c>
      <c r="K1464" s="5">
        <f>+919130612265</f>
        <v>919130612265</v>
      </c>
      <c r="L1464" s="4" t="str">
        <f t="shared" si="1"/>
        <v>bhavishyajn7@gmail.com919130612265</v>
      </c>
      <c r="M1464" s="10" t="s">
        <v>67</v>
      </c>
      <c r="N1464" s="4" t="b">
        <v>0</v>
      </c>
      <c r="O1464" s="4" t="str">
        <f>VLOOKUP(A1464,payment_ids!D:E,2,FALSE)</f>
        <v>upi</v>
      </c>
      <c r="P1464" s="4" t="s">
        <v>69</v>
      </c>
      <c r="Q1464" s="11">
        <v>44475.36388888889</v>
      </c>
      <c r="R1464" s="4"/>
      <c r="S1464" s="12" t="s">
        <v>4736</v>
      </c>
      <c r="T1464" s="4" t="s">
        <v>2444</v>
      </c>
      <c r="U1464" s="4"/>
      <c r="V1464" s="4"/>
      <c r="W1464" s="5"/>
      <c r="X1464" s="4"/>
      <c r="Y1464" s="4"/>
      <c r="Z1464" s="5"/>
      <c r="AA1464" s="4"/>
      <c r="AB1464" s="4"/>
      <c r="AC1464" s="4"/>
      <c r="AD1464" s="5"/>
      <c r="AE1464" s="5"/>
      <c r="AF1464" s="5"/>
      <c r="AG1464" s="5"/>
      <c r="AH1464" s="5"/>
      <c r="AI1464" s="5"/>
      <c r="AJ1464" s="5"/>
      <c r="AK1464" s="5"/>
      <c r="AL1464" s="5"/>
    </row>
    <row r="1465">
      <c r="A1465" s="4" t="str">
        <f>VLOOKUP(L1465,payment_ids!C:D,2,FALSE)</f>
        <v>pay_HLCpkNKqDkNz1K</v>
      </c>
      <c r="B1465" s="4"/>
      <c r="C1465" s="4" t="s">
        <v>1133</v>
      </c>
      <c r="D1465" s="4">
        <v>49859.0</v>
      </c>
      <c r="E1465" s="5"/>
      <c r="F1465" s="4">
        <v>1.0</v>
      </c>
      <c r="G1465" s="4">
        <v>99.0</v>
      </c>
      <c r="H1465" s="4"/>
      <c r="I1465" s="4">
        <v>99.0</v>
      </c>
      <c r="J1465" s="4" t="s">
        <v>4748</v>
      </c>
      <c r="K1465" s="5">
        <f>+919393444115</f>
        <v>919393444115</v>
      </c>
      <c r="L1465" s="4" t="str">
        <f t="shared" si="1"/>
        <v>mrmohammed939@gmail.com919393444115</v>
      </c>
      <c r="M1465" s="10" t="s">
        <v>67</v>
      </c>
      <c r="N1465" s="4" t="b">
        <v>0</v>
      </c>
      <c r="O1465" s="4" t="str">
        <f>VLOOKUP(A1465,payment_ids!D:E,2,FALSE)</f>
        <v>upi</v>
      </c>
      <c r="P1465" s="4" t="s">
        <v>69</v>
      </c>
      <c r="Q1465" s="11">
        <v>44475.368055555555</v>
      </c>
      <c r="R1465" s="4"/>
      <c r="S1465" s="12" t="s">
        <v>4736</v>
      </c>
      <c r="T1465" s="4" t="s">
        <v>2444</v>
      </c>
      <c r="U1465" s="4"/>
      <c r="V1465" s="4"/>
      <c r="W1465" s="5"/>
      <c r="X1465" s="4"/>
      <c r="Y1465" s="4"/>
      <c r="Z1465" s="5"/>
      <c r="AA1465" s="4"/>
      <c r="AB1465" s="4"/>
      <c r="AC1465" s="4"/>
      <c r="AD1465" s="5"/>
      <c r="AE1465" s="5"/>
      <c r="AF1465" s="5"/>
      <c r="AG1465" s="5"/>
      <c r="AH1465" s="5"/>
      <c r="AI1465" s="5"/>
      <c r="AJ1465" s="5"/>
      <c r="AK1465" s="5"/>
      <c r="AL1465" s="5"/>
    </row>
    <row r="1466">
      <c r="A1466" s="4" t="str">
        <f>VLOOKUP(L1466,payment_ids!C:D,2,FALSE)</f>
        <v>pay_HLDVObNsXu4bnw</v>
      </c>
      <c r="B1466" s="4"/>
      <c r="C1466" s="4" t="s">
        <v>1133</v>
      </c>
      <c r="D1466" s="4">
        <v>49859.0</v>
      </c>
      <c r="E1466" s="5"/>
      <c r="F1466" s="4">
        <v>1.0</v>
      </c>
      <c r="G1466" s="4">
        <v>99.0</v>
      </c>
      <c r="H1466" s="4"/>
      <c r="I1466" s="4">
        <v>99.0</v>
      </c>
      <c r="J1466" s="4" t="s">
        <v>4749</v>
      </c>
      <c r="K1466" s="5">
        <f>+918887673750</f>
        <v>918887673750</v>
      </c>
      <c r="L1466" s="4" t="str">
        <f t="shared" si="1"/>
        <v>pandeypooja4618@gmail.com918887673750</v>
      </c>
      <c r="M1466" s="10" t="s">
        <v>67</v>
      </c>
      <c r="N1466" s="4" t="b">
        <v>0</v>
      </c>
      <c r="O1466" s="4" t="str">
        <f>VLOOKUP(A1466,payment_ids!D:E,2,FALSE)</f>
        <v>upi</v>
      </c>
      <c r="P1466" s="4" t="s">
        <v>69</v>
      </c>
      <c r="Q1466" s="11">
        <v>44475.395833333336</v>
      </c>
      <c r="R1466" s="4"/>
      <c r="S1466" s="12" t="s">
        <v>4736</v>
      </c>
      <c r="T1466" s="4" t="s">
        <v>2444</v>
      </c>
      <c r="U1466" s="4"/>
      <c r="V1466" s="4"/>
      <c r="W1466" s="5"/>
      <c r="X1466" s="4"/>
      <c r="Y1466" s="4"/>
      <c r="Z1466" s="5"/>
      <c r="AA1466" s="4"/>
      <c r="AB1466" s="4"/>
      <c r="AC1466" s="4"/>
      <c r="AD1466" s="5"/>
      <c r="AE1466" s="5"/>
      <c r="AF1466" s="5"/>
      <c r="AG1466" s="5"/>
      <c r="AH1466" s="5"/>
      <c r="AI1466" s="5"/>
      <c r="AJ1466" s="5"/>
      <c r="AK1466" s="5"/>
      <c r="AL1466" s="5"/>
    </row>
    <row r="1467">
      <c r="A1467" s="4" t="str">
        <f>VLOOKUP(L1467,payment_ids!C:D,2,FALSE)</f>
        <v>pay_HLJRLyBF5dBdVz</v>
      </c>
      <c r="B1467" s="4"/>
      <c r="C1467" s="4" t="s">
        <v>1133</v>
      </c>
      <c r="D1467" s="4">
        <v>49859.0</v>
      </c>
      <c r="E1467" s="5"/>
      <c r="F1467" s="4">
        <v>3.0</v>
      </c>
      <c r="G1467" s="4">
        <v>199.0</v>
      </c>
      <c r="H1467" s="4"/>
      <c r="I1467" s="4">
        <v>199.0</v>
      </c>
      <c r="J1467" s="4" t="s">
        <v>4750</v>
      </c>
      <c r="K1467" s="5">
        <f>+917024446200</f>
        <v>917024446200</v>
      </c>
      <c r="L1467" s="4" t="str">
        <f t="shared" si="1"/>
        <v>gaquravsihani27@gmail.com917024446200</v>
      </c>
      <c r="M1467" s="10" t="s">
        <v>67</v>
      </c>
      <c r="N1467" s="4" t="b">
        <v>0</v>
      </c>
      <c r="O1467" s="4" t="str">
        <f>VLOOKUP(A1467,payment_ids!D:E,2,FALSE)</f>
        <v>upi</v>
      </c>
      <c r="P1467" s="4" t="s">
        <v>69</v>
      </c>
      <c r="Q1467" s="11">
        <v>44475.6375</v>
      </c>
      <c r="R1467" s="4"/>
      <c r="S1467" s="12" t="s">
        <v>4741</v>
      </c>
      <c r="T1467" s="4" t="s">
        <v>2444</v>
      </c>
      <c r="U1467" s="4"/>
      <c r="V1467" s="4"/>
      <c r="W1467" s="5"/>
      <c r="X1467" s="4"/>
      <c r="Y1467" s="4"/>
      <c r="Z1467" s="5"/>
      <c r="AA1467" s="4"/>
      <c r="AB1467" s="4"/>
      <c r="AC1467" s="4"/>
      <c r="AD1467" s="5"/>
      <c r="AE1467" s="5"/>
      <c r="AF1467" s="5"/>
      <c r="AG1467" s="5"/>
      <c r="AH1467" s="5"/>
      <c r="AI1467" s="5"/>
      <c r="AJ1467" s="5"/>
      <c r="AK1467" s="5"/>
      <c r="AL1467" s="5"/>
    </row>
    <row r="1468">
      <c r="A1468" s="4" t="str">
        <f>VLOOKUP(L1468,payment_ids!C:D,2,FALSE)</f>
        <v>pay_HLL9l8QjVq22Bu</v>
      </c>
      <c r="B1468" s="4"/>
      <c r="C1468" s="4" t="s">
        <v>1133</v>
      </c>
      <c r="D1468" s="4">
        <v>49859.0</v>
      </c>
      <c r="E1468" s="5"/>
      <c r="F1468" s="4">
        <v>1.0</v>
      </c>
      <c r="G1468" s="4">
        <v>99.0</v>
      </c>
      <c r="H1468" s="4"/>
      <c r="I1468" s="4">
        <v>99.0</v>
      </c>
      <c r="J1468" s="4" t="s">
        <v>4751</v>
      </c>
      <c r="K1468" s="5">
        <f>+918360293596</f>
        <v>918360293596</v>
      </c>
      <c r="L1468" s="4" t="str">
        <f t="shared" si="1"/>
        <v>vandanarawat197@yahoo.com918360293596</v>
      </c>
      <c r="M1468" s="10" t="s">
        <v>67</v>
      </c>
      <c r="N1468" s="4" t="b">
        <v>0</v>
      </c>
      <c r="O1468" s="4" t="str">
        <f>VLOOKUP(A1468,payment_ids!D:E,2,FALSE)</f>
        <v>card</v>
      </c>
      <c r="P1468" s="4" t="s">
        <v>69</v>
      </c>
      <c r="Q1468" s="11">
        <v>44475.70763888889</v>
      </c>
      <c r="R1468" s="4"/>
      <c r="S1468" s="12" t="s">
        <v>4736</v>
      </c>
      <c r="T1468" s="4" t="s">
        <v>2444</v>
      </c>
      <c r="U1468" s="4"/>
      <c r="V1468" s="4"/>
      <c r="W1468" s="5"/>
      <c r="X1468" s="4"/>
      <c r="Y1468" s="4"/>
      <c r="Z1468" s="5"/>
      <c r="AA1468" s="4"/>
      <c r="AB1468" s="4"/>
      <c r="AC1468" s="4"/>
      <c r="AD1468" s="5"/>
      <c r="AE1468" s="5"/>
      <c r="AF1468" s="5"/>
      <c r="AG1468" s="5"/>
      <c r="AH1468" s="5"/>
      <c r="AI1468" s="5"/>
      <c r="AJ1468" s="5"/>
      <c r="AK1468" s="5"/>
      <c r="AL1468" s="5"/>
    </row>
    <row r="1469">
      <c r="A1469" s="4" t="str">
        <f>VLOOKUP(L1469,payment_ids!C:D,2,FALSE)</f>
        <v>pay_HLLKFVdvLz28CF</v>
      </c>
      <c r="B1469" s="4"/>
      <c r="C1469" s="4" t="s">
        <v>1133</v>
      </c>
      <c r="D1469" s="4">
        <v>49859.0</v>
      </c>
      <c r="E1469" s="5"/>
      <c r="F1469" s="4">
        <v>1.0</v>
      </c>
      <c r="G1469" s="4">
        <v>99.0</v>
      </c>
      <c r="H1469" s="4"/>
      <c r="I1469" s="4">
        <v>99.0</v>
      </c>
      <c r="J1469" s="4" t="s">
        <v>4752</v>
      </c>
      <c r="K1469" s="5">
        <f>+919164987800</f>
        <v>919164987800</v>
      </c>
      <c r="L1469" s="4" t="str">
        <f t="shared" si="1"/>
        <v>sumeetdba@gmail.com919164987800</v>
      </c>
      <c r="M1469" s="10" t="s">
        <v>67</v>
      </c>
      <c r="N1469" s="4" t="b">
        <v>0</v>
      </c>
      <c r="O1469" s="4" t="str">
        <f>VLOOKUP(A1469,payment_ids!D:E,2,FALSE)</f>
        <v>card</v>
      </c>
      <c r="P1469" s="4" t="s">
        <v>69</v>
      </c>
      <c r="Q1469" s="11">
        <v>44475.714583333334</v>
      </c>
      <c r="R1469" s="4"/>
      <c r="S1469" s="12" t="s">
        <v>4736</v>
      </c>
      <c r="T1469" s="4" t="s">
        <v>2444</v>
      </c>
      <c r="U1469" s="4"/>
      <c r="V1469" s="4"/>
      <c r="W1469" s="5"/>
      <c r="X1469" s="4"/>
      <c r="Y1469" s="4"/>
      <c r="Z1469" s="5"/>
      <c r="AA1469" s="4"/>
      <c r="AB1469" s="4"/>
      <c r="AC1469" s="4"/>
      <c r="AD1469" s="5"/>
      <c r="AE1469" s="5"/>
      <c r="AF1469" s="5"/>
      <c r="AG1469" s="5"/>
      <c r="AH1469" s="5"/>
      <c r="AI1469" s="5"/>
      <c r="AJ1469" s="5"/>
      <c r="AK1469" s="5"/>
      <c r="AL1469" s="5"/>
    </row>
    <row r="1470">
      <c r="A1470" s="4" t="str">
        <f>VLOOKUP(L1470,payment_ids!C:D,2,FALSE)</f>
        <v>pay_HLNoW7GAWVOU8k</v>
      </c>
      <c r="B1470" s="4"/>
      <c r="C1470" s="4" t="s">
        <v>1133</v>
      </c>
      <c r="D1470" s="4">
        <v>49859.0</v>
      </c>
      <c r="E1470" s="5"/>
      <c r="F1470" s="4">
        <v>1.0</v>
      </c>
      <c r="G1470" s="4">
        <v>99.0</v>
      </c>
      <c r="H1470" s="4"/>
      <c r="I1470" s="4">
        <v>99.0</v>
      </c>
      <c r="J1470" s="4" t="s">
        <v>4753</v>
      </c>
      <c r="K1470" s="5">
        <f>+919051517176</f>
        <v>919051517176</v>
      </c>
      <c r="L1470" s="4" t="str">
        <f t="shared" si="1"/>
        <v>firozshaikh622@gmail.com919051517176</v>
      </c>
      <c r="M1470" s="10" t="s">
        <v>67</v>
      </c>
      <c r="N1470" s="4" t="b">
        <v>0</v>
      </c>
      <c r="O1470" s="4" t="str">
        <f>VLOOKUP(A1470,payment_ids!D:E,2,FALSE)</f>
        <v>upi</v>
      </c>
      <c r="P1470" s="4" t="s">
        <v>69</v>
      </c>
      <c r="Q1470" s="11">
        <v>44475.81597222222</v>
      </c>
      <c r="R1470" s="4"/>
      <c r="S1470" s="12" t="s">
        <v>4736</v>
      </c>
      <c r="T1470" s="4" t="s">
        <v>2444</v>
      </c>
      <c r="U1470" s="4"/>
      <c r="V1470" s="4"/>
      <c r="W1470" s="5"/>
      <c r="X1470" s="4"/>
      <c r="Y1470" s="4"/>
      <c r="Z1470" s="5"/>
      <c r="AA1470" s="4"/>
      <c r="AB1470" s="4"/>
      <c r="AC1470" s="4"/>
      <c r="AD1470" s="5"/>
      <c r="AE1470" s="5"/>
      <c r="AF1470" s="5"/>
      <c r="AG1470" s="5"/>
      <c r="AH1470" s="5"/>
      <c r="AI1470" s="5"/>
      <c r="AJ1470" s="5"/>
      <c r="AK1470" s="5"/>
      <c r="AL1470" s="5"/>
    </row>
    <row r="1471">
      <c r="A1471" s="4" t="str">
        <f>VLOOKUP(L1471,payment_ids!C:D,2,FALSE)</f>
        <v>pay_HLeXKS5dGQkjyZ</v>
      </c>
      <c r="B1471" s="4"/>
      <c r="C1471" s="4" t="s">
        <v>1133</v>
      </c>
      <c r="D1471" s="4">
        <v>49859.0</v>
      </c>
      <c r="E1471" s="5"/>
      <c r="F1471" s="4">
        <v>1.0</v>
      </c>
      <c r="G1471" s="4">
        <v>99.0</v>
      </c>
      <c r="H1471" s="4"/>
      <c r="I1471" s="4">
        <v>99.0</v>
      </c>
      <c r="J1471" s="4" t="s">
        <v>4754</v>
      </c>
      <c r="K1471" s="5">
        <f>+919644673402</f>
        <v>919644673402</v>
      </c>
      <c r="L1471" s="4" t="str">
        <f t="shared" si="1"/>
        <v>leeminho123mansi0607@gmail.com919644673402</v>
      </c>
      <c r="M1471" s="10" t="s">
        <v>67</v>
      </c>
      <c r="N1471" s="4" t="b">
        <v>0</v>
      </c>
      <c r="O1471" s="4" t="str">
        <f>VLOOKUP(A1471,payment_ids!D:E,2,FALSE)</f>
        <v>wallet</v>
      </c>
      <c r="P1471" s="4" t="s">
        <v>69</v>
      </c>
      <c r="Q1471" s="11">
        <v>44506.49930555555</v>
      </c>
      <c r="R1471" s="4"/>
      <c r="S1471" s="12" t="s">
        <v>4736</v>
      </c>
      <c r="T1471" s="4" t="s">
        <v>2444</v>
      </c>
      <c r="U1471" s="4"/>
      <c r="V1471" s="4"/>
      <c r="W1471" s="5"/>
      <c r="X1471" s="4"/>
      <c r="Y1471" s="4"/>
      <c r="Z1471" s="5"/>
      <c r="AA1471" s="4"/>
      <c r="AB1471" s="4"/>
      <c r="AC1471" s="4"/>
      <c r="AD1471" s="5"/>
      <c r="AE1471" s="5"/>
      <c r="AF1471" s="5"/>
      <c r="AG1471" s="5"/>
      <c r="AH1471" s="5"/>
      <c r="AI1471" s="5"/>
      <c r="AJ1471" s="5"/>
      <c r="AK1471" s="5"/>
      <c r="AL1471" s="5"/>
    </row>
    <row r="1472">
      <c r="A1472" s="4" t="str">
        <f>VLOOKUP(L1472,payment_ids!C:D,2,FALSE)</f>
        <v>pay_HLhdj50b5k6KCV</v>
      </c>
      <c r="B1472" s="4"/>
      <c r="C1472" s="4" t="s">
        <v>1133</v>
      </c>
      <c r="D1472" s="4">
        <v>49859.0</v>
      </c>
      <c r="E1472" s="5"/>
      <c r="F1472" s="4">
        <v>1.0</v>
      </c>
      <c r="G1472" s="4">
        <v>99.0</v>
      </c>
      <c r="H1472" s="4"/>
      <c r="I1472" s="4">
        <v>99.0</v>
      </c>
      <c r="J1472" s="4" t="s">
        <v>4755</v>
      </c>
      <c r="K1472" s="5">
        <f>+919888848898</f>
        <v>919888848898</v>
      </c>
      <c r="L1472" s="4" t="str">
        <f t="shared" si="1"/>
        <v>savindra20nov@gmail.com919888848898</v>
      </c>
      <c r="M1472" s="10" t="s">
        <v>67</v>
      </c>
      <c r="N1472" s="4" t="b">
        <v>0</v>
      </c>
      <c r="O1472" s="4" t="str">
        <f>VLOOKUP(A1472,payment_ids!D:E,2,FALSE)</f>
        <v>card</v>
      </c>
      <c r="P1472" s="4" t="s">
        <v>69</v>
      </c>
      <c r="Q1472" s="11">
        <v>44506.623611111114</v>
      </c>
      <c r="R1472" s="4"/>
      <c r="S1472" s="12" t="s">
        <v>4741</v>
      </c>
      <c r="T1472" s="4" t="s">
        <v>2444</v>
      </c>
      <c r="U1472" s="4"/>
      <c r="V1472" s="4"/>
      <c r="W1472" s="5"/>
      <c r="X1472" s="4"/>
      <c r="Y1472" s="4"/>
      <c r="Z1472" s="5"/>
      <c r="AA1472" s="4"/>
      <c r="AB1472" s="4"/>
      <c r="AC1472" s="4"/>
      <c r="AD1472" s="5"/>
      <c r="AE1472" s="5"/>
      <c r="AF1472" s="5"/>
      <c r="AG1472" s="5"/>
      <c r="AH1472" s="5"/>
      <c r="AI1472" s="5"/>
      <c r="AJ1472" s="5"/>
      <c r="AK1472" s="5"/>
      <c r="AL1472" s="5"/>
    </row>
    <row r="1473">
      <c r="A1473" s="4" t="str">
        <f>VLOOKUP(L1473,payment_ids!C:D,2,FALSE)</f>
        <v>pay_HLksW3eXmldjZk</v>
      </c>
      <c r="B1473" s="4"/>
      <c r="C1473" s="4" t="s">
        <v>1133</v>
      </c>
      <c r="D1473" s="4">
        <v>49859.0</v>
      </c>
      <c r="E1473" s="5"/>
      <c r="F1473" s="4">
        <v>1.0</v>
      </c>
      <c r="G1473" s="4">
        <v>99.0</v>
      </c>
      <c r="H1473" s="4"/>
      <c r="I1473" s="4">
        <v>99.0</v>
      </c>
      <c r="J1473" s="4" t="s">
        <v>4756</v>
      </c>
      <c r="K1473" s="5">
        <f>+918797619002</f>
        <v>918797619002</v>
      </c>
      <c r="L1473" s="4" t="str">
        <f t="shared" si="1"/>
        <v>abhishekmodi1991@gmail.com918797619002</v>
      </c>
      <c r="M1473" s="10" t="s">
        <v>67</v>
      </c>
      <c r="N1473" s="4" t="b">
        <v>0</v>
      </c>
      <c r="O1473" s="4" t="str">
        <f>VLOOKUP(A1473,payment_ids!D:E,2,FALSE)</f>
        <v>upi</v>
      </c>
      <c r="P1473" s="4" t="s">
        <v>69</v>
      </c>
      <c r="Q1473" s="11">
        <v>44506.75555555556</v>
      </c>
      <c r="R1473" s="4"/>
      <c r="S1473" s="12" t="s">
        <v>4736</v>
      </c>
      <c r="T1473" s="4" t="s">
        <v>2444</v>
      </c>
      <c r="U1473" s="4"/>
      <c r="V1473" s="4"/>
      <c r="W1473" s="5"/>
      <c r="X1473" s="4"/>
      <c r="Y1473" s="4"/>
      <c r="Z1473" s="5"/>
      <c r="AA1473" s="4"/>
      <c r="AB1473" s="4"/>
      <c r="AC1473" s="4"/>
      <c r="AD1473" s="5"/>
      <c r="AE1473" s="5"/>
      <c r="AF1473" s="5"/>
      <c r="AG1473" s="5"/>
      <c r="AH1473" s="5"/>
      <c r="AI1473" s="5"/>
      <c r="AJ1473" s="5"/>
      <c r="AK1473" s="5"/>
      <c r="AL1473" s="5"/>
    </row>
    <row r="1474">
      <c r="A1474" s="4" t="str">
        <f>VLOOKUP(L1474,payment_ids!C:D,2,FALSE)</f>
        <v>pay_HLlsaSvSgtpMcF</v>
      </c>
      <c r="B1474" s="4"/>
      <c r="C1474" s="4" t="s">
        <v>1133</v>
      </c>
      <c r="D1474" s="4">
        <v>49859.0</v>
      </c>
      <c r="E1474" s="5"/>
      <c r="F1474" s="4">
        <v>1.0</v>
      </c>
      <c r="G1474" s="4">
        <v>99.0</v>
      </c>
      <c r="H1474" s="4"/>
      <c r="I1474" s="4">
        <v>99.0</v>
      </c>
      <c r="J1474" s="4" t="s">
        <v>4757</v>
      </c>
      <c r="K1474" s="5">
        <f>+919840792616</f>
        <v>919840792616</v>
      </c>
      <c r="L1474" s="4" t="str">
        <f t="shared" si="1"/>
        <v>cgbijustephen@gmail.com919840792616</v>
      </c>
      <c r="M1474" s="10" t="s">
        <v>67</v>
      </c>
      <c r="N1474" s="4" t="b">
        <v>0</v>
      </c>
      <c r="O1474" s="4" t="str">
        <f>VLOOKUP(A1474,payment_ids!D:E,2,FALSE)</f>
        <v>upi</v>
      </c>
      <c r="P1474" s="4" t="s">
        <v>69</v>
      </c>
      <c r="Q1474" s="11">
        <v>44506.79652777778</v>
      </c>
      <c r="R1474" s="4"/>
      <c r="S1474" s="12" t="s">
        <v>4736</v>
      </c>
      <c r="T1474" s="4" t="s">
        <v>2444</v>
      </c>
      <c r="U1474" s="4"/>
      <c r="V1474" s="4"/>
      <c r="W1474" s="5"/>
      <c r="X1474" s="4"/>
      <c r="Y1474" s="4"/>
      <c r="Z1474" s="5"/>
      <c r="AA1474" s="4"/>
      <c r="AB1474" s="4"/>
      <c r="AC1474" s="4"/>
      <c r="AD1474" s="5"/>
      <c r="AE1474" s="5"/>
      <c r="AF1474" s="5"/>
      <c r="AG1474" s="5"/>
      <c r="AH1474" s="5"/>
      <c r="AI1474" s="5"/>
      <c r="AJ1474" s="5"/>
      <c r="AK1474" s="5"/>
      <c r="AL1474" s="5"/>
    </row>
    <row r="1475">
      <c r="A1475" s="4" t="str">
        <f>VLOOKUP(L1475,payment_ids!C:D,2,FALSE)</f>
        <v>pay_HLn6do5mYZdTEa</v>
      </c>
      <c r="B1475" s="4"/>
      <c r="C1475" s="4" t="s">
        <v>1133</v>
      </c>
      <c r="D1475" s="4">
        <v>49859.0</v>
      </c>
      <c r="E1475" s="5"/>
      <c r="F1475" s="4">
        <v>1.0</v>
      </c>
      <c r="G1475" s="4">
        <v>99.0</v>
      </c>
      <c r="H1475" s="4"/>
      <c r="I1475" s="4">
        <v>99.0</v>
      </c>
      <c r="J1475" s="4" t="s">
        <v>4758</v>
      </c>
      <c r="K1475" s="5">
        <f>+919145261102</f>
        <v>919145261102</v>
      </c>
      <c r="L1475" s="4" t="str">
        <f t="shared" si="1"/>
        <v>devjosh.boddu@gmail.com919145261102</v>
      </c>
      <c r="M1475" s="10" t="s">
        <v>67</v>
      </c>
      <c r="N1475" s="4" t="b">
        <v>0</v>
      </c>
      <c r="O1475" s="4" t="str">
        <f>VLOOKUP(A1475,payment_ids!D:E,2,FALSE)</f>
        <v>upi</v>
      </c>
      <c r="P1475" s="4" t="s">
        <v>69</v>
      </c>
      <c r="Q1475" s="11">
        <v>44506.84652777778</v>
      </c>
      <c r="R1475" s="4"/>
      <c r="S1475" s="12" t="s">
        <v>4736</v>
      </c>
      <c r="T1475" s="4" t="s">
        <v>2444</v>
      </c>
      <c r="U1475" s="4"/>
      <c r="V1475" s="4"/>
      <c r="W1475" s="5"/>
      <c r="X1475" s="4"/>
      <c r="Y1475" s="4"/>
      <c r="Z1475" s="5"/>
      <c r="AA1475" s="4"/>
      <c r="AB1475" s="4"/>
      <c r="AC1475" s="4"/>
      <c r="AD1475" s="5"/>
      <c r="AE1475" s="5"/>
      <c r="AF1475" s="5"/>
      <c r="AG1475" s="5"/>
      <c r="AH1475" s="5"/>
      <c r="AI1475" s="5"/>
      <c r="AJ1475" s="5"/>
      <c r="AK1475" s="5"/>
      <c r="AL1475" s="5"/>
    </row>
    <row r="1476">
      <c r="A1476" s="4" t="str">
        <f>VLOOKUP(L1476,payment_ids!C:D,2,FALSE)</f>
        <v>pay_HLrChMLPHN4JtD</v>
      </c>
      <c r="B1476" s="4"/>
      <c r="C1476" s="4" t="s">
        <v>1133</v>
      </c>
      <c r="D1476" s="4">
        <v>49859.0</v>
      </c>
      <c r="E1476" s="5"/>
      <c r="F1476" s="4">
        <v>1.0</v>
      </c>
      <c r="G1476" s="4">
        <v>99.0</v>
      </c>
      <c r="H1476" s="4"/>
      <c r="I1476" s="4">
        <v>99.0</v>
      </c>
      <c r="J1476" s="4" t="s">
        <v>4759</v>
      </c>
      <c r="K1476" s="5">
        <f>+919036328693</f>
        <v>919036328693</v>
      </c>
      <c r="L1476" s="4" t="str">
        <f t="shared" si="1"/>
        <v>keerthivasanb24@gmail.com919036328693</v>
      </c>
      <c r="M1476" s="10" t="s">
        <v>67</v>
      </c>
      <c r="N1476" s="4" t="b">
        <v>0</v>
      </c>
      <c r="O1476" s="4" t="str">
        <f>VLOOKUP(A1476,payment_ids!D:E,2,FALSE)</f>
        <v>upi</v>
      </c>
      <c r="P1476" s="4" t="s">
        <v>69</v>
      </c>
      <c r="Q1476" s="11">
        <v>44536.01388888889</v>
      </c>
      <c r="R1476" s="4"/>
      <c r="S1476" s="12" t="s">
        <v>4736</v>
      </c>
      <c r="T1476" s="4" t="s">
        <v>2444</v>
      </c>
      <c r="U1476" s="4"/>
      <c r="V1476" s="4"/>
      <c r="W1476" s="5"/>
      <c r="X1476" s="4"/>
      <c r="Y1476" s="4"/>
      <c r="Z1476" s="5"/>
      <c r="AA1476" s="4"/>
      <c r="AB1476" s="4"/>
      <c r="AC1476" s="4"/>
      <c r="AD1476" s="5"/>
      <c r="AE1476" s="5"/>
      <c r="AF1476" s="5"/>
      <c r="AG1476" s="5"/>
      <c r="AH1476" s="5"/>
      <c r="AI1476" s="5"/>
      <c r="AJ1476" s="5"/>
      <c r="AK1476" s="5"/>
      <c r="AL1476" s="5"/>
    </row>
    <row r="1477">
      <c r="A1477" s="4" t="str">
        <f>VLOOKUP(L1477,payment_ids!C:D,2,FALSE)</f>
        <v>pay_HMRMlrYlyFK0Rf</v>
      </c>
      <c r="B1477" s="4"/>
      <c r="C1477" s="4" t="s">
        <v>1133</v>
      </c>
      <c r="D1477" s="4">
        <v>49859.0</v>
      </c>
      <c r="E1477" s="5"/>
      <c r="F1477" s="4">
        <v>1.0</v>
      </c>
      <c r="G1477" s="4">
        <v>99.0</v>
      </c>
      <c r="H1477" s="4"/>
      <c r="I1477" s="4">
        <v>99.0</v>
      </c>
      <c r="J1477" s="4" t="s">
        <v>2451</v>
      </c>
      <c r="K1477" s="5">
        <f>+919731761212</f>
        <v>919731761212</v>
      </c>
      <c r="L1477" s="4" t="str">
        <f t="shared" si="1"/>
        <v>krishnaraj.bhatns@gmail.com919731761212</v>
      </c>
      <c r="M1477" s="10" t="s">
        <v>67</v>
      </c>
      <c r="N1477" s="4" t="b">
        <v>0</v>
      </c>
      <c r="O1477" s="4" t="str">
        <f>VLOOKUP(A1477,payment_ids!D:E,2,FALSE)</f>
        <v>upi</v>
      </c>
      <c r="P1477" s="4" t="s">
        <v>69</v>
      </c>
      <c r="Q1477" s="4" t="s">
        <v>4760</v>
      </c>
      <c r="R1477" s="4"/>
      <c r="S1477" s="12" t="s">
        <v>4741</v>
      </c>
      <c r="T1477" s="4" t="s">
        <v>2444</v>
      </c>
      <c r="U1477" s="4"/>
      <c r="V1477" s="4"/>
      <c r="W1477" s="5"/>
      <c r="X1477" s="4"/>
      <c r="Y1477" s="4"/>
      <c r="Z1477" s="5"/>
      <c r="AA1477" s="4"/>
      <c r="AB1477" s="4"/>
      <c r="AC1477" s="4"/>
      <c r="AD1477" s="5"/>
      <c r="AE1477" s="5"/>
      <c r="AF1477" s="5"/>
      <c r="AG1477" s="5"/>
      <c r="AH1477" s="5"/>
      <c r="AI1477" s="5"/>
      <c r="AJ1477" s="5"/>
      <c r="AK1477" s="5"/>
      <c r="AL1477" s="5"/>
    </row>
    <row r="1478">
      <c r="A1478" s="4" t="str">
        <f>VLOOKUP(L1478,payment_ids!C:D,2,FALSE)</f>
        <v>pay_HMRSFJwH7CLTP3</v>
      </c>
      <c r="B1478" s="4"/>
      <c r="C1478" s="4" t="s">
        <v>1133</v>
      </c>
      <c r="D1478" s="4">
        <v>49859.0</v>
      </c>
      <c r="E1478" s="5"/>
      <c r="F1478" s="4">
        <v>1.0</v>
      </c>
      <c r="G1478" s="4">
        <v>99.0</v>
      </c>
      <c r="H1478" s="4"/>
      <c r="I1478" s="4">
        <v>99.0</v>
      </c>
      <c r="J1478" s="4" t="s">
        <v>4761</v>
      </c>
      <c r="K1478" s="5">
        <f>+919113845355</f>
        <v>919113845355</v>
      </c>
      <c r="L1478" s="4" t="str">
        <f t="shared" si="1"/>
        <v>hlsowmya19@gmail.com919113845355</v>
      </c>
      <c r="M1478" s="10" t="s">
        <v>67</v>
      </c>
      <c r="N1478" s="4" t="b">
        <v>0</v>
      </c>
      <c r="O1478" s="4" t="str">
        <f>VLOOKUP(A1478,payment_ids!D:E,2,FALSE)</f>
        <v>upi</v>
      </c>
      <c r="P1478" s="4" t="s">
        <v>69</v>
      </c>
      <c r="Q1478" s="4" t="s">
        <v>4762</v>
      </c>
      <c r="R1478" s="4"/>
      <c r="S1478" s="12" t="s">
        <v>4736</v>
      </c>
      <c r="T1478" s="4" t="s">
        <v>2444</v>
      </c>
      <c r="U1478" s="4"/>
      <c r="V1478" s="4"/>
      <c r="W1478" s="5"/>
      <c r="X1478" s="4"/>
      <c r="Y1478" s="4"/>
      <c r="Z1478" s="5"/>
      <c r="AA1478" s="4"/>
      <c r="AB1478" s="4"/>
      <c r="AC1478" s="4"/>
      <c r="AD1478" s="5"/>
      <c r="AE1478" s="5"/>
      <c r="AF1478" s="5"/>
      <c r="AG1478" s="5"/>
      <c r="AH1478" s="5"/>
      <c r="AI1478" s="5"/>
      <c r="AJ1478" s="5"/>
      <c r="AK1478" s="5"/>
      <c r="AL1478" s="5"/>
    </row>
    <row r="1479">
      <c r="A1479" s="4" t="str">
        <f>VLOOKUP(L1479,payment_ids!C:D,2,FALSE)</f>
        <v>pay_HMqZMADwBZ50G0</v>
      </c>
      <c r="B1479" s="4"/>
      <c r="C1479" s="4" t="s">
        <v>1133</v>
      </c>
      <c r="D1479" s="4">
        <v>49859.0</v>
      </c>
      <c r="E1479" s="5"/>
      <c r="F1479" s="4">
        <v>1.0</v>
      </c>
      <c r="G1479" s="4">
        <v>99.0</v>
      </c>
      <c r="H1479" s="4"/>
      <c r="I1479" s="4">
        <v>99.0</v>
      </c>
      <c r="J1479" s="4" t="s">
        <v>4763</v>
      </c>
      <c r="K1479" s="5">
        <f>+919322677890</f>
        <v>919322677890</v>
      </c>
      <c r="L1479" s="4" t="str">
        <f t="shared" si="1"/>
        <v>riteshgupta2582010@gmail.com919322677890</v>
      </c>
      <c r="M1479" s="10" t="s">
        <v>67</v>
      </c>
      <c r="N1479" s="4" t="b">
        <v>0</v>
      </c>
      <c r="O1479" s="4" t="str">
        <f>VLOOKUP(A1479,payment_ids!D:E,2,FALSE)</f>
        <v>upi</v>
      </c>
      <c r="P1479" s="4" t="s">
        <v>69</v>
      </c>
      <c r="Q1479" s="4" t="s">
        <v>4764</v>
      </c>
      <c r="R1479" s="4"/>
      <c r="S1479" s="12" t="s">
        <v>4736</v>
      </c>
      <c r="T1479" s="4" t="s">
        <v>2444</v>
      </c>
      <c r="U1479" s="4"/>
      <c r="V1479" s="4"/>
      <c r="W1479" s="5"/>
      <c r="X1479" s="4"/>
      <c r="Y1479" s="4"/>
      <c r="Z1479" s="5"/>
      <c r="AA1479" s="4"/>
      <c r="AB1479" s="4"/>
      <c r="AC1479" s="4"/>
      <c r="AD1479" s="5"/>
      <c r="AE1479" s="5"/>
      <c r="AF1479" s="5"/>
      <c r="AG1479" s="5"/>
      <c r="AH1479" s="5"/>
      <c r="AI1479" s="5"/>
      <c r="AJ1479" s="5"/>
      <c r="AK1479" s="5"/>
      <c r="AL1479" s="5"/>
    </row>
    <row r="1480">
      <c r="A1480" s="4" t="str">
        <f>VLOOKUP(L1480,payment_ids!C:D,2,FALSE)</f>
        <v>pay_HN8Lz0K9emUsGx</v>
      </c>
      <c r="B1480" s="4"/>
      <c r="C1480" s="4" t="s">
        <v>1133</v>
      </c>
      <c r="D1480" s="4">
        <v>49859.0</v>
      </c>
      <c r="E1480" s="5"/>
      <c r="F1480" s="4">
        <v>1.0</v>
      </c>
      <c r="G1480" s="4">
        <v>99.0</v>
      </c>
      <c r="H1480" s="4"/>
      <c r="I1480" s="4">
        <v>99.0</v>
      </c>
      <c r="J1480" s="4" t="s">
        <v>4765</v>
      </c>
      <c r="K1480" s="5">
        <f>+919160794830</f>
        <v>919160794830</v>
      </c>
      <c r="L1480" s="4" t="str">
        <f t="shared" si="1"/>
        <v>madhu.hifi7@gmail.com919160794830</v>
      </c>
      <c r="M1480" s="10" t="s">
        <v>67</v>
      </c>
      <c r="N1480" s="4" t="b">
        <v>0</v>
      </c>
      <c r="O1480" s="4" t="str">
        <f>VLOOKUP(A1480,payment_ids!D:E,2,FALSE)</f>
        <v>card</v>
      </c>
      <c r="P1480" s="4" t="s">
        <v>69</v>
      </c>
      <c r="Q1480" s="4" t="s">
        <v>4766</v>
      </c>
      <c r="R1480" s="4"/>
      <c r="S1480" s="12" t="s">
        <v>4736</v>
      </c>
      <c r="T1480" s="4" t="s">
        <v>2444</v>
      </c>
      <c r="U1480" s="4"/>
      <c r="V1480" s="4"/>
      <c r="W1480" s="5"/>
      <c r="X1480" s="4"/>
      <c r="Y1480" s="4"/>
      <c r="Z1480" s="5"/>
      <c r="AA1480" s="4"/>
      <c r="AB1480" s="4"/>
      <c r="AC1480" s="4"/>
      <c r="AD1480" s="5"/>
      <c r="AE1480" s="5"/>
      <c r="AF1480" s="5"/>
      <c r="AG1480" s="5"/>
      <c r="AH1480" s="5"/>
      <c r="AI1480" s="5"/>
      <c r="AJ1480" s="5"/>
      <c r="AK1480" s="5"/>
      <c r="AL1480" s="5"/>
    </row>
    <row r="1481">
      <c r="A1481" s="4" t="str">
        <f>VLOOKUP(L1481,payment_ids!C:D,2,FALSE)</f>
        <v>pay_HCx7lTk3u1Ihyf</v>
      </c>
      <c r="B1481" s="4"/>
      <c r="C1481" s="4" t="s">
        <v>1133</v>
      </c>
      <c r="D1481" s="4">
        <v>49859.0</v>
      </c>
      <c r="E1481" s="5"/>
      <c r="F1481" s="4">
        <v>6.0</v>
      </c>
      <c r="G1481" s="4">
        <v>349.0</v>
      </c>
      <c r="H1481" s="4"/>
      <c r="I1481" s="4">
        <v>349.0</v>
      </c>
      <c r="J1481" s="4" t="s">
        <v>1525</v>
      </c>
      <c r="K1481" s="5">
        <f>+919815577304</f>
        <v>919815577304</v>
      </c>
      <c r="L1481" s="4" t="str">
        <f t="shared" si="1"/>
        <v>princekamboj@gmail.com919815577304</v>
      </c>
      <c r="M1481" s="10" t="s">
        <v>67</v>
      </c>
      <c r="N1481" s="4" t="b">
        <v>0</v>
      </c>
      <c r="O1481" s="4" t="str">
        <f>VLOOKUP(A1481,payment_ids!D:E,2,FALSE)</f>
        <v>card</v>
      </c>
      <c r="P1481" s="4" t="s">
        <v>69</v>
      </c>
      <c r="Q1481" s="4" t="s">
        <v>4767</v>
      </c>
      <c r="R1481" s="4"/>
      <c r="S1481" s="12" t="s">
        <v>4620</v>
      </c>
      <c r="T1481" s="4" t="s">
        <v>2444</v>
      </c>
      <c r="U1481" s="4"/>
      <c r="V1481" s="4"/>
      <c r="W1481" s="5"/>
      <c r="X1481" s="4"/>
      <c r="Y1481" s="4"/>
      <c r="Z1481" s="5"/>
      <c r="AA1481" s="4"/>
      <c r="AB1481" s="4"/>
      <c r="AC1481" s="4"/>
      <c r="AD1481" s="5"/>
      <c r="AE1481" s="5"/>
      <c r="AF1481" s="5"/>
      <c r="AG1481" s="5"/>
      <c r="AH1481" s="5"/>
      <c r="AI1481" s="5"/>
      <c r="AJ1481" s="5"/>
      <c r="AK1481" s="5"/>
      <c r="AL1481" s="5"/>
    </row>
    <row r="1482">
      <c r="A1482" s="4" t="str">
        <f>VLOOKUP(L1482,payment_ids!C:D,2,FALSE)</f>
        <v>pay_HNYi6pZgMgDPEj</v>
      </c>
      <c r="B1482" s="4"/>
      <c r="C1482" s="4" t="s">
        <v>1133</v>
      </c>
      <c r="D1482" s="4">
        <v>49859.0</v>
      </c>
      <c r="E1482" s="5"/>
      <c r="F1482" s="4">
        <v>6.0</v>
      </c>
      <c r="G1482" s="4">
        <v>349.0</v>
      </c>
      <c r="H1482" s="4"/>
      <c r="I1482" s="4">
        <v>349.0</v>
      </c>
      <c r="J1482" s="4" t="s">
        <v>4768</v>
      </c>
      <c r="K1482" s="5">
        <f>+919922277206</f>
        <v>919922277206</v>
      </c>
      <c r="L1482" s="4" t="str">
        <f t="shared" si="1"/>
        <v>khandelwalpratham12@gmail.com919922277206</v>
      </c>
      <c r="M1482" s="10" t="s">
        <v>67</v>
      </c>
      <c r="N1482" s="4" t="b">
        <v>0</v>
      </c>
      <c r="O1482" s="4" t="str">
        <f>VLOOKUP(A1482,payment_ids!D:E,2,FALSE)</f>
        <v>upi</v>
      </c>
      <c r="P1482" s="4" t="s">
        <v>69</v>
      </c>
      <c r="Q1482" s="4" t="s">
        <v>4769</v>
      </c>
      <c r="R1482" s="4"/>
      <c r="S1482" s="12" t="s">
        <v>4736</v>
      </c>
      <c r="T1482" s="4" t="s">
        <v>2444</v>
      </c>
      <c r="U1482" s="4"/>
      <c r="V1482" s="4"/>
      <c r="W1482" s="5"/>
      <c r="X1482" s="4"/>
      <c r="Y1482" s="4"/>
      <c r="Z1482" s="5"/>
      <c r="AA1482" s="4"/>
      <c r="AB1482" s="4"/>
      <c r="AC1482" s="4"/>
      <c r="AD1482" s="5"/>
      <c r="AE1482" s="5"/>
      <c r="AF1482" s="5"/>
      <c r="AG1482" s="5"/>
      <c r="AH1482" s="5"/>
      <c r="AI1482" s="5"/>
      <c r="AJ1482" s="5"/>
      <c r="AK1482" s="5"/>
      <c r="AL1482" s="5"/>
    </row>
    <row r="1483">
      <c r="A1483" s="4" t="str">
        <f>VLOOKUP(L1483,payment_ids!C:D,2,FALSE)</f>
        <v>pay_HNcX2tQkBVPALz</v>
      </c>
      <c r="B1483" s="4"/>
      <c r="C1483" s="4" t="s">
        <v>1133</v>
      </c>
      <c r="D1483" s="4">
        <v>49859.0</v>
      </c>
      <c r="E1483" s="5"/>
      <c r="F1483" s="4">
        <v>1.0</v>
      </c>
      <c r="G1483" s="4">
        <v>99.0</v>
      </c>
      <c r="H1483" s="4"/>
      <c r="I1483" s="4">
        <v>99.0</v>
      </c>
      <c r="J1483" s="4" t="s">
        <v>4770</v>
      </c>
      <c r="K1483" s="5">
        <f>+918424959717</f>
        <v>918424959717</v>
      </c>
      <c r="L1483" s="4" t="str">
        <f t="shared" si="1"/>
        <v>kiyer4802@gmail.com918424959717</v>
      </c>
      <c r="M1483" s="10" t="s">
        <v>67</v>
      </c>
      <c r="N1483" s="4" t="b">
        <v>0</v>
      </c>
      <c r="O1483" s="4" t="str">
        <f>VLOOKUP(A1483,payment_ids!D:E,2,FALSE)</f>
        <v>upi</v>
      </c>
      <c r="P1483" s="4" t="s">
        <v>69</v>
      </c>
      <c r="Q1483" s="4" t="s">
        <v>4771</v>
      </c>
      <c r="R1483" s="4"/>
      <c r="S1483" s="12" t="s">
        <v>4741</v>
      </c>
      <c r="T1483" s="4" t="s">
        <v>2444</v>
      </c>
      <c r="U1483" s="4"/>
      <c r="V1483" s="4"/>
      <c r="W1483" s="5"/>
      <c r="X1483" s="4"/>
      <c r="Y1483" s="4"/>
      <c r="Z1483" s="5"/>
      <c r="AA1483" s="4"/>
      <c r="AB1483" s="4"/>
      <c r="AC1483" s="4"/>
      <c r="AD1483" s="5"/>
      <c r="AE1483" s="5"/>
      <c r="AF1483" s="5"/>
      <c r="AG1483" s="5"/>
      <c r="AH1483" s="5"/>
      <c r="AI1483" s="5"/>
      <c r="AJ1483" s="5"/>
      <c r="AK1483" s="5"/>
      <c r="AL1483" s="5"/>
    </row>
    <row r="1484">
      <c r="A1484" s="4" t="str">
        <f>VLOOKUP(L1484,payment_ids!C:D,2,FALSE)</f>
        <v>pay_HNcgH5hZ6o0ns0</v>
      </c>
      <c r="B1484" s="4"/>
      <c r="C1484" s="4" t="s">
        <v>1133</v>
      </c>
      <c r="D1484" s="4">
        <v>49859.0</v>
      </c>
      <c r="E1484" s="5"/>
      <c r="F1484" s="4">
        <v>1.0</v>
      </c>
      <c r="G1484" s="4">
        <v>99.0</v>
      </c>
      <c r="H1484" s="4"/>
      <c r="I1484" s="4">
        <v>99.0</v>
      </c>
      <c r="J1484" s="4" t="s">
        <v>4772</v>
      </c>
      <c r="K1484" s="5">
        <f>+919943091828</f>
        <v>919943091828</v>
      </c>
      <c r="L1484" s="4" t="str">
        <f t="shared" si="1"/>
        <v>asbalan87@gmail.com919943091828</v>
      </c>
      <c r="M1484" s="10" t="s">
        <v>67</v>
      </c>
      <c r="N1484" s="4" t="b">
        <v>0</v>
      </c>
      <c r="O1484" s="4" t="str">
        <f>VLOOKUP(A1484,payment_ids!D:E,2,FALSE)</f>
        <v>upi</v>
      </c>
      <c r="P1484" s="4" t="s">
        <v>69</v>
      </c>
      <c r="Q1484" s="4" t="s">
        <v>4773</v>
      </c>
      <c r="R1484" s="4"/>
      <c r="S1484" s="12" t="s">
        <v>4736</v>
      </c>
      <c r="T1484" s="4" t="s">
        <v>2444</v>
      </c>
      <c r="U1484" s="4"/>
      <c r="V1484" s="4"/>
      <c r="W1484" s="5"/>
      <c r="X1484" s="4"/>
      <c r="Y1484" s="4"/>
      <c r="Z1484" s="5"/>
      <c r="AA1484" s="4"/>
      <c r="AB1484" s="4"/>
      <c r="AC1484" s="4"/>
      <c r="AD1484" s="5"/>
      <c r="AE1484" s="5"/>
      <c r="AF1484" s="5"/>
      <c r="AG1484" s="5"/>
      <c r="AH1484" s="5"/>
      <c r="AI1484" s="5"/>
      <c r="AJ1484" s="5"/>
      <c r="AK1484" s="5"/>
      <c r="AL1484" s="5"/>
    </row>
    <row r="1485">
      <c r="A1485" s="4" t="str">
        <f>VLOOKUP(L1485,payment_ids!C:D,2,FALSE)</f>
        <v>pay_HNqJd61XEvIBYz</v>
      </c>
      <c r="B1485" s="4"/>
      <c r="C1485" s="4" t="s">
        <v>1133</v>
      </c>
      <c r="D1485" s="4">
        <v>49859.0</v>
      </c>
      <c r="E1485" s="5"/>
      <c r="F1485" s="4">
        <v>1.0</v>
      </c>
      <c r="G1485" s="4">
        <v>99.0</v>
      </c>
      <c r="H1485" s="4"/>
      <c r="I1485" s="4">
        <v>99.0</v>
      </c>
      <c r="J1485" s="4" t="s">
        <v>4774</v>
      </c>
      <c r="K1485" s="5">
        <f>+919729969281</f>
        <v>919729969281</v>
      </c>
      <c r="L1485" s="4" t="str">
        <f t="shared" si="1"/>
        <v>komalch1409@gmail.com919729969281</v>
      </c>
      <c r="M1485" s="10" t="s">
        <v>67</v>
      </c>
      <c r="N1485" s="4" t="b">
        <v>0</v>
      </c>
      <c r="O1485" s="4" t="str">
        <f>VLOOKUP(A1485,payment_ids!D:E,2,FALSE)</f>
        <v>upi</v>
      </c>
      <c r="P1485" s="4" t="s">
        <v>69</v>
      </c>
      <c r="Q1485" s="4" t="s">
        <v>4775</v>
      </c>
      <c r="R1485" s="4"/>
      <c r="S1485" s="12" t="s">
        <v>4736</v>
      </c>
      <c r="T1485" s="4" t="s">
        <v>2444</v>
      </c>
      <c r="U1485" s="4"/>
      <c r="V1485" s="4"/>
      <c r="W1485" s="5"/>
      <c r="X1485" s="4"/>
      <c r="Y1485" s="4"/>
      <c r="Z1485" s="5"/>
      <c r="AA1485" s="4"/>
      <c r="AB1485" s="4"/>
      <c r="AC1485" s="4"/>
      <c r="AD1485" s="5"/>
      <c r="AE1485" s="5"/>
      <c r="AF1485" s="5"/>
      <c r="AG1485" s="5"/>
      <c r="AH1485" s="5"/>
      <c r="AI1485" s="5"/>
      <c r="AJ1485" s="5"/>
      <c r="AK1485" s="5"/>
      <c r="AL1485" s="5"/>
    </row>
    <row r="1486">
      <c r="A1486" s="4" t="str">
        <f>VLOOKUP(L1486,payment_ids!C:D,2,FALSE)</f>
        <v>pay_HNx0fKpu58XPxH</v>
      </c>
      <c r="B1486" s="4"/>
      <c r="C1486" s="4" t="s">
        <v>1133</v>
      </c>
      <c r="D1486" s="4">
        <v>49859.0</v>
      </c>
      <c r="E1486" s="5"/>
      <c r="F1486" s="4">
        <v>1.0</v>
      </c>
      <c r="G1486" s="4">
        <v>99.0</v>
      </c>
      <c r="H1486" s="4"/>
      <c r="I1486" s="4">
        <v>99.0</v>
      </c>
      <c r="J1486" s="4" t="s">
        <v>4776</v>
      </c>
      <c r="K1486" s="5">
        <f>+919030115326</f>
        <v>919030115326</v>
      </c>
      <c r="L1486" s="4" t="str">
        <f t="shared" si="1"/>
        <v>hbandaru.mss@gmail.com919030115326</v>
      </c>
      <c r="M1486" s="10" t="s">
        <v>67</v>
      </c>
      <c r="N1486" s="4" t="b">
        <v>0</v>
      </c>
      <c r="O1486" s="4" t="str">
        <f>VLOOKUP(A1486,payment_ids!D:E,2,FALSE)</f>
        <v>card</v>
      </c>
      <c r="P1486" s="4" t="s">
        <v>69</v>
      </c>
      <c r="Q1486" s="4" t="s">
        <v>4777</v>
      </c>
      <c r="R1486" s="4"/>
      <c r="S1486" s="12" t="s">
        <v>4741</v>
      </c>
      <c r="T1486" s="4" t="s">
        <v>2444</v>
      </c>
      <c r="U1486" s="4"/>
      <c r="V1486" s="4"/>
      <c r="W1486" s="5"/>
      <c r="X1486" s="4"/>
      <c r="Y1486" s="4"/>
      <c r="Z1486" s="5"/>
      <c r="AA1486" s="4"/>
      <c r="AB1486" s="4"/>
      <c r="AC1486" s="4"/>
      <c r="AD1486" s="5"/>
      <c r="AE1486" s="5"/>
      <c r="AF1486" s="5"/>
      <c r="AG1486" s="5"/>
      <c r="AH1486" s="5"/>
      <c r="AI1486" s="5"/>
      <c r="AJ1486" s="5"/>
      <c r="AK1486" s="5"/>
      <c r="AL1486" s="5"/>
    </row>
    <row r="1487">
      <c r="A1487" s="4" t="str">
        <f>VLOOKUP(L1487,payment_ids!C:D,2,FALSE)</f>
        <v>pay_HODDDtsEvp4cQf</v>
      </c>
      <c r="B1487" s="4"/>
      <c r="C1487" s="4" t="s">
        <v>1133</v>
      </c>
      <c r="D1487" s="4">
        <v>49859.0</v>
      </c>
      <c r="E1487" s="5"/>
      <c r="F1487" s="4">
        <v>1.0</v>
      </c>
      <c r="G1487" s="4">
        <v>99.0</v>
      </c>
      <c r="H1487" s="4"/>
      <c r="I1487" s="4">
        <v>99.0</v>
      </c>
      <c r="J1487" s="4" t="s">
        <v>4778</v>
      </c>
      <c r="K1487" s="5">
        <f>+916202238926</f>
        <v>916202238926</v>
      </c>
      <c r="L1487" s="4" t="str">
        <f t="shared" si="1"/>
        <v>kanhaiya15397@gmail.com916202238926</v>
      </c>
      <c r="M1487" s="10" t="s">
        <v>67</v>
      </c>
      <c r="N1487" s="4" t="b">
        <v>0</v>
      </c>
      <c r="O1487" s="4" t="str">
        <f>VLOOKUP(A1487,payment_ids!D:E,2,FALSE)</f>
        <v>upi</v>
      </c>
      <c r="P1487" s="4" t="s">
        <v>69</v>
      </c>
      <c r="Q1487" s="4" t="s">
        <v>3666</v>
      </c>
      <c r="R1487" s="4"/>
      <c r="S1487" s="12" t="s">
        <v>4736</v>
      </c>
      <c r="T1487" s="4" t="s">
        <v>2444</v>
      </c>
      <c r="U1487" s="4"/>
      <c r="V1487" s="4"/>
      <c r="W1487" s="5"/>
      <c r="X1487" s="4"/>
      <c r="Y1487" s="4"/>
      <c r="Z1487" s="5"/>
      <c r="AA1487" s="4"/>
      <c r="AB1487" s="4"/>
      <c r="AC1487" s="4"/>
      <c r="AD1487" s="5"/>
      <c r="AE1487" s="5"/>
      <c r="AF1487" s="5"/>
      <c r="AG1487" s="5"/>
      <c r="AH1487" s="5"/>
      <c r="AI1487" s="5"/>
      <c r="AJ1487" s="5"/>
      <c r="AK1487" s="5"/>
      <c r="AL1487" s="5"/>
    </row>
    <row r="1488">
      <c r="A1488" s="4" t="str">
        <f>VLOOKUP(L1488,payment_ids!C:D,2,FALSE)</f>
        <v>pay_HOWuyM95rEqTTn</v>
      </c>
      <c r="B1488" s="4"/>
      <c r="C1488" s="4" t="s">
        <v>1133</v>
      </c>
      <c r="D1488" s="4">
        <v>49859.0</v>
      </c>
      <c r="E1488" s="5"/>
      <c r="F1488" s="4">
        <v>1.0</v>
      </c>
      <c r="G1488" s="4">
        <v>99.0</v>
      </c>
      <c r="H1488" s="4"/>
      <c r="I1488" s="4">
        <v>99.0</v>
      </c>
      <c r="J1488" s="4" t="s">
        <v>4779</v>
      </c>
      <c r="K1488" s="5">
        <f>+918411988110</f>
        <v>918411988110</v>
      </c>
      <c r="L1488" s="4" t="str">
        <f t="shared" si="1"/>
        <v>pritiswarnkar@gmail.com918411988110</v>
      </c>
      <c r="M1488" s="10" t="s">
        <v>67</v>
      </c>
      <c r="N1488" s="4" t="b">
        <v>0</v>
      </c>
      <c r="O1488" s="4" t="str">
        <f>VLOOKUP(A1488,payment_ids!D:E,2,FALSE)</f>
        <v>upi</v>
      </c>
      <c r="P1488" s="4" t="s">
        <v>69</v>
      </c>
      <c r="Q1488" s="4" t="s">
        <v>4780</v>
      </c>
      <c r="R1488" s="4"/>
      <c r="S1488" s="12" t="s">
        <v>4736</v>
      </c>
      <c r="T1488" s="4" t="s">
        <v>2444</v>
      </c>
      <c r="U1488" s="4"/>
      <c r="V1488" s="4"/>
      <c r="W1488" s="5"/>
      <c r="X1488" s="4"/>
      <c r="Y1488" s="4"/>
      <c r="Z1488" s="5"/>
      <c r="AA1488" s="4"/>
      <c r="AB1488" s="4"/>
      <c r="AC1488" s="4"/>
      <c r="AD1488" s="5"/>
      <c r="AE1488" s="5"/>
      <c r="AF1488" s="5"/>
      <c r="AG1488" s="5"/>
      <c r="AH1488" s="5"/>
      <c r="AI1488" s="5"/>
      <c r="AJ1488" s="5"/>
      <c r="AK1488" s="5"/>
      <c r="AL1488" s="5"/>
    </row>
    <row r="1489">
      <c r="A1489" s="4" t="str">
        <f>VLOOKUP(L1489,payment_ids!C:D,2,FALSE)</f>
        <v>pay_HOa3dLO0zBKhSK</v>
      </c>
      <c r="B1489" s="4"/>
      <c r="C1489" s="4" t="s">
        <v>1133</v>
      </c>
      <c r="D1489" s="4">
        <v>49859.0</v>
      </c>
      <c r="E1489" s="5"/>
      <c r="F1489" s="4">
        <v>1.0</v>
      </c>
      <c r="G1489" s="4">
        <v>99.0</v>
      </c>
      <c r="H1489" s="4"/>
      <c r="I1489" s="4">
        <v>99.0</v>
      </c>
      <c r="J1489" s="4" t="s">
        <v>4781</v>
      </c>
      <c r="K1489" s="5">
        <f>+917997026835</f>
        <v>917997026835</v>
      </c>
      <c r="L1489" s="4" t="str">
        <f t="shared" si="1"/>
        <v>gedelak99@gmail.com917997026835</v>
      </c>
      <c r="M1489" s="10" t="s">
        <v>67</v>
      </c>
      <c r="N1489" s="4" t="b">
        <v>0</v>
      </c>
      <c r="O1489" s="4" t="str">
        <f>VLOOKUP(A1489,payment_ids!D:E,2,FALSE)</f>
        <v>upi</v>
      </c>
      <c r="P1489" s="4" t="s">
        <v>69</v>
      </c>
      <c r="Q1489" s="4" t="s">
        <v>4782</v>
      </c>
      <c r="R1489" s="4"/>
      <c r="S1489" s="12" t="s">
        <v>4736</v>
      </c>
      <c r="T1489" s="4" t="s">
        <v>2444</v>
      </c>
      <c r="U1489" s="4"/>
      <c r="V1489" s="4"/>
      <c r="W1489" s="5"/>
      <c r="X1489" s="4"/>
      <c r="Y1489" s="4"/>
      <c r="Z1489" s="5"/>
      <c r="AA1489" s="4"/>
      <c r="AB1489" s="4"/>
      <c r="AC1489" s="4"/>
      <c r="AD1489" s="5"/>
      <c r="AE1489" s="5"/>
      <c r="AF1489" s="5"/>
      <c r="AG1489" s="5"/>
      <c r="AH1489" s="5"/>
      <c r="AI1489" s="5"/>
      <c r="AJ1489" s="5"/>
      <c r="AK1489" s="5"/>
      <c r="AL1489" s="5"/>
    </row>
    <row r="1490">
      <c r="A1490" s="4" t="str">
        <f>VLOOKUP(L1490,payment_ids!C:D,2,FALSE)</f>
        <v>pay_HObxhfRNJuyhaU</v>
      </c>
      <c r="B1490" s="4"/>
      <c r="C1490" s="4" t="s">
        <v>1133</v>
      </c>
      <c r="D1490" s="4">
        <v>49859.0</v>
      </c>
      <c r="E1490" s="5"/>
      <c r="F1490" s="4">
        <v>1.0</v>
      </c>
      <c r="G1490" s="4">
        <v>99.0</v>
      </c>
      <c r="H1490" s="4"/>
      <c r="I1490" s="4">
        <v>99.0</v>
      </c>
      <c r="J1490" s="4" t="s">
        <v>4783</v>
      </c>
      <c r="K1490" s="5">
        <f>+917217626682</f>
        <v>917217626682</v>
      </c>
      <c r="L1490" s="4" t="str">
        <f t="shared" si="1"/>
        <v>ssidrah69@gmail.com917217626682</v>
      </c>
      <c r="M1490" s="10" t="s">
        <v>67</v>
      </c>
      <c r="N1490" s="4" t="b">
        <v>0</v>
      </c>
      <c r="O1490" s="4" t="str">
        <f>VLOOKUP(A1490,payment_ids!D:E,2,FALSE)</f>
        <v>upi</v>
      </c>
      <c r="P1490" s="4" t="s">
        <v>69</v>
      </c>
      <c r="Q1490" s="4" t="s">
        <v>4784</v>
      </c>
      <c r="R1490" s="4"/>
      <c r="S1490" s="12" t="s">
        <v>4736</v>
      </c>
      <c r="T1490" s="4" t="s">
        <v>2444</v>
      </c>
      <c r="U1490" s="4"/>
      <c r="V1490" s="4"/>
      <c r="W1490" s="5"/>
      <c r="X1490" s="4"/>
      <c r="Y1490" s="4"/>
      <c r="Z1490" s="5"/>
      <c r="AA1490" s="4"/>
      <c r="AB1490" s="4"/>
      <c r="AC1490" s="4"/>
      <c r="AD1490" s="5"/>
      <c r="AE1490" s="5"/>
      <c r="AF1490" s="5"/>
      <c r="AG1490" s="5"/>
      <c r="AH1490" s="5"/>
      <c r="AI1490" s="5"/>
      <c r="AJ1490" s="5"/>
      <c r="AK1490" s="5"/>
      <c r="AL1490" s="5"/>
    </row>
    <row r="1491">
      <c r="A1491" s="4" t="str">
        <f>VLOOKUP(L1491,payment_ids!C:D,2,FALSE)</f>
        <v>pay_HOcFBQ3aKBzVq3</v>
      </c>
      <c r="B1491" s="4"/>
      <c r="C1491" s="4" t="s">
        <v>1133</v>
      </c>
      <c r="D1491" s="4">
        <v>49859.0</v>
      </c>
      <c r="E1491" s="5"/>
      <c r="F1491" s="4">
        <v>1.0</v>
      </c>
      <c r="G1491" s="4">
        <v>99.0</v>
      </c>
      <c r="H1491" s="4"/>
      <c r="I1491" s="4">
        <v>99.0</v>
      </c>
      <c r="J1491" s="4" t="s">
        <v>4785</v>
      </c>
      <c r="K1491" s="5">
        <f>+919998745833</f>
        <v>919998745833</v>
      </c>
      <c r="L1491" s="4" t="str">
        <f t="shared" si="1"/>
        <v>mehta.sushir@gmail.com919998745833</v>
      </c>
      <c r="M1491" s="10" t="s">
        <v>67</v>
      </c>
      <c r="N1491" s="4" t="b">
        <v>0</v>
      </c>
      <c r="O1491" s="4" t="str">
        <f>VLOOKUP(A1491,payment_ids!D:E,2,FALSE)</f>
        <v>wallet</v>
      </c>
      <c r="P1491" s="4" t="s">
        <v>69</v>
      </c>
      <c r="Q1491" s="4" t="s">
        <v>4786</v>
      </c>
      <c r="R1491" s="4"/>
      <c r="S1491" s="12" t="s">
        <v>4736</v>
      </c>
      <c r="T1491" s="4" t="s">
        <v>2444</v>
      </c>
      <c r="U1491" s="4"/>
      <c r="V1491" s="4"/>
      <c r="W1491" s="5"/>
      <c r="X1491" s="4"/>
      <c r="Y1491" s="4"/>
      <c r="Z1491" s="5"/>
      <c r="AA1491" s="4"/>
      <c r="AB1491" s="4"/>
      <c r="AC1491" s="4"/>
      <c r="AD1491" s="5"/>
      <c r="AE1491" s="5"/>
      <c r="AF1491" s="5"/>
      <c r="AG1491" s="5"/>
      <c r="AH1491" s="5"/>
      <c r="AI1491" s="5"/>
      <c r="AJ1491" s="5"/>
      <c r="AK1491" s="5"/>
      <c r="AL1491" s="5"/>
    </row>
    <row r="1492">
      <c r="A1492" s="4" t="str">
        <f>VLOOKUP(L1492,payment_ids!C:D,2,FALSE)</f>
        <v>pay_HHEmQ78A8aXiTw</v>
      </c>
      <c r="B1492" s="4"/>
      <c r="C1492" s="4" t="s">
        <v>1133</v>
      </c>
      <c r="D1492" s="4">
        <v>49859.0</v>
      </c>
      <c r="E1492" s="5"/>
      <c r="F1492" s="4">
        <v>1.0</v>
      </c>
      <c r="G1492" s="4">
        <v>99.0</v>
      </c>
      <c r="H1492" s="4"/>
      <c r="I1492" s="4">
        <v>99.0</v>
      </c>
      <c r="J1492" s="4" t="s">
        <v>4714</v>
      </c>
      <c r="K1492" s="5">
        <f>+919834321467</f>
        <v>919834321467</v>
      </c>
      <c r="L1492" s="4" t="str">
        <f t="shared" si="1"/>
        <v>sheetal240024@gmail.com919834321467</v>
      </c>
      <c r="M1492" s="10" t="s">
        <v>67</v>
      </c>
      <c r="N1492" s="4" t="b">
        <v>0</v>
      </c>
      <c r="O1492" s="4" t="str">
        <f>VLOOKUP(A1492,payment_ids!D:E,2,FALSE)</f>
        <v>upi</v>
      </c>
      <c r="P1492" s="4" t="s">
        <v>69</v>
      </c>
      <c r="Q1492" s="4" t="s">
        <v>4787</v>
      </c>
      <c r="R1492" s="4"/>
      <c r="S1492" s="12" t="s">
        <v>4736</v>
      </c>
      <c r="T1492" s="4" t="s">
        <v>2444</v>
      </c>
      <c r="U1492" s="4"/>
      <c r="V1492" s="4"/>
      <c r="W1492" s="5"/>
      <c r="X1492" s="4"/>
      <c r="Y1492" s="4"/>
      <c r="Z1492" s="5"/>
      <c r="AA1492" s="4"/>
      <c r="AB1492" s="4"/>
      <c r="AC1492" s="4"/>
      <c r="AD1492" s="5"/>
      <c r="AE1492" s="5"/>
      <c r="AF1492" s="5"/>
      <c r="AG1492" s="5"/>
      <c r="AH1492" s="5"/>
      <c r="AI1492" s="5"/>
      <c r="AJ1492" s="5"/>
      <c r="AK1492" s="5"/>
      <c r="AL1492" s="5"/>
    </row>
    <row r="1493">
      <c r="A1493" s="4" t="str">
        <f>VLOOKUP(L1493,payment_ids!C:D,2,FALSE)</f>
        <v>pay_HPNmab0MU7SM7F</v>
      </c>
      <c r="B1493" s="4"/>
      <c r="C1493" s="4" t="s">
        <v>1133</v>
      </c>
      <c r="D1493" s="4">
        <v>49859.0</v>
      </c>
      <c r="E1493" s="5"/>
      <c r="F1493" s="4">
        <v>1.0</v>
      </c>
      <c r="G1493" s="4">
        <v>99.0</v>
      </c>
      <c r="H1493" s="4"/>
      <c r="I1493" s="4">
        <v>99.0</v>
      </c>
      <c r="J1493" s="4" t="s">
        <v>4788</v>
      </c>
      <c r="K1493" s="5">
        <f>+917838368183</f>
        <v>917838368183</v>
      </c>
      <c r="L1493" s="4" t="str">
        <f t="shared" si="1"/>
        <v>naveen.mhrod2012@gmail.com917838368183</v>
      </c>
      <c r="M1493" s="10" t="s">
        <v>67</v>
      </c>
      <c r="N1493" s="4" t="b">
        <v>0</v>
      </c>
      <c r="O1493" s="4" t="str">
        <f>VLOOKUP(A1493,payment_ids!D:E,2,FALSE)</f>
        <v>upi</v>
      </c>
      <c r="P1493" s="4" t="s">
        <v>69</v>
      </c>
      <c r="Q1493" s="4" t="s">
        <v>4789</v>
      </c>
      <c r="R1493" s="4"/>
      <c r="S1493" s="12" t="s">
        <v>4736</v>
      </c>
      <c r="T1493" s="4" t="s">
        <v>2444</v>
      </c>
      <c r="U1493" s="4"/>
      <c r="V1493" s="4"/>
      <c r="W1493" s="5"/>
      <c r="X1493" s="4"/>
      <c r="Y1493" s="4"/>
      <c r="Z1493" s="5"/>
      <c r="AA1493" s="4"/>
      <c r="AB1493" s="4"/>
      <c r="AC1493" s="4"/>
      <c r="AD1493" s="5"/>
      <c r="AE1493" s="5"/>
      <c r="AF1493" s="5"/>
      <c r="AG1493" s="5"/>
      <c r="AH1493" s="5"/>
      <c r="AI1493" s="5"/>
      <c r="AJ1493" s="5"/>
      <c r="AK1493" s="5"/>
      <c r="AL1493" s="5"/>
    </row>
    <row r="1494">
      <c r="A1494" s="4" t="str">
        <f>VLOOKUP(L1494,payment_ids!C:D,2,FALSE)</f>
        <v>pay_HPRkMaUH0WyHHa</v>
      </c>
      <c r="B1494" s="4"/>
      <c r="C1494" s="4" t="s">
        <v>1133</v>
      </c>
      <c r="D1494" s="4">
        <v>49859.0</v>
      </c>
      <c r="E1494" s="5"/>
      <c r="F1494" s="4">
        <v>1.0</v>
      </c>
      <c r="G1494" s="4">
        <v>99.0</v>
      </c>
      <c r="H1494" s="4"/>
      <c r="I1494" s="4">
        <v>99.0</v>
      </c>
      <c r="J1494" s="4" t="s">
        <v>4790</v>
      </c>
      <c r="K1494" s="5">
        <f>+918763577075</f>
        <v>918763577075</v>
      </c>
      <c r="L1494" s="4" t="str">
        <f t="shared" si="1"/>
        <v>pragatipatnaik29@gmail.com918763577075</v>
      </c>
      <c r="M1494" s="10" t="s">
        <v>67</v>
      </c>
      <c r="N1494" s="4" t="b">
        <v>0</v>
      </c>
      <c r="O1494" s="4" t="str">
        <f>VLOOKUP(A1494,payment_ids!D:E,2,FALSE)</f>
        <v>upi</v>
      </c>
      <c r="P1494" s="4" t="s">
        <v>69</v>
      </c>
      <c r="Q1494" s="4" t="s">
        <v>4791</v>
      </c>
      <c r="R1494" s="4"/>
      <c r="S1494" s="12" t="s">
        <v>4736</v>
      </c>
      <c r="T1494" s="4" t="s">
        <v>2444</v>
      </c>
      <c r="U1494" s="4"/>
      <c r="V1494" s="4"/>
      <c r="W1494" s="5"/>
      <c r="X1494" s="4"/>
      <c r="Y1494" s="4"/>
      <c r="Z1494" s="5"/>
      <c r="AA1494" s="4"/>
      <c r="AB1494" s="4"/>
      <c r="AC1494" s="4"/>
      <c r="AD1494" s="5"/>
      <c r="AE1494" s="5"/>
      <c r="AF1494" s="5"/>
      <c r="AG1494" s="5"/>
      <c r="AH1494" s="5"/>
      <c r="AI1494" s="5"/>
      <c r="AJ1494" s="5"/>
      <c r="AK1494" s="5"/>
      <c r="AL1494" s="5"/>
    </row>
    <row r="1495">
      <c r="A1495" s="4" t="str">
        <f>VLOOKUP(L1495,payment_ids!C:D,2,FALSE)</f>
        <v>pay_HPhJodTSoj2ZXW</v>
      </c>
      <c r="B1495" s="4"/>
      <c r="C1495" s="4" t="s">
        <v>1133</v>
      </c>
      <c r="D1495" s="4">
        <v>49859.0</v>
      </c>
      <c r="E1495" s="5"/>
      <c r="F1495" s="4">
        <v>1.0</v>
      </c>
      <c r="G1495" s="4">
        <v>99.0</v>
      </c>
      <c r="H1495" s="4"/>
      <c r="I1495" s="4">
        <v>99.0</v>
      </c>
      <c r="J1495" s="4" t="s">
        <v>4792</v>
      </c>
      <c r="K1495" s="5">
        <f>+919593264031</f>
        <v>919593264031</v>
      </c>
      <c r="L1495" s="4" t="str">
        <f t="shared" si="1"/>
        <v>ramizmustak@gmail.com919593264031</v>
      </c>
      <c r="M1495" s="10" t="s">
        <v>67</v>
      </c>
      <c r="N1495" s="4" t="b">
        <v>0</v>
      </c>
      <c r="O1495" s="4" t="str">
        <f>VLOOKUP(A1495,payment_ids!D:E,2,FALSE)</f>
        <v>upi</v>
      </c>
      <c r="P1495" s="4" t="s">
        <v>69</v>
      </c>
      <c r="Q1495" s="4" t="s">
        <v>4793</v>
      </c>
      <c r="R1495" s="4"/>
      <c r="S1495" s="12" t="s">
        <v>4736</v>
      </c>
      <c r="T1495" s="4" t="s">
        <v>2444</v>
      </c>
      <c r="U1495" s="4"/>
      <c r="V1495" s="4"/>
      <c r="W1495" s="5"/>
      <c r="X1495" s="4"/>
      <c r="Y1495" s="4"/>
      <c r="Z1495" s="5"/>
      <c r="AA1495" s="4"/>
      <c r="AB1495" s="4"/>
      <c r="AC1495" s="4"/>
      <c r="AD1495" s="5"/>
      <c r="AE1495" s="5"/>
      <c r="AF1495" s="5"/>
      <c r="AG1495" s="5"/>
      <c r="AH1495" s="5"/>
      <c r="AI1495" s="5"/>
      <c r="AJ1495" s="5"/>
      <c r="AK1495" s="5"/>
      <c r="AL1495" s="5"/>
    </row>
    <row r="1496">
      <c r="A1496" s="4" t="str">
        <f>VLOOKUP(L1496,payment_ids!C:D,2,FALSE)</f>
        <v>pay_HPk3ummdKqV9OX</v>
      </c>
      <c r="B1496" s="4"/>
      <c r="C1496" s="4" t="s">
        <v>1133</v>
      </c>
      <c r="D1496" s="4">
        <v>49859.0</v>
      </c>
      <c r="E1496" s="5"/>
      <c r="F1496" s="4">
        <v>1.0</v>
      </c>
      <c r="G1496" s="4">
        <v>99.0</v>
      </c>
      <c r="H1496" s="4"/>
      <c r="I1496" s="4">
        <v>99.0</v>
      </c>
      <c r="J1496" s="4" t="s">
        <v>4794</v>
      </c>
      <c r="K1496" s="5">
        <f>+919078097150</f>
        <v>919078097150</v>
      </c>
      <c r="L1496" s="4" t="str">
        <f t="shared" si="1"/>
        <v>sipu.biswal2k16@gmail.com919078097150</v>
      </c>
      <c r="M1496" s="10" t="s">
        <v>67</v>
      </c>
      <c r="N1496" s="4" t="b">
        <v>0</v>
      </c>
      <c r="O1496" s="4" t="str">
        <f>VLOOKUP(A1496,payment_ids!D:E,2,FALSE)</f>
        <v>upi</v>
      </c>
      <c r="P1496" s="4" t="s">
        <v>69</v>
      </c>
      <c r="Q1496" s="4" t="s">
        <v>4795</v>
      </c>
      <c r="R1496" s="4"/>
      <c r="S1496" s="12" t="s">
        <v>4736</v>
      </c>
      <c r="T1496" s="4" t="s">
        <v>2444</v>
      </c>
      <c r="U1496" s="4"/>
      <c r="V1496" s="4"/>
      <c r="W1496" s="5"/>
      <c r="X1496" s="4"/>
      <c r="Y1496" s="4"/>
      <c r="Z1496" s="5"/>
      <c r="AA1496" s="4"/>
      <c r="AB1496" s="4"/>
      <c r="AC1496" s="4"/>
      <c r="AD1496" s="5"/>
      <c r="AE1496" s="5"/>
      <c r="AF1496" s="5"/>
      <c r="AG1496" s="5"/>
      <c r="AH1496" s="5"/>
      <c r="AI1496" s="5"/>
      <c r="AJ1496" s="5"/>
      <c r="AK1496" s="5"/>
      <c r="AL1496" s="5"/>
    </row>
    <row r="1497">
      <c r="A1497" s="4" t="str">
        <f>VLOOKUP(L1497,payment_ids!C:D,2,FALSE)</f>
        <v>pay_HB0ONQIXOIfzB7</v>
      </c>
      <c r="B1497" s="4"/>
      <c r="C1497" s="4" t="s">
        <v>4796</v>
      </c>
      <c r="D1497" s="4">
        <v>49996.0</v>
      </c>
      <c r="E1497" s="4"/>
      <c r="F1497" s="4">
        <v>1.0</v>
      </c>
      <c r="G1497" s="4">
        <v>99.0</v>
      </c>
      <c r="H1497" s="4"/>
      <c r="I1497" s="4">
        <v>99.0</v>
      </c>
      <c r="J1497" s="4" t="s">
        <v>4797</v>
      </c>
      <c r="K1497" s="6">
        <f>+919701797790</f>
        <v>919701797790</v>
      </c>
      <c r="L1497" s="4" t="str">
        <f t="shared" si="1"/>
        <v>ppruthvi09@gmail.com919701797790</v>
      </c>
      <c r="M1497" s="10" t="s">
        <v>67</v>
      </c>
      <c r="N1497" s="4" t="b">
        <v>0</v>
      </c>
      <c r="O1497" s="4" t="str">
        <f>VLOOKUP(A1497,payment_ids!D:E,2,FALSE)</f>
        <v>upi</v>
      </c>
      <c r="P1497" s="4" t="s">
        <v>69</v>
      </c>
      <c r="Q1497" s="4" t="s">
        <v>4798</v>
      </c>
      <c r="R1497" s="4"/>
      <c r="S1497" s="12" t="s">
        <v>4799</v>
      </c>
      <c r="T1497" s="4"/>
      <c r="U1497" s="4"/>
      <c r="V1497" s="4"/>
      <c r="W1497" s="5"/>
      <c r="X1497" s="4"/>
      <c r="Y1497" s="4"/>
      <c r="Z1497" s="5"/>
      <c r="AA1497" s="4"/>
      <c r="AB1497" s="4"/>
      <c r="AC1497" s="4"/>
      <c r="AD1497" s="5"/>
      <c r="AE1497" s="5"/>
      <c r="AF1497" s="5"/>
      <c r="AG1497" s="5"/>
      <c r="AH1497" s="5"/>
      <c r="AI1497" s="5"/>
      <c r="AJ1497" s="5"/>
      <c r="AK1497" s="5"/>
      <c r="AL1497" s="5"/>
    </row>
    <row r="1498">
      <c r="A1498" s="4" t="str">
        <f>VLOOKUP(L1498,payment_ids!C:D,2,FALSE)</f>
        <v>pay_HBYRggreLa6cWE</v>
      </c>
      <c r="B1498" s="4"/>
      <c r="C1498" s="4" t="s">
        <v>4796</v>
      </c>
      <c r="D1498" s="4">
        <v>49996.0</v>
      </c>
      <c r="E1498" s="4"/>
      <c r="F1498" s="4">
        <v>1.0</v>
      </c>
      <c r="G1498" s="4">
        <v>99.0</v>
      </c>
      <c r="H1498" s="4"/>
      <c r="I1498" s="4">
        <v>99.0</v>
      </c>
      <c r="J1498" s="4" t="s">
        <v>4800</v>
      </c>
      <c r="K1498" s="6">
        <f>+919657703660</f>
        <v>919657703660</v>
      </c>
      <c r="L1498" s="4" t="str">
        <f t="shared" si="1"/>
        <v>atulbansilalpatil@yahoo.com919657703660</v>
      </c>
      <c r="M1498" s="10" t="s">
        <v>67</v>
      </c>
      <c r="N1498" s="4" t="b">
        <v>0</v>
      </c>
      <c r="O1498" s="4" t="str">
        <f>VLOOKUP(A1498,payment_ids!D:E,2,FALSE)</f>
        <v>upi</v>
      </c>
      <c r="P1498" s="4" t="s">
        <v>69</v>
      </c>
      <c r="Q1498" s="4" t="s">
        <v>4801</v>
      </c>
      <c r="R1498" s="4"/>
      <c r="S1498" s="12" t="s">
        <v>4799</v>
      </c>
      <c r="T1498" s="4"/>
      <c r="U1498" s="4"/>
      <c r="V1498" s="4"/>
      <c r="W1498" s="5"/>
      <c r="X1498" s="4"/>
      <c r="Y1498" s="4"/>
      <c r="Z1498" s="5"/>
      <c r="AA1498" s="4"/>
      <c r="AB1498" s="4"/>
      <c r="AC1498" s="4"/>
      <c r="AD1498" s="5"/>
      <c r="AE1498" s="5"/>
      <c r="AF1498" s="5"/>
      <c r="AG1498" s="5"/>
      <c r="AH1498" s="5"/>
      <c r="AI1498" s="5"/>
      <c r="AJ1498" s="5"/>
      <c r="AK1498" s="5"/>
      <c r="AL1498" s="5"/>
    </row>
    <row r="1499">
      <c r="A1499" s="4" t="str">
        <f>VLOOKUP(L1499,payment_ids!C:D,2,FALSE)</f>
        <v>pay_HBNRM8SRMt89JN</v>
      </c>
      <c r="B1499" s="4"/>
      <c r="C1499" s="4" t="s">
        <v>4796</v>
      </c>
      <c r="D1499" s="4">
        <v>49996.0</v>
      </c>
      <c r="E1499" s="4"/>
      <c r="F1499" s="4">
        <v>1.0</v>
      </c>
      <c r="G1499" s="4">
        <v>99.0</v>
      </c>
      <c r="H1499" s="4"/>
      <c r="I1499" s="4">
        <v>99.0</v>
      </c>
      <c r="J1499" s="4" t="s">
        <v>4802</v>
      </c>
      <c r="K1499" s="6">
        <f>+919444690098</f>
        <v>919444690098</v>
      </c>
      <c r="L1499" s="4" t="str">
        <f t="shared" si="1"/>
        <v>deepikajananibala@gmail.com919444690098</v>
      </c>
      <c r="M1499" s="10" t="s">
        <v>67</v>
      </c>
      <c r="N1499" s="4" t="b">
        <v>0</v>
      </c>
      <c r="O1499" s="4" t="str">
        <f>VLOOKUP(A1499,payment_ids!D:E,2,FALSE)</f>
        <v>upi</v>
      </c>
      <c r="P1499" s="4" t="s">
        <v>69</v>
      </c>
      <c r="Q1499" s="4" t="s">
        <v>4803</v>
      </c>
      <c r="R1499" s="4"/>
      <c r="S1499" s="12" t="s">
        <v>4799</v>
      </c>
      <c r="T1499" s="4"/>
      <c r="U1499" s="4"/>
      <c r="V1499" s="4"/>
      <c r="W1499" s="5"/>
      <c r="X1499" s="4"/>
      <c r="Y1499" s="4"/>
      <c r="Z1499" s="5"/>
      <c r="AA1499" s="4"/>
      <c r="AB1499" s="4"/>
      <c r="AC1499" s="4"/>
      <c r="AD1499" s="5"/>
      <c r="AE1499" s="5"/>
      <c r="AF1499" s="5"/>
      <c r="AG1499" s="5"/>
      <c r="AH1499" s="5"/>
      <c r="AI1499" s="5"/>
      <c r="AJ1499" s="5"/>
      <c r="AK1499" s="5"/>
      <c r="AL1499" s="5"/>
    </row>
    <row r="1500">
      <c r="A1500" s="4" t="str">
        <f>VLOOKUP(L1500,payment_ids!C:D,2,FALSE)</f>
        <v>pay_HBoG0OBUrgjD3g</v>
      </c>
      <c r="B1500" s="4"/>
      <c r="C1500" s="4" t="s">
        <v>4796</v>
      </c>
      <c r="D1500" s="4">
        <v>49996.0</v>
      </c>
      <c r="E1500" s="4"/>
      <c r="F1500" s="4">
        <v>1.0</v>
      </c>
      <c r="G1500" s="4">
        <v>99.0</v>
      </c>
      <c r="H1500" s="4"/>
      <c r="I1500" s="4">
        <v>99.0</v>
      </c>
      <c r="J1500" s="4" t="s">
        <v>4804</v>
      </c>
      <c r="K1500" s="6">
        <f>+919948774134</f>
        <v>919948774134</v>
      </c>
      <c r="L1500" s="4" t="str">
        <f t="shared" si="1"/>
        <v>santosmakam@gmail.com919948774134</v>
      </c>
      <c r="M1500" s="10" t="s">
        <v>67</v>
      </c>
      <c r="N1500" s="4" t="b">
        <v>0</v>
      </c>
      <c r="O1500" s="4" t="str">
        <f>VLOOKUP(A1500,payment_ids!D:E,2,FALSE)</f>
        <v>upi</v>
      </c>
      <c r="P1500" s="4" t="s">
        <v>69</v>
      </c>
      <c r="Q1500" s="4" t="s">
        <v>4805</v>
      </c>
      <c r="R1500" s="4"/>
      <c r="S1500" s="12" t="s">
        <v>4799</v>
      </c>
      <c r="T1500" s="4"/>
      <c r="U1500" s="4"/>
      <c r="V1500" s="4"/>
      <c r="W1500" s="5"/>
      <c r="X1500" s="4"/>
      <c r="Y1500" s="4"/>
      <c r="Z1500" s="5"/>
      <c r="AA1500" s="4"/>
      <c r="AB1500" s="4"/>
      <c r="AC1500" s="4"/>
      <c r="AD1500" s="5"/>
      <c r="AE1500" s="5"/>
      <c r="AF1500" s="5"/>
      <c r="AG1500" s="5"/>
      <c r="AH1500" s="5"/>
      <c r="AI1500" s="5"/>
      <c r="AJ1500" s="5"/>
      <c r="AK1500" s="5"/>
      <c r="AL1500" s="5"/>
    </row>
    <row r="1501">
      <c r="A1501" s="4" t="str">
        <f>VLOOKUP(L1501,payment_ids!C:D,2,FALSE)</f>
        <v>pay_HBlzrTM6MfqaGA</v>
      </c>
      <c r="B1501" s="4"/>
      <c r="C1501" s="4" t="s">
        <v>4796</v>
      </c>
      <c r="D1501" s="4">
        <v>49996.0</v>
      </c>
      <c r="E1501" s="4"/>
      <c r="F1501" s="4">
        <v>1.0</v>
      </c>
      <c r="G1501" s="4">
        <v>99.0</v>
      </c>
      <c r="H1501" s="4"/>
      <c r="I1501" s="4">
        <v>99.0</v>
      </c>
      <c r="J1501" s="4" t="s">
        <v>4806</v>
      </c>
      <c r="K1501" s="6">
        <f>+917405871754</f>
        <v>917405871754</v>
      </c>
      <c r="L1501" s="4" t="str">
        <f t="shared" si="1"/>
        <v>ktrsmart@gmail.com917405871754</v>
      </c>
      <c r="M1501" s="10" t="s">
        <v>67</v>
      </c>
      <c r="N1501" s="4" t="b">
        <v>0</v>
      </c>
      <c r="O1501" s="4" t="str">
        <f>VLOOKUP(A1501,payment_ids!D:E,2,FALSE)</f>
        <v>upi</v>
      </c>
      <c r="P1501" s="4" t="s">
        <v>69</v>
      </c>
      <c r="Q1501" s="4" t="s">
        <v>4807</v>
      </c>
      <c r="R1501" s="4"/>
      <c r="S1501" s="12" t="s">
        <v>4799</v>
      </c>
      <c r="T1501" s="4"/>
      <c r="U1501" s="4"/>
      <c r="V1501" s="4"/>
      <c r="W1501" s="5"/>
      <c r="X1501" s="4"/>
      <c r="Y1501" s="4"/>
      <c r="Z1501" s="5"/>
      <c r="AA1501" s="4"/>
      <c r="AB1501" s="4"/>
      <c r="AC1501" s="4"/>
      <c r="AD1501" s="5"/>
      <c r="AE1501" s="5"/>
      <c r="AF1501" s="5"/>
      <c r="AG1501" s="5"/>
      <c r="AH1501" s="5"/>
      <c r="AI1501" s="5"/>
      <c r="AJ1501" s="5"/>
      <c r="AK1501" s="5"/>
      <c r="AL1501" s="5"/>
    </row>
    <row r="1502">
      <c r="A1502" s="4" t="str">
        <f>VLOOKUP(L1502,payment_ids!C:D,2,FALSE)</f>
        <v>pay_HC3amxjeqc49CP</v>
      </c>
      <c r="B1502" s="4"/>
      <c r="C1502" s="4" t="s">
        <v>4796</v>
      </c>
      <c r="D1502" s="4">
        <v>49996.0</v>
      </c>
      <c r="E1502" s="4"/>
      <c r="F1502" s="4">
        <v>1.0</v>
      </c>
      <c r="G1502" s="4">
        <v>99.0</v>
      </c>
      <c r="H1502" s="4"/>
      <c r="I1502" s="4">
        <v>99.0</v>
      </c>
      <c r="J1502" s="4" t="s">
        <v>4808</v>
      </c>
      <c r="K1502" s="6">
        <f>+919814812512</f>
        <v>919814812512</v>
      </c>
      <c r="L1502" s="4" t="str">
        <f t="shared" si="1"/>
        <v>paramhdfc@yahoo.com919814812512</v>
      </c>
      <c r="M1502" s="10" t="s">
        <v>67</v>
      </c>
      <c r="N1502" s="4" t="b">
        <v>0</v>
      </c>
      <c r="O1502" s="4" t="str">
        <f>VLOOKUP(A1502,payment_ids!D:E,2,FALSE)</f>
        <v>wallet</v>
      </c>
      <c r="P1502" s="4" t="s">
        <v>69</v>
      </c>
      <c r="Q1502" s="4" t="s">
        <v>4809</v>
      </c>
      <c r="R1502" s="4"/>
      <c r="S1502" s="12" t="s">
        <v>4799</v>
      </c>
      <c r="T1502" s="4"/>
      <c r="U1502" s="4"/>
      <c r="V1502" s="4"/>
      <c r="W1502" s="5"/>
      <c r="X1502" s="4"/>
      <c r="Y1502" s="4"/>
      <c r="Z1502" s="5"/>
      <c r="AA1502" s="4"/>
      <c r="AB1502" s="4"/>
      <c r="AC1502" s="4"/>
      <c r="AD1502" s="5"/>
      <c r="AE1502" s="5"/>
      <c r="AF1502" s="5"/>
      <c r="AG1502" s="5"/>
      <c r="AH1502" s="5"/>
      <c r="AI1502" s="5"/>
      <c r="AJ1502" s="5"/>
      <c r="AK1502" s="5"/>
      <c r="AL1502" s="5"/>
    </row>
    <row r="1503">
      <c r="A1503" s="4" t="str">
        <f>VLOOKUP(L1503,payment_ids!C:D,2,FALSE)</f>
        <v>pay_HCFrlmm84gvFWW</v>
      </c>
      <c r="B1503" s="4"/>
      <c r="C1503" s="4" t="s">
        <v>4796</v>
      </c>
      <c r="D1503" s="4">
        <v>49996.0</v>
      </c>
      <c r="E1503" s="4"/>
      <c r="F1503" s="4">
        <v>1.0</v>
      </c>
      <c r="G1503" s="4">
        <v>99.0</v>
      </c>
      <c r="H1503" s="4"/>
      <c r="I1503" s="4">
        <v>99.0</v>
      </c>
      <c r="J1503" s="4" t="s">
        <v>4810</v>
      </c>
      <c r="K1503" s="6">
        <f>+919769472787</f>
        <v>919769472787</v>
      </c>
      <c r="L1503" s="4" t="str">
        <f t="shared" si="1"/>
        <v>sylvester.kunder@gmail.com919769472787</v>
      </c>
      <c r="M1503" s="10" t="s">
        <v>67</v>
      </c>
      <c r="N1503" s="4" t="b">
        <v>0</v>
      </c>
      <c r="O1503" s="4" t="str">
        <f>VLOOKUP(A1503,payment_ids!D:E,2,FALSE)</f>
        <v>upi</v>
      </c>
      <c r="P1503" s="4" t="s">
        <v>69</v>
      </c>
      <c r="Q1503" s="4" t="s">
        <v>4811</v>
      </c>
      <c r="R1503" s="4"/>
      <c r="S1503" s="12" t="s">
        <v>4799</v>
      </c>
      <c r="T1503" s="4"/>
      <c r="U1503" s="4"/>
      <c r="V1503" s="4"/>
      <c r="W1503" s="5"/>
      <c r="X1503" s="4"/>
      <c r="Y1503" s="4"/>
      <c r="Z1503" s="5"/>
      <c r="AA1503" s="4"/>
      <c r="AB1503" s="4"/>
      <c r="AC1503" s="4"/>
      <c r="AD1503" s="5"/>
      <c r="AE1503" s="5"/>
      <c r="AF1503" s="5"/>
      <c r="AG1503" s="5"/>
      <c r="AH1503" s="5"/>
      <c r="AI1503" s="5"/>
      <c r="AJ1503" s="5"/>
      <c r="AK1503" s="5"/>
      <c r="AL1503" s="5"/>
    </row>
    <row r="1504">
      <c r="A1504" s="4" t="str">
        <f>VLOOKUP(L1504,payment_ids!C:D,2,FALSE)</f>
        <v>pay_HD15fmupcGSfhC</v>
      </c>
      <c r="B1504" s="4"/>
      <c r="C1504" s="4" t="s">
        <v>4796</v>
      </c>
      <c r="D1504" s="4">
        <v>49996.0</v>
      </c>
      <c r="E1504" s="4"/>
      <c r="F1504" s="4">
        <v>3.0</v>
      </c>
      <c r="G1504" s="4">
        <v>199.0</v>
      </c>
      <c r="H1504" s="4"/>
      <c r="I1504" s="4">
        <v>199.0</v>
      </c>
      <c r="J1504" s="4" t="s">
        <v>4812</v>
      </c>
      <c r="K1504" s="6">
        <f>+919579765697</f>
        <v>919579765697</v>
      </c>
      <c r="L1504" s="4" t="str">
        <f t="shared" si="1"/>
        <v>priyankabaravkar1086@gmail.com919579765697</v>
      </c>
      <c r="M1504" s="10" t="s">
        <v>67</v>
      </c>
      <c r="N1504" s="4" t="b">
        <v>0</v>
      </c>
      <c r="O1504" s="4" t="str">
        <f>VLOOKUP(A1504,payment_ids!D:E,2,FALSE)</f>
        <v>upi</v>
      </c>
      <c r="P1504" s="4" t="s">
        <v>69</v>
      </c>
      <c r="Q1504" s="4" t="s">
        <v>4813</v>
      </c>
      <c r="R1504" s="4"/>
      <c r="S1504" s="12" t="s">
        <v>4799</v>
      </c>
      <c r="T1504" s="4"/>
      <c r="U1504" s="4"/>
      <c r="V1504" s="4"/>
      <c r="W1504" s="5"/>
      <c r="X1504" s="4"/>
      <c r="Y1504" s="4"/>
      <c r="Z1504" s="5"/>
      <c r="AA1504" s="4"/>
      <c r="AB1504" s="4"/>
      <c r="AC1504" s="4"/>
      <c r="AD1504" s="5"/>
      <c r="AE1504" s="5"/>
      <c r="AF1504" s="5"/>
      <c r="AG1504" s="5"/>
      <c r="AH1504" s="5"/>
      <c r="AI1504" s="5"/>
      <c r="AJ1504" s="5"/>
      <c r="AK1504" s="5"/>
      <c r="AL1504" s="5"/>
    </row>
    <row r="1505">
      <c r="A1505" s="4" t="str">
        <f>VLOOKUP(L1505,payment_ids!C:D,2,FALSE)</f>
        <v>pay_HDfpSKdcrHr7Ic</v>
      </c>
      <c r="B1505" s="4"/>
      <c r="C1505" s="4" t="s">
        <v>4796</v>
      </c>
      <c r="D1505" s="4">
        <v>49996.0</v>
      </c>
      <c r="E1505" s="4"/>
      <c r="F1505" s="4">
        <v>1.0</v>
      </c>
      <c r="G1505" s="4">
        <v>99.0</v>
      </c>
      <c r="H1505" s="4"/>
      <c r="I1505" s="4">
        <v>99.0</v>
      </c>
      <c r="J1505" s="4" t="s">
        <v>4814</v>
      </c>
      <c r="K1505" s="6">
        <f>+917798926894</f>
        <v>917798926894</v>
      </c>
      <c r="L1505" s="4" t="str">
        <f t="shared" si="1"/>
        <v>ruchira.klki16@gmail.com917798926894</v>
      </c>
      <c r="M1505" s="10" t="s">
        <v>67</v>
      </c>
      <c r="N1505" s="4" t="b">
        <v>0</v>
      </c>
      <c r="O1505" s="4" t="str">
        <f>VLOOKUP(A1505,payment_ids!D:E,2,FALSE)</f>
        <v>upi</v>
      </c>
      <c r="P1505" s="4" t="s">
        <v>69</v>
      </c>
      <c r="Q1505" s="4" t="s">
        <v>4815</v>
      </c>
      <c r="R1505" s="4"/>
      <c r="S1505" s="12" t="s">
        <v>4799</v>
      </c>
      <c r="T1505" s="4"/>
      <c r="U1505" s="4"/>
      <c r="V1505" s="4"/>
      <c r="W1505" s="5"/>
      <c r="X1505" s="4"/>
      <c r="Y1505" s="4"/>
      <c r="Z1505" s="5"/>
      <c r="AA1505" s="4"/>
      <c r="AB1505" s="4"/>
      <c r="AC1505" s="4"/>
      <c r="AD1505" s="5"/>
      <c r="AE1505" s="5"/>
      <c r="AF1505" s="5"/>
      <c r="AG1505" s="5"/>
      <c r="AH1505" s="5"/>
      <c r="AI1505" s="5"/>
      <c r="AJ1505" s="5"/>
      <c r="AK1505" s="5"/>
      <c r="AL1505" s="5"/>
    </row>
    <row r="1506">
      <c r="A1506" s="4" t="str">
        <f>VLOOKUP(L1506,payment_ids!C:D,2,FALSE)</f>
        <v>pay_HDnKHIRDpJBcXV</v>
      </c>
      <c r="B1506" s="4"/>
      <c r="C1506" s="4" t="s">
        <v>4796</v>
      </c>
      <c r="D1506" s="4">
        <v>49996.0</v>
      </c>
      <c r="E1506" s="4"/>
      <c r="F1506" s="4">
        <v>1.0</v>
      </c>
      <c r="G1506" s="4">
        <v>99.0</v>
      </c>
      <c r="H1506" s="4"/>
      <c r="I1506" s="4">
        <v>99.0</v>
      </c>
      <c r="J1506" s="4" t="s">
        <v>4816</v>
      </c>
      <c r="K1506" s="6">
        <f>+917011496396</f>
        <v>917011496396</v>
      </c>
      <c r="L1506" s="4" t="str">
        <f t="shared" si="1"/>
        <v>eenaarora07@gmail.com917011496396</v>
      </c>
      <c r="M1506" s="10" t="s">
        <v>67</v>
      </c>
      <c r="N1506" s="4" t="b">
        <v>0</v>
      </c>
      <c r="O1506" s="4" t="str">
        <f>VLOOKUP(A1506,payment_ids!D:E,2,FALSE)</f>
        <v>upi</v>
      </c>
      <c r="P1506" s="4" t="s">
        <v>69</v>
      </c>
      <c r="Q1506" s="4" t="s">
        <v>4817</v>
      </c>
      <c r="R1506" s="4"/>
      <c r="S1506" s="12" t="s">
        <v>4799</v>
      </c>
      <c r="T1506" s="4"/>
      <c r="U1506" s="4"/>
      <c r="V1506" s="4"/>
      <c r="W1506" s="5"/>
      <c r="X1506" s="4"/>
      <c r="Y1506" s="4"/>
      <c r="Z1506" s="5"/>
      <c r="AA1506" s="4"/>
      <c r="AB1506" s="4"/>
      <c r="AC1506" s="4"/>
      <c r="AD1506" s="5"/>
      <c r="AE1506" s="5"/>
      <c r="AF1506" s="5"/>
      <c r="AG1506" s="5"/>
      <c r="AH1506" s="5"/>
      <c r="AI1506" s="5"/>
      <c r="AJ1506" s="5"/>
      <c r="AK1506" s="5"/>
      <c r="AL1506" s="5"/>
    </row>
    <row r="1507">
      <c r="A1507" s="4" t="str">
        <f>VLOOKUP(L1507,payment_ids!C:D,2,FALSE)</f>
        <v>pay_HE70LFXvqzNsPg</v>
      </c>
      <c r="B1507" s="4"/>
      <c r="C1507" s="4" t="s">
        <v>4796</v>
      </c>
      <c r="D1507" s="4">
        <v>49996.0</v>
      </c>
      <c r="E1507" s="4"/>
      <c r="F1507" s="4">
        <v>1.0</v>
      </c>
      <c r="G1507" s="4">
        <v>99.0</v>
      </c>
      <c r="H1507" s="4"/>
      <c r="I1507" s="4">
        <v>99.0</v>
      </c>
      <c r="J1507" s="4" t="s">
        <v>4818</v>
      </c>
      <c r="K1507" s="6">
        <f>+919971885672</f>
        <v>919971885672</v>
      </c>
      <c r="L1507" s="4" t="str">
        <f t="shared" si="1"/>
        <v>vohrag19@gmail.com919971885672</v>
      </c>
      <c r="M1507" s="10" t="s">
        <v>67</v>
      </c>
      <c r="N1507" s="4" t="b">
        <v>0</v>
      </c>
      <c r="O1507" s="4" t="str">
        <f>VLOOKUP(A1507,payment_ids!D:E,2,FALSE)</f>
        <v>upi</v>
      </c>
      <c r="P1507" s="4" t="s">
        <v>69</v>
      </c>
      <c r="Q1507" s="4" t="s">
        <v>4819</v>
      </c>
      <c r="R1507" s="4"/>
      <c r="S1507" s="12" t="s">
        <v>4799</v>
      </c>
      <c r="T1507" s="4"/>
      <c r="U1507" s="4"/>
      <c r="V1507" s="4"/>
      <c r="W1507" s="5"/>
      <c r="X1507" s="4"/>
      <c r="Y1507" s="4"/>
      <c r="Z1507" s="5"/>
      <c r="AA1507" s="4"/>
      <c r="AB1507" s="4"/>
      <c r="AC1507" s="4"/>
      <c r="AD1507" s="5"/>
      <c r="AE1507" s="5"/>
      <c r="AF1507" s="5"/>
      <c r="AG1507" s="5"/>
      <c r="AH1507" s="5"/>
      <c r="AI1507" s="5"/>
      <c r="AJ1507" s="5"/>
      <c r="AK1507" s="5"/>
      <c r="AL1507" s="5"/>
    </row>
    <row r="1508">
      <c r="A1508" s="4" t="str">
        <f>VLOOKUP(L1508,payment_ids!C:D,2,FALSE)</f>
        <v>pay_HE8r1WxmbFgDP0</v>
      </c>
      <c r="B1508" s="4"/>
      <c r="C1508" s="4" t="s">
        <v>4796</v>
      </c>
      <c r="D1508" s="4">
        <v>49996.0</v>
      </c>
      <c r="E1508" s="4"/>
      <c r="F1508" s="4">
        <v>1.0</v>
      </c>
      <c r="G1508" s="4">
        <v>99.0</v>
      </c>
      <c r="H1508" s="4"/>
      <c r="I1508" s="4">
        <v>99.0</v>
      </c>
      <c r="J1508" s="4" t="s">
        <v>4820</v>
      </c>
      <c r="K1508" s="6">
        <f>+919555504027</f>
        <v>919555504027</v>
      </c>
      <c r="L1508" s="4" t="str">
        <f t="shared" si="1"/>
        <v>vijaygupta701@gmail.com919555504027</v>
      </c>
      <c r="M1508" s="10" t="s">
        <v>67</v>
      </c>
      <c r="N1508" s="4" t="b">
        <v>0</v>
      </c>
      <c r="O1508" s="4" t="str">
        <f>VLOOKUP(A1508,payment_ids!D:E,2,FALSE)</f>
        <v>upi</v>
      </c>
      <c r="P1508" s="4" t="s">
        <v>69</v>
      </c>
      <c r="Q1508" s="4" t="s">
        <v>4821</v>
      </c>
      <c r="R1508" s="4"/>
      <c r="S1508" s="12" t="s">
        <v>4799</v>
      </c>
      <c r="T1508" s="4"/>
      <c r="U1508" s="4"/>
      <c r="V1508" s="4"/>
      <c r="W1508" s="5"/>
      <c r="X1508" s="4"/>
      <c r="Y1508" s="4"/>
      <c r="Z1508" s="5"/>
      <c r="AA1508" s="4"/>
      <c r="AB1508" s="4"/>
      <c r="AC1508" s="4"/>
      <c r="AD1508" s="5"/>
      <c r="AE1508" s="5"/>
      <c r="AF1508" s="5"/>
      <c r="AG1508" s="5"/>
      <c r="AH1508" s="5"/>
      <c r="AI1508" s="5"/>
      <c r="AJ1508" s="5"/>
      <c r="AK1508" s="5"/>
      <c r="AL1508" s="5"/>
    </row>
    <row r="1509">
      <c r="A1509" s="4" t="str">
        <f>VLOOKUP(L1509,payment_ids!C:D,2,FALSE)</f>
        <v>pay_HEVvCXhL451Y3V</v>
      </c>
      <c r="B1509" s="4"/>
      <c r="C1509" s="4" t="s">
        <v>4796</v>
      </c>
      <c r="D1509" s="4">
        <v>49996.0</v>
      </c>
      <c r="E1509" s="4"/>
      <c r="F1509" s="4">
        <v>1.0</v>
      </c>
      <c r="G1509" s="4">
        <v>99.0</v>
      </c>
      <c r="H1509" s="4"/>
      <c r="I1509" s="4">
        <v>99.0</v>
      </c>
      <c r="J1509" s="4" t="s">
        <v>4822</v>
      </c>
      <c r="K1509" s="6">
        <f>+919834943011</f>
        <v>919834943011</v>
      </c>
      <c r="L1509" s="4" t="str">
        <f t="shared" si="1"/>
        <v>mahimagupta733@gmail.com919834943011</v>
      </c>
      <c r="M1509" s="10" t="s">
        <v>67</v>
      </c>
      <c r="N1509" s="4" t="b">
        <v>0</v>
      </c>
      <c r="O1509" s="4" t="str">
        <f>VLOOKUP(A1509,payment_ids!D:E,2,FALSE)</f>
        <v>upi</v>
      </c>
      <c r="P1509" s="4" t="s">
        <v>69</v>
      </c>
      <c r="Q1509" s="4" t="s">
        <v>4823</v>
      </c>
      <c r="R1509" s="4"/>
      <c r="S1509" s="12" t="s">
        <v>4799</v>
      </c>
      <c r="T1509" s="4"/>
      <c r="U1509" s="4"/>
      <c r="V1509" s="4"/>
      <c r="W1509" s="5"/>
      <c r="X1509" s="4"/>
      <c r="Y1509" s="4"/>
      <c r="Z1509" s="5"/>
      <c r="AA1509" s="4"/>
      <c r="AB1509" s="4"/>
      <c r="AC1509" s="4"/>
      <c r="AD1509" s="5"/>
      <c r="AE1509" s="5"/>
      <c r="AF1509" s="5"/>
      <c r="AG1509" s="5"/>
      <c r="AH1509" s="5"/>
      <c r="AI1509" s="5"/>
      <c r="AJ1509" s="5"/>
      <c r="AK1509" s="5"/>
      <c r="AL1509" s="5"/>
    </row>
    <row r="1510">
      <c r="A1510" s="4" t="str">
        <f>VLOOKUP(L1510,payment_ids!C:D,2,FALSE)</f>
        <v>pay_HEtLt6plgSXNQe</v>
      </c>
      <c r="B1510" s="4"/>
      <c r="C1510" s="4" t="s">
        <v>4796</v>
      </c>
      <c r="D1510" s="4">
        <v>49996.0</v>
      </c>
      <c r="E1510" s="4"/>
      <c r="F1510" s="4">
        <v>1.0</v>
      </c>
      <c r="G1510" s="4">
        <v>99.0</v>
      </c>
      <c r="H1510" s="4"/>
      <c r="I1510" s="4">
        <v>99.0</v>
      </c>
      <c r="J1510" s="4" t="s">
        <v>4824</v>
      </c>
      <c r="K1510" s="6">
        <f>+919168249474</f>
        <v>919168249474</v>
      </c>
      <c r="L1510" s="4" t="str">
        <f t="shared" si="1"/>
        <v>mouryaa.vijayy2012@gmail.com919168249474</v>
      </c>
      <c r="M1510" s="10" t="s">
        <v>67</v>
      </c>
      <c r="N1510" s="4" t="b">
        <v>0</v>
      </c>
      <c r="O1510" s="4" t="str">
        <f>VLOOKUP(A1510,payment_ids!D:E,2,FALSE)</f>
        <v>upi</v>
      </c>
      <c r="P1510" s="4" t="s">
        <v>69</v>
      </c>
      <c r="Q1510" s="4" t="s">
        <v>4090</v>
      </c>
      <c r="R1510" s="4"/>
      <c r="S1510" s="12" t="s">
        <v>4799</v>
      </c>
      <c r="T1510" s="4"/>
      <c r="U1510" s="4"/>
      <c r="V1510" s="4"/>
      <c r="W1510" s="5"/>
      <c r="X1510" s="4"/>
      <c r="Y1510" s="4"/>
      <c r="Z1510" s="5"/>
      <c r="AA1510" s="4"/>
      <c r="AB1510" s="4"/>
      <c r="AC1510" s="4"/>
      <c r="AD1510" s="5"/>
      <c r="AE1510" s="5"/>
      <c r="AF1510" s="5"/>
      <c r="AG1510" s="5"/>
      <c r="AH1510" s="5"/>
      <c r="AI1510" s="5"/>
      <c r="AJ1510" s="5"/>
      <c r="AK1510" s="5"/>
      <c r="AL1510" s="5"/>
    </row>
    <row r="1511">
      <c r="A1511" s="4" t="str">
        <f>VLOOKUP(L1511,payment_ids!C:D,2,FALSE)</f>
        <v>pay_HF1odOgzOljNPi</v>
      </c>
      <c r="B1511" s="4"/>
      <c r="C1511" s="4" t="s">
        <v>4796</v>
      </c>
      <c r="D1511" s="4">
        <v>49996.0</v>
      </c>
      <c r="E1511" s="4"/>
      <c r="F1511" s="4">
        <v>3.0</v>
      </c>
      <c r="G1511" s="4">
        <v>199.0</v>
      </c>
      <c r="H1511" s="4"/>
      <c r="I1511" s="4">
        <v>199.0</v>
      </c>
      <c r="J1511" s="4" t="s">
        <v>4825</v>
      </c>
      <c r="K1511" s="6">
        <f>+919944618375</f>
        <v>919944618375</v>
      </c>
      <c r="L1511" s="4" t="str">
        <f t="shared" si="1"/>
        <v>du07rga@gmail.com919944618375</v>
      </c>
      <c r="M1511" s="10" t="s">
        <v>67</v>
      </c>
      <c r="N1511" s="4" t="b">
        <v>0</v>
      </c>
      <c r="O1511" s="4" t="str">
        <f>VLOOKUP(A1511,payment_ids!D:E,2,FALSE)</f>
        <v>upi</v>
      </c>
      <c r="P1511" s="4" t="s">
        <v>69</v>
      </c>
      <c r="Q1511" s="4" t="s">
        <v>4826</v>
      </c>
      <c r="R1511" s="4"/>
      <c r="S1511" s="12" t="s">
        <v>4799</v>
      </c>
      <c r="T1511" s="4"/>
      <c r="U1511" s="4"/>
      <c r="V1511" s="4"/>
      <c r="W1511" s="5"/>
      <c r="X1511" s="4"/>
      <c r="Y1511" s="4"/>
      <c r="Z1511" s="5"/>
      <c r="AA1511" s="4"/>
      <c r="AB1511" s="4"/>
      <c r="AC1511" s="4"/>
      <c r="AD1511" s="5"/>
      <c r="AE1511" s="5"/>
      <c r="AF1511" s="5"/>
      <c r="AG1511" s="5"/>
      <c r="AH1511" s="5"/>
      <c r="AI1511" s="5"/>
      <c r="AJ1511" s="5"/>
      <c r="AK1511" s="5"/>
      <c r="AL1511" s="5"/>
    </row>
    <row r="1512">
      <c r="A1512" s="4" t="str">
        <f>VLOOKUP(L1512,payment_ids!C:D,2,FALSE)</f>
        <v>pay_HG8tuJTwjvYZBZ</v>
      </c>
      <c r="B1512" s="4"/>
      <c r="C1512" s="4" t="s">
        <v>4796</v>
      </c>
      <c r="D1512" s="4">
        <v>49996.0</v>
      </c>
      <c r="E1512" s="5"/>
      <c r="F1512" s="4">
        <v>1.0</v>
      </c>
      <c r="G1512" s="4">
        <v>99.0</v>
      </c>
      <c r="H1512" s="4"/>
      <c r="I1512" s="4">
        <v>99.0</v>
      </c>
      <c r="J1512" s="4" t="s">
        <v>4827</v>
      </c>
      <c r="K1512" s="5">
        <f>+919619986324</f>
        <v>919619986324</v>
      </c>
      <c r="L1512" s="4" t="str">
        <f t="shared" si="1"/>
        <v>prajaktasbarve@gmail.com919619986324</v>
      </c>
      <c r="M1512" s="10" t="s">
        <v>67</v>
      </c>
      <c r="N1512" s="4" t="b">
        <v>0</v>
      </c>
      <c r="O1512" s="4" t="str">
        <f>VLOOKUP(A1512,payment_ids!D:E,2,FALSE)</f>
        <v>upi</v>
      </c>
      <c r="P1512" s="4" t="s">
        <v>69</v>
      </c>
      <c r="Q1512" s="4" t="s">
        <v>4828</v>
      </c>
      <c r="R1512" s="4"/>
      <c r="S1512" s="12" t="s">
        <v>4799</v>
      </c>
      <c r="T1512" s="5"/>
      <c r="U1512" s="4"/>
      <c r="V1512" s="4"/>
      <c r="W1512" s="5"/>
      <c r="X1512" s="4"/>
      <c r="Y1512" s="4"/>
      <c r="Z1512" s="5"/>
      <c r="AA1512" s="4"/>
      <c r="AB1512" s="4"/>
      <c r="AC1512" s="4"/>
      <c r="AD1512" s="5"/>
      <c r="AE1512" s="5"/>
      <c r="AF1512" s="5"/>
      <c r="AG1512" s="5"/>
      <c r="AH1512" s="5"/>
      <c r="AI1512" s="5"/>
      <c r="AJ1512" s="5"/>
      <c r="AK1512" s="5"/>
      <c r="AL1512" s="5"/>
    </row>
    <row r="1513">
      <c r="A1513" s="4" t="str">
        <f>VLOOKUP(L1513,payment_ids!C:D,2,FALSE)</f>
        <v>pay_HGClaC4qgzxhvO</v>
      </c>
      <c r="B1513" s="4"/>
      <c r="C1513" s="4" t="s">
        <v>4796</v>
      </c>
      <c r="D1513" s="4">
        <v>49996.0</v>
      </c>
      <c r="E1513" s="5"/>
      <c r="F1513" s="4">
        <v>3.0</v>
      </c>
      <c r="G1513" s="4">
        <v>199.0</v>
      </c>
      <c r="H1513" s="4"/>
      <c r="I1513" s="4">
        <v>199.0</v>
      </c>
      <c r="J1513" s="4" t="s">
        <v>4829</v>
      </c>
      <c r="K1513" s="5">
        <f>+919600828607</f>
        <v>919600828607</v>
      </c>
      <c r="L1513" s="4" t="str">
        <f t="shared" si="1"/>
        <v>chitra7588@gmail.com919600828607</v>
      </c>
      <c r="M1513" s="10" t="s">
        <v>67</v>
      </c>
      <c r="N1513" s="4" t="b">
        <v>0</v>
      </c>
      <c r="O1513" s="4" t="str">
        <f>VLOOKUP(A1513,payment_ids!D:E,2,FALSE)</f>
        <v>upi</v>
      </c>
      <c r="P1513" s="4" t="s">
        <v>69</v>
      </c>
      <c r="Q1513" s="4" t="s">
        <v>4830</v>
      </c>
      <c r="R1513" s="4"/>
      <c r="S1513" s="12" t="s">
        <v>4799</v>
      </c>
      <c r="T1513" s="5"/>
      <c r="U1513" s="4"/>
      <c r="V1513" s="4"/>
      <c r="W1513" s="5"/>
      <c r="X1513" s="4"/>
      <c r="Y1513" s="4"/>
      <c r="Z1513" s="5"/>
      <c r="AA1513" s="4"/>
      <c r="AB1513" s="4"/>
      <c r="AC1513" s="4"/>
      <c r="AD1513" s="5"/>
      <c r="AE1513" s="5"/>
      <c r="AF1513" s="5"/>
      <c r="AG1513" s="5"/>
      <c r="AH1513" s="5"/>
      <c r="AI1513" s="5"/>
      <c r="AJ1513" s="5"/>
      <c r="AK1513" s="5"/>
      <c r="AL1513" s="5"/>
    </row>
    <row r="1514">
      <c r="A1514" s="4" t="str">
        <f>VLOOKUP(L1514,payment_ids!C:D,2,FALSE)</f>
        <v>pay_HGReVULG7cNWd1</v>
      </c>
      <c r="B1514" s="4"/>
      <c r="C1514" s="4" t="s">
        <v>4796</v>
      </c>
      <c r="D1514" s="4">
        <v>49996.0</v>
      </c>
      <c r="E1514" s="5"/>
      <c r="F1514" s="4">
        <v>1.0</v>
      </c>
      <c r="G1514" s="4">
        <v>99.0</v>
      </c>
      <c r="H1514" s="4"/>
      <c r="I1514" s="4">
        <v>99.0</v>
      </c>
      <c r="J1514" s="4" t="s">
        <v>4831</v>
      </c>
      <c r="K1514" s="5">
        <f>+919517433509</f>
        <v>919517433509</v>
      </c>
      <c r="L1514" s="4" t="str">
        <f t="shared" si="1"/>
        <v>iamsiddhantdhawan@gmail.com919517433509</v>
      </c>
      <c r="M1514" s="10" t="s">
        <v>67</v>
      </c>
      <c r="N1514" s="4" t="b">
        <v>0</v>
      </c>
      <c r="O1514" s="4" t="str">
        <f>VLOOKUP(A1514,payment_ids!D:E,2,FALSE)</f>
        <v>upi</v>
      </c>
      <c r="P1514" s="4" t="s">
        <v>69</v>
      </c>
      <c r="Q1514" s="4" t="s">
        <v>4832</v>
      </c>
      <c r="R1514" s="4"/>
      <c r="S1514" s="12" t="s">
        <v>4799</v>
      </c>
      <c r="T1514" s="5"/>
      <c r="U1514" s="4"/>
      <c r="V1514" s="4"/>
      <c r="W1514" s="5"/>
      <c r="X1514" s="4"/>
      <c r="Y1514" s="4"/>
      <c r="Z1514" s="5"/>
      <c r="AA1514" s="4"/>
      <c r="AB1514" s="4"/>
      <c r="AC1514" s="4"/>
      <c r="AD1514" s="5"/>
      <c r="AE1514" s="5"/>
      <c r="AF1514" s="5"/>
      <c r="AG1514" s="5"/>
      <c r="AH1514" s="5"/>
      <c r="AI1514" s="5"/>
      <c r="AJ1514" s="5"/>
      <c r="AK1514" s="5"/>
      <c r="AL1514" s="5"/>
    </row>
    <row r="1515">
      <c r="A1515" s="4" t="str">
        <f>VLOOKUP(L1515,payment_ids!C:D,2,FALSE)</f>
        <v>pay_HHKJ6CPdPGGZZ3</v>
      </c>
      <c r="B1515" s="4"/>
      <c r="C1515" s="4" t="s">
        <v>4796</v>
      </c>
      <c r="D1515" s="4">
        <v>49996.0</v>
      </c>
      <c r="E1515" s="5"/>
      <c r="F1515" s="4">
        <v>1.0</v>
      </c>
      <c r="G1515" s="4">
        <v>99.0</v>
      </c>
      <c r="H1515" s="4"/>
      <c r="I1515" s="4">
        <v>99.0</v>
      </c>
      <c r="J1515" s="4" t="s">
        <v>4833</v>
      </c>
      <c r="K1515" s="5">
        <f>+919539710623</f>
        <v>919539710623</v>
      </c>
      <c r="L1515" s="4" t="str">
        <f t="shared" si="1"/>
        <v>namithadasvk@gmail.com919539710623</v>
      </c>
      <c r="M1515" s="10" t="s">
        <v>67</v>
      </c>
      <c r="N1515" s="4" t="b">
        <v>0</v>
      </c>
      <c r="O1515" s="4" t="str">
        <f>VLOOKUP(A1515,payment_ids!D:E,2,FALSE)</f>
        <v>upi</v>
      </c>
      <c r="P1515" s="4" t="s">
        <v>69</v>
      </c>
      <c r="Q1515" s="4" t="s">
        <v>4834</v>
      </c>
      <c r="R1515" s="4"/>
      <c r="S1515" s="12" t="s">
        <v>4799</v>
      </c>
      <c r="T1515" s="5"/>
      <c r="U1515" s="4"/>
      <c r="V1515" s="4"/>
      <c r="W1515" s="5"/>
      <c r="X1515" s="4"/>
      <c r="Y1515" s="4"/>
      <c r="Z1515" s="5"/>
      <c r="AA1515" s="4"/>
      <c r="AB1515" s="4"/>
      <c r="AC1515" s="4"/>
      <c r="AD1515" s="5"/>
      <c r="AE1515" s="5"/>
      <c r="AF1515" s="5"/>
      <c r="AG1515" s="5"/>
      <c r="AH1515" s="5"/>
      <c r="AI1515" s="5"/>
      <c r="AJ1515" s="5"/>
      <c r="AK1515" s="5"/>
      <c r="AL1515" s="5"/>
    </row>
    <row r="1516">
      <c r="A1516" s="4" t="str">
        <f>VLOOKUP(L1516,payment_ids!C:D,2,FALSE)</f>
        <v>pay_HHNGbb4JYJQoT5</v>
      </c>
      <c r="B1516" s="4"/>
      <c r="C1516" s="4" t="s">
        <v>4796</v>
      </c>
      <c r="D1516" s="4">
        <v>49996.0</v>
      </c>
      <c r="E1516" s="5"/>
      <c r="F1516" s="4">
        <v>1.0</v>
      </c>
      <c r="G1516" s="4">
        <v>99.0</v>
      </c>
      <c r="H1516" s="4"/>
      <c r="I1516" s="4">
        <v>99.0</v>
      </c>
      <c r="J1516" s="4" t="s">
        <v>4835</v>
      </c>
      <c r="K1516" s="5">
        <f>+919545249552</f>
        <v>919545249552</v>
      </c>
      <c r="L1516" s="4" t="str">
        <f t="shared" si="1"/>
        <v>ashwineephatak@gmail.com919545249552</v>
      </c>
      <c r="M1516" s="10" t="s">
        <v>67</v>
      </c>
      <c r="N1516" s="4" t="b">
        <v>0</v>
      </c>
      <c r="O1516" s="4" t="str">
        <f>VLOOKUP(A1516,payment_ids!D:E,2,FALSE)</f>
        <v>card</v>
      </c>
      <c r="P1516" s="4" t="s">
        <v>69</v>
      </c>
      <c r="Q1516" s="4" t="s">
        <v>4836</v>
      </c>
      <c r="R1516" s="4"/>
      <c r="S1516" s="12" t="s">
        <v>4799</v>
      </c>
      <c r="T1516" s="5"/>
      <c r="U1516" s="4"/>
      <c r="V1516" s="4"/>
      <c r="W1516" s="5"/>
      <c r="X1516" s="4"/>
      <c r="Y1516" s="4"/>
      <c r="Z1516" s="5"/>
      <c r="AA1516" s="4"/>
      <c r="AB1516" s="4"/>
      <c r="AC1516" s="4"/>
      <c r="AD1516" s="5"/>
      <c r="AE1516" s="5"/>
      <c r="AF1516" s="5"/>
      <c r="AG1516" s="5"/>
      <c r="AH1516" s="5"/>
      <c r="AI1516" s="5"/>
      <c r="AJ1516" s="5"/>
      <c r="AK1516" s="5"/>
      <c r="AL1516" s="5"/>
    </row>
    <row r="1517">
      <c r="A1517" s="4" t="str">
        <f>VLOOKUP(L1517,payment_ids!C:D,2,FALSE)</f>
        <v>pay_HHitUDiFsm67rj</v>
      </c>
      <c r="B1517" s="4"/>
      <c r="C1517" s="4" t="s">
        <v>4796</v>
      </c>
      <c r="D1517" s="4">
        <v>49996.0</v>
      </c>
      <c r="E1517" s="5"/>
      <c r="F1517" s="4">
        <v>1.0</v>
      </c>
      <c r="G1517" s="4">
        <v>99.0</v>
      </c>
      <c r="H1517" s="4"/>
      <c r="I1517" s="4">
        <v>99.0</v>
      </c>
      <c r="J1517" s="4" t="s">
        <v>4837</v>
      </c>
      <c r="K1517" s="5">
        <f>+919694677834</f>
        <v>919694677834</v>
      </c>
      <c r="L1517" s="4" t="str">
        <f t="shared" si="1"/>
        <v>pink.meenu84@gmail.com919694677834</v>
      </c>
      <c r="M1517" s="10" t="s">
        <v>67</v>
      </c>
      <c r="N1517" s="4" t="b">
        <v>0</v>
      </c>
      <c r="O1517" s="4" t="str">
        <f>VLOOKUP(A1517,payment_ids!D:E,2,FALSE)</f>
        <v>upi</v>
      </c>
      <c r="P1517" s="4" t="s">
        <v>69</v>
      </c>
      <c r="Q1517" s="11">
        <v>44202.566666666666</v>
      </c>
      <c r="R1517" s="4"/>
      <c r="S1517" s="12" t="s">
        <v>4799</v>
      </c>
      <c r="T1517" s="5"/>
      <c r="U1517" s="4"/>
      <c r="V1517" s="4"/>
      <c r="W1517" s="5"/>
      <c r="X1517" s="4"/>
      <c r="Y1517" s="4"/>
      <c r="Z1517" s="5"/>
      <c r="AA1517" s="4"/>
      <c r="AB1517" s="4"/>
      <c r="AC1517" s="4"/>
      <c r="AD1517" s="5"/>
      <c r="AE1517" s="5"/>
      <c r="AF1517" s="5"/>
      <c r="AG1517" s="5"/>
      <c r="AH1517" s="5"/>
      <c r="AI1517" s="5"/>
      <c r="AJ1517" s="5"/>
      <c r="AK1517" s="5"/>
      <c r="AL1517" s="5"/>
    </row>
    <row r="1518">
      <c r="A1518" s="4" t="str">
        <f>VLOOKUP(L1518,payment_ids!C:D,2,FALSE)</f>
        <v>pay_HI4A3qB9OKWg5v</v>
      </c>
      <c r="B1518" s="4"/>
      <c r="C1518" s="4" t="s">
        <v>4796</v>
      </c>
      <c r="D1518" s="4">
        <v>49996.0</v>
      </c>
      <c r="E1518" s="5"/>
      <c r="F1518" s="4">
        <v>6.0</v>
      </c>
      <c r="G1518" s="4">
        <v>349.0</v>
      </c>
      <c r="H1518" s="4"/>
      <c r="I1518" s="4">
        <v>349.0</v>
      </c>
      <c r="J1518" s="4" t="s">
        <v>4838</v>
      </c>
      <c r="K1518" s="5">
        <f>+919112774858</f>
        <v>919112774858</v>
      </c>
      <c r="L1518" s="4" t="str">
        <f t="shared" si="1"/>
        <v>sandeshmagar1982@gmail.com919112774858</v>
      </c>
      <c r="M1518" s="10" t="s">
        <v>67</v>
      </c>
      <c r="N1518" s="4" t="b">
        <v>0</v>
      </c>
      <c r="O1518" s="4" t="str">
        <f>VLOOKUP(A1518,payment_ids!D:E,2,FALSE)</f>
        <v>upi</v>
      </c>
      <c r="P1518" s="4" t="s">
        <v>69</v>
      </c>
      <c r="Q1518" s="11">
        <v>44233.43402777778</v>
      </c>
      <c r="R1518" s="4"/>
      <c r="S1518" s="12" t="s">
        <v>4799</v>
      </c>
      <c r="T1518" s="5"/>
      <c r="U1518" s="4"/>
      <c r="V1518" s="4"/>
      <c r="W1518" s="5"/>
      <c r="X1518" s="4"/>
      <c r="Y1518" s="4"/>
      <c r="Z1518" s="5"/>
      <c r="AA1518" s="4"/>
      <c r="AB1518" s="4"/>
      <c r="AC1518" s="4"/>
      <c r="AD1518" s="5"/>
      <c r="AE1518" s="5"/>
      <c r="AF1518" s="5"/>
      <c r="AG1518" s="5"/>
      <c r="AH1518" s="5"/>
      <c r="AI1518" s="5"/>
      <c r="AJ1518" s="5"/>
      <c r="AK1518" s="5"/>
      <c r="AL1518" s="5"/>
    </row>
    <row r="1519">
      <c r="A1519" s="4" t="str">
        <f>VLOOKUP(L1519,payment_ids!C:D,2,FALSE)</f>
        <v>pay_HI5UsRD2gn5gUa</v>
      </c>
      <c r="B1519" s="4"/>
      <c r="C1519" s="4" t="s">
        <v>4796</v>
      </c>
      <c r="D1519" s="4">
        <v>49996.0</v>
      </c>
      <c r="E1519" s="5"/>
      <c r="F1519" s="4">
        <v>6.0</v>
      </c>
      <c r="G1519" s="4">
        <v>349.0</v>
      </c>
      <c r="H1519" s="4"/>
      <c r="I1519" s="4">
        <v>349.0</v>
      </c>
      <c r="J1519" s="4" t="s">
        <v>4839</v>
      </c>
      <c r="K1519" s="5">
        <f>+919121648339</f>
        <v>919121648339</v>
      </c>
      <c r="L1519" s="4" t="str">
        <f t="shared" si="1"/>
        <v>anamikayadavakkaldev@gmail.com919121648339</v>
      </c>
      <c r="M1519" s="10" t="s">
        <v>67</v>
      </c>
      <c r="N1519" s="4" t="b">
        <v>0</v>
      </c>
      <c r="O1519" s="4" t="str">
        <f>VLOOKUP(A1519,payment_ids!D:E,2,FALSE)</f>
        <v>upi</v>
      </c>
      <c r="P1519" s="4" t="s">
        <v>69</v>
      </c>
      <c r="Q1519" s="11">
        <v>44233.4875</v>
      </c>
      <c r="R1519" s="4"/>
      <c r="S1519" s="12" t="s">
        <v>4799</v>
      </c>
      <c r="T1519" s="5"/>
      <c r="U1519" s="5"/>
      <c r="V1519" s="4"/>
      <c r="W1519" s="5"/>
      <c r="X1519" s="4"/>
      <c r="Y1519" s="4"/>
      <c r="Z1519" s="5"/>
      <c r="AA1519" s="5"/>
      <c r="AB1519" s="4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</row>
    <row r="1520">
      <c r="A1520" s="4" t="str">
        <f>VLOOKUP(L1520,payment_ids!C:D,2,FALSE)</f>
        <v>pay_HISJr1iNJa3MKU</v>
      </c>
      <c r="B1520" s="4"/>
      <c r="C1520" s="4" t="s">
        <v>4796</v>
      </c>
      <c r="D1520" s="4">
        <v>49996.0</v>
      </c>
      <c r="E1520" s="5"/>
      <c r="F1520" s="4">
        <v>1.0</v>
      </c>
      <c r="G1520" s="4">
        <v>99.0</v>
      </c>
      <c r="H1520" s="4"/>
      <c r="I1520" s="4">
        <v>99.0</v>
      </c>
      <c r="J1520" s="4" t="s">
        <v>4840</v>
      </c>
      <c r="K1520" s="5">
        <f>+918090795170</f>
        <v>918090795170</v>
      </c>
      <c r="L1520" s="4" t="str">
        <f t="shared" si="1"/>
        <v>tariquealam8090@gmail.com918090795170</v>
      </c>
      <c r="M1520" s="10" t="s">
        <v>67</v>
      </c>
      <c r="N1520" s="4" t="b">
        <v>0</v>
      </c>
      <c r="O1520" s="4" t="str">
        <f>VLOOKUP(A1520,payment_ids!D:E,2,FALSE)</f>
        <v>upi</v>
      </c>
      <c r="P1520" s="4" t="s">
        <v>69</v>
      </c>
      <c r="Q1520" s="11">
        <v>44261.42152777778</v>
      </c>
      <c r="R1520" s="4"/>
      <c r="S1520" s="12" t="s">
        <v>4799</v>
      </c>
      <c r="T1520" s="5"/>
      <c r="U1520" s="5"/>
      <c r="V1520" s="4"/>
      <c r="W1520" s="5"/>
      <c r="X1520" s="4"/>
      <c r="Y1520" s="4"/>
      <c r="Z1520" s="5"/>
      <c r="AA1520" s="5"/>
      <c r="AB1520" s="4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</row>
    <row r="1521">
      <c r="A1521" s="4" t="str">
        <f>VLOOKUP(L1521,payment_ids!C:D,2,FALSE)</f>
        <v>pay_HJfd5Cw7lq5yhz</v>
      </c>
      <c r="B1521" s="4"/>
      <c r="C1521" s="4" t="s">
        <v>4796</v>
      </c>
      <c r="D1521" s="4">
        <v>49996.0</v>
      </c>
      <c r="E1521" s="5"/>
      <c r="F1521" s="4">
        <v>1.0</v>
      </c>
      <c r="G1521" s="4">
        <v>99.0</v>
      </c>
      <c r="H1521" s="4"/>
      <c r="I1521" s="4">
        <v>99.0</v>
      </c>
      <c r="J1521" s="4" t="s">
        <v>4841</v>
      </c>
      <c r="K1521" s="5">
        <f>+918408830222</f>
        <v>918408830222</v>
      </c>
      <c r="L1521" s="4" t="str">
        <f t="shared" si="1"/>
        <v>kulkarnivainayaki@gmail.com918408830222</v>
      </c>
      <c r="M1521" s="10" t="s">
        <v>67</v>
      </c>
      <c r="N1521" s="4" t="b">
        <v>0</v>
      </c>
      <c r="O1521" s="4" t="str">
        <f>VLOOKUP(A1521,payment_ids!D:E,2,FALSE)</f>
        <v>upi</v>
      </c>
      <c r="P1521" s="4" t="s">
        <v>69</v>
      </c>
      <c r="Q1521" s="11">
        <v>44353.4875</v>
      </c>
      <c r="R1521" s="4"/>
      <c r="S1521" s="12" t="s">
        <v>4799</v>
      </c>
      <c r="T1521" s="5"/>
      <c r="U1521" s="4"/>
      <c r="V1521" s="4"/>
      <c r="W1521" s="5"/>
      <c r="X1521" s="4"/>
      <c r="Y1521" s="4"/>
      <c r="Z1521" s="5"/>
      <c r="AA1521" s="4"/>
      <c r="AB1521" s="4"/>
      <c r="AC1521" s="4"/>
      <c r="AD1521" s="5"/>
      <c r="AE1521" s="5"/>
      <c r="AF1521" s="5"/>
      <c r="AG1521" s="5"/>
      <c r="AH1521" s="5"/>
      <c r="AI1521" s="5"/>
      <c r="AJ1521" s="5"/>
      <c r="AK1521" s="5"/>
      <c r="AL1521" s="5"/>
    </row>
    <row r="1522">
      <c r="A1522" s="4" t="str">
        <f>VLOOKUP(L1522,payment_ids!C:D,2,FALSE)</f>
        <v>pay_HJgAYwYod7P0yx</v>
      </c>
      <c r="B1522" s="4"/>
      <c r="C1522" s="4" t="s">
        <v>4796</v>
      </c>
      <c r="D1522" s="4">
        <v>49996.0</v>
      </c>
      <c r="E1522" s="5"/>
      <c r="F1522" s="4">
        <v>1.0</v>
      </c>
      <c r="G1522" s="4">
        <v>99.0</v>
      </c>
      <c r="H1522" s="4"/>
      <c r="I1522" s="4">
        <v>99.0</v>
      </c>
      <c r="J1522" s="4" t="s">
        <v>4842</v>
      </c>
      <c r="K1522" s="5">
        <f>+918390160816</f>
        <v>918390160816</v>
      </c>
      <c r="L1522" s="4" t="str">
        <f t="shared" si="1"/>
        <v>diptig2831996@gmail.com918390160816</v>
      </c>
      <c r="M1522" s="10" t="s">
        <v>67</v>
      </c>
      <c r="N1522" s="4" t="b">
        <v>0</v>
      </c>
      <c r="O1522" s="4" t="str">
        <f>VLOOKUP(A1522,payment_ids!D:E,2,FALSE)</f>
        <v>upi</v>
      </c>
      <c r="P1522" s="4" t="s">
        <v>69</v>
      </c>
      <c r="Q1522" s="11">
        <v>44353.51111111111</v>
      </c>
      <c r="R1522" s="4"/>
      <c r="S1522" s="12" t="s">
        <v>4843</v>
      </c>
      <c r="T1522" s="5"/>
      <c r="U1522" s="4"/>
      <c r="V1522" s="4"/>
      <c r="W1522" s="5"/>
      <c r="X1522" s="4"/>
      <c r="Y1522" s="4"/>
      <c r="Z1522" s="5"/>
      <c r="AA1522" s="4"/>
      <c r="AB1522" s="4"/>
      <c r="AC1522" s="4"/>
      <c r="AD1522" s="5"/>
      <c r="AE1522" s="5"/>
      <c r="AF1522" s="5"/>
      <c r="AG1522" s="5"/>
      <c r="AH1522" s="5"/>
      <c r="AI1522" s="5"/>
      <c r="AJ1522" s="5"/>
      <c r="AK1522" s="5"/>
      <c r="AL1522" s="5"/>
    </row>
    <row r="1523">
      <c r="A1523" s="4" t="str">
        <f>VLOOKUP(L1523,payment_ids!C:D,2,FALSE)</f>
        <v>pay_HK01O931Q6jmL7</v>
      </c>
      <c r="B1523" s="4"/>
      <c r="C1523" s="4" t="s">
        <v>4796</v>
      </c>
      <c r="D1523" s="4">
        <v>49996.0</v>
      </c>
      <c r="E1523" s="5"/>
      <c r="F1523" s="4">
        <v>1.0</v>
      </c>
      <c r="G1523" s="4">
        <v>99.0</v>
      </c>
      <c r="H1523" s="4"/>
      <c r="I1523" s="4">
        <v>99.0</v>
      </c>
      <c r="J1523" s="4" t="s">
        <v>4844</v>
      </c>
      <c r="K1523" s="5">
        <f>+918897323795</f>
        <v>918897323795</v>
      </c>
      <c r="L1523" s="4" t="str">
        <f t="shared" si="1"/>
        <v>himasainee3@gmail.com918897323795</v>
      </c>
      <c r="M1523" s="10" t="s">
        <v>67</v>
      </c>
      <c r="N1523" s="4" t="b">
        <v>0</v>
      </c>
      <c r="O1523" s="4" t="str">
        <f>VLOOKUP(A1523,payment_ids!D:E,2,FALSE)</f>
        <v>upi</v>
      </c>
      <c r="P1523" s="4" t="s">
        <v>69</v>
      </c>
      <c r="Q1523" s="11">
        <v>44383.33125</v>
      </c>
      <c r="R1523" s="4"/>
      <c r="S1523" s="12" t="s">
        <v>4843</v>
      </c>
      <c r="T1523" s="5"/>
      <c r="U1523" s="4"/>
      <c r="V1523" s="4"/>
      <c r="W1523" s="5"/>
      <c r="X1523" s="4"/>
      <c r="Y1523" s="4"/>
      <c r="Z1523" s="5"/>
      <c r="AA1523" s="4"/>
      <c r="AB1523" s="4"/>
      <c r="AC1523" s="4"/>
      <c r="AD1523" s="5"/>
      <c r="AE1523" s="5"/>
      <c r="AF1523" s="5"/>
      <c r="AG1523" s="5"/>
      <c r="AH1523" s="5"/>
      <c r="AI1523" s="5"/>
      <c r="AJ1523" s="5"/>
      <c r="AK1523" s="5"/>
      <c r="AL1523" s="5"/>
    </row>
    <row r="1524">
      <c r="A1524" s="4" t="str">
        <f>VLOOKUP(L1524,payment_ids!C:D,2,FALSE)</f>
        <v>pay_HK3NSlIu1sAIqV</v>
      </c>
      <c r="B1524" s="4"/>
      <c r="C1524" s="4" t="s">
        <v>4796</v>
      </c>
      <c r="D1524" s="4">
        <v>49996.0</v>
      </c>
      <c r="E1524" s="5"/>
      <c r="F1524" s="4">
        <v>1.0</v>
      </c>
      <c r="G1524" s="4">
        <v>99.0</v>
      </c>
      <c r="H1524" s="4"/>
      <c r="I1524" s="4">
        <v>99.0</v>
      </c>
      <c r="J1524" s="4" t="s">
        <v>4845</v>
      </c>
      <c r="K1524" s="5">
        <f>+919749075836</f>
        <v>919749075836</v>
      </c>
      <c r="L1524" s="4" t="str">
        <f t="shared" si="1"/>
        <v>layekayon@gmail.com919749075836</v>
      </c>
      <c r="M1524" s="10" t="s">
        <v>67</v>
      </c>
      <c r="N1524" s="4" t="b">
        <v>0</v>
      </c>
      <c r="O1524" s="4" t="str">
        <f>VLOOKUP(A1524,payment_ids!D:E,2,FALSE)</f>
        <v>upi</v>
      </c>
      <c r="P1524" s="4" t="s">
        <v>69</v>
      </c>
      <c r="Q1524" s="11">
        <v>44383.455555555556</v>
      </c>
      <c r="R1524" s="4"/>
      <c r="S1524" s="12" t="s">
        <v>4799</v>
      </c>
      <c r="T1524" s="5"/>
      <c r="U1524" s="4"/>
      <c r="V1524" s="4"/>
      <c r="W1524" s="5"/>
      <c r="X1524" s="4"/>
      <c r="Y1524" s="4"/>
      <c r="Z1524" s="5"/>
      <c r="AA1524" s="4"/>
      <c r="AB1524" s="4"/>
      <c r="AC1524" s="4"/>
      <c r="AD1524" s="5"/>
      <c r="AE1524" s="5"/>
      <c r="AF1524" s="5"/>
      <c r="AG1524" s="5"/>
      <c r="AH1524" s="5"/>
      <c r="AI1524" s="5"/>
      <c r="AJ1524" s="5"/>
      <c r="AK1524" s="5"/>
      <c r="AL1524" s="5"/>
    </row>
    <row r="1525">
      <c r="A1525" s="4" t="str">
        <f>VLOOKUP(L1525,payment_ids!C:D,2,FALSE)</f>
        <v>pay_HK4DGe1Ih958bf</v>
      </c>
      <c r="B1525" s="4"/>
      <c r="C1525" s="4" t="s">
        <v>4796</v>
      </c>
      <c r="D1525" s="4">
        <v>49996.0</v>
      </c>
      <c r="E1525" s="5"/>
      <c r="F1525" s="4">
        <v>1.0</v>
      </c>
      <c r="G1525" s="4">
        <v>99.0</v>
      </c>
      <c r="H1525" s="4"/>
      <c r="I1525" s="4">
        <v>99.0</v>
      </c>
      <c r="J1525" s="4" t="s">
        <v>4846</v>
      </c>
      <c r="K1525" s="5">
        <f>+919989054224</f>
        <v>919989054224</v>
      </c>
      <c r="L1525" s="4" t="str">
        <f t="shared" si="1"/>
        <v>tummanaren@gmail.com919989054224</v>
      </c>
      <c r="M1525" s="10" t="s">
        <v>67</v>
      </c>
      <c r="N1525" s="4" t="b">
        <v>0</v>
      </c>
      <c r="O1525" s="4" t="str">
        <f>VLOOKUP(A1525,payment_ids!D:E,2,FALSE)</f>
        <v>upi</v>
      </c>
      <c r="P1525" s="4" t="s">
        <v>69</v>
      </c>
      <c r="Q1525" s="11">
        <v>44383.489583333336</v>
      </c>
      <c r="R1525" s="4"/>
      <c r="S1525" s="12" t="s">
        <v>4799</v>
      </c>
      <c r="T1525" s="5"/>
      <c r="U1525" s="4"/>
      <c r="V1525" s="4"/>
      <c r="W1525" s="5"/>
      <c r="X1525" s="4"/>
      <c r="Y1525" s="4"/>
      <c r="Z1525" s="5"/>
      <c r="AA1525" s="4"/>
      <c r="AB1525" s="4"/>
      <c r="AC1525" s="4"/>
      <c r="AD1525" s="5"/>
      <c r="AE1525" s="5"/>
      <c r="AF1525" s="5"/>
      <c r="AG1525" s="5"/>
      <c r="AH1525" s="5"/>
      <c r="AI1525" s="5"/>
      <c r="AJ1525" s="5"/>
      <c r="AK1525" s="5"/>
      <c r="AL1525" s="5"/>
    </row>
    <row r="1526">
      <c r="A1526" s="4" t="str">
        <f>VLOOKUP(L1526,payment_ids!C:D,2,FALSE)</f>
        <v>pay_HK9tHoLJDWIlvX</v>
      </c>
      <c r="B1526" s="4"/>
      <c r="C1526" s="4" t="s">
        <v>4796</v>
      </c>
      <c r="D1526" s="4">
        <v>49996.0</v>
      </c>
      <c r="E1526" s="5"/>
      <c r="F1526" s="4">
        <v>1.0</v>
      </c>
      <c r="G1526" s="4">
        <v>99.0</v>
      </c>
      <c r="H1526" s="4"/>
      <c r="I1526" s="4">
        <v>99.0</v>
      </c>
      <c r="J1526" s="4" t="s">
        <v>4847</v>
      </c>
      <c r="K1526" s="5">
        <f>+918667627957</f>
        <v>918667627957</v>
      </c>
      <c r="L1526" s="4" t="str">
        <f t="shared" si="1"/>
        <v>jaishnaa19@gmail.com918667627957</v>
      </c>
      <c r="M1526" s="10" t="s">
        <v>67</v>
      </c>
      <c r="N1526" s="4" t="b">
        <v>0</v>
      </c>
      <c r="O1526" s="4" t="str">
        <f>VLOOKUP(A1526,payment_ids!D:E,2,FALSE)</f>
        <v>upi</v>
      </c>
      <c r="P1526" s="4" t="s">
        <v>69</v>
      </c>
      <c r="Q1526" s="11">
        <v>44383.75</v>
      </c>
      <c r="R1526" s="4"/>
      <c r="S1526" s="12" t="s">
        <v>4799</v>
      </c>
      <c r="T1526" s="5"/>
      <c r="U1526" s="4"/>
      <c r="V1526" s="4"/>
      <c r="W1526" s="5"/>
      <c r="X1526" s="4"/>
      <c r="Y1526" s="4"/>
      <c r="Z1526" s="5"/>
      <c r="AA1526" s="4"/>
      <c r="AB1526" s="4"/>
      <c r="AC1526" s="4"/>
      <c r="AD1526" s="5"/>
      <c r="AE1526" s="5"/>
      <c r="AF1526" s="5"/>
      <c r="AG1526" s="5"/>
      <c r="AH1526" s="5"/>
      <c r="AI1526" s="5"/>
      <c r="AJ1526" s="5"/>
      <c r="AK1526" s="5"/>
      <c r="AL1526" s="5"/>
    </row>
    <row r="1527">
      <c r="A1527" s="4" t="str">
        <f>VLOOKUP(L1527,payment_ids!C:D,2,FALSE)</f>
        <v>pay_HKPtDjcjz1pWY0</v>
      </c>
      <c r="B1527" s="4"/>
      <c r="C1527" s="4" t="s">
        <v>4796</v>
      </c>
      <c r="D1527" s="4">
        <v>49996.0</v>
      </c>
      <c r="E1527" s="5"/>
      <c r="F1527" s="4">
        <v>1.0</v>
      </c>
      <c r="G1527" s="4">
        <v>99.0</v>
      </c>
      <c r="H1527" s="4"/>
      <c r="I1527" s="4">
        <v>99.0</v>
      </c>
      <c r="J1527" s="4" t="s">
        <v>4848</v>
      </c>
      <c r="K1527" s="5">
        <f>+918830448148</f>
        <v>918830448148</v>
      </c>
      <c r="L1527" s="4" t="str">
        <f t="shared" si="1"/>
        <v>vaishnavibaniya05@gmail.com918830448148</v>
      </c>
      <c r="M1527" s="10" t="s">
        <v>67</v>
      </c>
      <c r="N1527" s="4" t="b">
        <v>0</v>
      </c>
      <c r="O1527" s="4" t="str">
        <f>VLOOKUP(A1527,payment_ids!D:E,2,FALSE)</f>
        <v>upi</v>
      </c>
      <c r="P1527" s="4" t="s">
        <v>69</v>
      </c>
      <c r="Q1527" s="11">
        <v>44414.37291666667</v>
      </c>
      <c r="R1527" s="4"/>
      <c r="S1527" s="12" t="s">
        <v>4799</v>
      </c>
      <c r="T1527" s="5"/>
      <c r="U1527" s="4"/>
      <c r="V1527" s="4"/>
      <c r="W1527" s="5"/>
      <c r="X1527" s="4"/>
      <c r="Y1527" s="4"/>
      <c r="Z1527" s="5"/>
      <c r="AA1527" s="4"/>
      <c r="AB1527" s="4"/>
      <c r="AC1527" s="4"/>
      <c r="AD1527" s="5"/>
      <c r="AE1527" s="5"/>
      <c r="AF1527" s="5"/>
      <c r="AG1527" s="5"/>
      <c r="AH1527" s="5"/>
      <c r="AI1527" s="5"/>
      <c r="AJ1527" s="5"/>
      <c r="AK1527" s="5"/>
      <c r="AL1527" s="5"/>
    </row>
    <row r="1528">
      <c r="A1528" s="4" t="str">
        <f>VLOOKUP(L1528,payment_ids!C:D,2,FALSE)</f>
        <v>pay_HKTV1je3C8kuH8</v>
      </c>
      <c r="B1528" s="4"/>
      <c r="C1528" s="4" t="s">
        <v>4796</v>
      </c>
      <c r="D1528" s="4">
        <v>49996.0</v>
      </c>
      <c r="E1528" s="5"/>
      <c r="F1528" s="4">
        <v>1.0</v>
      </c>
      <c r="G1528" s="4">
        <v>99.0</v>
      </c>
      <c r="H1528" s="4"/>
      <c r="I1528" s="4">
        <v>99.0</v>
      </c>
      <c r="J1528" s="4" t="s">
        <v>4849</v>
      </c>
      <c r="K1528" s="5">
        <f>+919958144371</f>
        <v>919958144371</v>
      </c>
      <c r="L1528" s="4" t="str">
        <f t="shared" si="1"/>
        <v>mukherjeeaprajita14@gmail.com919958144371</v>
      </c>
      <c r="M1528" s="10" t="s">
        <v>67</v>
      </c>
      <c r="N1528" s="4" t="b">
        <v>0</v>
      </c>
      <c r="O1528" s="4" t="str">
        <f>VLOOKUP(A1528,payment_ids!D:E,2,FALSE)</f>
        <v>upi</v>
      </c>
      <c r="P1528" s="4" t="s">
        <v>69</v>
      </c>
      <c r="Q1528" s="11">
        <v>44414.520833333336</v>
      </c>
      <c r="R1528" s="4"/>
      <c r="S1528" s="12" t="s">
        <v>4799</v>
      </c>
      <c r="T1528" s="5"/>
      <c r="U1528" s="4"/>
      <c r="V1528" s="4"/>
      <c r="W1528" s="5"/>
      <c r="X1528" s="4"/>
      <c r="Y1528" s="4"/>
      <c r="Z1528" s="5"/>
      <c r="AA1528" s="4"/>
      <c r="AB1528" s="4"/>
      <c r="AC1528" s="4"/>
      <c r="AD1528" s="5"/>
      <c r="AE1528" s="5"/>
      <c r="AF1528" s="5"/>
      <c r="AG1528" s="5"/>
      <c r="AH1528" s="5"/>
      <c r="AI1528" s="5"/>
      <c r="AJ1528" s="5"/>
      <c r="AK1528" s="5"/>
      <c r="AL1528" s="5"/>
    </row>
    <row r="1529">
      <c r="A1529" s="4" t="str">
        <f>VLOOKUP(L1529,payment_ids!C:D,2,FALSE)</f>
        <v>pay_HKULDeej1WzedX</v>
      </c>
      <c r="B1529" s="4"/>
      <c r="C1529" s="4" t="s">
        <v>4796</v>
      </c>
      <c r="D1529" s="4">
        <v>49996.0</v>
      </c>
      <c r="E1529" s="5"/>
      <c r="F1529" s="4">
        <v>1.0</v>
      </c>
      <c r="G1529" s="4">
        <v>99.0</v>
      </c>
      <c r="H1529" s="4"/>
      <c r="I1529" s="4">
        <v>99.0</v>
      </c>
      <c r="J1529" s="4" t="s">
        <v>4850</v>
      </c>
      <c r="K1529" s="5">
        <f>+917277976511</f>
        <v>917277976511</v>
      </c>
      <c r="L1529" s="4" t="str">
        <f t="shared" si="1"/>
        <v>mdarmaan13@gmail.com917277976511</v>
      </c>
      <c r="M1529" s="10" t="s">
        <v>67</v>
      </c>
      <c r="N1529" s="4" t="b">
        <v>0</v>
      </c>
      <c r="O1529" s="4" t="str">
        <f>VLOOKUP(A1529,payment_ids!D:E,2,FALSE)</f>
        <v>upi</v>
      </c>
      <c r="P1529" s="4" t="s">
        <v>69</v>
      </c>
      <c r="Q1529" s="11">
        <v>44414.555555555555</v>
      </c>
      <c r="R1529" s="4"/>
      <c r="S1529" s="12" t="s">
        <v>4799</v>
      </c>
      <c r="T1529" s="5"/>
      <c r="U1529" s="4"/>
      <c r="V1529" s="4"/>
      <c r="W1529" s="5"/>
      <c r="X1529" s="4"/>
      <c r="Y1529" s="4"/>
      <c r="Z1529" s="5"/>
      <c r="AA1529" s="4"/>
      <c r="AB1529" s="4"/>
      <c r="AC1529" s="4"/>
      <c r="AD1529" s="5"/>
      <c r="AE1529" s="5"/>
      <c r="AF1529" s="5"/>
      <c r="AG1529" s="5"/>
      <c r="AH1529" s="5"/>
      <c r="AI1529" s="5"/>
      <c r="AJ1529" s="5"/>
      <c r="AK1529" s="5"/>
      <c r="AL1529" s="5"/>
    </row>
    <row r="1530">
      <c r="A1530" s="4" t="str">
        <f>VLOOKUP(L1530,payment_ids!C:D,2,FALSE)</f>
        <v>pay_HHqk2ctJFb8ifX</v>
      </c>
      <c r="B1530" s="4"/>
      <c r="C1530" s="4" t="s">
        <v>4796</v>
      </c>
      <c r="D1530" s="4">
        <v>49996.0</v>
      </c>
      <c r="E1530" s="5"/>
      <c r="F1530" s="4">
        <v>1.0</v>
      </c>
      <c r="G1530" s="4">
        <v>99.0</v>
      </c>
      <c r="H1530" s="4"/>
      <c r="I1530" s="4">
        <v>99.0</v>
      </c>
      <c r="J1530" s="4" t="s">
        <v>4851</v>
      </c>
      <c r="K1530" s="5">
        <f>+919881313175</f>
        <v>919881313175</v>
      </c>
      <c r="L1530" s="4" t="str">
        <f t="shared" si="1"/>
        <v>shrutisethi292@gmail.com919881313175</v>
      </c>
      <c r="M1530" s="10" t="s">
        <v>67</v>
      </c>
      <c r="N1530" s="4" t="b">
        <v>0</v>
      </c>
      <c r="O1530" s="4" t="str">
        <f>VLOOKUP(A1530,payment_ids!D:E,2,FALSE)</f>
        <v>upi</v>
      </c>
      <c r="P1530" s="4" t="s">
        <v>69</v>
      </c>
      <c r="Q1530" s="11">
        <v>44445.97777777778</v>
      </c>
      <c r="R1530" s="4"/>
      <c r="S1530" s="12" t="s">
        <v>4799</v>
      </c>
      <c r="T1530" s="4" t="s">
        <v>2444</v>
      </c>
      <c r="U1530" s="4"/>
      <c r="V1530" s="4"/>
      <c r="W1530" s="5"/>
      <c r="X1530" s="4"/>
      <c r="Y1530" s="4"/>
      <c r="Z1530" s="5"/>
      <c r="AA1530" s="4"/>
      <c r="AB1530" s="4"/>
      <c r="AC1530" s="4"/>
      <c r="AD1530" s="5"/>
      <c r="AE1530" s="5"/>
      <c r="AF1530" s="5"/>
      <c r="AG1530" s="5"/>
      <c r="AH1530" s="5"/>
      <c r="AI1530" s="5"/>
      <c r="AJ1530" s="5"/>
      <c r="AK1530" s="5"/>
      <c r="AL1530" s="5"/>
    </row>
    <row r="1531">
      <c r="A1531" s="4" t="str">
        <f>VLOOKUP(L1531,payment_ids!C:D,2,FALSE)</f>
        <v>pay_HLE8B1ODj8xiHc</v>
      </c>
      <c r="B1531" s="4"/>
      <c r="C1531" s="4" t="s">
        <v>4796</v>
      </c>
      <c r="D1531" s="4">
        <v>49996.0</v>
      </c>
      <c r="E1531" s="5"/>
      <c r="F1531" s="4">
        <v>1.0</v>
      </c>
      <c r="G1531" s="4">
        <v>99.0</v>
      </c>
      <c r="H1531" s="4"/>
      <c r="I1531" s="4">
        <v>99.0</v>
      </c>
      <c r="J1531" s="4" t="s">
        <v>3158</v>
      </c>
      <c r="K1531" s="5">
        <f>+919790471941</f>
        <v>919790471941</v>
      </c>
      <c r="L1531" s="4" t="str">
        <f t="shared" si="1"/>
        <v>venkidu2012@gmail.com919790471941</v>
      </c>
      <c r="M1531" s="10" t="s">
        <v>67</v>
      </c>
      <c r="N1531" s="4" t="b">
        <v>0</v>
      </c>
      <c r="O1531" s="4" t="str">
        <f>VLOOKUP(A1531,payment_ids!D:E,2,FALSE)</f>
        <v>upi</v>
      </c>
      <c r="P1531" s="4" t="s">
        <v>69</v>
      </c>
      <c r="Q1531" s="11">
        <v>44475.566666666666</v>
      </c>
      <c r="R1531" s="4"/>
      <c r="S1531" s="12" t="s">
        <v>4843</v>
      </c>
      <c r="T1531" s="4" t="s">
        <v>2444</v>
      </c>
      <c r="U1531" s="5"/>
      <c r="V1531" s="4"/>
      <c r="W1531" s="5"/>
      <c r="X1531" s="4"/>
      <c r="Y1531" s="4"/>
      <c r="Z1531" s="5"/>
      <c r="AA1531" s="5"/>
      <c r="AB1531" s="4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</row>
    <row r="1532">
      <c r="A1532" s="4" t="str">
        <f>VLOOKUP(L1532,payment_ids!C:D,2,FALSE)</f>
        <v>pay_HLcgoMSfDpZCnC</v>
      </c>
      <c r="B1532" s="4"/>
      <c r="C1532" s="4" t="s">
        <v>4796</v>
      </c>
      <c r="D1532" s="4">
        <v>49996.0</v>
      </c>
      <c r="E1532" s="5"/>
      <c r="F1532" s="4">
        <v>3.0</v>
      </c>
      <c r="G1532" s="4">
        <v>199.0</v>
      </c>
      <c r="H1532" s="4"/>
      <c r="I1532" s="4">
        <v>199.0</v>
      </c>
      <c r="J1532" s="4" t="s">
        <v>4852</v>
      </c>
      <c r="K1532" s="5">
        <f>+918013117659</f>
        <v>918013117659</v>
      </c>
      <c r="L1532" s="4" t="str">
        <f t="shared" si="1"/>
        <v>poulami87roy@gmail.com918013117659</v>
      </c>
      <c r="M1532" s="10" t="s">
        <v>67</v>
      </c>
      <c r="N1532" s="4" t="b">
        <v>0</v>
      </c>
      <c r="O1532" s="4" t="str">
        <f>VLOOKUP(A1532,payment_ids!D:E,2,FALSE)</f>
        <v>card</v>
      </c>
      <c r="P1532" s="4" t="s">
        <v>69</v>
      </c>
      <c r="Q1532" s="11">
        <v>44506.42222222222</v>
      </c>
      <c r="R1532" s="4"/>
      <c r="S1532" s="12" t="s">
        <v>4799</v>
      </c>
      <c r="T1532" s="4" t="s">
        <v>2444</v>
      </c>
      <c r="U1532" s="4"/>
      <c r="V1532" s="4"/>
      <c r="W1532" s="5"/>
      <c r="X1532" s="4"/>
      <c r="Y1532" s="4"/>
      <c r="Z1532" s="5"/>
      <c r="AA1532" s="4"/>
      <c r="AB1532" s="4"/>
      <c r="AC1532" s="4"/>
      <c r="AD1532" s="5"/>
      <c r="AE1532" s="5"/>
      <c r="AF1532" s="5"/>
      <c r="AG1532" s="5"/>
      <c r="AH1532" s="5"/>
      <c r="AI1532" s="5"/>
      <c r="AJ1532" s="5"/>
      <c r="AK1532" s="5"/>
      <c r="AL1532" s="5"/>
    </row>
    <row r="1533">
      <c r="A1533" s="4" t="str">
        <f>VLOOKUP(L1533,payment_ids!C:D,2,FALSE)</f>
        <v>pay_HLnji4Rlm1avO1</v>
      </c>
      <c r="B1533" s="4"/>
      <c r="C1533" s="4" t="s">
        <v>4796</v>
      </c>
      <c r="D1533" s="4">
        <v>49996.0</v>
      </c>
      <c r="E1533" s="5"/>
      <c r="F1533" s="4">
        <v>1.0</v>
      </c>
      <c r="G1533" s="4">
        <v>99.0</v>
      </c>
      <c r="H1533" s="4"/>
      <c r="I1533" s="4">
        <v>99.0</v>
      </c>
      <c r="J1533" s="4" t="s">
        <v>4853</v>
      </c>
      <c r="K1533" s="5">
        <f>+918667096433</f>
        <v>918667096433</v>
      </c>
      <c r="L1533" s="4" t="str">
        <f t="shared" si="1"/>
        <v>rowenaalwin@gmail.com918667096433</v>
      </c>
      <c r="M1533" s="10" t="s">
        <v>67</v>
      </c>
      <c r="N1533" s="4" t="b">
        <v>0</v>
      </c>
      <c r="O1533" s="4" t="str">
        <f>VLOOKUP(A1533,payment_ids!D:E,2,FALSE)</f>
        <v>upi</v>
      </c>
      <c r="P1533" s="4" t="s">
        <v>69</v>
      </c>
      <c r="Q1533" s="11">
        <v>44506.87291666667</v>
      </c>
      <c r="R1533" s="4"/>
      <c r="S1533" s="12" t="s">
        <v>4843</v>
      </c>
      <c r="T1533" s="4" t="s">
        <v>2444</v>
      </c>
      <c r="U1533" s="4"/>
      <c r="V1533" s="4"/>
      <c r="W1533" s="5"/>
      <c r="X1533" s="4"/>
      <c r="Y1533" s="4"/>
      <c r="Z1533" s="5"/>
      <c r="AA1533" s="4"/>
      <c r="AB1533" s="4"/>
      <c r="AC1533" s="4"/>
      <c r="AD1533" s="5"/>
      <c r="AE1533" s="5"/>
      <c r="AF1533" s="5"/>
      <c r="AG1533" s="5"/>
      <c r="AH1533" s="5"/>
      <c r="AI1533" s="5"/>
      <c r="AJ1533" s="5"/>
      <c r="AK1533" s="5"/>
      <c r="AL1533" s="5"/>
    </row>
    <row r="1534">
      <c r="A1534" s="4" t="str">
        <f>VLOOKUP(L1534,payment_ids!C:D,2,FALSE)</f>
        <v>pay_HM1TyXoGWXfLet</v>
      </c>
      <c r="B1534" s="4"/>
      <c r="C1534" s="4" t="s">
        <v>4796</v>
      </c>
      <c r="D1534" s="4">
        <v>49996.0</v>
      </c>
      <c r="E1534" s="5"/>
      <c r="F1534" s="4">
        <v>1.0</v>
      </c>
      <c r="G1534" s="4">
        <v>99.0</v>
      </c>
      <c r="H1534" s="4"/>
      <c r="I1534" s="4">
        <v>99.0</v>
      </c>
      <c r="J1534" s="4" t="s">
        <v>4854</v>
      </c>
      <c r="K1534" s="5">
        <f>+917385165450</f>
        <v>917385165450</v>
      </c>
      <c r="L1534" s="4" t="str">
        <f t="shared" si="1"/>
        <v>nadafsalma490@gmail.com917385165450</v>
      </c>
      <c r="M1534" s="10" t="s">
        <v>67</v>
      </c>
      <c r="N1534" s="4" t="b">
        <v>0</v>
      </c>
      <c r="O1534" s="4" t="str">
        <f>VLOOKUP(A1534,payment_ids!D:E,2,FALSE)</f>
        <v>upi</v>
      </c>
      <c r="P1534" s="4" t="s">
        <v>69</v>
      </c>
      <c r="Q1534" s="11">
        <v>44536.43263888889</v>
      </c>
      <c r="R1534" s="4"/>
      <c r="S1534" s="12" t="s">
        <v>4799</v>
      </c>
      <c r="T1534" s="4" t="s">
        <v>2444</v>
      </c>
      <c r="U1534" s="5"/>
      <c r="V1534" s="4"/>
      <c r="W1534" s="5"/>
      <c r="X1534" s="4"/>
      <c r="Y1534" s="4"/>
      <c r="Z1534" s="5"/>
      <c r="AA1534" s="5"/>
      <c r="AB1534" s="4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</row>
    <row r="1535">
      <c r="A1535" s="4" t="str">
        <f>VLOOKUP(L1535,payment_ids!C:D,2,FALSE)</f>
        <v>pay_HM1fVqb30IX7aI</v>
      </c>
      <c r="B1535" s="4"/>
      <c r="C1535" s="4" t="s">
        <v>4796</v>
      </c>
      <c r="D1535" s="4">
        <v>49996.0</v>
      </c>
      <c r="E1535" s="5"/>
      <c r="F1535" s="4">
        <v>6.0</v>
      </c>
      <c r="G1535" s="4">
        <v>349.0</v>
      </c>
      <c r="H1535" s="4"/>
      <c r="I1535" s="4">
        <v>349.0</v>
      </c>
      <c r="J1535" s="4" t="s">
        <v>4855</v>
      </c>
      <c r="K1535" s="5">
        <f>+919730330847</f>
        <v>919730330847</v>
      </c>
      <c r="L1535" s="4" t="str">
        <f t="shared" si="1"/>
        <v>mayura2309@yahoo.com919730330847</v>
      </c>
      <c r="M1535" s="10" t="s">
        <v>67</v>
      </c>
      <c r="N1535" s="4" t="b">
        <v>0</v>
      </c>
      <c r="O1535" s="4" t="str">
        <f>VLOOKUP(A1535,payment_ids!D:E,2,FALSE)</f>
        <v>upi</v>
      </c>
      <c r="P1535" s="4" t="s">
        <v>69</v>
      </c>
      <c r="Q1535" s="11">
        <v>44536.44027777778</v>
      </c>
      <c r="R1535" s="4"/>
      <c r="S1535" s="12" t="s">
        <v>4799</v>
      </c>
      <c r="T1535" s="4" t="s">
        <v>2444</v>
      </c>
      <c r="U1535" s="4"/>
      <c r="V1535" s="4"/>
      <c r="W1535" s="5"/>
      <c r="X1535" s="4"/>
      <c r="Y1535" s="4"/>
      <c r="Z1535" s="5"/>
      <c r="AA1535" s="4"/>
      <c r="AB1535" s="4"/>
      <c r="AC1535" s="4"/>
      <c r="AD1535" s="5"/>
      <c r="AE1535" s="5"/>
      <c r="AF1535" s="5"/>
      <c r="AG1535" s="5"/>
      <c r="AH1535" s="5"/>
      <c r="AI1535" s="5"/>
      <c r="AJ1535" s="5"/>
      <c r="AK1535" s="5"/>
      <c r="AL1535" s="5"/>
    </row>
    <row r="1536">
      <c r="A1536" s="4" t="str">
        <f>VLOOKUP(L1536,payment_ids!C:D,2,FALSE)</f>
        <v>pay_HMCnOXhc1MRVXj</v>
      </c>
      <c r="B1536" s="4"/>
      <c r="C1536" s="4" t="s">
        <v>4796</v>
      </c>
      <c r="D1536" s="4">
        <v>49996.0</v>
      </c>
      <c r="E1536" s="5"/>
      <c r="F1536" s="4">
        <v>1.0</v>
      </c>
      <c r="G1536" s="4">
        <v>99.0</v>
      </c>
      <c r="H1536" s="4"/>
      <c r="I1536" s="4">
        <v>99.0</v>
      </c>
      <c r="J1536" s="4" t="s">
        <v>4856</v>
      </c>
      <c r="K1536" s="5">
        <f>+917760567740</f>
        <v>917760567740</v>
      </c>
      <c r="L1536" s="4" t="str">
        <f t="shared" si="1"/>
        <v>carrotleaf13@gmail.com917760567740</v>
      </c>
      <c r="M1536" s="10" t="s">
        <v>67</v>
      </c>
      <c r="N1536" s="4" t="b">
        <v>0</v>
      </c>
      <c r="O1536" s="4" t="str">
        <f>VLOOKUP(A1536,payment_ids!D:E,2,FALSE)</f>
        <v>upi</v>
      </c>
      <c r="P1536" s="4" t="s">
        <v>69</v>
      </c>
      <c r="Q1536" s="11">
        <v>44536.89375</v>
      </c>
      <c r="R1536" s="4"/>
      <c r="S1536" s="12" t="s">
        <v>4799</v>
      </c>
      <c r="T1536" s="4" t="s">
        <v>2444</v>
      </c>
      <c r="U1536" s="4"/>
      <c r="V1536" s="4"/>
      <c r="W1536" s="5"/>
      <c r="X1536" s="4"/>
      <c r="Y1536" s="4"/>
      <c r="Z1536" s="5"/>
      <c r="AA1536" s="4"/>
      <c r="AB1536" s="4"/>
      <c r="AC1536" s="4"/>
      <c r="AD1536" s="5"/>
      <c r="AE1536" s="5"/>
      <c r="AF1536" s="5"/>
      <c r="AG1536" s="5"/>
      <c r="AH1536" s="5"/>
      <c r="AI1536" s="5"/>
      <c r="AJ1536" s="5"/>
      <c r="AK1536" s="5"/>
      <c r="AL1536" s="5"/>
    </row>
    <row r="1537">
      <c r="A1537" s="4" t="str">
        <f>VLOOKUP(L1537,payment_ids!C:D,2,FALSE)</f>
        <v>pay_HMEOsjVCJwMvqT</v>
      </c>
      <c r="B1537" s="4"/>
      <c r="C1537" s="4" t="s">
        <v>4796</v>
      </c>
      <c r="D1537" s="4">
        <v>49996.0</v>
      </c>
      <c r="E1537" s="5"/>
      <c r="F1537" s="4">
        <v>1.0</v>
      </c>
      <c r="G1537" s="4">
        <v>99.0</v>
      </c>
      <c r="H1537" s="4"/>
      <c r="I1537" s="4">
        <v>99.0</v>
      </c>
      <c r="J1537" s="4" t="s">
        <v>1912</v>
      </c>
      <c r="K1537" s="5">
        <f>+919811650920</f>
        <v>919811650920</v>
      </c>
      <c r="L1537" s="4" t="str">
        <f t="shared" si="1"/>
        <v>surbhi.pisces@gmail.com919811650920</v>
      </c>
      <c r="M1537" s="10" t="s">
        <v>67</v>
      </c>
      <c r="N1537" s="4" t="b">
        <v>0</v>
      </c>
      <c r="O1537" s="4" t="str">
        <f>VLOOKUP(A1537,payment_ids!D:E,2,FALSE)</f>
        <v>upi</v>
      </c>
      <c r="P1537" s="4" t="s">
        <v>69</v>
      </c>
      <c r="Q1537" s="11">
        <v>44536.95972222222</v>
      </c>
      <c r="R1537" s="4"/>
      <c r="S1537" s="12" t="s">
        <v>4799</v>
      </c>
      <c r="T1537" s="4" t="s">
        <v>2444</v>
      </c>
      <c r="U1537" s="5"/>
      <c r="V1537" s="4"/>
      <c r="W1537" s="5"/>
      <c r="X1537" s="4"/>
      <c r="Y1537" s="4"/>
      <c r="Z1537" s="5"/>
      <c r="AA1537" s="5"/>
      <c r="AB1537" s="4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</row>
    <row r="1538">
      <c r="A1538" s="4" t="str">
        <f>VLOOKUP(L1538,payment_ids!C:D,2,FALSE)</f>
        <v>pay_HMMjcct6VBvnyd</v>
      </c>
      <c r="B1538" s="4"/>
      <c r="C1538" s="4" t="s">
        <v>4796</v>
      </c>
      <c r="D1538" s="4">
        <v>49996.0</v>
      </c>
      <c r="E1538" s="5"/>
      <c r="F1538" s="4">
        <v>1.0</v>
      </c>
      <c r="G1538" s="4">
        <v>99.0</v>
      </c>
      <c r="H1538" s="4"/>
      <c r="I1538" s="4">
        <v>99.0</v>
      </c>
      <c r="J1538" s="4" t="s">
        <v>4857</v>
      </c>
      <c r="K1538" s="5">
        <f>+919818748603</f>
        <v>919818748603</v>
      </c>
      <c r="L1538" s="4" t="str">
        <f t="shared" si="1"/>
        <v>saklani.arvind@gmail.com919818748603</v>
      </c>
      <c r="M1538" s="10" t="s">
        <v>67</v>
      </c>
      <c r="N1538" s="4" t="b">
        <v>0</v>
      </c>
      <c r="O1538" s="4" t="str">
        <f>VLOOKUP(A1538,payment_ids!D:E,2,FALSE)</f>
        <v>upi</v>
      </c>
      <c r="P1538" s="4" t="s">
        <v>69</v>
      </c>
      <c r="Q1538" s="4" t="s">
        <v>4858</v>
      </c>
      <c r="R1538" s="4"/>
      <c r="S1538" s="12" t="s">
        <v>4799</v>
      </c>
      <c r="T1538" s="4" t="s">
        <v>2444</v>
      </c>
      <c r="U1538" s="4"/>
      <c r="V1538" s="4"/>
      <c r="W1538" s="5"/>
      <c r="X1538" s="4"/>
      <c r="Y1538" s="4"/>
      <c r="Z1538" s="5"/>
      <c r="AA1538" s="4"/>
      <c r="AB1538" s="4"/>
      <c r="AC1538" s="4"/>
      <c r="AD1538" s="5"/>
      <c r="AE1538" s="5"/>
      <c r="AF1538" s="5"/>
      <c r="AG1538" s="5"/>
      <c r="AH1538" s="5"/>
      <c r="AI1538" s="5"/>
      <c r="AJ1538" s="5"/>
      <c r="AK1538" s="5"/>
      <c r="AL1538" s="5"/>
    </row>
    <row r="1539">
      <c r="A1539" s="4" t="str">
        <f>VLOOKUP(L1539,payment_ids!C:D,2,FALSE)</f>
        <v>pay_HMOThzBvUAWxQH</v>
      </c>
      <c r="B1539" s="4"/>
      <c r="C1539" s="4" t="s">
        <v>4796</v>
      </c>
      <c r="D1539" s="4">
        <v>49996.0</v>
      </c>
      <c r="E1539" s="5"/>
      <c r="F1539" s="4">
        <v>3.0</v>
      </c>
      <c r="G1539" s="4">
        <v>199.0</v>
      </c>
      <c r="H1539" s="4"/>
      <c r="I1539" s="4">
        <v>199.0</v>
      </c>
      <c r="J1539" s="4" t="s">
        <v>4859</v>
      </c>
      <c r="K1539" s="5">
        <f>+916201264611</f>
        <v>916201264611</v>
      </c>
      <c r="L1539" s="4" t="str">
        <f t="shared" si="1"/>
        <v>skshweta97@gmail.com916201264611</v>
      </c>
      <c r="M1539" s="10" t="s">
        <v>67</v>
      </c>
      <c r="N1539" s="4" t="b">
        <v>0</v>
      </c>
      <c r="O1539" s="4" t="str">
        <f>VLOOKUP(A1539,payment_ids!D:E,2,FALSE)</f>
        <v>upi</v>
      </c>
      <c r="P1539" s="4" t="s">
        <v>69</v>
      </c>
      <c r="Q1539" s="4" t="s">
        <v>4860</v>
      </c>
      <c r="R1539" s="4"/>
      <c r="S1539" s="12" t="s">
        <v>4799</v>
      </c>
      <c r="T1539" s="4" t="s">
        <v>2444</v>
      </c>
      <c r="U1539" s="4"/>
      <c r="V1539" s="4"/>
      <c r="W1539" s="5"/>
      <c r="X1539" s="4"/>
      <c r="Y1539" s="4"/>
      <c r="Z1539" s="5"/>
      <c r="AA1539" s="4"/>
      <c r="AB1539" s="4"/>
      <c r="AC1539" s="4"/>
      <c r="AD1539" s="5"/>
      <c r="AE1539" s="5"/>
      <c r="AF1539" s="5"/>
      <c r="AG1539" s="5"/>
      <c r="AH1539" s="5"/>
      <c r="AI1539" s="5"/>
      <c r="AJ1539" s="5"/>
      <c r="AK1539" s="5"/>
      <c r="AL1539" s="5"/>
    </row>
    <row r="1540">
      <c r="A1540" s="4" t="str">
        <f>VLOOKUP(L1540,payment_ids!C:D,2,FALSE)</f>
        <v>pay_HMPpO2rdJPdAmg</v>
      </c>
      <c r="B1540" s="4"/>
      <c r="C1540" s="4" t="s">
        <v>4796</v>
      </c>
      <c r="D1540" s="4">
        <v>49996.0</v>
      </c>
      <c r="E1540" s="5"/>
      <c r="F1540" s="4">
        <v>1.0</v>
      </c>
      <c r="G1540" s="4">
        <v>99.0</v>
      </c>
      <c r="H1540" s="4"/>
      <c r="I1540" s="4">
        <v>99.0</v>
      </c>
      <c r="J1540" s="4" t="s">
        <v>4861</v>
      </c>
      <c r="K1540" s="5">
        <f>+919159495802</f>
        <v>919159495802</v>
      </c>
      <c r="L1540" s="4" t="str">
        <f t="shared" si="1"/>
        <v>poorniparam@gmail.com919159495802</v>
      </c>
      <c r="M1540" s="10" t="s">
        <v>67</v>
      </c>
      <c r="N1540" s="4" t="b">
        <v>0</v>
      </c>
      <c r="O1540" s="4" t="str">
        <f>VLOOKUP(A1540,payment_ids!D:E,2,FALSE)</f>
        <v>upi</v>
      </c>
      <c r="P1540" s="4" t="s">
        <v>69</v>
      </c>
      <c r="Q1540" s="4" t="s">
        <v>4862</v>
      </c>
      <c r="R1540" s="4"/>
      <c r="S1540" s="12" t="s">
        <v>4799</v>
      </c>
      <c r="T1540" s="4" t="s">
        <v>2444</v>
      </c>
      <c r="U1540" s="4"/>
      <c r="V1540" s="4"/>
      <c r="W1540" s="5"/>
      <c r="X1540" s="4"/>
      <c r="Y1540" s="4"/>
      <c r="Z1540" s="5"/>
      <c r="AA1540" s="4"/>
      <c r="AB1540" s="4"/>
      <c r="AC1540" s="4"/>
      <c r="AD1540" s="5"/>
      <c r="AE1540" s="5"/>
      <c r="AF1540" s="5"/>
      <c r="AG1540" s="5"/>
      <c r="AH1540" s="5"/>
      <c r="AI1540" s="5"/>
      <c r="AJ1540" s="5"/>
      <c r="AK1540" s="5"/>
      <c r="AL1540" s="5"/>
    </row>
    <row r="1541">
      <c r="A1541" s="4" t="str">
        <f>VLOOKUP(L1541,payment_ids!C:D,2,FALSE)</f>
        <v>pay_HMPzoIvlE2toR8</v>
      </c>
      <c r="B1541" s="4"/>
      <c r="C1541" s="4" t="s">
        <v>4796</v>
      </c>
      <c r="D1541" s="4">
        <v>49996.0</v>
      </c>
      <c r="E1541" s="5"/>
      <c r="F1541" s="4">
        <v>1.0</v>
      </c>
      <c r="G1541" s="4">
        <v>99.0</v>
      </c>
      <c r="H1541" s="4"/>
      <c r="I1541" s="4">
        <v>99.0</v>
      </c>
      <c r="J1541" s="4" t="s">
        <v>4863</v>
      </c>
      <c r="K1541" s="5">
        <f>+916304175156</f>
        <v>916304175156</v>
      </c>
      <c r="L1541" s="4" t="str">
        <f t="shared" si="1"/>
        <v>alizaloyolite@gmail.com916304175156</v>
      </c>
      <c r="M1541" s="10" t="s">
        <v>67</v>
      </c>
      <c r="N1541" s="4" t="b">
        <v>0</v>
      </c>
      <c r="O1541" s="4" t="str">
        <f>VLOOKUP(A1541,payment_ids!D:E,2,FALSE)</f>
        <v>upi</v>
      </c>
      <c r="P1541" s="4" t="s">
        <v>69</v>
      </c>
      <c r="Q1541" s="4" t="s">
        <v>4864</v>
      </c>
      <c r="R1541" s="4"/>
      <c r="S1541" s="12" t="s">
        <v>4799</v>
      </c>
      <c r="T1541" s="4" t="s">
        <v>2444</v>
      </c>
      <c r="U1541" s="4"/>
      <c r="V1541" s="4"/>
      <c r="W1541" s="5"/>
      <c r="X1541" s="4"/>
      <c r="Y1541" s="4"/>
      <c r="Z1541" s="5"/>
      <c r="AA1541" s="4"/>
      <c r="AB1541" s="4"/>
      <c r="AC1541" s="4"/>
      <c r="AD1541" s="5"/>
      <c r="AE1541" s="5"/>
      <c r="AF1541" s="5"/>
      <c r="AG1541" s="5"/>
      <c r="AH1541" s="5"/>
      <c r="AI1541" s="5"/>
      <c r="AJ1541" s="5"/>
      <c r="AK1541" s="5"/>
      <c r="AL1541" s="5"/>
    </row>
    <row r="1542">
      <c r="A1542" s="4" t="str">
        <f>VLOOKUP(L1542,payment_ids!C:D,2,FALSE)</f>
        <v>pay_HMxwkNSj8AqWSH</v>
      </c>
      <c r="B1542" s="4"/>
      <c r="C1542" s="4" t="s">
        <v>4796</v>
      </c>
      <c r="D1542" s="4">
        <v>49996.0</v>
      </c>
      <c r="E1542" s="5"/>
      <c r="F1542" s="4">
        <v>1.0</v>
      </c>
      <c r="G1542" s="4">
        <v>99.0</v>
      </c>
      <c r="H1542" s="4"/>
      <c r="I1542" s="4">
        <v>99.0</v>
      </c>
      <c r="J1542" s="4" t="s">
        <v>4865</v>
      </c>
      <c r="K1542" s="5">
        <f>+917338917770</f>
        <v>917338917770</v>
      </c>
      <c r="L1542" s="4" t="str">
        <f t="shared" si="1"/>
        <v>msrajput1196@gmail.com917338917770</v>
      </c>
      <c r="M1542" s="10" t="s">
        <v>67</v>
      </c>
      <c r="N1542" s="4" t="b">
        <v>0</v>
      </c>
      <c r="O1542" s="4" t="str">
        <f>VLOOKUP(A1542,payment_ids!D:E,2,FALSE)</f>
        <v>upi</v>
      </c>
      <c r="P1542" s="4" t="s">
        <v>69</v>
      </c>
      <c r="Q1542" s="4" t="s">
        <v>4866</v>
      </c>
      <c r="R1542" s="4"/>
      <c r="S1542" s="12" t="s">
        <v>4799</v>
      </c>
      <c r="T1542" s="4" t="s">
        <v>2444</v>
      </c>
      <c r="U1542" s="4"/>
      <c r="V1542" s="4"/>
      <c r="W1542" s="5"/>
      <c r="X1542" s="4"/>
      <c r="Y1542" s="4"/>
      <c r="Z1542" s="5"/>
      <c r="AA1542" s="4"/>
      <c r="AB1542" s="4"/>
      <c r="AC1542" s="4"/>
      <c r="AD1542" s="5"/>
      <c r="AE1542" s="5"/>
      <c r="AF1542" s="5"/>
      <c r="AG1542" s="5"/>
      <c r="AH1542" s="5"/>
      <c r="AI1542" s="5"/>
      <c r="AJ1542" s="5"/>
      <c r="AK1542" s="5"/>
      <c r="AL1542" s="5"/>
    </row>
    <row r="1543">
      <c r="A1543" s="4" t="str">
        <f>VLOOKUP(L1543,payment_ids!C:D,2,FALSE)</f>
        <v>pay_HNF3AL5cqhnth4</v>
      </c>
      <c r="B1543" s="4"/>
      <c r="C1543" s="4" t="s">
        <v>4796</v>
      </c>
      <c r="D1543" s="4">
        <v>49996.0</v>
      </c>
      <c r="E1543" s="5"/>
      <c r="F1543" s="4">
        <v>1.0</v>
      </c>
      <c r="G1543" s="4">
        <v>99.0</v>
      </c>
      <c r="H1543" s="4"/>
      <c r="I1543" s="4">
        <v>99.0</v>
      </c>
      <c r="J1543" s="4" t="s">
        <v>4867</v>
      </c>
      <c r="K1543" s="5">
        <f>+918444944563</f>
        <v>918444944563</v>
      </c>
      <c r="L1543" s="4" t="str">
        <f t="shared" si="1"/>
        <v>sangitasingh087@gmail.com918444944563</v>
      </c>
      <c r="M1543" s="10" t="s">
        <v>67</v>
      </c>
      <c r="N1543" s="4" t="b">
        <v>0</v>
      </c>
      <c r="O1543" s="4" t="str">
        <f>VLOOKUP(A1543,payment_ids!D:E,2,FALSE)</f>
        <v>upi</v>
      </c>
      <c r="P1543" s="4" t="s">
        <v>69</v>
      </c>
      <c r="Q1543" s="4" t="s">
        <v>4868</v>
      </c>
      <c r="R1543" s="4"/>
      <c r="S1543" s="12" t="s">
        <v>4799</v>
      </c>
      <c r="T1543" s="4" t="s">
        <v>2444</v>
      </c>
      <c r="U1543" s="4"/>
      <c r="V1543" s="4"/>
      <c r="W1543" s="5"/>
      <c r="X1543" s="4"/>
      <c r="Y1543" s="4"/>
      <c r="Z1543" s="5"/>
      <c r="AA1543" s="4"/>
      <c r="AB1543" s="4"/>
      <c r="AC1543" s="4"/>
      <c r="AD1543" s="5"/>
      <c r="AE1543" s="5"/>
      <c r="AF1543" s="5"/>
      <c r="AG1543" s="5"/>
      <c r="AH1543" s="5"/>
      <c r="AI1543" s="5"/>
      <c r="AJ1543" s="5"/>
      <c r="AK1543" s="5"/>
      <c r="AL1543" s="5"/>
    </row>
    <row r="1544">
      <c r="A1544" s="4" t="str">
        <f>VLOOKUP(L1544,payment_ids!C:D,2,FALSE)</f>
        <v>pay_HNbfhnbe0imUEy</v>
      </c>
      <c r="B1544" s="4"/>
      <c r="C1544" s="4" t="s">
        <v>4796</v>
      </c>
      <c r="D1544" s="4">
        <v>49996.0</v>
      </c>
      <c r="E1544" s="5"/>
      <c r="F1544" s="4">
        <v>1.0</v>
      </c>
      <c r="G1544" s="4">
        <v>99.0</v>
      </c>
      <c r="H1544" s="4"/>
      <c r="I1544" s="4">
        <v>99.0</v>
      </c>
      <c r="J1544" s="4" t="s">
        <v>4869</v>
      </c>
      <c r="K1544" s="5">
        <f>+916309541313</f>
        <v>916309541313</v>
      </c>
      <c r="L1544" s="4" t="str">
        <f t="shared" si="1"/>
        <v>gk127890@gmail.com916309541313</v>
      </c>
      <c r="M1544" s="10" t="s">
        <v>67</v>
      </c>
      <c r="N1544" s="4" t="b">
        <v>0</v>
      </c>
      <c r="O1544" s="4" t="str">
        <f>VLOOKUP(A1544,payment_ids!D:E,2,FALSE)</f>
        <v>upi</v>
      </c>
      <c r="P1544" s="4" t="s">
        <v>69</v>
      </c>
      <c r="Q1544" s="4" t="s">
        <v>4870</v>
      </c>
      <c r="R1544" s="4"/>
      <c r="S1544" s="12" t="s">
        <v>4799</v>
      </c>
      <c r="T1544" s="4" t="s">
        <v>2444</v>
      </c>
      <c r="U1544" s="4"/>
      <c r="V1544" s="4"/>
      <c r="W1544" s="5"/>
      <c r="X1544" s="4"/>
      <c r="Y1544" s="4"/>
      <c r="Z1544" s="5"/>
      <c r="AA1544" s="4"/>
      <c r="AB1544" s="4"/>
      <c r="AC1544" s="4"/>
      <c r="AD1544" s="5"/>
      <c r="AE1544" s="5"/>
      <c r="AF1544" s="5"/>
      <c r="AG1544" s="5"/>
      <c r="AH1544" s="5"/>
      <c r="AI1544" s="5"/>
      <c r="AJ1544" s="5"/>
      <c r="AK1544" s="5"/>
      <c r="AL1544" s="5"/>
    </row>
    <row r="1545">
      <c r="A1545" s="4" t="str">
        <f>VLOOKUP(L1545,payment_ids!C:D,2,FALSE)</f>
        <v>pay_HNcuws7ht3aerE</v>
      </c>
      <c r="B1545" s="4"/>
      <c r="C1545" s="4" t="s">
        <v>4796</v>
      </c>
      <c r="D1545" s="4">
        <v>49996.0</v>
      </c>
      <c r="E1545" s="5"/>
      <c r="F1545" s="4">
        <v>6.0</v>
      </c>
      <c r="G1545" s="4">
        <v>349.0</v>
      </c>
      <c r="H1545" s="4"/>
      <c r="I1545" s="4">
        <v>349.0</v>
      </c>
      <c r="J1545" s="4" t="s">
        <v>4871</v>
      </c>
      <c r="K1545" s="5">
        <f>+918087136392</f>
        <v>918087136392</v>
      </c>
      <c r="L1545" s="4" t="str">
        <f t="shared" si="1"/>
        <v>aartigarje7@gmail.com918087136392</v>
      </c>
      <c r="M1545" s="10" t="s">
        <v>67</v>
      </c>
      <c r="N1545" s="4" t="b">
        <v>0</v>
      </c>
      <c r="O1545" s="4" t="str">
        <f>VLOOKUP(A1545,payment_ids!D:E,2,FALSE)</f>
        <v>upi</v>
      </c>
      <c r="P1545" s="4" t="s">
        <v>69</v>
      </c>
      <c r="Q1545" s="4" t="s">
        <v>4872</v>
      </c>
      <c r="R1545" s="4"/>
      <c r="S1545" s="12" t="s">
        <v>4799</v>
      </c>
      <c r="T1545" s="4" t="s">
        <v>2444</v>
      </c>
      <c r="U1545" s="4"/>
      <c r="V1545" s="4"/>
      <c r="W1545" s="5"/>
      <c r="X1545" s="4"/>
      <c r="Y1545" s="4"/>
      <c r="Z1545" s="5"/>
      <c r="AA1545" s="4"/>
      <c r="AB1545" s="4"/>
      <c r="AC1545" s="4"/>
      <c r="AD1545" s="5"/>
      <c r="AE1545" s="5"/>
      <c r="AF1545" s="5"/>
      <c r="AG1545" s="5"/>
      <c r="AH1545" s="5"/>
      <c r="AI1545" s="5"/>
      <c r="AJ1545" s="5"/>
      <c r="AK1545" s="5"/>
      <c r="AL1545" s="5"/>
    </row>
    <row r="1546">
      <c r="A1546" s="4" t="str">
        <f>VLOOKUP(L1546,payment_ids!C:D,2,FALSE)</f>
        <v>pay_HO7ryC5qGds213</v>
      </c>
      <c r="B1546" s="4"/>
      <c r="C1546" s="4" t="s">
        <v>4796</v>
      </c>
      <c r="D1546" s="4">
        <v>49996.0</v>
      </c>
      <c r="E1546" s="5"/>
      <c r="F1546" s="4">
        <v>1.0</v>
      </c>
      <c r="G1546" s="4">
        <v>99.0</v>
      </c>
      <c r="H1546" s="4"/>
      <c r="I1546" s="4">
        <v>99.0</v>
      </c>
      <c r="J1546" s="4" t="s">
        <v>4873</v>
      </c>
      <c r="K1546" s="5">
        <f>+919840463935</f>
        <v>919840463935</v>
      </c>
      <c r="L1546" s="4" t="str">
        <f t="shared" si="1"/>
        <v>dilipkumarloganathan@gmail.com919840463935</v>
      </c>
      <c r="M1546" s="10" t="s">
        <v>67</v>
      </c>
      <c r="N1546" s="4" t="b">
        <v>0</v>
      </c>
      <c r="O1546" s="4" t="str">
        <f>VLOOKUP(A1546,payment_ids!D:E,2,FALSE)</f>
        <v>upi</v>
      </c>
      <c r="P1546" s="4" t="s">
        <v>69</v>
      </c>
      <c r="Q1546" s="4" t="s">
        <v>4874</v>
      </c>
      <c r="R1546" s="4"/>
      <c r="S1546" s="12" t="s">
        <v>4799</v>
      </c>
      <c r="T1546" s="4" t="s">
        <v>2444</v>
      </c>
      <c r="U1546" s="4"/>
      <c r="V1546" s="4"/>
      <c r="W1546" s="5"/>
      <c r="X1546" s="4"/>
      <c r="Y1546" s="4"/>
      <c r="Z1546" s="5"/>
      <c r="AA1546" s="4"/>
      <c r="AB1546" s="4"/>
      <c r="AC1546" s="4"/>
      <c r="AD1546" s="5"/>
      <c r="AE1546" s="5"/>
      <c r="AF1546" s="5"/>
      <c r="AG1546" s="5"/>
      <c r="AH1546" s="5"/>
      <c r="AI1546" s="5"/>
      <c r="AJ1546" s="5"/>
      <c r="AK1546" s="5"/>
      <c r="AL1546" s="5"/>
    </row>
    <row r="1547">
      <c r="A1547" s="4" t="str">
        <f>VLOOKUP(L1547,payment_ids!C:D,2,FALSE)</f>
        <v>pay_HOEQQcErlCWHQT</v>
      </c>
      <c r="B1547" s="4"/>
      <c r="C1547" s="4" t="s">
        <v>4796</v>
      </c>
      <c r="D1547" s="4">
        <v>49996.0</v>
      </c>
      <c r="E1547" s="5"/>
      <c r="F1547" s="4">
        <v>3.0</v>
      </c>
      <c r="G1547" s="4">
        <v>199.0</v>
      </c>
      <c r="H1547" s="4"/>
      <c r="I1547" s="4">
        <v>199.0</v>
      </c>
      <c r="J1547" s="4" t="s">
        <v>4875</v>
      </c>
      <c r="K1547" s="5">
        <f>+919493564399</f>
        <v>919493564399</v>
      </c>
      <c r="L1547" s="4" t="str">
        <f t="shared" si="1"/>
        <v>chaitanya4v@gmail.com919493564399</v>
      </c>
      <c r="M1547" s="10" t="s">
        <v>67</v>
      </c>
      <c r="N1547" s="4" t="b">
        <v>0</v>
      </c>
      <c r="O1547" s="4" t="str">
        <f>VLOOKUP(A1547,payment_ids!D:E,2,FALSE)</f>
        <v>upi</v>
      </c>
      <c r="P1547" s="4" t="s">
        <v>69</v>
      </c>
      <c r="Q1547" s="4" t="s">
        <v>4876</v>
      </c>
      <c r="R1547" s="4"/>
      <c r="S1547" s="12" t="s">
        <v>4799</v>
      </c>
      <c r="T1547" s="4" t="s">
        <v>2444</v>
      </c>
      <c r="U1547" s="4"/>
      <c r="V1547" s="4"/>
      <c r="W1547" s="5"/>
      <c r="X1547" s="4"/>
      <c r="Y1547" s="4"/>
      <c r="Z1547" s="5"/>
      <c r="AA1547" s="4"/>
      <c r="AB1547" s="4"/>
      <c r="AC1547" s="4"/>
      <c r="AD1547" s="5"/>
      <c r="AE1547" s="5"/>
      <c r="AF1547" s="5"/>
      <c r="AG1547" s="5"/>
      <c r="AH1547" s="5"/>
      <c r="AI1547" s="5"/>
      <c r="AJ1547" s="5"/>
      <c r="AK1547" s="5"/>
      <c r="AL1547" s="5"/>
    </row>
    <row r="1548">
      <c r="A1548" s="4" t="str">
        <f>VLOOKUP(L1548,payment_ids!C:D,2,FALSE)</f>
        <v>pay_HOnJE6JvD32cQw</v>
      </c>
      <c r="B1548" s="4"/>
      <c r="C1548" s="4" t="s">
        <v>4796</v>
      </c>
      <c r="D1548" s="4">
        <v>49996.0</v>
      </c>
      <c r="E1548" s="5"/>
      <c r="F1548" s="4">
        <v>1.0</v>
      </c>
      <c r="G1548" s="4">
        <v>99.0</v>
      </c>
      <c r="H1548" s="4"/>
      <c r="I1548" s="4">
        <v>99.0</v>
      </c>
      <c r="J1548" s="4" t="s">
        <v>4877</v>
      </c>
      <c r="K1548" s="5">
        <f>+919870569314</f>
        <v>919870569314</v>
      </c>
      <c r="L1548" s="4" t="str">
        <f t="shared" si="1"/>
        <v>parul280897@gmail.com919870569314</v>
      </c>
      <c r="M1548" s="10" t="s">
        <v>67</v>
      </c>
      <c r="N1548" s="4" t="b">
        <v>0</v>
      </c>
      <c r="O1548" s="4" t="str">
        <f>VLOOKUP(A1548,payment_ids!D:E,2,FALSE)</f>
        <v>wallet</v>
      </c>
      <c r="P1548" s="4" t="s">
        <v>69</v>
      </c>
      <c r="Q1548" s="4" t="s">
        <v>4878</v>
      </c>
      <c r="R1548" s="4"/>
      <c r="S1548" s="12" t="s">
        <v>4799</v>
      </c>
      <c r="T1548" s="4" t="s">
        <v>2444</v>
      </c>
      <c r="U1548" s="4"/>
      <c r="V1548" s="4"/>
      <c r="W1548" s="5"/>
      <c r="X1548" s="4"/>
      <c r="Y1548" s="4"/>
      <c r="Z1548" s="5"/>
      <c r="AA1548" s="4"/>
      <c r="AB1548" s="4"/>
      <c r="AC1548" s="4"/>
      <c r="AD1548" s="5"/>
      <c r="AE1548" s="5"/>
      <c r="AF1548" s="5"/>
      <c r="AG1548" s="5"/>
      <c r="AH1548" s="5"/>
      <c r="AI1548" s="5"/>
      <c r="AJ1548" s="5"/>
      <c r="AK1548" s="5"/>
      <c r="AL1548" s="5"/>
    </row>
    <row r="1549">
      <c r="A1549" s="4" t="str">
        <f>VLOOKUP(L1549,payment_ids!C:D,2,FALSE)</f>
        <v>pay_HP0jM4dKkEebkb</v>
      </c>
      <c r="B1549" s="4"/>
      <c r="C1549" s="4" t="s">
        <v>4796</v>
      </c>
      <c r="D1549" s="4">
        <v>49996.0</v>
      </c>
      <c r="E1549" s="5"/>
      <c r="F1549" s="4">
        <v>3.0</v>
      </c>
      <c r="G1549" s="4">
        <v>199.0</v>
      </c>
      <c r="H1549" s="4"/>
      <c r="I1549" s="4">
        <v>199.0</v>
      </c>
      <c r="J1549" s="4" t="s">
        <v>4879</v>
      </c>
      <c r="K1549" s="5">
        <f>+919315624641</f>
        <v>919315624641</v>
      </c>
      <c r="L1549" s="4" t="str">
        <f t="shared" si="1"/>
        <v>jyoti1408singh@gmail.com919315624641</v>
      </c>
      <c r="M1549" s="10" t="s">
        <v>67</v>
      </c>
      <c r="N1549" s="4" t="b">
        <v>0</v>
      </c>
      <c r="O1549" s="4" t="str">
        <f>VLOOKUP(A1549,payment_ids!D:E,2,FALSE)</f>
        <v>upi</v>
      </c>
      <c r="P1549" s="4" t="s">
        <v>69</v>
      </c>
      <c r="Q1549" s="4" t="s">
        <v>4880</v>
      </c>
      <c r="R1549" s="4"/>
      <c r="S1549" s="12" t="s">
        <v>4799</v>
      </c>
      <c r="T1549" s="4" t="s">
        <v>2444</v>
      </c>
      <c r="U1549" s="4"/>
      <c r="V1549" s="4"/>
      <c r="W1549" s="5"/>
      <c r="X1549" s="4"/>
      <c r="Y1549" s="4"/>
      <c r="Z1549" s="5"/>
      <c r="AA1549" s="4"/>
      <c r="AB1549" s="4"/>
      <c r="AC1549" s="4"/>
      <c r="AD1549" s="5"/>
      <c r="AE1549" s="5"/>
      <c r="AF1549" s="5"/>
      <c r="AG1549" s="5"/>
      <c r="AH1549" s="5"/>
      <c r="AI1549" s="5"/>
      <c r="AJ1549" s="5"/>
      <c r="AK1549" s="5"/>
      <c r="AL1549" s="5"/>
    </row>
    <row r="1550">
      <c r="A1550" s="4" t="str">
        <f>VLOOKUP(L1550,payment_ids!C:D,2,FALSE)</f>
        <v>pay_HP1ZBFLuqT1DTJ</v>
      </c>
      <c r="B1550" s="4"/>
      <c r="C1550" s="4" t="s">
        <v>4796</v>
      </c>
      <c r="D1550" s="4">
        <v>49996.0</v>
      </c>
      <c r="E1550" s="5"/>
      <c r="F1550" s="4">
        <v>6.0</v>
      </c>
      <c r="G1550" s="4">
        <v>349.0</v>
      </c>
      <c r="H1550" s="4"/>
      <c r="I1550" s="4">
        <v>349.0</v>
      </c>
      <c r="J1550" s="4" t="s">
        <v>4881</v>
      </c>
      <c r="K1550" s="5">
        <f>+918637564797</f>
        <v>918637564797</v>
      </c>
      <c r="L1550" s="4" t="str">
        <f t="shared" si="1"/>
        <v>debdattachakraborty15@gmail.com918637564797</v>
      </c>
      <c r="M1550" s="10" t="s">
        <v>67</v>
      </c>
      <c r="N1550" s="4" t="b">
        <v>0</v>
      </c>
      <c r="O1550" s="4" t="str">
        <f>VLOOKUP(A1550,payment_ids!D:E,2,FALSE)</f>
        <v>upi</v>
      </c>
      <c r="P1550" s="4" t="s">
        <v>69</v>
      </c>
      <c r="Q1550" s="4" t="s">
        <v>4882</v>
      </c>
      <c r="R1550" s="4"/>
      <c r="S1550" s="12" t="s">
        <v>4799</v>
      </c>
      <c r="T1550" s="4" t="s">
        <v>2444</v>
      </c>
      <c r="U1550" s="4"/>
      <c r="V1550" s="4"/>
      <c r="W1550" s="5"/>
      <c r="X1550" s="4"/>
      <c r="Y1550" s="4"/>
      <c r="Z1550" s="5"/>
      <c r="AA1550" s="4"/>
      <c r="AB1550" s="4"/>
      <c r="AC1550" s="4"/>
      <c r="AD1550" s="5"/>
      <c r="AE1550" s="5"/>
      <c r="AF1550" s="5"/>
      <c r="AG1550" s="5"/>
      <c r="AH1550" s="5"/>
      <c r="AI1550" s="5"/>
      <c r="AJ1550" s="5"/>
      <c r="AK1550" s="5"/>
      <c r="AL1550" s="5"/>
    </row>
    <row r="1551">
      <c r="A1551" s="4" t="str">
        <f>VLOOKUP(L1551,payment_ids!C:D,2,FALSE)</f>
        <v>pay_HPbAUrjI1xMHen</v>
      </c>
      <c r="B1551" s="4"/>
      <c r="C1551" s="4" t="s">
        <v>4796</v>
      </c>
      <c r="D1551" s="4">
        <v>49996.0</v>
      </c>
      <c r="E1551" s="5"/>
      <c r="F1551" s="4">
        <v>1.0</v>
      </c>
      <c r="G1551" s="4">
        <v>99.0</v>
      </c>
      <c r="H1551" s="4"/>
      <c r="I1551" s="4">
        <v>99.0</v>
      </c>
      <c r="J1551" s="4" t="s">
        <v>4883</v>
      </c>
      <c r="K1551" s="5">
        <f>+917678024507</f>
        <v>917678024507</v>
      </c>
      <c r="L1551" s="4" t="str">
        <f t="shared" si="1"/>
        <v>shyamalaxmi1991@gmail.com917678024507</v>
      </c>
      <c r="M1551" s="10" t="s">
        <v>67</v>
      </c>
      <c r="N1551" s="4" t="b">
        <v>0</v>
      </c>
      <c r="O1551" s="4" t="str">
        <f>VLOOKUP(A1551,payment_ids!D:E,2,FALSE)</f>
        <v>upi</v>
      </c>
      <c r="P1551" s="4" t="s">
        <v>69</v>
      </c>
      <c r="Q1551" s="4" t="s">
        <v>4884</v>
      </c>
      <c r="R1551" s="4"/>
      <c r="S1551" s="12" t="s">
        <v>4799</v>
      </c>
      <c r="T1551" s="4" t="s">
        <v>2444</v>
      </c>
      <c r="U1551" s="4"/>
      <c r="V1551" s="4"/>
      <c r="W1551" s="5"/>
      <c r="X1551" s="4"/>
      <c r="Y1551" s="4"/>
      <c r="Z1551" s="5"/>
      <c r="AA1551" s="4"/>
      <c r="AB1551" s="4"/>
      <c r="AC1551" s="4"/>
      <c r="AD1551" s="5"/>
      <c r="AE1551" s="5"/>
      <c r="AF1551" s="5"/>
      <c r="AG1551" s="5"/>
      <c r="AH1551" s="5"/>
      <c r="AI1551" s="5"/>
      <c r="AJ1551" s="5"/>
      <c r="AK1551" s="5"/>
      <c r="AL1551" s="5"/>
    </row>
    <row r="1552">
      <c r="A1552" s="4" t="str">
        <f>VLOOKUP(L1552,payment_ids!C:D,2,FALSE)</f>
        <v>pay_HPcLLHwV04tLMk</v>
      </c>
      <c r="B1552" s="4"/>
      <c r="C1552" s="4" t="s">
        <v>4796</v>
      </c>
      <c r="D1552" s="4">
        <v>49996.0</v>
      </c>
      <c r="E1552" s="5"/>
      <c r="F1552" s="4">
        <v>1.0</v>
      </c>
      <c r="G1552" s="4">
        <v>99.0</v>
      </c>
      <c r="H1552" s="4"/>
      <c r="I1552" s="4">
        <v>99.0</v>
      </c>
      <c r="J1552" s="4" t="s">
        <v>4885</v>
      </c>
      <c r="K1552" s="5">
        <f>+917992335992</f>
        <v>917992335992</v>
      </c>
      <c r="L1552" s="4" t="str">
        <f t="shared" si="1"/>
        <v>alinaakhtar72@gmail.com917992335992</v>
      </c>
      <c r="M1552" s="10" t="s">
        <v>67</v>
      </c>
      <c r="N1552" s="4" t="b">
        <v>0</v>
      </c>
      <c r="O1552" s="4" t="str">
        <f>VLOOKUP(A1552,payment_ids!D:E,2,FALSE)</f>
        <v>upi</v>
      </c>
      <c r="P1552" s="4" t="s">
        <v>69</v>
      </c>
      <c r="Q1552" s="4" t="s">
        <v>4886</v>
      </c>
      <c r="R1552" s="4"/>
      <c r="S1552" s="12" t="s">
        <v>4799</v>
      </c>
      <c r="T1552" s="4" t="s">
        <v>2444</v>
      </c>
      <c r="U1552" s="5"/>
      <c r="V1552" s="4"/>
      <c r="W1552" s="5"/>
      <c r="X1552" s="4"/>
      <c r="Y1552" s="4"/>
      <c r="Z1552" s="5"/>
      <c r="AA1552" s="5"/>
      <c r="AB1552" s="4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</row>
    <row r="1553">
      <c r="A1553" s="4" t="str">
        <f>VLOOKUP(L1553,payment_ids!C:D,2,FALSE)</f>
        <v>pay_H87CTspG40d4m0</v>
      </c>
      <c r="B1553" s="4"/>
      <c r="C1553" s="4" t="s">
        <v>4887</v>
      </c>
      <c r="D1553" s="4">
        <v>49951.0</v>
      </c>
      <c r="E1553" s="4"/>
      <c r="F1553" s="4">
        <v>3.0</v>
      </c>
      <c r="G1553" s="4">
        <v>199.0</v>
      </c>
      <c r="H1553" s="4"/>
      <c r="I1553" s="4">
        <v>199.0</v>
      </c>
      <c r="J1553" s="4" t="s">
        <v>4888</v>
      </c>
      <c r="K1553" s="6">
        <f>+918852549108</f>
        <v>918852549108</v>
      </c>
      <c r="L1553" s="4" t="str">
        <f t="shared" si="1"/>
        <v>devilsheel@gmail.com918852549108</v>
      </c>
      <c r="M1553" s="10" t="s">
        <v>67</v>
      </c>
      <c r="N1553" s="4" t="b">
        <v>0</v>
      </c>
      <c r="O1553" s="4" t="str">
        <f>VLOOKUP(A1553,payment_ids!D:E,2,FALSE)</f>
        <v>upi</v>
      </c>
      <c r="P1553" s="4" t="s">
        <v>69</v>
      </c>
      <c r="Q1553" s="11">
        <v>44413.28611111111</v>
      </c>
      <c r="R1553" s="4"/>
      <c r="S1553" s="12" t="s">
        <v>4889</v>
      </c>
      <c r="T1553" s="4"/>
      <c r="U1553" s="4"/>
      <c r="V1553" s="4"/>
      <c r="W1553" s="5"/>
      <c r="X1553" s="4"/>
      <c r="Y1553" s="4"/>
      <c r="Z1553" s="5"/>
      <c r="AA1553" s="4"/>
      <c r="AB1553" s="4"/>
      <c r="AC1553" s="4"/>
      <c r="AD1553" s="5"/>
      <c r="AE1553" s="5"/>
      <c r="AF1553" s="5"/>
      <c r="AG1553" s="5"/>
      <c r="AH1553" s="5"/>
      <c r="AI1553" s="5"/>
      <c r="AJ1553" s="5"/>
      <c r="AK1553" s="5"/>
      <c r="AL1553" s="5"/>
    </row>
    <row r="1554">
      <c r="A1554" s="4" t="str">
        <f>VLOOKUP(L1554,payment_ids!C:D,2,FALSE)</f>
        <v>pay_H8MyirrLWrb56D</v>
      </c>
      <c r="B1554" s="4"/>
      <c r="C1554" s="4" t="s">
        <v>4887</v>
      </c>
      <c r="D1554" s="4">
        <v>49951.0</v>
      </c>
      <c r="E1554" s="4"/>
      <c r="F1554" s="4">
        <v>1.0</v>
      </c>
      <c r="G1554" s="4">
        <v>99.0</v>
      </c>
      <c r="H1554" s="4"/>
      <c r="I1554" s="4">
        <v>99.0</v>
      </c>
      <c r="J1554" s="4" t="s">
        <v>4890</v>
      </c>
      <c r="K1554" s="6">
        <f>+918595475583</f>
        <v>918595475583</v>
      </c>
      <c r="L1554" s="4" t="str">
        <f t="shared" si="1"/>
        <v>anuranjanverma9@gmail.com918595475583</v>
      </c>
      <c r="M1554" s="10" t="s">
        <v>67</v>
      </c>
      <c r="N1554" s="4" t="b">
        <v>0</v>
      </c>
      <c r="O1554" s="4" t="str">
        <f>VLOOKUP(A1554,payment_ids!D:E,2,FALSE)</f>
        <v>upi</v>
      </c>
      <c r="P1554" s="4" t="s">
        <v>69</v>
      </c>
      <c r="Q1554" s="11">
        <v>44413.92916666667</v>
      </c>
      <c r="R1554" s="4"/>
      <c r="S1554" s="12" t="s">
        <v>4889</v>
      </c>
      <c r="T1554" s="4"/>
      <c r="U1554" s="4"/>
      <c r="V1554" s="4"/>
      <c r="W1554" s="5"/>
      <c r="X1554" s="4"/>
      <c r="Y1554" s="4"/>
      <c r="Z1554" s="5"/>
      <c r="AA1554" s="4"/>
      <c r="AB1554" s="4"/>
      <c r="AC1554" s="4"/>
      <c r="AD1554" s="5"/>
      <c r="AE1554" s="5"/>
      <c r="AF1554" s="5"/>
      <c r="AG1554" s="5"/>
      <c r="AH1554" s="5"/>
      <c r="AI1554" s="5"/>
      <c r="AJ1554" s="5"/>
      <c r="AK1554" s="5"/>
      <c r="AL1554" s="5"/>
    </row>
    <row r="1555">
      <c r="A1555" s="4" t="str">
        <f>VLOOKUP(L1555,payment_ids!C:D,2,FALSE)</f>
        <v>pay_H8lvPH0t2ZeeTV</v>
      </c>
      <c r="B1555" s="4"/>
      <c r="C1555" s="4" t="s">
        <v>4887</v>
      </c>
      <c r="D1555" s="4">
        <v>49951.0</v>
      </c>
      <c r="E1555" s="4"/>
      <c r="F1555" s="4">
        <v>1.0</v>
      </c>
      <c r="G1555" s="4">
        <v>99.0</v>
      </c>
      <c r="H1555" s="4"/>
      <c r="I1555" s="4">
        <v>99.0</v>
      </c>
      <c r="J1555" s="4" t="s">
        <v>4891</v>
      </c>
      <c r="K1555" s="6">
        <f>+918349435577</f>
        <v>918349435577</v>
      </c>
      <c r="L1555" s="4" t="str">
        <f t="shared" si="1"/>
        <v>dhwaani@gmail.com918349435577</v>
      </c>
      <c r="M1555" s="10" t="s">
        <v>67</v>
      </c>
      <c r="N1555" s="4" t="b">
        <v>0</v>
      </c>
      <c r="O1555" s="4" t="str">
        <f>VLOOKUP(A1555,payment_ids!D:E,2,FALSE)</f>
        <v>upi</v>
      </c>
      <c r="P1555" s="4" t="s">
        <v>69</v>
      </c>
      <c r="Q1555" s="11">
        <v>44444.94652777778</v>
      </c>
      <c r="R1555" s="4"/>
      <c r="S1555" s="12" t="s">
        <v>4889</v>
      </c>
      <c r="T1555" s="4"/>
      <c r="U1555" s="4"/>
      <c r="V1555" s="4"/>
      <c r="W1555" s="5"/>
      <c r="X1555" s="4"/>
      <c r="Y1555" s="4"/>
      <c r="Z1555" s="5"/>
      <c r="AA1555" s="4"/>
      <c r="AB1555" s="4"/>
      <c r="AC1555" s="4"/>
      <c r="AD1555" s="5"/>
      <c r="AE1555" s="5"/>
      <c r="AF1555" s="5"/>
      <c r="AG1555" s="5"/>
      <c r="AH1555" s="5"/>
      <c r="AI1555" s="5"/>
      <c r="AJ1555" s="5"/>
      <c r="AK1555" s="5"/>
      <c r="AL1555" s="5"/>
    </row>
    <row r="1556">
      <c r="A1556" s="4" t="str">
        <f>VLOOKUP(L1556,payment_ids!C:D,2,FALSE)</f>
        <v>pay_HBIqWUB0XKGVzX</v>
      </c>
      <c r="B1556" s="4"/>
      <c r="C1556" s="4" t="s">
        <v>4887</v>
      </c>
      <c r="D1556" s="4">
        <v>49951.0</v>
      </c>
      <c r="E1556" s="4"/>
      <c r="F1556" s="4">
        <v>3.0</v>
      </c>
      <c r="G1556" s="4">
        <v>199.0</v>
      </c>
      <c r="H1556" s="4"/>
      <c r="I1556" s="4">
        <v>199.0</v>
      </c>
      <c r="J1556" s="4" t="s">
        <v>4892</v>
      </c>
      <c r="K1556" s="6">
        <f>+919987777281</f>
        <v>919987777281</v>
      </c>
      <c r="L1556" s="4" t="str">
        <f t="shared" si="1"/>
        <v>navinmax@gmail.com919987777281</v>
      </c>
      <c r="M1556" s="10" t="s">
        <v>67</v>
      </c>
      <c r="N1556" s="4" t="b">
        <v>0</v>
      </c>
      <c r="O1556" s="4" t="str">
        <f>VLOOKUP(A1556,payment_ids!D:E,2,FALSE)</f>
        <v>upi</v>
      </c>
      <c r="P1556" s="4" t="s">
        <v>69</v>
      </c>
      <c r="Q1556" s="4" t="s">
        <v>4893</v>
      </c>
      <c r="R1556" s="4"/>
      <c r="S1556" s="12" t="s">
        <v>4889</v>
      </c>
      <c r="T1556" s="4"/>
      <c r="U1556" s="4"/>
      <c r="V1556" s="4"/>
      <c r="W1556" s="5"/>
      <c r="X1556" s="4"/>
      <c r="Y1556" s="4"/>
      <c r="Z1556" s="5"/>
      <c r="AA1556" s="4"/>
      <c r="AB1556" s="4"/>
      <c r="AC1556" s="4"/>
      <c r="AD1556" s="5"/>
      <c r="AE1556" s="5"/>
      <c r="AF1556" s="5"/>
      <c r="AG1556" s="5"/>
      <c r="AH1556" s="5"/>
      <c r="AI1556" s="5"/>
      <c r="AJ1556" s="5"/>
      <c r="AK1556" s="5"/>
      <c r="AL1556" s="5"/>
    </row>
    <row r="1557">
      <c r="A1557" s="4" t="str">
        <f>VLOOKUP(L1557,payment_ids!C:D,2,FALSE)</f>
        <v>pay_HBJ2FT2m6pcJ75</v>
      </c>
      <c r="B1557" s="4"/>
      <c r="C1557" s="4" t="s">
        <v>4887</v>
      </c>
      <c r="D1557" s="4">
        <v>49951.0</v>
      </c>
      <c r="E1557" s="4"/>
      <c r="F1557" s="4">
        <v>1.0</v>
      </c>
      <c r="G1557" s="4">
        <v>99.0</v>
      </c>
      <c r="H1557" s="4"/>
      <c r="I1557" s="4">
        <v>99.0</v>
      </c>
      <c r="J1557" s="4" t="s">
        <v>4894</v>
      </c>
      <c r="K1557" s="6">
        <f>+917669668688</f>
        <v>917669668688</v>
      </c>
      <c r="L1557" s="4" t="str">
        <f t="shared" si="1"/>
        <v>siddharthnair350@gmail.com917669668688</v>
      </c>
      <c r="M1557" s="10" t="s">
        <v>67</v>
      </c>
      <c r="N1557" s="4" t="b">
        <v>0</v>
      </c>
      <c r="O1557" s="4" t="str">
        <f>VLOOKUP(A1557,payment_ids!D:E,2,FALSE)</f>
        <v>card</v>
      </c>
      <c r="P1557" s="4" t="s">
        <v>69</v>
      </c>
      <c r="Q1557" s="4" t="s">
        <v>4895</v>
      </c>
      <c r="R1557" s="4"/>
      <c r="S1557" s="12" t="s">
        <v>4889</v>
      </c>
      <c r="T1557" s="4"/>
      <c r="U1557" s="4"/>
      <c r="V1557" s="4"/>
      <c r="W1557" s="5"/>
      <c r="X1557" s="4"/>
      <c r="Y1557" s="4"/>
      <c r="Z1557" s="5"/>
      <c r="AA1557" s="4"/>
      <c r="AB1557" s="4"/>
      <c r="AC1557" s="4"/>
      <c r="AD1557" s="5"/>
      <c r="AE1557" s="5"/>
      <c r="AF1557" s="5"/>
      <c r="AG1557" s="5"/>
      <c r="AH1557" s="5"/>
      <c r="AI1557" s="5"/>
      <c r="AJ1557" s="5"/>
      <c r="AK1557" s="5"/>
      <c r="AL1557" s="5"/>
    </row>
    <row r="1558">
      <c r="A1558" s="4" t="str">
        <f>VLOOKUP(L1558,payment_ids!C:D,2,FALSE)</f>
        <v>pay_HDmmKZd7MgN7cB</v>
      </c>
      <c r="B1558" s="4"/>
      <c r="C1558" s="4" t="s">
        <v>4887</v>
      </c>
      <c r="D1558" s="4">
        <v>49951.0</v>
      </c>
      <c r="E1558" s="4"/>
      <c r="F1558" s="4">
        <v>1.0</v>
      </c>
      <c r="G1558" s="4">
        <v>99.0</v>
      </c>
      <c r="H1558" s="4"/>
      <c r="I1558" s="4">
        <v>99.0</v>
      </c>
      <c r="J1558" s="4" t="s">
        <v>4896</v>
      </c>
      <c r="K1558" s="6">
        <f>+919074543430</f>
        <v>919074543430</v>
      </c>
      <c r="L1558" s="4" t="str">
        <f t="shared" si="1"/>
        <v>allenec1998@gmail.com919074543430</v>
      </c>
      <c r="M1558" s="10" t="s">
        <v>67</v>
      </c>
      <c r="N1558" s="4" t="b">
        <v>0</v>
      </c>
      <c r="O1558" s="4" t="str">
        <f>VLOOKUP(A1558,payment_ids!D:E,2,FALSE)</f>
        <v>upi</v>
      </c>
      <c r="P1558" s="4" t="s">
        <v>69</v>
      </c>
      <c r="Q1558" s="4" t="s">
        <v>4897</v>
      </c>
      <c r="R1558" s="4"/>
      <c r="S1558" s="12" t="s">
        <v>4889</v>
      </c>
      <c r="T1558" s="4"/>
      <c r="U1558" s="4"/>
      <c r="V1558" s="4"/>
      <c r="W1558" s="5"/>
      <c r="X1558" s="4"/>
      <c r="Y1558" s="4"/>
      <c r="Z1558" s="5"/>
      <c r="AA1558" s="4"/>
      <c r="AB1558" s="4"/>
      <c r="AC1558" s="4"/>
      <c r="AD1558" s="5"/>
      <c r="AE1558" s="5"/>
      <c r="AF1558" s="5"/>
      <c r="AG1558" s="5"/>
      <c r="AH1558" s="5"/>
      <c r="AI1558" s="5"/>
      <c r="AJ1558" s="5"/>
      <c r="AK1558" s="5"/>
      <c r="AL1558" s="5"/>
    </row>
    <row r="1559">
      <c r="A1559" s="4" t="str">
        <f>VLOOKUP(L1559,payment_ids!C:D,2,FALSE)</f>
        <v>pay_HDrmMJmDLK4pMh</v>
      </c>
      <c r="B1559" s="4"/>
      <c r="C1559" s="4" t="s">
        <v>4887</v>
      </c>
      <c r="D1559" s="4">
        <v>49951.0</v>
      </c>
      <c r="E1559" s="4"/>
      <c r="F1559" s="4">
        <v>1.0</v>
      </c>
      <c r="G1559" s="4">
        <v>99.0</v>
      </c>
      <c r="H1559" s="4"/>
      <c r="I1559" s="4">
        <v>99.0</v>
      </c>
      <c r="J1559" s="4" t="s">
        <v>4898</v>
      </c>
      <c r="K1559" s="6">
        <f>+919810612213</f>
        <v>919810612213</v>
      </c>
      <c r="L1559" s="4" t="str">
        <f t="shared" si="1"/>
        <v>tandon.yajvin31@gmail.com919810612213</v>
      </c>
      <c r="M1559" s="10" t="s">
        <v>67</v>
      </c>
      <c r="N1559" s="4" t="b">
        <v>0</v>
      </c>
      <c r="O1559" s="4" t="str">
        <f>VLOOKUP(A1559,payment_ids!D:E,2,FALSE)</f>
        <v>upi</v>
      </c>
      <c r="P1559" s="4" t="s">
        <v>69</v>
      </c>
      <c r="Q1559" s="4" t="s">
        <v>4899</v>
      </c>
      <c r="R1559" s="4"/>
      <c r="S1559" s="12" t="s">
        <v>4889</v>
      </c>
      <c r="T1559" s="4"/>
      <c r="U1559" s="4"/>
      <c r="V1559" s="4"/>
      <c r="W1559" s="5"/>
      <c r="X1559" s="4"/>
      <c r="Y1559" s="4"/>
      <c r="Z1559" s="5"/>
      <c r="AA1559" s="4"/>
      <c r="AB1559" s="4"/>
      <c r="AC1559" s="4"/>
      <c r="AD1559" s="5"/>
      <c r="AE1559" s="5"/>
      <c r="AF1559" s="5"/>
      <c r="AG1559" s="5"/>
      <c r="AH1559" s="5"/>
      <c r="AI1559" s="5"/>
      <c r="AJ1559" s="5"/>
      <c r="AK1559" s="5"/>
      <c r="AL1559" s="5"/>
    </row>
    <row r="1560">
      <c r="A1560" s="4" t="str">
        <f>VLOOKUP(L1560,payment_ids!C:D,2,FALSE)</f>
        <v>pay_HEDerGQgedNB1P</v>
      </c>
      <c r="B1560" s="4"/>
      <c r="C1560" s="4" t="s">
        <v>4887</v>
      </c>
      <c r="D1560" s="4">
        <v>49951.0</v>
      </c>
      <c r="E1560" s="4"/>
      <c r="F1560" s="4">
        <v>3.0</v>
      </c>
      <c r="G1560" s="4">
        <v>199.0</v>
      </c>
      <c r="H1560" s="4"/>
      <c r="I1560" s="4">
        <v>199.0</v>
      </c>
      <c r="J1560" s="4" t="s">
        <v>4900</v>
      </c>
      <c r="K1560" s="6">
        <f>+919538232106</f>
        <v>919538232106</v>
      </c>
      <c r="L1560" s="4" t="str">
        <f t="shared" si="1"/>
        <v>pavanganesh990011@gmail.com919538232106</v>
      </c>
      <c r="M1560" s="10" t="s">
        <v>67</v>
      </c>
      <c r="N1560" s="4" t="b">
        <v>0</v>
      </c>
      <c r="O1560" s="4" t="str">
        <f>VLOOKUP(A1560,payment_ids!D:E,2,FALSE)</f>
        <v>upi</v>
      </c>
      <c r="P1560" s="4" t="s">
        <v>69</v>
      </c>
      <c r="Q1560" s="4" t="s">
        <v>4901</v>
      </c>
      <c r="R1560" s="4"/>
      <c r="S1560" s="12" t="s">
        <v>4889</v>
      </c>
      <c r="T1560" s="4"/>
      <c r="U1560" s="4"/>
      <c r="V1560" s="4"/>
      <c r="W1560" s="5"/>
      <c r="X1560" s="4"/>
      <c r="Y1560" s="4"/>
      <c r="Z1560" s="5"/>
      <c r="AA1560" s="4"/>
      <c r="AB1560" s="4"/>
      <c r="AC1560" s="4"/>
      <c r="AD1560" s="5"/>
      <c r="AE1560" s="5"/>
      <c r="AF1560" s="5"/>
      <c r="AG1560" s="5"/>
      <c r="AH1560" s="5"/>
      <c r="AI1560" s="5"/>
      <c r="AJ1560" s="5"/>
      <c r="AK1560" s="5"/>
      <c r="AL1560" s="5"/>
    </row>
    <row r="1561">
      <c r="A1561" s="4" t="str">
        <f>VLOOKUP(L1561,payment_ids!C:D,2,FALSE)</f>
        <v>pay_HEJNgEKbnneDYz</v>
      </c>
      <c r="B1561" s="4"/>
      <c r="C1561" s="4" t="s">
        <v>4887</v>
      </c>
      <c r="D1561" s="4">
        <v>49951.0</v>
      </c>
      <c r="E1561" s="4"/>
      <c r="F1561" s="4">
        <v>1.0</v>
      </c>
      <c r="G1561" s="4">
        <v>99.0</v>
      </c>
      <c r="H1561" s="4"/>
      <c r="I1561" s="4">
        <v>99.0</v>
      </c>
      <c r="J1561" s="4" t="s">
        <v>4902</v>
      </c>
      <c r="K1561" s="6">
        <f>+917024460636</f>
        <v>917024460636</v>
      </c>
      <c r="L1561" s="4" t="str">
        <f t="shared" si="1"/>
        <v>sahu.adityanarayan91@gmail.com917024460636</v>
      </c>
      <c r="M1561" s="10" t="s">
        <v>67</v>
      </c>
      <c r="N1561" s="4" t="b">
        <v>0</v>
      </c>
      <c r="O1561" s="4" t="str">
        <f>VLOOKUP(A1561,payment_ids!D:E,2,FALSE)</f>
        <v>upi</v>
      </c>
      <c r="P1561" s="4" t="s">
        <v>69</v>
      </c>
      <c r="Q1561" s="4" t="s">
        <v>4903</v>
      </c>
      <c r="R1561" s="4"/>
      <c r="S1561" s="12" t="s">
        <v>4889</v>
      </c>
      <c r="T1561" s="4"/>
      <c r="U1561" s="4"/>
      <c r="V1561" s="4"/>
      <c r="W1561" s="5"/>
      <c r="X1561" s="4"/>
      <c r="Y1561" s="4"/>
      <c r="Z1561" s="5"/>
      <c r="AA1561" s="4"/>
      <c r="AB1561" s="4"/>
      <c r="AC1561" s="4"/>
      <c r="AD1561" s="5"/>
      <c r="AE1561" s="5"/>
      <c r="AF1561" s="5"/>
      <c r="AG1561" s="5"/>
      <c r="AH1561" s="5"/>
      <c r="AI1561" s="5"/>
      <c r="AJ1561" s="5"/>
      <c r="AK1561" s="5"/>
      <c r="AL1561" s="5"/>
    </row>
    <row r="1562">
      <c r="A1562" s="4" t="str">
        <f>VLOOKUP(L1562,payment_ids!C:D,2,FALSE)</f>
        <v>pay_HEuvndmMnuMAsH</v>
      </c>
      <c r="B1562" s="4"/>
      <c r="C1562" s="4" t="s">
        <v>4887</v>
      </c>
      <c r="D1562" s="4">
        <v>49951.0</v>
      </c>
      <c r="E1562" s="4"/>
      <c r="F1562" s="4">
        <v>1.0</v>
      </c>
      <c r="G1562" s="4">
        <v>99.0</v>
      </c>
      <c r="H1562" s="4"/>
      <c r="I1562" s="4">
        <v>99.0</v>
      </c>
      <c r="J1562" s="4" t="s">
        <v>4904</v>
      </c>
      <c r="K1562" s="6">
        <f>+919008277578</f>
        <v>919008277578</v>
      </c>
      <c r="L1562" s="4" t="str">
        <f t="shared" si="1"/>
        <v>sohailm074@gmail.com919008277578</v>
      </c>
      <c r="M1562" s="10" t="s">
        <v>67</v>
      </c>
      <c r="N1562" s="4" t="b">
        <v>0</v>
      </c>
      <c r="O1562" s="4" t="str">
        <f>VLOOKUP(A1562,payment_ids!D:E,2,FALSE)</f>
        <v>upi</v>
      </c>
      <c r="P1562" s="4" t="s">
        <v>69</v>
      </c>
      <c r="Q1562" s="4" t="s">
        <v>4905</v>
      </c>
      <c r="R1562" s="4"/>
      <c r="S1562" s="12" t="s">
        <v>4889</v>
      </c>
      <c r="T1562" s="4"/>
      <c r="U1562" s="4"/>
      <c r="V1562" s="4"/>
      <c r="W1562" s="5"/>
      <c r="X1562" s="4"/>
      <c r="Y1562" s="4"/>
      <c r="Z1562" s="5"/>
      <c r="AA1562" s="4"/>
      <c r="AB1562" s="4"/>
      <c r="AC1562" s="4"/>
      <c r="AD1562" s="5"/>
      <c r="AE1562" s="5"/>
      <c r="AF1562" s="5"/>
      <c r="AG1562" s="5"/>
      <c r="AH1562" s="5"/>
      <c r="AI1562" s="5"/>
      <c r="AJ1562" s="5"/>
      <c r="AK1562" s="5"/>
      <c r="AL1562" s="5"/>
    </row>
    <row r="1563">
      <c r="A1563" s="4" t="str">
        <f>VLOOKUP(L1563,payment_ids!C:D,2,FALSE)</f>
        <v>pay_HEvGUb92rrcc33</v>
      </c>
      <c r="B1563" s="4"/>
      <c r="C1563" s="4" t="s">
        <v>4887</v>
      </c>
      <c r="D1563" s="4">
        <v>49951.0</v>
      </c>
      <c r="E1563" s="4"/>
      <c r="F1563" s="4">
        <v>1.0</v>
      </c>
      <c r="G1563" s="4">
        <v>99.0</v>
      </c>
      <c r="H1563" s="4"/>
      <c r="I1563" s="4">
        <v>99.0</v>
      </c>
      <c r="J1563" s="4" t="s">
        <v>4906</v>
      </c>
      <c r="K1563" s="6">
        <f>+918851282042</f>
        <v>918851282042</v>
      </c>
      <c r="L1563" s="4" t="str">
        <f t="shared" si="1"/>
        <v>architgupta0001@gmail.com918851282042</v>
      </c>
      <c r="M1563" s="10" t="s">
        <v>67</v>
      </c>
      <c r="N1563" s="4" t="b">
        <v>0</v>
      </c>
      <c r="O1563" s="4" t="str">
        <f>VLOOKUP(A1563,payment_ids!D:E,2,FALSE)</f>
        <v>upi</v>
      </c>
      <c r="P1563" s="4" t="s">
        <v>69</v>
      </c>
      <c r="Q1563" s="4" t="s">
        <v>4907</v>
      </c>
      <c r="R1563" s="4"/>
      <c r="S1563" s="12" t="s">
        <v>4889</v>
      </c>
      <c r="T1563" s="4"/>
      <c r="U1563" s="4"/>
      <c r="V1563" s="4"/>
      <c r="W1563" s="5"/>
      <c r="X1563" s="4"/>
      <c r="Y1563" s="4"/>
      <c r="Z1563" s="5"/>
      <c r="AA1563" s="4"/>
      <c r="AB1563" s="4"/>
      <c r="AC1563" s="4"/>
      <c r="AD1563" s="5"/>
      <c r="AE1563" s="5"/>
      <c r="AF1563" s="5"/>
      <c r="AG1563" s="5"/>
      <c r="AH1563" s="5"/>
      <c r="AI1563" s="5"/>
      <c r="AJ1563" s="5"/>
      <c r="AK1563" s="5"/>
      <c r="AL1563" s="5"/>
    </row>
    <row r="1564">
      <c r="A1564" s="4" t="str">
        <f>VLOOKUP(L1564,payment_ids!C:D,2,FALSE)</f>
        <v>pay_HFWekyuypP8CLK</v>
      </c>
      <c r="B1564" s="4"/>
      <c r="C1564" s="4" t="s">
        <v>4887</v>
      </c>
      <c r="D1564" s="4">
        <v>49951.0</v>
      </c>
      <c r="E1564" s="5"/>
      <c r="F1564" s="4">
        <v>1.0</v>
      </c>
      <c r="G1564" s="4">
        <v>99.0</v>
      </c>
      <c r="H1564" s="4"/>
      <c r="I1564" s="4">
        <v>99.0</v>
      </c>
      <c r="J1564" s="4" t="s">
        <v>4908</v>
      </c>
      <c r="K1564" s="5">
        <f>+919814726323</f>
        <v>919814726323</v>
      </c>
      <c r="L1564" s="4" t="str">
        <f t="shared" si="1"/>
        <v>jamespayyon2301@gmail.com919814726323</v>
      </c>
      <c r="M1564" s="10" t="s">
        <v>67</v>
      </c>
      <c r="N1564" s="4" t="b">
        <v>0</v>
      </c>
      <c r="O1564" s="4" t="str">
        <f>VLOOKUP(A1564,payment_ids!D:E,2,FALSE)</f>
        <v>upi</v>
      </c>
      <c r="P1564" s="4" t="s">
        <v>69</v>
      </c>
      <c r="Q1564" s="4" t="s">
        <v>4909</v>
      </c>
      <c r="R1564" s="4"/>
      <c r="S1564" s="12" t="s">
        <v>4889</v>
      </c>
      <c r="T1564" s="5"/>
      <c r="U1564" s="4"/>
      <c r="V1564" s="4"/>
      <c r="W1564" s="5"/>
      <c r="X1564" s="4"/>
      <c r="Y1564" s="4"/>
      <c r="Z1564" s="5"/>
      <c r="AA1564" s="4"/>
      <c r="AB1564" s="4"/>
      <c r="AC1564" s="4"/>
      <c r="AD1564" s="5"/>
      <c r="AE1564" s="5"/>
      <c r="AF1564" s="5"/>
      <c r="AG1564" s="5"/>
      <c r="AH1564" s="5"/>
      <c r="AI1564" s="5"/>
      <c r="AJ1564" s="5"/>
      <c r="AK1564" s="5"/>
      <c r="AL1564" s="5"/>
    </row>
    <row r="1565">
      <c r="A1565" s="4" t="str">
        <f>VLOOKUP(L1565,payment_ids!C:D,2,FALSE)</f>
        <v>pay_HFq8115RXDeRD5</v>
      </c>
      <c r="B1565" s="4"/>
      <c r="C1565" s="4" t="s">
        <v>4887</v>
      </c>
      <c r="D1565" s="4">
        <v>49951.0</v>
      </c>
      <c r="E1565" s="5"/>
      <c r="F1565" s="4">
        <v>1.0</v>
      </c>
      <c r="G1565" s="4">
        <v>99.0</v>
      </c>
      <c r="H1565" s="4"/>
      <c r="I1565" s="4">
        <v>99.0</v>
      </c>
      <c r="J1565" s="4" t="s">
        <v>4910</v>
      </c>
      <c r="K1565" s="5">
        <f>+918790964309</f>
        <v>918790964309</v>
      </c>
      <c r="L1565" s="4" t="str">
        <f t="shared" si="1"/>
        <v>manoj3123@gmail.com918790964309</v>
      </c>
      <c r="M1565" s="10" t="s">
        <v>67</v>
      </c>
      <c r="N1565" s="4" t="b">
        <v>0</v>
      </c>
      <c r="O1565" s="4" t="str">
        <f>VLOOKUP(A1565,payment_ids!D:E,2,FALSE)</f>
        <v>upi</v>
      </c>
      <c r="P1565" s="4" t="s">
        <v>69</v>
      </c>
      <c r="Q1565" s="4" t="s">
        <v>4911</v>
      </c>
      <c r="R1565" s="4"/>
      <c r="S1565" s="12" t="s">
        <v>4889</v>
      </c>
      <c r="T1565" s="5"/>
      <c r="U1565" s="4"/>
      <c r="V1565" s="4"/>
      <c r="W1565" s="5"/>
      <c r="X1565" s="11"/>
      <c r="Y1565" s="4"/>
      <c r="Z1565" s="5"/>
      <c r="AA1565" s="4"/>
      <c r="AB1565" s="4"/>
      <c r="AC1565" s="4"/>
      <c r="AD1565" s="5"/>
      <c r="AE1565" s="5"/>
      <c r="AF1565" s="5"/>
      <c r="AG1565" s="5"/>
      <c r="AH1565" s="5"/>
      <c r="AI1565" s="5"/>
      <c r="AJ1565" s="5"/>
      <c r="AK1565" s="5"/>
      <c r="AL1565" s="5"/>
    </row>
    <row r="1566">
      <c r="A1566" s="4" t="str">
        <f>VLOOKUP(L1566,payment_ids!C:D,2,FALSE)</f>
        <v>pay_HG8bf2P76RLkQS</v>
      </c>
      <c r="B1566" s="4"/>
      <c r="C1566" s="4" t="s">
        <v>4887</v>
      </c>
      <c r="D1566" s="4">
        <v>49951.0</v>
      </c>
      <c r="E1566" s="5"/>
      <c r="F1566" s="4">
        <v>1.0</v>
      </c>
      <c r="G1566" s="4">
        <v>99.0</v>
      </c>
      <c r="H1566" s="4"/>
      <c r="I1566" s="4">
        <v>99.0</v>
      </c>
      <c r="J1566" s="4" t="s">
        <v>4912</v>
      </c>
      <c r="K1566" s="5">
        <f>+917899871505</f>
        <v>917899871505</v>
      </c>
      <c r="L1566" s="4" t="str">
        <f t="shared" si="1"/>
        <v>rohitjha30891@yahoo.com917899871505</v>
      </c>
      <c r="M1566" s="10" t="s">
        <v>67</v>
      </c>
      <c r="N1566" s="4" t="b">
        <v>0</v>
      </c>
      <c r="O1566" s="4" t="str">
        <f>VLOOKUP(A1566,payment_ids!D:E,2,FALSE)</f>
        <v>upi</v>
      </c>
      <c r="P1566" s="4" t="s">
        <v>69</v>
      </c>
      <c r="Q1566" s="4" t="s">
        <v>4913</v>
      </c>
      <c r="R1566" s="4"/>
      <c r="S1566" s="12" t="s">
        <v>4889</v>
      </c>
      <c r="T1566" s="5"/>
      <c r="U1566" s="4"/>
      <c r="V1566" s="4"/>
      <c r="W1566" s="5"/>
      <c r="X1566" s="11"/>
      <c r="Y1566" s="4"/>
      <c r="Z1566" s="5"/>
      <c r="AA1566" s="4"/>
      <c r="AB1566" s="4"/>
      <c r="AC1566" s="4"/>
      <c r="AD1566" s="5"/>
      <c r="AE1566" s="5"/>
      <c r="AF1566" s="5"/>
      <c r="AG1566" s="5"/>
      <c r="AH1566" s="5"/>
      <c r="AI1566" s="5"/>
      <c r="AJ1566" s="5"/>
      <c r="AK1566" s="5"/>
      <c r="AL1566" s="5"/>
    </row>
    <row r="1567">
      <c r="A1567" s="4" t="str">
        <f>VLOOKUP(L1567,payment_ids!C:D,2,FALSE)</f>
        <v>pay_HFUCCkz1YtJLvN</v>
      </c>
      <c r="B1567" s="4"/>
      <c r="C1567" s="4" t="s">
        <v>4914</v>
      </c>
      <c r="D1567" s="4">
        <v>50113.0</v>
      </c>
      <c r="E1567" s="4" t="s">
        <v>4915</v>
      </c>
      <c r="F1567" s="4">
        <v>1.0</v>
      </c>
      <c r="G1567" s="4">
        <v>499.0</v>
      </c>
      <c r="H1567" s="4"/>
      <c r="I1567" s="4">
        <v>499.0</v>
      </c>
      <c r="J1567" s="4" t="s">
        <v>4916</v>
      </c>
      <c r="K1567" s="5">
        <f>+919112671859</f>
        <v>919112671859</v>
      </c>
      <c r="L1567" s="4" t="str">
        <f t="shared" si="1"/>
        <v>shrutikamamulkar@gmail.com919112671859</v>
      </c>
      <c r="M1567" s="10" t="s">
        <v>67</v>
      </c>
      <c r="N1567" s="4" t="b">
        <v>0</v>
      </c>
      <c r="O1567" s="4" t="str">
        <f>VLOOKUP(A1567,payment_ids!D:E,2,FALSE)</f>
        <v>upi</v>
      </c>
      <c r="P1567" s="4" t="s">
        <v>69</v>
      </c>
      <c r="Q1567" s="4" t="s">
        <v>4917</v>
      </c>
      <c r="R1567" s="4"/>
      <c r="S1567" s="12" t="s">
        <v>4918</v>
      </c>
      <c r="T1567" s="5"/>
      <c r="U1567" s="4"/>
      <c r="V1567" s="4"/>
      <c r="W1567" s="5"/>
      <c r="X1567" s="11"/>
      <c r="Y1567" s="4"/>
      <c r="Z1567" s="5"/>
      <c r="AA1567" s="4"/>
      <c r="AB1567" s="4"/>
      <c r="AC1567" s="4"/>
      <c r="AD1567" s="5"/>
      <c r="AE1567" s="5"/>
      <c r="AF1567" s="5"/>
      <c r="AG1567" s="5"/>
      <c r="AH1567" s="5"/>
      <c r="AI1567" s="5"/>
      <c r="AJ1567" s="5"/>
      <c r="AK1567" s="5"/>
      <c r="AL1567" s="5"/>
    </row>
    <row r="1568">
      <c r="A1568" s="4" t="str">
        <f>VLOOKUP(L1568,payment_ids!C:D,2,FALSE)</f>
        <v>pay_HG5aZFDDpZQ9DI</v>
      </c>
      <c r="B1568" s="4"/>
      <c r="C1568" s="4" t="s">
        <v>4914</v>
      </c>
      <c r="D1568" s="4">
        <v>50113.0</v>
      </c>
      <c r="E1568" s="4" t="s">
        <v>4919</v>
      </c>
      <c r="F1568" s="4">
        <v>1.0</v>
      </c>
      <c r="G1568" s="4">
        <v>199.0</v>
      </c>
      <c r="H1568" s="4"/>
      <c r="I1568" s="4">
        <v>199.0</v>
      </c>
      <c r="J1568" s="4" t="s">
        <v>4920</v>
      </c>
      <c r="K1568" s="5">
        <f>+919022833093</f>
        <v>919022833093</v>
      </c>
      <c r="L1568" s="4" t="str">
        <f t="shared" si="1"/>
        <v>sushmitasgoswami@gmail.com919022833093</v>
      </c>
      <c r="M1568" s="10" t="s">
        <v>67</v>
      </c>
      <c r="N1568" s="4" t="b">
        <v>0</v>
      </c>
      <c r="O1568" s="4" t="str">
        <f>VLOOKUP(A1568,payment_ids!D:E,2,FALSE)</f>
        <v>upi</v>
      </c>
      <c r="P1568" s="4" t="s">
        <v>69</v>
      </c>
      <c r="Q1568" s="4" t="s">
        <v>4921</v>
      </c>
      <c r="R1568" s="4"/>
      <c r="S1568" s="12" t="s">
        <v>4918</v>
      </c>
      <c r="T1568" s="5"/>
      <c r="U1568" s="4"/>
      <c r="V1568" s="4"/>
      <c r="W1568" s="5"/>
      <c r="X1568" s="11"/>
      <c r="Y1568" s="4"/>
      <c r="Z1568" s="5"/>
      <c r="AA1568" s="4"/>
      <c r="AB1568" s="4"/>
      <c r="AC1568" s="4"/>
      <c r="AD1568" s="5"/>
      <c r="AE1568" s="5"/>
      <c r="AF1568" s="5"/>
      <c r="AG1568" s="5"/>
      <c r="AH1568" s="5"/>
      <c r="AI1568" s="5"/>
      <c r="AJ1568" s="5"/>
      <c r="AK1568" s="5"/>
      <c r="AL1568" s="5"/>
    </row>
    <row r="1569">
      <c r="A1569" s="4" t="str">
        <f>VLOOKUP(L1569,payment_ids!C:D,2,FALSE)</f>
        <v>pay_HG5hsMIj5U1M0S</v>
      </c>
      <c r="B1569" s="4"/>
      <c r="C1569" s="4" t="s">
        <v>4914</v>
      </c>
      <c r="D1569" s="4">
        <v>50113.0</v>
      </c>
      <c r="E1569" s="4" t="s">
        <v>4919</v>
      </c>
      <c r="F1569" s="4">
        <v>1.0</v>
      </c>
      <c r="G1569" s="4">
        <v>199.0</v>
      </c>
      <c r="H1569" s="4"/>
      <c r="I1569" s="4">
        <v>199.0</v>
      </c>
      <c r="J1569" s="4" t="s">
        <v>4922</v>
      </c>
      <c r="K1569" s="5">
        <f>+919594404632</f>
        <v>919594404632</v>
      </c>
      <c r="L1569" s="4" t="str">
        <f t="shared" si="1"/>
        <v>lahotijeet235@gmail.com919594404632</v>
      </c>
      <c r="M1569" s="10" t="s">
        <v>67</v>
      </c>
      <c r="N1569" s="4" t="b">
        <v>0</v>
      </c>
      <c r="O1569" s="4" t="str">
        <f>VLOOKUP(A1569,payment_ids!D:E,2,FALSE)</f>
        <v>upi</v>
      </c>
      <c r="P1569" s="4" t="s">
        <v>69</v>
      </c>
      <c r="Q1569" s="4" t="s">
        <v>4923</v>
      </c>
      <c r="R1569" s="4"/>
      <c r="S1569" s="12" t="s">
        <v>4918</v>
      </c>
      <c r="T1569" s="5"/>
      <c r="U1569" s="4"/>
      <c r="V1569" s="4"/>
      <c r="W1569" s="5"/>
      <c r="X1569" s="11"/>
      <c r="Y1569" s="4"/>
      <c r="Z1569" s="5"/>
      <c r="AA1569" s="4"/>
      <c r="AB1569" s="4"/>
      <c r="AC1569" s="4"/>
      <c r="AD1569" s="5"/>
      <c r="AE1569" s="5"/>
      <c r="AF1569" s="5"/>
      <c r="AG1569" s="5"/>
      <c r="AH1569" s="5"/>
      <c r="AI1569" s="5"/>
      <c r="AJ1569" s="5"/>
      <c r="AK1569" s="5"/>
      <c r="AL1569" s="5"/>
    </row>
    <row r="1570">
      <c r="A1570" s="4" t="str">
        <f>VLOOKUP(L1570,payment_ids!C:D,2,FALSE)</f>
        <v>pay_HG6CJvenUUxWHp</v>
      </c>
      <c r="B1570" s="4"/>
      <c r="C1570" s="4" t="s">
        <v>4914</v>
      </c>
      <c r="D1570" s="4">
        <v>50113.0</v>
      </c>
      <c r="E1570" s="4" t="s">
        <v>4919</v>
      </c>
      <c r="F1570" s="4">
        <v>1.0</v>
      </c>
      <c r="G1570" s="4">
        <v>199.0</v>
      </c>
      <c r="H1570" s="4"/>
      <c r="I1570" s="4">
        <v>199.0</v>
      </c>
      <c r="J1570" s="4" t="s">
        <v>4924</v>
      </c>
      <c r="K1570" s="5">
        <f>+919920492649</f>
        <v>919920492649</v>
      </c>
      <c r="L1570" s="4" t="str">
        <f t="shared" si="1"/>
        <v>aadityavaru@gmail.com919920492649</v>
      </c>
      <c r="M1570" s="10" t="s">
        <v>67</v>
      </c>
      <c r="N1570" s="4" t="b">
        <v>0</v>
      </c>
      <c r="O1570" s="4" t="str">
        <f>VLOOKUP(A1570,payment_ids!D:E,2,FALSE)</f>
        <v>upi</v>
      </c>
      <c r="P1570" s="4" t="s">
        <v>69</v>
      </c>
      <c r="Q1570" s="4" t="s">
        <v>4925</v>
      </c>
      <c r="R1570" s="4"/>
      <c r="S1570" s="12" t="s">
        <v>4918</v>
      </c>
      <c r="T1570" s="5"/>
      <c r="U1570" s="4"/>
      <c r="V1570" s="4"/>
      <c r="W1570" s="5"/>
      <c r="X1570" s="11"/>
      <c r="Y1570" s="4"/>
      <c r="Z1570" s="5"/>
      <c r="AA1570" s="4"/>
      <c r="AB1570" s="4"/>
      <c r="AC1570" s="4"/>
      <c r="AD1570" s="5"/>
      <c r="AE1570" s="5"/>
      <c r="AF1570" s="5"/>
      <c r="AG1570" s="5"/>
      <c r="AH1570" s="5"/>
      <c r="AI1570" s="5"/>
      <c r="AJ1570" s="5"/>
      <c r="AK1570" s="5"/>
      <c r="AL1570" s="5"/>
    </row>
    <row r="1571">
      <c r="A1571" s="4" t="str">
        <f>VLOOKUP(L1571,payment_ids!C:D,2,FALSE)</f>
        <v>pay_HGAMy602r0mJoN</v>
      </c>
      <c r="B1571" s="4"/>
      <c r="C1571" s="4" t="s">
        <v>4914</v>
      </c>
      <c r="D1571" s="4">
        <v>50113.0</v>
      </c>
      <c r="E1571" s="4" t="s">
        <v>4919</v>
      </c>
      <c r="F1571" s="4">
        <v>1.0</v>
      </c>
      <c r="G1571" s="4">
        <v>199.0</v>
      </c>
      <c r="H1571" s="4"/>
      <c r="I1571" s="4">
        <v>199.0</v>
      </c>
      <c r="J1571" s="4" t="s">
        <v>4926</v>
      </c>
      <c r="K1571" s="5">
        <f>+919920117288</f>
        <v>919920117288</v>
      </c>
      <c r="L1571" s="4" t="str">
        <f t="shared" si="1"/>
        <v>ciya182010@gmail.com919920117288</v>
      </c>
      <c r="M1571" s="10" t="s">
        <v>67</v>
      </c>
      <c r="N1571" s="4" t="b">
        <v>0</v>
      </c>
      <c r="O1571" s="4" t="str">
        <f>VLOOKUP(A1571,payment_ids!D:E,2,FALSE)</f>
        <v>upi</v>
      </c>
      <c r="P1571" s="4" t="s">
        <v>69</v>
      </c>
      <c r="Q1571" s="4" t="s">
        <v>4927</v>
      </c>
      <c r="R1571" s="4"/>
      <c r="S1571" s="12" t="s">
        <v>4918</v>
      </c>
      <c r="T1571" s="5"/>
      <c r="U1571" s="4"/>
      <c r="V1571" s="4"/>
      <c r="W1571" s="5"/>
      <c r="X1571" s="11"/>
      <c r="Y1571" s="4"/>
      <c r="Z1571" s="5"/>
      <c r="AA1571" s="4"/>
      <c r="AB1571" s="4"/>
      <c r="AC1571" s="4"/>
      <c r="AD1571" s="5"/>
      <c r="AE1571" s="5"/>
      <c r="AF1571" s="5"/>
      <c r="AG1571" s="5"/>
      <c r="AH1571" s="5"/>
      <c r="AI1571" s="5"/>
      <c r="AJ1571" s="5"/>
      <c r="AK1571" s="5"/>
      <c r="AL1571" s="5"/>
    </row>
    <row r="1572">
      <c r="A1572" s="4" t="str">
        <f>VLOOKUP(L1572,payment_ids!C:D,2,FALSE)</f>
        <v>pay_H9M5oJD8als9Bk</v>
      </c>
      <c r="B1572" s="4"/>
      <c r="C1572" s="4" t="s">
        <v>4914</v>
      </c>
      <c r="D1572" s="4">
        <v>50113.0</v>
      </c>
      <c r="E1572" s="4" t="s">
        <v>4919</v>
      </c>
      <c r="F1572" s="4">
        <v>1.0</v>
      </c>
      <c r="G1572" s="4">
        <v>199.0</v>
      </c>
      <c r="H1572" s="4"/>
      <c r="I1572" s="4">
        <v>199.0</v>
      </c>
      <c r="J1572" s="4" t="s">
        <v>3314</v>
      </c>
      <c r="K1572" s="5">
        <f>+919886346066</f>
        <v>919886346066</v>
      </c>
      <c r="L1572" s="4" t="str">
        <f t="shared" si="1"/>
        <v>vinay.vinay.v@gmail.com919886346066</v>
      </c>
      <c r="M1572" s="10" t="s">
        <v>67</v>
      </c>
      <c r="N1572" s="4" t="b">
        <v>0</v>
      </c>
      <c r="O1572" s="4" t="str">
        <f>VLOOKUP(A1572,payment_ids!D:E,2,FALSE)</f>
        <v>card</v>
      </c>
      <c r="P1572" s="4" t="s">
        <v>69</v>
      </c>
      <c r="Q1572" s="4" t="s">
        <v>4928</v>
      </c>
      <c r="R1572" s="4"/>
      <c r="S1572" s="12" t="s">
        <v>4918</v>
      </c>
      <c r="T1572" s="5"/>
      <c r="U1572" s="4"/>
      <c r="V1572" s="4"/>
      <c r="W1572" s="5"/>
      <c r="X1572" s="11"/>
      <c r="Y1572" s="4"/>
      <c r="Z1572" s="5"/>
      <c r="AA1572" s="4"/>
      <c r="AB1572" s="4"/>
      <c r="AC1572" s="4"/>
      <c r="AD1572" s="5"/>
      <c r="AE1572" s="5"/>
      <c r="AF1572" s="5"/>
      <c r="AG1572" s="5"/>
      <c r="AH1572" s="5"/>
      <c r="AI1572" s="5"/>
      <c r="AJ1572" s="5"/>
      <c r="AK1572" s="5"/>
      <c r="AL1572" s="5"/>
    </row>
    <row r="1573">
      <c r="A1573" s="4" t="str">
        <f>VLOOKUP(L1573,payment_ids!C:D,2,FALSE)</f>
        <v>pay_HGbjLu1E1Saw6q</v>
      </c>
      <c r="B1573" s="4"/>
      <c r="C1573" s="4" t="s">
        <v>4914</v>
      </c>
      <c r="D1573" s="4">
        <v>50113.0</v>
      </c>
      <c r="E1573" s="4" t="s">
        <v>4915</v>
      </c>
      <c r="F1573" s="4">
        <v>1.0</v>
      </c>
      <c r="G1573" s="4">
        <v>499.0</v>
      </c>
      <c r="H1573" s="4"/>
      <c r="I1573" s="4">
        <v>499.0</v>
      </c>
      <c r="J1573" s="4" t="s">
        <v>4929</v>
      </c>
      <c r="K1573" s="5">
        <f>+919121868439</f>
        <v>919121868439</v>
      </c>
      <c r="L1573" s="4" t="str">
        <f t="shared" si="1"/>
        <v>anudeep1770@gmail.com919121868439</v>
      </c>
      <c r="M1573" s="10" t="s">
        <v>67</v>
      </c>
      <c r="N1573" s="4" t="b">
        <v>0</v>
      </c>
      <c r="O1573" s="4" t="str">
        <f>VLOOKUP(A1573,payment_ids!D:E,2,FALSE)</f>
        <v>upi</v>
      </c>
      <c r="P1573" s="4" t="s">
        <v>69</v>
      </c>
      <c r="Q1573" s="4" t="s">
        <v>4930</v>
      </c>
      <c r="R1573" s="4"/>
      <c r="S1573" s="12" t="s">
        <v>4918</v>
      </c>
      <c r="T1573" s="5"/>
      <c r="U1573" s="4"/>
      <c r="V1573" s="4"/>
      <c r="W1573" s="5"/>
      <c r="X1573" s="11"/>
      <c r="Y1573" s="4"/>
      <c r="Z1573" s="5"/>
      <c r="AA1573" s="4"/>
      <c r="AB1573" s="4"/>
      <c r="AC1573" s="4"/>
      <c r="AD1573" s="5"/>
      <c r="AE1573" s="5"/>
      <c r="AF1573" s="5"/>
      <c r="AG1573" s="5"/>
      <c r="AH1573" s="5"/>
      <c r="AI1573" s="5"/>
      <c r="AJ1573" s="5"/>
      <c r="AK1573" s="5"/>
      <c r="AL1573" s="5"/>
    </row>
    <row r="1574">
      <c r="A1574" s="4" t="str">
        <f>VLOOKUP(L1574,payment_ids!C:D,2,FALSE)</f>
        <v>pay_HGsHdqZc9LMmhh</v>
      </c>
      <c r="B1574" s="4"/>
      <c r="C1574" s="4" t="s">
        <v>4914</v>
      </c>
      <c r="D1574" s="4">
        <v>50113.0</v>
      </c>
      <c r="E1574" s="4" t="s">
        <v>4931</v>
      </c>
      <c r="F1574" s="4">
        <v>1.0</v>
      </c>
      <c r="G1574" s="4">
        <v>349.0</v>
      </c>
      <c r="H1574" s="4"/>
      <c r="I1574" s="4">
        <v>349.0</v>
      </c>
      <c r="J1574" s="4" t="s">
        <v>4932</v>
      </c>
      <c r="K1574" s="5">
        <f>+918177802647</f>
        <v>918177802647</v>
      </c>
      <c r="L1574" s="4" t="str">
        <f t="shared" si="1"/>
        <v>aayushsurana12@gmail.com918177802647</v>
      </c>
      <c r="M1574" s="10" t="s">
        <v>67</v>
      </c>
      <c r="N1574" s="4" t="b">
        <v>0</v>
      </c>
      <c r="O1574" s="4" t="str">
        <f>VLOOKUP(A1574,payment_ids!D:E,2,FALSE)</f>
        <v>upi</v>
      </c>
      <c r="P1574" s="4" t="s">
        <v>69</v>
      </c>
      <c r="Q1574" s="4" t="s">
        <v>4933</v>
      </c>
      <c r="R1574" s="4"/>
      <c r="S1574" s="12" t="s">
        <v>4918</v>
      </c>
      <c r="T1574" s="5"/>
      <c r="U1574" s="4"/>
      <c r="V1574" s="4"/>
      <c r="W1574" s="5"/>
      <c r="X1574" s="11"/>
      <c r="Y1574" s="4"/>
      <c r="Z1574" s="5"/>
      <c r="AA1574" s="4"/>
      <c r="AB1574" s="4"/>
      <c r="AC1574" s="4"/>
      <c r="AD1574" s="5"/>
      <c r="AE1574" s="5"/>
      <c r="AF1574" s="5"/>
      <c r="AG1574" s="5"/>
      <c r="AH1574" s="5"/>
      <c r="AI1574" s="5"/>
      <c r="AJ1574" s="5"/>
      <c r="AK1574" s="5"/>
      <c r="AL1574" s="5"/>
    </row>
    <row r="1575">
      <c r="A1575" s="4" t="str">
        <f>VLOOKUP(L1575,payment_ids!C:D,2,FALSE)</f>
        <v>pay_HHKlQNY8U5Gkru</v>
      </c>
      <c r="B1575" s="4"/>
      <c r="C1575" s="4" t="s">
        <v>4914</v>
      </c>
      <c r="D1575" s="4">
        <v>50113.0</v>
      </c>
      <c r="E1575" s="4" t="s">
        <v>4915</v>
      </c>
      <c r="F1575" s="4">
        <v>1.0</v>
      </c>
      <c r="G1575" s="4">
        <v>499.0</v>
      </c>
      <c r="H1575" s="4"/>
      <c r="I1575" s="4">
        <v>499.0</v>
      </c>
      <c r="J1575" s="4" t="s">
        <v>4934</v>
      </c>
      <c r="K1575" s="5">
        <f>+917383237034</f>
        <v>917383237034</v>
      </c>
      <c r="L1575" s="4" t="str">
        <f t="shared" si="1"/>
        <v>nirav.shinde@gmail.com917383237034</v>
      </c>
      <c r="M1575" s="10" t="s">
        <v>67</v>
      </c>
      <c r="N1575" s="4" t="b">
        <v>0</v>
      </c>
      <c r="O1575" s="4" t="str">
        <f>VLOOKUP(A1575,payment_ids!D:E,2,FALSE)</f>
        <v>upi</v>
      </c>
      <c r="P1575" s="4" t="s">
        <v>69</v>
      </c>
      <c r="Q1575" s="4" t="s">
        <v>4935</v>
      </c>
      <c r="R1575" s="4"/>
      <c r="S1575" s="12" t="s">
        <v>4918</v>
      </c>
      <c r="T1575" s="5"/>
      <c r="U1575" s="4"/>
      <c r="V1575" s="11"/>
      <c r="W1575" s="5"/>
      <c r="X1575" s="11"/>
      <c r="Y1575" s="4"/>
      <c r="Z1575" s="5"/>
      <c r="AA1575" s="4"/>
      <c r="AB1575" s="4"/>
      <c r="AC1575" s="4"/>
      <c r="AD1575" s="5"/>
      <c r="AE1575" s="5"/>
      <c r="AF1575" s="5"/>
      <c r="AG1575" s="5"/>
      <c r="AH1575" s="5"/>
      <c r="AI1575" s="5"/>
      <c r="AJ1575" s="5"/>
      <c r="AK1575" s="5"/>
      <c r="AL1575" s="5"/>
    </row>
    <row r="1576">
      <c r="A1576" s="4" t="str">
        <f>VLOOKUP(L1576,payment_ids!C:D,2,FALSE)</f>
        <v>pay_HHT4ebPo3rsibD</v>
      </c>
      <c r="B1576" s="4"/>
      <c r="C1576" s="4" t="s">
        <v>4914</v>
      </c>
      <c r="D1576" s="4">
        <v>50113.0</v>
      </c>
      <c r="E1576" s="4" t="s">
        <v>4919</v>
      </c>
      <c r="F1576" s="4">
        <v>1.0</v>
      </c>
      <c r="G1576" s="4">
        <v>199.0</v>
      </c>
      <c r="H1576" s="4"/>
      <c r="I1576" s="4">
        <v>199.0</v>
      </c>
      <c r="J1576" s="4" t="s">
        <v>3307</v>
      </c>
      <c r="K1576" s="5">
        <f>+917780371637</f>
        <v>917780371637</v>
      </c>
      <c r="L1576" s="4" t="str">
        <f t="shared" si="1"/>
        <v>nagarjunaedx@gmail.com917780371637</v>
      </c>
      <c r="M1576" s="10" t="s">
        <v>67</v>
      </c>
      <c r="N1576" s="4" t="b">
        <v>0</v>
      </c>
      <c r="O1576" s="4" t="str">
        <f>VLOOKUP(A1576,payment_ids!D:E,2,FALSE)</f>
        <v>upi</v>
      </c>
      <c r="P1576" s="4" t="s">
        <v>69</v>
      </c>
      <c r="Q1576" s="4" t="s">
        <v>4936</v>
      </c>
      <c r="R1576" s="4"/>
      <c r="S1576" s="12" t="s">
        <v>4918</v>
      </c>
      <c r="T1576" s="5"/>
      <c r="U1576" s="4"/>
      <c r="V1576" s="11"/>
      <c r="W1576" s="5"/>
      <c r="X1576" s="11"/>
      <c r="Y1576" s="4"/>
      <c r="Z1576" s="5"/>
      <c r="AA1576" s="4"/>
      <c r="AB1576" s="4"/>
      <c r="AC1576" s="4"/>
      <c r="AD1576" s="5"/>
      <c r="AE1576" s="5"/>
      <c r="AF1576" s="5"/>
      <c r="AG1576" s="5"/>
      <c r="AH1576" s="5"/>
      <c r="AI1576" s="5"/>
      <c r="AJ1576" s="5"/>
      <c r="AK1576" s="5"/>
      <c r="AL1576" s="5"/>
    </row>
    <row r="1577">
      <c r="A1577" s="4" t="str">
        <f>VLOOKUP(L1577,payment_ids!C:D,2,FALSE)</f>
        <v>pay_HI400zRU1SUGUJ</v>
      </c>
      <c r="B1577" s="4"/>
      <c r="C1577" s="4" t="s">
        <v>4914</v>
      </c>
      <c r="D1577" s="4">
        <v>50113.0</v>
      </c>
      <c r="E1577" s="4" t="s">
        <v>4915</v>
      </c>
      <c r="F1577" s="4">
        <v>1.0</v>
      </c>
      <c r="G1577" s="4">
        <v>499.0</v>
      </c>
      <c r="H1577" s="4"/>
      <c r="I1577" s="4">
        <v>499.0</v>
      </c>
      <c r="J1577" s="4" t="s">
        <v>4937</v>
      </c>
      <c r="K1577" s="5">
        <f>+919163066743</f>
        <v>919163066743</v>
      </c>
      <c r="L1577" s="4" t="str">
        <f t="shared" si="1"/>
        <v>sayanghosh987@gmail.com919163066743</v>
      </c>
      <c r="M1577" s="10" t="s">
        <v>67</v>
      </c>
      <c r="N1577" s="4" t="b">
        <v>0</v>
      </c>
      <c r="O1577" s="4" t="str">
        <f>VLOOKUP(A1577,payment_ids!D:E,2,FALSE)</f>
        <v>upi</v>
      </c>
      <c r="P1577" s="4" t="s">
        <v>69</v>
      </c>
      <c r="Q1577" s="11">
        <v>44233.427083333336</v>
      </c>
      <c r="R1577" s="4"/>
      <c r="S1577" s="12" t="s">
        <v>4918</v>
      </c>
      <c r="T1577" s="5"/>
      <c r="U1577" s="4"/>
      <c r="V1577" s="11"/>
      <c r="W1577" s="5"/>
      <c r="X1577" s="11"/>
      <c r="Y1577" s="4"/>
      <c r="Z1577" s="5"/>
      <c r="AA1577" s="4"/>
      <c r="AB1577" s="4"/>
      <c r="AC1577" s="4"/>
      <c r="AD1577" s="5"/>
      <c r="AE1577" s="5"/>
      <c r="AF1577" s="5"/>
      <c r="AG1577" s="5"/>
      <c r="AH1577" s="5"/>
      <c r="AI1577" s="5"/>
      <c r="AJ1577" s="5"/>
      <c r="AK1577" s="5"/>
      <c r="AL1577" s="5"/>
    </row>
    <row r="1578">
      <c r="A1578" s="4" t="str">
        <f>VLOOKUP(L1578,payment_ids!C:D,2,FALSE)</f>
        <v>pay_H9O2dvMT4E86QX</v>
      </c>
      <c r="B1578" s="4"/>
      <c r="C1578" s="4" t="s">
        <v>4914</v>
      </c>
      <c r="D1578" s="4">
        <v>50113.0</v>
      </c>
      <c r="E1578" s="4" t="s">
        <v>4931</v>
      </c>
      <c r="F1578" s="4">
        <v>1.0</v>
      </c>
      <c r="G1578" s="4">
        <v>349.0</v>
      </c>
      <c r="H1578" s="4"/>
      <c r="I1578" s="4">
        <v>349.0</v>
      </c>
      <c r="J1578" s="4" t="s">
        <v>3315</v>
      </c>
      <c r="K1578" s="5">
        <f>+919985198322</f>
        <v>919985198322</v>
      </c>
      <c r="L1578" s="4" t="str">
        <f t="shared" si="1"/>
        <v>subhakalak@gmail.com919985198322</v>
      </c>
      <c r="M1578" s="10" t="s">
        <v>67</v>
      </c>
      <c r="N1578" s="4" t="b">
        <v>0</v>
      </c>
      <c r="O1578" s="4" t="str">
        <f>VLOOKUP(A1578,payment_ids!D:E,2,FALSE)</f>
        <v>upi</v>
      </c>
      <c r="P1578" s="4" t="s">
        <v>69</v>
      </c>
      <c r="Q1578" s="11">
        <v>44233.475</v>
      </c>
      <c r="R1578" s="4"/>
      <c r="S1578" s="12" t="s">
        <v>4918</v>
      </c>
      <c r="T1578" s="5"/>
      <c r="U1578" s="4"/>
      <c r="V1578" s="11"/>
      <c r="W1578" s="5"/>
      <c r="X1578" s="11"/>
      <c r="Y1578" s="4"/>
      <c r="Z1578" s="5"/>
      <c r="AA1578" s="4"/>
      <c r="AB1578" s="4"/>
      <c r="AC1578" s="4"/>
      <c r="AD1578" s="5"/>
      <c r="AE1578" s="5"/>
      <c r="AF1578" s="5"/>
      <c r="AG1578" s="5"/>
      <c r="AH1578" s="5"/>
      <c r="AI1578" s="5"/>
      <c r="AJ1578" s="5"/>
      <c r="AK1578" s="5"/>
      <c r="AL1578" s="5"/>
    </row>
    <row r="1579">
      <c r="A1579" s="4" t="str">
        <f>VLOOKUP(L1579,payment_ids!C:D,2,FALSE)</f>
        <v>pay_HIG0gkRYynQxPD</v>
      </c>
      <c r="B1579" s="4"/>
      <c r="C1579" s="4" t="s">
        <v>4914</v>
      </c>
      <c r="D1579" s="4">
        <v>50113.0</v>
      </c>
      <c r="E1579" s="4" t="s">
        <v>4931</v>
      </c>
      <c r="F1579" s="4">
        <v>1.0</v>
      </c>
      <c r="G1579" s="4">
        <v>349.0</v>
      </c>
      <c r="H1579" s="4"/>
      <c r="I1579" s="4">
        <v>349.0</v>
      </c>
      <c r="J1579" s="4" t="s">
        <v>4938</v>
      </c>
      <c r="K1579" s="5">
        <f>+918879556953</f>
        <v>918879556953</v>
      </c>
      <c r="L1579" s="4" t="str">
        <f t="shared" si="1"/>
        <v>juhi.momaya91@gmail.com918879556953</v>
      </c>
      <c r="M1579" s="10" t="s">
        <v>67</v>
      </c>
      <c r="N1579" s="4" t="b">
        <v>0</v>
      </c>
      <c r="O1579" s="4" t="str">
        <f>VLOOKUP(A1579,payment_ids!D:E,2,FALSE)</f>
        <v>card</v>
      </c>
      <c r="P1579" s="4" t="s">
        <v>69</v>
      </c>
      <c r="Q1579" s="11">
        <v>44233.916666666664</v>
      </c>
      <c r="R1579" s="4"/>
      <c r="S1579" s="12" t="s">
        <v>4939</v>
      </c>
      <c r="T1579" s="5"/>
      <c r="U1579" s="4"/>
      <c r="V1579" s="11"/>
      <c r="W1579" s="5"/>
      <c r="X1579" s="11"/>
      <c r="Y1579" s="4"/>
      <c r="Z1579" s="5"/>
      <c r="AA1579" s="4"/>
      <c r="AB1579" s="4"/>
      <c r="AC1579" s="4"/>
      <c r="AD1579" s="5"/>
      <c r="AE1579" s="5"/>
      <c r="AF1579" s="5"/>
      <c r="AG1579" s="5"/>
      <c r="AH1579" s="5"/>
      <c r="AI1579" s="5"/>
      <c r="AJ1579" s="5"/>
      <c r="AK1579" s="5"/>
      <c r="AL1579" s="5"/>
    </row>
    <row r="1580">
      <c r="A1580" s="4" t="str">
        <f>VLOOKUP(L1580,payment_ids!C:D,2,FALSE)</f>
        <v>pay_HIH61nPokSOAdp</v>
      </c>
      <c r="B1580" s="4"/>
      <c r="C1580" s="4" t="s">
        <v>4914</v>
      </c>
      <c r="D1580" s="4">
        <v>50113.0</v>
      </c>
      <c r="E1580" s="4" t="s">
        <v>4915</v>
      </c>
      <c r="F1580" s="4">
        <v>1.0</v>
      </c>
      <c r="G1580" s="4">
        <v>499.0</v>
      </c>
      <c r="H1580" s="4"/>
      <c r="I1580" s="4">
        <v>499.0</v>
      </c>
      <c r="J1580" s="4" t="s">
        <v>4940</v>
      </c>
      <c r="K1580" s="5">
        <f>+919609466980</f>
        <v>919609466980</v>
      </c>
      <c r="L1580" s="4" t="str">
        <f t="shared" si="1"/>
        <v>sahaankita2010@gmail.com919609466980</v>
      </c>
      <c r="M1580" s="10" t="s">
        <v>67</v>
      </c>
      <c r="N1580" s="4" t="b">
        <v>0</v>
      </c>
      <c r="O1580" s="4" t="str">
        <f>VLOOKUP(A1580,payment_ids!D:E,2,FALSE)</f>
        <v>wallet</v>
      </c>
      <c r="P1580" s="4" t="s">
        <v>69</v>
      </c>
      <c r="Q1580" s="11">
        <v>44233.961805555555</v>
      </c>
      <c r="R1580" s="4"/>
      <c r="S1580" s="12" t="s">
        <v>4939</v>
      </c>
      <c r="T1580" s="5"/>
      <c r="U1580" s="4"/>
      <c r="V1580" s="11"/>
      <c r="W1580" s="5"/>
      <c r="X1580" s="11"/>
      <c r="Y1580" s="4"/>
      <c r="Z1580" s="5"/>
      <c r="AA1580" s="4"/>
      <c r="AB1580" s="4"/>
      <c r="AC1580" s="4"/>
      <c r="AD1580" s="5"/>
      <c r="AE1580" s="5"/>
      <c r="AF1580" s="5"/>
      <c r="AG1580" s="5"/>
      <c r="AH1580" s="5"/>
      <c r="AI1580" s="5"/>
      <c r="AJ1580" s="5"/>
      <c r="AK1580" s="5"/>
      <c r="AL1580" s="5"/>
    </row>
    <row r="1581">
      <c r="A1581" s="4" t="str">
        <f>VLOOKUP(L1581,payment_ids!C:D,2,FALSE)</f>
        <v>pay_HIShmLCO4wkXyM</v>
      </c>
      <c r="B1581" s="4"/>
      <c r="C1581" s="4" t="s">
        <v>4914</v>
      </c>
      <c r="D1581" s="4">
        <v>50113.0</v>
      </c>
      <c r="E1581" s="4" t="s">
        <v>4915</v>
      </c>
      <c r="F1581" s="4">
        <v>1.0</v>
      </c>
      <c r="G1581" s="4">
        <v>499.0</v>
      </c>
      <c r="H1581" s="4"/>
      <c r="I1581" s="4">
        <v>499.0</v>
      </c>
      <c r="J1581" s="4" t="s">
        <v>4941</v>
      </c>
      <c r="K1581" s="5">
        <f>+919820586219</f>
        <v>919820586219</v>
      </c>
      <c r="L1581" s="4" t="str">
        <f t="shared" si="1"/>
        <v>darshana.d1011@gmail.com919820586219</v>
      </c>
      <c r="M1581" s="10" t="s">
        <v>67</v>
      </c>
      <c r="N1581" s="4" t="b">
        <v>0</v>
      </c>
      <c r="O1581" s="4" t="str">
        <f>VLOOKUP(A1581,payment_ids!D:E,2,FALSE)</f>
        <v>upi</v>
      </c>
      <c r="P1581" s="4" t="s">
        <v>69</v>
      </c>
      <c r="Q1581" s="11">
        <v>44261.43402777778</v>
      </c>
      <c r="R1581" s="4"/>
      <c r="S1581" s="12" t="s">
        <v>4939</v>
      </c>
      <c r="T1581" s="5"/>
      <c r="U1581" s="4"/>
      <c r="V1581" s="11"/>
      <c r="W1581" s="5"/>
      <c r="X1581" s="11"/>
      <c r="Y1581" s="4"/>
      <c r="Z1581" s="5"/>
      <c r="AA1581" s="4"/>
      <c r="AB1581" s="4"/>
      <c r="AC1581" s="4"/>
      <c r="AD1581" s="5"/>
      <c r="AE1581" s="5"/>
      <c r="AF1581" s="5"/>
      <c r="AG1581" s="5"/>
      <c r="AH1581" s="5"/>
      <c r="AI1581" s="5"/>
      <c r="AJ1581" s="5"/>
      <c r="AK1581" s="5"/>
      <c r="AL1581" s="5"/>
    </row>
    <row r="1582">
      <c r="A1582" s="4" t="str">
        <f>VLOOKUP(L1582,payment_ids!C:D,2,FALSE)</f>
        <v>pay_H7s90KcgRbvZUb</v>
      </c>
      <c r="B1582" s="4"/>
      <c r="C1582" s="4" t="s">
        <v>4914</v>
      </c>
      <c r="D1582" s="4">
        <v>50113.0</v>
      </c>
      <c r="E1582" s="4" t="s">
        <v>4915</v>
      </c>
      <c r="F1582" s="4">
        <v>1.0</v>
      </c>
      <c r="G1582" s="4">
        <v>499.0</v>
      </c>
      <c r="H1582" s="4"/>
      <c r="I1582" s="4">
        <v>499.0</v>
      </c>
      <c r="J1582" s="4" t="s">
        <v>3305</v>
      </c>
      <c r="K1582" s="5">
        <f>+917708066310</f>
        <v>917708066310</v>
      </c>
      <c r="L1582" s="4" t="str">
        <f t="shared" si="1"/>
        <v>harinsrini@gmail.com917708066310</v>
      </c>
      <c r="M1582" s="10" t="s">
        <v>67</v>
      </c>
      <c r="N1582" s="4" t="b">
        <v>0</v>
      </c>
      <c r="O1582" s="4" t="str">
        <f>VLOOKUP(A1582,payment_ids!D:E,2,FALSE)</f>
        <v>upi</v>
      </c>
      <c r="P1582" s="4" t="s">
        <v>69</v>
      </c>
      <c r="Q1582" s="11">
        <v>44261.50486111111</v>
      </c>
      <c r="R1582" s="4"/>
      <c r="S1582" s="12" t="s">
        <v>4939</v>
      </c>
      <c r="T1582" s="5"/>
      <c r="U1582" s="5"/>
      <c r="V1582" s="11"/>
      <c r="W1582" s="5"/>
      <c r="X1582" s="11"/>
      <c r="Y1582" s="4"/>
      <c r="Z1582" s="5"/>
      <c r="AA1582" s="5"/>
      <c r="AB1582" s="4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</row>
    <row r="1583">
      <c r="A1583" s="4" t="str">
        <f>VLOOKUP(L1583,payment_ids!C:D,2,FALSE)</f>
        <v>pay_HD01ogV23FYHBl</v>
      </c>
      <c r="B1583" s="4"/>
      <c r="C1583" s="4" t="s">
        <v>4942</v>
      </c>
      <c r="D1583" s="4">
        <v>50094.0</v>
      </c>
      <c r="E1583" s="4"/>
      <c r="F1583" s="4">
        <v>1.0</v>
      </c>
      <c r="G1583" s="4">
        <v>199.0</v>
      </c>
      <c r="H1583" s="4"/>
      <c r="I1583" s="4">
        <v>199.0</v>
      </c>
      <c r="J1583" s="4" t="s">
        <v>4943</v>
      </c>
      <c r="K1583" s="6">
        <f>+919175417828</f>
        <v>919175417828</v>
      </c>
      <c r="L1583" s="4" t="str">
        <f t="shared" si="1"/>
        <v>rajkumarjagdale9696@gmail.com919175417828</v>
      </c>
      <c r="M1583" s="10" t="s">
        <v>67</v>
      </c>
      <c r="N1583" s="4" t="b">
        <v>0</v>
      </c>
      <c r="O1583" s="4" t="str">
        <f>VLOOKUP(A1583,payment_ids!D:E,2,FALSE)</f>
        <v>upi</v>
      </c>
      <c r="P1583" s="4" t="s">
        <v>69</v>
      </c>
      <c r="Q1583" s="4" t="s">
        <v>4944</v>
      </c>
      <c r="R1583" s="4"/>
      <c r="S1583" s="12" t="s">
        <v>4945</v>
      </c>
      <c r="T1583" s="4"/>
      <c r="U1583" s="4"/>
      <c r="V1583" s="11"/>
      <c r="W1583" s="5"/>
      <c r="X1583" s="11"/>
      <c r="Y1583" s="4"/>
      <c r="Z1583" s="5"/>
      <c r="AA1583" s="4"/>
      <c r="AB1583" s="4"/>
      <c r="AC1583" s="4"/>
      <c r="AD1583" s="5"/>
      <c r="AE1583" s="5"/>
      <c r="AF1583" s="5"/>
      <c r="AG1583" s="5"/>
      <c r="AH1583" s="5"/>
      <c r="AI1583" s="5"/>
      <c r="AJ1583" s="5"/>
      <c r="AK1583" s="5"/>
      <c r="AL1583" s="5"/>
    </row>
    <row r="1584">
      <c r="A1584" s="4" t="str">
        <f>VLOOKUP(L1584,payment_ids!C:D,2,FALSE)</f>
        <v>pay_HD2dOCxrF7MNkP</v>
      </c>
      <c r="B1584" s="4"/>
      <c r="C1584" s="4" t="s">
        <v>4942</v>
      </c>
      <c r="D1584" s="4">
        <v>50094.0</v>
      </c>
      <c r="E1584" s="4"/>
      <c r="F1584" s="4">
        <v>1.0</v>
      </c>
      <c r="G1584" s="4">
        <v>199.0</v>
      </c>
      <c r="H1584" s="4"/>
      <c r="I1584" s="4">
        <v>199.0</v>
      </c>
      <c r="J1584" s="4" t="s">
        <v>4411</v>
      </c>
      <c r="K1584" s="6">
        <f>+918124342599</f>
        <v>918124342599</v>
      </c>
      <c r="L1584" s="4" t="str">
        <f t="shared" si="1"/>
        <v>micheal0827@gmail.com918124342599</v>
      </c>
      <c r="M1584" s="10" t="s">
        <v>67</v>
      </c>
      <c r="N1584" s="4" t="b">
        <v>0</v>
      </c>
      <c r="O1584" s="4" t="str">
        <f>VLOOKUP(A1584,payment_ids!D:E,2,FALSE)</f>
        <v>wallet</v>
      </c>
      <c r="P1584" s="4" t="s">
        <v>69</v>
      </c>
      <c r="Q1584" s="4" t="s">
        <v>4946</v>
      </c>
      <c r="R1584" s="4"/>
      <c r="S1584" s="12" t="s">
        <v>4945</v>
      </c>
      <c r="T1584" s="4"/>
      <c r="U1584" s="4"/>
      <c r="V1584" s="11"/>
      <c r="W1584" s="5"/>
      <c r="X1584" s="11"/>
      <c r="Y1584" s="4"/>
      <c r="Z1584" s="5"/>
      <c r="AA1584" s="4"/>
      <c r="AB1584" s="4"/>
      <c r="AC1584" s="4"/>
      <c r="AD1584" s="5"/>
      <c r="AE1584" s="5"/>
      <c r="AF1584" s="5"/>
      <c r="AG1584" s="5"/>
      <c r="AH1584" s="5"/>
      <c r="AI1584" s="5"/>
      <c r="AJ1584" s="5"/>
      <c r="AK1584" s="5"/>
      <c r="AL1584" s="5"/>
    </row>
    <row r="1585">
      <c r="A1585" s="4" t="str">
        <f>VLOOKUP(L1585,payment_ids!C:D,2,FALSE)</f>
        <v>pay_HDIL9ZTINdSS9v</v>
      </c>
      <c r="B1585" s="4"/>
      <c r="C1585" s="4" t="s">
        <v>4942</v>
      </c>
      <c r="D1585" s="4">
        <v>50094.0</v>
      </c>
      <c r="E1585" s="4"/>
      <c r="F1585" s="4">
        <v>1.0</v>
      </c>
      <c r="G1585" s="4">
        <v>199.0</v>
      </c>
      <c r="H1585" s="4"/>
      <c r="I1585" s="4">
        <v>199.0</v>
      </c>
      <c r="J1585" s="4" t="s">
        <v>4716</v>
      </c>
      <c r="K1585" s="6">
        <f>+916000685506</f>
        <v>916000685506</v>
      </c>
      <c r="L1585" s="4" t="str">
        <f t="shared" si="1"/>
        <v>english@joshtalks.com916000685506</v>
      </c>
      <c r="M1585" s="10" t="s">
        <v>67</v>
      </c>
      <c r="N1585" s="4" t="b">
        <v>0</v>
      </c>
      <c r="O1585" s="4" t="str">
        <f>VLOOKUP(A1585,payment_ids!D:E,2,FALSE)</f>
        <v>card</v>
      </c>
      <c r="P1585" s="4" t="s">
        <v>69</v>
      </c>
      <c r="Q1585" s="4" t="s">
        <v>4947</v>
      </c>
      <c r="R1585" s="4"/>
      <c r="S1585" s="12" t="s">
        <v>4945</v>
      </c>
      <c r="T1585" s="4"/>
      <c r="U1585" s="4"/>
      <c r="V1585" s="11"/>
      <c r="W1585" s="5"/>
      <c r="X1585" s="11"/>
      <c r="Y1585" s="4"/>
      <c r="Z1585" s="5"/>
      <c r="AA1585" s="4"/>
      <c r="AB1585" s="4"/>
      <c r="AC1585" s="4"/>
      <c r="AD1585" s="5"/>
      <c r="AE1585" s="5"/>
      <c r="AF1585" s="5"/>
      <c r="AG1585" s="5"/>
      <c r="AH1585" s="5"/>
      <c r="AI1585" s="5"/>
      <c r="AJ1585" s="5"/>
      <c r="AK1585" s="5"/>
      <c r="AL1585" s="5"/>
    </row>
    <row r="1586">
      <c r="A1586" s="4" t="str">
        <f>VLOOKUP(L1586,payment_ids!C:D,2,FALSE)</f>
        <v>pay_HDg0ZzvpcHahbz</v>
      </c>
      <c r="B1586" s="4"/>
      <c r="C1586" s="4" t="s">
        <v>4942</v>
      </c>
      <c r="D1586" s="4">
        <v>50094.0</v>
      </c>
      <c r="E1586" s="4"/>
      <c r="F1586" s="4">
        <v>1.0</v>
      </c>
      <c r="G1586" s="4">
        <v>199.0</v>
      </c>
      <c r="H1586" s="4"/>
      <c r="I1586" s="4">
        <v>199.0</v>
      </c>
      <c r="J1586" s="4" t="s">
        <v>4948</v>
      </c>
      <c r="K1586" s="6">
        <f>+917878141211</f>
        <v>917878141211</v>
      </c>
      <c r="L1586" s="4" t="str">
        <f t="shared" si="1"/>
        <v>69aaks@gmail.com917878141211</v>
      </c>
      <c r="M1586" s="10" t="s">
        <v>67</v>
      </c>
      <c r="N1586" s="4" t="b">
        <v>0</v>
      </c>
      <c r="O1586" s="4" t="str">
        <f>VLOOKUP(A1586,payment_ids!D:E,2,FALSE)</f>
        <v>upi</v>
      </c>
      <c r="P1586" s="4" t="s">
        <v>69</v>
      </c>
      <c r="Q1586" s="4" t="s">
        <v>4949</v>
      </c>
      <c r="R1586" s="4"/>
      <c r="S1586" s="12" t="s">
        <v>4945</v>
      </c>
      <c r="T1586" s="4"/>
      <c r="U1586" s="4"/>
      <c r="V1586" s="11"/>
      <c r="W1586" s="5"/>
      <c r="X1586" s="11"/>
      <c r="Y1586" s="4"/>
      <c r="Z1586" s="5"/>
      <c r="AA1586" s="4"/>
      <c r="AB1586" s="4"/>
      <c r="AC1586" s="4"/>
      <c r="AD1586" s="5"/>
      <c r="AE1586" s="5"/>
      <c r="AF1586" s="5"/>
      <c r="AG1586" s="5"/>
      <c r="AH1586" s="5"/>
      <c r="AI1586" s="5"/>
      <c r="AJ1586" s="5"/>
      <c r="AK1586" s="5"/>
      <c r="AL1586" s="5"/>
    </row>
    <row r="1587">
      <c r="A1587" s="4" t="str">
        <f>VLOOKUP(L1587,payment_ids!C:D,2,FALSE)</f>
        <v>pay_HDgkY6Ksm8WBDj</v>
      </c>
      <c r="B1587" s="4"/>
      <c r="C1587" s="4" t="s">
        <v>4942</v>
      </c>
      <c r="D1587" s="4">
        <v>50094.0</v>
      </c>
      <c r="E1587" s="4"/>
      <c r="F1587" s="4">
        <v>1.0</v>
      </c>
      <c r="G1587" s="4">
        <v>199.0</v>
      </c>
      <c r="H1587" s="4"/>
      <c r="I1587" s="4">
        <v>199.0</v>
      </c>
      <c r="J1587" s="4" t="s">
        <v>4950</v>
      </c>
      <c r="K1587" s="6">
        <f>+918106234469</f>
        <v>918106234469</v>
      </c>
      <c r="L1587" s="4" t="str">
        <f t="shared" si="1"/>
        <v>wahibalnuzaili101@gmail.com918106234469</v>
      </c>
      <c r="M1587" s="10" t="s">
        <v>67</v>
      </c>
      <c r="N1587" s="4" t="b">
        <v>0</v>
      </c>
      <c r="O1587" s="4" t="str">
        <f>VLOOKUP(A1587,payment_ids!D:E,2,FALSE)</f>
        <v>card</v>
      </c>
      <c r="P1587" s="4" t="s">
        <v>69</v>
      </c>
      <c r="Q1587" s="4" t="s">
        <v>4951</v>
      </c>
      <c r="R1587" s="4"/>
      <c r="S1587" s="12" t="s">
        <v>4945</v>
      </c>
      <c r="T1587" s="4"/>
      <c r="U1587" s="4"/>
      <c r="V1587" s="11"/>
      <c r="W1587" s="5"/>
      <c r="X1587" s="11"/>
      <c r="Y1587" s="4"/>
      <c r="Z1587" s="5"/>
      <c r="AA1587" s="4"/>
      <c r="AB1587" s="4"/>
      <c r="AC1587" s="4"/>
      <c r="AD1587" s="5"/>
      <c r="AE1587" s="5"/>
      <c r="AF1587" s="5"/>
      <c r="AG1587" s="5"/>
      <c r="AH1587" s="5"/>
      <c r="AI1587" s="5"/>
      <c r="AJ1587" s="5"/>
      <c r="AK1587" s="5"/>
      <c r="AL1587" s="5"/>
    </row>
    <row r="1588">
      <c r="A1588" s="4" t="str">
        <f>VLOOKUP(L1588,payment_ids!C:D,2,FALSE)</f>
        <v>pay_HDh1jRvu6nDUzh</v>
      </c>
      <c r="B1588" s="4"/>
      <c r="C1588" s="4" t="s">
        <v>4942</v>
      </c>
      <c r="D1588" s="4">
        <v>50094.0</v>
      </c>
      <c r="E1588" s="4"/>
      <c r="F1588" s="4">
        <v>1.0</v>
      </c>
      <c r="G1588" s="4">
        <v>199.0</v>
      </c>
      <c r="H1588" s="4"/>
      <c r="I1588" s="4">
        <v>199.0</v>
      </c>
      <c r="J1588" s="4" t="s">
        <v>4952</v>
      </c>
      <c r="K1588" s="6">
        <f>+919963402110</f>
        <v>919963402110</v>
      </c>
      <c r="L1588" s="4" t="str">
        <f t="shared" si="1"/>
        <v>varshadurgempudi@gmail.com919963402110</v>
      </c>
      <c r="M1588" s="10" t="s">
        <v>67</v>
      </c>
      <c r="N1588" s="4" t="b">
        <v>0</v>
      </c>
      <c r="O1588" s="4" t="str">
        <f>VLOOKUP(A1588,payment_ids!D:E,2,FALSE)</f>
        <v>upi</v>
      </c>
      <c r="P1588" s="4" t="s">
        <v>69</v>
      </c>
      <c r="Q1588" s="4" t="s">
        <v>4953</v>
      </c>
      <c r="R1588" s="4"/>
      <c r="S1588" s="12" t="s">
        <v>4945</v>
      </c>
      <c r="T1588" s="4"/>
      <c r="U1588" s="4"/>
      <c r="V1588" s="11"/>
      <c r="W1588" s="5"/>
      <c r="X1588" s="11"/>
      <c r="Y1588" s="4"/>
      <c r="Z1588" s="5"/>
      <c r="AA1588" s="4"/>
      <c r="AB1588" s="4"/>
      <c r="AC1588" s="4"/>
      <c r="AD1588" s="5"/>
      <c r="AE1588" s="5"/>
      <c r="AF1588" s="5"/>
      <c r="AG1588" s="5"/>
      <c r="AH1588" s="5"/>
      <c r="AI1588" s="5"/>
      <c r="AJ1588" s="5"/>
      <c r="AK1588" s="5"/>
      <c r="AL1588" s="5"/>
    </row>
    <row r="1589">
      <c r="A1589" s="4" t="str">
        <f>VLOOKUP(L1589,payment_ids!C:D,2,FALSE)</f>
        <v>pay_HDpIODldPSW6SK</v>
      </c>
      <c r="B1589" s="4"/>
      <c r="C1589" s="4" t="s">
        <v>4942</v>
      </c>
      <c r="D1589" s="4">
        <v>50094.0</v>
      </c>
      <c r="E1589" s="4"/>
      <c r="F1589" s="4">
        <v>1.0</v>
      </c>
      <c r="G1589" s="4">
        <v>199.0</v>
      </c>
      <c r="H1589" s="4"/>
      <c r="I1589" s="4">
        <v>199.0</v>
      </c>
      <c r="J1589" s="4" t="s">
        <v>4954</v>
      </c>
      <c r="K1589" s="6">
        <f>+918882590045</f>
        <v>918882590045</v>
      </c>
      <c r="L1589" s="4" t="str">
        <f t="shared" si="1"/>
        <v>tandeljigar27@gmail.com918882590045</v>
      </c>
      <c r="M1589" s="10" t="s">
        <v>67</v>
      </c>
      <c r="N1589" s="4" t="b">
        <v>0</v>
      </c>
      <c r="O1589" s="4" t="str">
        <f>VLOOKUP(A1589,payment_ids!D:E,2,FALSE)</f>
        <v>upi</v>
      </c>
      <c r="P1589" s="4" t="s">
        <v>69</v>
      </c>
      <c r="Q1589" s="4" t="s">
        <v>4955</v>
      </c>
      <c r="R1589" s="4"/>
      <c r="S1589" s="12" t="s">
        <v>4945</v>
      </c>
      <c r="T1589" s="4"/>
      <c r="U1589" s="4"/>
      <c r="V1589" s="11"/>
      <c r="W1589" s="5"/>
      <c r="X1589" s="11"/>
      <c r="Y1589" s="4"/>
      <c r="Z1589" s="5"/>
      <c r="AA1589" s="4"/>
      <c r="AB1589" s="4"/>
      <c r="AC1589" s="4"/>
      <c r="AD1589" s="5"/>
      <c r="AE1589" s="5"/>
      <c r="AF1589" s="5"/>
      <c r="AG1589" s="5"/>
      <c r="AH1589" s="5"/>
      <c r="AI1589" s="5"/>
      <c r="AJ1589" s="5"/>
      <c r="AK1589" s="5"/>
      <c r="AL1589" s="5"/>
    </row>
    <row r="1590">
      <c r="A1590" s="4" t="str">
        <f>VLOOKUP(L1590,payment_ids!C:D,2,FALSE)</f>
        <v>pay_HDnDqFcuUXg7Wz</v>
      </c>
      <c r="B1590" s="4"/>
      <c r="C1590" s="4" t="s">
        <v>4942</v>
      </c>
      <c r="D1590" s="4">
        <v>50094.0</v>
      </c>
      <c r="E1590" s="4"/>
      <c r="F1590" s="4">
        <v>1.0</v>
      </c>
      <c r="G1590" s="4">
        <v>199.0</v>
      </c>
      <c r="H1590" s="4"/>
      <c r="I1590" s="4">
        <v>199.0</v>
      </c>
      <c r="J1590" s="4" t="s">
        <v>4956</v>
      </c>
      <c r="K1590" s="6">
        <f>+919600017323</f>
        <v>919600017323</v>
      </c>
      <c r="L1590" s="4" t="str">
        <f t="shared" si="1"/>
        <v>mathan_tech@rediffmail.com919600017323</v>
      </c>
      <c r="M1590" s="10" t="s">
        <v>67</v>
      </c>
      <c r="N1590" s="4" t="b">
        <v>0</v>
      </c>
      <c r="O1590" s="4" t="str">
        <f>VLOOKUP(A1590,payment_ids!D:E,2,FALSE)</f>
        <v>card</v>
      </c>
      <c r="P1590" s="4" t="s">
        <v>69</v>
      </c>
      <c r="Q1590" s="4" t="s">
        <v>4957</v>
      </c>
      <c r="R1590" s="4"/>
      <c r="S1590" s="12" t="s">
        <v>4945</v>
      </c>
      <c r="T1590" s="4"/>
      <c r="U1590" s="5"/>
      <c r="V1590" s="11"/>
      <c r="W1590" s="5"/>
      <c r="X1590" s="11"/>
      <c r="Y1590" s="4"/>
      <c r="Z1590" s="5"/>
      <c r="AA1590" s="5"/>
      <c r="AB1590" s="4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</row>
    <row r="1591">
      <c r="A1591" s="4" t="str">
        <f>VLOOKUP(L1591,payment_ids!C:D,2,FALSE)</f>
        <v>pay_HE45Kf3kpR6S0p</v>
      </c>
      <c r="B1591" s="4"/>
      <c r="C1591" s="4" t="s">
        <v>4942</v>
      </c>
      <c r="D1591" s="4">
        <v>50094.0</v>
      </c>
      <c r="E1591" s="4"/>
      <c r="F1591" s="4">
        <v>1.0</v>
      </c>
      <c r="G1591" s="4">
        <v>199.0</v>
      </c>
      <c r="H1591" s="4"/>
      <c r="I1591" s="4">
        <v>199.0</v>
      </c>
      <c r="J1591" s="4" t="s">
        <v>4958</v>
      </c>
      <c r="K1591" s="6">
        <f>+917043335745</f>
        <v>917043335745</v>
      </c>
      <c r="L1591" s="4" t="str">
        <f t="shared" si="1"/>
        <v>jitendrabisoi21@gmail.com917043335745</v>
      </c>
      <c r="M1591" s="10" t="s">
        <v>67</v>
      </c>
      <c r="N1591" s="4" t="b">
        <v>0</v>
      </c>
      <c r="O1591" s="4" t="str">
        <f>VLOOKUP(A1591,payment_ids!D:E,2,FALSE)</f>
        <v>upi</v>
      </c>
      <c r="P1591" s="4" t="s">
        <v>69</v>
      </c>
      <c r="Q1591" s="4" t="s">
        <v>4959</v>
      </c>
      <c r="R1591" s="4"/>
      <c r="S1591" s="12" t="s">
        <v>4945</v>
      </c>
      <c r="T1591" s="4"/>
      <c r="U1591" s="4"/>
      <c r="V1591" s="11"/>
      <c r="W1591" s="5"/>
      <c r="X1591" s="11"/>
      <c r="Y1591" s="4"/>
      <c r="Z1591" s="5"/>
      <c r="AA1591" s="4"/>
      <c r="AB1591" s="4"/>
      <c r="AC1591" s="4"/>
      <c r="AD1591" s="5"/>
      <c r="AE1591" s="5"/>
      <c r="AF1591" s="5"/>
      <c r="AG1591" s="5"/>
      <c r="AH1591" s="5"/>
      <c r="AI1591" s="5"/>
      <c r="AJ1591" s="5"/>
      <c r="AK1591" s="5"/>
      <c r="AL1591" s="5"/>
    </row>
    <row r="1592">
      <c r="A1592" s="4" t="str">
        <f>VLOOKUP(L1592,payment_ids!C:D,2,FALSE)</f>
        <v>pay_HE4EmG9D6k71CD</v>
      </c>
      <c r="B1592" s="4"/>
      <c r="C1592" s="4" t="s">
        <v>4942</v>
      </c>
      <c r="D1592" s="4">
        <v>50094.0</v>
      </c>
      <c r="E1592" s="4"/>
      <c r="F1592" s="4">
        <v>1.0</v>
      </c>
      <c r="G1592" s="4">
        <v>199.0</v>
      </c>
      <c r="H1592" s="4"/>
      <c r="I1592" s="4">
        <v>199.0</v>
      </c>
      <c r="J1592" s="4" t="s">
        <v>4960</v>
      </c>
      <c r="K1592" s="6">
        <f>+918143689189</f>
        <v>918143689189</v>
      </c>
      <c r="L1592" s="4" t="str">
        <f t="shared" si="1"/>
        <v>rokhimunnisa@gmail.com918143689189</v>
      </c>
      <c r="M1592" s="10" t="s">
        <v>67</v>
      </c>
      <c r="N1592" s="4" t="b">
        <v>0</v>
      </c>
      <c r="O1592" s="4" t="str">
        <f>VLOOKUP(A1592,payment_ids!D:E,2,FALSE)</f>
        <v>wallet</v>
      </c>
      <c r="P1592" s="4" t="s">
        <v>69</v>
      </c>
      <c r="Q1592" s="4" t="s">
        <v>4961</v>
      </c>
      <c r="R1592" s="4"/>
      <c r="S1592" s="12" t="s">
        <v>4945</v>
      </c>
      <c r="T1592" s="4"/>
      <c r="U1592" s="4"/>
      <c r="V1592" s="11"/>
      <c r="W1592" s="5"/>
      <c r="X1592" s="11"/>
      <c r="Y1592" s="4"/>
      <c r="Z1592" s="5"/>
      <c r="AA1592" s="4"/>
      <c r="AB1592" s="4"/>
      <c r="AC1592" s="4"/>
      <c r="AD1592" s="5"/>
      <c r="AE1592" s="5"/>
      <c r="AF1592" s="5"/>
      <c r="AG1592" s="5"/>
      <c r="AH1592" s="5"/>
      <c r="AI1592" s="5"/>
      <c r="AJ1592" s="5"/>
      <c r="AK1592" s="5"/>
      <c r="AL1592" s="5"/>
    </row>
    <row r="1593">
      <c r="A1593" s="4" t="str">
        <f>VLOOKUP(L1593,payment_ids!C:D,2,FALSE)</f>
        <v>pay_HE75LNZPECd4jS</v>
      </c>
      <c r="B1593" s="4"/>
      <c r="C1593" s="4" t="s">
        <v>4942</v>
      </c>
      <c r="D1593" s="4">
        <v>50094.0</v>
      </c>
      <c r="E1593" s="4"/>
      <c r="F1593" s="4">
        <v>1.0</v>
      </c>
      <c r="G1593" s="4">
        <v>199.0</v>
      </c>
      <c r="H1593" s="4"/>
      <c r="I1593" s="4">
        <v>199.0</v>
      </c>
      <c r="J1593" s="4" t="s">
        <v>4962</v>
      </c>
      <c r="K1593" s="6">
        <f>+917387884516</f>
        <v>917387884516</v>
      </c>
      <c r="L1593" s="4" t="str">
        <f t="shared" si="1"/>
        <v>vinaydharpure97@gmail.com917387884516</v>
      </c>
      <c r="M1593" s="10" t="s">
        <v>67</v>
      </c>
      <c r="N1593" s="4" t="b">
        <v>0</v>
      </c>
      <c r="O1593" s="4" t="str">
        <f>VLOOKUP(A1593,payment_ids!D:E,2,FALSE)</f>
        <v>upi</v>
      </c>
      <c r="P1593" s="4" t="s">
        <v>69</v>
      </c>
      <c r="Q1593" s="4" t="s">
        <v>4963</v>
      </c>
      <c r="R1593" s="4"/>
      <c r="S1593" s="12" t="s">
        <v>4945</v>
      </c>
      <c r="T1593" s="4"/>
      <c r="U1593" s="4"/>
      <c r="V1593" s="11"/>
      <c r="W1593" s="5"/>
      <c r="X1593" s="11"/>
      <c r="Y1593" s="4"/>
      <c r="Z1593" s="5"/>
      <c r="AA1593" s="4"/>
      <c r="AB1593" s="4"/>
      <c r="AC1593" s="4"/>
      <c r="AD1593" s="5"/>
      <c r="AE1593" s="5"/>
      <c r="AF1593" s="5"/>
      <c r="AG1593" s="5"/>
      <c r="AH1593" s="5"/>
      <c r="AI1593" s="5"/>
      <c r="AJ1593" s="5"/>
      <c r="AK1593" s="5"/>
      <c r="AL1593" s="5"/>
    </row>
    <row r="1594">
      <c r="A1594" s="4" t="str">
        <f>VLOOKUP(L1594,payment_ids!C:D,2,FALSE)</f>
        <v>pay_HE7dg4E9RBjWQi</v>
      </c>
      <c r="B1594" s="4"/>
      <c r="C1594" s="4" t="s">
        <v>4942</v>
      </c>
      <c r="D1594" s="4">
        <v>50094.0</v>
      </c>
      <c r="E1594" s="4"/>
      <c r="F1594" s="4">
        <v>1.0</v>
      </c>
      <c r="G1594" s="4">
        <v>199.0</v>
      </c>
      <c r="H1594" s="4"/>
      <c r="I1594" s="4">
        <v>199.0</v>
      </c>
      <c r="J1594" s="4" t="s">
        <v>4964</v>
      </c>
      <c r="K1594" s="6">
        <f>+917337464892</f>
        <v>917337464892</v>
      </c>
      <c r="L1594" s="4" t="str">
        <f t="shared" si="1"/>
        <v>pwani2021@gmail.com917337464892</v>
      </c>
      <c r="M1594" s="10" t="s">
        <v>67</v>
      </c>
      <c r="N1594" s="4" t="b">
        <v>0</v>
      </c>
      <c r="O1594" s="4" t="str">
        <f>VLOOKUP(A1594,payment_ids!D:E,2,FALSE)</f>
        <v>upi</v>
      </c>
      <c r="P1594" s="4" t="s">
        <v>69</v>
      </c>
      <c r="Q1594" s="4" t="s">
        <v>4965</v>
      </c>
      <c r="R1594" s="4"/>
      <c r="S1594" s="12" t="s">
        <v>4945</v>
      </c>
      <c r="T1594" s="4"/>
      <c r="U1594" s="4"/>
      <c r="V1594" s="11"/>
      <c r="W1594" s="5"/>
      <c r="X1594" s="11"/>
      <c r="Y1594" s="4"/>
      <c r="Z1594" s="5"/>
      <c r="AA1594" s="4"/>
      <c r="AB1594" s="4"/>
      <c r="AC1594" s="4"/>
      <c r="AD1594" s="5"/>
      <c r="AE1594" s="5"/>
      <c r="AF1594" s="5"/>
      <c r="AG1594" s="5"/>
      <c r="AH1594" s="5"/>
      <c r="AI1594" s="5"/>
      <c r="AJ1594" s="5"/>
      <c r="AK1594" s="5"/>
      <c r="AL1594" s="5"/>
    </row>
    <row r="1595">
      <c r="A1595" s="4" t="str">
        <f>VLOOKUP(L1595,payment_ids!C:D,2,FALSE)</f>
        <v>pay_HEFVIxyts5Rx6d</v>
      </c>
      <c r="B1595" s="4"/>
      <c r="C1595" s="4" t="s">
        <v>4942</v>
      </c>
      <c r="D1595" s="4">
        <v>50094.0</v>
      </c>
      <c r="E1595" s="4"/>
      <c r="F1595" s="4">
        <v>1.0</v>
      </c>
      <c r="G1595" s="4">
        <v>199.0</v>
      </c>
      <c r="H1595" s="4"/>
      <c r="I1595" s="4">
        <v>199.0</v>
      </c>
      <c r="J1595" s="4" t="s">
        <v>4966</v>
      </c>
      <c r="K1595" s="6">
        <f>+919736533666</f>
        <v>919736533666</v>
      </c>
      <c r="L1595" s="4" t="str">
        <f t="shared" si="1"/>
        <v>ankit_231990@yahoo.co.in919736533666</v>
      </c>
      <c r="M1595" s="10" t="s">
        <v>67</v>
      </c>
      <c r="N1595" s="4" t="b">
        <v>0</v>
      </c>
      <c r="O1595" s="4" t="str">
        <f>VLOOKUP(A1595,payment_ids!D:E,2,FALSE)</f>
        <v>upi</v>
      </c>
      <c r="P1595" s="4" t="s">
        <v>69</v>
      </c>
      <c r="Q1595" s="4" t="s">
        <v>4967</v>
      </c>
      <c r="R1595" s="4"/>
      <c r="S1595" s="12" t="s">
        <v>4945</v>
      </c>
      <c r="T1595" s="4"/>
      <c r="U1595" s="5"/>
      <c r="V1595" s="11"/>
      <c r="W1595" s="5"/>
      <c r="X1595" s="11"/>
      <c r="Y1595" s="4"/>
      <c r="Z1595" s="5"/>
      <c r="AA1595" s="5"/>
      <c r="AB1595" s="4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</row>
    <row r="1596">
      <c r="A1596" s="4" t="str">
        <f>VLOOKUP(L1596,payment_ids!C:D,2,FALSE)</f>
        <v>pay_HEKXPjcpsAGwnf</v>
      </c>
      <c r="B1596" s="4"/>
      <c r="C1596" s="4" t="s">
        <v>4942</v>
      </c>
      <c r="D1596" s="4">
        <v>50094.0</v>
      </c>
      <c r="E1596" s="4"/>
      <c r="F1596" s="4">
        <v>1.0</v>
      </c>
      <c r="G1596" s="4">
        <v>199.0</v>
      </c>
      <c r="H1596" s="4"/>
      <c r="I1596" s="4">
        <v>199.0</v>
      </c>
      <c r="J1596" s="4" t="s">
        <v>4968</v>
      </c>
      <c r="K1596" s="6">
        <f>+919014229391</f>
        <v>919014229391</v>
      </c>
      <c r="L1596" s="4" t="str">
        <f t="shared" si="1"/>
        <v>akulanikitha01@gmail.com919014229391</v>
      </c>
      <c r="M1596" s="10" t="s">
        <v>67</v>
      </c>
      <c r="N1596" s="4" t="b">
        <v>0</v>
      </c>
      <c r="O1596" s="4" t="str">
        <f>VLOOKUP(A1596,payment_ids!D:E,2,FALSE)</f>
        <v>upi</v>
      </c>
      <c r="P1596" s="4" t="s">
        <v>69</v>
      </c>
      <c r="Q1596" s="4" t="s">
        <v>4969</v>
      </c>
      <c r="R1596" s="4"/>
      <c r="S1596" s="12" t="s">
        <v>4945</v>
      </c>
      <c r="T1596" s="4"/>
      <c r="U1596" s="4"/>
      <c r="V1596" s="11"/>
      <c r="W1596" s="5"/>
      <c r="X1596" s="11"/>
      <c r="Y1596" s="4"/>
      <c r="Z1596" s="5"/>
      <c r="AA1596" s="4"/>
      <c r="AB1596" s="4"/>
      <c r="AC1596" s="4"/>
      <c r="AD1596" s="5"/>
      <c r="AE1596" s="5"/>
      <c r="AF1596" s="5"/>
      <c r="AG1596" s="5"/>
      <c r="AH1596" s="5"/>
      <c r="AI1596" s="5"/>
      <c r="AJ1596" s="5"/>
      <c r="AK1596" s="5"/>
      <c r="AL1596" s="5"/>
    </row>
    <row r="1597">
      <c r="A1597" s="4" t="str">
        <f>VLOOKUP(L1597,payment_ids!C:D,2,FALSE)</f>
        <v>pay_HEMlUCKQKzZ3kv</v>
      </c>
      <c r="B1597" s="4"/>
      <c r="C1597" s="4" t="s">
        <v>4942</v>
      </c>
      <c r="D1597" s="4">
        <v>50094.0</v>
      </c>
      <c r="E1597" s="4"/>
      <c r="F1597" s="4">
        <v>1.0</v>
      </c>
      <c r="G1597" s="4">
        <v>199.0</v>
      </c>
      <c r="H1597" s="4"/>
      <c r="I1597" s="4">
        <v>199.0</v>
      </c>
      <c r="J1597" s="4" t="s">
        <v>4970</v>
      </c>
      <c r="K1597" s="6">
        <f>+919632519290</f>
        <v>919632519290</v>
      </c>
      <c r="L1597" s="4" t="str">
        <f t="shared" si="1"/>
        <v>nadimmeeranavar@gmail.com919632519290</v>
      </c>
      <c r="M1597" s="10" t="s">
        <v>67</v>
      </c>
      <c r="N1597" s="4" t="b">
        <v>0</v>
      </c>
      <c r="O1597" s="4" t="str">
        <f>VLOOKUP(A1597,payment_ids!D:E,2,FALSE)</f>
        <v>upi</v>
      </c>
      <c r="P1597" s="4" t="s">
        <v>69</v>
      </c>
      <c r="Q1597" s="4" t="s">
        <v>4971</v>
      </c>
      <c r="R1597" s="4"/>
      <c r="S1597" s="12" t="s">
        <v>4945</v>
      </c>
      <c r="T1597" s="4"/>
      <c r="U1597" s="4"/>
      <c r="V1597" s="11"/>
      <c r="W1597" s="5"/>
      <c r="X1597" s="11"/>
      <c r="Y1597" s="4"/>
      <c r="Z1597" s="5"/>
      <c r="AA1597" s="4"/>
      <c r="AB1597" s="4"/>
      <c r="AC1597" s="4"/>
      <c r="AD1597" s="5"/>
      <c r="AE1597" s="5"/>
      <c r="AF1597" s="5"/>
      <c r="AG1597" s="5"/>
      <c r="AH1597" s="5"/>
      <c r="AI1597" s="5"/>
      <c r="AJ1597" s="5"/>
      <c r="AK1597" s="5"/>
      <c r="AL1597" s="5"/>
    </row>
    <row r="1598">
      <c r="A1598" s="4" t="str">
        <f>VLOOKUP(L1598,payment_ids!C:D,2,FALSE)</f>
        <v>pay_HEWV10ZMQS5Po9</v>
      </c>
      <c r="B1598" s="4"/>
      <c r="C1598" s="4" t="s">
        <v>4942</v>
      </c>
      <c r="D1598" s="4">
        <v>50094.0</v>
      </c>
      <c r="E1598" s="4"/>
      <c r="F1598" s="4">
        <v>3.0</v>
      </c>
      <c r="G1598" s="4">
        <v>399.0</v>
      </c>
      <c r="H1598" s="4"/>
      <c r="I1598" s="4">
        <v>399.0</v>
      </c>
      <c r="J1598" s="4" t="s">
        <v>4972</v>
      </c>
      <c r="K1598" s="6">
        <f>+919966884366</f>
        <v>919966884366</v>
      </c>
      <c r="L1598" s="4" t="str">
        <f t="shared" si="1"/>
        <v>bunykartik@gmail.com919966884366</v>
      </c>
      <c r="M1598" s="10" t="s">
        <v>67</v>
      </c>
      <c r="N1598" s="4" t="b">
        <v>0</v>
      </c>
      <c r="O1598" s="4" t="str">
        <f>VLOOKUP(A1598,payment_ids!D:E,2,FALSE)</f>
        <v>card</v>
      </c>
      <c r="P1598" s="4" t="s">
        <v>69</v>
      </c>
      <c r="Q1598" s="4" t="s">
        <v>4973</v>
      </c>
      <c r="R1598" s="4"/>
      <c r="S1598" s="12" t="s">
        <v>4945</v>
      </c>
      <c r="T1598" s="4"/>
      <c r="U1598" s="4"/>
      <c r="V1598" s="11"/>
      <c r="W1598" s="5"/>
      <c r="X1598" s="11"/>
      <c r="Y1598" s="4"/>
      <c r="Z1598" s="5"/>
      <c r="AA1598" s="4"/>
      <c r="AB1598" s="4"/>
      <c r="AC1598" s="4"/>
      <c r="AD1598" s="5"/>
      <c r="AE1598" s="5"/>
      <c r="AF1598" s="5"/>
      <c r="AG1598" s="5"/>
      <c r="AH1598" s="5"/>
      <c r="AI1598" s="5"/>
      <c r="AJ1598" s="5"/>
      <c r="AK1598" s="5"/>
      <c r="AL1598" s="5"/>
    </row>
    <row r="1599">
      <c r="A1599" s="4" t="str">
        <f>VLOOKUP(L1599,payment_ids!C:D,2,FALSE)</f>
        <v>pay_HEYPx9893XjPBQ</v>
      </c>
      <c r="B1599" s="4"/>
      <c r="C1599" s="4" t="s">
        <v>4942</v>
      </c>
      <c r="D1599" s="4">
        <v>50094.0</v>
      </c>
      <c r="E1599" s="4"/>
      <c r="F1599" s="4">
        <v>1.0</v>
      </c>
      <c r="G1599" s="4">
        <v>199.0</v>
      </c>
      <c r="H1599" s="4"/>
      <c r="I1599" s="4">
        <v>199.0</v>
      </c>
      <c r="J1599" s="4" t="s">
        <v>4974</v>
      </c>
      <c r="K1599" s="6">
        <f>+919048459533</f>
        <v>919048459533</v>
      </c>
      <c r="L1599" s="4" t="str">
        <f t="shared" si="1"/>
        <v>prabha.viji@gmail.com919048459533</v>
      </c>
      <c r="M1599" s="10" t="s">
        <v>67</v>
      </c>
      <c r="N1599" s="4" t="b">
        <v>0</v>
      </c>
      <c r="O1599" s="4" t="str">
        <f>VLOOKUP(A1599,payment_ids!D:E,2,FALSE)</f>
        <v>upi</v>
      </c>
      <c r="P1599" s="4" t="s">
        <v>69</v>
      </c>
      <c r="Q1599" s="4" t="s">
        <v>4975</v>
      </c>
      <c r="R1599" s="4"/>
      <c r="S1599" s="12" t="s">
        <v>4945</v>
      </c>
      <c r="T1599" s="4"/>
      <c r="U1599" s="5"/>
      <c r="V1599" s="11"/>
      <c r="W1599" s="5"/>
      <c r="X1599" s="11"/>
      <c r="Y1599" s="4"/>
      <c r="Z1599" s="5"/>
      <c r="AA1599" s="5"/>
      <c r="AB1599" s="4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</row>
    <row r="1600">
      <c r="A1600" s="4" t="str">
        <f>VLOOKUP(L1600,payment_ids!C:D,2,FALSE)</f>
        <v>pay_HEajIY3yD5Aogd</v>
      </c>
      <c r="B1600" s="4"/>
      <c r="C1600" s="4" t="s">
        <v>4942</v>
      </c>
      <c r="D1600" s="4">
        <v>50094.0</v>
      </c>
      <c r="E1600" s="4"/>
      <c r="F1600" s="4">
        <v>1.0</v>
      </c>
      <c r="G1600" s="4">
        <v>199.0</v>
      </c>
      <c r="H1600" s="4"/>
      <c r="I1600" s="4">
        <v>199.0</v>
      </c>
      <c r="J1600" s="4" t="s">
        <v>4976</v>
      </c>
      <c r="K1600" s="6">
        <f>+917877699937</f>
        <v>917877699937</v>
      </c>
      <c r="L1600" s="4" t="str">
        <f t="shared" si="1"/>
        <v>bisanidiksha65@gmail.com917877699937</v>
      </c>
      <c r="M1600" s="10" t="s">
        <v>67</v>
      </c>
      <c r="N1600" s="4" t="b">
        <v>0</v>
      </c>
      <c r="O1600" s="4" t="str">
        <f>VLOOKUP(A1600,payment_ids!D:E,2,FALSE)</f>
        <v>upi</v>
      </c>
      <c r="P1600" s="4" t="s">
        <v>69</v>
      </c>
      <c r="Q1600" s="4" t="s">
        <v>3233</v>
      </c>
      <c r="R1600" s="4"/>
      <c r="S1600" s="12" t="s">
        <v>4945</v>
      </c>
      <c r="T1600" s="4"/>
      <c r="U1600" s="4"/>
      <c r="V1600" s="11"/>
      <c r="W1600" s="5"/>
      <c r="X1600" s="11"/>
      <c r="Y1600" s="4"/>
      <c r="Z1600" s="5"/>
      <c r="AA1600" s="4"/>
      <c r="AB1600" s="4"/>
      <c r="AC1600" s="4"/>
      <c r="AD1600" s="5"/>
      <c r="AE1600" s="5"/>
      <c r="AF1600" s="5"/>
      <c r="AG1600" s="5"/>
      <c r="AH1600" s="5"/>
      <c r="AI1600" s="5"/>
      <c r="AJ1600" s="5"/>
      <c r="AK1600" s="5"/>
      <c r="AL1600" s="5"/>
    </row>
    <row r="1601">
      <c r="A1601" s="4" t="str">
        <f>VLOOKUP(L1601,payment_ids!C:D,2,FALSE)</f>
        <v>pay_HEbXds66Un2ekR</v>
      </c>
      <c r="B1601" s="4"/>
      <c r="C1601" s="4" t="s">
        <v>4942</v>
      </c>
      <c r="D1601" s="4">
        <v>50094.0</v>
      </c>
      <c r="E1601" s="4"/>
      <c r="F1601" s="4">
        <v>1.0</v>
      </c>
      <c r="G1601" s="4">
        <v>199.0</v>
      </c>
      <c r="H1601" s="4"/>
      <c r="I1601" s="4">
        <v>199.0</v>
      </c>
      <c r="J1601" s="4" t="s">
        <v>4977</v>
      </c>
      <c r="K1601" s="6">
        <f>+919309728226</f>
        <v>919309728226</v>
      </c>
      <c r="L1601" s="4" t="str">
        <f t="shared" si="1"/>
        <v>gurumahajan21@gmail.com919309728226</v>
      </c>
      <c r="M1601" s="10" t="s">
        <v>67</v>
      </c>
      <c r="N1601" s="4" t="b">
        <v>0</v>
      </c>
      <c r="O1601" s="4" t="str">
        <f>VLOOKUP(A1601,payment_ids!D:E,2,FALSE)</f>
        <v>upi</v>
      </c>
      <c r="P1601" s="4" t="s">
        <v>69</v>
      </c>
      <c r="Q1601" s="4" t="s">
        <v>4978</v>
      </c>
      <c r="R1601" s="4"/>
      <c r="S1601" s="12" t="s">
        <v>4945</v>
      </c>
      <c r="T1601" s="4"/>
      <c r="U1601" s="4"/>
      <c r="V1601" s="11"/>
      <c r="W1601" s="5"/>
      <c r="X1601" s="11"/>
      <c r="Y1601" s="4"/>
      <c r="Z1601" s="5"/>
      <c r="AA1601" s="4"/>
      <c r="AB1601" s="4"/>
      <c r="AC1601" s="4"/>
      <c r="AD1601" s="5"/>
      <c r="AE1601" s="5"/>
      <c r="AF1601" s="5"/>
      <c r="AG1601" s="5"/>
      <c r="AH1601" s="5"/>
      <c r="AI1601" s="5"/>
      <c r="AJ1601" s="5"/>
      <c r="AK1601" s="5"/>
      <c r="AL1601" s="5"/>
    </row>
    <row r="1602">
      <c r="A1602" s="4" t="str">
        <f>VLOOKUP(L1602,payment_ids!C:D,2,FALSE)</f>
        <v>pay_HE8K0dMmFWaSJA</v>
      </c>
      <c r="B1602" s="4"/>
      <c r="C1602" s="4" t="s">
        <v>4942</v>
      </c>
      <c r="D1602" s="4">
        <v>50094.0</v>
      </c>
      <c r="E1602" s="4"/>
      <c r="F1602" s="4">
        <v>1.0</v>
      </c>
      <c r="G1602" s="4">
        <v>199.0</v>
      </c>
      <c r="H1602" s="4"/>
      <c r="I1602" s="4">
        <v>199.0</v>
      </c>
      <c r="J1602" s="4" t="s">
        <v>4979</v>
      </c>
      <c r="K1602" s="6">
        <f>+919011010337</f>
        <v>919011010337</v>
      </c>
      <c r="L1602" s="4" t="str">
        <f t="shared" si="1"/>
        <v>aniket.dodke@gmail.com919011010337</v>
      </c>
      <c r="M1602" s="10" t="s">
        <v>67</v>
      </c>
      <c r="N1602" s="4" t="b">
        <v>0</v>
      </c>
      <c r="O1602" s="4" t="str">
        <f>VLOOKUP(A1602,payment_ids!D:E,2,FALSE)</f>
        <v>upi</v>
      </c>
      <c r="P1602" s="4" t="s">
        <v>69</v>
      </c>
      <c r="Q1602" s="4" t="s">
        <v>4078</v>
      </c>
      <c r="R1602" s="4"/>
      <c r="S1602" s="12" t="s">
        <v>4945</v>
      </c>
      <c r="T1602" s="4"/>
      <c r="U1602" s="5"/>
      <c r="V1602" s="11"/>
      <c r="W1602" s="5"/>
      <c r="X1602" s="11"/>
      <c r="Y1602" s="4"/>
      <c r="Z1602" s="5"/>
      <c r="AA1602" s="5"/>
      <c r="AB1602" s="4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</row>
    <row r="1603">
      <c r="A1603" s="4" t="str">
        <f>VLOOKUP(L1603,payment_ids!C:D,2,FALSE)</f>
        <v>pay_HEcXsVa1FPtPx4</v>
      </c>
      <c r="B1603" s="4"/>
      <c r="C1603" s="4" t="s">
        <v>4942</v>
      </c>
      <c r="D1603" s="4">
        <v>50094.0</v>
      </c>
      <c r="E1603" s="4"/>
      <c r="F1603" s="4">
        <v>3.0</v>
      </c>
      <c r="G1603" s="4">
        <v>399.0</v>
      </c>
      <c r="H1603" s="4"/>
      <c r="I1603" s="4">
        <v>399.0</v>
      </c>
      <c r="J1603" s="4" t="s">
        <v>4980</v>
      </c>
      <c r="K1603" s="6">
        <f>+919072826014</f>
        <v>919072826014</v>
      </c>
      <c r="L1603" s="4" t="str">
        <f t="shared" si="1"/>
        <v>mahmoodeadnan881@gmail.com919072826014</v>
      </c>
      <c r="M1603" s="10" t="s">
        <v>67</v>
      </c>
      <c r="N1603" s="4" t="b">
        <v>0</v>
      </c>
      <c r="O1603" s="4" t="str">
        <f>VLOOKUP(A1603,payment_ids!D:E,2,FALSE)</f>
        <v>upi</v>
      </c>
      <c r="P1603" s="4" t="s">
        <v>69</v>
      </c>
      <c r="Q1603" s="4" t="s">
        <v>4981</v>
      </c>
      <c r="R1603" s="4"/>
      <c r="S1603" s="12" t="s">
        <v>4945</v>
      </c>
      <c r="T1603" s="4"/>
      <c r="U1603" s="4"/>
      <c r="V1603" s="11"/>
      <c r="W1603" s="5"/>
      <c r="X1603" s="11"/>
      <c r="Y1603" s="4"/>
      <c r="Z1603" s="5"/>
      <c r="AA1603" s="4"/>
      <c r="AB1603" s="4"/>
      <c r="AC1603" s="4"/>
      <c r="AD1603" s="5"/>
      <c r="AE1603" s="5"/>
      <c r="AF1603" s="5"/>
      <c r="AG1603" s="5"/>
      <c r="AH1603" s="5"/>
      <c r="AI1603" s="5"/>
      <c r="AJ1603" s="5"/>
      <c r="AK1603" s="5"/>
      <c r="AL1603" s="5"/>
    </row>
    <row r="1604">
      <c r="A1604" s="4" t="str">
        <f>VLOOKUP(L1604,payment_ids!C:D,2,FALSE)</f>
        <v>pay_HEjOMOq48THFpO</v>
      </c>
      <c r="B1604" s="4"/>
      <c r="C1604" s="4" t="s">
        <v>4942</v>
      </c>
      <c r="D1604" s="4">
        <v>50094.0</v>
      </c>
      <c r="E1604" s="4"/>
      <c r="F1604" s="4">
        <v>1.0</v>
      </c>
      <c r="G1604" s="4">
        <v>199.0</v>
      </c>
      <c r="H1604" s="4"/>
      <c r="I1604" s="4">
        <v>199.0</v>
      </c>
      <c r="J1604" s="4" t="s">
        <v>4982</v>
      </c>
      <c r="K1604" s="6">
        <f>+918699952797</f>
        <v>918699952797</v>
      </c>
      <c r="L1604" s="4" t="str">
        <f t="shared" si="1"/>
        <v>aakash8699952797@gmail.com918699952797</v>
      </c>
      <c r="M1604" s="10" t="s">
        <v>67</v>
      </c>
      <c r="N1604" s="4" t="b">
        <v>0</v>
      </c>
      <c r="O1604" s="4" t="str">
        <f>VLOOKUP(A1604,payment_ids!D:E,2,FALSE)</f>
        <v>wallet</v>
      </c>
      <c r="P1604" s="4" t="s">
        <v>69</v>
      </c>
      <c r="Q1604" s="4" t="s">
        <v>4983</v>
      </c>
      <c r="R1604" s="4"/>
      <c r="S1604" s="12" t="s">
        <v>4945</v>
      </c>
      <c r="T1604" s="4"/>
      <c r="U1604" s="4"/>
      <c r="V1604" s="11"/>
      <c r="W1604" s="5"/>
      <c r="X1604" s="11"/>
      <c r="Y1604" s="4"/>
      <c r="Z1604" s="5"/>
      <c r="AA1604" s="4"/>
      <c r="AB1604" s="4"/>
      <c r="AC1604" s="4"/>
      <c r="AD1604" s="5"/>
      <c r="AE1604" s="5"/>
      <c r="AF1604" s="5"/>
      <c r="AG1604" s="5"/>
      <c r="AH1604" s="5"/>
      <c r="AI1604" s="5"/>
      <c r="AJ1604" s="5"/>
      <c r="AK1604" s="5"/>
      <c r="AL1604" s="5"/>
    </row>
    <row r="1605">
      <c r="A1605" s="4" t="str">
        <f>VLOOKUP(L1605,payment_ids!C:D,2,FALSE)</f>
        <v>pay_HEkKLtUvLlPhkI</v>
      </c>
      <c r="B1605" s="4"/>
      <c r="C1605" s="4" t="s">
        <v>4942</v>
      </c>
      <c r="D1605" s="4">
        <v>50094.0</v>
      </c>
      <c r="E1605" s="4"/>
      <c r="F1605" s="4">
        <v>1.0</v>
      </c>
      <c r="G1605" s="4">
        <v>199.0</v>
      </c>
      <c r="H1605" s="4"/>
      <c r="I1605" s="4">
        <v>199.0</v>
      </c>
      <c r="J1605" s="4" t="s">
        <v>4984</v>
      </c>
      <c r="K1605" s="6">
        <f>+917428684107</f>
        <v>917428684107</v>
      </c>
      <c r="L1605" s="4" t="str">
        <f t="shared" si="1"/>
        <v>prashantkumarsanu66@gmail.com917428684107</v>
      </c>
      <c r="M1605" s="10" t="s">
        <v>67</v>
      </c>
      <c r="N1605" s="4" t="b">
        <v>0</v>
      </c>
      <c r="O1605" s="4" t="str">
        <f>VLOOKUP(A1605,payment_ids!D:E,2,FALSE)</f>
        <v>wallet</v>
      </c>
      <c r="P1605" s="4" t="s">
        <v>69</v>
      </c>
      <c r="Q1605" s="4" t="s">
        <v>4985</v>
      </c>
      <c r="R1605" s="4"/>
      <c r="S1605" s="12" t="s">
        <v>4945</v>
      </c>
      <c r="T1605" s="4"/>
      <c r="U1605" s="4"/>
      <c r="V1605" s="11"/>
      <c r="W1605" s="5"/>
      <c r="X1605" s="11"/>
      <c r="Y1605" s="4"/>
      <c r="Z1605" s="5"/>
      <c r="AA1605" s="4"/>
      <c r="AB1605" s="4"/>
      <c r="AC1605" s="4"/>
      <c r="AD1605" s="5"/>
      <c r="AE1605" s="5"/>
      <c r="AF1605" s="5"/>
      <c r="AG1605" s="5"/>
      <c r="AH1605" s="5"/>
      <c r="AI1605" s="5"/>
      <c r="AJ1605" s="5"/>
      <c r="AK1605" s="5"/>
      <c r="AL1605" s="5"/>
    </row>
    <row r="1606">
      <c r="A1606" s="4" t="str">
        <f>VLOOKUP(L1606,payment_ids!C:D,2,FALSE)</f>
        <v>pay_HEwZZ17R448MQG</v>
      </c>
      <c r="B1606" s="4"/>
      <c r="C1606" s="4" t="s">
        <v>4942</v>
      </c>
      <c r="D1606" s="4">
        <v>50094.0</v>
      </c>
      <c r="E1606" s="4"/>
      <c r="F1606" s="4">
        <v>1.0</v>
      </c>
      <c r="G1606" s="4">
        <v>199.0</v>
      </c>
      <c r="H1606" s="4"/>
      <c r="I1606" s="4">
        <v>199.0</v>
      </c>
      <c r="J1606" s="4" t="s">
        <v>4986</v>
      </c>
      <c r="K1606" s="6">
        <f>+917976914935</f>
        <v>917976914935</v>
      </c>
      <c r="L1606" s="4" t="str">
        <f t="shared" si="1"/>
        <v>kuldeep.s.singh94@gnail.com917976914935</v>
      </c>
      <c r="M1606" s="10" t="s">
        <v>67</v>
      </c>
      <c r="N1606" s="4" t="b">
        <v>0</v>
      </c>
      <c r="O1606" s="4" t="str">
        <f>VLOOKUP(A1606,payment_ids!D:E,2,FALSE)</f>
        <v>upi</v>
      </c>
      <c r="P1606" s="4" t="s">
        <v>69</v>
      </c>
      <c r="Q1606" s="4" t="s">
        <v>4987</v>
      </c>
      <c r="R1606" s="4"/>
      <c r="S1606" s="12" t="s">
        <v>4945</v>
      </c>
      <c r="T1606" s="4"/>
      <c r="U1606" s="4"/>
      <c r="V1606" s="11"/>
      <c r="W1606" s="5"/>
      <c r="X1606" s="11"/>
      <c r="Y1606" s="4"/>
      <c r="Z1606" s="5"/>
      <c r="AA1606" s="4"/>
      <c r="AB1606" s="4"/>
      <c r="AC1606" s="4"/>
      <c r="AD1606" s="5"/>
      <c r="AE1606" s="5"/>
      <c r="AF1606" s="5"/>
      <c r="AG1606" s="5"/>
      <c r="AH1606" s="5"/>
      <c r="AI1606" s="5"/>
      <c r="AJ1606" s="5"/>
      <c r="AK1606" s="5"/>
      <c r="AL1606" s="5"/>
    </row>
    <row r="1607">
      <c r="A1607" s="4" t="str">
        <f>VLOOKUP(L1607,payment_ids!C:D,2,FALSE)</f>
        <v>pay_HEdJtegiE2LBaO</v>
      </c>
      <c r="B1607" s="4"/>
      <c r="C1607" s="4" t="s">
        <v>4942</v>
      </c>
      <c r="D1607" s="4">
        <v>50094.0</v>
      </c>
      <c r="E1607" s="4"/>
      <c r="F1607" s="4">
        <v>1.0</v>
      </c>
      <c r="G1607" s="4">
        <v>199.0</v>
      </c>
      <c r="H1607" s="4"/>
      <c r="I1607" s="4">
        <v>199.0</v>
      </c>
      <c r="J1607" s="4" t="s">
        <v>4988</v>
      </c>
      <c r="K1607" s="6">
        <f>+919654420504</f>
        <v>919654420504</v>
      </c>
      <c r="L1607" s="4" t="str">
        <f t="shared" si="1"/>
        <v>ajay.prosupp@gmail.com919654420504</v>
      </c>
      <c r="M1607" s="10" t="s">
        <v>67</v>
      </c>
      <c r="N1607" s="4" t="b">
        <v>0</v>
      </c>
      <c r="O1607" s="4" t="str">
        <f>VLOOKUP(A1607,payment_ids!D:E,2,FALSE)</f>
        <v>card</v>
      </c>
      <c r="P1607" s="4" t="s">
        <v>69</v>
      </c>
      <c r="Q1607" s="4" t="s">
        <v>4989</v>
      </c>
      <c r="R1607" s="4"/>
      <c r="S1607" s="12" t="s">
        <v>4945</v>
      </c>
      <c r="T1607" s="4"/>
      <c r="U1607" s="4"/>
      <c r="V1607" s="11"/>
      <c r="W1607" s="5"/>
      <c r="X1607" s="11"/>
      <c r="Y1607" s="4"/>
      <c r="Z1607" s="5"/>
      <c r="AA1607" s="4"/>
      <c r="AB1607" s="4"/>
      <c r="AC1607" s="4"/>
      <c r="AD1607" s="5"/>
      <c r="AE1607" s="5"/>
      <c r="AF1607" s="5"/>
      <c r="AG1607" s="5"/>
      <c r="AH1607" s="5"/>
      <c r="AI1607" s="5"/>
      <c r="AJ1607" s="5"/>
      <c r="AK1607" s="5"/>
      <c r="AL1607" s="5"/>
    </row>
    <row r="1608">
      <c r="A1608" s="4" t="str">
        <f>VLOOKUP(L1608,payment_ids!C:D,2,FALSE)</f>
        <v>pay_HF1sEog8L1Z9t6</v>
      </c>
      <c r="B1608" s="4"/>
      <c r="C1608" s="4" t="s">
        <v>4942</v>
      </c>
      <c r="D1608" s="4">
        <v>50094.0</v>
      </c>
      <c r="E1608" s="4"/>
      <c r="F1608" s="4">
        <v>1.0</v>
      </c>
      <c r="G1608" s="4">
        <v>199.0</v>
      </c>
      <c r="H1608" s="4"/>
      <c r="I1608" s="4">
        <v>199.0</v>
      </c>
      <c r="J1608" s="4" t="s">
        <v>4990</v>
      </c>
      <c r="K1608" s="6">
        <f>+918250425302</f>
        <v>918250425302</v>
      </c>
      <c r="L1608" s="4" t="str">
        <f t="shared" si="1"/>
        <v>ayanhalder242@gmail.com918250425302</v>
      </c>
      <c r="M1608" s="10" t="s">
        <v>67</v>
      </c>
      <c r="N1608" s="4" t="b">
        <v>0</v>
      </c>
      <c r="O1608" s="4" t="str">
        <f>VLOOKUP(A1608,payment_ids!D:E,2,FALSE)</f>
        <v>upi</v>
      </c>
      <c r="P1608" s="4" t="s">
        <v>69</v>
      </c>
      <c r="Q1608" s="4" t="s">
        <v>4991</v>
      </c>
      <c r="R1608" s="4"/>
      <c r="S1608" s="12" t="s">
        <v>4945</v>
      </c>
      <c r="T1608" s="4"/>
      <c r="U1608" s="4"/>
      <c r="V1608" s="11"/>
      <c r="W1608" s="5"/>
      <c r="X1608" s="11"/>
      <c r="Y1608" s="4"/>
      <c r="Z1608" s="5"/>
      <c r="AA1608" s="4"/>
      <c r="AB1608" s="4"/>
      <c r="AC1608" s="4"/>
      <c r="AD1608" s="5"/>
      <c r="AE1608" s="5"/>
      <c r="AF1608" s="5"/>
      <c r="AG1608" s="5"/>
      <c r="AH1608" s="5"/>
      <c r="AI1608" s="5"/>
      <c r="AJ1608" s="5"/>
      <c r="AK1608" s="5"/>
      <c r="AL1608" s="5"/>
    </row>
    <row r="1609">
      <c r="A1609" s="4" t="str">
        <f>VLOOKUP(L1609,payment_ids!C:D,2,FALSE)</f>
        <v>pay_HEV0s9BGLOk26g</v>
      </c>
      <c r="B1609" s="4"/>
      <c r="C1609" s="4" t="s">
        <v>4942</v>
      </c>
      <c r="D1609" s="4">
        <v>50094.0</v>
      </c>
      <c r="E1609" s="5"/>
      <c r="F1609" s="4">
        <v>1.0</v>
      </c>
      <c r="G1609" s="4">
        <v>199.0</v>
      </c>
      <c r="H1609" s="4"/>
      <c r="I1609" s="4">
        <v>199.0</v>
      </c>
      <c r="J1609" s="4" t="s">
        <v>4992</v>
      </c>
      <c r="K1609" s="5">
        <f>+917510807872</f>
        <v>917510807872</v>
      </c>
      <c r="L1609" s="4" t="str">
        <f t="shared" si="1"/>
        <v>vishnumt7872@gmail.com917510807872</v>
      </c>
      <c r="M1609" s="10" t="s">
        <v>67</v>
      </c>
      <c r="N1609" s="4" t="b">
        <v>0</v>
      </c>
      <c r="O1609" s="4" t="str">
        <f>VLOOKUP(A1609,payment_ids!D:E,2,FALSE)</f>
        <v>card</v>
      </c>
      <c r="P1609" s="4" t="s">
        <v>69</v>
      </c>
      <c r="Q1609" s="4" t="s">
        <v>4993</v>
      </c>
      <c r="R1609" s="4"/>
      <c r="S1609" s="12" t="s">
        <v>4945</v>
      </c>
      <c r="T1609" s="5"/>
      <c r="U1609" s="4"/>
      <c r="V1609" s="11"/>
      <c r="W1609" s="5"/>
      <c r="X1609" s="11"/>
      <c r="Y1609" s="4"/>
      <c r="Z1609" s="5"/>
      <c r="AA1609" s="4"/>
      <c r="AB1609" s="4"/>
      <c r="AC1609" s="4"/>
      <c r="AD1609" s="5"/>
      <c r="AE1609" s="5"/>
      <c r="AF1609" s="5"/>
      <c r="AG1609" s="5"/>
      <c r="AH1609" s="5"/>
      <c r="AI1609" s="5"/>
      <c r="AJ1609" s="5"/>
      <c r="AK1609" s="5"/>
      <c r="AL1609" s="5"/>
    </row>
    <row r="1610">
      <c r="A1610" s="4" t="str">
        <f>VLOOKUP(L1610,payment_ids!C:D,2,FALSE)</f>
        <v>pay_HFLFQ8logie3lV</v>
      </c>
      <c r="B1610" s="4"/>
      <c r="C1610" s="4" t="s">
        <v>4942</v>
      </c>
      <c r="D1610" s="4">
        <v>50094.0</v>
      </c>
      <c r="E1610" s="5"/>
      <c r="F1610" s="4">
        <v>1.0</v>
      </c>
      <c r="G1610" s="4">
        <v>199.0</v>
      </c>
      <c r="H1610" s="4"/>
      <c r="I1610" s="4">
        <v>199.0</v>
      </c>
      <c r="J1610" s="4" t="s">
        <v>4994</v>
      </c>
      <c r="K1610" s="5">
        <f>+918527152938</f>
        <v>918527152938</v>
      </c>
      <c r="L1610" s="4" t="str">
        <f t="shared" si="1"/>
        <v>sxnlovely@gmail.com918527152938</v>
      </c>
      <c r="M1610" s="10" t="s">
        <v>67</v>
      </c>
      <c r="N1610" s="4" t="b">
        <v>0</v>
      </c>
      <c r="O1610" s="4" t="str">
        <f>VLOOKUP(A1610,payment_ids!D:E,2,FALSE)</f>
        <v>wallet</v>
      </c>
      <c r="P1610" s="4" t="s">
        <v>69</v>
      </c>
      <c r="Q1610" s="4" t="s">
        <v>4995</v>
      </c>
      <c r="R1610" s="4"/>
      <c r="S1610" s="12" t="s">
        <v>4945</v>
      </c>
      <c r="T1610" s="5"/>
      <c r="U1610" s="4"/>
      <c r="V1610" s="11"/>
      <c r="W1610" s="5"/>
      <c r="X1610" s="11"/>
      <c r="Y1610" s="4"/>
      <c r="Z1610" s="5"/>
      <c r="AA1610" s="4"/>
      <c r="AB1610" s="4"/>
      <c r="AC1610" s="4"/>
      <c r="AD1610" s="5"/>
      <c r="AE1610" s="5"/>
      <c r="AF1610" s="5"/>
      <c r="AG1610" s="5"/>
      <c r="AH1610" s="5"/>
      <c r="AI1610" s="5"/>
      <c r="AJ1610" s="5"/>
      <c r="AK1610" s="5"/>
      <c r="AL1610" s="5"/>
    </row>
    <row r="1611">
      <c r="A1611" s="4" t="str">
        <f>VLOOKUP(L1611,payment_ids!C:D,2,FALSE)</f>
        <v>pay_HEzVpuAkECmlDQ</v>
      </c>
      <c r="B1611" s="4"/>
      <c r="C1611" s="4" t="s">
        <v>4942</v>
      </c>
      <c r="D1611" s="4">
        <v>50094.0</v>
      </c>
      <c r="E1611" s="5"/>
      <c r="F1611" s="4">
        <v>1.0</v>
      </c>
      <c r="G1611" s="4">
        <v>199.0</v>
      </c>
      <c r="H1611" s="4"/>
      <c r="I1611" s="4">
        <v>199.0</v>
      </c>
      <c r="J1611" s="4" t="s">
        <v>4996</v>
      </c>
      <c r="K1611" s="5">
        <f>+916201980084</f>
        <v>916201980084</v>
      </c>
      <c r="L1611" s="4" t="str">
        <f t="shared" si="1"/>
        <v>abhisheknirala900@gmail.com916201980084</v>
      </c>
      <c r="M1611" s="10" t="s">
        <v>67</v>
      </c>
      <c r="N1611" s="4" t="b">
        <v>0</v>
      </c>
      <c r="O1611" s="4" t="str">
        <f>VLOOKUP(A1611,payment_ids!D:E,2,FALSE)</f>
        <v>card</v>
      </c>
      <c r="P1611" s="4" t="s">
        <v>69</v>
      </c>
      <c r="Q1611" s="4" t="s">
        <v>4997</v>
      </c>
      <c r="R1611" s="4"/>
      <c r="S1611" s="12" t="s">
        <v>4945</v>
      </c>
      <c r="T1611" s="5"/>
      <c r="U1611" s="4"/>
      <c r="V1611" s="11"/>
      <c r="W1611" s="5"/>
      <c r="X1611" s="11"/>
      <c r="Y1611" s="4"/>
      <c r="Z1611" s="5"/>
      <c r="AA1611" s="4"/>
      <c r="AB1611" s="4"/>
      <c r="AC1611" s="4"/>
      <c r="AD1611" s="5"/>
      <c r="AE1611" s="5"/>
      <c r="AF1611" s="5"/>
      <c r="AG1611" s="5"/>
      <c r="AH1611" s="5"/>
      <c r="AI1611" s="5"/>
      <c r="AJ1611" s="5"/>
      <c r="AK1611" s="5"/>
      <c r="AL1611" s="5"/>
    </row>
    <row r="1612">
      <c r="A1612" s="4" t="str">
        <f>VLOOKUP(L1612,payment_ids!C:D,2,FALSE)</f>
        <v>pay_HFRMB7ZZO5q7rS</v>
      </c>
      <c r="B1612" s="4"/>
      <c r="C1612" s="4" t="s">
        <v>4942</v>
      </c>
      <c r="D1612" s="4">
        <v>50094.0</v>
      </c>
      <c r="E1612" s="5"/>
      <c r="F1612" s="4">
        <v>1.0</v>
      </c>
      <c r="G1612" s="4">
        <v>199.0</v>
      </c>
      <c r="H1612" s="4"/>
      <c r="I1612" s="4">
        <v>199.0</v>
      </c>
      <c r="J1612" s="4" t="s">
        <v>4998</v>
      </c>
      <c r="K1612" s="5">
        <f>+917993092367</f>
        <v>917993092367</v>
      </c>
      <c r="L1612" s="4" t="str">
        <f t="shared" si="1"/>
        <v>kalyankadium2@gmail.com917993092367</v>
      </c>
      <c r="M1612" s="10" t="s">
        <v>67</v>
      </c>
      <c r="N1612" s="4" t="b">
        <v>0</v>
      </c>
      <c r="O1612" s="4" t="str">
        <f>VLOOKUP(A1612,payment_ids!D:E,2,FALSE)</f>
        <v>upi</v>
      </c>
      <c r="P1612" s="4" t="s">
        <v>69</v>
      </c>
      <c r="Q1612" s="4" t="s">
        <v>4999</v>
      </c>
      <c r="R1612" s="4"/>
      <c r="S1612" s="12" t="s">
        <v>4945</v>
      </c>
      <c r="T1612" s="5"/>
      <c r="U1612" s="4"/>
      <c r="V1612" s="11"/>
      <c r="W1612" s="5"/>
      <c r="X1612" s="11"/>
      <c r="Y1612" s="4"/>
      <c r="Z1612" s="5"/>
      <c r="AA1612" s="4"/>
      <c r="AB1612" s="4"/>
      <c r="AC1612" s="4"/>
      <c r="AD1612" s="5"/>
      <c r="AE1612" s="5"/>
      <c r="AF1612" s="5"/>
      <c r="AG1612" s="5"/>
      <c r="AH1612" s="5"/>
      <c r="AI1612" s="5"/>
      <c r="AJ1612" s="5"/>
      <c r="AK1612" s="5"/>
      <c r="AL1612" s="5"/>
    </row>
    <row r="1613">
      <c r="A1613" s="4" t="str">
        <f>VLOOKUP(L1613,payment_ids!C:D,2,FALSE)</f>
        <v>pay_HFUJuZkW2o5BdQ</v>
      </c>
      <c r="B1613" s="4"/>
      <c r="C1613" s="4" t="s">
        <v>4942</v>
      </c>
      <c r="D1613" s="4">
        <v>50094.0</v>
      </c>
      <c r="E1613" s="5"/>
      <c r="F1613" s="4">
        <v>1.0</v>
      </c>
      <c r="G1613" s="4">
        <v>199.0</v>
      </c>
      <c r="H1613" s="4"/>
      <c r="I1613" s="4">
        <v>199.0</v>
      </c>
      <c r="J1613" s="4" t="s">
        <v>5000</v>
      </c>
      <c r="K1613" s="5">
        <f>+919043262735</f>
        <v>919043262735</v>
      </c>
      <c r="L1613" s="4" t="str">
        <f t="shared" si="1"/>
        <v>mailtoarulkumar602@gmail.com919043262735</v>
      </c>
      <c r="M1613" s="10" t="s">
        <v>67</v>
      </c>
      <c r="N1613" s="4" t="b">
        <v>0</v>
      </c>
      <c r="O1613" s="4" t="str">
        <f>VLOOKUP(A1613,payment_ids!D:E,2,FALSE)</f>
        <v>upi</v>
      </c>
      <c r="P1613" s="4" t="s">
        <v>69</v>
      </c>
      <c r="Q1613" s="4" t="s">
        <v>5001</v>
      </c>
      <c r="R1613" s="4"/>
      <c r="S1613" s="12" t="s">
        <v>4945</v>
      </c>
      <c r="T1613" s="5"/>
      <c r="U1613" s="4"/>
      <c r="V1613" s="11"/>
      <c r="W1613" s="5"/>
      <c r="X1613" s="11"/>
      <c r="Y1613" s="4"/>
      <c r="Z1613" s="5"/>
      <c r="AA1613" s="4"/>
      <c r="AB1613" s="4"/>
      <c r="AC1613" s="4"/>
      <c r="AD1613" s="5"/>
      <c r="AE1613" s="5"/>
      <c r="AF1613" s="5"/>
      <c r="AG1613" s="5"/>
      <c r="AH1613" s="5"/>
      <c r="AI1613" s="5"/>
      <c r="AJ1613" s="5"/>
      <c r="AK1613" s="5"/>
      <c r="AL1613" s="5"/>
    </row>
    <row r="1614">
      <c r="A1614" s="4" t="str">
        <f>VLOOKUP(L1614,payment_ids!C:D,2,FALSE)</f>
        <v>pay_HFZVXcVJcpd2Jv</v>
      </c>
      <c r="B1614" s="4"/>
      <c r="C1614" s="4" t="s">
        <v>4942</v>
      </c>
      <c r="D1614" s="4">
        <v>50094.0</v>
      </c>
      <c r="E1614" s="5"/>
      <c r="F1614" s="4">
        <v>1.0</v>
      </c>
      <c r="G1614" s="4">
        <v>199.0</v>
      </c>
      <c r="H1614" s="4"/>
      <c r="I1614" s="4">
        <v>199.0</v>
      </c>
      <c r="J1614" s="4" t="s">
        <v>5002</v>
      </c>
      <c r="K1614" s="5">
        <f>+919365289731</f>
        <v>919365289731</v>
      </c>
      <c r="L1614" s="4" t="str">
        <f t="shared" si="1"/>
        <v>hamzahussein61@gmail.com919365289731</v>
      </c>
      <c r="M1614" s="10" t="s">
        <v>67</v>
      </c>
      <c r="N1614" s="4" t="b">
        <v>0</v>
      </c>
      <c r="O1614" s="4" t="str">
        <f>VLOOKUP(A1614,payment_ids!D:E,2,FALSE)</f>
        <v>upi</v>
      </c>
      <c r="P1614" s="4" t="s">
        <v>69</v>
      </c>
      <c r="Q1614" s="4" t="s">
        <v>5003</v>
      </c>
      <c r="R1614" s="4"/>
      <c r="S1614" s="12" t="s">
        <v>4945</v>
      </c>
      <c r="T1614" s="5"/>
      <c r="U1614" s="4"/>
      <c r="V1614" s="11"/>
      <c r="W1614" s="5"/>
      <c r="X1614" s="11"/>
      <c r="Y1614" s="4"/>
      <c r="Z1614" s="5"/>
      <c r="AA1614" s="4"/>
      <c r="AB1614" s="4"/>
      <c r="AC1614" s="4"/>
      <c r="AD1614" s="5"/>
      <c r="AE1614" s="5"/>
      <c r="AF1614" s="5"/>
      <c r="AG1614" s="5"/>
      <c r="AH1614" s="5"/>
      <c r="AI1614" s="5"/>
      <c r="AJ1614" s="5"/>
      <c r="AK1614" s="5"/>
      <c r="AL1614" s="5"/>
    </row>
    <row r="1615">
      <c r="A1615" s="4" t="str">
        <f>VLOOKUP(L1615,payment_ids!C:D,2,FALSE)</f>
        <v>pay_HFfgfmtcy5FeF1</v>
      </c>
      <c r="B1615" s="4"/>
      <c r="C1615" s="4" t="s">
        <v>4942</v>
      </c>
      <c r="D1615" s="4">
        <v>50094.0</v>
      </c>
      <c r="E1615" s="5"/>
      <c r="F1615" s="4">
        <v>1.0</v>
      </c>
      <c r="G1615" s="4">
        <v>199.0</v>
      </c>
      <c r="H1615" s="4"/>
      <c r="I1615" s="4">
        <v>199.0</v>
      </c>
      <c r="J1615" s="4" t="s">
        <v>5004</v>
      </c>
      <c r="K1615" s="5">
        <f>+919489003910</f>
        <v>919489003910</v>
      </c>
      <c r="L1615" s="4" t="str">
        <f t="shared" si="1"/>
        <v>sundararajkrishnakumar@gmail.com919489003910</v>
      </c>
      <c r="M1615" s="10" t="s">
        <v>67</v>
      </c>
      <c r="N1615" s="4" t="b">
        <v>0</v>
      </c>
      <c r="O1615" s="4" t="str">
        <f>VLOOKUP(A1615,payment_ids!D:E,2,FALSE)</f>
        <v>upi</v>
      </c>
      <c r="P1615" s="4" t="s">
        <v>69</v>
      </c>
      <c r="Q1615" s="4" t="s">
        <v>5005</v>
      </c>
      <c r="R1615" s="4"/>
      <c r="S1615" s="12" t="s">
        <v>4945</v>
      </c>
      <c r="T1615" s="5"/>
      <c r="U1615" s="4"/>
      <c r="V1615" s="11"/>
      <c r="W1615" s="5"/>
      <c r="X1615" s="11"/>
      <c r="Y1615" s="4"/>
      <c r="Z1615" s="5"/>
      <c r="AA1615" s="4"/>
      <c r="AB1615" s="4"/>
      <c r="AC1615" s="4"/>
      <c r="AD1615" s="5"/>
      <c r="AE1615" s="5"/>
      <c r="AF1615" s="5"/>
      <c r="AG1615" s="5"/>
      <c r="AH1615" s="5"/>
      <c r="AI1615" s="5"/>
      <c r="AJ1615" s="5"/>
      <c r="AK1615" s="5"/>
      <c r="AL1615" s="5"/>
    </row>
    <row r="1616">
      <c r="A1616" s="4" t="str">
        <f>VLOOKUP(L1616,payment_ids!C:D,2,FALSE)</f>
        <v>pay_HFgYzcyFEQOeNq</v>
      </c>
      <c r="B1616" s="4"/>
      <c r="C1616" s="4" t="s">
        <v>4942</v>
      </c>
      <c r="D1616" s="4">
        <v>50094.0</v>
      </c>
      <c r="E1616" s="5"/>
      <c r="F1616" s="4">
        <v>1.0</v>
      </c>
      <c r="G1616" s="4">
        <v>199.0</v>
      </c>
      <c r="H1616" s="4"/>
      <c r="I1616" s="4">
        <v>199.0</v>
      </c>
      <c r="J1616" s="4" t="s">
        <v>5006</v>
      </c>
      <c r="K1616" s="5">
        <f>+919409434533</f>
        <v>919409434533</v>
      </c>
      <c r="L1616" s="4" t="str">
        <f t="shared" si="1"/>
        <v>kabir.rawal009@gmail.com919409434533</v>
      </c>
      <c r="M1616" s="10" t="s">
        <v>67</v>
      </c>
      <c r="N1616" s="4" t="b">
        <v>0</v>
      </c>
      <c r="O1616" s="4" t="str">
        <f>VLOOKUP(A1616,payment_ids!D:E,2,FALSE)</f>
        <v>upi</v>
      </c>
      <c r="P1616" s="4" t="s">
        <v>69</v>
      </c>
      <c r="Q1616" s="4" t="s">
        <v>5007</v>
      </c>
      <c r="R1616" s="4"/>
      <c r="S1616" s="12" t="s">
        <v>4945</v>
      </c>
      <c r="T1616" s="5"/>
      <c r="U1616" s="4"/>
      <c r="V1616" s="11"/>
      <c r="W1616" s="5"/>
      <c r="X1616" s="11"/>
      <c r="Y1616" s="4"/>
      <c r="Z1616" s="5"/>
      <c r="AA1616" s="4"/>
      <c r="AB1616" s="4"/>
      <c r="AC1616" s="4"/>
      <c r="AD1616" s="5"/>
      <c r="AE1616" s="5"/>
      <c r="AF1616" s="5"/>
      <c r="AG1616" s="5"/>
      <c r="AH1616" s="5"/>
      <c r="AI1616" s="5"/>
      <c r="AJ1616" s="5"/>
      <c r="AK1616" s="5"/>
      <c r="AL1616" s="5"/>
    </row>
    <row r="1617">
      <c r="A1617" s="4" t="str">
        <f>VLOOKUP(L1617,payment_ids!C:D,2,FALSE)</f>
        <v>pay_HFiJ2hABANaghD</v>
      </c>
      <c r="B1617" s="4"/>
      <c r="C1617" s="4" t="s">
        <v>4942</v>
      </c>
      <c r="D1617" s="4">
        <v>50094.0</v>
      </c>
      <c r="E1617" s="5"/>
      <c r="F1617" s="4">
        <v>1.0</v>
      </c>
      <c r="G1617" s="4">
        <v>199.0</v>
      </c>
      <c r="H1617" s="4"/>
      <c r="I1617" s="4">
        <v>199.0</v>
      </c>
      <c r="J1617" s="4" t="s">
        <v>5008</v>
      </c>
      <c r="K1617" s="5">
        <f>+917358682881</f>
        <v>917358682881</v>
      </c>
      <c r="L1617" s="4" t="str">
        <f t="shared" si="1"/>
        <v>mumuthukamaraj.10@gmail.c917358682881</v>
      </c>
      <c r="M1617" s="10" t="s">
        <v>67</v>
      </c>
      <c r="N1617" s="4" t="b">
        <v>0</v>
      </c>
      <c r="O1617" s="4" t="str">
        <f>VLOOKUP(A1617,payment_ids!D:E,2,FALSE)</f>
        <v>upi</v>
      </c>
      <c r="P1617" s="4" t="s">
        <v>69</v>
      </c>
      <c r="Q1617" s="4" t="s">
        <v>2851</v>
      </c>
      <c r="R1617" s="4"/>
      <c r="S1617" s="12" t="s">
        <v>4945</v>
      </c>
      <c r="T1617" s="5"/>
      <c r="U1617" s="4"/>
      <c r="V1617" s="11"/>
      <c r="W1617" s="5"/>
      <c r="X1617" s="11"/>
      <c r="Y1617" s="4"/>
      <c r="Z1617" s="5"/>
      <c r="AA1617" s="4"/>
      <c r="AB1617" s="4"/>
      <c r="AC1617" s="4"/>
      <c r="AD1617" s="5"/>
      <c r="AE1617" s="5"/>
      <c r="AF1617" s="5"/>
      <c r="AG1617" s="5"/>
      <c r="AH1617" s="5"/>
      <c r="AI1617" s="5"/>
      <c r="AJ1617" s="5"/>
      <c r="AK1617" s="5"/>
      <c r="AL1617" s="5"/>
    </row>
    <row r="1618">
      <c r="A1618" s="4" t="str">
        <f>VLOOKUP(L1618,payment_ids!C:D,2,FALSE)</f>
        <v>pay_HFmSlkmVzB9qnn</v>
      </c>
      <c r="B1618" s="4"/>
      <c r="C1618" s="4" t="s">
        <v>4942</v>
      </c>
      <c r="D1618" s="4">
        <v>50094.0</v>
      </c>
      <c r="E1618" s="5"/>
      <c r="F1618" s="4">
        <v>1.0</v>
      </c>
      <c r="G1618" s="4">
        <v>199.0</v>
      </c>
      <c r="H1618" s="4"/>
      <c r="I1618" s="4">
        <v>199.0</v>
      </c>
      <c r="J1618" s="4" t="s">
        <v>5009</v>
      </c>
      <c r="K1618" s="5">
        <f>+917795516290</f>
        <v>917795516290</v>
      </c>
      <c r="L1618" s="4" t="str">
        <f t="shared" si="1"/>
        <v>sdas10135@gmail.com917795516290</v>
      </c>
      <c r="M1618" s="10" t="s">
        <v>67</v>
      </c>
      <c r="N1618" s="4" t="b">
        <v>0</v>
      </c>
      <c r="O1618" s="4" t="str">
        <f>VLOOKUP(A1618,payment_ids!D:E,2,FALSE)</f>
        <v>upi</v>
      </c>
      <c r="P1618" s="4" t="s">
        <v>69</v>
      </c>
      <c r="Q1618" s="4" t="s">
        <v>2650</v>
      </c>
      <c r="R1618" s="4"/>
      <c r="S1618" s="12" t="s">
        <v>4945</v>
      </c>
      <c r="T1618" s="5"/>
      <c r="U1618" s="4"/>
      <c r="V1618" s="11"/>
      <c r="W1618" s="5"/>
      <c r="X1618" s="11"/>
      <c r="Y1618" s="4"/>
      <c r="Z1618" s="5"/>
      <c r="AA1618" s="4"/>
      <c r="AB1618" s="4"/>
      <c r="AC1618" s="4"/>
      <c r="AD1618" s="5"/>
      <c r="AE1618" s="5"/>
      <c r="AF1618" s="5"/>
      <c r="AG1618" s="5"/>
      <c r="AH1618" s="5"/>
      <c r="AI1618" s="5"/>
      <c r="AJ1618" s="5"/>
      <c r="AK1618" s="5"/>
      <c r="AL1618" s="5"/>
    </row>
    <row r="1619">
      <c r="A1619" s="4" t="str">
        <f>VLOOKUP(L1619,payment_ids!C:D,2,FALSE)</f>
        <v>pay_HFnPvB0OCLCFRa</v>
      </c>
      <c r="B1619" s="4"/>
      <c r="C1619" s="4" t="s">
        <v>4942</v>
      </c>
      <c r="D1619" s="4">
        <v>50094.0</v>
      </c>
      <c r="E1619" s="5"/>
      <c r="F1619" s="4">
        <v>1.0</v>
      </c>
      <c r="G1619" s="4">
        <v>199.0</v>
      </c>
      <c r="H1619" s="4"/>
      <c r="I1619" s="4">
        <v>199.0</v>
      </c>
      <c r="J1619" s="4" t="s">
        <v>5010</v>
      </c>
      <c r="K1619" s="5">
        <f>+919510779300</f>
        <v>919510779300</v>
      </c>
      <c r="L1619" s="4" t="str">
        <f t="shared" si="1"/>
        <v>raj@vishwastratis.com919510779300</v>
      </c>
      <c r="M1619" s="10" t="s">
        <v>67</v>
      </c>
      <c r="N1619" s="4" t="b">
        <v>0</v>
      </c>
      <c r="O1619" s="4" t="str">
        <f>VLOOKUP(A1619,payment_ids!D:E,2,FALSE)</f>
        <v>card</v>
      </c>
      <c r="P1619" s="4" t="s">
        <v>69</v>
      </c>
      <c r="Q1619" s="4" t="s">
        <v>5011</v>
      </c>
      <c r="R1619" s="4"/>
      <c r="S1619" s="12" t="s">
        <v>4945</v>
      </c>
      <c r="T1619" s="5"/>
      <c r="U1619" s="4"/>
      <c r="V1619" s="11"/>
      <c r="W1619" s="5"/>
      <c r="X1619" s="11"/>
      <c r="Y1619" s="4"/>
      <c r="Z1619" s="5"/>
      <c r="AA1619" s="4"/>
      <c r="AB1619" s="4"/>
      <c r="AC1619" s="4"/>
      <c r="AD1619" s="5"/>
      <c r="AE1619" s="5"/>
      <c r="AF1619" s="5"/>
      <c r="AG1619" s="5"/>
      <c r="AH1619" s="5"/>
      <c r="AI1619" s="5"/>
      <c r="AJ1619" s="5"/>
      <c r="AK1619" s="5"/>
      <c r="AL1619" s="5"/>
    </row>
    <row r="1620">
      <c r="A1620" s="4" t="str">
        <f>VLOOKUP(L1620,payment_ids!C:D,2,FALSE)</f>
        <v>pay_HFtfSZxpdg9Fny</v>
      </c>
      <c r="B1620" s="4"/>
      <c r="C1620" s="4" t="s">
        <v>4942</v>
      </c>
      <c r="D1620" s="4">
        <v>50094.0</v>
      </c>
      <c r="E1620" s="5"/>
      <c r="F1620" s="4">
        <v>3.0</v>
      </c>
      <c r="G1620" s="4">
        <v>399.0</v>
      </c>
      <c r="H1620" s="4"/>
      <c r="I1620" s="4">
        <v>399.0</v>
      </c>
      <c r="J1620" s="4" t="s">
        <v>5012</v>
      </c>
      <c r="K1620" s="5">
        <f>+919633460488</f>
        <v>919633460488</v>
      </c>
      <c r="L1620" s="4" t="str">
        <f t="shared" si="1"/>
        <v>sakhavseeyes@gmail.com919633460488</v>
      </c>
      <c r="M1620" s="10" t="s">
        <v>67</v>
      </c>
      <c r="N1620" s="4" t="b">
        <v>0</v>
      </c>
      <c r="O1620" s="4" t="str">
        <f>VLOOKUP(A1620,payment_ids!D:E,2,FALSE)</f>
        <v>upi</v>
      </c>
      <c r="P1620" s="4" t="s">
        <v>69</v>
      </c>
      <c r="Q1620" s="4" t="s">
        <v>5013</v>
      </c>
      <c r="R1620" s="4"/>
      <c r="S1620" s="12" t="s">
        <v>4945</v>
      </c>
      <c r="T1620" s="5"/>
      <c r="U1620" s="4"/>
      <c r="V1620" s="11"/>
      <c r="W1620" s="5"/>
      <c r="X1620" s="11"/>
      <c r="Y1620" s="4"/>
      <c r="Z1620" s="5"/>
      <c r="AA1620" s="4"/>
      <c r="AB1620" s="4"/>
      <c r="AC1620" s="4"/>
      <c r="AD1620" s="5"/>
      <c r="AE1620" s="5"/>
      <c r="AF1620" s="5"/>
      <c r="AG1620" s="5"/>
      <c r="AH1620" s="5"/>
      <c r="AI1620" s="5"/>
      <c r="AJ1620" s="5"/>
      <c r="AK1620" s="5"/>
      <c r="AL1620" s="5"/>
    </row>
    <row r="1621">
      <c r="A1621" s="4" t="str">
        <f>VLOOKUP(L1621,payment_ids!C:D,2,FALSE)</f>
        <v>pay_HFwUqvbmqlvw2e</v>
      </c>
      <c r="B1621" s="4"/>
      <c r="C1621" s="4" t="s">
        <v>4942</v>
      </c>
      <c r="D1621" s="4">
        <v>50094.0</v>
      </c>
      <c r="E1621" s="5"/>
      <c r="F1621" s="4">
        <v>1.0</v>
      </c>
      <c r="G1621" s="4">
        <v>199.0</v>
      </c>
      <c r="H1621" s="4"/>
      <c r="I1621" s="4">
        <v>199.0</v>
      </c>
      <c r="J1621" s="4" t="s">
        <v>5014</v>
      </c>
      <c r="K1621" s="5">
        <f>+918178131120</f>
        <v>918178131120</v>
      </c>
      <c r="L1621" s="4" t="str">
        <f t="shared" si="1"/>
        <v>sourav26saha@gmail.com918178131120</v>
      </c>
      <c r="M1621" s="10" t="s">
        <v>67</v>
      </c>
      <c r="N1621" s="4" t="b">
        <v>0</v>
      </c>
      <c r="O1621" s="4" t="str">
        <f>VLOOKUP(A1621,payment_ids!D:E,2,FALSE)</f>
        <v>upi</v>
      </c>
      <c r="P1621" s="4" t="s">
        <v>69</v>
      </c>
      <c r="Q1621" s="4" t="s">
        <v>5015</v>
      </c>
      <c r="R1621" s="4"/>
      <c r="S1621" s="12" t="s">
        <v>4945</v>
      </c>
      <c r="T1621" s="5"/>
      <c r="U1621" s="4"/>
      <c r="V1621" s="11"/>
      <c r="W1621" s="5"/>
      <c r="X1621" s="11"/>
      <c r="Y1621" s="4"/>
      <c r="Z1621" s="5"/>
      <c r="AA1621" s="4"/>
      <c r="AB1621" s="4"/>
      <c r="AC1621" s="4"/>
      <c r="AD1621" s="5"/>
      <c r="AE1621" s="5"/>
      <c r="AF1621" s="5"/>
      <c r="AG1621" s="5"/>
      <c r="AH1621" s="5"/>
      <c r="AI1621" s="5"/>
      <c r="AJ1621" s="5"/>
      <c r="AK1621" s="5"/>
      <c r="AL1621" s="5"/>
    </row>
    <row r="1622">
      <c r="A1622" s="4" t="str">
        <f>VLOOKUP(L1622,payment_ids!C:D,2,FALSE)</f>
        <v>pay_HG3PdOgc6xqwCm</v>
      </c>
      <c r="B1622" s="4"/>
      <c r="C1622" s="4" t="s">
        <v>4942</v>
      </c>
      <c r="D1622" s="4">
        <v>50094.0</v>
      </c>
      <c r="E1622" s="5"/>
      <c r="F1622" s="4">
        <v>1.0</v>
      </c>
      <c r="G1622" s="4">
        <v>199.0</v>
      </c>
      <c r="H1622" s="4"/>
      <c r="I1622" s="4">
        <v>199.0</v>
      </c>
      <c r="J1622" s="4" t="s">
        <v>5016</v>
      </c>
      <c r="K1622" s="5">
        <f>+917005679892</f>
        <v>917005679892</v>
      </c>
      <c r="L1622" s="4" t="str">
        <f t="shared" si="1"/>
        <v>chingkam997@gmail.com917005679892</v>
      </c>
      <c r="M1622" s="10" t="s">
        <v>67</v>
      </c>
      <c r="N1622" s="4" t="b">
        <v>0</v>
      </c>
      <c r="O1622" s="4" t="str">
        <f>VLOOKUP(A1622,payment_ids!D:E,2,FALSE)</f>
        <v>upi</v>
      </c>
      <c r="P1622" s="4" t="s">
        <v>69</v>
      </c>
      <c r="Q1622" s="4" t="s">
        <v>5017</v>
      </c>
      <c r="R1622" s="4"/>
      <c r="S1622" s="12" t="s">
        <v>4945</v>
      </c>
      <c r="T1622" s="5"/>
      <c r="U1622" s="4"/>
      <c r="V1622" s="11"/>
      <c r="W1622" s="5"/>
      <c r="X1622" s="11"/>
      <c r="Y1622" s="4"/>
      <c r="Z1622" s="5"/>
      <c r="AA1622" s="4"/>
      <c r="AB1622" s="4"/>
      <c r="AC1622" s="4"/>
      <c r="AD1622" s="5"/>
      <c r="AE1622" s="5"/>
      <c r="AF1622" s="5"/>
      <c r="AG1622" s="5"/>
      <c r="AH1622" s="5"/>
      <c r="AI1622" s="5"/>
      <c r="AJ1622" s="5"/>
      <c r="AK1622" s="5"/>
      <c r="AL1622" s="5"/>
    </row>
    <row r="1623">
      <c r="A1623" s="4" t="str">
        <f>VLOOKUP(L1623,payment_ids!C:D,2,FALSE)</f>
        <v>pay_HG7adC5rInbpqd</v>
      </c>
      <c r="B1623" s="4"/>
      <c r="C1623" s="4" t="s">
        <v>4942</v>
      </c>
      <c r="D1623" s="4">
        <v>50094.0</v>
      </c>
      <c r="E1623" s="5"/>
      <c r="F1623" s="4">
        <v>1.0</v>
      </c>
      <c r="G1623" s="4">
        <v>199.0</v>
      </c>
      <c r="H1623" s="4"/>
      <c r="I1623" s="4">
        <v>199.0</v>
      </c>
      <c r="J1623" s="4" t="s">
        <v>5018</v>
      </c>
      <c r="K1623" s="5">
        <f>+919345776070</f>
        <v>919345776070</v>
      </c>
      <c r="L1623" s="4" t="str">
        <f t="shared" si="1"/>
        <v>mohanprabukongu@gmail.com919345776070</v>
      </c>
      <c r="M1623" s="10" t="s">
        <v>67</v>
      </c>
      <c r="N1623" s="4" t="b">
        <v>0</v>
      </c>
      <c r="O1623" s="4" t="str">
        <f>VLOOKUP(A1623,payment_ids!D:E,2,FALSE)</f>
        <v>card</v>
      </c>
      <c r="P1623" s="4" t="s">
        <v>69</v>
      </c>
      <c r="Q1623" s="4" t="s">
        <v>5019</v>
      </c>
      <c r="R1623" s="4"/>
      <c r="S1623" s="12" t="s">
        <v>4945</v>
      </c>
      <c r="T1623" s="5"/>
      <c r="U1623" s="4"/>
      <c r="V1623" s="11"/>
      <c r="W1623" s="5"/>
      <c r="X1623" s="11"/>
      <c r="Y1623" s="4"/>
      <c r="Z1623" s="5"/>
      <c r="AA1623" s="4"/>
      <c r="AB1623" s="4"/>
      <c r="AC1623" s="4"/>
      <c r="AD1623" s="5"/>
      <c r="AE1623" s="5"/>
      <c r="AF1623" s="5"/>
      <c r="AG1623" s="5"/>
      <c r="AH1623" s="5"/>
      <c r="AI1623" s="5"/>
      <c r="AJ1623" s="5"/>
      <c r="AK1623" s="5"/>
      <c r="AL1623" s="5"/>
    </row>
    <row r="1624">
      <c r="A1624" s="4" t="str">
        <f>VLOOKUP(L1624,payment_ids!C:D,2,FALSE)</f>
        <v>pay_HGGVfRHBl5lxNi</v>
      </c>
      <c r="B1624" s="4"/>
      <c r="C1624" s="4" t="s">
        <v>4942</v>
      </c>
      <c r="D1624" s="4">
        <v>50094.0</v>
      </c>
      <c r="E1624" s="5"/>
      <c r="F1624" s="4">
        <v>1.0</v>
      </c>
      <c r="G1624" s="4">
        <v>199.0</v>
      </c>
      <c r="H1624" s="4"/>
      <c r="I1624" s="4">
        <v>199.0</v>
      </c>
      <c r="J1624" s="4" t="s">
        <v>5020</v>
      </c>
      <c r="K1624" s="5">
        <f>+918280000248</f>
        <v>918280000248</v>
      </c>
      <c r="L1624" s="4" t="str">
        <f t="shared" si="1"/>
        <v>mohantykousik@gmail.com918280000248</v>
      </c>
      <c r="M1624" s="10" t="s">
        <v>67</v>
      </c>
      <c r="N1624" s="4" t="b">
        <v>0</v>
      </c>
      <c r="O1624" s="4" t="str">
        <f>VLOOKUP(A1624,payment_ids!D:E,2,FALSE)</f>
        <v>upi</v>
      </c>
      <c r="P1624" s="4" t="s">
        <v>69</v>
      </c>
      <c r="Q1624" s="4" t="s">
        <v>5021</v>
      </c>
      <c r="R1624" s="4"/>
      <c r="S1624" s="12" t="s">
        <v>4945</v>
      </c>
      <c r="T1624" s="5"/>
      <c r="U1624" s="5"/>
      <c r="V1624" s="11"/>
      <c r="W1624" s="5"/>
      <c r="X1624" s="11"/>
      <c r="Y1624" s="4"/>
      <c r="Z1624" s="5"/>
      <c r="AA1624" s="4"/>
      <c r="AB1624" s="4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</row>
    <row r="1625">
      <c r="A1625" s="4" t="str">
        <f>VLOOKUP(L1625,payment_ids!C:D,2,FALSE)</f>
        <v>pay_HGJZt3phSMwhXP</v>
      </c>
      <c r="B1625" s="4"/>
      <c r="C1625" s="4" t="s">
        <v>4942</v>
      </c>
      <c r="D1625" s="4">
        <v>50094.0</v>
      </c>
      <c r="E1625" s="5"/>
      <c r="F1625" s="4">
        <v>3.0</v>
      </c>
      <c r="G1625" s="4">
        <v>399.0</v>
      </c>
      <c r="H1625" s="4"/>
      <c r="I1625" s="4">
        <v>399.0</v>
      </c>
      <c r="J1625" s="4" t="s">
        <v>5022</v>
      </c>
      <c r="K1625" s="5">
        <f>+919425480290</f>
        <v>919425480290</v>
      </c>
      <c r="L1625" s="4" t="str">
        <f t="shared" si="1"/>
        <v>harjas619@gmail.com919425480290</v>
      </c>
      <c r="M1625" s="10" t="s">
        <v>67</v>
      </c>
      <c r="N1625" s="4" t="b">
        <v>0</v>
      </c>
      <c r="O1625" s="4" t="str">
        <f>VLOOKUP(A1625,payment_ids!D:E,2,FALSE)</f>
        <v>card</v>
      </c>
      <c r="P1625" s="4" t="s">
        <v>69</v>
      </c>
      <c r="Q1625" s="4" t="s">
        <v>5023</v>
      </c>
      <c r="R1625" s="4"/>
      <c r="S1625" s="12" t="s">
        <v>4945</v>
      </c>
      <c r="T1625" s="5"/>
      <c r="U1625" s="4"/>
      <c r="V1625" s="11"/>
      <c r="W1625" s="5"/>
      <c r="X1625" s="11"/>
      <c r="Y1625" s="4"/>
      <c r="Z1625" s="5"/>
      <c r="AA1625" s="4"/>
      <c r="AB1625" s="4"/>
      <c r="AC1625" s="4"/>
      <c r="AD1625" s="5"/>
      <c r="AE1625" s="5"/>
      <c r="AF1625" s="5"/>
      <c r="AG1625" s="5"/>
      <c r="AH1625" s="5"/>
      <c r="AI1625" s="5"/>
      <c r="AJ1625" s="5"/>
      <c r="AK1625" s="5"/>
      <c r="AL1625" s="5"/>
    </row>
    <row r="1626">
      <c r="A1626" s="4" t="str">
        <f>VLOOKUP(L1626,payment_ids!C:D,2,FALSE)</f>
        <v>pay_HGWsTGKZmMsu9W</v>
      </c>
      <c r="B1626" s="4"/>
      <c r="C1626" s="4" t="s">
        <v>4942</v>
      </c>
      <c r="D1626" s="4">
        <v>50094.0</v>
      </c>
      <c r="E1626" s="5"/>
      <c r="F1626" s="4">
        <v>1.0</v>
      </c>
      <c r="G1626" s="4">
        <v>199.0</v>
      </c>
      <c r="H1626" s="4"/>
      <c r="I1626" s="4">
        <v>199.0</v>
      </c>
      <c r="J1626" s="4" t="s">
        <v>5024</v>
      </c>
      <c r="K1626" s="5">
        <f>+918918151117</f>
        <v>918918151117</v>
      </c>
      <c r="L1626" s="4" t="str">
        <f t="shared" si="1"/>
        <v>balarakesh490@gmail.com918918151117</v>
      </c>
      <c r="M1626" s="10" t="s">
        <v>67</v>
      </c>
      <c r="N1626" s="4" t="b">
        <v>0</v>
      </c>
      <c r="O1626" s="4" t="str">
        <f>VLOOKUP(A1626,payment_ids!D:E,2,FALSE)</f>
        <v>upi</v>
      </c>
      <c r="P1626" s="4" t="s">
        <v>69</v>
      </c>
      <c r="Q1626" s="4" t="s">
        <v>5025</v>
      </c>
      <c r="R1626" s="4"/>
      <c r="S1626" s="12" t="s">
        <v>4945</v>
      </c>
      <c r="T1626" s="5"/>
      <c r="U1626" s="5"/>
      <c r="V1626" s="11"/>
      <c r="W1626" s="5"/>
      <c r="X1626" s="11"/>
      <c r="Y1626" s="4"/>
      <c r="Z1626" s="5"/>
      <c r="AA1626" s="4"/>
      <c r="AB1626" s="4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</row>
    <row r="1627">
      <c r="A1627" s="4" t="str">
        <f>VLOOKUP(L1627,payment_ids!C:D,2,FALSE)</f>
        <v>pay_HF25XlpeVScng2</v>
      </c>
      <c r="B1627" s="4"/>
      <c r="C1627" s="4" t="s">
        <v>4942</v>
      </c>
      <c r="D1627" s="4">
        <v>50094.0</v>
      </c>
      <c r="E1627" s="5"/>
      <c r="F1627" s="4">
        <v>1.0</v>
      </c>
      <c r="G1627" s="4">
        <v>199.0</v>
      </c>
      <c r="H1627" s="4"/>
      <c r="I1627" s="4">
        <v>199.0</v>
      </c>
      <c r="J1627" s="4" t="s">
        <v>5026</v>
      </c>
      <c r="K1627" s="5">
        <f>+917708478885</f>
        <v>917708478885</v>
      </c>
      <c r="L1627" s="4" t="str">
        <f t="shared" si="1"/>
        <v>subashkanth007@gmail.com917708478885</v>
      </c>
      <c r="M1627" s="10" t="s">
        <v>67</v>
      </c>
      <c r="N1627" s="4" t="b">
        <v>0</v>
      </c>
      <c r="O1627" s="4" t="str">
        <f>VLOOKUP(A1627,payment_ids!D:E,2,FALSE)</f>
        <v>card</v>
      </c>
      <c r="P1627" s="4" t="s">
        <v>69</v>
      </c>
      <c r="Q1627" s="4" t="s">
        <v>5027</v>
      </c>
      <c r="R1627" s="4"/>
      <c r="S1627" s="12" t="s">
        <v>4945</v>
      </c>
      <c r="T1627" s="5"/>
      <c r="U1627" s="4"/>
      <c r="V1627" s="11"/>
      <c r="W1627" s="5"/>
      <c r="X1627" s="11"/>
      <c r="Y1627" s="4"/>
      <c r="Z1627" s="5"/>
      <c r="AA1627" s="4"/>
      <c r="AB1627" s="4"/>
      <c r="AC1627" s="4"/>
      <c r="AD1627" s="5"/>
      <c r="AE1627" s="5"/>
      <c r="AF1627" s="5"/>
      <c r="AG1627" s="5"/>
      <c r="AH1627" s="5"/>
      <c r="AI1627" s="5"/>
      <c r="AJ1627" s="5"/>
      <c r="AK1627" s="5"/>
      <c r="AL1627" s="5"/>
    </row>
    <row r="1628">
      <c r="A1628" s="4" t="str">
        <f>VLOOKUP(L1628,payment_ids!C:D,2,FALSE)</f>
        <v>pay_HGfQDwyADl9u0I</v>
      </c>
      <c r="B1628" s="4"/>
      <c r="C1628" s="4" t="s">
        <v>4942</v>
      </c>
      <c r="D1628" s="4">
        <v>50094.0</v>
      </c>
      <c r="E1628" s="5"/>
      <c r="F1628" s="4">
        <v>1.0</v>
      </c>
      <c r="G1628" s="4">
        <v>199.0</v>
      </c>
      <c r="H1628" s="4"/>
      <c r="I1628" s="4">
        <v>199.0</v>
      </c>
      <c r="J1628" s="4" t="s">
        <v>5028</v>
      </c>
      <c r="K1628" s="5">
        <f>+917452010847</f>
        <v>917452010847</v>
      </c>
      <c r="L1628" s="4" t="str">
        <f t="shared" si="1"/>
        <v>charugrover59@gmail.com917452010847</v>
      </c>
      <c r="M1628" s="10" t="s">
        <v>67</v>
      </c>
      <c r="N1628" s="4" t="b">
        <v>0</v>
      </c>
      <c r="O1628" s="4" t="str">
        <f>VLOOKUP(A1628,payment_ids!D:E,2,FALSE)</f>
        <v>upi</v>
      </c>
      <c r="P1628" s="4" t="s">
        <v>69</v>
      </c>
      <c r="Q1628" s="4" t="s">
        <v>5029</v>
      </c>
      <c r="R1628" s="4"/>
      <c r="S1628" s="12" t="s">
        <v>4945</v>
      </c>
      <c r="T1628" s="5"/>
      <c r="U1628" s="4"/>
      <c r="V1628" s="11"/>
      <c r="W1628" s="5"/>
      <c r="X1628" s="11"/>
      <c r="Y1628" s="4"/>
      <c r="Z1628" s="5"/>
      <c r="AA1628" s="4"/>
      <c r="AB1628" s="4"/>
      <c r="AC1628" s="4"/>
      <c r="AD1628" s="5"/>
      <c r="AE1628" s="5"/>
      <c r="AF1628" s="5"/>
      <c r="AG1628" s="5"/>
      <c r="AH1628" s="5"/>
      <c r="AI1628" s="5"/>
      <c r="AJ1628" s="5"/>
      <c r="AK1628" s="5"/>
      <c r="AL1628" s="5"/>
    </row>
    <row r="1629">
      <c r="A1629" s="4" t="str">
        <f>VLOOKUP(L1629,payment_ids!C:D,2,FALSE)</f>
        <v>pay_HGqdbRzexMNn8u</v>
      </c>
      <c r="B1629" s="4"/>
      <c r="C1629" s="4" t="s">
        <v>4942</v>
      </c>
      <c r="D1629" s="4">
        <v>50094.0</v>
      </c>
      <c r="E1629" s="5"/>
      <c r="F1629" s="4">
        <v>3.0</v>
      </c>
      <c r="G1629" s="4">
        <v>399.0</v>
      </c>
      <c r="H1629" s="4"/>
      <c r="I1629" s="4">
        <v>399.0</v>
      </c>
      <c r="J1629" s="4" t="s">
        <v>5030</v>
      </c>
      <c r="K1629" s="5">
        <f>+917898203976</f>
        <v>917898203976</v>
      </c>
      <c r="L1629" s="4" t="str">
        <f t="shared" si="1"/>
        <v>akankshapaliwal8989@gmail.com917898203976</v>
      </c>
      <c r="M1629" s="10" t="s">
        <v>67</v>
      </c>
      <c r="N1629" s="4" t="b">
        <v>0</v>
      </c>
      <c r="O1629" s="4" t="str">
        <f>VLOOKUP(A1629,payment_ids!D:E,2,FALSE)</f>
        <v>upi</v>
      </c>
      <c r="P1629" s="4" t="s">
        <v>69</v>
      </c>
      <c r="Q1629" s="4" t="s">
        <v>5031</v>
      </c>
      <c r="R1629" s="4"/>
      <c r="S1629" s="12" t="s">
        <v>4945</v>
      </c>
      <c r="T1629" s="5"/>
      <c r="U1629" s="4"/>
      <c r="V1629" s="11"/>
      <c r="W1629" s="5"/>
      <c r="X1629" s="11"/>
      <c r="Y1629" s="4"/>
      <c r="Z1629" s="5"/>
      <c r="AA1629" s="4"/>
      <c r="AB1629" s="4"/>
      <c r="AC1629" s="4"/>
      <c r="AD1629" s="5"/>
      <c r="AE1629" s="5"/>
      <c r="AF1629" s="5"/>
      <c r="AG1629" s="5"/>
      <c r="AH1629" s="5"/>
      <c r="AI1629" s="5"/>
      <c r="AJ1629" s="5"/>
      <c r="AK1629" s="5"/>
      <c r="AL1629" s="5"/>
    </row>
    <row r="1630">
      <c r="A1630" s="4" t="str">
        <f>VLOOKUP(L1630,payment_ids!C:D,2,FALSE)</f>
        <v>pay_HGqfBgzTXMW3Im</v>
      </c>
      <c r="B1630" s="4"/>
      <c r="C1630" s="4" t="s">
        <v>4942</v>
      </c>
      <c r="D1630" s="4">
        <v>50094.0</v>
      </c>
      <c r="E1630" s="5"/>
      <c r="F1630" s="4">
        <v>1.0</v>
      </c>
      <c r="G1630" s="4">
        <v>199.0</v>
      </c>
      <c r="H1630" s="4"/>
      <c r="I1630" s="4">
        <v>199.0</v>
      </c>
      <c r="J1630" s="4" t="s">
        <v>5032</v>
      </c>
      <c r="K1630" s="5">
        <f>+917750004698</f>
        <v>917750004698</v>
      </c>
      <c r="L1630" s="4" t="str">
        <f t="shared" si="1"/>
        <v>patrachandan087@gmail.com917750004698</v>
      </c>
      <c r="M1630" s="10" t="s">
        <v>67</v>
      </c>
      <c r="N1630" s="4" t="b">
        <v>0</v>
      </c>
      <c r="O1630" s="4" t="str">
        <f>VLOOKUP(A1630,payment_ids!D:E,2,FALSE)</f>
        <v>upi</v>
      </c>
      <c r="P1630" s="4" t="s">
        <v>69</v>
      </c>
      <c r="Q1630" s="4" t="s">
        <v>5031</v>
      </c>
      <c r="R1630" s="4"/>
      <c r="S1630" s="12" t="s">
        <v>4945</v>
      </c>
      <c r="T1630" s="5"/>
      <c r="U1630" s="4"/>
      <c r="V1630" s="11"/>
      <c r="W1630" s="5"/>
      <c r="X1630" s="11"/>
      <c r="Y1630" s="4"/>
      <c r="Z1630" s="5"/>
      <c r="AA1630" s="4"/>
      <c r="AB1630" s="4"/>
      <c r="AC1630" s="4"/>
      <c r="AD1630" s="5"/>
      <c r="AE1630" s="5"/>
      <c r="AF1630" s="5"/>
      <c r="AG1630" s="5"/>
      <c r="AH1630" s="5"/>
      <c r="AI1630" s="5"/>
      <c r="AJ1630" s="5"/>
      <c r="AK1630" s="5"/>
      <c r="AL1630" s="5"/>
    </row>
    <row r="1631">
      <c r="A1631" s="4" t="str">
        <f>VLOOKUP(L1631,payment_ids!C:D,2,FALSE)</f>
        <v>pay_HGubYN8L8hGE08</v>
      </c>
      <c r="B1631" s="4"/>
      <c r="C1631" s="4" t="s">
        <v>4942</v>
      </c>
      <c r="D1631" s="4">
        <v>50094.0</v>
      </c>
      <c r="E1631" s="5"/>
      <c r="F1631" s="4">
        <v>1.0</v>
      </c>
      <c r="G1631" s="4">
        <v>199.0</v>
      </c>
      <c r="H1631" s="4"/>
      <c r="I1631" s="4">
        <v>199.0</v>
      </c>
      <c r="J1631" s="4" t="s">
        <v>5033</v>
      </c>
      <c r="K1631" s="5">
        <f>+917219407815</f>
        <v>917219407815</v>
      </c>
      <c r="L1631" s="4" t="str">
        <f t="shared" si="1"/>
        <v>sushmita1998shukla@gmail.com917219407815</v>
      </c>
      <c r="M1631" s="10" t="s">
        <v>67</v>
      </c>
      <c r="N1631" s="4" t="b">
        <v>0</v>
      </c>
      <c r="O1631" s="4" t="str">
        <f>VLOOKUP(A1631,payment_ids!D:E,2,FALSE)</f>
        <v>upi</v>
      </c>
      <c r="P1631" s="4" t="s">
        <v>69</v>
      </c>
      <c r="Q1631" s="4" t="s">
        <v>5034</v>
      </c>
      <c r="R1631" s="4"/>
      <c r="S1631" s="12" t="s">
        <v>4945</v>
      </c>
      <c r="T1631" s="5"/>
      <c r="U1631" s="4"/>
      <c r="V1631" s="11"/>
      <c r="W1631" s="5"/>
      <c r="X1631" s="11"/>
      <c r="Y1631" s="4"/>
      <c r="Z1631" s="5"/>
      <c r="AA1631" s="4"/>
      <c r="AB1631" s="4"/>
      <c r="AC1631" s="4"/>
      <c r="AD1631" s="5"/>
      <c r="AE1631" s="5"/>
      <c r="AF1631" s="5"/>
      <c r="AG1631" s="5"/>
      <c r="AH1631" s="5"/>
      <c r="AI1631" s="5"/>
      <c r="AJ1631" s="5"/>
      <c r="AK1631" s="5"/>
      <c r="AL1631" s="5"/>
    </row>
    <row r="1632">
      <c r="A1632" s="4" t="str">
        <f>VLOOKUP(L1632,payment_ids!C:D,2,FALSE)</f>
        <v>pay_HHJhZxvTzsH7ft</v>
      </c>
      <c r="B1632" s="4"/>
      <c r="C1632" s="4" t="s">
        <v>4942</v>
      </c>
      <c r="D1632" s="4">
        <v>50094.0</v>
      </c>
      <c r="E1632" s="5"/>
      <c r="F1632" s="4">
        <v>1.0</v>
      </c>
      <c r="G1632" s="4">
        <v>199.0</v>
      </c>
      <c r="H1632" s="4"/>
      <c r="I1632" s="4">
        <v>199.0</v>
      </c>
      <c r="J1632" s="4" t="s">
        <v>5035</v>
      </c>
      <c r="K1632" s="5">
        <f>+917012811961</f>
        <v>917012811961</v>
      </c>
      <c r="L1632" s="4" t="str">
        <f t="shared" si="1"/>
        <v>parvathyk285@gmail.com917012811961</v>
      </c>
      <c r="M1632" s="10" t="s">
        <v>67</v>
      </c>
      <c r="N1632" s="4" t="b">
        <v>0</v>
      </c>
      <c r="O1632" s="4" t="str">
        <f>VLOOKUP(A1632,payment_ids!D:E,2,FALSE)</f>
        <v>upi</v>
      </c>
      <c r="P1632" s="4" t="s">
        <v>69</v>
      </c>
      <c r="Q1632" s="4" t="s">
        <v>5036</v>
      </c>
      <c r="R1632" s="4"/>
      <c r="S1632" s="12" t="s">
        <v>4945</v>
      </c>
      <c r="T1632" s="5"/>
      <c r="U1632" s="5"/>
      <c r="V1632" s="11"/>
      <c r="W1632" s="5"/>
      <c r="X1632" s="11"/>
      <c r="Y1632" s="4"/>
      <c r="Z1632" s="5"/>
      <c r="AA1632" s="4"/>
      <c r="AB1632" s="4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</row>
    <row r="1633">
      <c r="A1633" s="4" t="str">
        <f>VLOOKUP(L1633,payment_ids!C:D,2,FALSE)</f>
        <v>pay_HHMq9UEDE4PaDk</v>
      </c>
      <c r="B1633" s="4"/>
      <c r="C1633" s="4" t="s">
        <v>4942</v>
      </c>
      <c r="D1633" s="4">
        <v>50094.0</v>
      </c>
      <c r="E1633" s="5"/>
      <c r="F1633" s="4">
        <v>1.0</v>
      </c>
      <c r="G1633" s="4">
        <v>199.0</v>
      </c>
      <c r="H1633" s="4"/>
      <c r="I1633" s="4">
        <v>199.0</v>
      </c>
      <c r="J1633" s="4" t="s">
        <v>5037</v>
      </c>
      <c r="K1633" s="5">
        <f>+919425301853</f>
        <v>919425301853</v>
      </c>
      <c r="L1633" s="4" t="str">
        <f t="shared" si="1"/>
        <v>naveenmandlekar07@gmail.com919425301853</v>
      </c>
      <c r="M1633" s="10" t="s">
        <v>67</v>
      </c>
      <c r="N1633" s="4" t="b">
        <v>0</v>
      </c>
      <c r="O1633" s="4" t="str">
        <f>VLOOKUP(A1633,payment_ids!D:E,2,FALSE)</f>
        <v>upi</v>
      </c>
      <c r="P1633" s="4" t="s">
        <v>69</v>
      </c>
      <c r="Q1633" s="4" t="s">
        <v>5038</v>
      </c>
      <c r="R1633" s="4"/>
      <c r="S1633" s="12" t="s">
        <v>4945</v>
      </c>
      <c r="T1633" s="5"/>
      <c r="U1633" s="5"/>
      <c r="V1633" s="11"/>
      <c r="W1633" s="5"/>
      <c r="X1633" s="11"/>
      <c r="Y1633" s="4"/>
      <c r="Z1633" s="5"/>
      <c r="AA1633" s="4"/>
      <c r="AB1633" s="4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</row>
    <row r="1634">
      <c r="A1634" s="4" t="str">
        <f>VLOOKUP(L1634,payment_ids!C:D,2,FALSE)</f>
        <v>pay_HHPDSyj1CZWvdb</v>
      </c>
      <c r="B1634" s="4"/>
      <c r="C1634" s="4" t="s">
        <v>4942</v>
      </c>
      <c r="D1634" s="4">
        <v>50094.0</v>
      </c>
      <c r="E1634" s="5"/>
      <c r="F1634" s="4">
        <v>1.0</v>
      </c>
      <c r="G1634" s="4">
        <v>199.0</v>
      </c>
      <c r="H1634" s="4"/>
      <c r="I1634" s="4">
        <v>199.0</v>
      </c>
      <c r="J1634" s="4" t="s">
        <v>5039</v>
      </c>
      <c r="K1634" s="5">
        <f>+917999549481</f>
        <v>917999549481</v>
      </c>
      <c r="L1634" s="4" t="str">
        <f t="shared" si="1"/>
        <v>preeti1.mdl@gmail.com917999549481</v>
      </c>
      <c r="M1634" s="10" t="s">
        <v>67</v>
      </c>
      <c r="N1634" s="4" t="b">
        <v>0</v>
      </c>
      <c r="O1634" s="4" t="str">
        <f>VLOOKUP(A1634,payment_ids!D:E,2,FALSE)</f>
        <v>upi</v>
      </c>
      <c r="P1634" s="4" t="s">
        <v>69</v>
      </c>
      <c r="Q1634" s="4" t="s">
        <v>5040</v>
      </c>
      <c r="R1634" s="4"/>
      <c r="S1634" s="12" t="s">
        <v>4945</v>
      </c>
      <c r="T1634" s="5"/>
      <c r="U1634" s="4"/>
      <c r="V1634" s="11"/>
      <c r="W1634" s="5"/>
      <c r="X1634" s="11"/>
      <c r="Y1634" s="4"/>
      <c r="Z1634" s="5"/>
      <c r="AA1634" s="4"/>
      <c r="AB1634" s="4"/>
      <c r="AC1634" s="4"/>
      <c r="AD1634" s="5"/>
      <c r="AE1634" s="5"/>
      <c r="AF1634" s="5"/>
      <c r="AG1634" s="5"/>
      <c r="AH1634" s="5"/>
      <c r="AI1634" s="5"/>
      <c r="AJ1634" s="5"/>
      <c r="AK1634" s="5"/>
      <c r="AL1634" s="5"/>
    </row>
    <row r="1635">
      <c r="A1635" s="4" t="str">
        <f>VLOOKUP(L1635,payment_ids!C:D,2,FALSE)</f>
        <v>pay_HHi2MOPxGQ2d54</v>
      </c>
      <c r="B1635" s="4"/>
      <c r="C1635" s="4" t="s">
        <v>4942</v>
      </c>
      <c r="D1635" s="4">
        <v>50094.0</v>
      </c>
      <c r="E1635" s="5"/>
      <c r="F1635" s="4">
        <v>1.0</v>
      </c>
      <c r="G1635" s="4">
        <v>199.0</v>
      </c>
      <c r="H1635" s="4"/>
      <c r="I1635" s="4">
        <v>199.0</v>
      </c>
      <c r="J1635" s="4" t="s">
        <v>5041</v>
      </c>
      <c r="K1635" s="5">
        <f>+919462928027</f>
        <v>919462928027</v>
      </c>
      <c r="L1635" s="4" t="str">
        <f t="shared" si="1"/>
        <v>ysaloni872@gmail.com919462928027</v>
      </c>
      <c r="M1635" s="10" t="s">
        <v>67</v>
      </c>
      <c r="N1635" s="4" t="b">
        <v>0</v>
      </c>
      <c r="O1635" s="4" t="str">
        <f>VLOOKUP(A1635,payment_ids!D:E,2,FALSE)</f>
        <v>upi</v>
      </c>
      <c r="P1635" s="4" t="s">
        <v>69</v>
      </c>
      <c r="Q1635" s="11">
        <v>44202.53194444445</v>
      </c>
      <c r="R1635" s="4"/>
      <c r="S1635" s="12" t="s">
        <v>4945</v>
      </c>
      <c r="T1635" s="5"/>
      <c r="U1635" s="4"/>
      <c r="V1635" s="11"/>
      <c r="W1635" s="5"/>
      <c r="X1635" s="11"/>
      <c r="Y1635" s="4"/>
      <c r="Z1635" s="5"/>
      <c r="AA1635" s="4"/>
      <c r="AB1635" s="4"/>
      <c r="AC1635" s="4"/>
      <c r="AD1635" s="5"/>
      <c r="AE1635" s="5"/>
      <c r="AF1635" s="5"/>
      <c r="AG1635" s="5"/>
      <c r="AH1635" s="5"/>
      <c r="AI1635" s="5"/>
      <c r="AJ1635" s="5"/>
      <c r="AK1635" s="5"/>
      <c r="AL1635" s="5"/>
    </row>
    <row r="1636">
      <c r="A1636" s="4" t="str">
        <f>VLOOKUP(L1636,payment_ids!C:D,2,FALSE)</f>
        <v>pay_HI3SIGAYXpDZNG</v>
      </c>
      <c r="B1636" s="4"/>
      <c r="C1636" s="4" t="s">
        <v>4942</v>
      </c>
      <c r="D1636" s="4">
        <v>50094.0</v>
      </c>
      <c r="E1636" s="5"/>
      <c r="F1636" s="4">
        <v>6.0</v>
      </c>
      <c r="G1636" s="4">
        <v>599.0</v>
      </c>
      <c r="H1636" s="4"/>
      <c r="I1636" s="4">
        <v>599.0</v>
      </c>
      <c r="J1636" s="4" t="s">
        <v>5042</v>
      </c>
      <c r="K1636" s="5">
        <f>+917987148025</f>
        <v>917987148025</v>
      </c>
      <c r="L1636" s="4" t="str">
        <f t="shared" si="1"/>
        <v>soumik.bhattacharya55@gmail.com917987148025</v>
      </c>
      <c r="M1636" s="10" t="s">
        <v>67</v>
      </c>
      <c r="N1636" s="4" t="b">
        <v>0</v>
      </c>
      <c r="O1636" s="4" t="str">
        <f>VLOOKUP(A1636,payment_ids!D:E,2,FALSE)</f>
        <v>upi</v>
      </c>
      <c r="P1636" s="4" t="s">
        <v>69</v>
      </c>
      <c r="Q1636" s="11">
        <v>44233.404861111114</v>
      </c>
      <c r="R1636" s="4"/>
      <c r="S1636" s="12" t="s">
        <v>4945</v>
      </c>
      <c r="T1636" s="5"/>
      <c r="U1636" s="4"/>
      <c r="V1636" s="11"/>
      <c r="W1636" s="5"/>
      <c r="X1636" s="11"/>
      <c r="Y1636" s="4"/>
      <c r="Z1636" s="5"/>
      <c r="AA1636" s="4"/>
      <c r="AB1636" s="4"/>
      <c r="AC1636" s="4"/>
      <c r="AD1636" s="5"/>
      <c r="AE1636" s="5"/>
      <c r="AF1636" s="5"/>
      <c r="AG1636" s="5"/>
      <c r="AH1636" s="5"/>
      <c r="AI1636" s="5"/>
      <c r="AJ1636" s="5"/>
      <c r="AK1636" s="5"/>
      <c r="AL1636" s="5"/>
    </row>
    <row r="1637">
      <c r="A1637" s="4" t="str">
        <f>VLOOKUP(L1637,payment_ids!C:D,2,FALSE)</f>
        <v>pay_HI4T1Y3IjK0R44</v>
      </c>
      <c r="B1637" s="4"/>
      <c r="C1637" s="4" t="s">
        <v>4942</v>
      </c>
      <c r="D1637" s="4">
        <v>50094.0</v>
      </c>
      <c r="E1637" s="5"/>
      <c r="F1637" s="4">
        <v>1.0</v>
      </c>
      <c r="G1637" s="4">
        <v>199.0</v>
      </c>
      <c r="H1637" s="4"/>
      <c r="I1637" s="4">
        <v>199.0</v>
      </c>
      <c r="J1637" s="4" t="s">
        <v>5043</v>
      </c>
      <c r="K1637" s="5">
        <f>+919061519082</f>
        <v>919061519082</v>
      </c>
      <c r="L1637" s="4" t="str">
        <f t="shared" si="1"/>
        <v>adithyakochoos@gmail.com919061519082</v>
      </c>
      <c r="M1637" s="10" t="s">
        <v>67</v>
      </c>
      <c r="N1637" s="4" t="b">
        <v>0</v>
      </c>
      <c r="O1637" s="4" t="str">
        <f>VLOOKUP(A1637,payment_ids!D:E,2,FALSE)</f>
        <v>upi</v>
      </c>
      <c r="P1637" s="4" t="s">
        <v>69</v>
      </c>
      <c r="Q1637" s="11">
        <v>44233.44583333333</v>
      </c>
      <c r="R1637" s="4"/>
      <c r="S1637" s="12" t="s">
        <v>4945</v>
      </c>
      <c r="T1637" s="5"/>
      <c r="U1637" s="4"/>
      <c r="V1637" s="11"/>
      <c r="W1637" s="5"/>
      <c r="X1637" s="11"/>
      <c r="Y1637" s="4"/>
      <c r="Z1637" s="5"/>
      <c r="AA1637" s="4"/>
      <c r="AB1637" s="4"/>
      <c r="AC1637" s="4"/>
      <c r="AD1637" s="5"/>
      <c r="AE1637" s="5"/>
      <c r="AF1637" s="5"/>
      <c r="AG1637" s="5"/>
      <c r="AH1637" s="5"/>
      <c r="AI1637" s="5"/>
      <c r="AJ1637" s="5"/>
      <c r="AK1637" s="5"/>
      <c r="AL1637" s="5"/>
    </row>
    <row r="1638">
      <c r="A1638" s="4" t="str">
        <f>VLOOKUP(L1638,payment_ids!C:D,2,FALSE)</f>
        <v>pay_HI4y7y4OdcitNC</v>
      </c>
      <c r="B1638" s="4"/>
      <c r="C1638" s="4" t="s">
        <v>4942</v>
      </c>
      <c r="D1638" s="4">
        <v>50094.0</v>
      </c>
      <c r="E1638" s="5"/>
      <c r="F1638" s="4">
        <v>1.0</v>
      </c>
      <c r="G1638" s="4">
        <v>199.0</v>
      </c>
      <c r="H1638" s="4"/>
      <c r="I1638" s="4">
        <v>199.0</v>
      </c>
      <c r="J1638" s="4" t="s">
        <v>5044</v>
      </c>
      <c r="K1638" s="5">
        <f>+919825578995</f>
        <v>919825578995</v>
      </c>
      <c r="L1638" s="4" t="str">
        <f t="shared" si="1"/>
        <v>prakashsingh427427@gmail.com919825578995</v>
      </c>
      <c r="M1638" s="10" t="s">
        <v>67</v>
      </c>
      <c r="N1638" s="4" t="b">
        <v>0</v>
      </c>
      <c r="O1638" s="4" t="str">
        <f>VLOOKUP(A1638,payment_ids!D:E,2,FALSE)</f>
        <v>card</v>
      </c>
      <c r="P1638" s="4" t="s">
        <v>69</v>
      </c>
      <c r="Q1638" s="11">
        <v>44233.47361111111</v>
      </c>
      <c r="R1638" s="4"/>
      <c r="S1638" s="12" t="s">
        <v>4945</v>
      </c>
      <c r="T1638" s="5"/>
      <c r="U1638" s="4"/>
      <c r="V1638" s="11"/>
      <c r="W1638" s="5"/>
      <c r="X1638" s="11"/>
      <c r="Y1638" s="4"/>
      <c r="Z1638" s="5"/>
      <c r="AA1638" s="4"/>
      <c r="AB1638" s="4"/>
      <c r="AC1638" s="4"/>
      <c r="AD1638" s="5"/>
      <c r="AE1638" s="5"/>
      <c r="AF1638" s="5"/>
      <c r="AG1638" s="5"/>
      <c r="AH1638" s="5"/>
      <c r="AI1638" s="5"/>
      <c r="AJ1638" s="5"/>
      <c r="AK1638" s="5"/>
      <c r="AL1638" s="5"/>
    </row>
    <row r="1639">
      <c r="A1639" s="4" t="str">
        <f>VLOOKUP(L1639,payment_ids!C:D,2,FALSE)</f>
        <v>pay_HIGmwYnqLicOtr</v>
      </c>
      <c r="B1639" s="4"/>
      <c r="C1639" s="4" t="s">
        <v>4942</v>
      </c>
      <c r="D1639" s="4">
        <v>50094.0</v>
      </c>
      <c r="E1639" s="5"/>
      <c r="F1639" s="4">
        <v>3.0</v>
      </c>
      <c r="G1639" s="4">
        <v>399.0</v>
      </c>
      <c r="H1639" s="4"/>
      <c r="I1639" s="4">
        <v>399.0</v>
      </c>
      <c r="J1639" s="4" t="s">
        <v>5045</v>
      </c>
      <c r="K1639" s="5">
        <f>+919140585496</f>
        <v>919140585496</v>
      </c>
      <c r="L1639" s="4" t="str">
        <f t="shared" si="1"/>
        <v>tripathishreya072@gmail.com919140585496</v>
      </c>
      <c r="M1639" s="10" t="s">
        <v>67</v>
      </c>
      <c r="N1639" s="4" t="b">
        <v>0</v>
      </c>
      <c r="O1639" s="4" t="str">
        <f>VLOOKUP(A1639,payment_ids!D:E,2,FALSE)</f>
        <v>netbanking</v>
      </c>
      <c r="P1639" s="4" t="s">
        <v>69</v>
      </c>
      <c r="Q1639" s="11">
        <v>44261.36319444444</v>
      </c>
      <c r="R1639" s="4"/>
      <c r="S1639" s="12" t="s">
        <v>4945</v>
      </c>
      <c r="T1639" s="5"/>
      <c r="U1639" s="4"/>
      <c r="V1639" s="11"/>
      <c r="W1639" s="5"/>
      <c r="X1639" s="11"/>
      <c r="Y1639" s="4"/>
      <c r="Z1639" s="5"/>
      <c r="AA1639" s="4"/>
      <c r="AB1639" s="4"/>
      <c r="AC1639" s="4"/>
      <c r="AD1639" s="5"/>
      <c r="AE1639" s="5"/>
      <c r="AF1639" s="5"/>
      <c r="AG1639" s="5"/>
      <c r="AH1639" s="5"/>
      <c r="AI1639" s="5"/>
      <c r="AJ1639" s="5"/>
      <c r="AK1639" s="5"/>
      <c r="AL1639" s="5"/>
    </row>
    <row r="1640">
      <c r="A1640" s="4" t="str">
        <f>VLOOKUP(L1640,payment_ids!C:D,2,FALSE)</f>
        <v>pay_HIRlyE3q49BfWj</v>
      </c>
      <c r="B1640" s="4"/>
      <c r="C1640" s="4" t="s">
        <v>4942</v>
      </c>
      <c r="D1640" s="4">
        <v>50094.0</v>
      </c>
      <c r="E1640" s="5"/>
      <c r="F1640" s="4">
        <v>1.0</v>
      </c>
      <c r="G1640" s="4">
        <v>199.0</v>
      </c>
      <c r="H1640" s="4"/>
      <c r="I1640" s="4">
        <v>199.0</v>
      </c>
      <c r="J1640" s="4" t="s">
        <v>5046</v>
      </c>
      <c r="K1640" s="5">
        <f>+918904226106</f>
        <v>918904226106</v>
      </c>
      <c r="L1640" s="4" t="str">
        <f t="shared" si="1"/>
        <v>vinodkumar11125@gmail.com918904226106</v>
      </c>
      <c r="M1640" s="10" t="s">
        <v>67</v>
      </c>
      <c r="N1640" s="4" t="b">
        <v>0</v>
      </c>
      <c r="O1640" s="4" t="str">
        <f>VLOOKUP(A1640,payment_ids!D:E,2,FALSE)</f>
        <v>upi</v>
      </c>
      <c r="P1640" s="4" t="s">
        <v>69</v>
      </c>
      <c r="Q1640" s="11">
        <v>44261.395833333336</v>
      </c>
      <c r="R1640" s="4"/>
      <c r="S1640" s="12" t="s">
        <v>4945</v>
      </c>
      <c r="T1640" s="5"/>
      <c r="U1640" s="4"/>
      <c r="V1640" s="11"/>
      <c r="W1640" s="5"/>
      <c r="X1640" s="11"/>
      <c r="Y1640" s="4"/>
      <c r="Z1640" s="5"/>
      <c r="AA1640" s="4"/>
      <c r="AB1640" s="4"/>
      <c r="AC1640" s="4"/>
      <c r="AD1640" s="5"/>
      <c r="AE1640" s="5"/>
      <c r="AF1640" s="5"/>
      <c r="AG1640" s="5"/>
      <c r="AH1640" s="5"/>
      <c r="AI1640" s="5"/>
      <c r="AJ1640" s="5"/>
      <c r="AK1640" s="5"/>
      <c r="AL1640" s="5"/>
    </row>
    <row r="1641">
      <c r="A1641" s="4" t="str">
        <f>VLOOKUP(L1641,payment_ids!C:D,2,FALSE)</f>
        <v>pay_HIXDzalSTEhoAt</v>
      </c>
      <c r="B1641" s="4"/>
      <c r="C1641" s="4" t="s">
        <v>4942</v>
      </c>
      <c r="D1641" s="4">
        <v>50094.0</v>
      </c>
      <c r="E1641" s="5"/>
      <c r="F1641" s="4">
        <v>1.0</v>
      </c>
      <c r="G1641" s="4">
        <v>199.0</v>
      </c>
      <c r="H1641" s="4"/>
      <c r="I1641" s="4">
        <v>199.0</v>
      </c>
      <c r="J1641" s="4" t="s">
        <v>5047</v>
      </c>
      <c r="K1641" s="5">
        <f>+919701312827</f>
        <v>919701312827</v>
      </c>
      <c r="L1641" s="4" t="str">
        <f t="shared" si="1"/>
        <v>y.v.v.hemanth981@gmail.com919701312827</v>
      </c>
      <c r="M1641" s="10" t="s">
        <v>67</v>
      </c>
      <c r="N1641" s="4" t="b">
        <v>0</v>
      </c>
      <c r="O1641" s="4" t="str">
        <f>VLOOKUP(A1641,payment_ids!D:E,2,FALSE)</f>
        <v>upi</v>
      </c>
      <c r="P1641" s="4" t="s">
        <v>69</v>
      </c>
      <c r="Q1641" s="11">
        <v>44261.618055555555</v>
      </c>
      <c r="R1641" s="4"/>
      <c r="S1641" s="12" t="s">
        <v>4945</v>
      </c>
      <c r="T1641" s="5"/>
      <c r="U1641" s="4"/>
      <c r="V1641" s="11"/>
      <c r="W1641" s="5"/>
      <c r="X1641" s="11"/>
      <c r="Y1641" s="4"/>
      <c r="Z1641" s="5"/>
      <c r="AA1641" s="4"/>
      <c r="AB1641" s="4"/>
      <c r="AC1641" s="4"/>
      <c r="AD1641" s="5"/>
      <c r="AE1641" s="5"/>
      <c r="AF1641" s="5"/>
      <c r="AG1641" s="5"/>
      <c r="AH1641" s="5"/>
      <c r="AI1641" s="5"/>
      <c r="AJ1641" s="5"/>
      <c r="AK1641" s="5"/>
      <c r="AL1641" s="5"/>
    </row>
    <row r="1642">
      <c r="A1642" s="4" t="str">
        <f>VLOOKUP(L1642,payment_ids!C:D,2,FALSE)</f>
        <v>pay_HIZ80PkWB0lBuR</v>
      </c>
      <c r="B1642" s="4"/>
      <c r="C1642" s="4" t="s">
        <v>4942</v>
      </c>
      <c r="D1642" s="4">
        <v>50094.0</v>
      </c>
      <c r="E1642" s="5"/>
      <c r="F1642" s="4">
        <v>1.0</v>
      </c>
      <c r="G1642" s="4">
        <v>199.0</v>
      </c>
      <c r="H1642" s="4"/>
      <c r="I1642" s="4">
        <v>199.0</v>
      </c>
      <c r="J1642" s="4" t="s">
        <v>5048</v>
      </c>
      <c r="K1642" s="5">
        <f>+919493567276</f>
        <v>919493567276</v>
      </c>
      <c r="L1642" s="4" t="str">
        <f t="shared" si="1"/>
        <v>dadas.com.dep@gmail.com919493567276</v>
      </c>
      <c r="M1642" s="10" t="s">
        <v>67</v>
      </c>
      <c r="N1642" s="4" t="b">
        <v>0</v>
      </c>
      <c r="O1642" s="4" t="str">
        <f>VLOOKUP(A1642,payment_ids!D:E,2,FALSE)</f>
        <v>card</v>
      </c>
      <c r="P1642" s="4" t="s">
        <v>69</v>
      </c>
      <c r="Q1642" s="11">
        <v>44261.69583333333</v>
      </c>
      <c r="R1642" s="4"/>
      <c r="S1642" s="12" t="s">
        <v>4945</v>
      </c>
      <c r="T1642" s="5"/>
      <c r="U1642" s="4"/>
      <c r="V1642" s="11"/>
      <c r="W1642" s="5"/>
      <c r="X1642" s="11"/>
      <c r="Y1642" s="4"/>
      <c r="Z1642" s="5"/>
      <c r="AA1642" s="4"/>
      <c r="AB1642" s="4"/>
      <c r="AC1642" s="4"/>
      <c r="AD1642" s="5"/>
      <c r="AE1642" s="5"/>
      <c r="AF1642" s="5"/>
      <c r="AG1642" s="5"/>
      <c r="AH1642" s="5"/>
      <c r="AI1642" s="5"/>
      <c r="AJ1642" s="5"/>
      <c r="AK1642" s="5"/>
      <c r="AL1642" s="5"/>
    </row>
    <row r="1643">
      <c r="A1643" s="4" t="str">
        <f>VLOOKUP(L1643,payment_ids!C:D,2,FALSE)</f>
        <v>pay_HIZUGVNJtB9rIN</v>
      </c>
      <c r="B1643" s="4"/>
      <c r="C1643" s="4" t="s">
        <v>4942</v>
      </c>
      <c r="D1643" s="4">
        <v>50094.0</v>
      </c>
      <c r="E1643" s="5"/>
      <c r="F1643" s="4">
        <v>1.0</v>
      </c>
      <c r="G1643" s="4">
        <v>199.0</v>
      </c>
      <c r="H1643" s="4"/>
      <c r="I1643" s="4">
        <v>199.0</v>
      </c>
      <c r="J1643" s="4" t="s">
        <v>5049</v>
      </c>
      <c r="K1643" s="5">
        <f>+919818066593</f>
        <v>919818066593</v>
      </c>
      <c r="L1643" s="4" t="str">
        <f t="shared" si="1"/>
        <v>pandey1sushila@gmail.com919818066593</v>
      </c>
      <c r="M1643" s="10" t="s">
        <v>67</v>
      </c>
      <c r="N1643" s="4" t="b">
        <v>0</v>
      </c>
      <c r="O1643" s="4" t="str">
        <f>VLOOKUP(A1643,payment_ids!D:E,2,FALSE)</f>
        <v>upi</v>
      </c>
      <c r="P1643" s="4" t="s">
        <v>69</v>
      </c>
      <c r="Q1643" s="11">
        <v>44261.71041666667</v>
      </c>
      <c r="R1643" s="4"/>
      <c r="S1643" s="12" t="s">
        <v>4945</v>
      </c>
      <c r="T1643" s="5"/>
      <c r="U1643" s="4"/>
      <c r="V1643" s="11"/>
      <c r="W1643" s="5"/>
      <c r="X1643" s="11"/>
      <c r="Y1643" s="4"/>
      <c r="Z1643" s="5"/>
      <c r="AA1643" s="4"/>
      <c r="AB1643" s="4"/>
      <c r="AC1643" s="4"/>
      <c r="AD1643" s="5"/>
      <c r="AE1643" s="5"/>
      <c r="AF1643" s="5"/>
      <c r="AG1643" s="5"/>
      <c r="AH1643" s="5"/>
      <c r="AI1643" s="5"/>
      <c r="AJ1643" s="5"/>
      <c r="AK1643" s="5"/>
      <c r="AL1643" s="5"/>
    </row>
    <row r="1644">
      <c r="A1644" s="4" t="str">
        <f>VLOOKUP(L1644,payment_ids!C:D,2,FALSE)</f>
        <v>pay_HIv7ZYSNSX7dvV</v>
      </c>
      <c r="B1644" s="4"/>
      <c r="C1644" s="4" t="s">
        <v>4942</v>
      </c>
      <c r="D1644" s="4">
        <v>50094.0</v>
      </c>
      <c r="E1644" s="5"/>
      <c r="F1644" s="4">
        <v>1.0</v>
      </c>
      <c r="G1644" s="4">
        <v>199.0</v>
      </c>
      <c r="H1644" s="4"/>
      <c r="I1644" s="4">
        <v>199.0</v>
      </c>
      <c r="J1644" s="4" t="s">
        <v>5050</v>
      </c>
      <c r="K1644" s="5">
        <f>+919100224622</f>
        <v>919100224622</v>
      </c>
      <c r="L1644" s="4" t="str">
        <f t="shared" si="1"/>
        <v>sonisamudrala22@gmail.com919100224622</v>
      </c>
      <c r="M1644" s="10" t="s">
        <v>67</v>
      </c>
      <c r="N1644" s="4" t="b">
        <v>0</v>
      </c>
      <c r="O1644" s="4" t="str">
        <f>VLOOKUP(A1644,payment_ids!D:E,2,FALSE)</f>
        <v>wallet</v>
      </c>
      <c r="P1644" s="4" t="s">
        <v>69</v>
      </c>
      <c r="Q1644" s="11">
        <v>44292.6</v>
      </c>
      <c r="R1644" s="4"/>
      <c r="S1644" s="12" t="s">
        <v>4945</v>
      </c>
      <c r="T1644" s="5"/>
      <c r="U1644" s="4"/>
      <c r="V1644" s="11"/>
      <c r="W1644" s="5"/>
      <c r="X1644" s="11"/>
      <c r="Y1644" s="4"/>
      <c r="Z1644" s="5"/>
      <c r="AA1644" s="4"/>
      <c r="AB1644" s="4"/>
      <c r="AC1644" s="4"/>
      <c r="AD1644" s="5"/>
      <c r="AE1644" s="5"/>
      <c r="AF1644" s="5"/>
      <c r="AG1644" s="5"/>
      <c r="AH1644" s="5"/>
      <c r="AI1644" s="5"/>
      <c r="AJ1644" s="5"/>
      <c r="AK1644" s="5"/>
      <c r="AL1644" s="5"/>
    </row>
    <row r="1645">
      <c r="A1645" s="4" t="str">
        <f>VLOOKUP(L1645,payment_ids!C:D,2,FALSE)</f>
        <v>pay_HJo1TR6WIBO6zn</v>
      </c>
      <c r="B1645" s="4"/>
      <c r="C1645" s="4" t="s">
        <v>4942</v>
      </c>
      <c r="D1645" s="4">
        <v>50094.0</v>
      </c>
      <c r="E1645" s="5"/>
      <c r="F1645" s="4">
        <v>1.0</v>
      </c>
      <c r="G1645" s="4">
        <v>199.0</v>
      </c>
      <c r="H1645" s="4"/>
      <c r="I1645" s="4">
        <v>199.0</v>
      </c>
      <c r="J1645" s="4" t="s">
        <v>5051</v>
      </c>
      <c r="K1645" s="5">
        <f>+919805506900</f>
        <v>919805506900</v>
      </c>
      <c r="L1645" s="4" t="str">
        <f t="shared" si="1"/>
        <v>kajalrathore772@gmail.com919805506900</v>
      </c>
      <c r="M1645" s="10" t="s">
        <v>67</v>
      </c>
      <c r="N1645" s="4" t="b">
        <v>0</v>
      </c>
      <c r="O1645" s="4" t="str">
        <f>VLOOKUP(A1645,payment_ids!D:E,2,FALSE)</f>
        <v>upi</v>
      </c>
      <c r="P1645" s="4" t="s">
        <v>69</v>
      </c>
      <c r="Q1645" s="11">
        <v>44353.82986111111</v>
      </c>
      <c r="R1645" s="4"/>
      <c r="S1645" s="12" t="s">
        <v>4945</v>
      </c>
      <c r="T1645" s="5"/>
      <c r="U1645" s="4"/>
      <c r="V1645" s="11"/>
      <c r="W1645" s="5"/>
      <c r="X1645" s="11"/>
      <c r="Y1645" s="4"/>
      <c r="Z1645" s="5"/>
      <c r="AA1645" s="4"/>
      <c r="AB1645" s="4"/>
      <c r="AC1645" s="4"/>
      <c r="AD1645" s="5"/>
      <c r="AE1645" s="5"/>
      <c r="AF1645" s="5"/>
      <c r="AG1645" s="5"/>
      <c r="AH1645" s="5"/>
      <c r="AI1645" s="5"/>
      <c r="AJ1645" s="5"/>
      <c r="AK1645" s="5"/>
      <c r="AL1645" s="5"/>
    </row>
    <row r="1646">
      <c r="A1646" s="4" t="str">
        <f>VLOOKUP(L1646,payment_ids!C:D,2,FALSE)</f>
        <v>pay_HLAyftFU4iHfpV</v>
      </c>
      <c r="B1646" s="4"/>
      <c r="C1646" s="4" t="s">
        <v>4942</v>
      </c>
      <c r="D1646" s="4">
        <v>50094.0</v>
      </c>
      <c r="E1646" s="5"/>
      <c r="F1646" s="4">
        <v>1.0</v>
      </c>
      <c r="G1646" s="4">
        <v>199.0</v>
      </c>
      <c r="H1646" s="4"/>
      <c r="I1646" s="4">
        <v>199.0</v>
      </c>
      <c r="J1646" s="4" t="s">
        <v>5052</v>
      </c>
      <c r="K1646" s="5">
        <f>+919360794218</f>
        <v>919360794218</v>
      </c>
      <c r="L1646" s="4" t="str">
        <f t="shared" si="1"/>
        <v>sowndharyasakthivel30@gmail.com919360794218</v>
      </c>
      <c r="M1646" s="10" t="s">
        <v>67</v>
      </c>
      <c r="N1646" s="4" t="b">
        <v>0</v>
      </c>
      <c r="O1646" s="4" t="str">
        <f>VLOOKUP(A1646,payment_ids!D:E,2,FALSE)</f>
        <v>upi</v>
      </c>
      <c r="P1646" s="4" t="s">
        <v>69</v>
      </c>
      <c r="Q1646" s="11">
        <v>44475.29375</v>
      </c>
      <c r="R1646" s="4"/>
      <c r="S1646" s="12" t="s">
        <v>4945</v>
      </c>
      <c r="T1646" s="4" t="s">
        <v>2444</v>
      </c>
      <c r="U1646" s="4"/>
      <c r="V1646" s="11"/>
      <c r="W1646" s="5"/>
      <c r="X1646" s="11"/>
      <c r="Y1646" s="4"/>
      <c r="Z1646" s="5"/>
      <c r="AA1646" s="4"/>
      <c r="AB1646" s="4"/>
      <c r="AC1646" s="4"/>
      <c r="AD1646" s="5"/>
      <c r="AE1646" s="5"/>
      <c r="AF1646" s="5"/>
      <c r="AG1646" s="5"/>
      <c r="AH1646" s="5"/>
      <c r="AI1646" s="5"/>
      <c r="AJ1646" s="5"/>
      <c r="AK1646" s="5"/>
      <c r="AL1646" s="5"/>
    </row>
    <row r="1647">
      <c r="A1647" s="4" t="str">
        <f>VLOOKUP(L1647,payment_ids!C:D,2,FALSE)</f>
        <v>pay_HLENDEMhZ5TNaw</v>
      </c>
      <c r="B1647" s="4"/>
      <c r="C1647" s="4" t="s">
        <v>4942</v>
      </c>
      <c r="D1647" s="4">
        <v>50094.0</v>
      </c>
      <c r="E1647" s="5"/>
      <c r="F1647" s="4">
        <v>1.0</v>
      </c>
      <c r="G1647" s="4">
        <v>199.0</v>
      </c>
      <c r="H1647" s="4"/>
      <c r="I1647" s="4">
        <v>199.0</v>
      </c>
      <c r="J1647" s="4" t="s">
        <v>5053</v>
      </c>
      <c r="K1647" s="5">
        <f>+919819597283</f>
        <v>919819597283</v>
      </c>
      <c r="L1647" s="4" t="str">
        <f t="shared" si="1"/>
        <v>aartilad13@gmail.com919819597283</v>
      </c>
      <c r="M1647" s="10" t="s">
        <v>67</v>
      </c>
      <c r="N1647" s="4" t="b">
        <v>0</v>
      </c>
      <c r="O1647" s="4" t="str">
        <f>VLOOKUP(A1647,payment_ids!D:E,2,FALSE)</f>
        <v>upi</v>
      </c>
      <c r="P1647" s="4" t="s">
        <v>69</v>
      </c>
      <c r="Q1647" s="11">
        <v>44475.43125</v>
      </c>
      <c r="R1647" s="4"/>
      <c r="S1647" s="12" t="s">
        <v>4945</v>
      </c>
      <c r="T1647" s="4" t="s">
        <v>2444</v>
      </c>
      <c r="U1647" s="4"/>
      <c r="V1647" s="11"/>
      <c r="W1647" s="5"/>
      <c r="X1647" s="11"/>
      <c r="Y1647" s="4"/>
      <c r="Z1647" s="5"/>
      <c r="AA1647" s="4"/>
      <c r="AB1647" s="4"/>
      <c r="AC1647" s="4"/>
      <c r="AD1647" s="5"/>
      <c r="AE1647" s="5"/>
      <c r="AF1647" s="5"/>
      <c r="AG1647" s="5"/>
      <c r="AH1647" s="5"/>
      <c r="AI1647" s="5"/>
      <c r="AJ1647" s="5"/>
      <c r="AK1647" s="5"/>
      <c r="AL1647" s="5"/>
    </row>
    <row r="1648">
      <c r="A1648" s="4" t="str">
        <f>VLOOKUP(L1648,payment_ids!C:D,2,FALSE)</f>
        <v>pay_HCrNBRV2URkTeu</v>
      </c>
      <c r="B1648" s="4"/>
      <c r="C1648" s="4" t="s">
        <v>4942</v>
      </c>
      <c r="D1648" s="4">
        <v>50094.0</v>
      </c>
      <c r="E1648" s="5"/>
      <c r="F1648" s="4">
        <v>6.0</v>
      </c>
      <c r="G1648" s="4">
        <v>599.0</v>
      </c>
      <c r="H1648" s="4"/>
      <c r="I1648" s="4">
        <v>599.0</v>
      </c>
      <c r="J1648" s="4" t="s">
        <v>2844</v>
      </c>
      <c r="K1648" s="5">
        <f>+917093081109</f>
        <v>917093081109</v>
      </c>
      <c r="L1648" s="4" t="str">
        <f t="shared" si="1"/>
        <v>scarysai@gmail.com917093081109</v>
      </c>
      <c r="M1648" s="10" t="s">
        <v>67</v>
      </c>
      <c r="N1648" s="4" t="b">
        <v>0</v>
      </c>
      <c r="O1648" s="4" t="str">
        <f>VLOOKUP(A1648,payment_ids!D:E,2,FALSE)</f>
        <v>netbanking</v>
      </c>
      <c r="P1648" s="4" t="s">
        <v>69</v>
      </c>
      <c r="Q1648" s="11">
        <v>44475.60208333333</v>
      </c>
      <c r="R1648" s="4"/>
      <c r="S1648" s="12" t="s">
        <v>5054</v>
      </c>
      <c r="T1648" s="4" t="s">
        <v>2444</v>
      </c>
      <c r="U1648" s="4"/>
      <c r="V1648" s="11"/>
      <c r="W1648" s="5"/>
      <c r="X1648" s="11"/>
      <c r="Y1648" s="4"/>
      <c r="Z1648" s="5"/>
      <c r="AA1648" s="4"/>
      <c r="AB1648" s="4"/>
      <c r="AC1648" s="4"/>
      <c r="AD1648" s="5"/>
      <c r="AE1648" s="5"/>
      <c r="AF1648" s="5"/>
      <c r="AG1648" s="5"/>
      <c r="AH1648" s="5"/>
      <c r="AI1648" s="5"/>
      <c r="AJ1648" s="5"/>
      <c r="AK1648" s="5"/>
      <c r="AL1648" s="5"/>
    </row>
    <row r="1649">
      <c r="A1649" s="4" t="str">
        <f>VLOOKUP(L1649,payment_ids!C:D,2,FALSE)</f>
        <v>pay_HLOBFsz4nDKP6L</v>
      </c>
      <c r="B1649" s="4"/>
      <c r="C1649" s="4" t="s">
        <v>4942</v>
      </c>
      <c r="D1649" s="4">
        <v>50094.0</v>
      </c>
      <c r="E1649" s="5"/>
      <c r="F1649" s="4">
        <v>1.0</v>
      </c>
      <c r="G1649" s="4">
        <v>199.0</v>
      </c>
      <c r="H1649" s="4"/>
      <c r="I1649" s="4">
        <v>199.0</v>
      </c>
      <c r="J1649" s="4" t="s">
        <v>5055</v>
      </c>
      <c r="K1649" s="5">
        <f>+919657233842</f>
        <v>919657233842</v>
      </c>
      <c r="L1649" s="4" t="str">
        <f t="shared" si="1"/>
        <v>akshaykhaire13@gmail.com919657233842</v>
      </c>
      <c r="M1649" s="10" t="s">
        <v>67</v>
      </c>
      <c r="N1649" s="4" t="b">
        <v>0</v>
      </c>
      <c r="O1649" s="4" t="str">
        <f>VLOOKUP(A1649,payment_ids!D:E,2,FALSE)</f>
        <v>upi</v>
      </c>
      <c r="P1649" s="4" t="s">
        <v>69</v>
      </c>
      <c r="Q1649" s="11">
        <v>44475.830555555556</v>
      </c>
      <c r="R1649" s="4"/>
      <c r="S1649" s="12" t="s">
        <v>4945</v>
      </c>
      <c r="T1649" s="4" t="s">
        <v>2444</v>
      </c>
      <c r="U1649" s="4"/>
      <c r="V1649" s="11"/>
      <c r="W1649" s="5"/>
      <c r="X1649" s="11"/>
      <c r="Y1649" s="4"/>
      <c r="Z1649" s="5"/>
      <c r="AA1649" s="4"/>
      <c r="AB1649" s="4"/>
      <c r="AC1649" s="4"/>
      <c r="AD1649" s="5"/>
      <c r="AE1649" s="5"/>
      <c r="AF1649" s="5"/>
      <c r="AG1649" s="5"/>
      <c r="AH1649" s="5"/>
      <c r="AI1649" s="5"/>
      <c r="AJ1649" s="5"/>
      <c r="AK1649" s="5"/>
      <c r="AL1649" s="5"/>
    </row>
    <row r="1650">
      <c r="A1650" s="4" t="str">
        <f>VLOOKUP(L1650,payment_ids!C:D,2,FALSE)</f>
        <v>pay_H9X9ohSWFlOcKS</v>
      </c>
      <c r="B1650" s="4"/>
      <c r="C1650" s="4" t="s">
        <v>4942</v>
      </c>
      <c r="D1650" s="4">
        <v>50094.0</v>
      </c>
      <c r="E1650" s="5"/>
      <c r="F1650" s="4">
        <v>1.0</v>
      </c>
      <c r="G1650" s="4">
        <v>199.0</v>
      </c>
      <c r="H1650" s="4"/>
      <c r="I1650" s="4">
        <v>199.0</v>
      </c>
      <c r="J1650" s="4" t="s">
        <v>5056</v>
      </c>
      <c r="K1650" s="5">
        <f>+919872897180</f>
        <v>919872897180</v>
      </c>
      <c r="L1650" s="4" t="str">
        <f t="shared" si="1"/>
        <v>nishj456@gmail.com919872897180</v>
      </c>
      <c r="M1650" s="10" t="s">
        <v>67</v>
      </c>
      <c r="N1650" s="4" t="b">
        <v>0</v>
      </c>
      <c r="O1650" s="4" t="str">
        <f>VLOOKUP(A1650,payment_ids!D:E,2,FALSE)</f>
        <v>card</v>
      </c>
      <c r="P1650" s="4" t="s">
        <v>69</v>
      </c>
      <c r="Q1650" s="11">
        <v>44506.510416666664</v>
      </c>
      <c r="R1650" s="4"/>
      <c r="S1650" s="12" t="s">
        <v>4945</v>
      </c>
      <c r="T1650" s="4" t="s">
        <v>2444</v>
      </c>
      <c r="U1650" s="4"/>
      <c r="V1650" s="11"/>
      <c r="W1650" s="5"/>
      <c r="X1650" s="11"/>
      <c r="Y1650" s="4"/>
      <c r="Z1650" s="5"/>
      <c r="AA1650" s="4"/>
      <c r="AB1650" s="4"/>
      <c r="AC1650" s="4"/>
      <c r="AD1650" s="5"/>
      <c r="AE1650" s="5"/>
      <c r="AF1650" s="5"/>
      <c r="AG1650" s="5"/>
      <c r="AH1650" s="5"/>
      <c r="AI1650" s="5"/>
      <c r="AJ1650" s="5"/>
      <c r="AK1650" s="5"/>
      <c r="AL1650" s="5"/>
    </row>
    <row r="1651">
      <c r="A1651" s="4" t="str">
        <f>VLOOKUP(L1651,payment_ids!C:D,2,FALSE)</f>
        <v>pay_HLpyD1YOlI8EV2</v>
      </c>
      <c r="B1651" s="4"/>
      <c r="C1651" s="4" t="s">
        <v>4942</v>
      </c>
      <c r="D1651" s="4">
        <v>50094.0</v>
      </c>
      <c r="E1651" s="5"/>
      <c r="F1651" s="4">
        <v>1.0</v>
      </c>
      <c r="G1651" s="4">
        <v>199.0</v>
      </c>
      <c r="H1651" s="4"/>
      <c r="I1651" s="4">
        <v>199.0</v>
      </c>
      <c r="J1651" s="4" t="s">
        <v>5057</v>
      </c>
      <c r="K1651" s="5">
        <f>+916369380433</f>
        <v>916369380433</v>
      </c>
      <c r="L1651" s="4" t="str">
        <f t="shared" si="1"/>
        <v>saitejapanagatla9999@gmail.com916369380433</v>
      </c>
      <c r="M1651" s="10" t="s">
        <v>67</v>
      </c>
      <c r="N1651" s="4" t="b">
        <v>0</v>
      </c>
      <c r="O1651" s="4" t="str">
        <f>VLOOKUP(A1651,payment_ids!D:E,2,FALSE)</f>
        <v>wallet</v>
      </c>
      <c r="P1651" s="4" t="s">
        <v>69</v>
      </c>
      <c r="Q1651" s="11">
        <v>44506.96388888889</v>
      </c>
      <c r="R1651" s="4"/>
      <c r="S1651" s="12" t="s">
        <v>4945</v>
      </c>
      <c r="T1651" s="4" t="s">
        <v>2444</v>
      </c>
      <c r="U1651" s="4"/>
      <c r="V1651" s="11"/>
      <c r="W1651" s="5"/>
      <c r="X1651" s="11"/>
      <c r="Y1651" s="4"/>
      <c r="Z1651" s="5"/>
      <c r="AA1651" s="4"/>
      <c r="AB1651" s="4"/>
      <c r="AC1651" s="4"/>
      <c r="AD1651" s="5"/>
      <c r="AE1651" s="5"/>
      <c r="AF1651" s="5"/>
      <c r="AG1651" s="5"/>
      <c r="AH1651" s="5"/>
      <c r="AI1651" s="5"/>
      <c r="AJ1651" s="5"/>
      <c r="AK1651" s="5"/>
      <c r="AL1651" s="5"/>
    </row>
    <row r="1652">
      <c r="A1652" s="4" t="str">
        <f>VLOOKUP(L1652,payment_ids!C:D,2,FALSE)</f>
        <v>pay_HMTxeQJuvGkgJu</v>
      </c>
      <c r="B1652" s="4"/>
      <c r="C1652" s="4" t="s">
        <v>4942</v>
      </c>
      <c r="D1652" s="4">
        <v>50094.0</v>
      </c>
      <c r="E1652" s="5"/>
      <c r="F1652" s="4">
        <v>1.0</v>
      </c>
      <c r="G1652" s="4">
        <v>199.0</v>
      </c>
      <c r="H1652" s="4"/>
      <c r="I1652" s="4">
        <v>199.0</v>
      </c>
      <c r="J1652" s="4" t="s">
        <v>5058</v>
      </c>
      <c r="K1652" s="5">
        <f>+918884536957</f>
        <v>918884536957</v>
      </c>
      <c r="L1652" s="4" t="str">
        <f t="shared" si="1"/>
        <v>sahanabhmtwinkle@gmail.com918884536957</v>
      </c>
      <c r="M1652" s="10" t="s">
        <v>67</v>
      </c>
      <c r="N1652" s="4" t="b">
        <v>0</v>
      </c>
      <c r="O1652" s="4" t="str">
        <f>VLOOKUP(A1652,payment_ids!D:E,2,FALSE)</f>
        <v>upi</v>
      </c>
      <c r="P1652" s="4" t="s">
        <v>69</v>
      </c>
      <c r="Q1652" s="4" t="s">
        <v>5059</v>
      </c>
      <c r="R1652" s="4"/>
      <c r="S1652" s="12" t="s">
        <v>4945</v>
      </c>
      <c r="T1652" s="4" t="s">
        <v>2444</v>
      </c>
      <c r="U1652" s="4"/>
      <c r="V1652" s="11"/>
      <c r="W1652" s="5"/>
      <c r="X1652" s="11"/>
      <c r="Y1652" s="4"/>
      <c r="Z1652" s="5"/>
      <c r="AA1652" s="4"/>
      <c r="AB1652" s="4"/>
      <c r="AC1652" s="4"/>
      <c r="AD1652" s="5"/>
      <c r="AE1652" s="5"/>
      <c r="AF1652" s="5"/>
      <c r="AG1652" s="5"/>
      <c r="AH1652" s="5"/>
      <c r="AI1652" s="5"/>
      <c r="AJ1652" s="5"/>
      <c r="AK1652" s="5"/>
      <c r="AL1652" s="5"/>
    </row>
    <row r="1653">
      <c r="A1653" s="4" t="str">
        <f>VLOOKUP(L1653,payment_ids!C:D,2,FALSE)</f>
        <v>pay_HMbwzwOOTZnviN</v>
      </c>
      <c r="B1653" s="4"/>
      <c r="C1653" s="4" t="s">
        <v>4942</v>
      </c>
      <c r="D1653" s="4">
        <v>50094.0</v>
      </c>
      <c r="E1653" s="5"/>
      <c r="F1653" s="4">
        <v>1.0</v>
      </c>
      <c r="G1653" s="4">
        <v>199.0</v>
      </c>
      <c r="H1653" s="4"/>
      <c r="I1653" s="4">
        <v>199.0</v>
      </c>
      <c r="J1653" s="4" t="s">
        <v>5060</v>
      </c>
      <c r="K1653" s="5">
        <f>+916363220815</f>
        <v>916363220815</v>
      </c>
      <c r="L1653" s="4" t="str">
        <f t="shared" si="1"/>
        <v>mamathahc410@gmail.com916363220815</v>
      </c>
      <c r="M1653" s="10" t="s">
        <v>67</v>
      </c>
      <c r="N1653" s="4" t="b">
        <v>0</v>
      </c>
      <c r="O1653" s="4" t="str">
        <f>VLOOKUP(A1653,payment_ids!D:E,2,FALSE)</f>
        <v>card</v>
      </c>
      <c r="P1653" s="4" t="s">
        <v>69</v>
      </c>
      <c r="Q1653" s="4" t="s">
        <v>5061</v>
      </c>
      <c r="R1653" s="4"/>
      <c r="S1653" s="12" t="s">
        <v>4945</v>
      </c>
      <c r="T1653" s="4" t="s">
        <v>2444</v>
      </c>
      <c r="U1653" s="4"/>
      <c r="V1653" s="11"/>
      <c r="W1653" s="5"/>
      <c r="X1653" s="11"/>
      <c r="Y1653" s="4"/>
      <c r="Z1653" s="5"/>
      <c r="AA1653" s="4"/>
      <c r="AB1653" s="4"/>
      <c r="AC1653" s="4"/>
      <c r="AD1653" s="5"/>
      <c r="AE1653" s="5"/>
      <c r="AF1653" s="5"/>
      <c r="AG1653" s="5"/>
      <c r="AH1653" s="5"/>
      <c r="AI1653" s="5"/>
      <c r="AJ1653" s="5"/>
      <c r="AK1653" s="5"/>
      <c r="AL1653" s="5"/>
    </row>
    <row r="1654">
      <c r="A1654" s="4" t="str">
        <f>VLOOKUP(L1654,payment_ids!C:D,2,FALSE)</f>
        <v>pay_HMufe505uFNcnf</v>
      </c>
      <c r="B1654" s="4"/>
      <c r="C1654" s="4" t="s">
        <v>4942</v>
      </c>
      <c r="D1654" s="4">
        <v>50094.0</v>
      </c>
      <c r="E1654" s="5"/>
      <c r="F1654" s="4">
        <v>1.0</v>
      </c>
      <c r="G1654" s="4">
        <v>199.0</v>
      </c>
      <c r="H1654" s="4"/>
      <c r="I1654" s="4">
        <v>199.0</v>
      </c>
      <c r="J1654" s="4" t="s">
        <v>5062</v>
      </c>
      <c r="K1654" s="5">
        <f>+917093237385</f>
        <v>917093237385</v>
      </c>
      <c r="L1654" s="4" t="str">
        <f t="shared" si="1"/>
        <v>tripurasoni0430@gmail.com917093237385</v>
      </c>
      <c r="M1654" s="10" t="s">
        <v>67</v>
      </c>
      <c r="N1654" s="4" t="b">
        <v>0</v>
      </c>
      <c r="O1654" s="4" t="str">
        <f>VLOOKUP(A1654,payment_ids!D:E,2,FALSE)</f>
        <v>upi</v>
      </c>
      <c r="P1654" s="4" t="s">
        <v>69</v>
      </c>
      <c r="Q1654" s="4" t="s">
        <v>5063</v>
      </c>
      <c r="R1654" s="4"/>
      <c r="S1654" s="12" t="s">
        <v>4945</v>
      </c>
      <c r="T1654" s="4" t="s">
        <v>2444</v>
      </c>
      <c r="U1654" s="4"/>
      <c r="V1654" s="11"/>
      <c r="W1654" s="5"/>
      <c r="X1654" s="11"/>
      <c r="Y1654" s="4"/>
      <c r="Z1654" s="5"/>
      <c r="AA1654" s="4"/>
      <c r="AB1654" s="4"/>
      <c r="AC1654" s="4"/>
      <c r="AD1654" s="5"/>
      <c r="AE1654" s="5"/>
      <c r="AF1654" s="5"/>
      <c r="AG1654" s="5"/>
      <c r="AH1654" s="5"/>
      <c r="AI1654" s="5"/>
      <c r="AJ1654" s="5"/>
      <c r="AK1654" s="5"/>
      <c r="AL1654" s="5"/>
    </row>
    <row r="1655">
      <c r="A1655" s="4" t="str">
        <f>VLOOKUP(L1655,payment_ids!C:D,2,FALSE)</f>
        <v>pay_HN2DrGSEwLkv2L</v>
      </c>
      <c r="B1655" s="4"/>
      <c r="C1655" s="4" t="s">
        <v>4942</v>
      </c>
      <c r="D1655" s="4">
        <v>50094.0</v>
      </c>
      <c r="E1655" s="5"/>
      <c r="F1655" s="4">
        <v>1.0</v>
      </c>
      <c r="G1655" s="4">
        <v>199.0</v>
      </c>
      <c r="H1655" s="4"/>
      <c r="I1655" s="4">
        <v>199.0</v>
      </c>
      <c r="J1655" s="4" t="s">
        <v>5064</v>
      </c>
      <c r="K1655" s="5">
        <f>+918297270835</f>
        <v>918297270835</v>
      </c>
      <c r="L1655" s="4" t="str">
        <f t="shared" si="1"/>
        <v>avinashgrandhi9@gmail.com918297270835</v>
      </c>
      <c r="M1655" s="10" t="s">
        <v>67</v>
      </c>
      <c r="N1655" s="4" t="b">
        <v>0</v>
      </c>
      <c r="O1655" s="4" t="str">
        <f>VLOOKUP(A1655,payment_ids!D:E,2,FALSE)</f>
        <v>upi</v>
      </c>
      <c r="P1655" s="4" t="s">
        <v>69</v>
      </c>
      <c r="Q1655" s="4" t="s">
        <v>5065</v>
      </c>
      <c r="R1655" s="4"/>
      <c r="S1655" s="12" t="s">
        <v>4945</v>
      </c>
      <c r="T1655" s="4" t="s">
        <v>2444</v>
      </c>
      <c r="U1655" s="4"/>
      <c r="V1655" s="11"/>
      <c r="W1655" s="5"/>
      <c r="X1655" s="11"/>
      <c r="Y1655" s="4"/>
      <c r="Z1655" s="5"/>
      <c r="AA1655" s="4"/>
      <c r="AB1655" s="4"/>
      <c r="AC1655" s="4"/>
      <c r="AD1655" s="5"/>
      <c r="AE1655" s="5"/>
      <c r="AF1655" s="5"/>
      <c r="AG1655" s="5"/>
      <c r="AH1655" s="5"/>
      <c r="AI1655" s="5"/>
      <c r="AJ1655" s="5"/>
      <c r="AK1655" s="5"/>
      <c r="AL1655" s="5"/>
    </row>
    <row r="1656">
      <c r="A1656" s="4" t="str">
        <f>VLOOKUP(L1656,payment_ids!C:D,2,FALSE)</f>
        <v>pay_HNFGobklPEy0Kj</v>
      </c>
      <c r="B1656" s="4"/>
      <c r="C1656" s="4" t="s">
        <v>4942</v>
      </c>
      <c r="D1656" s="4">
        <v>50094.0</v>
      </c>
      <c r="E1656" s="5"/>
      <c r="F1656" s="4">
        <v>1.0</v>
      </c>
      <c r="G1656" s="4">
        <v>199.0</v>
      </c>
      <c r="H1656" s="4"/>
      <c r="I1656" s="4">
        <v>199.0</v>
      </c>
      <c r="J1656" s="4" t="s">
        <v>5066</v>
      </c>
      <c r="K1656" s="5">
        <f>+917559140719</f>
        <v>917559140719</v>
      </c>
      <c r="L1656" s="4" t="str">
        <f t="shared" si="1"/>
        <v>ishantpatel172@gmail.com917559140719</v>
      </c>
      <c r="M1656" s="10" t="s">
        <v>67</v>
      </c>
      <c r="N1656" s="4" t="b">
        <v>0</v>
      </c>
      <c r="O1656" s="4" t="str">
        <f>VLOOKUP(A1656,payment_ids!D:E,2,FALSE)</f>
        <v>card</v>
      </c>
      <c r="P1656" s="4" t="s">
        <v>69</v>
      </c>
      <c r="Q1656" s="4" t="s">
        <v>5067</v>
      </c>
      <c r="R1656" s="4"/>
      <c r="S1656" s="12" t="s">
        <v>4945</v>
      </c>
      <c r="T1656" s="4" t="s">
        <v>2444</v>
      </c>
      <c r="U1656" s="4"/>
      <c r="V1656" s="11"/>
      <c r="W1656" s="5"/>
      <c r="X1656" s="11"/>
      <c r="Y1656" s="4"/>
      <c r="Z1656" s="5"/>
      <c r="AA1656" s="4"/>
      <c r="AB1656" s="4"/>
      <c r="AC1656" s="4"/>
      <c r="AD1656" s="5"/>
      <c r="AE1656" s="5"/>
      <c r="AF1656" s="5"/>
      <c r="AG1656" s="5"/>
      <c r="AH1656" s="5"/>
      <c r="AI1656" s="5"/>
      <c r="AJ1656" s="5"/>
      <c r="AK1656" s="5"/>
      <c r="AL1656" s="5"/>
    </row>
    <row r="1657">
      <c r="A1657" s="4" t="str">
        <f>VLOOKUP(L1657,payment_ids!C:D,2,FALSE)</f>
        <v>pay_HNGXTUcqVlE4si</v>
      </c>
      <c r="B1657" s="4"/>
      <c r="C1657" s="4" t="s">
        <v>4942</v>
      </c>
      <c r="D1657" s="4">
        <v>50094.0</v>
      </c>
      <c r="E1657" s="5"/>
      <c r="F1657" s="4">
        <v>1.0</v>
      </c>
      <c r="G1657" s="4">
        <v>199.0</v>
      </c>
      <c r="H1657" s="4"/>
      <c r="I1657" s="4">
        <v>199.0</v>
      </c>
      <c r="J1657" s="4" t="s">
        <v>5068</v>
      </c>
      <c r="K1657" s="5">
        <f>+918091028119</f>
        <v>918091028119</v>
      </c>
      <c r="L1657" s="4" t="str">
        <f t="shared" si="1"/>
        <v>deepalivermasml@gmail.com918091028119</v>
      </c>
      <c r="M1657" s="10" t="s">
        <v>67</v>
      </c>
      <c r="N1657" s="4" t="b">
        <v>0</v>
      </c>
      <c r="O1657" s="4" t="str">
        <f>VLOOKUP(A1657,payment_ids!D:E,2,FALSE)</f>
        <v>upi</v>
      </c>
      <c r="P1657" s="4" t="s">
        <v>69</v>
      </c>
      <c r="Q1657" s="4" t="s">
        <v>5069</v>
      </c>
      <c r="R1657" s="4"/>
      <c r="S1657" s="12" t="s">
        <v>4945</v>
      </c>
      <c r="T1657" s="4" t="s">
        <v>2444</v>
      </c>
      <c r="U1657" s="4"/>
      <c r="V1657" s="11"/>
      <c r="W1657" s="5"/>
      <c r="X1657" s="11"/>
      <c r="Y1657" s="4"/>
      <c r="Z1657" s="5"/>
      <c r="AA1657" s="4"/>
      <c r="AB1657" s="4"/>
      <c r="AC1657" s="4"/>
      <c r="AD1657" s="5"/>
      <c r="AE1657" s="5"/>
      <c r="AF1657" s="5"/>
      <c r="AG1657" s="5"/>
      <c r="AH1657" s="5"/>
      <c r="AI1657" s="5"/>
      <c r="AJ1657" s="5"/>
      <c r="AK1657" s="5"/>
      <c r="AL1657" s="5"/>
    </row>
    <row r="1658">
      <c r="A1658" s="4" t="str">
        <f>VLOOKUP(L1658,payment_ids!C:D,2,FALSE)</f>
        <v>pay_HNHvtPc0wG3UqO</v>
      </c>
      <c r="B1658" s="4"/>
      <c r="C1658" s="4" t="s">
        <v>4942</v>
      </c>
      <c r="D1658" s="4">
        <v>50094.0</v>
      </c>
      <c r="E1658" s="5"/>
      <c r="F1658" s="4">
        <v>1.0</v>
      </c>
      <c r="G1658" s="4">
        <v>199.0</v>
      </c>
      <c r="H1658" s="4"/>
      <c r="I1658" s="4">
        <v>199.0</v>
      </c>
      <c r="J1658" s="4" t="s">
        <v>5070</v>
      </c>
      <c r="K1658" s="5">
        <f>+971561063735</f>
        <v>971561063735</v>
      </c>
      <c r="L1658" s="4" t="str">
        <f t="shared" si="1"/>
        <v>abhay2680@gmail.com971561063735</v>
      </c>
      <c r="M1658" s="10" t="s">
        <v>67</v>
      </c>
      <c r="N1658" s="4" t="b">
        <v>0</v>
      </c>
      <c r="O1658" s="4" t="str">
        <f>VLOOKUP(A1658,payment_ids!D:E,2,FALSE)</f>
        <v>card</v>
      </c>
      <c r="P1658" s="4" t="s">
        <v>69</v>
      </c>
      <c r="Q1658" s="4" t="s">
        <v>5071</v>
      </c>
      <c r="R1658" s="4"/>
      <c r="S1658" s="12" t="s">
        <v>5072</v>
      </c>
      <c r="T1658" s="4" t="s">
        <v>2444</v>
      </c>
      <c r="U1658" s="4"/>
      <c r="V1658" s="11"/>
      <c r="W1658" s="5"/>
      <c r="X1658" s="11"/>
      <c r="Y1658" s="4"/>
      <c r="Z1658" s="5"/>
      <c r="AA1658" s="4"/>
      <c r="AB1658" s="4"/>
      <c r="AC1658" s="4"/>
      <c r="AD1658" s="5"/>
      <c r="AE1658" s="5"/>
      <c r="AF1658" s="5"/>
      <c r="AG1658" s="5"/>
      <c r="AH1658" s="5"/>
      <c r="AI1658" s="5"/>
      <c r="AJ1658" s="5"/>
      <c r="AK1658" s="5"/>
      <c r="AL1658" s="5"/>
    </row>
    <row r="1659">
      <c r="A1659" s="4" t="str">
        <f>VLOOKUP(L1659,payment_ids!C:D,2,FALSE)</f>
        <v>pay_HNPLF33uZ1P9mi</v>
      </c>
      <c r="B1659" s="4"/>
      <c r="C1659" s="4" t="s">
        <v>4942</v>
      </c>
      <c r="D1659" s="4">
        <v>50094.0</v>
      </c>
      <c r="E1659" s="5"/>
      <c r="F1659" s="4">
        <v>1.0</v>
      </c>
      <c r="G1659" s="4">
        <v>199.0</v>
      </c>
      <c r="H1659" s="4"/>
      <c r="I1659" s="4">
        <v>199.0</v>
      </c>
      <c r="J1659" s="4" t="s">
        <v>5073</v>
      </c>
      <c r="K1659" s="5">
        <f>+919963125648</f>
        <v>919963125648</v>
      </c>
      <c r="L1659" s="4" t="str">
        <f t="shared" si="1"/>
        <v>damunadipalli68@gmail.com919963125648</v>
      </c>
      <c r="M1659" s="10" t="s">
        <v>67</v>
      </c>
      <c r="N1659" s="4" t="b">
        <v>0</v>
      </c>
      <c r="O1659" s="4" t="str">
        <f>VLOOKUP(A1659,payment_ids!D:E,2,FALSE)</f>
        <v>upi</v>
      </c>
      <c r="P1659" s="4" t="s">
        <v>69</v>
      </c>
      <c r="Q1659" s="4" t="s">
        <v>5074</v>
      </c>
      <c r="R1659" s="4"/>
      <c r="S1659" s="12" t="s">
        <v>4945</v>
      </c>
      <c r="T1659" s="4" t="s">
        <v>2444</v>
      </c>
      <c r="U1659" s="4"/>
      <c r="V1659" s="11"/>
      <c r="W1659" s="5"/>
      <c r="X1659" s="11"/>
      <c r="Y1659" s="4"/>
      <c r="Z1659" s="5"/>
      <c r="AA1659" s="4"/>
      <c r="AB1659" s="4"/>
      <c r="AC1659" s="4"/>
      <c r="AD1659" s="5"/>
      <c r="AE1659" s="5"/>
      <c r="AF1659" s="5"/>
      <c r="AG1659" s="5"/>
      <c r="AH1659" s="5"/>
      <c r="AI1659" s="5"/>
      <c r="AJ1659" s="5"/>
      <c r="AK1659" s="5"/>
      <c r="AL1659" s="5"/>
    </row>
    <row r="1660">
      <c r="A1660" s="4" t="str">
        <f>VLOOKUP(L1660,payment_ids!C:D,2,FALSE)</f>
        <v>pay_HNL2PFWeUUH49A</v>
      </c>
      <c r="B1660" s="4"/>
      <c r="C1660" s="4" t="s">
        <v>4942</v>
      </c>
      <c r="D1660" s="4">
        <v>50094.0</v>
      </c>
      <c r="E1660" s="5"/>
      <c r="F1660" s="4">
        <v>1.0</v>
      </c>
      <c r="G1660" s="4">
        <v>199.0</v>
      </c>
      <c r="H1660" s="4"/>
      <c r="I1660" s="4">
        <v>199.0</v>
      </c>
      <c r="J1660" s="4" t="s">
        <v>5075</v>
      </c>
      <c r="K1660" s="5">
        <f>+919566813389</f>
        <v>919566813389</v>
      </c>
      <c r="L1660" s="4" t="str">
        <f t="shared" si="1"/>
        <v>harists99@gmail.com919566813389</v>
      </c>
      <c r="M1660" s="10" t="s">
        <v>67</v>
      </c>
      <c r="N1660" s="4" t="b">
        <v>0</v>
      </c>
      <c r="O1660" s="4" t="str">
        <f>VLOOKUP(A1660,payment_ids!D:E,2,FALSE)</f>
        <v>card</v>
      </c>
      <c r="P1660" s="4" t="s">
        <v>69</v>
      </c>
      <c r="Q1660" s="4" t="s">
        <v>3552</v>
      </c>
      <c r="R1660" s="4"/>
      <c r="S1660" s="12" t="s">
        <v>4945</v>
      </c>
      <c r="T1660" s="4" t="s">
        <v>2444</v>
      </c>
      <c r="U1660" s="4"/>
      <c r="V1660" s="11"/>
      <c r="W1660" s="5"/>
      <c r="X1660" s="11"/>
      <c r="Y1660" s="4"/>
      <c r="Z1660" s="5"/>
      <c r="AA1660" s="4"/>
      <c r="AB1660" s="4"/>
      <c r="AC1660" s="4"/>
      <c r="AD1660" s="5"/>
      <c r="AE1660" s="5"/>
      <c r="AF1660" s="5"/>
      <c r="AG1660" s="5"/>
      <c r="AH1660" s="5"/>
      <c r="AI1660" s="5"/>
      <c r="AJ1660" s="5"/>
      <c r="AK1660" s="5"/>
      <c r="AL1660" s="5"/>
    </row>
    <row r="1661">
      <c r="A1661" s="4" t="str">
        <f>VLOOKUP(L1661,payment_ids!C:D,2,FALSE)</f>
        <v>pay_HNeGzgdfTDBsrg</v>
      </c>
      <c r="B1661" s="4"/>
      <c r="C1661" s="4" t="s">
        <v>4942</v>
      </c>
      <c r="D1661" s="4">
        <v>50094.0</v>
      </c>
      <c r="E1661" s="5"/>
      <c r="F1661" s="4">
        <v>1.0</v>
      </c>
      <c r="G1661" s="4">
        <v>199.0</v>
      </c>
      <c r="H1661" s="4"/>
      <c r="I1661" s="4">
        <v>199.0</v>
      </c>
      <c r="J1661" s="4" t="s">
        <v>5076</v>
      </c>
      <c r="K1661" s="5">
        <f>+917338667029</f>
        <v>917338667029</v>
      </c>
      <c r="L1661" s="4" t="str">
        <f t="shared" si="1"/>
        <v>lohiarachna5@gmail.com917338667029</v>
      </c>
      <c r="M1661" s="10" t="s">
        <v>67</v>
      </c>
      <c r="N1661" s="4" t="b">
        <v>0</v>
      </c>
      <c r="O1661" s="4" t="str">
        <f>VLOOKUP(A1661,payment_ids!D:E,2,FALSE)</f>
        <v>upi</v>
      </c>
      <c r="P1661" s="4" t="s">
        <v>69</v>
      </c>
      <c r="Q1661" s="4" t="s">
        <v>5077</v>
      </c>
      <c r="R1661" s="4"/>
      <c r="S1661" s="12" t="s">
        <v>4945</v>
      </c>
      <c r="T1661" s="4" t="s">
        <v>2444</v>
      </c>
      <c r="U1661" s="4"/>
      <c r="V1661" s="11"/>
      <c r="W1661" s="5"/>
      <c r="X1661" s="11"/>
      <c r="Y1661" s="4"/>
      <c r="Z1661" s="5"/>
      <c r="AA1661" s="4"/>
      <c r="AB1661" s="4"/>
      <c r="AC1661" s="4"/>
      <c r="AD1661" s="5"/>
      <c r="AE1661" s="5"/>
      <c r="AF1661" s="5"/>
      <c r="AG1661" s="5"/>
      <c r="AH1661" s="5"/>
      <c r="AI1661" s="5"/>
      <c r="AJ1661" s="5"/>
      <c r="AK1661" s="5"/>
      <c r="AL1661" s="5"/>
    </row>
    <row r="1662">
      <c r="A1662" s="4" t="str">
        <f>VLOOKUP(L1662,payment_ids!C:D,2,FALSE)</f>
        <v>pay_HNzIWmGzJEmvOB</v>
      </c>
      <c r="B1662" s="4"/>
      <c r="C1662" s="4" t="s">
        <v>4942</v>
      </c>
      <c r="D1662" s="4">
        <v>50094.0</v>
      </c>
      <c r="E1662" s="5"/>
      <c r="F1662" s="4">
        <v>1.0</v>
      </c>
      <c r="G1662" s="4">
        <v>199.0</v>
      </c>
      <c r="H1662" s="4"/>
      <c r="I1662" s="4">
        <v>199.0</v>
      </c>
      <c r="J1662" s="4" t="s">
        <v>5078</v>
      </c>
      <c r="K1662" s="5">
        <f>+919043982326</f>
        <v>919043982326</v>
      </c>
      <c r="L1662" s="4" t="str">
        <f t="shared" si="1"/>
        <v>vigneshvenkatesan5@gmail.com919043982326</v>
      </c>
      <c r="M1662" s="10" t="s">
        <v>67</v>
      </c>
      <c r="N1662" s="4" t="b">
        <v>0</v>
      </c>
      <c r="O1662" s="4" t="str">
        <f>VLOOKUP(A1662,payment_ids!D:E,2,FALSE)</f>
        <v>netbanking</v>
      </c>
      <c r="P1662" s="4" t="s">
        <v>69</v>
      </c>
      <c r="Q1662" s="4" t="s">
        <v>5079</v>
      </c>
      <c r="R1662" s="4"/>
      <c r="S1662" s="12" t="s">
        <v>4945</v>
      </c>
      <c r="T1662" s="4" t="s">
        <v>2444</v>
      </c>
      <c r="U1662" s="4"/>
      <c r="V1662" s="11"/>
      <c r="W1662" s="5"/>
      <c r="X1662" s="11"/>
      <c r="Y1662" s="4"/>
      <c r="Z1662" s="5"/>
      <c r="AA1662" s="4"/>
      <c r="AB1662" s="4"/>
      <c r="AC1662" s="4"/>
      <c r="AD1662" s="5"/>
      <c r="AE1662" s="5"/>
      <c r="AF1662" s="5"/>
      <c r="AG1662" s="5"/>
      <c r="AH1662" s="5"/>
      <c r="AI1662" s="5"/>
      <c r="AJ1662" s="5"/>
      <c r="AK1662" s="5"/>
      <c r="AL1662" s="5"/>
    </row>
    <row r="1663">
      <c r="A1663" s="4" t="str">
        <f>VLOOKUP(L1663,payment_ids!C:D,2,FALSE)</f>
        <v>pay_HO14sFn5BXW0Zh</v>
      </c>
      <c r="B1663" s="4"/>
      <c r="C1663" s="4" t="s">
        <v>4942</v>
      </c>
      <c r="D1663" s="4">
        <v>50094.0</v>
      </c>
      <c r="E1663" s="5"/>
      <c r="F1663" s="4">
        <v>1.0</v>
      </c>
      <c r="G1663" s="4">
        <v>199.0</v>
      </c>
      <c r="H1663" s="4"/>
      <c r="I1663" s="4">
        <v>199.0</v>
      </c>
      <c r="J1663" s="4" t="s">
        <v>5080</v>
      </c>
      <c r="K1663" s="5">
        <f>+918853916730</f>
        <v>918853916730</v>
      </c>
      <c r="L1663" s="4" t="str">
        <f t="shared" si="1"/>
        <v>nidhi8oct1997@gmail.com918853916730</v>
      </c>
      <c r="M1663" s="10" t="s">
        <v>67</v>
      </c>
      <c r="N1663" s="4" t="b">
        <v>0</v>
      </c>
      <c r="O1663" s="4" t="str">
        <f>VLOOKUP(A1663,payment_ids!D:E,2,FALSE)</f>
        <v>upi</v>
      </c>
      <c r="P1663" s="4" t="s">
        <v>69</v>
      </c>
      <c r="Q1663" s="4" t="s">
        <v>5081</v>
      </c>
      <c r="R1663" s="4"/>
      <c r="S1663" s="12" t="s">
        <v>4945</v>
      </c>
      <c r="T1663" s="4" t="s">
        <v>2444</v>
      </c>
      <c r="U1663" s="4"/>
      <c r="V1663" s="11"/>
      <c r="W1663" s="5"/>
      <c r="X1663" s="11"/>
      <c r="Y1663" s="4"/>
      <c r="Z1663" s="5"/>
      <c r="AA1663" s="4"/>
      <c r="AB1663" s="4"/>
      <c r="AC1663" s="4"/>
      <c r="AD1663" s="5"/>
      <c r="AE1663" s="5"/>
      <c r="AF1663" s="5"/>
      <c r="AG1663" s="5"/>
      <c r="AH1663" s="5"/>
      <c r="AI1663" s="5"/>
      <c r="AJ1663" s="5"/>
      <c r="AK1663" s="5"/>
      <c r="AL1663" s="5"/>
    </row>
    <row r="1664">
      <c r="A1664" s="4" t="str">
        <f>VLOOKUP(L1664,payment_ids!C:D,2,FALSE)</f>
        <v>pay_HOB3Waetfa1Q35</v>
      </c>
      <c r="B1664" s="4"/>
      <c r="C1664" s="4" t="s">
        <v>4942</v>
      </c>
      <c r="D1664" s="4">
        <v>50094.0</v>
      </c>
      <c r="E1664" s="5"/>
      <c r="F1664" s="4">
        <v>1.0</v>
      </c>
      <c r="G1664" s="4">
        <v>199.0</v>
      </c>
      <c r="H1664" s="4"/>
      <c r="I1664" s="4">
        <v>199.0</v>
      </c>
      <c r="J1664" s="4" t="s">
        <v>5082</v>
      </c>
      <c r="K1664" s="5">
        <f>+919603527960</f>
        <v>919603527960</v>
      </c>
      <c r="L1664" s="4" t="str">
        <f t="shared" si="1"/>
        <v>akhilaveeragandham@gmail.com919603527960</v>
      </c>
      <c r="M1664" s="10" t="s">
        <v>67</v>
      </c>
      <c r="N1664" s="4" t="b">
        <v>0</v>
      </c>
      <c r="O1664" s="4" t="str">
        <f>VLOOKUP(A1664,payment_ids!D:E,2,FALSE)</f>
        <v>wallet</v>
      </c>
      <c r="P1664" s="4" t="s">
        <v>69</v>
      </c>
      <c r="Q1664" s="4" t="s">
        <v>5083</v>
      </c>
      <c r="R1664" s="4"/>
      <c r="S1664" s="12" t="s">
        <v>4945</v>
      </c>
      <c r="T1664" s="4" t="s">
        <v>2444</v>
      </c>
      <c r="U1664" s="4"/>
      <c r="V1664" s="11"/>
      <c r="W1664" s="5"/>
      <c r="X1664" s="11"/>
      <c r="Y1664" s="4"/>
      <c r="Z1664" s="5"/>
      <c r="AA1664" s="4"/>
      <c r="AB1664" s="4"/>
      <c r="AC1664" s="4"/>
      <c r="AD1664" s="5"/>
      <c r="AE1664" s="5"/>
      <c r="AF1664" s="5"/>
      <c r="AG1664" s="5"/>
      <c r="AH1664" s="5"/>
      <c r="AI1664" s="5"/>
      <c r="AJ1664" s="5"/>
      <c r="AK1664" s="5"/>
      <c r="AL1664" s="5"/>
    </row>
    <row r="1665">
      <c r="A1665" s="4" t="str">
        <f>VLOOKUP(L1665,payment_ids!C:D,2,FALSE)</f>
        <v>pay_HOmVFPewSKCsEy</v>
      </c>
      <c r="B1665" s="4"/>
      <c r="C1665" s="4" t="s">
        <v>4942</v>
      </c>
      <c r="D1665" s="4">
        <v>50094.0</v>
      </c>
      <c r="E1665" s="5"/>
      <c r="F1665" s="4">
        <v>1.0</v>
      </c>
      <c r="G1665" s="4">
        <v>199.0</v>
      </c>
      <c r="H1665" s="4"/>
      <c r="I1665" s="4">
        <v>199.0</v>
      </c>
      <c r="J1665" s="4" t="s">
        <v>5084</v>
      </c>
      <c r="K1665" s="5">
        <f>+917382565727</f>
        <v>917382565727</v>
      </c>
      <c r="L1665" s="4" t="str">
        <f t="shared" si="1"/>
        <v>udayduggireddy@gmail.com917382565727</v>
      </c>
      <c r="M1665" s="10" t="s">
        <v>67</v>
      </c>
      <c r="N1665" s="4" t="b">
        <v>0</v>
      </c>
      <c r="O1665" s="4" t="str">
        <f>VLOOKUP(A1665,payment_ids!D:E,2,FALSE)</f>
        <v>upi</v>
      </c>
      <c r="P1665" s="4" t="s">
        <v>69</v>
      </c>
      <c r="Q1665" s="4" t="s">
        <v>5085</v>
      </c>
      <c r="R1665" s="4"/>
      <c r="S1665" s="12" t="s">
        <v>4945</v>
      </c>
      <c r="T1665" s="4" t="s">
        <v>2444</v>
      </c>
      <c r="U1665" s="4"/>
      <c r="V1665" s="11"/>
      <c r="W1665" s="5"/>
      <c r="X1665" s="11"/>
      <c r="Y1665" s="4"/>
      <c r="Z1665" s="5"/>
      <c r="AA1665" s="4"/>
      <c r="AB1665" s="4"/>
      <c r="AC1665" s="4"/>
      <c r="AD1665" s="5"/>
      <c r="AE1665" s="5"/>
      <c r="AF1665" s="5"/>
      <c r="AG1665" s="5"/>
      <c r="AH1665" s="5"/>
      <c r="AI1665" s="5"/>
      <c r="AJ1665" s="5"/>
      <c r="AK1665" s="5"/>
      <c r="AL1665" s="5"/>
    </row>
    <row r="1666">
      <c r="A1666" s="4" t="str">
        <f>VLOOKUP(L1666,payment_ids!C:D,2,FALSE)</f>
        <v>pay_HP0ydRjiKPKZh7</v>
      </c>
      <c r="B1666" s="4"/>
      <c r="C1666" s="4" t="s">
        <v>4942</v>
      </c>
      <c r="D1666" s="4">
        <v>50094.0</v>
      </c>
      <c r="E1666" s="5"/>
      <c r="F1666" s="4">
        <v>1.0</v>
      </c>
      <c r="G1666" s="4">
        <v>199.0</v>
      </c>
      <c r="H1666" s="4"/>
      <c r="I1666" s="4">
        <v>199.0</v>
      </c>
      <c r="J1666" s="4" t="s">
        <v>5086</v>
      </c>
      <c r="K1666" s="5">
        <f>+919582144911</f>
        <v>919582144911</v>
      </c>
      <c r="L1666" s="4" t="str">
        <f t="shared" si="1"/>
        <v>prlgupta34@gmail.com919582144911</v>
      </c>
      <c r="M1666" s="10" t="s">
        <v>67</v>
      </c>
      <c r="N1666" s="4" t="b">
        <v>0</v>
      </c>
      <c r="O1666" s="4" t="str">
        <f>VLOOKUP(A1666,payment_ids!D:E,2,FALSE)</f>
        <v>upi</v>
      </c>
      <c r="P1666" s="4" t="s">
        <v>69</v>
      </c>
      <c r="Q1666" s="4" t="s">
        <v>5087</v>
      </c>
      <c r="R1666" s="4"/>
      <c r="S1666" s="12" t="s">
        <v>4945</v>
      </c>
      <c r="T1666" s="4" t="s">
        <v>2444</v>
      </c>
      <c r="U1666" s="5"/>
      <c r="V1666" s="11"/>
      <c r="W1666" s="5"/>
      <c r="X1666" s="11"/>
      <c r="Y1666" s="4"/>
      <c r="Z1666" s="5"/>
      <c r="AA1666" s="5"/>
      <c r="AB1666" s="4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</row>
    <row r="1667">
      <c r="A1667" s="4" t="str">
        <f>VLOOKUP(L1667,payment_ids!C:D,2,FALSE)</f>
        <v>pay_HPRDYoPz5OdpbM</v>
      </c>
      <c r="B1667" s="4"/>
      <c r="C1667" s="4" t="s">
        <v>4942</v>
      </c>
      <c r="D1667" s="4">
        <v>50094.0</v>
      </c>
      <c r="E1667" s="5"/>
      <c r="F1667" s="4">
        <v>6.0</v>
      </c>
      <c r="G1667" s="4">
        <v>599.0</v>
      </c>
      <c r="H1667" s="4"/>
      <c r="I1667" s="4">
        <v>599.0</v>
      </c>
      <c r="J1667" s="4" t="s">
        <v>5088</v>
      </c>
      <c r="K1667" s="5">
        <f>+919108220763</f>
        <v>919108220763</v>
      </c>
      <c r="L1667" s="4" t="str">
        <f t="shared" si="1"/>
        <v>lalswamy.b@gmail.com919108220763</v>
      </c>
      <c r="M1667" s="10" t="s">
        <v>67</v>
      </c>
      <c r="N1667" s="4" t="b">
        <v>0</v>
      </c>
      <c r="O1667" s="4" t="str">
        <f>VLOOKUP(A1667,payment_ids!D:E,2,FALSE)</f>
        <v>wallet</v>
      </c>
      <c r="P1667" s="4" t="s">
        <v>69</v>
      </c>
      <c r="Q1667" s="4" t="s">
        <v>5089</v>
      </c>
      <c r="R1667" s="4"/>
      <c r="S1667" s="12" t="s">
        <v>5054</v>
      </c>
      <c r="T1667" s="4" t="s">
        <v>2444</v>
      </c>
      <c r="U1667" s="4"/>
      <c r="V1667" s="11"/>
      <c r="W1667" s="5"/>
      <c r="X1667" s="11"/>
      <c r="Y1667" s="4"/>
      <c r="Z1667" s="5"/>
      <c r="AA1667" s="4"/>
      <c r="AB1667" s="4"/>
      <c r="AC1667" s="4"/>
      <c r="AD1667" s="5"/>
      <c r="AE1667" s="5"/>
      <c r="AF1667" s="5"/>
      <c r="AG1667" s="5"/>
      <c r="AH1667" s="5"/>
      <c r="AI1667" s="5"/>
      <c r="AJ1667" s="5"/>
      <c r="AK1667" s="5"/>
      <c r="AL1667" s="5"/>
    </row>
    <row r="1668">
      <c r="A1668" s="4" t="str">
        <f>VLOOKUP(L1668,payment_ids!C:D,2,FALSE)</f>
        <v>pay_HPnhRY0zyQeGLR</v>
      </c>
      <c r="B1668" s="4"/>
      <c r="C1668" s="4" t="s">
        <v>4942</v>
      </c>
      <c r="D1668" s="4">
        <v>50094.0</v>
      </c>
      <c r="E1668" s="5"/>
      <c r="F1668" s="4">
        <v>1.0</v>
      </c>
      <c r="G1668" s="4">
        <v>199.0</v>
      </c>
      <c r="H1668" s="4"/>
      <c r="I1668" s="4">
        <v>199.0</v>
      </c>
      <c r="J1668" s="4" t="s">
        <v>5090</v>
      </c>
      <c r="K1668" s="5">
        <f>+919544924223</f>
        <v>919544924223</v>
      </c>
      <c r="L1668" s="4" t="str">
        <f t="shared" si="1"/>
        <v>basheershana46@gmail.com919544924223</v>
      </c>
      <c r="M1668" s="10" t="s">
        <v>67</v>
      </c>
      <c r="N1668" s="4" t="b">
        <v>0</v>
      </c>
      <c r="O1668" s="4" t="str">
        <f>VLOOKUP(A1668,payment_ids!D:E,2,FALSE)</f>
        <v>upi</v>
      </c>
      <c r="P1668" s="4" t="s">
        <v>69</v>
      </c>
      <c r="Q1668" s="4" t="s">
        <v>5091</v>
      </c>
      <c r="R1668" s="4"/>
      <c r="S1668" s="12" t="s">
        <v>4945</v>
      </c>
      <c r="T1668" s="4" t="s">
        <v>2444</v>
      </c>
      <c r="U1668" s="4"/>
      <c r="V1668" s="11"/>
      <c r="W1668" s="5"/>
      <c r="X1668" s="11"/>
      <c r="Y1668" s="4"/>
      <c r="Z1668" s="5"/>
      <c r="AA1668" s="4"/>
      <c r="AB1668" s="4"/>
      <c r="AC1668" s="4"/>
      <c r="AD1668" s="5"/>
      <c r="AE1668" s="5"/>
      <c r="AF1668" s="5"/>
      <c r="AG1668" s="5"/>
      <c r="AH1668" s="5"/>
      <c r="AI1668" s="5"/>
      <c r="AJ1668" s="5"/>
      <c r="AK1668" s="5"/>
      <c r="AL1668" s="5"/>
    </row>
    <row r="1669">
      <c r="A1669" s="4" t="str">
        <f>VLOOKUP(L1669,payment_ids!C:D,2,FALSE)</f>
        <v>pay_HPop0tvbDt21Jb</v>
      </c>
      <c r="B1669" s="4"/>
      <c r="C1669" s="4" t="s">
        <v>4942</v>
      </c>
      <c r="D1669" s="4">
        <v>50094.0</v>
      </c>
      <c r="E1669" s="5"/>
      <c r="F1669" s="4">
        <v>3.0</v>
      </c>
      <c r="G1669" s="4">
        <v>399.0</v>
      </c>
      <c r="H1669" s="4"/>
      <c r="I1669" s="4">
        <v>399.0</v>
      </c>
      <c r="J1669" s="4" t="s">
        <v>5092</v>
      </c>
      <c r="K1669" s="5">
        <f>+919632519290</f>
        <v>919632519290</v>
      </c>
      <c r="L1669" s="4" t="str">
        <f t="shared" si="1"/>
        <v>chamanmeeranaver786@gmail.com919632519290</v>
      </c>
      <c r="M1669" s="10" t="s">
        <v>67</v>
      </c>
      <c r="N1669" s="4" t="b">
        <v>0</v>
      </c>
      <c r="O1669" s="4" t="str">
        <f>VLOOKUP(A1669,payment_ids!D:E,2,FALSE)</f>
        <v>wallet</v>
      </c>
      <c r="P1669" s="4" t="s">
        <v>69</v>
      </c>
      <c r="Q1669" s="4" t="s">
        <v>5093</v>
      </c>
      <c r="R1669" s="4"/>
      <c r="S1669" s="12" t="s">
        <v>5054</v>
      </c>
      <c r="T1669" s="4" t="s">
        <v>2444</v>
      </c>
      <c r="U1669" s="4"/>
      <c r="V1669" s="11"/>
      <c r="W1669" s="5"/>
      <c r="X1669" s="11"/>
      <c r="Y1669" s="4"/>
      <c r="Z1669" s="5"/>
      <c r="AA1669" s="4"/>
      <c r="AB1669" s="4"/>
      <c r="AC1669" s="4"/>
      <c r="AD1669" s="5"/>
      <c r="AE1669" s="5"/>
      <c r="AF1669" s="5"/>
      <c r="AG1669" s="5"/>
      <c r="AH1669" s="5"/>
      <c r="AI1669" s="5"/>
      <c r="AJ1669" s="5"/>
      <c r="AK1669" s="5"/>
      <c r="AL1669" s="5"/>
    </row>
    <row r="1670">
      <c r="A1670" s="4" t="str">
        <f>VLOOKUP(L1670,payment_ids!C:D,2,FALSE)</f>
        <v>pay_H6ykqhq4Ec9r3X</v>
      </c>
      <c r="B1670" s="4"/>
      <c r="C1670" s="4" t="s">
        <v>1585</v>
      </c>
      <c r="D1670" s="4">
        <v>50011.0</v>
      </c>
      <c r="E1670" s="4"/>
      <c r="F1670" s="4">
        <v>1.0</v>
      </c>
      <c r="G1670" s="4">
        <v>99.0</v>
      </c>
      <c r="H1670" s="4"/>
      <c r="I1670" s="4">
        <v>99.0</v>
      </c>
      <c r="J1670" s="4" t="s">
        <v>5094</v>
      </c>
      <c r="K1670" s="6">
        <f>+918377880192</f>
        <v>918377880192</v>
      </c>
      <c r="L1670" s="4" t="str">
        <f t="shared" si="1"/>
        <v>dikshajhamtani01@gmail.com918377880192</v>
      </c>
      <c r="M1670" s="10" t="s">
        <v>67</v>
      </c>
      <c r="N1670" s="4" t="b">
        <v>0</v>
      </c>
      <c r="O1670" s="4" t="str">
        <f>VLOOKUP(A1670,payment_ids!D:E,2,FALSE)</f>
        <v>upi</v>
      </c>
      <c r="P1670" s="4" t="s">
        <v>69</v>
      </c>
      <c r="Q1670" s="11">
        <v>44321.415972222225</v>
      </c>
      <c r="R1670" s="4"/>
      <c r="S1670" s="4"/>
      <c r="T1670" s="4"/>
      <c r="U1670" s="4"/>
      <c r="V1670" s="11"/>
      <c r="W1670" s="5"/>
      <c r="X1670" s="11"/>
      <c r="Y1670" s="4"/>
      <c r="Z1670" s="5"/>
      <c r="AA1670" s="4"/>
      <c r="AB1670" s="4"/>
      <c r="AC1670" s="4"/>
      <c r="AD1670" s="5"/>
      <c r="AE1670" s="5"/>
      <c r="AF1670" s="5"/>
      <c r="AG1670" s="5"/>
      <c r="AH1670" s="5"/>
      <c r="AI1670" s="5"/>
      <c r="AJ1670" s="5"/>
      <c r="AK1670" s="5"/>
      <c r="AL1670" s="5"/>
    </row>
    <row r="1671">
      <c r="A1671" s="4" t="str">
        <f>VLOOKUP(L1671,payment_ids!C:D,2,FALSE)</f>
        <v>pay_H88xdSjHwew4L9</v>
      </c>
      <c r="B1671" s="4"/>
      <c r="C1671" s="4" t="s">
        <v>1585</v>
      </c>
      <c r="D1671" s="4">
        <v>50011.0</v>
      </c>
      <c r="E1671" s="4"/>
      <c r="F1671" s="4">
        <v>1.0</v>
      </c>
      <c r="G1671" s="4">
        <v>99.0</v>
      </c>
      <c r="H1671" s="4"/>
      <c r="I1671" s="4">
        <v>99.0</v>
      </c>
      <c r="J1671" s="4" t="s">
        <v>5095</v>
      </c>
      <c r="K1671" s="6">
        <f>+919074278580</f>
        <v>919074278580</v>
      </c>
      <c r="L1671" s="4" t="str">
        <f t="shared" si="1"/>
        <v>meclinejosefl@gmail.com919074278580</v>
      </c>
      <c r="M1671" s="10" t="s">
        <v>67</v>
      </c>
      <c r="N1671" s="4" t="b">
        <v>0</v>
      </c>
      <c r="O1671" s="4" t="str">
        <f>VLOOKUP(A1671,payment_ids!D:E,2,FALSE)</f>
        <v>upi</v>
      </c>
      <c r="P1671" s="4" t="s">
        <v>69</v>
      </c>
      <c r="Q1671" s="11">
        <v>44413.35833333333</v>
      </c>
      <c r="R1671" s="4"/>
      <c r="S1671" s="4"/>
      <c r="T1671" s="4"/>
      <c r="U1671" s="4"/>
      <c r="V1671" s="11"/>
      <c r="W1671" s="5"/>
      <c r="X1671" s="11"/>
      <c r="Y1671" s="4"/>
      <c r="Z1671" s="5"/>
      <c r="AA1671" s="4"/>
      <c r="AB1671" s="4"/>
      <c r="AC1671" s="4"/>
      <c r="AD1671" s="5"/>
      <c r="AE1671" s="5"/>
      <c r="AF1671" s="5"/>
      <c r="AG1671" s="5"/>
      <c r="AH1671" s="5"/>
      <c r="AI1671" s="5"/>
      <c r="AJ1671" s="5"/>
      <c r="AK1671" s="5"/>
      <c r="AL1671" s="5"/>
    </row>
    <row r="1672">
      <c r="A1672" s="4" t="str">
        <f>VLOOKUP(L1672,payment_ids!C:D,2,FALSE)</f>
        <v>pay_H80GzOS5wbl5zm</v>
      </c>
      <c r="B1672" s="4"/>
      <c r="C1672" s="4" t="s">
        <v>1585</v>
      </c>
      <c r="D1672" s="4">
        <v>50011.0</v>
      </c>
      <c r="E1672" s="4"/>
      <c r="F1672" s="4">
        <v>1.0</v>
      </c>
      <c r="G1672" s="4">
        <v>99.0</v>
      </c>
      <c r="H1672" s="4"/>
      <c r="I1672" s="4">
        <v>99.0</v>
      </c>
      <c r="J1672" s="4" t="s">
        <v>5096</v>
      </c>
      <c r="K1672" s="6">
        <f>+918097012720</f>
        <v>918097012720</v>
      </c>
      <c r="L1672" s="4" t="str">
        <f t="shared" si="1"/>
        <v>anushka51200@gmail.com918097012720</v>
      </c>
      <c r="M1672" s="10" t="s">
        <v>67</v>
      </c>
      <c r="N1672" s="4" t="b">
        <v>0</v>
      </c>
      <c r="O1672" s="4" t="str">
        <f>VLOOKUP(A1672,payment_ids!D:E,2,FALSE)</f>
        <v>upi</v>
      </c>
      <c r="P1672" s="4" t="s">
        <v>69</v>
      </c>
      <c r="Q1672" s="11">
        <v>44413.004166666666</v>
      </c>
      <c r="R1672" s="4"/>
      <c r="S1672" s="4"/>
      <c r="T1672" s="4"/>
      <c r="U1672" s="4"/>
      <c r="V1672" s="11"/>
      <c r="W1672" s="5"/>
      <c r="X1672" s="11"/>
      <c r="Y1672" s="4"/>
      <c r="Z1672" s="5"/>
      <c r="AA1672" s="4"/>
      <c r="AB1672" s="4"/>
      <c r="AC1672" s="4"/>
      <c r="AD1672" s="5"/>
      <c r="AE1672" s="5"/>
      <c r="AF1672" s="5"/>
      <c r="AG1672" s="5"/>
      <c r="AH1672" s="5"/>
      <c r="AI1672" s="5"/>
      <c r="AJ1672" s="5"/>
      <c r="AK1672" s="5"/>
      <c r="AL1672" s="5"/>
    </row>
    <row r="1673">
      <c r="A1673" s="4" t="str">
        <f>VLOOKUP(L1673,payment_ids!C:D,2,FALSE)</f>
        <v>pay_H753l0YoJI1xlK</v>
      </c>
      <c r="B1673" s="4"/>
      <c r="C1673" s="4" t="s">
        <v>1982</v>
      </c>
      <c r="D1673" s="4">
        <v>50032.0</v>
      </c>
      <c r="E1673" s="4"/>
      <c r="F1673" s="4">
        <v>1.0</v>
      </c>
      <c r="G1673" s="4">
        <v>99.0</v>
      </c>
      <c r="H1673" s="4"/>
      <c r="I1673" s="4">
        <v>99.0</v>
      </c>
      <c r="J1673" s="4" t="s">
        <v>5097</v>
      </c>
      <c r="K1673" s="6">
        <f>+918375897657</f>
        <v>918375897657</v>
      </c>
      <c r="L1673" s="4" t="str">
        <f t="shared" si="1"/>
        <v>thakur.raghav1993m@gmail.com918375897657</v>
      </c>
      <c r="M1673" s="10" t="s">
        <v>67</v>
      </c>
      <c r="N1673" s="4" t="b">
        <v>0</v>
      </c>
      <c r="O1673" s="4" t="str">
        <f>VLOOKUP(A1673,payment_ids!D:E,2,FALSE)</f>
        <v>netbanking</v>
      </c>
      <c r="P1673" s="4" t="s">
        <v>69</v>
      </c>
      <c r="Q1673" s="11">
        <v>44321.674305555556</v>
      </c>
      <c r="R1673" s="4"/>
      <c r="S1673" s="4"/>
      <c r="T1673" s="4"/>
      <c r="U1673" s="4"/>
      <c r="V1673" s="11"/>
      <c r="W1673" s="5"/>
      <c r="X1673" s="11"/>
      <c r="Y1673" s="4"/>
      <c r="Z1673" s="5"/>
      <c r="AA1673" s="4"/>
      <c r="AB1673" s="4"/>
      <c r="AC1673" s="4"/>
      <c r="AD1673" s="5"/>
      <c r="AE1673" s="5"/>
      <c r="AF1673" s="5"/>
      <c r="AG1673" s="5"/>
      <c r="AH1673" s="5"/>
      <c r="AI1673" s="5"/>
      <c r="AJ1673" s="5"/>
      <c r="AK1673" s="5"/>
      <c r="AL1673" s="5"/>
    </row>
    <row r="1674">
      <c r="A1674" s="4" t="str">
        <f>VLOOKUP(L1674,payment_ids!C:D,2,FALSE)</f>
        <v>pay_H7YvW3uVFdNl6F</v>
      </c>
      <c r="B1674" s="4"/>
      <c r="C1674" s="4" t="s">
        <v>1982</v>
      </c>
      <c r="D1674" s="4">
        <v>50032.0</v>
      </c>
      <c r="E1674" s="4"/>
      <c r="F1674" s="4">
        <v>3.0</v>
      </c>
      <c r="G1674" s="4">
        <v>199.0</v>
      </c>
      <c r="H1674" s="4"/>
      <c r="I1674" s="4">
        <v>199.0</v>
      </c>
      <c r="J1674" s="4" t="s">
        <v>5098</v>
      </c>
      <c r="K1674" s="6">
        <f>+919666850360</f>
        <v>919666850360</v>
      </c>
      <c r="L1674" s="4" t="str">
        <f t="shared" si="1"/>
        <v>sailpatnala@gmail.com919666850360</v>
      </c>
      <c r="M1674" s="10" t="s">
        <v>67</v>
      </c>
      <c r="N1674" s="4" t="b">
        <v>0</v>
      </c>
      <c r="O1674" s="4" t="str">
        <f>VLOOKUP(A1674,payment_ids!D:E,2,FALSE)</f>
        <v>upi</v>
      </c>
      <c r="P1674" s="4" t="s">
        <v>69</v>
      </c>
      <c r="Q1674" s="11">
        <v>44352.88958333333</v>
      </c>
      <c r="R1674" s="4"/>
      <c r="S1674" s="4"/>
      <c r="T1674" s="4"/>
      <c r="U1674" s="4"/>
      <c r="V1674" s="11"/>
      <c r="W1674" s="5"/>
      <c r="X1674" s="11"/>
      <c r="Y1674" s="4"/>
      <c r="Z1674" s="5"/>
      <c r="AA1674" s="4"/>
      <c r="AB1674" s="4"/>
      <c r="AC1674" s="4"/>
      <c r="AD1674" s="5"/>
      <c r="AE1674" s="5"/>
      <c r="AF1674" s="5"/>
      <c r="AG1674" s="5"/>
      <c r="AH1674" s="5"/>
      <c r="AI1674" s="5"/>
      <c r="AJ1674" s="5"/>
      <c r="AK1674" s="5"/>
      <c r="AL1674" s="5"/>
    </row>
    <row r="1675">
      <c r="A1675" s="4" t="str">
        <f>VLOOKUP(L1675,payment_ids!C:D,2,FALSE)</f>
        <v>pay_H7dWP1Cqahv77g</v>
      </c>
      <c r="B1675" s="4"/>
      <c r="C1675" s="4" t="s">
        <v>1982</v>
      </c>
      <c r="D1675" s="4">
        <v>50032.0</v>
      </c>
      <c r="E1675" s="4"/>
      <c r="F1675" s="4">
        <v>1.0</v>
      </c>
      <c r="G1675" s="4">
        <v>99.0</v>
      </c>
      <c r="H1675" s="4"/>
      <c r="I1675" s="4">
        <v>99.0</v>
      </c>
      <c r="J1675" s="4" t="s">
        <v>5099</v>
      </c>
      <c r="K1675" s="6">
        <f>+916366025511</f>
        <v>916366025511</v>
      </c>
      <c r="L1675" s="4" t="str">
        <f t="shared" si="1"/>
        <v>sakshig98@gmail.com916366025511</v>
      </c>
      <c r="M1675" s="10" t="s">
        <v>67</v>
      </c>
      <c r="N1675" s="4" t="b">
        <v>0</v>
      </c>
      <c r="O1675" s="4" t="str">
        <f>VLOOKUP(A1675,payment_ids!D:E,2,FALSE)</f>
        <v>upi</v>
      </c>
      <c r="P1675" s="4" t="s">
        <v>69</v>
      </c>
      <c r="Q1675" s="11">
        <v>44382.07708333333</v>
      </c>
      <c r="R1675" s="4"/>
      <c r="S1675" s="4"/>
      <c r="T1675" s="4"/>
      <c r="U1675" s="4"/>
      <c r="V1675" s="11"/>
      <c r="W1675" s="5"/>
      <c r="X1675" s="11"/>
      <c r="Y1675" s="4"/>
      <c r="Z1675" s="5"/>
      <c r="AA1675" s="4"/>
      <c r="AB1675" s="4"/>
      <c r="AC1675" s="4"/>
      <c r="AD1675" s="5"/>
      <c r="AE1675" s="5"/>
      <c r="AF1675" s="5"/>
      <c r="AG1675" s="5"/>
      <c r="AH1675" s="5"/>
      <c r="AI1675" s="5"/>
      <c r="AJ1675" s="5"/>
      <c r="AK1675" s="5"/>
      <c r="AL1675" s="5"/>
    </row>
    <row r="1676">
      <c r="A1676" s="4" t="str">
        <f>VLOOKUP(L1676,payment_ids!C:D,2,FALSE)</f>
        <v>pay_H7lfoFT8Kh0Ekf</v>
      </c>
      <c r="B1676" s="4"/>
      <c r="C1676" s="4" t="s">
        <v>1982</v>
      </c>
      <c r="D1676" s="4">
        <v>50032.0</v>
      </c>
      <c r="E1676" s="4"/>
      <c r="F1676" s="4">
        <v>1.0</v>
      </c>
      <c r="G1676" s="4">
        <v>99.0</v>
      </c>
      <c r="H1676" s="4"/>
      <c r="I1676" s="4">
        <v>99.0</v>
      </c>
      <c r="J1676" s="4" t="s">
        <v>5100</v>
      </c>
      <c r="K1676" s="6">
        <f>+918971283989</f>
        <v>918971283989</v>
      </c>
      <c r="L1676" s="4" t="str">
        <f t="shared" si="1"/>
        <v>prajwalbs76@gmail.com918971283989</v>
      </c>
      <c r="M1676" s="10" t="s">
        <v>67</v>
      </c>
      <c r="N1676" s="4" t="b">
        <v>0</v>
      </c>
      <c r="O1676" s="4" t="str">
        <f>VLOOKUP(A1676,payment_ids!D:E,2,FALSE)</f>
        <v>upi</v>
      </c>
      <c r="P1676" s="4" t="s">
        <v>69</v>
      </c>
      <c r="Q1676" s="11">
        <v>44382.40972222222</v>
      </c>
      <c r="R1676" s="4"/>
      <c r="S1676" s="4"/>
      <c r="T1676" s="4"/>
      <c r="U1676" s="4"/>
      <c r="V1676" s="11"/>
      <c r="W1676" s="5"/>
      <c r="X1676" s="11"/>
      <c r="Y1676" s="4"/>
      <c r="Z1676" s="5"/>
      <c r="AA1676" s="4"/>
      <c r="AB1676" s="4"/>
      <c r="AC1676" s="4"/>
      <c r="AD1676" s="5"/>
      <c r="AE1676" s="5"/>
      <c r="AF1676" s="5"/>
      <c r="AG1676" s="5"/>
      <c r="AH1676" s="5"/>
      <c r="AI1676" s="5"/>
      <c r="AJ1676" s="5"/>
      <c r="AK1676" s="5"/>
      <c r="AL1676" s="5"/>
    </row>
    <row r="1677">
      <c r="A1677" s="4" t="str">
        <f>VLOOKUP(L1677,payment_ids!C:D,2,FALSE)</f>
        <v>pay_H7mhjgyUeKmGtm</v>
      </c>
      <c r="B1677" s="4"/>
      <c r="C1677" s="4" t="s">
        <v>1982</v>
      </c>
      <c r="D1677" s="4">
        <v>50032.0</v>
      </c>
      <c r="E1677" s="4"/>
      <c r="F1677" s="4">
        <v>3.0</v>
      </c>
      <c r="G1677" s="4">
        <v>199.0</v>
      </c>
      <c r="H1677" s="4"/>
      <c r="I1677" s="4">
        <v>199.0</v>
      </c>
      <c r="J1677" s="4" t="s">
        <v>5101</v>
      </c>
      <c r="K1677" s="6">
        <f>+919999752377</f>
        <v>919999752377</v>
      </c>
      <c r="L1677" s="4" t="str">
        <f t="shared" si="1"/>
        <v>samarthchugh99@gmail.com919999752377</v>
      </c>
      <c r="M1677" s="10" t="s">
        <v>67</v>
      </c>
      <c r="N1677" s="4" t="b">
        <v>0</v>
      </c>
      <c r="O1677" s="4" t="str">
        <f>VLOOKUP(A1677,payment_ids!D:E,2,FALSE)</f>
        <v>upi</v>
      </c>
      <c r="P1677" s="4" t="s">
        <v>69</v>
      </c>
      <c r="Q1677" s="11">
        <v>44382.45138888889</v>
      </c>
      <c r="R1677" s="4"/>
      <c r="S1677" s="4"/>
      <c r="T1677" s="4"/>
      <c r="U1677" s="4"/>
      <c r="V1677" s="11"/>
      <c r="W1677" s="5"/>
      <c r="X1677" s="11"/>
      <c r="Y1677" s="4"/>
      <c r="Z1677" s="5"/>
      <c r="AA1677" s="4"/>
      <c r="AB1677" s="4"/>
      <c r="AC1677" s="4"/>
      <c r="AD1677" s="5"/>
      <c r="AE1677" s="5"/>
      <c r="AF1677" s="5"/>
      <c r="AG1677" s="5"/>
      <c r="AH1677" s="5"/>
      <c r="AI1677" s="5"/>
      <c r="AJ1677" s="5"/>
      <c r="AK1677" s="5"/>
      <c r="AL1677" s="5"/>
    </row>
    <row r="1678">
      <c r="A1678" s="4" t="str">
        <f>VLOOKUP(L1678,payment_ids!C:D,2,FALSE)</f>
        <v>pay_H8e4S4ZWXRl4GF</v>
      </c>
      <c r="B1678" s="4"/>
      <c r="C1678" s="4" t="s">
        <v>1982</v>
      </c>
      <c r="D1678" s="4">
        <v>50032.0</v>
      </c>
      <c r="E1678" s="4"/>
      <c r="F1678" s="4">
        <v>1.0</v>
      </c>
      <c r="G1678" s="4">
        <v>99.0</v>
      </c>
      <c r="H1678" s="4"/>
      <c r="I1678" s="4">
        <v>99.0</v>
      </c>
      <c r="J1678" s="4" t="s">
        <v>5102</v>
      </c>
      <c r="K1678" s="6">
        <f>+919830059596</f>
        <v>919830059596</v>
      </c>
      <c r="L1678" s="4" t="str">
        <f t="shared" si="1"/>
        <v>mohit.damani@ymail.com919830059596</v>
      </c>
      <c r="M1678" s="10" t="s">
        <v>67</v>
      </c>
      <c r="N1678" s="4" t="b">
        <v>0</v>
      </c>
      <c r="O1678" s="4" t="str">
        <f>VLOOKUP(A1678,payment_ids!D:E,2,FALSE)</f>
        <v>upi</v>
      </c>
      <c r="P1678" s="4" t="s">
        <v>69</v>
      </c>
      <c r="Q1678" s="11">
        <v>44444.626388888886</v>
      </c>
      <c r="R1678" s="4"/>
      <c r="S1678" s="4"/>
      <c r="T1678" s="4"/>
      <c r="U1678" s="4"/>
      <c r="V1678" s="11"/>
      <c r="W1678" s="5"/>
      <c r="X1678" s="11"/>
      <c r="Y1678" s="4"/>
      <c r="Z1678" s="5"/>
      <c r="AA1678" s="4"/>
      <c r="AB1678" s="4"/>
      <c r="AC1678" s="4"/>
      <c r="AD1678" s="5"/>
      <c r="AE1678" s="5"/>
      <c r="AF1678" s="5"/>
      <c r="AG1678" s="5"/>
      <c r="AH1678" s="5"/>
      <c r="AI1678" s="5"/>
      <c r="AJ1678" s="5"/>
      <c r="AK1678" s="5"/>
      <c r="AL1678" s="5"/>
    </row>
    <row r="1679">
      <c r="A1679" s="4" t="str">
        <f>VLOOKUP(L1679,payment_ids!C:D,2,FALSE)</f>
        <v>pay_H8lnVlQhqm2N1x</v>
      </c>
      <c r="B1679" s="4"/>
      <c r="C1679" s="4" t="s">
        <v>1982</v>
      </c>
      <c r="D1679" s="4">
        <v>50032.0</v>
      </c>
      <c r="E1679" s="4"/>
      <c r="F1679" s="4">
        <v>1.0</v>
      </c>
      <c r="G1679" s="4">
        <v>99.0</v>
      </c>
      <c r="H1679" s="4"/>
      <c r="I1679" s="4">
        <v>99.0</v>
      </c>
      <c r="J1679" s="4" t="s">
        <v>5103</v>
      </c>
      <c r="K1679" s="6">
        <f>+919701840023</f>
        <v>919701840023</v>
      </c>
      <c r="L1679" s="4" t="str">
        <f t="shared" si="1"/>
        <v>tanyamuralibpl@gmail.com919701840023</v>
      </c>
      <c r="M1679" s="10" t="s">
        <v>67</v>
      </c>
      <c r="N1679" s="4" t="b">
        <v>0</v>
      </c>
      <c r="O1679" s="4" t="str">
        <f>VLOOKUP(A1679,payment_ids!D:E,2,FALSE)</f>
        <v>upi</v>
      </c>
      <c r="P1679" s="4" t="s">
        <v>69</v>
      </c>
      <c r="Q1679" s="11">
        <v>44444.94097222222</v>
      </c>
      <c r="R1679" s="4"/>
      <c r="S1679" s="4"/>
      <c r="T1679" s="4"/>
      <c r="U1679" s="4"/>
      <c r="V1679" s="11"/>
      <c r="W1679" s="5"/>
      <c r="X1679" s="11"/>
      <c r="Y1679" s="4"/>
      <c r="Z1679" s="5"/>
      <c r="AA1679" s="4"/>
      <c r="AB1679" s="4"/>
      <c r="AC1679" s="4"/>
      <c r="AD1679" s="5"/>
      <c r="AE1679" s="5"/>
      <c r="AF1679" s="5"/>
      <c r="AG1679" s="5"/>
      <c r="AH1679" s="5"/>
      <c r="AI1679" s="5"/>
      <c r="AJ1679" s="5"/>
      <c r="AK1679" s="5"/>
      <c r="AL1679" s="5"/>
    </row>
    <row r="1680">
      <c r="A1680" s="4" t="str">
        <f>VLOOKUP(L1680,payment_ids!C:D,2,FALSE)</f>
        <v>pay_H96VxyZWjyL8Ye</v>
      </c>
      <c r="B1680" s="4"/>
      <c r="C1680" s="4" t="s">
        <v>1982</v>
      </c>
      <c r="D1680" s="4">
        <v>50032.0</v>
      </c>
      <c r="E1680" s="4"/>
      <c r="F1680" s="4">
        <v>3.0</v>
      </c>
      <c r="G1680" s="4">
        <v>199.0</v>
      </c>
      <c r="H1680" s="4"/>
      <c r="I1680" s="4">
        <v>199.0</v>
      </c>
      <c r="J1680" s="4" t="s">
        <v>5104</v>
      </c>
      <c r="K1680" s="6">
        <f>+918787611930</f>
        <v>918787611930</v>
      </c>
      <c r="L1680" s="4" t="str">
        <f t="shared" si="1"/>
        <v>nivedita.roy03@gmail.com918787611930</v>
      </c>
      <c r="M1680" s="10" t="s">
        <v>67</v>
      </c>
      <c r="N1680" s="4" t="b">
        <v>0</v>
      </c>
      <c r="O1680" s="4" t="str">
        <f>VLOOKUP(A1680,payment_ids!D:E,2,FALSE)</f>
        <v>upi</v>
      </c>
      <c r="P1680" s="4" t="s">
        <v>69</v>
      </c>
      <c r="Q1680" s="11">
        <v>44474.78611111111</v>
      </c>
      <c r="R1680" s="4"/>
      <c r="S1680" s="4"/>
      <c r="T1680" s="4"/>
      <c r="U1680" s="4"/>
      <c r="V1680" s="11"/>
      <c r="W1680" s="5"/>
      <c r="X1680" s="11"/>
      <c r="Y1680" s="4"/>
      <c r="Z1680" s="5"/>
      <c r="AA1680" s="4"/>
      <c r="AB1680" s="4"/>
      <c r="AC1680" s="4"/>
      <c r="AD1680" s="5"/>
      <c r="AE1680" s="5"/>
      <c r="AF1680" s="5"/>
      <c r="AG1680" s="5"/>
      <c r="AH1680" s="5"/>
      <c r="AI1680" s="5"/>
      <c r="AJ1680" s="5"/>
      <c r="AK1680" s="5"/>
      <c r="AL1680" s="5"/>
    </row>
    <row r="1681">
      <c r="A1681" s="4" t="str">
        <f>VLOOKUP(L1681,payment_ids!C:D,2,FALSE)</f>
        <v>pay_HCbcJCDzSWbvSp</v>
      </c>
      <c r="B1681" s="4"/>
      <c r="C1681" s="4" t="s">
        <v>5105</v>
      </c>
      <c r="D1681" s="4">
        <v>50078.0</v>
      </c>
      <c r="E1681" s="4"/>
      <c r="F1681" s="4">
        <v>1.0</v>
      </c>
      <c r="G1681" s="4">
        <v>300.0</v>
      </c>
      <c r="H1681" s="4"/>
      <c r="I1681" s="4">
        <v>300.0</v>
      </c>
      <c r="J1681" s="4" t="s">
        <v>3295</v>
      </c>
      <c r="K1681" s="6">
        <f>+919978799000</f>
        <v>919978799000</v>
      </c>
      <c r="L1681" s="4" t="str">
        <f t="shared" si="1"/>
        <v>geetameer88@gmail.com919978799000</v>
      </c>
      <c r="M1681" s="10" t="s">
        <v>67</v>
      </c>
      <c r="N1681" s="4" t="b">
        <v>0</v>
      </c>
      <c r="O1681" s="4" t="str">
        <f>VLOOKUP(A1681,payment_ids!D:E,2,FALSE)</f>
        <v>card</v>
      </c>
      <c r="P1681" s="4" t="s">
        <v>69</v>
      </c>
      <c r="Q1681" s="4" t="s">
        <v>5106</v>
      </c>
      <c r="R1681" s="4"/>
      <c r="S1681" s="12" t="s">
        <v>5107</v>
      </c>
      <c r="T1681" s="4"/>
      <c r="U1681" s="4"/>
      <c r="V1681" s="11"/>
      <c r="W1681" s="5"/>
      <c r="X1681" s="11"/>
      <c r="Y1681" s="4"/>
      <c r="Z1681" s="5"/>
      <c r="AA1681" s="4"/>
      <c r="AB1681" s="4"/>
      <c r="AC1681" s="4"/>
      <c r="AD1681" s="5"/>
      <c r="AE1681" s="5"/>
      <c r="AF1681" s="5"/>
      <c r="AG1681" s="5"/>
      <c r="AH1681" s="5"/>
      <c r="AI1681" s="5"/>
      <c r="AJ1681" s="5"/>
      <c r="AK1681" s="5"/>
      <c r="AL1681" s="5"/>
    </row>
    <row r="1682">
      <c r="A1682" s="4" t="str">
        <f>VLOOKUP(L1682,payment_ids!C:D,2,FALSE)</f>
        <v>pay_HFiLA5cWni4s3c</v>
      </c>
      <c r="B1682" s="4"/>
      <c r="C1682" s="4" t="s">
        <v>5105</v>
      </c>
      <c r="D1682" s="4">
        <v>50078.0</v>
      </c>
      <c r="E1682" s="5"/>
      <c r="F1682" s="4">
        <v>3.0</v>
      </c>
      <c r="G1682" s="4">
        <v>600.0</v>
      </c>
      <c r="H1682" s="4"/>
      <c r="I1682" s="4">
        <v>600.0</v>
      </c>
      <c r="J1682" s="4" t="s">
        <v>5108</v>
      </c>
      <c r="K1682" s="5">
        <f>+917665663077</f>
        <v>917665663077</v>
      </c>
      <c r="L1682" s="4" t="str">
        <f t="shared" si="1"/>
        <v>shraddhar88@gmail.com917665663077</v>
      </c>
      <c r="M1682" s="10" t="s">
        <v>67</v>
      </c>
      <c r="N1682" s="4" t="b">
        <v>0</v>
      </c>
      <c r="O1682" s="4" t="str">
        <f>VLOOKUP(A1682,payment_ids!D:E,2,FALSE)</f>
        <v>upi</v>
      </c>
      <c r="P1682" s="4" t="s">
        <v>69</v>
      </c>
      <c r="Q1682" s="4" t="s">
        <v>5109</v>
      </c>
      <c r="R1682" s="4"/>
      <c r="S1682" s="12" t="s">
        <v>5107</v>
      </c>
      <c r="T1682" s="5"/>
      <c r="U1682" s="4"/>
      <c r="V1682" s="11"/>
      <c r="W1682" s="5"/>
      <c r="X1682" s="11"/>
      <c r="Y1682" s="4"/>
      <c r="Z1682" s="5"/>
      <c r="AA1682" s="4"/>
      <c r="AB1682" s="4"/>
      <c r="AC1682" s="4"/>
      <c r="AD1682" s="5"/>
      <c r="AE1682" s="5"/>
      <c r="AF1682" s="5"/>
      <c r="AG1682" s="5"/>
      <c r="AH1682" s="5"/>
      <c r="AI1682" s="5"/>
      <c r="AJ1682" s="5"/>
      <c r="AK1682" s="5"/>
      <c r="AL1682" s="5"/>
    </row>
    <row r="1683">
      <c r="A1683" s="4" t="str">
        <f>VLOOKUP(L1683,payment_ids!C:D,2,FALSE)</f>
        <v>pay_HCHUigRHRRtrOe</v>
      </c>
      <c r="B1683" s="4"/>
      <c r="C1683" s="4" t="s">
        <v>5110</v>
      </c>
      <c r="D1683" s="4">
        <v>50051.0</v>
      </c>
      <c r="E1683" s="4"/>
      <c r="F1683" s="4">
        <v>1.0</v>
      </c>
      <c r="G1683" s="4">
        <v>199.0</v>
      </c>
      <c r="H1683" s="4"/>
      <c r="I1683" s="4">
        <v>199.0</v>
      </c>
      <c r="J1683" s="4" t="s">
        <v>5111</v>
      </c>
      <c r="K1683" s="6">
        <f>+919666445582</f>
        <v>919666445582</v>
      </c>
      <c r="L1683" s="4" t="str">
        <f t="shared" si="1"/>
        <v>anurag.kesarwani1@gmail.com919666445582</v>
      </c>
      <c r="M1683" s="10" t="s">
        <v>67</v>
      </c>
      <c r="N1683" s="4" t="b">
        <v>0</v>
      </c>
      <c r="O1683" s="4" t="str">
        <f>VLOOKUP(A1683,payment_ids!D:E,2,FALSE)</f>
        <v>card</v>
      </c>
      <c r="P1683" s="4" t="s">
        <v>69</v>
      </c>
      <c r="Q1683" s="4" t="s">
        <v>5112</v>
      </c>
      <c r="R1683" s="4"/>
      <c r="S1683" s="12" t="s">
        <v>5113</v>
      </c>
      <c r="T1683" s="4"/>
      <c r="U1683" s="4"/>
      <c r="V1683" s="11"/>
      <c r="W1683" s="5"/>
      <c r="X1683" s="11"/>
      <c r="Y1683" s="4"/>
      <c r="Z1683" s="5"/>
      <c r="AA1683" s="4"/>
      <c r="AB1683" s="4"/>
      <c r="AC1683" s="4"/>
      <c r="AD1683" s="5"/>
      <c r="AE1683" s="5"/>
      <c r="AF1683" s="5"/>
      <c r="AG1683" s="5"/>
      <c r="AH1683" s="5"/>
      <c r="AI1683" s="5"/>
      <c r="AJ1683" s="5"/>
      <c r="AK1683" s="5"/>
      <c r="AL1683" s="5"/>
    </row>
    <row r="1684">
      <c r="A1684" s="4" t="str">
        <f>VLOOKUP(L1684,payment_ids!C:D,2,FALSE)</f>
        <v>pay_H6m2NLQGW20qHZ</v>
      </c>
      <c r="B1684" s="4"/>
      <c r="C1684" s="4" t="s">
        <v>5114</v>
      </c>
      <c r="D1684" s="4">
        <v>49813.0</v>
      </c>
      <c r="E1684" s="4"/>
      <c r="F1684" s="4">
        <v>1.0</v>
      </c>
      <c r="G1684" s="4">
        <v>299.0</v>
      </c>
      <c r="H1684" s="4"/>
      <c r="I1684" s="4">
        <v>299.0</v>
      </c>
      <c r="J1684" s="4" t="s">
        <v>5115</v>
      </c>
      <c r="K1684" s="6">
        <f>+919886180731</f>
        <v>919886180731</v>
      </c>
      <c r="L1684" s="4" t="str">
        <f t="shared" si="1"/>
        <v>tobindiya@gmail.com919886180731</v>
      </c>
      <c r="M1684" s="10" t="s">
        <v>67</v>
      </c>
      <c r="N1684" s="4" t="b">
        <v>0</v>
      </c>
      <c r="O1684" s="4" t="str">
        <f>VLOOKUP(A1684,payment_ids!D:E,2,FALSE)</f>
        <v>wallet</v>
      </c>
      <c r="P1684" s="4" t="s">
        <v>69</v>
      </c>
      <c r="Q1684" s="11">
        <v>44291.90416666667</v>
      </c>
      <c r="R1684" s="4"/>
      <c r="S1684" s="12" t="s">
        <v>5116</v>
      </c>
      <c r="T1684" s="4"/>
      <c r="U1684" s="4"/>
      <c r="V1684" s="11"/>
      <c r="W1684" s="5"/>
      <c r="X1684" s="11"/>
      <c r="Y1684" s="4"/>
      <c r="Z1684" s="5"/>
      <c r="AA1684" s="4"/>
      <c r="AB1684" s="4"/>
      <c r="AC1684" s="4"/>
      <c r="AD1684" s="5"/>
      <c r="AE1684" s="5"/>
      <c r="AF1684" s="5"/>
      <c r="AG1684" s="5"/>
      <c r="AH1684" s="5"/>
      <c r="AI1684" s="5"/>
      <c r="AJ1684" s="5"/>
      <c r="AK1684" s="5"/>
      <c r="AL1684" s="5"/>
    </row>
    <row r="1685">
      <c r="A1685" s="4" t="str">
        <f>VLOOKUP(L1685,payment_ids!C:D,2,FALSE)</f>
        <v>pay_H76sKN31BBFsJG</v>
      </c>
      <c r="B1685" s="4"/>
      <c r="C1685" s="4" t="s">
        <v>5114</v>
      </c>
      <c r="D1685" s="4">
        <v>49813.0</v>
      </c>
      <c r="E1685" s="4"/>
      <c r="F1685" s="4">
        <v>1.0</v>
      </c>
      <c r="G1685" s="4">
        <v>299.0</v>
      </c>
      <c r="H1685" s="4"/>
      <c r="I1685" s="4">
        <v>299.0</v>
      </c>
      <c r="J1685" s="4" t="s">
        <v>5117</v>
      </c>
      <c r="K1685" s="6">
        <f>+917798181051</f>
        <v>917798181051</v>
      </c>
      <c r="L1685" s="4" t="str">
        <f t="shared" si="1"/>
        <v>iyer.priya92@gmail.com917798181051</v>
      </c>
      <c r="M1685" s="10" t="s">
        <v>67</v>
      </c>
      <c r="N1685" s="4" t="b">
        <v>0</v>
      </c>
      <c r="O1685" s="4" t="str">
        <f>VLOOKUP(A1685,payment_ids!D:E,2,FALSE)</f>
        <v>upi</v>
      </c>
      <c r="P1685" s="4" t="s">
        <v>69</v>
      </c>
      <c r="Q1685" s="11">
        <v>44321.74652777778</v>
      </c>
      <c r="R1685" s="4"/>
      <c r="S1685" s="12" t="s">
        <v>5116</v>
      </c>
      <c r="T1685" s="4"/>
      <c r="U1685" s="4"/>
      <c r="V1685" s="11"/>
      <c r="W1685" s="5"/>
      <c r="X1685" s="11"/>
      <c r="Y1685" s="4"/>
      <c r="Z1685" s="5"/>
      <c r="AA1685" s="4"/>
      <c r="AB1685" s="4"/>
      <c r="AC1685" s="4"/>
      <c r="AD1685" s="5"/>
      <c r="AE1685" s="5"/>
      <c r="AF1685" s="5"/>
      <c r="AG1685" s="5"/>
      <c r="AH1685" s="5"/>
      <c r="AI1685" s="5"/>
      <c r="AJ1685" s="5"/>
      <c r="AK1685" s="5"/>
      <c r="AL1685" s="5"/>
    </row>
    <row r="1686">
      <c r="A1686" s="4" t="str">
        <f>VLOOKUP(L1686,payment_ids!C:D,2,FALSE)</f>
        <v>pay_H71EUCRPLkLTko</v>
      </c>
      <c r="B1686" s="4"/>
      <c r="C1686" s="4" t="s">
        <v>5114</v>
      </c>
      <c r="D1686" s="4">
        <v>49813.0</v>
      </c>
      <c r="E1686" s="4"/>
      <c r="F1686" s="4">
        <v>1.0</v>
      </c>
      <c r="G1686" s="4">
        <v>299.0</v>
      </c>
      <c r="H1686" s="4"/>
      <c r="I1686" s="4">
        <v>299.0</v>
      </c>
      <c r="J1686" s="4" t="s">
        <v>5118</v>
      </c>
      <c r="K1686" s="6">
        <f>+919840374939</f>
        <v>919840374939</v>
      </c>
      <c r="L1686" s="4" t="str">
        <f t="shared" si="1"/>
        <v>sparvathi28@gmail.com919840374939</v>
      </c>
      <c r="M1686" s="10" t="s">
        <v>67</v>
      </c>
      <c r="N1686" s="4" t="b">
        <v>0</v>
      </c>
      <c r="O1686" s="4" t="str">
        <f>VLOOKUP(A1686,payment_ids!D:E,2,FALSE)</f>
        <v>upi</v>
      </c>
      <c r="P1686" s="4" t="s">
        <v>69</v>
      </c>
      <c r="Q1686" s="11">
        <v>44321.51597222222</v>
      </c>
      <c r="R1686" s="4"/>
      <c r="S1686" s="12" t="s">
        <v>5116</v>
      </c>
      <c r="T1686" s="4"/>
      <c r="U1686" s="4"/>
      <c r="V1686" s="11"/>
      <c r="W1686" s="5"/>
      <c r="X1686" s="11"/>
      <c r="Y1686" s="4"/>
      <c r="Z1686" s="5"/>
      <c r="AA1686" s="4"/>
      <c r="AB1686" s="4"/>
      <c r="AC1686" s="4"/>
      <c r="AD1686" s="5"/>
      <c r="AE1686" s="5"/>
      <c r="AF1686" s="5"/>
      <c r="AG1686" s="5"/>
      <c r="AH1686" s="5"/>
      <c r="AI1686" s="5"/>
      <c r="AJ1686" s="5"/>
      <c r="AK1686" s="5"/>
      <c r="AL1686" s="5"/>
    </row>
    <row r="1687">
      <c r="A1687" s="4" t="str">
        <f>VLOOKUP(L1687,payment_ids!C:D,2,FALSE)</f>
        <v>pay_H7XGSEZ6XxkYzN</v>
      </c>
      <c r="B1687" s="4"/>
      <c r="C1687" s="4" t="s">
        <v>5114</v>
      </c>
      <c r="D1687" s="4">
        <v>49813.0</v>
      </c>
      <c r="E1687" s="4"/>
      <c r="F1687" s="4">
        <v>1.0</v>
      </c>
      <c r="G1687" s="4">
        <v>299.0</v>
      </c>
      <c r="H1687" s="4"/>
      <c r="I1687" s="4">
        <v>299.0</v>
      </c>
      <c r="J1687" s="4" t="s">
        <v>5119</v>
      </c>
      <c r="K1687" s="6">
        <f>+919886525300</f>
        <v>919886525300</v>
      </c>
      <c r="L1687" s="4" t="str">
        <f t="shared" si="1"/>
        <v>aparnabhat.14@gmail.com919886525300</v>
      </c>
      <c r="M1687" s="10" t="s">
        <v>67</v>
      </c>
      <c r="N1687" s="4" t="b">
        <v>0</v>
      </c>
      <c r="O1687" s="4" t="str">
        <f>VLOOKUP(A1687,payment_ids!D:E,2,FALSE)</f>
        <v>upi</v>
      </c>
      <c r="P1687" s="4" t="s">
        <v>69</v>
      </c>
      <c r="Q1687" s="11">
        <v>44352.822222222225</v>
      </c>
      <c r="R1687" s="4"/>
      <c r="S1687" s="12" t="s">
        <v>5116</v>
      </c>
      <c r="T1687" s="4"/>
      <c r="U1687" s="4"/>
      <c r="V1687" s="11"/>
      <c r="W1687" s="5"/>
      <c r="X1687" s="11"/>
      <c r="Y1687" s="4"/>
      <c r="Z1687" s="5"/>
      <c r="AA1687" s="4"/>
      <c r="AB1687" s="4"/>
      <c r="AC1687" s="4"/>
      <c r="AD1687" s="5"/>
      <c r="AE1687" s="5"/>
      <c r="AF1687" s="5"/>
      <c r="AG1687" s="5"/>
      <c r="AH1687" s="5"/>
      <c r="AI1687" s="5"/>
      <c r="AJ1687" s="5"/>
      <c r="AK1687" s="5"/>
      <c r="AL1687" s="5"/>
    </row>
    <row r="1688">
      <c r="A1688" s="4" t="str">
        <f>VLOOKUP(L1688,payment_ids!C:D,2,FALSE)</f>
        <v>pay_H7iflAnoc8rkz3</v>
      </c>
      <c r="B1688" s="4"/>
      <c r="C1688" s="4" t="s">
        <v>5114</v>
      </c>
      <c r="D1688" s="4">
        <v>49813.0</v>
      </c>
      <c r="E1688" s="4"/>
      <c r="F1688" s="4">
        <v>3.0</v>
      </c>
      <c r="G1688" s="4">
        <v>499.0</v>
      </c>
      <c r="H1688" s="4"/>
      <c r="I1688" s="4">
        <v>499.0</v>
      </c>
      <c r="J1688" s="4" t="s">
        <v>5120</v>
      </c>
      <c r="K1688" s="6">
        <f>+919820371222</f>
        <v>919820371222</v>
      </c>
      <c r="L1688" s="4" t="str">
        <f t="shared" si="1"/>
        <v>ssarita4484@gmail.com919820371222</v>
      </c>
      <c r="M1688" s="10" t="s">
        <v>67</v>
      </c>
      <c r="N1688" s="4" t="b">
        <v>0</v>
      </c>
      <c r="O1688" s="4" t="str">
        <f>VLOOKUP(A1688,payment_ids!D:E,2,FALSE)</f>
        <v>upi</v>
      </c>
      <c r="P1688" s="4" t="s">
        <v>69</v>
      </c>
      <c r="Q1688" s="11">
        <v>44382.28680555556</v>
      </c>
      <c r="R1688" s="4"/>
      <c r="S1688" s="12" t="s">
        <v>5116</v>
      </c>
      <c r="T1688" s="4"/>
      <c r="U1688" s="4"/>
      <c r="V1688" s="11"/>
      <c r="W1688" s="5"/>
      <c r="X1688" s="11"/>
      <c r="Y1688" s="4"/>
      <c r="Z1688" s="5"/>
      <c r="AA1688" s="4"/>
      <c r="AB1688" s="4"/>
      <c r="AC1688" s="4"/>
      <c r="AD1688" s="5"/>
      <c r="AE1688" s="5"/>
      <c r="AF1688" s="5"/>
      <c r="AG1688" s="5"/>
      <c r="AH1688" s="5"/>
      <c r="AI1688" s="5"/>
      <c r="AJ1688" s="5"/>
      <c r="AK1688" s="5"/>
      <c r="AL1688" s="5"/>
    </row>
    <row r="1689">
      <c r="A1689" s="4" t="str">
        <f>VLOOKUP(L1689,payment_ids!C:D,2,FALSE)</f>
        <v>pay_H7lwDlrwVP3n97</v>
      </c>
      <c r="B1689" s="4"/>
      <c r="C1689" s="4" t="s">
        <v>5114</v>
      </c>
      <c r="D1689" s="4">
        <v>49813.0</v>
      </c>
      <c r="E1689" s="4"/>
      <c r="F1689" s="4">
        <v>6.0</v>
      </c>
      <c r="G1689" s="4">
        <v>799.0</v>
      </c>
      <c r="H1689" s="4"/>
      <c r="I1689" s="4">
        <v>799.0</v>
      </c>
      <c r="J1689" s="4" t="s">
        <v>5121</v>
      </c>
      <c r="K1689" s="6">
        <f>+919920770763</f>
        <v>919920770763</v>
      </c>
      <c r="L1689" s="4" t="str">
        <f t="shared" si="1"/>
        <v>capt_prerna@yahoo.com919920770763</v>
      </c>
      <c r="M1689" s="10" t="s">
        <v>67</v>
      </c>
      <c r="N1689" s="4" t="b">
        <v>0</v>
      </c>
      <c r="O1689" s="4" t="str">
        <f>VLOOKUP(A1689,payment_ids!D:E,2,FALSE)</f>
        <v>upi</v>
      </c>
      <c r="P1689" s="4" t="s">
        <v>69</v>
      </c>
      <c r="Q1689" s="11">
        <v>44382.419444444444</v>
      </c>
      <c r="R1689" s="4"/>
      <c r="S1689" s="12" t="s">
        <v>5116</v>
      </c>
      <c r="T1689" s="4"/>
      <c r="U1689" s="4"/>
      <c r="V1689" s="11"/>
      <c r="W1689" s="5"/>
      <c r="X1689" s="11"/>
      <c r="Y1689" s="4"/>
      <c r="Z1689" s="5"/>
      <c r="AA1689" s="4"/>
      <c r="AB1689" s="4"/>
      <c r="AC1689" s="4"/>
      <c r="AD1689" s="5"/>
      <c r="AE1689" s="5"/>
      <c r="AF1689" s="5"/>
      <c r="AG1689" s="5"/>
      <c r="AH1689" s="5"/>
      <c r="AI1689" s="5"/>
      <c r="AJ1689" s="5"/>
      <c r="AK1689" s="5"/>
      <c r="AL1689" s="5"/>
    </row>
    <row r="1690">
      <c r="A1690" s="4" t="str">
        <f>VLOOKUP(L1690,payment_ids!C:D,2,FALSE)</f>
        <v>pay_H7zTnTTJOaywqS</v>
      </c>
      <c r="B1690" s="4"/>
      <c r="C1690" s="4" t="s">
        <v>5114</v>
      </c>
      <c r="D1690" s="4">
        <v>49813.0</v>
      </c>
      <c r="E1690" s="4"/>
      <c r="F1690" s="4">
        <v>6.0</v>
      </c>
      <c r="G1690" s="4">
        <v>799.0</v>
      </c>
      <c r="H1690" s="4"/>
      <c r="I1690" s="4">
        <v>799.0</v>
      </c>
      <c r="J1690" s="4" t="s">
        <v>5122</v>
      </c>
      <c r="K1690" s="6">
        <f>+919885021219</f>
        <v>919885021219</v>
      </c>
      <c r="L1690" s="4" t="str">
        <f t="shared" si="1"/>
        <v>nehasingh.vijayrajindia@gmail.com919885021219</v>
      </c>
      <c r="M1690" s="10" t="s">
        <v>67</v>
      </c>
      <c r="N1690" s="4" t="b">
        <v>0</v>
      </c>
      <c r="O1690" s="4" t="str">
        <f>VLOOKUP(A1690,payment_ids!D:E,2,FALSE)</f>
        <v>card</v>
      </c>
      <c r="P1690" s="4" t="s">
        <v>69</v>
      </c>
      <c r="Q1690" s="11">
        <v>44382.97222222222</v>
      </c>
      <c r="R1690" s="4"/>
      <c r="S1690" s="12" t="s">
        <v>5116</v>
      </c>
      <c r="T1690" s="4"/>
      <c r="U1690" s="4"/>
      <c r="V1690" s="11"/>
      <c r="W1690" s="5"/>
      <c r="X1690" s="11"/>
      <c r="Y1690" s="4"/>
      <c r="Z1690" s="5"/>
      <c r="AA1690" s="4"/>
      <c r="AB1690" s="4"/>
      <c r="AC1690" s="4"/>
      <c r="AD1690" s="5"/>
      <c r="AE1690" s="5"/>
      <c r="AF1690" s="5"/>
      <c r="AG1690" s="5"/>
      <c r="AH1690" s="5"/>
      <c r="AI1690" s="5"/>
      <c r="AJ1690" s="5"/>
      <c r="AK1690" s="5"/>
      <c r="AL1690" s="5"/>
    </row>
    <row r="1691">
      <c r="A1691" s="4" t="str">
        <f>VLOOKUP(L1691,payment_ids!C:D,2,FALSE)</f>
        <v>pay_H8MwGtgKnIy0Dm</v>
      </c>
      <c r="B1691" s="4"/>
      <c r="C1691" s="4" t="s">
        <v>5114</v>
      </c>
      <c r="D1691" s="4">
        <v>49813.0</v>
      </c>
      <c r="E1691" s="4"/>
      <c r="F1691" s="4">
        <v>6.0</v>
      </c>
      <c r="G1691" s="4">
        <v>799.0</v>
      </c>
      <c r="H1691" s="4"/>
      <c r="I1691" s="4">
        <v>799.0</v>
      </c>
      <c r="J1691" s="4" t="s">
        <v>5123</v>
      </c>
      <c r="K1691" s="6">
        <f>+917208480059</f>
        <v>917208480059</v>
      </c>
      <c r="L1691" s="4" t="str">
        <f t="shared" si="1"/>
        <v>yogitalabrath@gmail.com917208480059</v>
      </c>
      <c r="M1691" s="10" t="s">
        <v>67</v>
      </c>
      <c r="N1691" s="4" t="b">
        <v>0</v>
      </c>
      <c r="O1691" s="4" t="str">
        <f>VLOOKUP(A1691,payment_ids!D:E,2,FALSE)</f>
        <v>upi</v>
      </c>
      <c r="P1691" s="4" t="s">
        <v>69</v>
      </c>
      <c r="Q1691" s="11">
        <v>44413.927777777775</v>
      </c>
      <c r="R1691" s="4"/>
      <c r="S1691" s="12" t="s">
        <v>5116</v>
      </c>
      <c r="T1691" s="4"/>
      <c r="U1691" s="4"/>
      <c r="V1691" s="11"/>
      <c r="W1691" s="5"/>
      <c r="X1691" s="11"/>
      <c r="Y1691" s="4"/>
      <c r="Z1691" s="5"/>
      <c r="AA1691" s="4"/>
      <c r="AB1691" s="4"/>
      <c r="AC1691" s="4"/>
      <c r="AD1691" s="5"/>
      <c r="AE1691" s="5"/>
      <c r="AF1691" s="5"/>
      <c r="AG1691" s="5"/>
      <c r="AH1691" s="5"/>
      <c r="AI1691" s="5"/>
      <c r="AJ1691" s="5"/>
      <c r="AK1691" s="5"/>
      <c r="AL1691" s="5"/>
    </row>
    <row r="1692">
      <c r="A1692" s="4" t="str">
        <f>VLOOKUP(L1692,payment_ids!C:D,2,FALSE)</f>
        <v>pay_H8PHZnAnA7tM9q</v>
      </c>
      <c r="B1692" s="4"/>
      <c r="C1692" s="4" t="s">
        <v>5114</v>
      </c>
      <c r="D1692" s="4">
        <v>49813.0</v>
      </c>
      <c r="E1692" s="4"/>
      <c r="F1692" s="4">
        <v>6.0</v>
      </c>
      <c r="G1692" s="4">
        <v>799.0</v>
      </c>
      <c r="H1692" s="4"/>
      <c r="I1692" s="4">
        <v>799.0</v>
      </c>
      <c r="J1692" s="4" t="s">
        <v>5124</v>
      </c>
      <c r="K1692" s="6">
        <f>+918588830840</f>
        <v>918588830840</v>
      </c>
      <c r="L1692" s="4" t="str">
        <f t="shared" si="1"/>
        <v>sugandhi.dawar@gmail.com918588830840</v>
      </c>
      <c r="M1692" s="10" t="s">
        <v>67</v>
      </c>
      <c r="N1692" s="4" t="b">
        <v>0</v>
      </c>
      <c r="O1692" s="4" t="str">
        <f>VLOOKUP(A1692,payment_ids!D:E,2,FALSE)</f>
        <v>upi</v>
      </c>
      <c r="P1692" s="4" t="s">
        <v>69</v>
      </c>
      <c r="Q1692" s="11">
        <v>44444.02361111111</v>
      </c>
      <c r="R1692" s="4"/>
      <c r="S1692" s="12" t="s">
        <v>5116</v>
      </c>
      <c r="T1692" s="4"/>
      <c r="U1692" s="4"/>
      <c r="V1692" s="11"/>
      <c r="W1692" s="5"/>
      <c r="X1692" s="11"/>
      <c r="Y1692" s="4"/>
      <c r="Z1692" s="5"/>
      <c r="AA1692" s="4"/>
      <c r="AB1692" s="4"/>
      <c r="AC1692" s="4"/>
      <c r="AD1692" s="5"/>
      <c r="AE1692" s="5"/>
      <c r="AF1692" s="5"/>
      <c r="AG1692" s="5"/>
      <c r="AH1692" s="5"/>
      <c r="AI1692" s="5"/>
      <c r="AJ1692" s="5"/>
      <c r="AK1692" s="5"/>
      <c r="AL1692" s="5"/>
    </row>
    <row r="1693">
      <c r="A1693" s="4" t="str">
        <f>VLOOKUP(L1693,payment_ids!C:D,2,FALSE)</f>
        <v>pay_H94GAeo2tdbs0V</v>
      </c>
      <c r="B1693" s="4"/>
      <c r="C1693" s="4" t="s">
        <v>5114</v>
      </c>
      <c r="D1693" s="4">
        <v>49813.0</v>
      </c>
      <c r="E1693" s="4"/>
      <c r="F1693" s="4">
        <v>1.0</v>
      </c>
      <c r="G1693" s="4">
        <v>299.0</v>
      </c>
      <c r="H1693" s="4"/>
      <c r="I1693" s="4">
        <v>299.0</v>
      </c>
      <c r="J1693" s="4" t="s">
        <v>5125</v>
      </c>
      <c r="K1693" s="6">
        <f>+919619857736</f>
        <v>919619857736</v>
      </c>
      <c r="L1693" s="4" t="str">
        <f t="shared" si="1"/>
        <v>shefalipoojary@gmail.com919619857736</v>
      </c>
      <c r="M1693" s="10" t="s">
        <v>67</v>
      </c>
      <c r="N1693" s="4" t="b">
        <v>0</v>
      </c>
      <c r="O1693" s="4" t="str">
        <f>VLOOKUP(A1693,payment_ids!D:E,2,FALSE)</f>
        <v>card</v>
      </c>
      <c r="P1693" s="4" t="s">
        <v>69</v>
      </c>
      <c r="Q1693" s="11">
        <v>44474.70138888889</v>
      </c>
      <c r="R1693" s="4"/>
      <c r="S1693" s="12" t="s">
        <v>5116</v>
      </c>
      <c r="T1693" s="4"/>
      <c r="U1693" s="4"/>
      <c r="V1693" s="11"/>
      <c r="W1693" s="5"/>
      <c r="X1693" s="11"/>
      <c r="Y1693" s="4"/>
      <c r="Z1693" s="5"/>
      <c r="AA1693" s="4"/>
      <c r="AB1693" s="4"/>
      <c r="AC1693" s="4"/>
      <c r="AD1693" s="5"/>
      <c r="AE1693" s="5"/>
      <c r="AF1693" s="5"/>
      <c r="AG1693" s="5"/>
      <c r="AH1693" s="5"/>
      <c r="AI1693" s="5"/>
      <c r="AJ1693" s="5"/>
      <c r="AK1693" s="5"/>
      <c r="AL1693" s="5"/>
    </row>
    <row r="1694">
      <c r="A1694" s="4" t="str">
        <f>VLOOKUP(L1694,payment_ids!C:D,2,FALSE)</f>
        <v>pay_H95odI7ceUyWMf</v>
      </c>
      <c r="B1694" s="4"/>
      <c r="C1694" s="4" t="s">
        <v>5114</v>
      </c>
      <c r="D1694" s="4">
        <v>49813.0</v>
      </c>
      <c r="E1694" s="4"/>
      <c r="F1694" s="4">
        <v>1.0</v>
      </c>
      <c r="G1694" s="4">
        <v>299.0</v>
      </c>
      <c r="H1694" s="4"/>
      <c r="I1694" s="4">
        <v>299.0</v>
      </c>
      <c r="J1694" s="4" t="s">
        <v>5126</v>
      </c>
      <c r="K1694" s="6">
        <f>+919820551086</f>
        <v>919820551086</v>
      </c>
      <c r="L1694" s="4" t="str">
        <f t="shared" si="1"/>
        <v>udeesha@gmail.com919820551086</v>
      </c>
      <c r="M1694" s="10" t="s">
        <v>67</v>
      </c>
      <c r="N1694" s="4" t="b">
        <v>0</v>
      </c>
      <c r="O1694" s="4" t="str">
        <f>VLOOKUP(A1694,payment_ids!D:E,2,FALSE)</f>
        <v>card</v>
      </c>
      <c r="P1694" s="4" t="s">
        <v>69</v>
      </c>
      <c r="Q1694" s="11">
        <v>44474.756944444445</v>
      </c>
      <c r="R1694" s="4"/>
      <c r="S1694" s="12" t="s">
        <v>5116</v>
      </c>
      <c r="T1694" s="4"/>
      <c r="U1694" s="4"/>
      <c r="V1694" s="11"/>
      <c r="W1694" s="5"/>
      <c r="X1694" s="11"/>
      <c r="Y1694" s="4"/>
      <c r="Z1694" s="5"/>
      <c r="AA1694" s="4"/>
      <c r="AB1694" s="4"/>
      <c r="AC1694" s="4"/>
      <c r="AD1694" s="5"/>
      <c r="AE1694" s="5"/>
      <c r="AF1694" s="5"/>
      <c r="AG1694" s="5"/>
      <c r="AH1694" s="5"/>
      <c r="AI1694" s="5"/>
      <c r="AJ1694" s="5"/>
      <c r="AK1694" s="5"/>
      <c r="AL1694" s="5"/>
    </row>
    <row r="1695">
      <c r="A1695" s="4" t="str">
        <f>VLOOKUP(L1695,payment_ids!C:D,2,FALSE)</f>
        <v>pay_H9Codhmd9R7DjS</v>
      </c>
      <c r="B1695" s="4"/>
      <c r="C1695" s="4" t="s">
        <v>5114</v>
      </c>
      <c r="D1695" s="4">
        <v>49813.0</v>
      </c>
      <c r="E1695" s="4"/>
      <c r="F1695" s="4">
        <v>6.0</v>
      </c>
      <c r="G1695" s="4">
        <v>799.0</v>
      </c>
      <c r="H1695" s="4"/>
      <c r="I1695" s="4">
        <v>799.0</v>
      </c>
      <c r="J1695" s="4" t="s">
        <v>5127</v>
      </c>
      <c r="K1695" s="6">
        <f>+919930121303</f>
        <v>919930121303</v>
      </c>
      <c r="L1695" s="4" t="str">
        <f t="shared" si="1"/>
        <v>dr.sofia77@gmail.com919930121303</v>
      </c>
      <c r="M1695" s="10" t="s">
        <v>67</v>
      </c>
      <c r="N1695" s="4" t="b">
        <v>0</v>
      </c>
      <c r="O1695" s="4" t="str">
        <f>VLOOKUP(A1695,payment_ids!D:E,2,FALSE)</f>
        <v>upi</v>
      </c>
      <c r="P1695" s="4" t="s">
        <v>69</v>
      </c>
      <c r="Q1695" s="11">
        <v>44505.04236111111</v>
      </c>
      <c r="R1695" s="4"/>
      <c r="S1695" s="12" t="s">
        <v>5116</v>
      </c>
      <c r="T1695" s="4"/>
      <c r="U1695" s="4"/>
      <c r="V1695" s="11"/>
      <c r="W1695" s="5"/>
      <c r="X1695" s="11"/>
      <c r="Y1695" s="4"/>
      <c r="Z1695" s="5"/>
      <c r="AA1695" s="4"/>
      <c r="AB1695" s="4"/>
      <c r="AC1695" s="4"/>
      <c r="AD1695" s="5"/>
      <c r="AE1695" s="5"/>
      <c r="AF1695" s="5"/>
      <c r="AG1695" s="5"/>
      <c r="AH1695" s="5"/>
      <c r="AI1695" s="5"/>
      <c r="AJ1695" s="5"/>
      <c r="AK1695" s="5"/>
      <c r="AL1695" s="5"/>
    </row>
    <row r="1696">
      <c r="A1696" s="4" t="str">
        <f>VLOOKUP(L1696,payment_ids!C:D,2,FALSE)</f>
        <v>pay_H9YbidBev3VfdY</v>
      </c>
      <c r="B1696" s="4"/>
      <c r="C1696" s="4" t="s">
        <v>5114</v>
      </c>
      <c r="D1696" s="4">
        <v>49813.0</v>
      </c>
      <c r="E1696" s="4"/>
      <c r="F1696" s="4">
        <v>3.0</v>
      </c>
      <c r="G1696" s="4">
        <v>499.0</v>
      </c>
      <c r="H1696" s="4"/>
      <c r="I1696" s="4">
        <v>499.0</v>
      </c>
      <c r="J1696" s="4" t="s">
        <v>5128</v>
      </c>
      <c r="K1696" s="6">
        <f>+919619640929</f>
        <v>919619640929</v>
      </c>
      <c r="L1696" s="4" t="str">
        <f t="shared" si="1"/>
        <v>panditpaulomi@gmail.com919619640929</v>
      </c>
      <c r="M1696" s="10" t="s">
        <v>67</v>
      </c>
      <c r="N1696" s="4" t="b">
        <v>0</v>
      </c>
      <c r="O1696" s="4" t="str">
        <f>VLOOKUP(A1696,payment_ids!D:E,2,FALSE)</f>
        <v>card</v>
      </c>
      <c r="P1696" s="4" t="s">
        <v>69</v>
      </c>
      <c r="Q1696" s="11">
        <v>44505.930555555555</v>
      </c>
      <c r="R1696" s="4"/>
      <c r="S1696" s="12" t="s">
        <v>5116</v>
      </c>
      <c r="T1696" s="4"/>
      <c r="U1696" s="4"/>
      <c r="V1696" s="11"/>
      <c r="W1696" s="5"/>
      <c r="X1696" s="11"/>
      <c r="Y1696" s="4"/>
      <c r="Z1696" s="5"/>
      <c r="AA1696" s="4"/>
      <c r="AB1696" s="4"/>
      <c r="AC1696" s="4"/>
      <c r="AD1696" s="5"/>
      <c r="AE1696" s="5"/>
      <c r="AF1696" s="5"/>
      <c r="AG1696" s="5"/>
      <c r="AH1696" s="5"/>
      <c r="AI1696" s="5"/>
      <c r="AJ1696" s="5"/>
      <c r="AK1696" s="5"/>
      <c r="AL1696" s="5"/>
    </row>
    <row r="1697">
      <c r="A1697" s="4" t="str">
        <f>VLOOKUP(L1697,payment_ids!C:D,2,FALSE)</f>
        <v>pay_H9m5cGWry6fV5J</v>
      </c>
      <c r="B1697" s="4"/>
      <c r="C1697" s="4" t="s">
        <v>5114</v>
      </c>
      <c r="D1697" s="4">
        <v>49813.0</v>
      </c>
      <c r="E1697" s="4"/>
      <c r="F1697" s="4">
        <v>3.0</v>
      </c>
      <c r="G1697" s="4">
        <v>499.0</v>
      </c>
      <c r="H1697" s="4"/>
      <c r="I1697" s="4">
        <v>499.0</v>
      </c>
      <c r="J1697" s="4" t="s">
        <v>5129</v>
      </c>
      <c r="K1697" s="6">
        <f>+919662074525</f>
        <v>919662074525</v>
      </c>
      <c r="L1697" s="4" t="str">
        <f t="shared" si="1"/>
        <v>devanshi_bhatt2004@yahoo.com919662074525</v>
      </c>
      <c r="M1697" s="10" t="s">
        <v>67</v>
      </c>
      <c r="N1697" s="4" t="b">
        <v>0</v>
      </c>
      <c r="O1697" s="4" t="str">
        <f>VLOOKUP(A1697,payment_ids!D:E,2,FALSE)</f>
        <v>upi</v>
      </c>
      <c r="P1697" s="4" t="s">
        <v>69</v>
      </c>
      <c r="Q1697" s="11">
        <v>44535.481944444444</v>
      </c>
      <c r="R1697" s="4"/>
      <c r="S1697" s="12" t="s">
        <v>5116</v>
      </c>
      <c r="T1697" s="4"/>
      <c r="U1697" s="4"/>
      <c r="V1697" s="11"/>
      <c r="W1697" s="5"/>
      <c r="X1697" s="11"/>
      <c r="Y1697" s="4"/>
      <c r="Z1697" s="5"/>
      <c r="AA1697" s="4"/>
      <c r="AB1697" s="4"/>
      <c r="AC1697" s="4"/>
      <c r="AD1697" s="5"/>
      <c r="AE1697" s="5"/>
      <c r="AF1697" s="5"/>
      <c r="AG1697" s="5"/>
      <c r="AH1697" s="5"/>
      <c r="AI1697" s="5"/>
      <c r="AJ1697" s="5"/>
      <c r="AK1697" s="5"/>
      <c r="AL1697" s="5"/>
    </row>
    <row r="1698">
      <c r="A1698" s="4" t="str">
        <f>VLOOKUP(L1698,payment_ids!C:D,2,FALSE)</f>
        <v>pay_HB30us2dX848Wo</v>
      </c>
      <c r="B1698" s="4"/>
      <c r="C1698" s="4" t="s">
        <v>5114</v>
      </c>
      <c r="D1698" s="4">
        <v>49813.0</v>
      </c>
      <c r="E1698" s="4"/>
      <c r="F1698" s="4">
        <v>1.0</v>
      </c>
      <c r="G1698" s="4">
        <v>299.0</v>
      </c>
      <c r="H1698" s="4"/>
      <c r="I1698" s="4">
        <v>299.0</v>
      </c>
      <c r="J1698" s="4" t="s">
        <v>5130</v>
      </c>
      <c r="K1698" s="6">
        <f>+917275024631</f>
        <v>917275024631</v>
      </c>
      <c r="L1698" s="4" t="str">
        <f t="shared" si="1"/>
        <v>research_kriti12@uahoo.co.in917275024631</v>
      </c>
      <c r="M1698" s="10" t="s">
        <v>67</v>
      </c>
      <c r="N1698" s="4" t="b">
        <v>0</v>
      </c>
      <c r="O1698" s="4" t="str">
        <f>VLOOKUP(A1698,payment_ids!D:E,2,FALSE)</f>
        <v>upi</v>
      </c>
      <c r="P1698" s="4" t="s">
        <v>69</v>
      </c>
      <c r="Q1698" s="4" t="s">
        <v>5131</v>
      </c>
      <c r="R1698" s="4"/>
      <c r="S1698" s="12" t="s">
        <v>5116</v>
      </c>
      <c r="T1698" s="4"/>
      <c r="U1698" s="4"/>
      <c r="V1698" s="11"/>
      <c r="W1698" s="5"/>
      <c r="X1698" s="11"/>
      <c r="Y1698" s="4"/>
      <c r="Z1698" s="5"/>
      <c r="AA1698" s="4"/>
      <c r="AB1698" s="4"/>
      <c r="AC1698" s="4"/>
      <c r="AD1698" s="5"/>
      <c r="AE1698" s="5"/>
      <c r="AF1698" s="5"/>
      <c r="AG1698" s="5"/>
      <c r="AH1698" s="5"/>
      <c r="AI1698" s="5"/>
      <c r="AJ1698" s="5"/>
      <c r="AK1698" s="5"/>
      <c r="AL1698" s="5"/>
    </row>
    <row r="1699">
      <c r="A1699" s="4" t="str">
        <f>VLOOKUP(L1699,payment_ids!C:D,2,FALSE)</f>
        <v>pay_HAsXAJR2Tgw4lU</v>
      </c>
      <c r="B1699" s="4"/>
      <c r="C1699" s="4" t="s">
        <v>5114</v>
      </c>
      <c r="D1699" s="4">
        <v>49813.0</v>
      </c>
      <c r="E1699" s="4"/>
      <c r="F1699" s="4">
        <v>3.0</v>
      </c>
      <c r="G1699" s="4">
        <v>499.0</v>
      </c>
      <c r="H1699" s="4"/>
      <c r="I1699" s="4">
        <v>499.0</v>
      </c>
      <c r="J1699" s="4" t="s">
        <v>5132</v>
      </c>
      <c r="K1699" s="6">
        <f>+918888086354</f>
        <v>918888086354</v>
      </c>
      <c r="L1699" s="4" t="str">
        <f t="shared" si="1"/>
        <v>diveatwal94@gmail.com918888086354</v>
      </c>
      <c r="M1699" s="10" t="s">
        <v>67</v>
      </c>
      <c r="N1699" s="4" t="b">
        <v>0</v>
      </c>
      <c r="O1699" s="4" t="str">
        <f>VLOOKUP(A1699,payment_ids!D:E,2,FALSE)</f>
        <v>upi</v>
      </c>
      <c r="P1699" s="4" t="s">
        <v>69</v>
      </c>
      <c r="Q1699" s="4" t="s">
        <v>5133</v>
      </c>
      <c r="R1699" s="4"/>
      <c r="S1699" s="12" t="s">
        <v>5116</v>
      </c>
      <c r="T1699" s="4"/>
      <c r="U1699" s="4"/>
      <c r="V1699" s="11"/>
      <c r="W1699" s="5"/>
      <c r="X1699" s="11"/>
      <c r="Y1699" s="4"/>
      <c r="Z1699" s="5"/>
      <c r="AA1699" s="4"/>
      <c r="AB1699" s="4"/>
      <c r="AC1699" s="4"/>
      <c r="AD1699" s="5"/>
      <c r="AE1699" s="5"/>
      <c r="AF1699" s="5"/>
      <c r="AG1699" s="5"/>
      <c r="AH1699" s="5"/>
      <c r="AI1699" s="5"/>
      <c r="AJ1699" s="5"/>
      <c r="AK1699" s="5"/>
      <c r="AL1699" s="5"/>
    </row>
    <row r="1700">
      <c r="A1700" s="4" t="str">
        <f>VLOOKUP(L1700,payment_ids!C:D,2,FALSE)</f>
        <v>pay_HAvOVMd5mvXdQe</v>
      </c>
      <c r="B1700" s="4"/>
      <c r="C1700" s="4" t="s">
        <v>5114</v>
      </c>
      <c r="D1700" s="4">
        <v>49813.0</v>
      </c>
      <c r="E1700" s="4"/>
      <c r="F1700" s="4">
        <v>1.0</v>
      </c>
      <c r="G1700" s="4">
        <v>299.0</v>
      </c>
      <c r="H1700" s="4"/>
      <c r="I1700" s="4">
        <v>299.0</v>
      </c>
      <c r="J1700" s="4" t="s">
        <v>5134</v>
      </c>
      <c r="K1700" s="6">
        <f>+919527338136</f>
        <v>919527338136</v>
      </c>
      <c r="L1700" s="4" t="str">
        <f t="shared" si="1"/>
        <v>patulitengg@gmail.com919527338136</v>
      </c>
      <c r="M1700" s="10" t="s">
        <v>67</v>
      </c>
      <c r="N1700" s="4" t="b">
        <v>0</v>
      </c>
      <c r="O1700" s="4" t="str">
        <f>VLOOKUP(A1700,payment_ids!D:E,2,FALSE)</f>
        <v>upi</v>
      </c>
      <c r="P1700" s="4" t="s">
        <v>69</v>
      </c>
      <c r="Q1700" s="4" t="s">
        <v>5135</v>
      </c>
      <c r="R1700" s="4"/>
      <c r="S1700" s="12" t="s">
        <v>5116</v>
      </c>
      <c r="T1700" s="4"/>
      <c r="U1700" s="4"/>
      <c r="V1700" s="11"/>
      <c r="W1700" s="5"/>
      <c r="X1700" s="11"/>
      <c r="Y1700" s="4"/>
      <c r="Z1700" s="5"/>
      <c r="AA1700" s="4"/>
      <c r="AB1700" s="4"/>
      <c r="AC1700" s="4"/>
      <c r="AD1700" s="5"/>
      <c r="AE1700" s="5"/>
      <c r="AF1700" s="5"/>
      <c r="AG1700" s="5"/>
      <c r="AH1700" s="5"/>
      <c r="AI1700" s="5"/>
      <c r="AJ1700" s="5"/>
      <c r="AK1700" s="5"/>
      <c r="AL1700" s="5"/>
    </row>
    <row r="1701">
      <c r="A1701" s="4" t="str">
        <f>VLOOKUP(L1701,payment_ids!C:D,2,FALSE)</f>
        <v>pay_HBX0SBVMFLnMf2</v>
      </c>
      <c r="B1701" s="4"/>
      <c r="C1701" s="4" t="s">
        <v>5114</v>
      </c>
      <c r="D1701" s="4">
        <v>49813.0</v>
      </c>
      <c r="E1701" s="4"/>
      <c r="F1701" s="4">
        <v>1.0</v>
      </c>
      <c r="G1701" s="4">
        <v>299.0</v>
      </c>
      <c r="H1701" s="4"/>
      <c r="I1701" s="4">
        <v>299.0</v>
      </c>
      <c r="J1701" s="4" t="s">
        <v>5136</v>
      </c>
      <c r="K1701" s="6">
        <f>+918335898058</f>
        <v>918335898058</v>
      </c>
      <c r="L1701" s="4" t="str">
        <f t="shared" si="1"/>
        <v>drmanaswitabiswas@gmail.com918335898058</v>
      </c>
      <c r="M1701" s="10" t="s">
        <v>67</v>
      </c>
      <c r="N1701" s="4" t="b">
        <v>0</v>
      </c>
      <c r="O1701" s="4" t="str">
        <f>VLOOKUP(A1701,payment_ids!D:E,2,FALSE)</f>
        <v>upi</v>
      </c>
      <c r="P1701" s="4" t="s">
        <v>69</v>
      </c>
      <c r="Q1701" s="4" t="s">
        <v>5137</v>
      </c>
      <c r="R1701" s="4"/>
      <c r="S1701" s="12" t="s">
        <v>5116</v>
      </c>
      <c r="T1701" s="4"/>
      <c r="U1701" s="4"/>
      <c r="V1701" s="11"/>
      <c r="W1701" s="5"/>
      <c r="X1701" s="11"/>
      <c r="Y1701" s="4"/>
      <c r="Z1701" s="5"/>
      <c r="AA1701" s="4"/>
      <c r="AB1701" s="4"/>
      <c r="AC1701" s="4"/>
      <c r="AD1701" s="5"/>
      <c r="AE1701" s="5"/>
      <c r="AF1701" s="5"/>
      <c r="AG1701" s="5"/>
      <c r="AH1701" s="5"/>
      <c r="AI1701" s="5"/>
      <c r="AJ1701" s="5"/>
      <c r="AK1701" s="5"/>
      <c r="AL1701" s="5"/>
    </row>
    <row r="1702">
      <c r="A1702" s="4" t="str">
        <f>VLOOKUP(L1702,payment_ids!C:D,2,FALSE)</f>
        <v>pay_HBh1BhPNbWU4Q5</v>
      </c>
      <c r="B1702" s="4"/>
      <c r="C1702" s="4" t="s">
        <v>5114</v>
      </c>
      <c r="D1702" s="4">
        <v>49813.0</v>
      </c>
      <c r="E1702" s="4"/>
      <c r="F1702" s="4">
        <v>1.0</v>
      </c>
      <c r="G1702" s="4">
        <v>299.0</v>
      </c>
      <c r="H1702" s="4"/>
      <c r="I1702" s="4">
        <v>299.0</v>
      </c>
      <c r="J1702" s="4" t="s">
        <v>5138</v>
      </c>
      <c r="K1702" s="6">
        <f>+919910203221</f>
        <v>919910203221</v>
      </c>
      <c r="L1702" s="4" t="str">
        <f t="shared" si="1"/>
        <v>malhotrashikpa@gmail.com919910203221</v>
      </c>
      <c r="M1702" s="10" t="s">
        <v>67</v>
      </c>
      <c r="N1702" s="4" t="b">
        <v>0</v>
      </c>
      <c r="O1702" s="4" t="str">
        <f>VLOOKUP(A1702,payment_ids!D:E,2,FALSE)</f>
        <v>upi</v>
      </c>
      <c r="P1702" s="4" t="s">
        <v>69</v>
      </c>
      <c r="Q1702" s="4" t="s">
        <v>5139</v>
      </c>
      <c r="R1702" s="4"/>
      <c r="S1702" s="12" t="s">
        <v>5116</v>
      </c>
      <c r="T1702" s="4"/>
      <c r="U1702" s="4"/>
      <c r="V1702" s="11"/>
      <c r="W1702" s="5"/>
      <c r="X1702" s="11"/>
      <c r="Y1702" s="4"/>
      <c r="Z1702" s="5"/>
      <c r="AA1702" s="4"/>
      <c r="AB1702" s="4"/>
      <c r="AC1702" s="4"/>
      <c r="AD1702" s="5"/>
      <c r="AE1702" s="5"/>
      <c r="AF1702" s="5"/>
      <c r="AG1702" s="5"/>
      <c r="AH1702" s="5"/>
      <c r="AI1702" s="5"/>
      <c r="AJ1702" s="5"/>
      <c r="AK1702" s="5"/>
      <c r="AL1702" s="5"/>
    </row>
    <row r="1703">
      <c r="A1703" s="4" t="str">
        <f>VLOOKUP(L1703,payment_ids!C:D,2,FALSE)</f>
        <v>pay_H6lgl4WJbJMGuf</v>
      </c>
      <c r="B1703" s="4"/>
      <c r="C1703" s="4" t="s">
        <v>5114</v>
      </c>
      <c r="D1703" s="4">
        <v>49813.0</v>
      </c>
      <c r="E1703" s="4"/>
      <c r="F1703" s="4">
        <v>6.0</v>
      </c>
      <c r="G1703" s="4">
        <v>799.0</v>
      </c>
      <c r="H1703" s="4"/>
      <c r="I1703" s="4">
        <v>799.0</v>
      </c>
      <c r="J1703" s="4" t="s">
        <v>1687</v>
      </c>
      <c r="K1703" s="6">
        <f>+918850267427</f>
        <v>918850267427</v>
      </c>
      <c r="L1703" s="4" t="str">
        <f t="shared" si="1"/>
        <v>asudi1003@gmail.com918850267427</v>
      </c>
      <c r="M1703" s="10" t="s">
        <v>67</v>
      </c>
      <c r="N1703" s="4" t="b">
        <v>0</v>
      </c>
      <c r="O1703" s="4" t="str">
        <f>VLOOKUP(A1703,payment_ids!D:E,2,FALSE)</f>
        <v>upi</v>
      </c>
      <c r="P1703" s="4" t="s">
        <v>69</v>
      </c>
      <c r="Q1703" s="4" t="s">
        <v>5140</v>
      </c>
      <c r="R1703" s="4"/>
      <c r="S1703" s="12" t="s">
        <v>5116</v>
      </c>
      <c r="T1703" s="4"/>
      <c r="U1703" s="4"/>
      <c r="V1703" s="11"/>
      <c r="W1703" s="5"/>
      <c r="X1703" s="11"/>
      <c r="Y1703" s="4"/>
      <c r="Z1703" s="5"/>
      <c r="AA1703" s="4"/>
      <c r="AB1703" s="4"/>
      <c r="AC1703" s="4"/>
      <c r="AD1703" s="5"/>
      <c r="AE1703" s="5"/>
      <c r="AF1703" s="5"/>
      <c r="AG1703" s="5"/>
      <c r="AH1703" s="5"/>
      <c r="AI1703" s="5"/>
      <c r="AJ1703" s="5"/>
      <c r="AK1703" s="5"/>
      <c r="AL1703" s="5"/>
    </row>
    <row r="1704">
      <c r="A1704" s="4" t="str">
        <f>VLOOKUP(L1704,payment_ids!C:D,2,FALSE)</f>
        <v>pay_HCbcJCDzSWbvSp</v>
      </c>
      <c r="B1704" s="4"/>
      <c r="C1704" s="4" t="s">
        <v>5114</v>
      </c>
      <c r="D1704" s="4">
        <v>49813.0</v>
      </c>
      <c r="E1704" s="4"/>
      <c r="F1704" s="4">
        <v>1.0</v>
      </c>
      <c r="G1704" s="4">
        <v>299.0</v>
      </c>
      <c r="H1704" s="4"/>
      <c r="I1704" s="4">
        <v>299.0</v>
      </c>
      <c r="J1704" s="4" t="s">
        <v>3295</v>
      </c>
      <c r="K1704" s="6">
        <f>+919978799000</f>
        <v>919978799000</v>
      </c>
      <c r="L1704" s="4" t="str">
        <f t="shared" si="1"/>
        <v>geetameer88@gmail.com919978799000</v>
      </c>
      <c r="M1704" s="10" t="s">
        <v>67</v>
      </c>
      <c r="N1704" s="4" t="b">
        <v>0</v>
      </c>
      <c r="O1704" s="4" t="str">
        <f>VLOOKUP(A1704,payment_ids!D:E,2,FALSE)</f>
        <v>card</v>
      </c>
      <c r="P1704" s="4" t="s">
        <v>69</v>
      </c>
      <c r="Q1704" s="4" t="s">
        <v>3207</v>
      </c>
      <c r="R1704" s="4"/>
      <c r="S1704" s="12" t="s">
        <v>5116</v>
      </c>
      <c r="T1704" s="4"/>
      <c r="U1704" s="4"/>
      <c r="V1704" s="11"/>
      <c r="W1704" s="5"/>
      <c r="X1704" s="11"/>
      <c r="Y1704" s="4"/>
      <c r="Z1704" s="5"/>
      <c r="AA1704" s="4"/>
      <c r="AB1704" s="4"/>
      <c r="AC1704" s="4"/>
      <c r="AD1704" s="5"/>
      <c r="AE1704" s="5"/>
      <c r="AF1704" s="5"/>
      <c r="AG1704" s="5"/>
      <c r="AH1704" s="5"/>
      <c r="AI1704" s="5"/>
      <c r="AJ1704" s="5"/>
      <c r="AK1704" s="5"/>
      <c r="AL1704" s="5"/>
    </row>
    <row r="1705">
      <c r="A1705" s="4" t="str">
        <f>VLOOKUP(L1705,payment_ids!C:D,2,FALSE)</f>
        <v>pay_HD4Iwip23F2fgk</v>
      </c>
      <c r="B1705" s="4"/>
      <c r="C1705" s="4" t="s">
        <v>5114</v>
      </c>
      <c r="D1705" s="4">
        <v>49813.0</v>
      </c>
      <c r="E1705" s="4"/>
      <c r="F1705" s="4">
        <v>6.0</v>
      </c>
      <c r="G1705" s="4">
        <v>799.0</v>
      </c>
      <c r="H1705" s="4"/>
      <c r="I1705" s="4">
        <v>799.0</v>
      </c>
      <c r="J1705" s="4" t="s">
        <v>5141</v>
      </c>
      <c r="K1705" s="6">
        <f>+919900429246</f>
        <v>919900429246</v>
      </c>
      <c r="L1705" s="4" t="str">
        <f t="shared" si="1"/>
        <v>gleneysaldhana@gmail.com919900429246</v>
      </c>
      <c r="M1705" s="10" t="s">
        <v>67</v>
      </c>
      <c r="N1705" s="4" t="b">
        <v>0</v>
      </c>
      <c r="O1705" s="4" t="str">
        <f>VLOOKUP(A1705,payment_ids!D:E,2,FALSE)</f>
        <v>upi</v>
      </c>
      <c r="P1705" s="4" t="s">
        <v>69</v>
      </c>
      <c r="Q1705" s="4" t="s">
        <v>5142</v>
      </c>
      <c r="R1705" s="4"/>
      <c r="S1705" s="12" t="s">
        <v>5116</v>
      </c>
      <c r="T1705" s="4"/>
      <c r="U1705" s="4"/>
      <c r="V1705" s="11"/>
      <c r="W1705" s="5"/>
      <c r="X1705" s="11"/>
      <c r="Y1705" s="4"/>
      <c r="Z1705" s="5"/>
      <c r="AA1705" s="4"/>
      <c r="AB1705" s="4"/>
      <c r="AC1705" s="4"/>
      <c r="AD1705" s="5"/>
      <c r="AE1705" s="5"/>
      <c r="AF1705" s="5"/>
      <c r="AG1705" s="5"/>
      <c r="AH1705" s="5"/>
      <c r="AI1705" s="5"/>
      <c r="AJ1705" s="5"/>
      <c r="AK1705" s="5"/>
      <c r="AL1705" s="5"/>
    </row>
    <row r="1706">
      <c r="A1706" s="4" t="str">
        <f>VLOOKUP(L1706,payment_ids!C:D,2,FALSE)</f>
        <v>pay_HDjiA6T6CS8voV</v>
      </c>
      <c r="B1706" s="4"/>
      <c r="C1706" s="4" t="s">
        <v>5114</v>
      </c>
      <c r="D1706" s="4">
        <v>49813.0</v>
      </c>
      <c r="E1706" s="4"/>
      <c r="F1706" s="4">
        <v>1.0</v>
      </c>
      <c r="G1706" s="4">
        <v>299.0</v>
      </c>
      <c r="H1706" s="4"/>
      <c r="I1706" s="4">
        <v>299.0</v>
      </c>
      <c r="J1706" s="4" t="s">
        <v>5143</v>
      </c>
      <c r="K1706" s="6">
        <f>+919945384700</f>
        <v>919945384700</v>
      </c>
      <c r="L1706" s="4" t="str">
        <f t="shared" si="1"/>
        <v>shehnazpowergal@gmail.com919945384700</v>
      </c>
      <c r="M1706" s="10" t="s">
        <v>67</v>
      </c>
      <c r="N1706" s="4" t="b">
        <v>0</v>
      </c>
      <c r="O1706" s="4" t="str">
        <f>VLOOKUP(A1706,payment_ids!D:E,2,FALSE)</f>
        <v>upi</v>
      </c>
      <c r="P1706" s="4" t="s">
        <v>69</v>
      </c>
      <c r="Q1706" s="4" t="s">
        <v>5144</v>
      </c>
      <c r="R1706" s="4"/>
      <c r="S1706" s="12" t="s">
        <v>5116</v>
      </c>
      <c r="T1706" s="4"/>
      <c r="U1706" s="4"/>
      <c r="V1706" s="11"/>
      <c r="W1706" s="5"/>
      <c r="X1706" s="11"/>
      <c r="Y1706" s="4"/>
      <c r="Z1706" s="5"/>
      <c r="AA1706" s="4"/>
      <c r="AB1706" s="4"/>
      <c r="AC1706" s="4"/>
      <c r="AD1706" s="5"/>
      <c r="AE1706" s="5"/>
      <c r="AF1706" s="5"/>
      <c r="AG1706" s="5"/>
      <c r="AH1706" s="5"/>
      <c r="AI1706" s="5"/>
      <c r="AJ1706" s="5"/>
      <c r="AK1706" s="5"/>
      <c r="AL1706" s="5"/>
    </row>
    <row r="1707">
      <c r="A1707" s="4" t="str">
        <f>VLOOKUP(L1707,payment_ids!C:D,2,FALSE)</f>
        <v>pay_HDkOcUASdgkiF5</v>
      </c>
      <c r="B1707" s="4"/>
      <c r="C1707" s="4" t="s">
        <v>5114</v>
      </c>
      <c r="D1707" s="4">
        <v>49813.0</v>
      </c>
      <c r="E1707" s="4"/>
      <c r="F1707" s="4">
        <v>1.0</v>
      </c>
      <c r="G1707" s="4">
        <v>299.0</v>
      </c>
      <c r="H1707" s="4"/>
      <c r="I1707" s="4">
        <v>299.0</v>
      </c>
      <c r="J1707" s="4" t="s">
        <v>5145</v>
      </c>
      <c r="K1707" s="6">
        <f>+919199430164</f>
        <v>919199430164</v>
      </c>
      <c r="L1707" s="4" t="str">
        <f t="shared" si="1"/>
        <v>nbhunjoun@gmail.com919199430164</v>
      </c>
      <c r="M1707" s="10" t="s">
        <v>67</v>
      </c>
      <c r="N1707" s="4" t="b">
        <v>0</v>
      </c>
      <c r="O1707" s="4" t="str">
        <f>VLOOKUP(A1707,payment_ids!D:E,2,FALSE)</f>
        <v>upi</v>
      </c>
      <c r="P1707" s="4" t="s">
        <v>69</v>
      </c>
      <c r="Q1707" s="4" t="s">
        <v>3617</v>
      </c>
      <c r="R1707" s="4"/>
      <c r="S1707" s="12" t="s">
        <v>5116</v>
      </c>
      <c r="T1707" s="4"/>
      <c r="U1707" s="4"/>
      <c r="V1707" s="11"/>
      <c r="W1707" s="5"/>
      <c r="X1707" s="11"/>
      <c r="Y1707" s="4"/>
      <c r="Z1707" s="5"/>
      <c r="AA1707" s="4"/>
      <c r="AB1707" s="4"/>
      <c r="AC1707" s="4"/>
      <c r="AD1707" s="5"/>
      <c r="AE1707" s="5"/>
      <c r="AF1707" s="5"/>
      <c r="AG1707" s="5"/>
      <c r="AH1707" s="5"/>
      <c r="AI1707" s="5"/>
      <c r="AJ1707" s="5"/>
      <c r="AK1707" s="5"/>
      <c r="AL1707" s="5"/>
    </row>
    <row r="1708">
      <c r="A1708" s="4" t="str">
        <f>VLOOKUP(L1708,payment_ids!C:D,2,FALSE)</f>
        <v>pay_HE498i2a0b5u3Q</v>
      </c>
      <c r="B1708" s="4"/>
      <c r="C1708" s="4" t="s">
        <v>5114</v>
      </c>
      <c r="D1708" s="4">
        <v>49813.0</v>
      </c>
      <c r="E1708" s="4"/>
      <c r="F1708" s="4">
        <v>3.0</v>
      </c>
      <c r="G1708" s="4">
        <v>499.0</v>
      </c>
      <c r="H1708" s="4"/>
      <c r="I1708" s="4">
        <v>499.0</v>
      </c>
      <c r="J1708" s="4" t="s">
        <v>5146</v>
      </c>
      <c r="K1708" s="6">
        <f>+919909931363</f>
        <v>919909931363</v>
      </c>
      <c r="L1708" s="4" t="str">
        <f t="shared" si="1"/>
        <v>dee@inkpotters.com919909931363</v>
      </c>
      <c r="M1708" s="10" t="s">
        <v>67</v>
      </c>
      <c r="N1708" s="4" t="b">
        <v>0</v>
      </c>
      <c r="O1708" s="4" t="str">
        <f>VLOOKUP(A1708,payment_ids!D:E,2,FALSE)</f>
        <v>wallet</v>
      </c>
      <c r="P1708" s="4" t="s">
        <v>69</v>
      </c>
      <c r="Q1708" s="4" t="s">
        <v>5147</v>
      </c>
      <c r="R1708" s="4"/>
      <c r="S1708" s="12" t="s">
        <v>5116</v>
      </c>
      <c r="T1708" s="4"/>
      <c r="U1708" s="4"/>
      <c r="V1708" s="11"/>
      <c r="W1708" s="5"/>
      <c r="X1708" s="11"/>
      <c r="Y1708" s="4"/>
      <c r="Z1708" s="5"/>
      <c r="AA1708" s="4"/>
      <c r="AB1708" s="4"/>
      <c r="AC1708" s="4"/>
      <c r="AD1708" s="5"/>
      <c r="AE1708" s="5"/>
      <c r="AF1708" s="5"/>
      <c r="AG1708" s="5"/>
      <c r="AH1708" s="5"/>
      <c r="AI1708" s="5"/>
      <c r="AJ1708" s="5"/>
      <c r="AK1708" s="5"/>
      <c r="AL1708" s="5"/>
    </row>
    <row r="1709">
      <c r="A1709" s="4" t="str">
        <f>VLOOKUP(L1709,payment_ids!C:D,2,FALSE)</f>
        <v>pay_HEH4xUldIjJn4d</v>
      </c>
      <c r="B1709" s="4"/>
      <c r="C1709" s="4" t="s">
        <v>5114</v>
      </c>
      <c r="D1709" s="4">
        <v>49813.0</v>
      </c>
      <c r="E1709" s="4"/>
      <c r="F1709" s="4">
        <v>1.0</v>
      </c>
      <c r="G1709" s="4">
        <v>299.0</v>
      </c>
      <c r="H1709" s="4"/>
      <c r="I1709" s="4">
        <v>299.0</v>
      </c>
      <c r="J1709" s="4" t="s">
        <v>5148</v>
      </c>
      <c r="K1709" s="6">
        <f>+919971687735</f>
        <v>919971687735</v>
      </c>
      <c r="L1709" s="4" t="str">
        <f t="shared" si="1"/>
        <v>littlemistersmommy@gmail.com919971687735</v>
      </c>
      <c r="M1709" s="10" t="s">
        <v>67</v>
      </c>
      <c r="N1709" s="4" t="b">
        <v>0</v>
      </c>
      <c r="O1709" s="4" t="str">
        <f>VLOOKUP(A1709,payment_ids!D:E,2,FALSE)</f>
        <v>upi</v>
      </c>
      <c r="P1709" s="4" t="s">
        <v>69</v>
      </c>
      <c r="Q1709" s="4" t="s">
        <v>5149</v>
      </c>
      <c r="R1709" s="4"/>
      <c r="S1709" s="12" t="s">
        <v>5116</v>
      </c>
      <c r="T1709" s="4"/>
      <c r="U1709" s="4"/>
      <c r="V1709" s="11"/>
      <c r="W1709" s="5"/>
      <c r="X1709" s="11"/>
      <c r="Y1709" s="4"/>
      <c r="Z1709" s="5"/>
      <c r="AA1709" s="4"/>
      <c r="AB1709" s="4"/>
      <c r="AC1709" s="4"/>
      <c r="AD1709" s="5"/>
      <c r="AE1709" s="5"/>
      <c r="AF1709" s="5"/>
      <c r="AG1709" s="5"/>
      <c r="AH1709" s="5"/>
      <c r="AI1709" s="5"/>
      <c r="AJ1709" s="5"/>
      <c r="AK1709" s="5"/>
      <c r="AL1709" s="5"/>
    </row>
    <row r="1710">
      <c r="A1710" s="4" t="str">
        <f>VLOOKUP(L1710,payment_ids!C:D,2,FALSE)</f>
        <v>pay_HEJUxB7EiytYb0</v>
      </c>
      <c r="B1710" s="4"/>
      <c r="C1710" s="4" t="s">
        <v>5114</v>
      </c>
      <c r="D1710" s="4">
        <v>49813.0</v>
      </c>
      <c r="E1710" s="4"/>
      <c r="F1710" s="4">
        <v>1.0</v>
      </c>
      <c r="G1710" s="4">
        <v>299.0</v>
      </c>
      <c r="H1710" s="4"/>
      <c r="I1710" s="4">
        <v>299.0</v>
      </c>
      <c r="J1710" s="4" t="s">
        <v>5150</v>
      </c>
      <c r="K1710" s="6">
        <f>+919540734173</f>
        <v>919540734173</v>
      </c>
      <c r="L1710" s="4" t="str">
        <f t="shared" si="1"/>
        <v>mini24.singh@gmail.com919540734173</v>
      </c>
      <c r="M1710" s="10" t="s">
        <v>67</v>
      </c>
      <c r="N1710" s="4" t="b">
        <v>0</v>
      </c>
      <c r="O1710" s="4" t="str">
        <f>VLOOKUP(A1710,payment_ids!D:E,2,FALSE)</f>
        <v>upi</v>
      </c>
      <c r="P1710" s="4" t="s">
        <v>69</v>
      </c>
      <c r="Q1710" s="4" t="s">
        <v>5151</v>
      </c>
      <c r="R1710" s="4"/>
      <c r="S1710" s="12" t="s">
        <v>5116</v>
      </c>
      <c r="T1710" s="4"/>
      <c r="U1710" s="4"/>
      <c r="V1710" s="11"/>
      <c r="W1710" s="5"/>
      <c r="X1710" s="11"/>
      <c r="Y1710" s="4"/>
      <c r="Z1710" s="5"/>
      <c r="AA1710" s="4"/>
      <c r="AB1710" s="4"/>
      <c r="AC1710" s="4"/>
      <c r="AD1710" s="5"/>
      <c r="AE1710" s="5"/>
      <c r="AF1710" s="5"/>
      <c r="AG1710" s="5"/>
      <c r="AH1710" s="5"/>
      <c r="AI1710" s="5"/>
      <c r="AJ1710" s="5"/>
      <c r="AK1710" s="5"/>
      <c r="AL1710" s="5"/>
    </row>
    <row r="1711">
      <c r="A1711" s="4" t="str">
        <f>VLOOKUP(L1711,payment_ids!C:D,2,FALSE)</f>
        <v>pay_HENCGQ8UzMwU6c</v>
      </c>
      <c r="B1711" s="4"/>
      <c r="C1711" s="4" t="s">
        <v>5114</v>
      </c>
      <c r="D1711" s="4">
        <v>49813.0</v>
      </c>
      <c r="E1711" s="4"/>
      <c r="F1711" s="4">
        <v>1.0</v>
      </c>
      <c r="G1711" s="4">
        <v>299.0</v>
      </c>
      <c r="H1711" s="4"/>
      <c r="I1711" s="4">
        <v>299.0</v>
      </c>
      <c r="J1711" s="4" t="s">
        <v>5152</v>
      </c>
      <c r="K1711" s="6">
        <f>+918400000088</f>
        <v>918400000088</v>
      </c>
      <c r="L1711" s="4" t="str">
        <f t="shared" si="1"/>
        <v>petalyash@gmail.com918400000088</v>
      </c>
      <c r="M1711" s="10" t="s">
        <v>67</v>
      </c>
      <c r="N1711" s="4" t="b">
        <v>0</v>
      </c>
      <c r="O1711" s="4" t="str">
        <f>VLOOKUP(A1711,payment_ids!D:E,2,FALSE)</f>
        <v>upi</v>
      </c>
      <c r="P1711" s="4" t="s">
        <v>69</v>
      </c>
      <c r="Q1711" s="4" t="s">
        <v>5153</v>
      </c>
      <c r="R1711" s="4"/>
      <c r="S1711" s="12" t="s">
        <v>5116</v>
      </c>
      <c r="T1711" s="4"/>
      <c r="U1711" s="4"/>
      <c r="V1711" s="11"/>
      <c r="W1711" s="5"/>
      <c r="X1711" s="11"/>
      <c r="Y1711" s="4"/>
      <c r="Z1711" s="5"/>
      <c r="AA1711" s="4"/>
      <c r="AB1711" s="4"/>
      <c r="AC1711" s="4"/>
      <c r="AD1711" s="5"/>
      <c r="AE1711" s="5"/>
      <c r="AF1711" s="5"/>
      <c r="AG1711" s="5"/>
      <c r="AH1711" s="5"/>
      <c r="AI1711" s="5"/>
      <c r="AJ1711" s="5"/>
      <c r="AK1711" s="5"/>
      <c r="AL1711" s="5"/>
    </row>
    <row r="1712">
      <c r="A1712" s="4" t="str">
        <f>VLOOKUP(L1712,payment_ids!C:D,2,FALSE)</f>
        <v>pay_HDoZqGrIT7LGSR</v>
      </c>
      <c r="B1712" s="4"/>
      <c r="C1712" s="4" t="s">
        <v>5114</v>
      </c>
      <c r="D1712" s="4">
        <v>49813.0</v>
      </c>
      <c r="E1712" s="4"/>
      <c r="F1712" s="4">
        <v>1.0</v>
      </c>
      <c r="G1712" s="4">
        <v>299.0</v>
      </c>
      <c r="H1712" s="4"/>
      <c r="I1712" s="4">
        <v>299.0</v>
      </c>
      <c r="J1712" s="4" t="s">
        <v>5154</v>
      </c>
      <c r="K1712" s="6">
        <f>+919810678181</f>
        <v>919810678181</v>
      </c>
      <c r="L1712" s="4" t="str">
        <f t="shared" si="1"/>
        <v>sonam.nagpal12@gmail.com919810678181</v>
      </c>
      <c r="M1712" s="10" t="s">
        <v>67</v>
      </c>
      <c r="N1712" s="4" t="b">
        <v>0</v>
      </c>
      <c r="O1712" s="4" t="str">
        <f>VLOOKUP(A1712,payment_ids!D:E,2,FALSE)</f>
        <v>card</v>
      </c>
      <c r="P1712" s="4" t="s">
        <v>69</v>
      </c>
      <c r="Q1712" s="4" t="s">
        <v>5155</v>
      </c>
      <c r="R1712" s="4"/>
      <c r="S1712" s="12" t="s">
        <v>5116</v>
      </c>
      <c r="T1712" s="4"/>
      <c r="U1712" s="4"/>
      <c r="V1712" s="11"/>
      <c r="W1712" s="5"/>
      <c r="X1712" s="11"/>
      <c r="Y1712" s="4"/>
      <c r="Z1712" s="5"/>
      <c r="AA1712" s="4"/>
      <c r="AB1712" s="4"/>
      <c r="AC1712" s="4"/>
      <c r="AD1712" s="5"/>
      <c r="AE1712" s="5"/>
      <c r="AF1712" s="5"/>
      <c r="AG1712" s="5"/>
      <c r="AH1712" s="5"/>
      <c r="AI1712" s="5"/>
      <c r="AJ1712" s="5"/>
      <c r="AK1712" s="5"/>
      <c r="AL1712" s="5"/>
    </row>
    <row r="1713">
      <c r="A1713" s="4" t="str">
        <f>VLOOKUP(L1713,payment_ids!C:D,2,FALSE)</f>
        <v>pay_HEtmECvTZyVq40</v>
      </c>
      <c r="B1713" s="4"/>
      <c r="C1713" s="4" t="s">
        <v>5114</v>
      </c>
      <c r="D1713" s="4">
        <v>49813.0</v>
      </c>
      <c r="E1713" s="4"/>
      <c r="F1713" s="4">
        <v>1.0</v>
      </c>
      <c r="G1713" s="4">
        <v>299.0</v>
      </c>
      <c r="H1713" s="4"/>
      <c r="I1713" s="4">
        <v>299.0</v>
      </c>
      <c r="J1713" s="4" t="s">
        <v>5156</v>
      </c>
      <c r="K1713" s="6">
        <f>+919582020111</f>
        <v>919582020111</v>
      </c>
      <c r="L1713" s="4" t="str">
        <f t="shared" si="1"/>
        <v>himanirathour2430@gmail.com919582020111</v>
      </c>
      <c r="M1713" s="10" t="s">
        <v>67</v>
      </c>
      <c r="N1713" s="4" t="b">
        <v>0</v>
      </c>
      <c r="O1713" s="4" t="str">
        <f>VLOOKUP(A1713,payment_ids!D:E,2,FALSE)</f>
        <v>card</v>
      </c>
      <c r="P1713" s="4" t="s">
        <v>69</v>
      </c>
      <c r="Q1713" s="4" t="s">
        <v>5157</v>
      </c>
      <c r="R1713" s="4"/>
      <c r="S1713" s="12" t="s">
        <v>5116</v>
      </c>
      <c r="T1713" s="4"/>
      <c r="U1713" s="4"/>
      <c r="V1713" s="11"/>
      <c r="W1713" s="5"/>
      <c r="X1713" s="11"/>
      <c r="Y1713" s="4"/>
      <c r="Z1713" s="5"/>
      <c r="AA1713" s="4"/>
      <c r="AB1713" s="4"/>
      <c r="AC1713" s="4"/>
      <c r="AD1713" s="5"/>
      <c r="AE1713" s="5"/>
      <c r="AF1713" s="5"/>
      <c r="AG1713" s="5"/>
      <c r="AH1713" s="5"/>
      <c r="AI1713" s="5"/>
      <c r="AJ1713" s="5"/>
      <c r="AK1713" s="5"/>
      <c r="AL1713" s="5"/>
    </row>
    <row r="1714">
      <c r="A1714" s="4" t="str">
        <f>VLOOKUP(L1714,payment_ids!C:D,2,FALSE)</f>
        <v>pay_HHMNUv39AcbCRR</v>
      </c>
      <c r="B1714" s="4"/>
      <c r="C1714" s="4" t="s">
        <v>5114</v>
      </c>
      <c r="D1714" s="4">
        <v>49813.0</v>
      </c>
      <c r="E1714" s="5"/>
      <c r="F1714" s="4">
        <v>1.0</v>
      </c>
      <c r="G1714" s="4">
        <v>299.0</v>
      </c>
      <c r="H1714" s="4"/>
      <c r="I1714" s="4">
        <v>299.0</v>
      </c>
      <c r="J1714" s="4" t="s">
        <v>5158</v>
      </c>
      <c r="K1714" s="5">
        <f>+919820931913</f>
        <v>919820931913</v>
      </c>
      <c r="L1714" s="4" t="str">
        <f t="shared" si="1"/>
        <v>curiousmindseduventure@gmail.com919820931913</v>
      </c>
      <c r="M1714" s="10" t="s">
        <v>67</v>
      </c>
      <c r="N1714" s="4" t="b">
        <v>0</v>
      </c>
      <c r="O1714" s="4" t="str">
        <f>VLOOKUP(A1714,payment_ids!D:E,2,FALSE)</f>
        <v>upi</v>
      </c>
      <c r="P1714" s="4" t="s">
        <v>69</v>
      </c>
      <c r="Q1714" s="4" t="s">
        <v>5159</v>
      </c>
      <c r="R1714" s="4"/>
      <c r="S1714" s="12" t="s">
        <v>5116</v>
      </c>
      <c r="T1714" s="5"/>
      <c r="U1714" s="4"/>
      <c r="V1714" s="11"/>
      <c r="W1714" s="5"/>
      <c r="X1714" s="11"/>
      <c r="Y1714" s="4"/>
      <c r="Z1714" s="5"/>
      <c r="AA1714" s="4"/>
      <c r="AB1714" s="4"/>
      <c r="AC1714" s="4"/>
      <c r="AD1714" s="5"/>
      <c r="AE1714" s="5"/>
      <c r="AF1714" s="5"/>
      <c r="AG1714" s="5"/>
      <c r="AH1714" s="5"/>
      <c r="AI1714" s="5"/>
      <c r="AJ1714" s="5"/>
      <c r="AK1714" s="5"/>
      <c r="AL1714" s="5"/>
    </row>
    <row r="1715">
      <c r="A1715" s="4" t="str">
        <f>VLOOKUP(L1715,payment_ids!C:D,2,FALSE)</f>
        <v>pay_HIAIawyc1Rqcpx</v>
      </c>
      <c r="B1715" s="4"/>
      <c r="C1715" s="4" t="s">
        <v>5114</v>
      </c>
      <c r="D1715" s="4">
        <v>49813.0</v>
      </c>
      <c r="E1715" s="5"/>
      <c r="F1715" s="4">
        <v>1.0</v>
      </c>
      <c r="G1715" s="4">
        <v>299.0</v>
      </c>
      <c r="H1715" s="4"/>
      <c r="I1715" s="4">
        <v>299.0</v>
      </c>
      <c r="J1715" s="4" t="s">
        <v>5160</v>
      </c>
      <c r="K1715" s="5">
        <f>+918668022259</f>
        <v>918668022259</v>
      </c>
      <c r="L1715" s="4" t="str">
        <f t="shared" si="1"/>
        <v>ranjaniflutter@gmail.com918668022259</v>
      </c>
      <c r="M1715" s="10" t="s">
        <v>67</v>
      </c>
      <c r="N1715" s="4" t="b">
        <v>0</v>
      </c>
      <c r="O1715" s="4" t="str">
        <f>VLOOKUP(A1715,payment_ids!D:E,2,FALSE)</f>
        <v>upi</v>
      </c>
      <c r="P1715" s="4" t="s">
        <v>69</v>
      </c>
      <c r="Q1715" s="11">
        <v>44233.68402777778</v>
      </c>
      <c r="R1715" s="4"/>
      <c r="S1715" s="12" t="s">
        <v>5116</v>
      </c>
      <c r="T1715" s="5"/>
      <c r="U1715" s="4"/>
      <c r="V1715" s="11"/>
      <c r="W1715" s="5"/>
      <c r="X1715" s="11"/>
      <c r="Y1715" s="4"/>
      <c r="Z1715" s="5"/>
      <c r="AA1715" s="4"/>
      <c r="AB1715" s="4"/>
      <c r="AC1715" s="4"/>
      <c r="AD1715" s="5"/>
      <c r="AE1715" s="5"/>
      <c r="AF1715" s="5"/>
      <c r="AG1715" s="5"/>
      <c r="AH1715" s="5"/>
      <c r="AI1715" s="5"/>
      <c r="AJ1715" s="5"/>
      <c r="AK1715" s="5"/>
      <c r="AL1715" s="5"/>
    </row>
    <row r="1716">
      <c r="A1716" s="4" t="str">
        <f>VLOOKUP(L1716,payment_ids!C:D,2,FALSE)</f>
        <v>pay_HIWFpdOQjtWfHp</v>
      </c>
      <c r="B1716" s="4"/>
      <c r="C1716" s="4" t="s">
        <v>5114</v>
      </c>
      <c r="D1716" s="4">
        <v>49813.0</v>
      </c>
      <c r="E1716" s="5"/>
      <c r="F1716" s="4">
        <v>1.0</v>
      </c>
      <c r="G1716" s="4">
        <v>299.0</v>
      </c>
      <c r="H1716" s="4"/>
      <c r="I1716" s="4">
        <v>299.0</v>
      </c>
      <c r="J1716" s="4" t="s">
        <v>5161</v>
      </c>
      <c r="K1716" s="5">
        <f>+918377877536</f>
        <v>918377877536</v>
      </c>
      <c r="L1716" s="4" t="str">
        <f t="shared" si="1"/>
        <v>oakgroves.drbs@gmail.com918377877536</v>
      </c>
      <c r="M1716" s="10" t="s">
        <v>67</v>
      </c>
      <c r="N1716" s="4" t="b">
        <v>0</v>
      </c>
      <c r="O1716" s="4" t="str">
        <f>VLOOKUP(A1716,payment_ids!D:E,2,FALSE)</f>
        <v>upi</v>
      </c>
      <c r="P1716" s="4" t="s">
        <v>69</v>
      </c>
      <c r="Q1716" s="11">
        <v>44261.57847222222</v>
      </c>
      <c r="R1716" s="4"/>
      <c r="S1716" s="12" t="s">
        <v>5162</v>
      </c>
      <c r="T1716" s="5"/>
      <c r="U1716" s="4"/>
      <c r="V1716" s="11"/>
      <c r="W1716" s="5"/>
      <c r="X1716" s="11"/>
      <c r="Y1716" s="4"/>
      <c r="Z1716" s="5"/>
      <c r="AA1716" s="4"/>
      <c r="AB1716" s="4"/>
      <c r="AC1716" s="4"/>
      <c r="AD1716" s="5"/>
      <c r="AE1716" s="5"/>
      <c r="AF1716" s="5"/>
      <c r="AG1716" s="5"/>
      <c r="AH1716" s="5"/>
      <c r="AI1716" s="5"/>
      <c r="AJ1716" s="5"/>
      <c r="AK1716" s="5"/>
      <c r="AL1716" s="5"/>
    </row>
    <row r="1717">
      <c r="A1717" s="4" t="str">
        <f>VLOOKUP(L1717,payment_ids!C:D,2,FALSE)</f>
        <v>pay_HJOG3MGJiAYddn</v>
      </c>
      <c r="B1717" s="4"/>
      <c r="C1717" s="4" t="s">
        <v>5114</v>
      </c>
      <c r="D1717" s="4">
        <v>49813.0</v>
      </c>
      <c r="E1717" s="5"/>
      <c r="F1717" s="4">
        <v>1.0</v>
      </c>
      <c r="G1717" s="4">
        <v>299.0</v>
      </c>
      <c r="H1717" s="4"/>
      <c r="I1717" s="4">
        <v>299.0</v>
      </c>
      <c r="J1717" s="4" t="s">
        <v>5163</v>
      </c>
      <c r="K1717" s="5">
        <f>+919696432060</f>
        <v>919696432060</v>
      </c>
      <c r="L1717" s="4" t="str">
        <f t="shared" si="1"/>
        <v>rumanashamim8@gmail.com919696432060</v>
      </c>
      <c r="M1717" s="10" t="s">
        <v>67</v>
      </c>
      <c r="N1717" s="4" t="b">
        <v>0</v>
      </c>
      <c r="O1717" s="4" t="str">
        <f>VLOOKUP(A1717,payment_ids!D:E,2,FALSE)</f>
        <v>upi</v>
      </c>
      <c r="P1717" s="4" t="s">
        <v>69</v>
      </c>
      <c r="Q1717" s="11">
        <v>44322.78125</v>
      </c>
      <c r="R1717" s="4"/>
      <c r="S1717" s="12" t="s">
        <v>5162</v>
      </c>
      <c r="T1717" s="5"/>
      <c r="U1717" s="4"/>
      <c r="V1717" s="11"/>
      <c r="W1717" s="5"/>
      <c r="X1717" s="11"/>
      <c r="Y1717" s="4"/>
      <c r="Z1717" s="5"/>
      <c r="AA1717" s="4"/>
      <c r="AB1717" s="4"/>
      <c r="AC1717" s="4"/>
      <c r="AD1717" s="5"/>
      <c r="AE1717" s="5"/>
      <c r="AF1717" s="5"/>
      <c r="AG1717" s="5"/>
      <c r="AH1717" s="5"/>
      <c r="AI1717" s="5"/>
      <c r="AJ1717" s="5"/>
      <c r="AK1717" s="5"/>
      <c r="AL1717" s="5"/>
    </row>
    <row r="1718">
      <c r="A1718" s="4" t="str">
        <f>VLOOKUP(L1718,payment_ids!C:D,2,FALSE)</f>
        <v>pay_HJhig8wOld7St1</v>
      </c>
      <c r="B1718" s="4"/>
      <c r="C1718" s="4" t="s">
        <v>5114</v>
      </c>
      <c r="D1718" s="4">
        <v>49813.0</v>
      </c>
      <c r="E1718" s="5"/>
      <c r="F1718" s="4">
        <v>3.0</v>
      </c>
      <c r="G1718" s="4">
        <v>499.0</v>
      </c>
      <c r="H1718" s="4"/>
      <c r="I1718" s="4">
        <v>499.0</v>
      </c>
      <c r="J1718" s="4" t="s">
        <v>5164</v>
      </c>
      <c r="K1718" s="5">
        <f>+919920441108</f>
        <v>919920441108</v>
      </c>
      <c r="L1718" s="4" t="str">
        <f t="shared" si="1"/>
        <v>richa.haware@gmail.com919920441108</v>
      </c>
      <c r="M1718" s="10" t="s">
        <v>67</v>
      </c>
      <c r="N1718" s="4" t="b">
        <v>0</v>
      </c>
      <c r="O1718" s="4" t="str">
        <f>VLOOKUP(A1718,payment_ids!D:E,2,FALSE)</f>
        <v>upi</v>
      </c>
      <c r="P1718" s="4" t="s">
        <v>69</v>
      </c>
      <c r="Q1718" s="11">
        <v>44353.572916666664</v>
      </c>
      <c r="R1718" s="4"/>
      <c r="S1718" s="12" t="s">
        <v>5116</v>
      </c>
      <c r="T1718" s="5"/>
      <c r="U1718" s="4"/>
      <c r="V1718" s="11"/>
      <c r="W1718" s="5"/>
      <c r="X1718" s="11"/>
      <c r="Y1718" s="4"/>
      <c r="Z1718" s="5"/>
      <c r="AA1718" s="4"/>
      <c r="AB1718" s="4"/>
      <c r="AC1718" s="4"/>
      <c r="AD1718" s="5"/>
      <c r="AE1718" s="5"/>
      <c r="AF1718" s="5"/>
      <c r="AG1718" s="5"/>
      <c r="AH1718" s="5"/>
      <c r="AI1718" s="5"/>
      <c r="AJ1718" s="5"/>
      <c r="AK1718" s="5"/>
      <c r="AL1718" s="5"/>
    </row>
    <row r="1719">
      <c r="A1719" s="4" t="str">
        <f>VLOOKUP(L1719,payment_ids!C:D,2,FALSE)</f>
        <v>pay_HDqKIzrqiJygxA</v>
      </c>
      <c r="B1719" s="4"/>
      <c r="C1719" s="4" t="s">
        <v>5114</v>
      </c>
      <c r="D1719" s="4">
        <v>49813.0</v>
      </c>
      <c r="E1719" s="5"/>
      <c r="F1719" s="4">
        <v>6.0</v>
      </c>
      <c r="G1719" s="4">
        <v>799.0</v>
      </c>
      <c r="H1719" s="4"/>
      <c r="I1719" s="4">
        <v>799.0</v>
      </c>
      <c r="J1719" s="4" t="s">
        <v>2639</v>
      </c>
      <c r="K1719" s="5">
        <f>+919871777110</f>
        <v>919871777110</v>
      </c>
      <c r="L1719" s="4" t="str">
        <f t="shared" si="1"/>
        <v>varna.sr@gmail.com919871777110</v>
      </c>
      <c r="M1719" s="10" t="s">
        <v>67</v>
      </c>
      <c r="N1719" s="4" t="b">
        <v>0</v>
      </c>
      <c r="O1719" s="4" t="str">
        <f>VLOOKUP(A1719,payment_ids!D:E,2,FALSE)</f>
        <v>upi</v>
      </c>
      <c r="P1719" s="4" t="s">
        <v>69</v>
      </c>
      <c r="Q1719" s="11">
        <v>44353.64791666667</v>
      </c>
      <c r="R1719" s="4"/>
      <c r="S1719" s="12" t="s">
        <v>5116</v>
      </c>
      <c r="T1719" s="5"/>
      <c r="U1719" s="4"/>
      <c r="V1719" s="11"/>
      <c r="W1719" s="5"/>
      <c r="X1719" s="11"/>
      <c r="Y1719" s="4"/>
      <c r="Z1719" s="5"/>
      <c r="AA1719" s="4"/>
      <c r="AB1719" s="4"/>
      <c r="AC1719" s="4"/>
      <c r="AD1719" s="5"/>
      <c r="AE1719" s="5"/>
      <c r="AF1719" s="5"/>
      <c r="AG1719" s="5"/>
      <c r="AH1719" s="5"/>
      <c r="AI1719" s="5"/>
      <c r="AJ1719" s="5"/>
      <c r="AK1719" s="5"/>
      <c r="AL1719" s="5"/>
    </row>
    <row r="1720">
      <c r="A1720" s="4" t="str">
        <f>VLOOKUP(L1720,payment_ids!C:D,2,FALSE)</f>
        <v>pay_HJmfbFSX1MPsrm</v>
      </c>
      <c r="B1720" s="4"/>
      <c r="C1720" s="4" t="s">
        <v>5114</v>
      </c>
      <c r="D1720" s="4">
        <v>49813.0</v>
      </c>
      <c r="E1720" s="5"/>
      <c r="F1720" s="4">
        <v>1.0</v>
      </c>
      <c r="G1720" s="4">
        <v>299.0</v>
      </c>
      <c r="H1720" s="4"/>
      <c r="I1720" s="4">
        <v>299.0</v>
      </c>
      <c r="J1720" s="4" t="s">
        <v>5165</v>
      </c>
      <c r="K1720" s="5">
        <f>+919172373901</f>
        <v>919172373901</v>
      </c>
      <c r="L1720" s="4" t="str">
        <f t="shared" si="1"/>
        <v>metraveller89@gmail.com919172373901</v>
      </c>
      <c r="M1720" s="10" t="s">
        <v>67</v>
      </c>
      <c r="N1720" s="4" t="b">
        <v>0</v>
      </c>
      <c r="O1720" s="4" t="str">
        <f>VLOOKUP(A1720,payment_ids!D:E,2,FALSE)</f>
        <v>card</v>
      </c>
      <c r="P1720" s="4" t="s">
        <v>69</v>
      </c>
      <c r="Q1720" s="11">
        <v>44353.775</v>
      </c>
      <c r="R1720" s="4"/>
      <c r="S1720" s="12" t="s">
        <v>5162</v>
      </c>
      <c r="T1720" s="5"/>
      <c r="U1720" s="4"/>
      <c r="V1720" s="11"/>
      <c r="W1720" s="5"/>
      <c r="X1720" s="11"/>
      <c r="Y1720" s="4"/>
      <c r="Z1720" s="5"/>
      <c r="AA1720" s="4"/>
      <c r="AB1720" s="4"/>
      <c r="AC1720" s="4"/>
      <c r="AD1720" s="5"/>
      <c r="AE1720" s="5"/>
      <c r="AF1720" s="5"/>
      <c r="AG1720" s="5"/>
      <c r="AH1720" s="5"/>
      <c r="AI1720" s="5"/>
      <c r="AJ1720" s="5"/>
      <c r="AK1720" s="5"/>
      <c r="AL1720" s="5"/>
    </row>
    <row r="1721">
      <c r="A1721" s="4" t="str">
        <f>VLOOKUP(L1721,payment_ids!C:D,2,FALSE)</f>
        <v>pay_HKApseeN0q1FQd</v>
      </c>
      <c r="B1721" s="4"/>
      <c r="C1721" s="4" t="s">
        <v>5114</v>
      </c>
      <c r="D1721" s="4">
        <v>49813.0</v>
      </c>
      <c r="E1721" s="5"/>
      <c r="F1721" s="4">
        <v>1.0</v>
      </c>
      <c r="G1721" s="4">
        <v>299.0</v>
      </c>
      <c r="H1721" s="4"/>
      <c r="I1721" s="4">
        <v>299.0</v>
      </c>
      <c r="J1721" s="4" t="s">
        <v>5166</v>
      </c>
      <c r="K1721" s="5">
        <f>+919654510710</f>
        <v>919654510710</v>
      </c>
      <c r="L1721" s="4" t="str">
        <f t="shared" si="1"/>
        <v>sicher.vani@gmail.com919654510710</v>
      </c>
      <c r="M1721" s="10" t="s">
        <v>67</v>
      </c>
      <c r="N1721" s="4" t="b">
        <v>0</v>
      </c>
      <c r="O1721" s="4" t="str">
        <f>VLOOKUP(A1721,payment_ids!D:E,2,FALSE)</f>
        <v>upi</v>
      </c>
      <c r="P1721" s="4" t="s">
        <v>69</v>
      </c>
      <c r="Q1721" s="11">
        <v>44383.78611111111</v>
      </c>
      <c r="R1721" s="4"/>
      <c r="S1721" s="12" t="s">
        <v>5116</v>
      </c>
      <c r="T1721" s="5"/>
      <c r="U1721" s="4"/>
      <c r="V1721" s="11"/>
      <c r="W1721" s="5"/>
      <c r="X1721" s="11"/>
      <c r="Y1721" s="4"/>
      <c r="Z1721" s="5"/>
      <c r="AA1721" s="4"/>
      <c r="AB1721" s="4"/>
      <c r="AC1721" s="4"/>
      <c r="AD1721" s="5"/>
      <c r="AE1721" s="5"/>
      <c r="AF1721" s="5"/>
      <c r="AG1721" s="5"/>
      <c r="AH1721" s="5"/>
      <c r="AI1721" s="5"/>
      <c r="AJ1721" s="5"/>
      <c r="AK1721" s="5"/>
      <c r="AL1721" s="5"/>
    </row>
    <row r="1722">
      <c r="A1722" s="4" t="str">
        <f>VLOOKUP(L1722,payment_ids!C:D,2,FALSE)</f>
        <v>pay_HKnLepflpmoDVB</v>
      </c>
      <c r="B1722" s="4"/>
      <c r="C1722" s="4" t="s">
        <v>5114</v>
      </c>
      <c r="D1722" s="4">
        <v>49813.0</v>
      </c>
      <c r="E1722" s="5"/>
      <c r="F1722" s="4">
        <v>1.0</v>
      </c>
      <c r="G1722" s="4">
        <v>299.0</v>
      </c>
      <c r="H1722" s="4"/>
      <c r="I1722" s="4">
        <v>299.0</v>
      </c>
      <c r="J1722" s="4" t="s">
        <v>5167</v>
      </c>
      <c r="K1722" s="5">
        <f>+917093045014</f>
        <v>917093045014</v>
      </c>
      <c r="L1722" s="4" t="str">
        <f t="shared" si="1"/>
        <v>sowmyagaikwad25@gmail.com917093045014</v>
      </c>
      <c r="M1722" s="10" t="s">
        <v>67</v>
      </c>
      <c r="N1722" s="4" t="b">
        <v>0</v>
      </c>
      <c r="O1722" s="4" t="str">
        <f>VLOOKUP(A1722,payment_ids!D:E,2,FALSE)</f>
        <v>upi</v>
      </c>
      <c r="P1722" s="4" t="s">
        <v>69</v>
      </c>
      <c r="Q1722" s="11">
        <v>44445.33194444444</v>
      </c>
      <c r="R1722" s="4"/>
      <c r="S1722" s="12" t="s">
        <v>5116</v>
      </c>
      <c r="T1722" s="4" t="s">
        <v>2444</v>
      </c>
      <c r="U1722" s="4"/>
      <c r="V1722" s="11"/>
      <c r="W1722" s="5"/>
      <c r="X1722" s="11"/>
      <c r="Y1722" s="4"/>
      <c r="Z1722" s="5"/>
      <c r="AA1722" s="4"/>
      <c r="AB1722" s="4"/>
      <c r="AC1722" s="4"/>
      <c r="AD1722" s="5"/>
      <c r="AE1722" s="5"/>
      <c r="AF1722" s="5"/>
      <c r="AG1722" s="5"/>
      <c r="AH1722" s="5"/>
      <c r="AI1722" s="5"/>
      <c r="AJ1722" s="5"/>
      <c r="AK1722" s="5"/>
      <c r="AL1722" s="5"/>
    </row>
    <row r="1723">
      <c r="A1723" s="4" t="str">
        <f>VLOOKUP(L1723,payment_ids!C:D,2,FALSE)</f>
        <v>pay_H94GAeo2tdbs0V</v>
      </c>
      <c r="B1723" s="4"/>
      <c r="C1723" s="4" t="s">
        <v>5114</v>
      </c>
      <c r="D1723" s="4">
        <v>49813.0</v>
      </c>
      <c r="E1723" s="5"/>
      <c r="F1723" s="4">
        <v>3.0</v>
      </c>
      <c r="G1723" s="4">
        <v>499.0</v>
      </c>
      <c r="H1723" s="4"/>
      <c r="I1723" s="4">
        <v>499.0</v>
      </c>
      <c r="J1723" s="4" t="s">
        <v>5125</v>
      </c>
      <c r="K1723" s="5">
        <f>+919619857736</f>
        <v>919619857736</v>
      </c>
      <c r="L1723" s="4" t="str">
        <f t="shared" si="1"/>
        <v>shefalipoojary@gmail.com919619857736</v>
      </c>
      <c r="M1723" s="10" t="s">
        <v>67</v>
      </c>
      <c r="N1723" s="4" t="b">
        <v>0</v>
      </c>
      <c r="O1723" s="4" t="str">
        <f>VLOOKUP(A1723,payment_ids!D:E,2,FALSE)</f>
        <v>card</v>
      </c>
      <c r="P1723" s="4" t="s">
        <v>69</v>
      </c>
      <c r="Q1723" s="11">
        <v>44445.521527777775</v>
      </c>
      <c r="R1723" s="4"/>
      <c r="S1723" s="12" t="s">
        <v>5116</v>
      </c>
      <c r="T1723" s="4" t="s">
        <v>2444</v>
      </c>
      <c r="U1723" s="4"/>
      <c r="V1723" s="11"/>
      <c r="W1723" s="5"/>
      <c r="X1723" s="11"/>
      <c r="Y1723" s="4"/>
      <c r="Z1723" s="5"/>
      <c r="AA1723" s="4"/>
      <c r="AB1723" s="4"/>
      <c r="AC1723" s="4"/>
      <c r="AD1723" s="5"/>
      <c r="AE1723" s="5"/>
      <c r="AF1723" s="5"/>
      <c r="AG1723" s="5"/>
      <c r="AH1723" s="5"/>
      <c r="AI1723" s="5"/>
      <c r="AJ1723" s="5"/>
      <c r="AK1723" s="5"/>
      <c r="AL1723" s="5"/>
    </row>
    <row r="1724">
      <c r="A1724" s="4" t="str">
        <f>VLOOKUP(L1724,payment_ids!C:D,2,FALSE)</f>
        <v>pay_H7xpCfML9Lu9Wz</v>
      </c>
      <c r="B1724" s="4"/>
      <c r="C1724" s="4" t="s">
        <v>5114</v>
      </c>
      <c r="D1724" s="4">
        <v>49813.0</v>
      </c>
      <c r="E1724" s="5"/>
      <c r="F1724" s="4">
        <v>3.0</v>
      </c>
      <c r="G1724" s="4">
        <v>499.0</v>
      </c>
      <c r="H1724" s="4"/>
      <c r="I1724" s="4">
        <v>499.0</v>
      </c>
      <c r="J1724" s="4" t="s">
        <v>5168</v>
      </c>
      <c r="K1724" s="5">
        <f>+919911380600</f>
        <v>919911380600</v>
      </c>
      <c r="L1724" s="4" t="str">
        <f t="shared" si="1"/>
        <v>tuliruchika89@gmail.com919911380600</v>
      </c>
      <c r="M1724" s="10" t="s">
        <v>67</v>
      </c>
      <c r="N1724" s="4" t="b">
        <v>0</v>
      </c>
      <c r="O1724" s="4" t="str">
        <f>VLOOKUP(A1724,payment_ids!D:E,2,FALSE)</f>
        <v>upi</v>
      </c>
      <c r="P1724" s="4" t="s">
        <v>69</v>
      </c>
      <c r="Q1724" s="11">
        <v>44445.67569444444</v>
      </c>
      <c r="R1724" s="4"/>
      <c r="S1724" s="12" t="s">
        <v>5162</v>
      </c>
      <c r="T1724" s="4" t="s">
        <v>2444</v>
      </c>
      <c r="U1724" s="4"/>
      <c r="V1724" s="11"/>
      <c r="W1724" s="5"/>
      <c r="X1724" s="11"/>
      <c r="Y1724" s="4"/>
      <c r="Z1724" s="5"/>
      <c r="AA1724" s="4"/>
      <c r="AB1724" s="4"/>
      <c r="AC1724" s="4"/>
      <c r="AD1724" s="5"/>
      <c r="AE1724" s="5"/>
      <c r="AF1724" s="5"/>
      <c r="AG1724" s="5"/>
      <c r="AH1724" s="5"/>
      <c r="AI1724" s="5"/>
      <c r="AJ1724" s="5"/>
      <c r="AK1724" s="5"/>
      <c r="AL1724" s="5"/>
    </row>
    <row r="1725">
      <c r="A1725" s="4" t="str">
        <f>VLOOKUP(L1725,payment_ids!C:D,2,FALSE)</f>
        <v>pay_HKvwDS145m1KGc</v>
      </c>
      <c r="B1725" s="4"/>
      <c r="C1725" s="4" t="s">
        <v>5114</v>
      </c>
      <c r="D1725" s="4">
        <v>49813.0</v>
      </c>
      <c r="E1725" s="5"/>
      <c r="F1725" s="4">
        <v>1.0</v>
      </c>
      <c r="G1725" s="4">
        <v>299.0</v>
      </c>
      <c r="H1725" s="4"/>
      <c r="I1725" s="4">
        <v>299.0</v>
      </c>
      <c r="J1725" s="4" t="s">
        <v>5169</v>
      </c>
      <c r="K1725" s="5">
        <f>+919663693796</f>
        <v>919663693796</v>
      </c>
      <c r="L1725" s="4" t="str">
        <f t="shared" si="1"/>
        <v>sakchi.sethi@gmail.com919663693796</v>
      </c>
      <c r="M1725" s="10" t="s">
        <v>67</v>
      </c>
      <c r="N1725" s="4" t="b">
        <v>0</v>
      </c>
      <c r="O1725" s="4" t="str">
        <f>VLOOKUP(A1725,payment_ids!D:E,2,FALSE)</f>
        <v>upi</v>
      </c>
      <c r="P1725" s="4" t="s">
        <v>69</v>
      </c>
      <c r="Q1725" s="11">
        <v>44445.69930555556</v>
      </c>
      <c r="R1725" s="4"/>
      <c r="S1725" s="12" t="s">
        <v>5162</v>
      </c>
      <c r="T1725" s="4" t="s">
        <v>2444</v>
      </c>
      <c r="U1725" s="4"/>
      <c r="V1725" s="11"/>
      <c r="W1725" s="5"/>
      <c r="X1725" s="11"/>
      <c r="Y1725" s="4"/>
      <c r="Z1725" s="5"/>
      <c r="AA1725" s="4"/>
      <c r="AB1725" s="4"/>
      <c r="AC1725" s="4"/>
      <c r="AD1725" s="5"/>
      <c r="AE1725" s="5"/>
      <c r="AF1725" s="5"/>
      <c r="AG1725" s="5"/>
      <c r="AH1725" s="5"/>
      <c r="AI1725" s="5"/>
      <c r="AJ1725" s="5"/>
      <c r="AK1725" s="5"/>
      <c r="AL1725" s="5"/>
    </row>
    <row r="1726">
      <c r="A1726" s="4" t="str">
        <f>VLOOKUP(L1726,payment_ids!C:D,2,FALSE)</f>
        <v>pay_HHWu2VIFIBPhhP</v>
      </c>
      <c r="B1726" s="4"/>
      <c r="C1726" s="4" t="s">
        <v>5114</v>
      </c>
      <c r="D1726" s="4">
        <v>49813.0</v>
      </c>
      <c r="E1726" s="5"/>
      <c r="F1726" s="4">
        <v>6.0</v>
      </c>
      <c r="G1726" s="4">
        <v>799.0</v>
      </c>
      <c r="H1726" s="4"/>
      <c r="I1726" s="4">
        <v>799.0</v>
      </c>
      <c r="J1726" s="4" t="s">
        <v>5170</v>
      </c>
      <c r="K1726" s="5">
        <f>+919811390301</f>
        <v>919811390301</v>
      </c>
      <c r="L1726" s="4" t="str">
        <f t="shared" si="1"/>
        <v>sainijyoti1986@yahoo.com919811390301</v>
      </c>
      <c r="M1726" s="10" t="s">
        <v>67</v>
      </c>
      <c r="N1726" s="4" t="b">
        <v>0</v>
      </c>
      <c r="O1726" s="4" t="str">
        <f>VLOOKUP(A1726,payment_ids!D:E,2,FALSE)</f>
        <v>upi</v>
      </c>
      <c r="P1726" s="4" t="s">
        <v>69</v>
      </c>
      <c r="Q1726" s="11">
        <v>44506.53333333333</v>
      </c>
      <c r="R1726" s="4"/>
      <c r="S1726" s="12" t="s">
        <v>5116</v>
      </c>
      <c r="T1726" s="4" t="s">
        <v>2444</v>
      </c>
      <c r="U1726" s="5"/>
      <c r="V1726" s="11"/>
      <c r="W1726" s="5"/>
      <c r="X1726" s="11"/>
      <c r="Y1726" s="4"/>
      <c r="Z1726" s="5"/>
      <c r="AA1726" s="5"/>
      <c r="AB1726" s="4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</row>
    <row r="1727">
      <c r="A1727" s="4" t="str">
        <f>VLOOKUP(L1727,payment_ids!C:D,2,FALSE)</f>
        <v>pay_HM0Eloe8BjnbKv</v>
      </c>
      <c r="B1727" s="4"/>
      <c r="C1727" s="4" t="s">
        <v>5114</v>
      </c>
      <c r="D1727" s="4">
        <v>49813.0</v>
      </c>
      <c r="E1727" s="5"/>
      <c r="F1727" s="4">
        <v>3.0</v>
      </c>
      <c r="G1727" s="4">
        <v>499.0</v>
      </c>
      <c r="H1727" s="4"/>
      <c r="I1727" s="4">
        <v>499.0</v>
      </c>
      <c r="J1727" s="4" t="s">
        <v>5171</v>
      </c>
      <c r="K1727" s="5">
        <f>+919051955503</f>
        <v>919051955503</v>
      </c>
      <c r="L1727" s="4" t="str">
        <f t="shared" si="1"/>
        <v>momsquadkol@gmail.com919051955503</v>
      </c>
      <c r="M1727" s="10" t="s">
        <v>67</v>
      </c>
      <c r="N1727" s="4" t="b">
        <v>0</v>
      </c>
      <c r="O1727" s="4" t="str">
        <f>VLOOKUP(A1727,payment_ids!D:E,2,FALSE)</f>
        <v>upi</v>
      </c>
      <c r="P1727" s="4" t="s">
        <v>69</v>
      </c>
      <c r="Q1727" s="11">
        <v>44536.381944444445</v>
      </c>
      <c r="R1727" s="4"/>
      <c r="S1727" s="12" t="s">
        <v>5116</v>
      </c>
      <c r="T1727" s="4" t="s">
        <v>2444</v>
      </c>
      <c r="U1727" s="4"/>
      <c r="V1727" s="11"/>
      <c r="W1727" s="5"/>
      <c r="X1727" s="11"/>
      <c r="Y1727" s="4"/>
      <c r="Z1727" s="5"/>
      <c r="AA1727" s="4"/>
      <c r="AB1727" s="4"/>
      <c r="AC1727" s="4"/>
      <c r="AD1727" s="5"/>
      <c r="AE1727" s="5"/>
      <c r="AF1727" s="5"/>
      <c r="AG1727" s="5"/>
      <c r="AH1727" s="5"/>
      <c r="AI1727" s="5"/>
      <c r="AJ1727" s="5"/>
      <c r="AK1727" s="5"/>
      <c r="AL1727" s="5"/>
    </row>
    <row r="1728">
      <c r="A1728" s="4" t="str">
        <f>VLOOKUP(L1728,payment_ids!C:D,2,FALSE)</f>
        <v>pay_HM0Wt6CTRo51HY</v>
      </c>
      <c r="B1728" s="4"/>
      <c r="C1728" s="4" t="s">
        <v>5114</v>
      </c>
      <c r="D1728" s="4">
        <v>49813.0</v>
      </c>
      <c r="E1728" s="5"/>
      <c r="F1728" s="4">
        <v>3.0</v>
      </c>
      <c r="G1728" s="4">
        <v>499.0</v>
      </c>
      <c r="H1728" s="4"/>
      <c r="I1728" s="4">
        <v>499.0</v>
      </c>
      <c r="J1728" s="4" t="s">
        <v>3541</v>
      </c>
      <c r="K1728" s="5">
        <f>+919503201603</f>
        <v>919503201603</v>
      </c>
      <c r="L1728" s="4" t="str">
        <f t="shared" si="1"/>
        <v>sarahmcwann@gmail.com919503201603</v>
      </c>
      <c r="M1728" s="10" t="s">
        <v>67</v>
      </c>
      <c r="N1728" s="4" t="b">
        <v>0</v>
      </c>
      <c r="O1728" s="4" t="str">
        <f>VLOOKUP(A1728,payment_ids!D:E,2,FALSE)</f>
        <v>upi</v>
      </c>
      <c r="P1728" s="4" t="s">
        <v>69</v>
      </c>
      <c r="Q1728" s="11">
        <v>44536.39375</v>
      </c>
      <c r="R1728" s="4"/>
      <c r="S1728" s="12" t="s">
        <v>5116</v>
      </c>
      <c r="T1728" s="4" t="s">
        <v>2444</v>
      </c>
      <c r="U1728" s="4"/>
      <c r="V1728" s="11"/>
      <c r="W1728" s="5"/>
      <c r="X1728" s="11"/>
      <c r="Y1728" s="4"/>
      <c r="Z1728" s="5"/>
      <c r="AA1728" s="4"/>
      <c r="AB1728" s="4"/>
      <c r="AC1728" s="4"/>
      <c r="AD1728" s="5"/>
      <c r="AE1728" s="5"/>
      <c r="AF1728" s="5"/>
      <c r="AG1728" s="5"/>
      <c r="AH1728" s="5"/>
      <c r="AI1728" s="5"/>
      <c r="AJ1728" s="5"/>
      <c r="AK1728" s="5"/>
      <c r="AL1728" s="5"/>
    </row>
    <row r="1729">
      <c r="A1729" s="4" t="str">
        <f>VLOOKUP(L1729,payment_ids!C:D,2,FALSE)</f>
        <v>pay_HMzjAtlqGf1nhh</v>
      </c>
      <c r="B1729" s="4"/>
      <c r="C1729" s="4" t="s">
        <v>5114</v>
      </c>
      <c r="D1729" s="4">
        <v>49813.0</v>
      </c>
      <c r="E1729" s="5"/>
      <c r="F1729" s="4">
        <v>3.0</v>
      </c>
      <c r="G1729" s="4">
        <v>499.0</v>
      </c>
      <c r="H1729" s="4"/>
      <c r="I1729" s="4">
        <v>499.0</v>
      </c>
      <c r="J1729" s="4" t="s">
        <v>5172</v>
      </c>
      <c r="K1729" s="5">
        <f>+919740172940</f>
        <v>919740172940</v>
      </c>
      <c r="L1729" s="4" t="str">
        <f t="shared" si="1"/>
        <v>nimme5888@gmail.com919740172940</v>
      </c>
      <c r="M1729" s="10" t="s">
        <v>67</v>
      </c>
      <c r="N1729" s="4" t="b">
        <v>0</v>
      </c>
      <c r="O1729" s="4" t="str">
        <f>VLOOKUP(A1729,payment_ids!D:E,2,FALSE)</f>
        <v>upi</v>
      </c>
      <c r="P1729" s="4" t="s">
        <v>69</v>
      </c>
      <c r="Q1729" s="4" t="s">
        <v>5173</v>
      </c>
      <c r="R1729" s="4"/>
      <c r="S1729" s="12" t="s">
        <v>5116</v>
      </c>
      <c r="T1729" s="4" t="s">
        <v>2444</v>
      </c>
      <c r="U1729" s="4"/>
      <c r="V1729" s="11"/>
      <c r="W1729" s="5"/>
      <c r="X1729" s="11"/>
      <c r="Y1729" s="4"/>
      <c r="Z1729" s="5"/>
      <c r="AA1729" s="4"/>
      <c r="AB1729" s="4"/>
      <c r="AC1729" s="4"/>
      <c r="AD1729" s="5"/>
      <c r="AE1729" s="5"/>
      <c r="AF1729" s="5"/>
      <c r="AG1729" s="5"/>
      <c r="AH1729" s="5"/>
      <c r="AI1729" s="5"/>
      <c r="AJ1729" s="5"/>
      <c r="AK1729" s="5"/>
      <c r="AL1729" s="5"/>
    </row>
    <row r="1730">
      <c r="A1730" s="4" t="str">
        <f>VLOOKUP(L1730,payment_ids!C:D,2,FALSE)</f>
        <v>pay_HNfcFQGcJNwtZu</v>
      </c>
      <c r="B1730" s="4"/>
      <c r="C1730" s="4" t="s">
        <v>5114</v>
      </c>
      <c r="D1730" s="4">
        <v>49813.0</v>
      </c>
      <c r="E1730" s="5"/>
      <c r="F1730" s="4">
        <v>3.0</v>
      </c>
      <c r="G1730" s="4">
        <v>499.0</v>
      </c>
      <c r="H1730" s="4"/>
      <c r="I1730" s="4">
        <v>499.0</v>
      </c>
      <c r="J1730" s="4" t="s">
        <v>5174</v>
      </c>
      <c r="K1730" s="5">
        <f>+919004311113</f>
        <v>919004311113</v>
      </c>
      <c r="L1730" s="4" t="str">
        <f t="shared" si="1"/>
        <v>priya0810@yahoo.com919004311113</v>
      </c>
      <c r="M1730" s="10" t="s">
        <v>67</v>
      </c>
      <c r="N1730" s="4" t="b">
        <v>0</v>
      </c>
      <c r="O1730" s="4" t="str">
        <f>VLOOKUP(A1730,payment_ids!D:E,2,FALSE)</f>
        <v>card</v>
      </c>
      <c r="P1730" s="4" t="s">
        <v>69</v>
      </c>
      <c r="Q1730" s="4" t="s">
        <v>5175</v>
      </c>
      <c r="R1730" s="4"/>
      <c r="S1730" s="12" t="s">
        <v>5162</v>
      </c>
      <c r="T1730" s="4" t="s">
        <v>2444</v>
      </c>
      <c r="U1730" s="4"/>
      <c r="V1730" s="11"/>
      <c r="W1730" s="5"/>
      <c r="X1730" s="11"/>
      <c r="Y1730" s="4"/>
      <c r="Z1730" s="5"/>
      <c r="AA1730" s="4"/>
      <c r="AB1730" s="4"/>
      <c r="AC1730" s="4"/>
      <c r="AD1730" s="5"/>
      <c r="AE1730" s="5"/>
      <c r="AF1730" s="5"/>
      <c r="AG1730" s="5"/>
      <c r="AH1730" s="5"/>
      <c r="AI1730" s="5"/>
      <c r="AJ1730" s="5"/>
      <c r="AK1730" s="5"/>
      <c r="AL1730" s="5"/>
    </row>
    <row r="1731">
      <c r="A1731" s="4" t="str">
        <f>VLOOKUP(L1731,payment_ids!C:D,2,FALSE)</f>
        <v>pay_HEH4xUldIjJn4d</v>
      </c>
      <c r="B1731" s="4"/>
      <c r="C1731" s="4" t="s">
        <v>5114</v>
      </c>
      <c r="D1731" s="4">
        <v>49813.0</v>
      </c>
      <c r="E1731" s="5"/>
      <c r="F1731" s="4">
        <v>3.0</v>
      </c>
      <c r="G1731" s="4">
        <v>499.0</v>
      </c>
      <c r="H1731" s="4"/>
      <c r="I1731" s="4">
        <v>499.0</v>
      </c>
      <c r="J1731" s="4" t="s">
        <v>5148</v>
      </c>
      <c r="K1731" s="5">
        <f>+919971687735</f>
        <v>919971687735</v>
      </c>
      <c r="L1731" s="4" t="str">
        <f t="shared" si="1"/>
        <v>littlemistersmommy@gmail.com919971687735</v>
      </c>
      <c r="M1731" s="10" t="s">
        <v>67</v>
      </c>
      <c r="N1731" s="4" t="b">
        <v>0</v>
      </c>
      <c r="O1731" s="4" t="str">
        <f>VLOOKUP(A1731,payment_ids!D:E,2,FALSE)</f>
        <v>upi</v>
      </c>
      <c r="P1731" s="4" t="s">
        <v>69</v>
      </c>
      <c r="Q1731" s="4" t="s">
        <v>5176</v>
      </c>
      <c r="R1731" s="4"/>
      <c r="S1731" s="12" t="s">
        <v>5116</v>
      </c>
      <c r="T1731" s="4" t="s">
        <v>2444</v>
      </c>
      <c r="U1731" s="4"/>
      <c r="V1731" s="11"/>
      <c r="W1731" s="5"/>
      <c r="X1731" s="11"/>
      <c r="Y1731" s="4"/>
      <c r="Z1731" s="5"/>
      <c r="AA1731" s="4"/>
      <c r="AB1731" s="4"/>
      <c r="AC1731" s="4"/>
      <c r="AD1731" s="5"/>
      <c r="AE1731" s="5"/>
      <c r="AF1731" s="5"/>
      <c r="AG1731" s="5"/>
      <c r="AH1731" s="5"/>
      <c r="AI1731" s="5"/>
      <c r="AJ1731" s="5"/>
      <c r="AK1731" s="5"/>
      <c r="AL1731" s="5"/>
    </row>
    <row r="1732">
      <c r="A1732" s="4" t="str">
        <f>VLOOKUP(L1732,payment_ids!C:D,2,FALSE)</f>
        <v>pay_HPv8qQBbMIURdB</v>
      </c>
      <c r="B1732" s="4"/>
      <c r="C1732" s="4" t="s">
        <v>5114</v>
      </c>
      <c r="D1732" s="4">
        <v>49813.0</v>
      </c>
      <c r="E1732" s="5"/>
      <c r="F1732" s="4">
        <v>6.0</v>
      </c>
      <c r="G1732" s="4">
        <v>799.0</v>
      </c>
      <c r="H1732" s="4"/>
      <c r="I1732" s="4">
        <v>799.0</v>
      </c>
      <c r="J1732" s="4" t="s">
        <v>5177</v>
      </c>
      <c r="K1732" s="5">
        <f>+918130611008</f>
        <v>918130611008</v>
      </c>
      <c r="L1732" s="4" t="str">
        <f t="shared" si="1"/>
        <v>prachij921@gmail.com918130611008</v>
      </c>
      <c r="M1732" s="10" t="s">
        <v>67</v>
      </c>
      <c r="N1732" s="4" t="b">
        <v>0</v>
      </c>
      <c r="O1732" s="4" t="str">
        <f>VLOOKUP(A1732,payment_ids!D:E,2,FALSE)</f>
        <v>upi</v>
      </c>
      <c r="P1732" s="4" t="s">
        <v>69</v>
      </c>
      <c r="Q1732" s="4" t="s">
        <v>5178</v>
      </c>
      <c r="R1732" s="4"/>
      <c r="S1732" s="12" t="s">
        <v>5116</v>
      </c>
      <c r="T1732" s="4" t="s">
        <v>2444</v>
      </c>
      <c r="U1732" s="4"/>
      <c r="V1732" s="11"/>
      <c r="W1732" s="5"/>
      <c r="X1732" s="11"/>
      <c r="Y1732" s="4"/>
      <c r="Z1732" s="5"/>
      <c r="AA1732" s="4"/>
      <c r="AB1732" s="4"/>
      <c r="AC1732" s="4"/>
      <c r="AD1732" s="5"/>
      <c r="AE1732" s="5"/>
      <c r="AF1732" s="5"/>
      <c r="AG1732" s="5"/>
      <c r="AH1732" s="5"/>
      <c r="AI1732" s="5"/>
      <c r="AJ1732" s="5"/>
      <c r="AK1732" s="5"/>
      <c r="AL1732" s="5"/>
    </row>
    <row r="1733">
      <c r="A1733" s="4" t="str">
        <f>VLOOKUP(L1733,payment_ids!C:D,2,FALSE)</f>
        <v>pay_HQ3rLtJgT4fEUD</v>
      </c>
      <c r="B1733" s="4"/>
      <c r="C1733" s="4" t="s">
        <v>5114</v>
      </c>
      <c r="D1733" s="4">
        <v>49813.0</v>
      </c>
      <c r="E1733" s="5"/>
      <c r="F1733" s="4">
        <v>1.0</v>
      </c>
      <c r="G1733" s="4">
        <v>299.0</v>
      </c>
      <c r="H1733" s="4"/>
      <c r="I1733" s="4">
        <v>299.0</v>
      </c>
      <c r="J1733" s="4" t="s">
        <v>5179</v>
      </c>
      <c r="K1733" s="5">
        <f>+919707738484</f>
        <v>919707738484</v>
      </c>
      <c r="L1733" s="4" t="str">
        <f t="shared" si="1"/>
        <v>taralimzmdr@gmail.com919707738484</v>
      </c>
      <c r="M1733" s="10" t="s">
        <v>67</v>
      </c>
      <c r="N1733" s="4" t="b">
        <v>0</v>
      </c>
      <c r="O1733" s="4" t="str">
        <f>VLOOKUP(A1733,payment_ids!D:E,2,FALSE)</f>
        <v>upi</v>
      </c>
      <c r="P1733" s="4" t="s">
        <v>69</v>
      </c>
      <c r="Q1733" s="4" t="s">
        <v>5180</v>
      </c>
      <c r="R1733" s="4"/>
      <c r="S1733" s="12" t="s">
        <v>5116</v>
      </c>
      <c r="T1733" s="4" t="s">
        <v>2444</v>
      </c>
      <c r="U1733" s="4"/>
      <c r="V1733" s="11"/>
      <c r="W1733" s="5"/>
      <c r="X1733" s="11"/>
      <c r="Y1733" s="4"/>
      <c r="Z1733" s="5"/>
      <c r="AA1733" s="4"/>
      <c r="AB1733" s="4"/>
      <c r="AC1733" s="4"/>
      <c r="AD1733" s="5"/>
      <c r="AE1733" s="5"/>
      <c r="AF1733" s="5"/>
      <c r="AG1733" s="5"/>
      <c r="AH1733" s="5"/>
      <c r="AI1733" s="5"/>
      <c r="AJ1733" s="5"/>
      <c r="AK1733" s="5"/>
      <c r="AL1733" s="5"/>
    </row>
    <row r="1734">
      <c r="A1734" s="4" t="str">
        <f>VLOOKUP(L1734,payment_ids!C:D,2,FALSE)</f>
        <v>pay_H6PH7qQXUHgxfu</v>
      </c>
      <c r="B1734" s="4"/>
      <c r="C1734" s="4" t="s">
        <v>5181</v>
      </c>
      <c r="D1734" s="4">
        <v>50022.0</v>
      </c>
      <c r="E1734" s="4"/>
      <c r="F1734" s="4">
        <v>3.0</v>
      </c>
      <c r="G1734" s="4">
        <v>199.0</v>
      </c>
      <c r="H1734" s="4"/>
      <c r="I1734" s="4">
        <v>199.0</v>
      </c>
      <c r="J1734" s="4" t="s">
        <v>5182</v>
      </c>
      <c r="K1734" s="6">
        <f>+917721012926</f>
        <v>917721012926</v>
      </c>
      <c r="L1734" s="4" t="str">
        <f t="shared" si="1"/>
        <v>nandanvangardensolutions@gmail.com917721012926</v>
      </c>
      <c r="M1734" s="10" t="s">
        <v>67</v>
      </c>
      <c r="N1734" s="4" t="b">
        <v>0</v>
      </c>
      <c r="O1734" s="4" t="str">
        <f>VLOOKUP(A1734,payment_ids!D:E,2,FALSE)</f>
        <v>upi</v>
      </c>
      <c r="P1734" s="4" t="s">
        <v>69</v>
      </c>
      <c r="Q1734" s="11">
        <v>44260.97361111111</v>
      </c>
      <c r="R1734" s="4"/>
      <c r="S1734" s="12" t="s">
        <v>5183</v>
      </c>
      <c r="T1734" s="4"/>
      <c r="U1734" s="4"/>
      <c r="V1734" s="11"/>
      <c r="W1734" s="5"/>
      <c r="X1734" s="11"/>
      <c r="Y1734" s="4"/>
      <c r="Z1734" s="5"/>
      <c r="AA1734" s="4"/>
      <c r="AB1734" s="4"/>
      <c r="AC1734" s="4"/>
      <c r="AD1734" s="5"/>
      <c r="AE1734" s="5"/>
      <c r="AF1734" s="5"/>
      <c r="AG1734" s="5"/>
      <c r="AH1734" s="5"/>
      <c r="AI1734" s="5"/>
      <c r="AJ1734" s="5"/>
      <c r="AK1734" s="5"/>
      <c r="AL1734" s="5"/>
    </row>
    <row r="1735">
      <c r="A1735" s="4" t="str">
        <f>VLOOKUP(L1735,payment_ids!C:D,2,FALSE)</f>
        <v>pay_H6hn705iFrnOvn</v>
      </c>
      <c r="B1735" s="4"/>
      <c r="C1735" s="4" t="s">
        <v>5181</v>
      </c>
      <c r="D1735" s="4">
        <v>50022.0</v>
      </c>
      <c r="E1735" s="4"/>
      <c r="F1735" s="4">
        <v>1.0</v>
      </c>
      <c r="G1735" s="4">
        <v>99.0</v>
      </c>
      <c r="H1735" s="4"/>
      <c r="I1735" s="4">
        <v>99.0</v>
      </c>
      <c r="J1735" s="4" t="s">
        <v>5184</v>
      </c>
      <c r="K1735" s="6">
        <f>+919962281591</f>
        <v>919962281591</v>
      </c>
      <c r="L1735" s="4" t="str">
        <f t="shared" si="1"/>
        <v>adeshtdesigner@gmail.com919962281591</v>
      </c>
      <c r="M1735" s="10" t="s">
        <v>67</v>
      </c>
      <c r="N1735" s="4" t="b">
        <v>0</v>
      </c>
      <c r="O1735" s="4" t="str">
        <f>VLOOKUP(A1735,payment_ids!D:E,2,FALSE)</f>
        <v>upi</v>
      </c>
      <c r="P1735" s="4" t="s">
        <v>69</v>
      </c>
      <c r="Q1735" s="11">
        <v>44291.72430555556</v>
      </c>
      <c r="R1735" s="4"/>
      <c r="S1735" s="12" t="s">
        <v>5183</v>
      </c>
      <c r="T1735" s="4"/>
      <c r="U1735" s="4"/>
      <c r="V1735" s="11"/>
      <c r="W1735" s="5"/>
      <c r="X1735" s="11"/>
      <c r="Y1735" s="4"/>
      <c r="Z1735" s="5"/>
      <c r="AA1735" s="4"/>
      <c r="AB1735" s="4"/>
      <c r="AC1735" s="4"/>
      <c r="AD1735" s="5"/>
      <c r="AE1735" s="5"/>
      <c r="AF1735" s="5"/>
      <c r="AG1735" s="5"/>
      <c r="AH1735" s="5"/>
      <c r="AI1735" s="5"/>
      <c r="AJ1735" s="5"/>
      <c r="AK1735" s="5"/>
      <c r="AL1735" s="5"/>
    </row>
    <row r="1736">
      <c r="A1736" s="4" t="str">
        <f>VLOOKUP(L1736,payment_ids!C:D,2,FALSE)</f>
        <v>pay_H6iXqvSTHDj1v7</v>
      </c>
      <c r="B1736" s="4"/>
      <c r="C1736" s="4" t="s">
        <v>5181</v>
      </c>
      <c r="D1736" s="4">
        <v>50022.0</v>
      </c>
      <c r="E1736" s="4"/>
      <c r="F1736" s="4">
        <v>3.0</v>
      </c>
      <c r="G1736" s="4">
        <v>199.0</v>
      </c>
      <c r="H1736" s="4"/>
      <c r="I1736" s="4">
        <v>199.0</v>
      </c>
      <c r="J1736" s="4" t="s">
        <v>5185</v>
      </c>
      <c r="K1736" s="6">
        <f>+919920113130</f>
        <v>919920113130</v>
      </c>
      <c r="L1736" s="4" t="str">
        <f t="shared" si="1"/>
        <v>lilitm@live.com919920113130</v>
      </c>
      <c r="M1736" s="10" t="s">
        <v>67</v>
      </c>
      <c r="N1736" s="4" t="b">
        <v>0</v>
      </c>
      <c r="O1736" s="4" t="str">
        <f>VLOOKUP(A1736,payment_ids!D:E,2,FALSE)</f>
        <v>netbanking</v>
      </c>
      <c r="P1736" s="4" t="s">
        <v>69</v>
      </c>
      <c r="Q1736" s="11">
        <v>44291.75902777778</v>
      </c>
      <c r="R1736" s="4"/>
      <c r="S1736" s="12" t="s">
        <v>5183</v>
      </c>
      <c r="T1736" s="4"/>
      <c r="U1736" s="4"/>
      <c r="V1736" s="11"/>
      <c r="W1736" s="5"/>
      <c r="X1736" s="11"/>
      <c r="Y1736" s="4"/>
      <c r="Z1736" s="5"/>
      <c r="AA1736" s="4"/>
      <c r="AB1736" s="4"/>
      <c r="AC1736" s="4"/>
      <c r="AD1736" s="5"/>
      <c r="AE1736" s="5"/>
      <c r="AF1736" s="5"/>
      <c r="AG1736" s="5"/>
      <c r="AH1736" s="5"/>
      <c r="AI1736" s="5"/>
      <c r="AJ1736" s="5"/>
      <c r="AK1736" s="5"/>
      <c r="AL1736" s="5"/>
    </row>
    <row r="1737">
      <c r="A1737" s="4" t="str">
        <f>VLOOKUP(L1737,payment_ids!C:D,2,FALSE)</f>
        <v>pay_H7AHAJZeQfzKcd</v>
      </c>
      <c r="B1737" s="4"/>
      <c r="C1737" s="4" t="s">
        <v>5181</v>
      </c>
      <c r="D1737" s="4">
        <v>50022.0</v>
      </c>
      <c r="E1737" s="4"/>
      <c r="F1737" s="4">
        <v>1.0</v>
      </c>
      <c r="G1737" s="4">
        <v>99.0</v>
      </c>
      <c r="H1737" s="4"/>
      <c r="I1737" s="4">
        <v>99.0</v>
      </c>
      <c r="J1737" s="4" t="s">
        <v>5186</v>
      </c>
      <c r="K1737" s="6">
        <f>+919617069909</f>
        <v>919617069909</v>
      </c>
      <c r="L1737" s="4" t="str">
        <f t="shared" si="1"/>
        <v>aapkaameet@gmail.com919617069909</v>
      </c>
      <c r="M1737" s="10" t="s">
        <v>67</v>
      </c>
      <c r="N1737" s="4" t="b">
        <v>0</v>
      </c>
      <c r="O1737" s="4" t="str">
        <f>VLOOKUP(A1737,payment_ids!D:E,2,FALSE)</f>
        <v>upi</v>
      </c>
      <c r="P1737" s="4" t="s">
        <v>69</v>
      </c>
      <c r="Q1737" s="11">
        <v>44321.884722222225</v>
      </c>
      <c r="R1737" s="4"/>
      <c r="S1737" s="12" t="s">
        <v>5183</v>
      </c>
      <c r="T1737" s="4"/>
      <c r="U1737" s="4"/>
      <c r="V1737" s="11"/>
      <c r="W1737" s="5"/>
      <c r="X1737" s="11"/>
      <c r="Y1737" s="4"/>
      <c r="Z1737" s="5"/>
      <c r="AA1737" s="4"/>
      <c r="AB1737" s="4"/>
      <c r="AC1737" s="4"/>
      <c r="AD1737" s="5"/>
      <c r="AE1737" s="5"/>
      <c r="AF1737" s="5"/>
      <c r="AG1737" s="5"/>
      <c r="AH1737" s="5"/>
      <c r="AI1737" s="5"/>
      <c r="AJ1737" s="5"/>
      <c r="AK1737" s="5"/>
      <c r="AL1737" s="5"/>
    </row>
    <row r="1738">
      <c r="A1738" s="4" t="str">
        <f>VLOOKUP(L1738,payment_ids!C:D,2,FALSE)</f>
        <v>pay_H6yxNC4t4oGEnj</v>
      </c>
      <c r="B1738" s="4"/>
      <c r="C1738" s="4" t="s">
        <v>5181</v>
      </c>
      <c r="D1738" s="4">
        <v>50022.0</v>
      </c>
      <c r="E1738" s="4"/>
      <c r="F1738" s="4">
        <v>1.0</v>
      </c>
      <c r="G1738" s="4">
        <v>99.0</v>
      </c>
      <c r="H1738" s="4"/>
      <c r="I1738" s="4">
        <v>99.0</v>
      </c>
      <c r="J1738" s="4" t="s">
        <v>5187</v>
      </c>
      <c r="K1738" s="6">
        <f>+919673390777</f>
        <v>919673390777</v>
      </c>
      <c r="L1738" s="4" t="str">
        <f t="shared" si="1"/>
        <v>kavita.rudagi@gmail.com919673390777</v>
      </c>
      <c r="M1738" s="10" t="s">
        <v>67</v>
      </c>
      <c r="N1738" s="4" t="b">
        <v>0</v>
      </c>
      <c r="O1738" s="4" t="str">
        <f>VLOOKUP(A1738,payment_ids!D:E,2,FALSE)</f>
        <v>upi</v>
      </c>
      <c r="P1738" s="4" t="s">
        <v>69</v>
      </c>
      <c r="Q1738" s="11">
        <v>44321.42361111111</v>
      </c>
      <c r="R1738" s="4"/>
      <c r="S1738" s="12" t="s">
        <v>5183</v>
      </c>
      <c r="T1738" s="4"/>
      <c r="U1738" s="4"/>
      <c r="V1738" s="11"/>
      <c r="W1738" s="5"/>
      <c r="X1738" s="11"/>
      <c r="Y1738" s="4"/>
      <c r="Z1738" s="5"/>
      <c r="AA1738" s="4"/>
      <c r="AB1738" s="4"/>
      <c r="AC1738" s="4"/>
      <c r="AD1738" s="5"/>
      <c r="AE1738" s="5"/>
      <c r="AF1738" s="5"/>
      <c r="AG1738" s="5"/>
      <c r="AH1738" s="5"/>
      <c r="AI1738" s="5"/>
      <c r="AJ1738" s="5"/>
      <c r="AK1738" s="5"/>
      <c r="AL1738" s="5"/>
    </row>
    <row r="1739">
      <c r="A1739" s="4" t="str">
        <f>VLOOKUP(L1739,payment_ids!C:D,2,FALSE)</f>
        <v>pay_H7BTB9pqiRetdi</v>
      </c>
      <c r="B1739" s="4"/>
      <c r="C1739" s="4" t="s">
        <v>5181</v>
      </c>
      <c r="D1739" s="4">
        <v>50022.0</v>
      </c>
      <c r="E1739" s="4"/>
      <c r="F1739" s="4">
        <v>1.0</v>
      </c>
      <c r="G1739" s="4">
        <v>99.0</v>
      </c>
      <c r="H1739" s="4"/>
      <c r="I1739" s="4">
        <v>99.0</v>
      </c>
      <c r="J1739" s="4" t="s">
        <v>5188</v>
      </c>
      <c r="K1739" s="6">
        <f>+919818049647</f>
        <v>919818049647</v>
      </c>
      <c r="L1739" s="4" t="str">
        <f t="shared" si="1"/>
        <v>arn76881@gmail.comcom919818049647</v>
      </c>
      <c r="M1739" s="10" t="s">
        <v>67</v>
      </c>
      <c r="N1739" s="4" t="b">
        <v>0</v>
      </c>
      <c r="O1739" s="4" t="str">
        <f>VLOOKUP(A1739,payment_ids!D:E,2,FALSE)</f>
        <v>upi</v>
      </c>
      <c r="P1739" s="4" t="s">
        <v>69</v>
      </c>
      <c r="Q1739" s="11">
        <v>44321.93402777778</v>
      </c>
      <c r="R1739" s="4"/>
      <c r="S1739" s="12" t="s">
        <v>5183</v>
      </c>
      <c r="T1739" s="4"/>
      <c r="U1739" s="4"/>
      <c r="V1739" s="11"/>
      <c r="W1739" s="5"/>
      <c r="X1739" s="11"/>
      <c r="Y1739" s="4"/>
      <c r="Z1739" s="5"/>
      <c r="AA1739" s="4"/>
      <c r="AB1739" s="4"/>
      <c r="AC1739" s="4"/>
      <c r="AD1739" s="5"/>
      <c r="AE1739" s="5"/>
      <c r="AF1739" s="5"/>
      <c r="AG1739" s="5"/>
      <c r="AH1739" s="5"/>
      <c r="AI1739" s="5"/>
      <c r="AJ1739" s="5"/>
      <c r="AK1739" s="5"/>
      <c r="AL1739" s="5"/>
    </row>
    <row r="1740">
      <c r="A1740" s="4" t="str">
        <f>VLOOKUP(L1740,payment_ids!C:D,2,FALSE)</f>
        <v>pay_H710pMmlAtLRID</v>
      </c>
      <c r="B1740" s="4"/>
      <c r="C1740" s="4" t="s">
        <v>5181</v>
      </c>
      <c r="D1740" s="4">
        <v>50022.0</v>
      </c>
      <c r="E1740" s="4"/>
      <c r="F1740" s="4">
        <v>6.0</v>
      </c>
      <c r="G1740" s="4">
        <v>349.0</v>
      </c>
      <c r="H1740" s="4"/>
      <c r="I1740" s="4">
        <v>349.0</v>
      </c>
      <c r="J1740" s="4" t="s">
        <v>5189</v>
      </c>
      <c r="K1740" s="6">
        <f>+919182060469</f>
        <v>919182060469</v>
      </c>
      <c r="L1740" s="4" t="str">
        <f t="shared" si="1"/>
        <v>supriyaladdu97@gmail.com919182060469</v>
      </c>
      <c r="M1740" s="10" t="s">
        <v>67</v>
      </c>
      <c r="N1740" s="4" t="b">
        <v>0</v>
      </c>
      <c r="O1740" s="4" t="str">
        <f>VLOOKUP(A1740,payment_ids!D:E,2,FALSE)</f>
        <v>upi</v>
      </c>
      <c r="P1740" s="4" t="s">
        <v>69</v>
      </c>
      <c r="Q1740" s="11">
        <v>44321.50833333333</v>
      </c>
      <c r="R1740" s="4"/>
      <c r="S1740" s="12" t="s">
        <v>5183</v>
      </c>
      <c r="T1740" s="4"/>
      <c r="U1740" s="4"/>
      <c r="V1740" s="11"/>
      <c r="W1740" s="5"/>
      <c r="X1740" s="11"/>
      <c r="Y1740" s="4"/>
      <c r="Z1740" s="5"/>
      <c r="AA1740" s="4"/>
      <c r="AB1740" s="4"/>
      <c r="AC1740" s="4"/>
      <c r="AD1740" s="5"/>
      <c r="AE1740" s="5"/>
      <c r="AF1740" s="5"/>
      <c r="AG1740" s="5"/>
      <c r="AH1740" s="5"/>
      <c r="AI1740" s="5"/>
      <c r="AJ1740" s="5"/>
      <c r="AK1740" s="5"/>
      <c r="AL1740" s="5"/>
    </row>
    <row r="1741">
      <c r="A1741" s="4" t="str">
        <f>VLOOKUP(L1741,payment_ids!C:D,2,FALSE)</f>
        <v>pay_H7FXeuKX8WVFSB</v>
      </c>
      <c r="B1741" s="4"/>
      <c r="C1741" s="4" t="s">
        <v>5181</v>
      </c>
      <c r="D1741" s="4">
        <v>50022.0</v>
      </c>
      <c r="E1741" s="4"/>
      <c r="F1741" s="4">
        <v>1.0</v>
      </c>
      <c r="G1741" s="4">
        <v>99.0</v>
      </c>
      <c r="H1741" s="4"/>
      <c r="I1741" s="4">
        <v>99.0</v>
      </c>
      <c r="J1741" s="4" t="s">
        <v>5190</v>
      </c>
      <c r="K1741" s="6">
        <f>+919972593853</f>
        <v>919972593853</v>
      </c>
      <c r="L1741" s="4" t="str">
        <f t="shared" si="1"/>
        <v>prisspa@gmail.com919972593853</v>
      </c>
      <c r="M1741" s="10" t="s">
        <v>67</v>
      </c>
      <c r="N1741" s="4" t="b">
        <v>0</v>
      </c>
      <c r="O1741" s="4" t="str">
        <f>VLOOKUP(A1741,payment_ids!D:E,2,FALSE)</f>
        <v>upi</v>
      </c>
      <c r="P1741" s="4" t="s">
        <v>69</v>
      </c>
      <c r="Q1741" s="11">
        <v>44352.09930555556</v>
      </c>
      <c r="R1741" s="4"/>
      <c r="S1741" s="12" t="s">
        <v>5183</v>
      </c>
      <c r="T1741" s="4"/>
      <c r="U1741" s="4"/>
      <c r="V1741" s="11"/>
      <c r="W1741" s="5"/>
      <c r="X1741" s="11"/>
      <c r="Y1741" s="4"/>
      <c r="Z1741" s="5"/>
      <c r="AA1741" s="4"/>
      <c r="AB1741" s="4"/>
      <c r="AC1741" s="4"/>
      <c r="AD1741" s="5"/>
      <c r="AE1741" s="5"/>
      <c r="AF1741" s="5"/>
      <c r="AG1741" s="5"/>
      <c r="AH1741" s="5"/>
      <c r="AI1741" s="5"/>
      <c r="AJ1741" s="5"/>
      <c r="AK1741" s="5"/>
      <c r="AL1741" s="5"/>
    </row>
    <row r="1742">
      <c r="A1742" s="4" t="str">
        <f>VLOOKUP(L1742,payment_ids!C:D,2,FALSE)</f>
        <v>pay_H7X6VL7cQB3PHU</v>
      </c>
      <c r="B1742" s="4"/>
      <c r="C1742" s="4" t="s">
        <v>5181</v>
      </c>
      <c r="D1742" s="4">
        <v>50022.0</v>
      </c>
      <c r="E1742" s="4"/>
      <c r="F1742" s="4">
        <v>1.0</v>
      </c>
      <c r="G1742" s="4">
        <v>99.0</v>
      </c>
      <c r="H1742" s="4"/>
      <c r="I1742" s="4">
        <v>99.0</v>
      </c>
      <c r="J1742" s="4" t="s">
        <v>5191</v>
      </c>
      <c r="K1742" s="6">
        <f>+917989972789</f>
        <v>917989972789</v>
      </c>
      <c r="L1742" s="4" t="str">
        <f t="shared" si="1"/>
        <v>bandibhargavi97@gmail.com917989972789</v>
      </c>
      <c r="M1742" s="10" t="s">
        <v>67</v>
      </c>
      <c r="N1742" s="4" t="b">
        <v>0</v>
      </c>
      <c r="O1742" s="4" t="str">
        <f>VLOOKUP(A1742,payment_ids!D:E,2,FALSE)</f>
        <v>upi</v>
      </c>
      <c r="P1742" s="4" t="s">
        <v>69</v>
      </c>
      <c r="Q1742" s="11">
        <v>44352.81597222222</v>
      </c>
      <c r="R1742" s="4"/>
      <c r="S1742" s="12" t="s">
        <v>5183</v>
      </c>
      <c r="T1742" s="4"/>
      <c r="U1742" s="4"/>
      <c r="V1742" s="11"/>
      <c r="W1742" s="5"/>
      <c r="X1742" s="11"/>
      <c r="Y1742" s="4"/>
      <c r="Z1742" s="5"/>
      <c r="AA1742" s="4"/>
      <c r="AB1742" s="4"/>
      <c r="AC1742" s="4"/>
      <c r="AD1742" s="5"/>
      <c r="AE1742" s="5"/>
      <c r="AF1742" s="5"/>
      <c r="AG1742" s="5"/>
      <c r="AH1742" s="5"/>
      <c r="AI1742" s="5"/>
      <c r="AJ1742" s="5"/>
      <c r="AK1742" s="5"/>
      <c r="AL1742" s="5"/>
    </row>
    <row r="1743">
      <c r="A1743" s="4" t="str">
        <f>VLOOKUP(L1743,payment_ids!C:D,2,FALSE)</f>
        <v>pay_H97X5VGTdeDC6t</v>
      </c>
      <c r="B1743" s="4"/>
      <c r="C1743" s="4" t="s">
        <v>5181</v>
      </c>
      <c r="D1743" s="4">
        <v>50022.0</v>
      </c>
      <c r="E1743" s="4"/>
      <c r="F1743" s="4">
        <v>3.0</v>
      </c>
      <c r="G1743" s="4">
        <v>199.0</v>
      </c>
      <c r="H1743" s="4"/>
      <c r="I1743" s="4">
        <v>199.0</v>
      </c>
      <c r="J1743" s="4" t="s">
        <v>5192</v>
      </c>
      <c r="K1743" s="6">
        <f>+919822158892</f>
        <v>919822158892</v>
      </c>
      <c r="L1743" s="4" t="str">
        <f t="shared" si="1"/>
        <v>pritirajsheth@gmail.com919822158892</v>
      </c>
      <c r="M1743" s="10" t="s">
        <v>67</v>
      </c>
      <c r="N1743" s="4" t="b">
        <v>0</v>
      </c>
      <c r="O1743" s="4" t="str">
        <f>VLOOKUP(A1743,payment_ids!D:E,2,FALSE)</f>
        <v>card</v>
      </c>
      <c r="P1743" s="4" t="s">
        <v>69</v>
      </c>
      <c r="Q1743" s="11">
        <v>44474.82708333333</v>
      </c>
      <c r="R1743" s="4"/>
      <c r="S1743" s="12" t="s">
        <v>5183</v>
      </c>
      <c r="T1743" s="4"/>
      <c r="U1743" s="4"/>
      <c r="V1743" s="11"/>
      <c r="W1743" s="5"/>
      <c r="X1743" s="11"/>
      <c r="Y1743" s="4"/>
      <c r="Z1743" s="5"/>
      <c r="AA1743" s="4"/>
      <c r="AB1743" s="4"/>
      <c r="AC1743" s="4"/>
      <c r="AD1743" s="5"/>
      <c r="AE1743" s="5"/>
      <c r="AF1743" s="5"/>
      <c r="AG1743" s="5"/>
      <c r="AH1743" s="5"/>
      <c r="AI1743" s="5"/>
      <c r="AJ1743" s="5"/>
      <c r="AK1743" s="5"/>
      <c r="AL1743" s="5"/>
    </row>
    <row r="1744">
      <c r="A1744" s="4" t="str">
        <f>VLOOKUP(L1744,payment_ids!C:D,2,FALSE)</f>
        <v>pay_H9C9ETWp3sRzAd</v>
      </c>
      <c r="B1744" s="4"/>
      <c r="C1744" s="4" t="s">
        <v>5181</v>
      </c>
      <c r="D1744" s="4">
        <v>50022.0</v>
      </c>
      <c r="E1744" s="4"/>
      <c r="F1744" s="4">
        <v>3.0</v>
      </c>
      <c r="G1744" s="4">
        <v>199.0</v>
      </c>
      <c r="H1744" s="4"/>
      <c r="I1744" s="4">
        <v>199.0</v>
      </c>
      <c r="J1744" s="4" t="s">
        <v>5193</v>
      </c>
      <c r="K1744" s="6">
        <f>+919632948226</f>
        <v>919632948226</v>
      </c>
      <c r="L1744" s="4" t="str">
        <f t="shared" si="1"/>
        <v>prithvibabu9@gmail.com919632948226</v>
      </c>
      <c r="M1744" s="10" t="s">
        <v>67</v>
      </c>
      <c r="N1744" s="4" t="b">
        <v>0</v>
      </c>
      <c r="O1744" s="4" t="str">
        <f>VLOOKUP(A1744,payment_ids!D:E,2,FALSE)</f>
        <v>upi</v>
      </c>
      <c r="P1744" s="4" t="s">
        <v>69</v>
      </c>
      <c r="Q1744" s="11">
        <v>44505.01527777778</v>
      </c>
      <c r="R1744" s="4"/>
      <c r="S1744" s="12" t="s">
        <v>5183</v>
      </c>
      <c r="T1744" s="4"/>
      <c r="U1744" s="4"/>
      <c r="V1744" s="11"/>
      <c r="W1744" s="5"/>
      <c r="X1744" s="11"/>
      <c r="Y1744" s="4"/>
      <c r="Z1744" s="5"/>
      <c r="AA1744" s="4"/>
      <c r="AB1744" s="4"/>
      <c r="AC1744" s="4"/>
      <c r="AD1744" s="5"/>
      <c r="AE1744" s="5"/>
      <c r="AF1744" s="5"/>
      <c r="AG1744" s="5"/>
      <c r="AH1744" s="5"/>
      <c r="AI1744" s="5"/>
      <c r="AJ1744" s="5"/>
      <c r="AK1744" s="5"/>
      <c r="AL1744" s="5"/>
    </row>
    <row r="1745">
      <c r="A1745" s="4" t="str">
        <f>VLOOKUP(L1745,payment_ids!C:D,2,FALSE)</f>
        <v>pay_HBRq0qZdYMuJVk</v>
      </c>
      <c r="B1745" s="4"/>
      <c r="C1745" s="4" t="s">
        <v>5181</v>
      </c>
      <c r="D1745" s="4">
        <v>50022.0</v>
      </c>
      <c r="E1745" s="4"/>
      <c r="F1745" s="4">
        <v>6.0</v>
      </c>
      <c r="G1745" s="4">
        <v>349.0</v>
      </c>
      <c r="H1745" s="4"/>
      <c r="I1745" s="4">
        <v>349.0</v>
      </c>
      <c r="J1745" s="4" t="s">
        <v>5194</v>
      </c>
      <c r="K1745" s="6">
        <f>+919589008911</f>
        <v>919589008911</v>
      </c>
      <c r="L1745" s="4" t="str">
        <f t="shared" si="1"/>
        <v>pyushkankane1994@gmail.com919589008911</v>
      </c>
      <c r="M1745" s="10" t="s">
        <v>67</v>
      </c>
      <c r="N1745" s="4" t="b">
        <v>0</v>
      </c>
      <c r="O1745" s="4" t="str">
        <f>VLOOKUP(A1745,payment_ids!D:E,2,FALSE)</f>
        <v>upi</v>
      </c>
      <c r="P1745" s="4" t="s">
        <v>69</v>
      </c>
      <c r="Q1745" s="4" t="s">
        <v>5195</v>
      </c>
      <c r="R1745" s="4"/>
      <c r="S1745" s="12" t="s">
        <v>5183</v>
      </c>
      <c r="T1745" s="4"/>
      <c r="U1745" s="4"/>
      <c r="V1745" s="11"/>
      <c r="W1745" s="5"/>
      <c r="X1745" s="11"/>
      <c r="Y1745" s="4"/>
      <c r="Z1745" s="5"/>
      <c r="AA1745" s="4"/>
      <c r="AB1745" s="4"/>
      <c r="AC1745" s="4"/>
      <c r="AD1745" s="5"/>
      <c r="AE1745" s="5"/>
      <c r="AF1745" s="5"/>
      <c r="AG1745" s="5"/>
      <c r="AH1745" s="5"/>
      <c r="AI1745" s="5"/>
      <c r="AJ1745" s="5"/>
      <c r="AK1745" s="5"/>
      <c r="AL1745" s="5"/>
    </row>
    <row r="1746">
      <c r="A1746" s="4" t="str">
        <f>VLOOKUP(L1746,payment_ids!C:D,2,FALSE)</f>
        <v>pay_HBrT4n0rMsFAjF</v>
      </c>
      <c r="B1746" s="4"/>
      <c r="C1746" s="4" t="s">
        <v>5181</v>
      </c>
      <c r="D1746" s="4">
        <v>50022.0</v>
      </c>
      <c r="E1746" s="4"/>
      <c r="F1746" s="4">
        <v>3.0</v>
      </c>
      <c r="G1746" s="4">
        <v>199.0</v>
      </c>
      <c r="H1746" s="4"/>
      <c r="I1746" s="4">
        <v>199.0</v>
      </c>
      <c r="J1746" s="4" t="s">
        <v>5196</v>
      </c>
      <c r="K1746" s="6">
        <f>+919841039449</f>
        <v>919841039449</v>
      </c>
      <c r="L1746" s="4" t="str">
        <f t="shared" si="1"/>
        <v>sunith@gehnaindia.com919841039449</v>
      </c>
      <c r="M1746" s="10" t="s">
        <v>67</v>
      </c>
      <c r="N1746" s="4" t="b">
        <v>0</v>
      </c>
      <c r="O1746" s="4" t="str">
        <f>VLOOKUP(A1746,payment_ids!D:E,2,FALSE)</f>
        <v>upi</v>
      </c>
      <c r="P1746" s="4" t="s">
        <v>69</v>
      </c>
      <c r="Q1746" s="4" t="s">
        <v>5197</v>
      </c>
      <c r="R1746" s="4"/>
      <c r="S1746" s="12" t="s">
        <v>5183</v>
      </c>
      <c r="T1746" s="4"/>
      <c r="U1746" s="4"/>
      <c r="V1746" s="11"/>
      <c r="W1746" s="5"/>
      <c r="X1746" s="11"/>
      <c r="Y1746" s="4"/>
      <c r="Z1746" s="5"/>
      <c r="AA1746" s="4"/>
      <c r="AB1746" s="4"/>
      <c r="AC1746" s="4"/>
      <c r="AD1746" s="5"/>
      <c r="AE1746" s="5"/>
      <c r="AF1746" s="5"/>
      <c r="AG1746" s="5"/>
      <c r="AH1746" s="5"/>
      <c r="AI1746" s="5"/>
      <c r="AJ1746" s="5"/>
      <c r="AK1746" s="5"/>
      <c r="AL1746" s="5"/>
    </row>
    <row r="1747">
      <c r="A1747" s="4" t="str">
        <f>VLOOKUP(L1747,payment_ids!C:D,2,FALSE)</f>
        <v>pay_HBs3zX4lEElws7</v>
      </c>
      <c r="B1747" s="4"/>
      <c r="C1747" s="4" t="s">
        <v>5181</v>
      </c>
      <c r="D1747" s="4">
        <v>50022.0</v>
      </c>
      <c r="E1747" s="4"/>
      <c r="F1747" s="4">
        <v>3.0</v>
      </c>
      <c r="G1747" s="4">
        <v>199.0</v>
      </c>
      <c r="H1747" s="4"/>
      <c r="I1747" s="4">
        <v>199.0</v>
      </c>
      <c r="J1747" s="4" t="s">
        <v>5198</v>
      </c>
      <c r="K1747" s="6">
        <f>+916283424691</f>
        <v>916283424691</v>
      </c>
      <c r="L1747" s="4" t="str">
        <f t="shared" si="1"/>
        <v>n13mish@gmail.com916283424691</v>
      </c>
      <c r="M1747" s="10" t="s">
        <v>67</v>
      </c>
      <c r="N1747" s="4" t="b">
        <v>0</v>
      </c>
      <c r="O1747" s="4" t="str">
        <f>VLOOKUP(A1747,payment_ids!D:E,2,FALSE)</f>
        <v>upi</v>
      </c>
      <c r="P1747" s="4" t="s">
        <v>69</v>
      </c>
      <c r="Q1747" s="4" t="s">
        <v>5199</v>
      </c>
      <c r="R1747" s="4"/>
      <c r="S1747" s="12" t="s">
        <v>5183</v>
      </c>
      <c r="T1747" s="4"/>
      <c r="U1747" s="4"/>
      <c r="V1747" s="11"/>
      <c r="W1747" s="5"/>
      <c r="X1747" s="11"/>
      <c r="Y1747" s="4"/>
      <c r="Z1747" s="5"/>
      <c r="AA1747" s="4"/>
      <c r="AB1747" s="4"/>
      <c r="AC1747" s="4"/>
      <c r="AD1747" s="5"/>
      <c r="AE1747" s="5"/>
      <c r="AF1747" s="5"/>
      <c r="AG1747" s="5"/>
      <c r="AH1747" s="5"/>
      <c r="AI1747" s="5"/>
      <c r="AJ1747" s="5"/>
      <c r="AK1747" s="5"/>
      <c r="AL1747" s="5"/>
    </row>
    <row r="1748">
      <c r="A1748" s="4" t="str">
        <f>VLOOKUP(L1748,payment_ids!C:D,2,FALSE)</f>
        <v>pay_HBiB82g5EoxIgV</v>
      </c>
      <c r="B1748" s="4"/>
      <c r="C1748" s="4" t="s">
        <v>5181</v>
      </c>
      <c r="D1748" s="4">
        <v>50022.0</v>
      </c>
      <c r="E1748" s="4"/>
      <c r="F1748" s="4">
        <v>6.0</v>
      </c>
      <c r="G1748" s="4">
        <v>349.0</v>
      </c>
      <c r="H1748" s="4"/>
      <c r="I1748" s="4">
        <v>349.0</v>
      </c>
      <c r="J1748" s="4" t="s">
        <v>5200</v>
      </c>
      <c r="K1748" s="6">
        <f>+918806666109</f>
        <v>918806666109</v>
      </c>
      <c r="L1748" s="4" t="str">
        <f t="shared" si="1"/>
        <v>priti.charate@gmail.com918806666109</v>
      </c>
      <c r="M1748" s="10" t="s">
        <v>67</v>
      </c>
      <c r="N1748" s="4" t="b">
        <v>0</v>
      </c>
      <c r="O1748" s="4" t="str">
        <f>VLOOKUP(A1748,payment_ids!D:E,2,FALSE)</f>
        <v>upi</v>
      </c>
      <c r="P1748" s="4" t="s">
        <v>69</v>
      </c>
      <c r="Q1748" s="4" t="s">
        <v>5201</v>
      </c>
      <c r="R1748" s="4"/>
      <c r="S1748" s="12" t="s">
        <v>5183</v>
      </c>
      <c r="T1748" s="4"/>
      <c r="U1748" s="4"/>
      <c r="V1748" s="11"/>
      <c r="W1748" s="5"/>
      <c r="X1748" s="11"/>
      <c r="Y1748" s="4"/>
      <c r="Z1748" s="5"/>
      <c r="AA1748" s="4"/>
      <c r="AB1748" s="4"/>
      <c r="AC1748" s="4"/>
      <c r="AD1748" s="5"/>
      <c r="AE1748" s="5"/>
      <c r="AF1748" s="5"/>
      <c r="AG1748" s="5"/>
      <c r="AH1748" s="5"/>
      <c r="AI1748" s="5"/>
      <c r="AJ1748" s="5"/>
      <c r="AK1748" s="5"/>
      <c r="AL1748" s="5"/>
    </row>
    <row r="1749">
      <c r="A1749" s="4" t="str">
        <f>VLOOKUP(L1749,payment_ids!C:D,2,FALSE)</f>
        <v>pay_HBkXS9W0JvE1l1</v>
      </c>
      <c r="B1749" s="4"/>
      <c r="C1749" s="4" t="s">
        <v>5181</v>
      </c>
      <c r="D1749" s="4">
        <v>50022.0</v>
      </c>
      <c r="E1749" s="4"/>
      <c r="F1749" s="4">
        <v>3.0</v>
      </c>
      <c r="G1749" s="4">
        <v>199.0</v>
      </c>
      <c r="H1749" s="4"/>
      <c r="I1749" s="4">
        <v>199.0</v>
      </c>
      <c r="J1749" s="4" t="s">
        <v>5202</v>
      </c>
      <c r="K1749" s="6">
        <f>+919444587152</f>
        <v>919444587152</v>
      </c>
      <c r="L1749" s="4" t="str">
        <f t="shared" si="1"/>
        <v>krishnavenirao69@gmail.com919444587152</v>
      </c>
      <c r="M1749" s="10" t="s">
        <v>67</v>
      </c>
      <c r="N1749" s="4" t="b">
        <v>0</v>
      </c>
      <c r="O1749" s="4" t="str">
        <f>VLOOKUP(A1749,payment_ids!D:E,2,FALSE)</f>
        <v>upi</v>
      </c>
      <c r="P1749" s="4" t="s">
        <v>69</v>
      </c>
      <c r="Q1749" s="4" t="s">
        <v>5203</v>
      </c>
      <c r="R1749" s="4"/>
      <c r="S1749" s="12" t="s">
        <v>5183</v>
      </c>
      <c r="T1749" s="4"/>
      <c r="U1749" s="4"/>
      <c r="V1749" s="11"/>
      <c r="W1749" s="5"/>
      <c r="X1749" s="11"/>
      <c r="Y1749" s="4"/>
      <c r="Z1749" s="5"/>
      <c r="AA1749" s="4"/>
      <c r="AB1749" s="4"/>
      <c r="AC1749" s="4"/>
      <c r="AD1749" s="5"/>
      <c r="AE1749" s="5"/>
      <c r="AF1749" s="5"/>
      <c r="AG1749" s="5"/>
      <c r="AH1749" s="5"/>
      <c r="AI1749" s="5"/>
      <c r="AJ1749" s="5"/>
      <c r="AK1749" s="5"/>
      <c r="AL1749" s="5"/>
    </row>
    <row r="1750">
      <c r="A1750" s="4" t="str">
        <f>VLOOKUP(L1750,payment_ids!C:D,2,FALSE)</f>
        <v>pay_HCJ1T8DVNhQWpR</v>
      </c>
      <c r="B1750" s="4"/>
      <c r="C1750" s="4" t="s">
        <v>5181</v>
      </c>
      <c r="D1750" s="4">
        <v>50022.0</v>
      </c>
      <c r="E1750" s="4"/>
      <c r="F1750" s="4">
        <v>3.0</v>
      </c>
      <c r="G1750" s="4">
        <v>199.0</v>
      </c>
      <c r="H1750" s="4"/>
      <c r="I1750" s="4">
        <v>199.0</v>
      </c>
      <c r="J1750" s="4" t="s">
        <v>5204</v>
      </c>
      <c r="K1750" s="6">
        <f>+919365112490</f>
        <v>919365112490</v>
      </c>
      <c r="L1750" s="4" t="str">
        <f t="shared" si="1"/>
        <v>mmmanjuliet84@gmail.com919365112490</v>
      </c>
      <c r="M1750" s="10" t="s">
        <v>67</v>
      </c>
      <c r="N1750" s="4" t="b">
        <v>0</v>
      </c>
      <c r="O1750" s="4" t="str">
        <f>VLOOKUP(A1750,payment_ids!D:E,2,FALSE)</f>
        <v>upi</v>
      </c>
      <c r="P1750" s="4" t="s">
        <v>69</v>
      </c>
      <c r="Q1750" s="4" t="s">
        <v>5205</v>
      </c>
      <c r="R1750" s="4"/>
      <c r="S1750" s="12" t="s">
        <v>5183</v>
      </c>
      <c r="T1750" s="4"/>
      <c r="U1750" s="4"/>
      <c r="V1750" s="11"/>
      <c r="W1750" s="5"/>
      <c r="X1750" s="11"/>
      <c r="Y1750" s="4"/>
      <c r="Z1750" s="5"/>
      <c r="AA1750" s="4"/>
      <c r="AB1750" s="4"/>
      <c r="AC1750" s="4"/>
      <c r="AD1750" s="5"/>
      <c r="AE1750" s="5"/>
      <c r="AF1750" s="5"/>
      <c r="AG1750" s="5"/>
      <c r="AH1750" s="5"/>
      <c r="AI1750" s="5"/>
      <c r="AJ1750" s="5"/>
      <c r="AK1750" s="5"/>
      <c r="AL1750" s="5"/>
    </row>
    <row r="1751">
      <c r="A1751" s="4" t="str">
        <f>VLOOKUP(L1751,payment_ids!C:D,2,FALSE)</f>
        <v>pay_HC8onOHCwznQPP</v>
      </c>
      <c r="B1751" s="4"/>
      <c r="C1751" s="4" t="s">
        <v>5181</v>
      </c>
      <c r="D1751" s="4">
        <v>50022.0</v>
      </c>
      <c r="E1751" s="4"/>
      <c r="F1751" s="4">
        <v>3.0</v>
      </c>
      <c r="G1751" s="4">
        <v>199.0</v>
      </c>
      <c r="H1751" s="4"/>
      <c r="I1751" s="4">
        <v>199.0</v>
      </c>
      <c r="J1751" s="4" t="s">
        <v>5206</v>
      </c>
      <c r="K1751" s="6">
        <f>+919820008542</f>
        <v>919820008542</v>
      </c>
      <c r="L1751" s="4" t="str">
        <f t="shared" si="1"/>
        <v>sindhundk@gmail.com919820008542</v>
      </c>
      <c r="M1751" s="10" t="s">
        <v>67</v>
      </c>
      <c r="N1751" s="4" t="b">
        <v>0</v>
      </c>
      <c r="O1751" s="4" t="str">
        <f>VLOOKUP(A1751,payment_ids!D:E,2,FALSE)</f>
        <v>card</v>
      </c>
      <c r="P1751" s="4" t="s">
        <v>69</v>
      </c>
      <c r="Q1751" s="4" t="s">
        <v>5207</v>
      </c>
      <c r="R1751" s="4"/>
      <c r="S1751" s="12" t="s">
        <v>5183</v>
      </c>
      <c r="T1751" s="4"/>
      <c r="U1751" s="4"/>
      <c r="V1751" s="11"/>
      <c r="W1751" s="5"/>
      <c r="X1751" s="11"/>
      <c r="Y1751" s="4"/>
      <c r="Z1751" s="5"/>
      <c r="AA1751" s="4"/>
      <c r="AB1751" s="4"/>
      <c r="AC1751" s="4"/>
      <c r="AD1751" s="5"/>
      <c r="AE1751" s="5"/>
      <c r="AF1751" s="5"/>
      <c r="AG1751" s="5"/>
      <c r="AH1751" s="5"/>
      <c r="AI1751" s="5"/>
      <c r="AJ1751" s="5"/>
      <c r="AK1751" s="5"/>
      <c r="AL1751" s="5"/>
    </row>
    <row r="1752">
      <c r="A1752" s="4" t="str">
        <f>VLOOKUP(L1752,payment_ids!C:D,2,FALSE)</f>
        <v>pay_HCeSZn3yQxfVF2</v>
      </c>
      <c r="B1752" s="4"/>
      <c r="C1752" s="4" t="s">
        <v>5181</v>
      </c>
      <c r="D1752" s="4">
        <v>50022.0</v>
      </c>
      <c r="E1752" s="4"/>
      <c r="F1752" s="4">
        <v>3.0</v>
      </c>
      <c r="G1752" s="4">
        <v>199.0</v>
      </c>
      <c r="H1752" s="4"/>
      <c r="I1752" s="4">
        <v>199.0</v>
      </c>
      <c r="J1752" s="4" t="s">
        <v>5208</v>
      </c>
      <c r="K1752" s="6">
        <f>+919119393172</f>
        <v>919119393172</v>
      </c>
      <c r="L1752" s="4" t="str">
        <f t="shared" si="1"/>
        <v>tirthani.komal@gmail.com919119393172</v>
      </c>
      <c r="M1752" s="10" t="s">
        <v>67</v>
      </c>
      <c r="N1752" s="4" t="b">
        <v>0</v>
      </c>
      <c r="O1752" s="4" t="str">
        <f>VLOOKUP(A1752,payment_ids!D:E,2,FALSE)</f>
        <v>upi</v>
      </c>
      <c r="P1752" s="4" t="s">
        <v>69</v>
      </c>
      <c r="Q1752" s="4" t="s">
        <v>5209</v>
      </c>
      <c r="R1752" s="4"/>
      <c r="S1752" s="12" t="s">
        <v>5183</v>
      </c>
      <c r="T1752" s="4"/>
      <c r="U1752" s="4"/>
      <c r="V1752" s="11"/>
      <c r="W1752" s="5"/>
      <c r="X1752" s="11"/>
      <c r="Y1752" s="4"/>
      <c r="Z1752" s="5"/>
      <c r="AA1752" s="4"/>
      <c r="AB1752" s="4"/>
      <c r="AC1752" s="4"/>
      <c r="AD1752" s="5"/>
      <c r="AE1752" s="5"/>
      <c r="AF1752" s="5"/>
      <c r="AG1752" s="5"/>
      <c r="AH1752" s="5"/>
      <c r="AI1752" s="5"/>
      <c r="AJ1752" s="5"/>
      <c r="AK1752" s="5"/>
      <c r="AL1752" s="5"/>
    </row>
    <row r="1753">
      <c r="A1753" s="4" t="str">
        <f>VLOOKUP(L1753,payment_ids!C:D,2,FALSE)</f>
        <v>pay_HCxSKAgSHvwE9u</v>
      </c>
      <c r="B1753" s="4"/>
      <c r="C1753" s="4" t="s">
        <v>5181</v>
      </c>
      <c r="D1753" s="4">
        <v>50022.0</v>
      </c>
      <c r="E1753" s="4"/>
      <c r="F1753" s="4">
        <v>1.0</v>
      </c>
      <c r="G1753" s="4">
        <v>99.0</v>
      </c>
      <c r="H1753" s="4"/>
      <c r="I1753" s="4">
        <v>99.0</v>
      </c>
      <c r="J1753" s="4" t="s">
        <v>5210</v>
      </c>
      <c r="K1753" s="6">
        <f>+919903863033</f>
        <v>919903863033</v>
      </c>
      <c r="L1753" s="4" t="str">
        <f t="shared" si="1"/>
        <v>jyotiapril30@gmail.com919903863033</v>
      </c>
      <c r="M1753" s="10" t="s">
        <v>67</v>
      </c>
      <c r="N1753" s="4" t="b">
        <v>0</v>
      </c>
      <c r="O1753" s="4" t="str">
        <f>VLOOKUP(A1753,payment_ids!D:E,2,FALSE)</f>
        <v>upi</v>
      </c>
      <c r="P1753" s="4" t="s">
        <v>69</v>
      </c>
      <c r="Q1753" s="4" t="s">
        <v>5211</v>
      </c>
      <c r="R1753" s="4"/>
      <c r="S1753" s="12" t="s">
        <v>5183</v>
      </c>
      <c r="T1753" s="4"/>
      <c r="U1753" s="4"/>
      <c r="V1753" s="11"/>
      <c r="W1753" s="5"/>
      <c r="X1753" s="11"/>
      <c r="Y1753" s="4"/>
      <c r="Z1753" s="5"/>
      <c r="AA1753" s="4"/>
      <c r="AB1753" s="4"/>
      <c r="AC1753" s="4"/>
      <c r="AD1753" s="5"/>
      <c r="AE1753" s="5"/>
      <c r="AF1753" s="5"/>
      <c r="AG1753" s="5"/>
      <c r="AH1753" s="5"/>
      <c r="AI1753" s="5"/>
      <c r="AJ1753" s="5"/>
      <c r="AK1753" s="5"/>
      <c r="AL1753" s="5"/>
    </row>
    <row r="1754">
      <c r="A1754" s="4" t="str">
        <f>VLOOKUP(L1754,payment_ids!C:D,2,FALSE)</f>
        <v>pay_HCyt9jiyVT7EUS</v>
      </c>
      <c r="B1754" s="4"/>
      <c r="C1754" s="4" t="s">
        <v>5181</v>
      </c>
      <c r="D1754" s="4">
        <v>50022.0</v>
      </c>
      <c r="E1754" s="4"/>
      <c r="F1754" s="4">
        <v>3.0</v>
      </c>
      <c r="G1754" s="4">
        <v>199.0</v>
      </c>
      <c r="H1754" s="4"/>
      <c r="I1754" s="4">
        <v>199.0</v>
      </c>
      <c r="J1754" s="4" t="s">
        <v>5212</v>
      </c>
      <c r="K1754" s="6">
        <f>+919999796877</f>
        <v>919999796877</v>
      </c>
      <c r="L1754" s="4" t="str">
        <f t="shared" si="1"/>
        <v>sakshi.walker@gmail.com919999796877</v>
      </c>
      <c r="M1754" s="10" t="s">
        <v>67</v>
      </c>
      <c r="N1754" s="4" t="b">
        <v>0</v>
      </c>
      <c r="O1754" s="4" t="str">
        <f>VLOOKUP(A1754,payment_ids!D:E,2,FALSE)</f>
        <v>upi</v>
      </c>
      <c r="P1754" s="4" t="s">
        <v>69</v>
      </c>
      <c r="Q1754" s="4" t="s">
        <v>5213</v>
      </c>
      <c r="R1754" s="4"/>
      <c r="S1754" s="12" t="s">
        <v>5183</v>
      </c>
      <c r="T1754" s="4"/>
      <c r="U1754" s="4"/>
      <c r="V1754" s="11"/>
      <c r="W1754" s="5"/>
      <c r="X1754" s="11"/>
      <c r="Y1754" s="4"/>
      <c r="Z1754" s="5"/>
      <c r="AA1754" s="4"/>
      <c r="AB1754" s="4"/>
      <c r="AC1754" s="4"/>
      <c r="AD1754" s="5"/>
      <c r="AE1754" s="5"/>
      <c r="AF1754" s="5"/>
      <c r="AG1754" s="5"/>
      <c r="AH1754" s="5"/>
      <c r="AI1754" s="5"/>
      <c r="AJ1754" s="5"/>
      <c r="AK1754" s="5"/>
      <c r="AL1754" s="5"/>
    </row>
    <row r="1755">
      <c r="A1755" s="4" t="str">
        <f>VLOOKUP(L1755,payment_ids!C:D,2,FALSE)</f>
        <v>pay_HD5izdJbrDYvpz</v>
      </c>
      <c r="B1755" s="4"/>
      <c r="C1755" s="4" t="s">
        <v>5181</v>
      </c>
      <c r="D1755" s="4">
        <v>50022.0</v>
      </c>
      <c r="E1755" s="4"/>
      <c r="F1755" s="4">
        <v>1.0</v>
      </c>
      <c r="G1755" s="4">
        <v>99.0</v>
      </c>
      <c r="H1755" s="4"/>
      <c r="I1755" s="4">
        <v>99.0</v>
      </c>
      <c r="J1755" s="4" t="s">
        <v>5214</v>
      </c>
      <c r="K1755" s="6">
        <f>+919987491199</f>
        <v>919987491199</v>
      </c>
      <c r="L1755" s="4" t="str">
        <f t="shared" si="1"/>
        <v>ankitajaiswal2890@gmail.com919987491199</v>
      </c>
      <c r="M1755" s="10" t="s">
        <v>67</v>
      </c>
      <c r="N1755" s="4" t="b">
        <v>0</v>
      </c>
      <c r="O1755" s="4" t="str">
        <f>VLOOKUP(A1755,payment_ids!D:E,2,FALSE)</f>
        <v>upi</v>
      </c>
      <c r="P1755" s="4" t="s">
        <v>69</v>
      </c>
      <c r="Q1755" s="4" t="s">
        <v>5215</v>
      </c>
      <c r="R1755" s="4"/>
      <c r="S1755" s="12" t="s">
        <v>5183</v>
      </c>
      <c r="T1755" s="4"/>
      <c r="U1755" s="4"/>
      <c r="V1755" s="11"/>
      <c r="W1755" s="5"/>
      <c r="X1755" s="11"/>
      <c r="Y1755" s="4"/>
      <c r="Z1755" s="5"/>
      <c r="AA1755" s="4"/>
      <c r="AB1755" s="4"/>
      <c r="AC1755" s="4"/>
      <c r="AD1755" s="5"/>
      <c r="AE1755" s="5"/>
      <c r="AF1755" s="5"/>
      <c r="AG1755" s="5"/>
      <c r="AH1755" s="5"/>
      <c r="AI1755" s="5"/>
      <c r="AJ1755" s="5"/>
      <c r="AK1755" s="5"/>
      <c r="AL1755" s="5"/>
    </row>
    <row r="1756">
      <c r="A1756" s="4" t="str">
        <f>VLOOKUP(L1756,payment_ids!C:D,2,FALSE)</f>
        <v>pay_HDOhqMnFKmMcDl</v>
      </c>
      <c r="B1756" s="4"/>
      <c r="C1756" s="4" t="s">
        <v>5181</v>
      </c>
      <c r="D1756" s="4">
        <v>50022.0</v>
      </c>
      <c r="E1756" s="4"/>
      <c r="F1756" s="4">
        <v>1.0</v>
      </c>
      <c r="G1756" s="4">
        <v>99.0</v>
      </c>
      <c r="H1756" s="4"/>
      <c r="I1756" s="4">
        <v>99.0</v>
      </c>
      <c r="J1756" s="4" t="s">
        <v>5216</v>
      </c>
      <c r="K1756" s="6">
        <f>+919535703752</f>
        <v>919535703752</v>
      </c>
      <c r="L1756" s="4" t="str">
        <f t="shared" si="1"/>
        <v>nehap2176@gmail.com919535703752</v>
      </c>
      <c r="M1756" s="10" t="s">
        <v>67</v>
      </c>
      <c r="N1756" s="4" t="b">
        <v>0</v>
      </c>
      <c r="O1756" s="4" t="str">
        <f>VLOOKUP(A1756,payment_ids!D:E,2,FALSE)</f>
        <v>upi</v>
      </c>
      <c r="P1756" s="4" t="s">
        <v>69</v>
      </c>
      <c r="Q1756" s="4" t="s">
        <v>5217</v>
      </c>
      <c r="R1756" s="4"/>
      <c r="S1756" s="12" t="s">
        <v>5183</v>
      </c>
      <c r="T1756" s="4"/>
      <c r="U1756" s="4"/>
      <c r="V1756" s="11"/>
      <c r="W1756" s="5"/>
      <c r="X1756" s="11"/>
      <c r="Y1756" s="4"/>
      <c r="Z1756" s="5"/>
      <c r="AA1756" s="4"/>
      <c r="AB1756" s="4"/>
      <c r="AC1756" s="4"/>
      <c r="AD1756" s="5"/>
      <c r="AE1756" s="5"/>
      <c r="AF1756" s="5"/>
      <c r="AG1756" s="5"/>
      <c r="AH1756" s="5"/>
      <c r="AI1756" s="5"/>
      <c r="AJ1756" s="5"/>
      <c r="AK1756" s="5"/>
      <c r="AL1756" s="5"/>
    </row>
    <row r="1757">
      <c r="A1757" s="4" t="str">
        <f>VLOOKUP(L1757,payment_ids!C:D,2,FALSE)</f>
        <v>pay_HDU8R52pJ4P55o</v>
      </c>
      <c r="B1757" s="4"/>
      <c r="C1757" s="4" t="s">
        <v>5181</v>
      </c>
      <c r="D1757" s="4">
        <v>50022.0</v>
      </c>
      <c r="E1757" s="4"/>
      <c r="F1757" s="4">
        <v>1.0</v>
      </c>
      <c r="G1757" s="4">
        <v>99.0</v>
      </c>
      <c r="H1757" s="4"/>
      <c r="I1757" s="4">
        <v>99.0</v>
      </c>
      <c r="J1757" s="4" t="s">
        <v>5218</v>
      </c>
      <c r="K1757" s="6">
        <f>+919172127573</f>
        <v>919172127573</v>
      </c>
      <c r="L1757" s="4" t="str">
        <f t="shared" si="1"/>
        <v>myworld07interiors@gmail.com919172127573</v>
      </c>
      <c r="M1757" s="10" t="s">
        <v>67</v>
      </c>
      <c r="N1757" s="4" t="b">
        <v>0</v>
      </c>
      <c r="O1757" s="4" t="str">
        <f>VLOOKUP(A1757,payment_ids!D:E,2,FALSE)</f>
        <v>upi</v>
      </c>
      <c r="P1757" s="4" t="s">
        <v>69</v>
      </c>
      <c r="Q1757" s="4" t="s">
        <v>5219</v>
      </c>
      <c r="R1757" s="4"/>
      <c r="S1757" s="12" t="s">
        <v>5183</v>
      </c>
      <c r="T1757" s="4"/>
      <c r="U1757" s="4"/>
      <c r="V1757" s="11"/>
      <c r="W1757" s="5"/>
      <c r="X1757" s="11"/>
      <c r="Y1757" s="4"/>
      <c r="Z1757" s="5"/>
      <c r="AA1757" s="4"/>
      <c r="AB1757" s="4"/>
      <c r="AC1757" s="4"/>
      <c r="AD1757" s="5"/>
      <c r="AE1757" s="5"/>
      <c r="AF1757" s="5"/>
      <c r="AG1757" s="5"/>
      <c r="AH1757" s="5"/>
      <c r="AI1757" s="5"/>
      <c r="AJ1757" s="5"/>
      <c r="AK1757" s="5"/>
      <c r="AL1757" s="5"/>
    </row>
    <row r="1758">
      <c r="A1758" s="4" t="str">
        <f>VLOOKUP(L1758,payment_ids!C:D,2,FALSE)</f>
        <v>pay_HDljqZwsOez392</v>
      </c>
      <c r="B1758" s="4"/>
      <c r="C1758" s="4" t="s">
        <v>5181</v>
      </c>
      <c r="D1758" s="4">
        <v>50022.0</v>
      </c>
      <c r="E1758" s="4"/>
      <c r="F1758" s="4">
        <v>1.0</v>
      </c>
      <c r="G1758" s="4">
        <v>99.0</v>
      </c>
      <c r="H1758" s="4"/>
      <c r="I1758" s="4">
        <v>99.0</v>
      </c>
      <c r="J1758" s="4" t="s">
        <v>5220</v>
      </c>
      <c r="K1758" s="6">
        <f>+919868066666</f>
        <v>919868066666</v>
      </c>
      <c r="L1758" s="4" t="str">
        <f t="shared" si="1"/>
        <v>vasudha.sood@yahoo.in919868066666</v>
      </c>
      <c r="M1758" s="10" t="s">
        <v>67</v>
      </c>
      <c r="N1758" s="4" t="b">
        <v>0</v>
      </c>
      <c r="O1758" s="4" t="str">
        <f>VLOOKUP(A1758,payment_ids!D:E,2,FALSE)</f>
        <v>upi</v>
      </c>
      <c r="P1758" s="4" t="s">
        <v>69</v>
      </c>
      <c r="Q1758" s="4" t="s">
        <v>5221</v>
      </c>
      <c r="R1758" s="4"/>
      <c r="S1758" s="12" t="s">
        <v>5183</v>
      </c>
      <c r="T1758" s="4"/>
      <c r="U1758" s="4"/>
      <c r="V1758" s="11"/>
      <c r="W1758" s="5"/>
      <c r="X1758" s="11"/>
      <c r="Y1758" s="4"/>
      <c r="Z1758" s="5"/>
      <c r="AA1758" s="4"/>
      <c r="AB1758" s="4"/>
      <c r="AC1758" s="4"/>
      <c r="AD1758" s="5"/>
      <c r="AE1758" s="5"/>
      <c r="AF1758" s="5"/>
      <c r="AG1758" s="5"/>
      <c r="AH1758" s="5"/>
      <c r="AI1758" s="5"/>
      <c r="AJ1758" s="5"/>
      <c r="AK1758" s="5"/>
      <c r="AL1758" s="5"/>
    </row>
    <row r="1759">
      <c r="A1759" s="4" t="str">
        <f>VLOOKUP(L1759,payment_ids!C:D,2,FALSE)</f>
        <v>pay_HDlvfUvqy90y2m</v>
      </c>
      <c r="B1759" s="4"/>
      <c r="C1759" s="4" t="s">
        <v>5181</v>
      </c>
      <c r="D1759" s="4">
        <v>50022.0</v>
      </c>
      <c r="E1759" s="4"/>
      <c r="F1759" s="4">
        <v>3.0</v>
      </c>
      <c r="G1759" s="4">
        <v>199.0</v>
      </c>
      <c r="H1759" s="4"/>
      <c r="I1759" s="4">
        <v>199.0</v>
      </c>
      <c r="J1759" s="4" t="s">
        <v>5222</v>
      </c>
      <c r="K1759" s="6">
        <f>+919096758759</f>
        <v>919096758759</v>
      </c>
      <c r="L1759" s="4" t="str">
        <f t="shared" si="1"/>
        <v>ydandgavhal@gmail.com919096758759</v>
      </c>
      <c r="M1759" s="10" t="s">
        <v>67</v>
      </c>
      <c r="N1759" s="4" t="b">
        <v>0</v>
      </c>
      <c r="O1759" s="4" t="str">
        <f>VLOOKUP(A1759,payment_ids!D:E,2,FALSE)</f>
        <v>card</v>
      </c>
      <c r="P1759" s="4" t="s">
        <v>69</v>
      </c>
      <c r="Q1759" s="4" t="s">
        <v>5223</v>
      </c>
      <c r="R1759" s="4"/>
      <c r="S1759" s="12" t="s">
        <v>5183</v>
      </c>
      <c r="T1759" s="4"/>
      <c r="U1759" s="4"/>
      <c r="V1759" s="11"/>
      <c r="W1759" s="5"/>
      <c r="X1759" s="11"/>
      <c r="Y1759" s="4"/>
      <c r="Z1759" s="5"/>
      <c r="AA1759" s="4"/>
      <c r="AB1759" s="4"/>
      <c r="AC1759" s="4"/>
      <c r="AD1759" s="5"/>
      <c r="AE1759" s="5"/>
      <c r="AF1759" s="5"/>
      <c r="AG1759" s="5"/>
      <c r="AH1759" s="5"/>
      <c r="AI1759" s="5"/>
      <c r="AJ1759" s="5"/>
      <c r="AK1759" s="5"/>
      <c r="AL1759" s="5"/>
    </row>
    <row r="1760">
      <c r="A1760" s="4" t="str">
        <f>VLOOKUP(L1760,payment_ids!C:D,2,FALSE)</f>
        <v>pay_HDyPCnsCwsvpfS</v>
      </c>
      <c r="B1760" s="4"/>
      <c r="C1760" s="4" t="s">
        <v>5181</v>
      </c>
      <c r="D1760" s="4">
        <v>50022.0</v>
      </c>
      <c r="E1760" s="4"/>
      <c r="F1760" s="4">
        <v>1.0</v>
      </c>
      <c r="G1760" s="4">
        <v>99.0</v>
      </c>
      <c r="H1760" s="4"/>
      <c r="I1760" s="4">
        <v>99.0</v>
      </c>
      <c r="J1760" s="4" t="s">
        <v>5224</v>
      </c>
      <c r="K1760" s="6">
        <f>+919970186839</f>
        <v>919970186839</v>
      </c>
      <c r="L1760" s="4" t="str">
        <f t="shared" si="1"/>
        <v>parikshit.taksande17@gmail.com919970186839</v>
      </c>
      <c r="M1760" s="10" t="s">
        <v>67</v>
      </c>
      <c r="N1760" s="4" t="b">
        <v>0</v>
      </c>
      <c r="O1760" s="4" t="str">
        <f>VLOOKUP(A1760,payment_ids!D:E,2,FALSE)</f>
        <v>upi</v>
      </c>
      <c r="P1760" s="4" t="s">
        <v>69</v>
      </c>
      <c r="Q1760" s="4" t="s">
        <v>5225</v>
      </c>
      <c r="R1760" s="4"/>
      <c r="S1760" s="12" t="s">
        <v>5183</v>
      </c>
      <c r="T1760" s="4"/>
      <c r="U1760" s="4"/>
      <c r="V1760" s="11"/>
      <c r="W1760" s="5"/>
      <c r="X1760" s="11"/>
      <c r="Y1760" s="4"/>
      <c r="Z1760" s="5"/>
      <c r="AA1760" s="4"/>
      <c r="AB1760" s="4"/>
      <c r="AC1760" s="4"/>
      <c r="AD1760" s="5"/>
      <c r="AE1760" s="5"/>
      <c r="AF1760" s="5"/>
      <c r="AG1760" s="5"/>
      <c r="AH1760" s="5"/>
      <c r="AI1760" s="5"/>
      <c r="AJ1760" s="5"/>
      <c r="AK1760" s="5"/>
      <c r="AL1760" s="5"/>
    </row>
    <row r="1761">
      <c r="A1761" s="4" t="str">
        <f>VLOOKUP(L1761,payment_ids!C:D,2,FALSE)</f>
        <v>pay_HE45DFiIJEAS1u</v>
      </c>
      <c r="B1761" s="4"/>
      <c r="C1761" s="4" t="s">
        <v>5181</v>
      </c>
      <c r="D1761" s="4">
        <v>50022.0</v>
      </c>
      <c r="E1761" s="4"/>
      <c r="F1761" s="4">
        <v>1.0</v>
      </c>
      <c r="G1761" s="4">
        <v>99.0</v>
      </c>
      <c r="H1761" s="4"/>
      <c r="I1761" s="4">
        <v>99.0</v>
      </c>
      <c r="J1761" s="4" t="s">
        <v>5226</v>
      </c>
      <c r="K1761" s="6">
        <f>+919829512688</f>
        <v>919829512688</v>
      </c>
      <c r="L1761" s="4" t="str">
        <f t="shared" si="1"/>
        <v>radhakankarwal@gmail.com919829512688</v>
      </c>
      <c r="M1761" s="10" t="s">
        <v>67</v>
      </c>
      <c r="N1761" s="4" t="b">
        <v>0</v>
      </c>
      <c r="O1761" s="4" t="str">
        <f>VLOOKUP(A1761,payment_ids!D:E,2,FALSE)</f>
        <v>upi</v>
      </c>
      <c r="P1761" s="4" t="s">
        <v>69</v>
      </c>
      <c r="Q1761" s="4" t="s">
        <v>4959</v>
      </c>
      <c r="R1761" s="4"/>
      <c r="S1761" s="12" t="s">
        <v>5183</v>
      </c>
      <c r="T1761" s="4"/>
      <c r="U1761" s="4"/>
      <c r="V1761" s="11"/>
      <c r="W1761" s="5"/>
      <c r="X1761" s="11"/>
      <c r="Y1761" s="4"/>
      <c r="Z1761" s="5"/>
      <c r="AA1761" s="4"/>
      <c r="AB1761" s="4"/>
      <c r="AC1761" s="4"/>
      <c r="AD1761" s="5"/>
      <c r="AE1761" s="5"/>
      <c r="AF1761" s="5"/>
      <c r="AG1761" s="5"/>
      <c r="AH1761" s="5"/>
      <c r="AI1761" s="5"/>
      <c r="AJ1761" s="5"/>
      <c r="AK1761" s="5"/>
      <c r="AL1761" s="5"/>
    </row>
    <row r="1762">
      <c r="A1762" s="4" t="str">
        <f>VLOOKUP(L1762,payment_ids!C:D,2,FALSE)</f>
        <v>pay_HE7F6pBAXrIya1</v>
      </c>
      <c r="B1762" s="4"/>
      <c r="C1762" s="4" t="s">
        <v>5181</v>
      </c>
      <c r="D1762" s="4">
        <v>50022.0</v>
      </c>
      <c r="E1762" s="4"/>
      <c r="F1762" s="4">
        <v>1.0</v>
      </c>
      <c r="G1762" s="4">
        <v>99.0</v>
      </c>
      <c r="H1762" s="4"/>
      <c r="I1762" s="4">
        <v>99.0</v>
      </c>
      <c r="J1762" s="4" t="s">
        <v>5227</v>
      </c>
      <c r="K1762" s="6">
        <f>+919842884818</f>
        <v>919842884818</v>
      </c>
      <c r="L1762" s="4" t="str">
        <f t="shared" si="1"/>
        <v>tharnu@gmail.com919842884818</v>
      </c>
      <c r="M1762" s="10" t="s">
        <v>67</v>
      </c>
      <c r="N1762" s="4" t="b">
        <v>0</v>
      </c>
      <c r="O1762" s="4" t="str">
        <f>VLOOKUP(A1762,payment_ids!D:E,2,FALSE)</f>
        <v>upi</v>
      </c>
      <c r="P1762" s="4" t="s">
        <v>69</v>
      </c>
      <c r="Q1762" s="4" t="s">
        <v>5228</v>
      </c>
      <c r="R1762" s="4"/>
      <c r="S1762" s="12" t="s">
        <v>5183</v>
      </c>
      <c r="T1762" s="4"/>
      <c r="U1762" s="4"/>
      <c r="V1762" s="11"/>
      <c r="W1762" s="5"/>
      <c r="X1762" s="11"/>
      <c r="Y1762" s="4"/>
      <c r="Z1762" s="5"/>
      <c r="AA1762" s="4"/>
      <c r="AB1762" s="4"/>
      <c r="AC1762" s="4"/>
      <c r="AD1762" s="5"/>
      <c r="AE1762" s="5"/>
      <c r="AF1762" s="5"/>
      <c r="AG1762" s="5"/>
      <c r="AH1762" s="5"/>
      <c r="AI1762" s="5"/>
      <c r="AJ1762" s="5"/>
      <c r="AK1762" s="5"/>
      <c r="AL1762" s="5"/>
    </row>
    <row r="1763">
      <c r="A1763" s="4" t="str">
        <f>VLOOKUP(L1763,payment_ids!C:D,2,FALSE)</f>
        <v>pay_HE8Fv528CRqDbb</v>
      </c>
      <c r="B1763" s="4"/>
      <c r="C1763" s="4" t="s">
        <v>5181</v>
      </c>
      <c r="D1763" s="4">
        <v>50022.0</v>
      </c>
      <c r="E1763" s="4"/>
      <c r="F1763" s="4">
        <v>1.0</v>
      </c>
      <c r="G1763" s="4">
        <v>99.0</v>
      </c>
      <c r="H1763" s="4"/>
      <c r="I1763" s="4">
        <v>99.0</v>
      </c>
      <c r="J1763" s="4" t="s">
        <v>5229</v>
      </c>
      <c r="K1763" s="6">
        <f>+917304686760</f>
        <v>917304686760</v>
      </c>
      <c r="L1763" s="4" t="str">
        <f t="shared" si="1"/>
        <v>mattanisandhya@gmail.com917304686760</v>
      </c>
      <c r="M1763" s="10" t="s">
        <v>67</v>
      </c>
      <c r="N1763" s="4" t="b">
        <v>0</v>
      </c>
      <c r="O1763" s="4" t="str">
        <f>VLOOKUP(A1763,payment_ids!D:E,2,FALSE)</f>
        <v>upi</v>
      </c>
      <c r="P1763" s="4" t="s">
        <v>69</v>
      </c>
      <c r="Q1763" s="4" t="s">
        <v>5230</v>
      </c>
      <c r="R1763" s="4"/>
      <c r="S1763" s="12" t="s">
        <v>5183</v>
      </c>
      <c r="T1763" s="4"/>
      <c r="U1763" s="4"/>
      <c r="V1763" s="11"/>
      <c r="W1763" s="5"/>
      <c r="X1763" s="11"/>
      <c r="Y1763" s="4"/>
      <c r="Z1763" s="5"/>
      <c r="AA1763" s="4"/>
      <c r="AB1763" s="4"/>
      <c r="AC1763" s="4"/>
      <c r="AD1763" s="5"/>
      <c r="AE1763" s="5"/>
      <c r="AF1763" s="5"/>
      <c r="AG1763" s="5"/>
      <c r="AH1763" s="5"/>
      <c r="AI1763" s="5"/>
      <c r="AJ1763" s="5"/>
      <c r="AK1763" s="5"/>
      <c r="AL1763" s="5"/>
    </row>
    <row r="1764">
      <c r="A1764" s="4" t="str">
        <f>VLOOKUP(L1764,payment_ids!C:D,2,FALSE)</f>
        <v>pay_HE8y9ThORrss18</v>
      </c>
      <c r="B1764" s="4"/>
      <c r="C1764" s="4" t="s">
        <v>5181</v>
      </c>
      <c r="D1764" s="4">
        <v>50022.0</v>
      </c>
      <c r="E1764" s="4"/>
      <c r="F1764" s="4">
        <v>6.0</v>
      </c>
      <c r="G1764" s="4">
        <v>349.0</v>
      </c>
      <c r="H1764" s="4"/>
      <c r="I1764" s="4">
        <v>349.0</v>
      </c>
      <c r="J1764" s="4" t="s">
        <v>5231</v>
      </c>
      <c r="K1764" s="6">
        <f>+919820851898</f>
        <v>919820851898</v>
      </c>
      <c r="L1764" s="4" t="str">
        <f t="shared" si="1"/>
        <v>ramagummalla@gmail.com919820851898</v>
      </c>
      <c r="M1764" s="10" t="s">
        <v>67</v>
      </c>
      <c r="N1764" s="4" t="b">
        <v>0</v>
      </c>
      <c r="O1764" s="4" t="str">
        <f>VLOOKUP(A1764,payment_ids!D:E,2,FALSE)</f>
        <v>card</v>
      </c>
      <c r="P1764" s="4" t="s">
        <v>69</v>
      </c>
      <c r="Q1764" s="4" t="s">
        <v>5232</v>
      </c>
      <c r="R1764" s="4"/>
      <c r="S1764" s="12" t="s">
        <v>5183</v>
      </c>
      <c r="T1764" s="4"/>
      <c r="U1764" s="4"/>
      <c r="V1764" s="11"/>
      <c r="W1764" s="5"/>
      <c r="X1764" s="11"/>
      <c r="Y1764" s="4"/>
      <c r="Z1764" s="5"/>
      <c r="AA1764" s="4"/>
      <c r="AB1764" s="4"/>
      <c r="AC1764" s="4"/>
      <c r="AD1764" s="5"/>
      <c r="AE1764" s="5"/>
      <c r="AF1764" s="5"/>
      <c r="AG1764" s="5"/>
      <c r="AH1764" s="5"/>
      <c r="AI1764" s="5"/>
      <c r="AJ1764" s="5"/>
      <c r="AK1764" s="5"/>
      <c r="AL1764" s="5"/>
    </row>
    <row r="1765">
      <c r="A1765" s="4" t="str">
        <f>VLOOKUP(L1765,payment_ids!C:D,2,FALSE)</f>
        <v>pay_HECKDCsmHgEAfa</v>
      </c>
      <c r="B1765" s="4"/>
      <c r="C1765" s="4" t="s">
        <v>5181</v>
      </c>
      <c r="D1765" s="4">
        <v>50022.0</v>
      </c>
      <c r="E1765" s="4"/>
      <c r="F1765" s="4">
        <v>3.0</v>
      </c>
      <c r="G1765" s="4">
        <v>199.0</v>
      </c>
      <c r="H1765" s="4"/>
      <c r="I1765" s="4">
        <v>199.0</v>
      </c>
      <c r="J1765" s="4" t="s">
        <v>5233</v>
      </c>
      <c r="K1765" s="6">
        <f>+919980017939</f>
        <v>919980017939</v>
      </c>
      <c r="L1765" s="4" t="str">
        <f t="shared" si="1"/>
        <v>vikraman23@gmail.com919980017939</v>
      </c>
      <c r="M1765" s="10" t="s">
        <v>67</v>
      </c>
      <c r="N1765" s="4" t="b">
        <v>0</v>
      </c>
      <c r="O1765" s="4" t="str">
        <f>VLOOKUP(A1765,payment_ids!D:E,2,FALSE)</f>
        <v>upi</v>
      </c>
      <c r="P1765" s="4" t="s">
        <v>69</v>
      </c>
      <c r="Q1765" s="4" t="s">
        <v>5234</v>
      </c>
      <c r="R1765" s="4"/>
      <c r="S1765" s="12" t="s">
        <v>5183</v>
      </c>
      <c r="T1765" s="4"/>
      <c r="U1765" s="4"/>
      <c r="V1765" s="11"/>
      <c r="W1765" s="5"/>
      <c r="X1765" s="11"/>
      <c r="Y1765" s="4"/>
      <c r="Z1765" s="5"/>
      <c r="AA1765" s="4"/>
      <c r="AB1765" s="4"/>
      <c r="AC1765" s="4"/>
      <c r="AD1765" s="5"/>
      <c r="AE1765" s="5"/>
      <c r="AF1765" s="5"/>
      <c r="AG1765" s="5"/>
      <c r="AH1765" s="5"/>
      <c r="AI1765" s="5"/>
      <c r="AJ1765" s="5"/>
      <c r="AK1765" s="5"/>
      <c r="AL1765" s="5"/>
    </row>
    <row r="1766">
      <c r="A1766" s="4" t="str">
        <f>VLOOKUP(L1766,payment_ids!C:D,2,FALSE)</f>
        <v>pay_HETuauYvfl9mXr</v>
      </c>
      <c r="B1766" s="4"/>
      <c r="C1766" s="4" t="s">
        <v>5181</v>
      </c>
      <c r="D1766" s="4">
        <v>50022.0</v>
      </c>
      <c r="E1766" s="4"/>
      <c r="F1766" s="4">
        <v>1.0</v>
      </c>
      <c r="G1766" s="4">
        <v>99.0</v>
      </c>
      <c r="H1766" s="4"/>
      <c r="I1766" s="4">
        <v>99.0</v>
      </c>
      <c r="J1766" s="4" t="s">
        <v>5235</v>
      </c>
      <c r="K1766" s="6">
        <f>+918452075926</f>
        <v>918452075926</v>
      </c>
      <c r="L1766" s="4" t="str">
        <f t="shared" si="1"/>
        <v>ncarolmary@gmail.com918452075926</v>
      </c>
      <c r="M1766" s="10" t="s">
        <v>67</v>
      </c>
      <c r="N1766" s="4" t="b">
        <v>0</v>
      </c>
      <c r="O1766" s="4" t="str">
        <f>VLOOKUP(A1766,payment_ids!D:E,2,FALSE)</f>
        <v>upi</v>
      </c>
      <c r="P1766" s="4" t="s">
        <v>69</v>
      </c>
      <c r="Q1766" s="4" t="s">
        <v>5236</v>
      </c>
      <c r="R1766" s="4"/>
      <c r="S1766" s="12" t="s">
        <v>5183</v>
      </c>
      <c r="T1766" s="4"/>
      <c r="U1766" s="5"/>
      <c r="V1766" s="11"/>
      <c r="W1766" s="5"/>
      <c r="X1766" s="11"/>
      <c r="Y1766" s="4"/>
      <c r="Z1766" s="5"/>
      <c r="AA1766" s="5"/>
      <c r="AB1766" s="4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</row>
    <row r="1767">
      <c r="A1767" s="4" t="str">
        <f>VLOOKUP(L1767,payment_ids!C:D,2,FALSE)</f>
        <v>pay_HEaZaDgwmuY0so</v>
      </c>
      <c r="B1767" s="4"/>
      <c r="C1767" s="4" t="s">
        <v>5181</v>
      </c>
      <c r="D1767" s="4">
        <v>50022.0</v>
      </c>
      <c r="E1767" s="4"/>
      <c r="F1767" s="4">
        <v>1.0</v>
      </c>
      <c r="G1767" s="4">
        <v>99.0</v>
      </c>
      <c r="H1767" s="4"/>
      <c r="I1767" s="4">
        <v>99.0</v>
      </c>
      <c r="J1767" s="4" t="s">
        <v>5237</v>
      </c>
      <c r="K1767" s="6">
        <f>+919540152850</f>
        <v>919540152850</v>
      </c>
      <c r="L1767" s="4" t="str">
        <f t="shared" si="1"/>
        <v>kriti.mahajan@gmail.com919540152850</v>
      </c>
      <c r="M1767" s="10" t="s">
        <v>67</v>
      </c>
      <c r="N1767" s="4" t="b">
        <v>0</v>
      </c>
      <c r="O1767" s="4" t="str">
        <f>VLOOKUP(A1767,payment_ids!D:E,2,FALSE)</f>
        <v>upi</v>
      </c>
      <c r="P1767" s="4" t="s">
        <v>69</v>
      </c>
      <c r="Q1767" s="4" t="s">
        <v>5238</v>
      </c>
      <c r="R1767" s="4"/>
      <c r="S1767" s="12" t="s">
        <v>5183</v>
      </c>
      <c r="T1767" s="4"/>
      <c r="U1767" s="4"/>
      <c r="V1767" s="11"/>
      <c r="W1767" s="5"/>
      <c r="X1767" s="11"/>
      <c r="Y1767" s="4"/>
      <c r="Z1767" s="5"/>
      <c r="AA1767" s="4"/>
      <c r="AB1767" s="4"/>
      <c r="AC1767" s="4"/>
      <c r="AD1767" s="5"/>
      <c r="AE1767" s="5"/>
      <c r="AF1767" s="5"/>
      <c r="AG1767" s="5"/>
      <c r="AH1767" s="5"/>
      <c r="AI1767" s="5"/>
      <c r="AJ1767" s="5"/>
      <c r="AK1767" s="5"/>
      <c r="AL1767" s="5"/>
    </row>
    <row r="1768">
      <c r="A1768" s="4" t="str">
        <f>VLOOKUP(L1768,payment_ids!C:D,2,FALSE)</f>
        <v>pay_HEb1S3Ve7qZIBJ</v>
      </c>
      <c r="B1768" s="4"/>
      <c r="C1768" s="4" t="s">
        <v>5181</v>
      </c>
      <c r="D1768" s="4">
        <v>50022.0</v>
      </c>
      <c r="E1768" s="4"/>
      <c r="F1768" s="4">
        <v>1.0</v>
      </c>
      <c r="G1768" s="4">
        <v>99.0</v>
      </c>
      <c r="H1768" s="4"/>
      <c r="I1768" s="4">
        <v>99.0</v>
      </c>
      <c r="J1768" s="4" t="s">
        <v>5239</v>
      </c>
      <c r="K1768" s="6">
        <f>+919427529400</f>
        <v>919427529400</v>
      </c>
      <c r="L1768" s="4" t="str">
        <f t="shared" si="1"/>
        <v>aarti.micro2010@gmail.com919427529400</v>
      </c>
      <c r="M1768" s="10" t="s">
        <v>67</v>
      </c>
      <c r="N1768" s="4" t="b">
        <v>0</v>
      </c>
      <c r="O1768" s="4" t="str">
        <f>VLOOKUP(A1768,payment_ids!D:E,2,FALSE)</f>
        <v>upi</v>
      </c>
      <c r="P1768" s="4" t="s">
        <v>69</v>
      </c>
      <c r="Q1768" s="4" t="s">
        <v>5240</v>
      </c>
      <c r="R1768" s="4"/>
      <c r="S1768" s="12" t="s">
        <v>5183</v>
      </c>
      <c r="T1768" s="4"/>
      <c r="U1768" s="4"/>
      <c r="V1768" s="11"/>
      <c r="W1768" s="5"/>
      <c r="X1768" s="11"/>
      <c r="Y1768" s="4"/>
      <c r="Z1768" s="5"/>
      <c r="AA1768" s="4"/>
      <c r="AB1768" s="4"/>
      <c r="AC1768" s="4"/>
      <c r="AD1768" s="5"/>
      <c r="AE1768" s="5"/>
      <c r="AF1768" s="5"/>
      <c r="AG1768" s="5"/>
      <c r="AH1768" s="5"/>
      <c r="AI1768" s="5"/>
      <c r="AJ1768" s="5"/>
      <c r="AK1768" s="5"/>
      <c r="AL1768" s="5"/>
    </row>
    <row r="1769">
      <c r="A1769" s="4" t="str">
        <f>VLOOKUP(L1769,payment_ids!C:D,2,FALSE)</f>
        <v>pay_HEbRnZttXh2IJO</v>
      </c>
      <c r="B1769" s="4"/>
      <c r="C1769" s="4" t="s">
        <v>5181</v>
      </c>
      <c r="D1769" s="4">
        <v>50022.0</v>
      </c>
      <c r="E1769" s="4"/>
      <c r="F1769" s="4">
        <v>1.0</v>
      </c>
      <c r="G1769" s="4">
        <v>99.0</v>
      </c>
      <c r="H1769" s="4"/>
      <c r="I1769" s="4">
        <v>99.0</v>
      </c>
      <c r="J1769" s="4" t="s">
        <v>5241</v>
      </c>
      <c r="K1769" s="6">
        <f>+918618578954</f>
        <v>918618578954</v>
      </c>
      <c r="L1769" s="4" t="str">
        <f t="shared" si="1"/>
        <v>aneesh11.2000@gmail.com918618578954</v>
      </c>
      <c r="M1769" s="10" t="s">
        <v>67</v>
      </c>
      <c r="N1769" s="4" t="b">
        <v>0</v>
      </c>
      <c r="O1769" s="4" t="str">
        <f>VLOOKUP(A1769,payment_ids!D:E,2,FALSE)</f>
        <v>upi</v>
      </c>
      <c r="P1769" s="4" t="s">
        <v>69</v>
      </c>
      <c r="Q1769" s="4" t="s">
        <v>5242</v>
      </c>
      <c r="R1769" s="4"/>
      <c r="S1769" s="12" t="s">
        <v>5183</v>
      </c>
      <c r="T1769" s="4"/>
      <c r="U1769" s="4"/>
      <c r="V1769" s="11"/>
      <c r="W1769" s="5"/>
      <c r="X1769" s="11"/>
      <c r="Y1769" s="4"/>
      <c r="Z1769" s="5"/>
      <c r="AA1769" s="4"/>
      <c r="AB1769" s="4"/>
      <c r="AC1769" s="4"/>
      <c r="AD1769" s="5"/>
      <c r="AE1769" s="5"/>
      <c r="AF1769" s="5"/>
      <c r="AG1769" s="5"/>
      <c r="AH1769" s="5"/>
      <c r="AI1769" s="5"/>
      <c r="AJ1769" s="5"/>
      <c r="AK1769" s="5"/>
      <c r="AL1769" s="5"/>
    </row>
    <row r="1770">
      <c r="A1770" s="4" t="str">
        <f>VLOOKUP(L1770,payment_ids!C:D,2,FALSE)</f>
        <v>pay_HEeNDhNUUUqtOA</v>
      </c>
      <c r="B1770" s="4"/>
      <c r="C1770" s="4" t="s">
        <v>5181</v>
      </c>
      <c r="D1770" s="4">
        <v>50022.0</v>
      </c>
      <c r="E1770" s="4"/>
      <c r="F1770" s="4">
        <v>1.0</v>
      </c>
      <c r="G1770" s="4">
        <v>99.0</v>
      </c>
      <c r="H1770" s="4"/>
      <c r="I1770" s="4">
        <v>99.0</v>
      </c>
      <c r="J1770" s="4" t="s">
        <v>5243</v>
      </c>
      <c r="K1770" s="6">
        <f>+919487905625</f>
        <v>919487905625</v>
      </c>
      <c r="L1770" s="4" t="str">
        <f t="shared" si="1"/>
        <v>sanjutha16@gmail.com919487905625</v>
      </c>
      <c r="M1770" s="10" t="s">
        <v>67</v>
      </c>
      <c r="N1770" s="4" t="b">
        <v>0</v>
      </c>
      <c r="O1770" s="4" t="str">
        <f>VLOOKUP(A1770,payment_ids!D:E,2,FALSE)</f>
        <v>upi</v>
      </c>
      <c r="P1770" s="4" t="s">
        <v>69</v>
      </c>
      <c r="Q1770" s="4" t="s">
        <v>5244</v>
      </c>
      <c r="R1770" s="4"/>
      <c r="S1770" s="12" t="s">
        <v>5183</v>
      </c>
      <c r="T1770" s="4"/>
      <c r="U1770" s="4"/>
      <c r="V1770" s="11"/>
      <c r="W1770" s="5"/>
      <c r="X1770" s="11"/>
      <c r="Y1770" s="4"/>
      <c r="Z1770" s="5"/>
      <c r="AA1770" s="4"/>
      <c r="AB1770" s="4"/>
      <c r="AC1770" s="4"/>
      <c r="AD1770" s="5"/>
      <c r="AE1770" s="5"/>
      <c r="AF1770" s="5"/>
      <c r="AG1770" s="5"/>
      <c r="AH1770" s="5"/>
      <c r="AI1770" s="5"/>
      <c r="AJ1770" s="5"/>
      <c r="AK1770" s="5"/>
      <c r="AL1770" s="5"/>
    </row>
    <row r="1771">
      <c r="A1771" s="4" t="str">
        <f>VLOOKUP(L1771,payment_ids!C:D,2,FALSE)</f>
        <v>pay_HFHZOf67LZrCv8</v>
      </c>
      <c r="B1771" s="4"/>
      <c r="C1771" s="4" t="s">
        <v>5181</v>
      </c>
      <c r="D1771" s="4">
        <v>50022.0</v>
      </c>
      <c r="E1771" s="5"/>
      <c r="F1771" s="4">
        <v>1.0</v>
      </c>
      <c r="G1771" s="4">
        <v>99.0</v>
      </c>
      <c r="H1771" s="4"/>
      <c r="I1771" s="4">
        <v>99.0</v>
      </c>
      <c r="J1771" s="4" t="s">
        <v>5245</v>
      </c>
      <c r="K1771" s="5">
        <f>+919930910388</f>
        <v>919930910388</v>
      </c>
      <c r="L1771" s="4" t="str">
        <f t="shared" si="1"/>
        <v>bharatiktrivedi@gmail.com919930910388</v>
      </c>
      <c r="M1771" s="10" t="s">
        <v>67</v>
      </c>
      <c r="N1771" s="4" t="b">
        <v>0</v>
      </c>
      <c r="O1771" s="4" t="str">
        <f>VLOOKUP(A1771,payment_ids!D:E,2,FALSE)</f>
        <v>card</v>
      </c>
      <c r="P1771" s="4" t="s">
        <v>69</v>
      </c>
      <c r="Q1771" s="4" t="s">
        <v>3441</v>
      </c>
      <c r="R1771" s="4"/>
      <c r="S1771" s="12" t="s">
        <v>5183</v>
      </c>
      <c r="T1771" s="5"/>
      <c r="U1771" s="4"/>
      <c r="V1771" s="11"/>
      <c r="W1771" s="5"/>
      <c r="X1771" s="11"/>
      <c r="Y1771" s="4"/>
      <c r="Z1771" s="5"/>
      <c r="AA1771" s="4"/>
      <c r="AB1771" s="4"/>
      <c r="AC1771" s="4"/>
      <c r="AD1771" s="5"/>
      <c r="AE1771" s="5"/>
      <c r="AF1771" s="5"/>
      <c r="AG1771" s="5"/>
      <c r="AH1771" s="5"/>
      <c r="AI1771" s="5"/>
      <c r="AJ1771" s="5"/>
      <c r="AK1771" s="5"/>
      <c r="AL1771" s="5"/>
    </row>
    <row r="1772">
      <c r="A1772" s="4" t="str">
        <f>VLOOKUP(L1772,payment_ids!C:D,2,FALSE)</f>
        <v>pay_HFIgzWE4ClB9eQ</v>
      </c>
      <c r="B1772" s="4"/>
      <c r="C1772" s="4" t="s">
        <v>5181</v>
      </c>
      <c r="D1772" s="4">
        <v>50022.0</v>
      </c>
      <c r="E1772" s="5"/>
      <c r="F1772" s="4">
        <v>1.0</v>
      </c>
      <c r="G1772" s="4">
        <v>99.0</v>
      </c>
      <c r="H1772" s="4"/>
      <c r="I1772" s="4">
        <v>99.0</v>
      </c>
      <c r="J1772" s="4" t="s">
        <v>5246</v>
      </c>
      <c r="K1772" s="5">
        <f>+919849036768</f>
        <v>919849036768</v>
      </c>
      <c r="L1772" s="4" t="str">
        <f t="shared" si="1"/>
        <v>annapurnamalineni99@gmail.com919849036768</v>
      </c>
      <c r="M1772" s="10" t="s">
        <v>67</v>
      </c>
      <c r="N1772" s="4" t="b">
        <v>0</v>
      </c>
      <c r="O1772" s="4" t="str">
        <f>VLOOKUP(A1772,payment_ids!D:E,2,FALSE)</f>
        <v>upi</v>
      </c>
      <c r="P1772" s="4" t="s">
        <v>69</v>
      </c>
      <c r="Q1772" s="4" t="s">
        <v>5247</v>
      </c>
      <c r="R1772" s="4"/>
      <c r="S1772" s="12" t="s">
        <v>5183</v>
      </c>
      <c r="T1772" s="5"/>
      <c r="U1772" s="4"/>
      <c r="V1772" s="11"/>
      <c r="W1772" s="5"/>
      <c r="X1772" s="11"/>
      <c r="Y1772" s="4"/>
      <c r="Z1772" s="5"/>
      <c r="AA1772" s="4"/>
      <c r="AB1772" s="4"/>
      <c r="AC1772" s="4"/>
      <c r="AD1772" s="5"/>
      <c r="AE1772" s="5"/>
      <c r="AF1772" s="5"/>
      <c r="AG1772" s="5"/>
      <c r="AH1772" s="5"/>
      <c r="AI1772" s="5"/>
      <c r="AJ1772" s="5"/>
      <c r="AK1772" s="5"/>
      <c r="AL1772" s="5"/>
    </row>
    <row r="1773">
      <c r="A1773" s="4" t="str">
        <f>VLOOKUP(L1773,payment_ids!C:D,2,FALSE)</f>
        <v>pay_HFIxLjMhOneBSc</v>
      </c>
      <c r="B1773" s="4"/>
      <c r="C1773" s="4" t="s">
        <v>5181</v>
      </c>
      <c r="D1773" s="4">
        <v>50022.0</v>
      </c>
      <c r="E1773" s="5"/>
      <c r="F1773" s="4">
        <v>1.0</v>
      </c>
      <c r="G1773" s="4">
        <v>99.0</v>
      </c>
      <c r="H1773" s="4"/>
      <c r="I1773" s="4">
        <v>99.0</v>
      </c>
      <c r="J1773" s="4" t="s">
        <v>5248</v>
      </c>
      <c r="K1773" s="5">
        <f>+919680448639</f>
        <v>919680448639</v>
      </c>
      <c r="L1773" s="4" t="str">
        <f t="shared" si="1"/>
        <v>garima2525@gmail.com919680448639</v>
      </c>
      <c r="M1773" s="10" t="s">
        <v>67</v>
      </c>
      <c r="N1773" s="4" t="b">
        <v>0</v>
      </c>
      <c r="O1773" s="4" t="str">
        <f>VLOOKUP(A1773,payment_ids!D:E,2,FALSE)</f>
        <v>upi</v>
      </c>
      <c r="P1773" s="4" t="s">
        <v>69</v>
      </c>
      <c r="Q1773" s="4" t="s">
        <v>5249</v>
      </c>
      <c r="R1773" s="4"/>
      <c r="S1773" s="12" t="s">
        <v>5183</v>
      </c>
      <c r="T1773" s="5"/>
      <c r="U1773" s="4"/>
      <c r="V1773" s="11"/>
      <c r="W1773" s="5"/>
      <c r="X1773" s="11"/>
      <c r="Y1773" s="4"/>
      <c r="Z1773" s="5"/>
      <c r="AA1773" s="4"/>
      <c r="AB1773" s="4"/>
      <c r="AC1773" s="4"/>
      <c r="AD1773" s="5"/>
      <c r="AE1773" s="5"/>
      <c r="AF1773" s="5"/>
      <c r="AG1773" s="5"/>
      <c r="AH1773" s="5"/>
      <c r="AI1773" s="5"/>
      <c r="AJ1773" s="5"/>
      <c r="AK1773" s="5"/>
      <c r="AL1773" s="5"/>
    </row>
    <row r="1774">
      <c r="A1774" s="4" t="str">
        <f>VLOOKUP(L1774,payment_ids!C:D,2,FALSE)</f>
        <v>pay_HFJW8M5Z5CtyE9</v>
      </c>
      <c r="B1774" s="4"/>
      <c r="C1774" s="4" t="s">
        <v>5181</v>
      </c>
      <c r="D1774" s="4">
        <v>50022.0</v>
      </c>
      <c r="E1774" s="5"/>
      <c r="F1774" s="4">
        <v>3.0</v>
      </c>
      <c r="G1774" s="4">
        <v>199.0</v>
      </c>
      <c r="H1774" s="4"/>
      <c r="I1774" s="4">
        <v>199.0</v>
      </c>
      <c r="J1774" s="4" t="s">
        <v>5250</v>
      </c>
      <c r="K1774" s="5">
        <f>+919811481100</f>
        <v>919811481100</v>
      </c>
      <c r="L1774" s="4" t="str">
        <f t="shared" si="1"/>
        <v>amitdevrajchawla@gmail.com919811481100</v>
      </c>
      <c r="M1774" s="10" t="s">
        <v>67</v>
      </c>
      <c r="N1774" s="4" t="b">
        <v>0</v>
      </c>
      <c r="O1774" s="4" t="str">
        <f>VLOOKUP(A1774,payment_ids!D:E,2,FALSE)</f>
        <v>upi</v>
      </c>
      <c r="P1774" s="4" t="s">
        <v>69</v>
      </c>
      <c r="Q1774" s="4" t="s">
        <v>5251</v>
      </c>
      <c r="R1774" s="4"/>
      <c r="S1774" s="12" t="s">
        <v>5183</v>
      </c>
      <c r="T1774" s="5"/>
      <c r="U1774" s="4"/>
      <c r="V1774" s="11"/>
      <c r="W1774" s="5"/>
      <c r="X1774" s="11"/>
      <c r="Y1774" s="4"/>
      <c r="Z1774" s="5"/>
      <c r="AA1774" s="4"/>
      <c r="AB1774" s="4"/>
      <c r="AC1774" s="4"/>
      <c r="AD1774" s="5"/>
      <c r="AE1774" s="5"/>
      <c r="AF1774" s="5"/>
      <c r="AG1774" s="5"/>
      <c r="AH1774" s="5"/>
      <c r="AI1774" s="5"/>
      <c r="AJ1774" s="5"/>
      <c r="AK1774" s="5"/>
      <c r="AL1774" s="5"/>
    </row>
    <row r="1775">
      <c r="A1775" s="4" t="str">
        <f>VLOOKUP(L1775,payment_ids!C:D,2,FALSE)</f>
        <v>pay_HFOFL2LHknCwqj</v>
      </c>
      <c r="B1775" s="4"/>
      <c r="C1775" s="4" t="s">
        <v>5181</v>
      </c>
      <c r="D1775" s="4">
        <v>50022.0</v>
      </c>
      <c r="E1775" s="5"/>
      <c r="F1775" s="4">
        <v>1.0</v>
      </c>
      <c r="G1775" s="4">
        <v>99.0</v>
      </c>
      <c r="H1775" s="4"/>
      <c r="I1775" s="4">
        <v>99.0</v>
      </c>
      <c r="J1775" s="4" t="s">
        <v>5252</v>
      </c>
      <c r="K1775" s="5">
        <f>+919966881191</f>
        <v>919966881191</v>
      </c>
      <c r="L1775" s="4" t="str">
        <f t="shared" si="1"/>
        <v>shivanibenerjee@gmail.com919966881191</v>
      </c>
      <c r="M1775" s="10" t="s">
        <v>67</v>
      </c>
      <c r="N1775" s="4" t="b">
        <v>0</v>
      </c>
      <c r="O1775" s="4" t="str">
        <f>VLOOKUP(A1775,payment_ids!D:E,2,FALSE)</f>
        <v>upi</v>
      </c>
      <c r="P1775" s="4" t="s">
        <v>69</v>
      </c>
      <c r="Q1775" s="4" t="s">
        <v>5253</v>
      </c>
      <c r="R1775" s="4"/>
      <c r="S1775" s="12" t="s">
        <v>5183</v>
      </c>
      <c r="T1775" s="5"/>
      <c r="U1775" s="4"/>
      <c r="V1775" s="11"/>
      <c r="W1775" s="5"/>
      <c r="X1775" s="11"/>
      <c r="Y1775" s="4"/>
      <c r="Z1775" s="5"/>
      <c r="AA1775" s="4"/>
      <c r="AB1775" s="4"/>
      <c r="AC1775" s="4"/>
      <c r="AD1775" s="5"/>
      <c r="AE1775" s="5"/>
      <c r="AF1775" s="5"/>
      <c r="AG1775" s="5"/>
      <c r="AH1775" s="5"/>
      <c r="AI1775" s="5"/>
      <c r="AJ1775" s="5"/>
      <c r="AK1775" s="5"/>
      <c r="AL1775" s="5"/>
    </row>
    <row r="1776">
      <c r="A1776" s="4" t="str">
        <f>VLOOKUP(L1776,payment_ids!C:D,2,FALSE)</f>
        <v>pay_HFVMEaIaZqc1Ao</v>
      </c>
      <c r="B1776" s="4"/>
      <c r="C1776" s="4" t="s">
        <v>5181</v>
      </c>
      <c r="D1776" s="4">
        <v>50022.0</v>
      </c>
      <c r="E1776" s="5"/>
      <c r="F1776" s="4">
        <v>1.0</v>
      </c>
      <c r="G1776" s="4">
        <v>99.0</v>
      </c>
      <c r="H1776" s="4"/>
      <c r="I1776" s="4">
        <v>99.0</v>
      </c>
      <c r="J1776" s="4" t="s">
        <v>5254</v>
      </c>
      <c r="K1776" s="5">
        <f>+917249523287</f>
        <v>917249523287</v>
      </c>
      <c r="L1776" s="4" t="str">
        <f t="shared" si="1"/>
        <v>mascarenhassancho32@gmail.com917249523287</v>
      </c>
      <c r="M1776" s="10" t="s">
        <v>67</v>
      </c>
      <c r="N1776" s="4" t="b">
        <v>0</v>
      </c>
      <c r="O1776" s="4" t="str">
        <f>VLOOKUP(A1776,payment_ids!D:E,2,FALSE)</f>
        <v>upi</v>
      </c>
      <c r="P1776" s="4" t="s">
        <v>69</v>
      </c>
      <c r="Q1776" s="4" t="s">
        <v>5255</v>
      </c>
      <c r="R1776" s="4"/>
      <c r="S1776" s="12" t="s">
        <v>5183</v>
      </c>
      <c r="T1776" s="5"/>
      <c r="U1776" s="4"/>
      <c r="V1776" s="11"/>
      <c r="W1776" s="5"/>
      <c r="X1776" s="11"/>
      <c r="Y1776" s="4"/>
      <c r="Z1776" s="5"/>
      <c r="AA1776" s="4"/>
      <c r="AB1776" s="4"/>
      <c r="AC1776" s="4"/>
      <c r="AD1776" s="5"/>
      <c r="AE1776" s="5"/>
      <c r="AF1776" s="5"/>
      <c r="AG1776" s="5"/>
      <c r="AH1776" s="5"/>
      <c r="AI1776" s="5"/>
      <c r="AJ1776" s="5"/>
      <c r="AK1776" s="5"/>
      <c r="AL1776" s="5"/>
    </row>
    <row r="1777">
      <c r="A1777" s="4" t="str">
        <f>VLOOKUP(L1777,payment_ids!C:D,2,FALSE)</f>
        <v>pay_HFiDVtJU3w4sqA</v>
      </c>
      <c r="B1777" s="4"/>
      <c r="C1777" s="4" t="s">
        <v>5181</v>
      </c>
      <c r="D1777" s="4">
        <v>50022.0</v>
      </c>
      <c r="E1777" s="5"/>
      <c r="F1777" s="4">
        <v>1.0</v>
      </c>
      <c r="G1777" s="4">
        <v>99.0</v>
      </c>
      <c r="H1777" s="4"/>
      <c r="I1777" s="4">
        <v>99.0</v>
      </c>
      <c r="J1777" s="4" t="s">
        <v>5256</v>
      </c>
      <c r="K1777" s="5">
        <f>+919846073448</f>
        <v>919846073448</v>
      </c>
      <c r="L1777" s="4" t="str">
        <f t="shared" si="1"/>
        <v>bt.sindhu@gmail.com919846073448</v>
      </c>
      <c r="M1777" s="10" t="s">
        <v>67</v>
      </c>
      <c r="N1777" s="4" t="b">
        <v>0</v>
      </c>
      <c r="O1777" s="4" t="str">
        <f>VLOOKUP(A1777,payment_ids!D:E,2,FALSE)</f>
        <v>card</v>
      </c>
      <c r="P1777" s="4" t="s">
        <v>69</v>
      </c>
      <c r="Q1777" s="4" t="s">
        <v>5257</v>
      </c>
      <c r="R1777" s="4"/>
      <c r="S1777" s="12" t="s">
        <v>5183</v>
      </c>
      <c r="T1777" s="5"/>
      <c r="U1777" s="4"/>
      <c r="V1777" s="11"/>
      <c r="W1777" s="5"/>
      <c r="X1777" s="11"/>
      <c r="Y1777" s="4"/>
      <c r="Z1777" s="5"/>
      <c r="AA1777" s="4"/>
      <c r="AB1777" s="4"/>
      <c r="AC1777" s="4"/>
      <c r="AD1777" s="5"/>
      <c r="AE1777" s="5"/>
      <c r="AF1777" s="5"/>
      <c r="AG1777" s="5"/>
      <c r="AH1777" s="5"/>
      <c r="AI1777" s="5"/>
      <c r="AJ1777" s="5"/>
      <c r="AK1777" s="5"/>
      <c r="AL1777" s="5"/>
    </row>
    <row r="1778">
      <c r="A1778" s="4" t="str">
        <f>VLOOKUP(L1778,payment_ids!C:D,2,FALSE)</f>
        <v>pay_HFkoYR4II5KjsU</v>
      </c>
      <c r="B1778" s="4"/>
      <c r="C1778" s="4" t="s">
        <v>5181</v>
      </c>
      <c r="D1778" s="4">
        <v>50022.0</v>
      </c>
      <c r="E1778" s="5"/>
      <c r="F1778" s="4">
        <v>1.0</v>
      </c>
      <c r="G1778" s="4">
        <v>99.0</v>
      </c>
      <c r="H1778" s="4"/>
      <c r="I1778" s="4">
        <v>99.0</v>
      </c>
      <c r="J1778" s="4" t="s">
        <v>5258</v>
      </c>
      <c r="K1778" s="5">
        <f>+918149494686</f>
        <v>918149494686</v>
      </c>
      <c r="L1778" s="4" t="str">
        <f t="shared" si="1"/>
        <v>vaidyagayatri03@gmail.com918149494686</v>
      </c>
      <c r="M1778" s="10" t="s">
        <v>67</v>
      </c>
      <c r="N1778" s="4" t="b">
        <v>0</v>
      </c>
      <c r="O1778" s="4" t="str">
        <f>VLOOKUP(A1778,payment_ids!D:E,2,FALSE)</f>
        <v>upi</v>
      </c>
      <c r="P1778" s="4" t="s">
        <v>69</v>
      </c>
      <c r="Q1778" s="4" t="s">
        <v>5259</v>
      </c>
      <c r="R1778" s="4"/>
      <c r="S1778" s="12" t="s">
        <v>5183</v>
      </c>
      <c r="T1778" s="5"/>
      <c r="U1778" s="4"/>
      <c r="V1778" s="11"/>
      <c r="W1778" s="5"/>
      <c r="X1778" s="11"/>
      <c r="Y1778" s="4"/>
      <c r="Z1778" s="5"/>
      <c r="AA1778" s="4"/>
      <c r="AB1778" s="4"/>
      <c r="AC1778" s="4"/>
      <c r="AD1778" s="5"/>
      <c r="AE1778" s="5"/>
      <c r="AF1778" s="5"/>
      <c r="AG1778" s="5"/>
      <c r="AH1778" s="5"/>
      <c r="AI1778" s="5"/>
      <c r="AJ1778" s="5"/>
      <c r="AK1778" s="5"/>
      <c r="AL1778" s="5"/>
    </row>
    <row r="1779">
      <c r="A1779" s="4" t="str">
        <f>VLOOKUP(L1779,payment_ids!C:D,2,FALSE)</f>
        <v>pay_HFkzeh2dNBGBAx</v>
      </c>
      <c r="B1779" s="4"/>
      <c r="C1779" s="4" t="s">
        <v>5181</v>
      </c>
      <c r="D1779" s="4">
        <v>50022.0</v>
      </c>
      <c r="E1779" s="5"/>
      <c r="F1779" s="4">
        <v>1.0</v>
      </c>
      <c r="G1779" s="4">
        <v>99.0</v>
      </c>
      <c r="H1779" s="4"/>
      <c r="I1779" s="4">
        <v>99.0</v>
      </c>
      <c r="J1779" s="4" t="s">
        <v>5260</v>
      </c>
      <c r="K1779" s="5">
        <f>+919491609613</f>
        <v>919491609613</v>
      </c>
      <c r="L1779" s="4" t="str">
        <f t="shared" si="1"/>
        <v>mahathinama@gmail.com919491609613</v>
      </c>
      <c r="M1779" s="10" t="s">
        <v>67</v>
      </c>
      <c r="N1779" s="4" t="b">
        <v>0</v>
      </c>
      <c r="O1779" s="4" t="str">
        <f>VLOOKUP(A1779,payment_ids!D:E,2,FALSE)</f>
        <v>upi</v>
      </c>
      <c r="P1779" s="4" t="s">
        <v>69</v>
      </c>
      <c r="Q1779" s="4" t="s">
        <v>5261</v>
      </c>
      <c r="R1779" s="4"/>
      <c r="S1779" s="12" t="s">
        <v>5183</v>
      </c>
      <c r="T1779" s="5"/>
      <c r="U1779" s="4"/>
      <c r="V1779" s="11"/>
      <c r="W1779" s="5"/>
      <c r="X1779" s="11"/>
      <c r="Y1779" s="4"/>
      <c r="Z1779" s="5"/>
      <c r="AA1779" s="4"/>
      <c r="AB1779" s="4"/>
      <c r="AC1779" s="4"/>
      <c r="AD1779" s="5"/>
      <c r="AE1779" s="5"/>
      <c r="AF1779" s="5"/>
      <c r="AG1779" s="5"/>
      <c r="AH1779" s="5"/>
      <c r="AI1779" s="5"/>
      <c r="AJ1779" s="5"/>
      <c r="AK1779" s="5"/>
      <c r="AL1779" s="5"/>
    </row>
    <row r="1780">
      <c r="A1780" s="4" t="str">
        <f>VLOOKUP(L1780,payment_ids!C:D,2,FALSE)</f>
        <v>pay_HGB9rTcL0aLACT</v>
      </c>
      <c r="B1780" s="4"/>
      <c r="C1780" s="4" t="s">
        <v>5181</v>
      </c>
      <c r="D1780" s="4">
        <v>50022.0</v>
      </c>
      <c r="E1780" s="5"/>
      <c r="F1780" s="4">
        <v>1.0</v>
      </c>
      <c r="G1780" s="4">
        <v>99.0</v>
      </c>
      <c r="H1780" s="4"/>
      <c r="I1780" s="4">
        <v>99.0</v>
      </c>
      <c r="J1780" s="4" t="s">
        <v>5262</v>
      </c>
      <c r="K1780" s="5">
        <f>+918779781988</f>
        <v>918779781988</v>
      </c>
      <c r="L1780" s="4" t="str">
        <f t="shared" si="1"/>
        <v>thechetnajha@gmail.com918779781988</v>
      </c>
      <c r="M1780" s="10" t="s">
        <v>67</v>
      </c>
      <c r="N1780" s="4" t="b">
        <v>0</v>
      </c>
      <c r="O1780" s="4" t="str">
        <f>VLOOKUP(A1780,payment_ids!D:E,2,FALSE)</f>
        <v>upi</v>
      </c>
      <c r="P1780" s="4" t="s">
        <v>69</v>
      </c>
      <c r="Q1780" s="4" t="s">
        <v>5263</v>
      </c>
      <c r="R1780" s="4"/>
      <c r="S1780" s="12" t="s">
        <v>5183</v>
      </c>
      <c r="T1780" s="5"/>
      <c r="U1780" s="4"/>
      <c r="V1780" s="11"/>
      <c r="W1780" s="5"/>
      <c r="X1780" s="11"/>
      <c r="Y1780" s="4"/>
      <c r="Z1780" s="5"/>
      <c r="AA1780" s="4"/>
      <c r="AB1780" s="4"/>
      <c r="AC1780" s="4"/>
      <c r="AD1780" s="5"/>
      <c r="AE1780" s="5"/>
      <c r="AF1780" s="5"/>
      <c r="AG1780" s="5"/>
      <c r="AH1780" s="5"/>
      <c r="AI1780" s="5"/>
      <c r="AJ1780" s="5"/>
      <c r="AK1780" s="5"/>
      <c r="AL1780" s="5"/>
    </row>
    <row r="1781">
      <c r="A1781" s="4" t="str">
        <f>VLOOKUP(L1781,payment_ids!C:D,2,FALSE)</f>
        <v>pay_HGFC4EjqdJx4tO</v>
      </c>
      <c r="B1781" s="4"/>
      <c r="C1781" s="4" t="s">
        <v>5181</v>
      </c>
      <c r="D1781" s="4">
        <v>50022.0</v>
      </c>
      <c r="E1781" s="5"/>
      <c r="F1781" s="4">
        <v>1.0</v>
      </c>
      <c r="G1781" s="4">
        <v>99.0</v>
      </c>
      <c r="H1781" s="4"/>
      <c r="I1781" s="4">
        <v>99.0</v>
      </c>
      <c r="J1781" s="4" t="s">
        <v>5264</v>
      </c>
      <c r="K1781" s="5">
        <f>+918019528138</f>
        <v>918019528138</v>
      </c>
      <c r="L1781" s="4" t="str">
        <f t="shared" si="1"/>
        <v>pratyusha1309@gmail.com918019528138</v>
      </c>
      <c r="M1781" s="10" t="s">
        <v>67</v>
      </c>
      <c r="N1781" s="4" t="b">
        <v>0</v>
      </c>
      <c r="O1781" s="4" t="str">
        <f>VLOOKUP(A1781,payment_ids!D:E,2,FALSE)</f>
        <v>upi</v>
      </c>
      <c r="P1781" s="4" t="s">
        <v>69</v>
      </c>
      <c r="Q1781" s="4" t="s">
        <v>5265</v>
      </c>
      <c r="R1781" s="4"/>
      <c r="S1781" s="12" t="s">
        <v>5183</v>
      </c>
      <c r="T1781" s="5"/>
      <c r="U1781" s="4"/>
      <c r="V1781" s="11"/>
      <c r="W1781" s="5"/>
      <c r="X1781" s="11"/>
      <c r="Y1781" s="4"/>
      <c r="Z1781" s="5"/>
      <c r="AA1781" s="4"/>
      <c r="AB1781" s="4"/>
      <c r="AC1781" s="4"/>
      <c r="AD1781" s="5"/>
      <c r="AE1781" s="5"/>
      <c r="AF1781" s="5"/>
      <c r="AG1781" s="5"/>
      <c r="AH1781" s="5"/>
      <c r="AI1781" s="5"/>
      <c r="AJ1781" s="5"/>
      <c r="AK1781" s="5"/>
      <c r="AL1781" s="5"/>
    </row>
    <row r="1782">
      <c r="A1782" s="4" t="str">
        <f>VLOOKUP(L1782,payment_ids!C:D,2,FALSE)</f>
        <v>pay_HGRsS11zo7lxRI</v>
      </c>
      <c r="B1782" s="4"/>
      <c r="C1782" s="4" t="s">
        <v>5181</v>
      </c>
      <c r="D1782" s="4">
        <v>50022.0</v>
      </c>
      <c r="E1782" s="5"/>
      <c r="F1782" s="4">
        <v>1.0</v>
      </c>
      <c r="G1782" s="4">
        <v>99.0</v>
      </c>
      <c r="H1782" s="4"/>
      <c r="I1782" s="4">
        <v>99.0</v>
      </c>
      <c r="J1782" s="4" t="s">
        <v>5266</v>
      </c>
      <c r="K1782" s="5">
        <f>+918171153999</f>
        <v>918171153999</v>
      </c>
      <c r="L1782" s="4" t="str">
        <f t="shared" si="1"/>
        <v>toshniwalar@indianoil.in918171153999</v>
      </c>
      <c r="M1782" s="10" t="s">
        <v>67</v>
      </c>
      <c r="N1782" s="4" t="b">
        <v>0</v>
      </c>
      <c r="O1782" s="4" t="str">
        <f>VLOOKUP(A1782,payment_ids!D:E,2,FALSE)</f>
        <v>card</v>
      </c>
      <c r="P1782" s="4" t="s">
        <v>69</v>
      </c>
      <c r="Q1782" s="4" t="s">
        <v>5267</v>
      </c>
      <c r="R1782" s="4"/>
      <c r="S1782" s="12" t="s">
        <v>5183</v>
      </c>
      <c r="T1782" s="5"/>
      <c r="U1782" s="4"/>
      <c r="V1782" s="11"/>
      <c r="W1782" s="5"/>
      <c r="X1782" s="11"/>
      <c r="Y1782" s="4"/>
      <c r="Z1782" s="5"/>
      <c r="AA1782" s="4"/>
      <c r="AB1782" s="4"/>
      <c r="AC1782" s="4"/>
      <c r="AD1782" s="5"/>
      <c r="AE1782" s="5"/>
      <c r="AF1782" s="5"/>
      <c r="AG1782" s="5"/>
      <c r="AH1782" s="5"/>
      <c r="AI1782" s="5"/>
      <c r="AJ1782" s="5"/>
      <c r="AK1782" s="5"/>
      <c r="AL1782" s="5"/>
    </row>
    <row r="1783">
      <c r="A1783" s="4" t="str">
        <f>VLOOKUP(L1783,payment_ids!C:D,2,FALSE)</f>
        <v>pay_HGTdIwF2VaJxAk</v>
      </c>
      <c r="B1783" s="4"/>
      <c r="C1783" s="4" t="s">
        <v>5181</v>
      </c>
      <c r="D1783" s="4">
        <v>50022.0</v>
      </c>
      <c r="E1783" s="5"/>
      <c r="F1783" s="4">
        <v>1.0</v>
      </c>
      <c r="G1783" s="4">
        <v>99.0</v>
      </c>
      <c r="H1783" s="4"/>
      <c r="I1783" s="4">
        <v>99.0</v>
      </c>
      <c r="J1783" s="4" t="s">
        <v>5268</v>
      </c>
      <c r="K1783" s="5">
        <f>+919557581405</f>
        <v>919557581405</v>
      </c>
      <c r="L1783" s="4" t="str">
        <f t="shared" si="1"/>
        <v>vivdoon@gmail.com919557581405</v>
      </c>
      <c r="M1783" s="10" t="s">
        <v>67</v>
      </c>
      <c r="N1783" s="4" t="b">
        <v>0</v>
      </c>
      <c r="O1783" s="4" t="str">
        <f>VLOOKUP(A1783,payment_ids!D:E,2,FALSE)</f>
        <v>upi</v>
      </c>
      <c r="P1783" s="4" t="s">
        <v>69</v>
      </c>
      <c r="Q1783" s="4" t="s">
        <v>5269</v>
      </c>
      <c r="R1783" s="4"/>
      <c r="S1783" s="12" t="s">
        <v>5183</v>
      </c>
      <c r="T1783" s="5"/>
      <c r="U1783" s="4"/>
      <c r="V1783" s="11"/>
      <c r="W1783" s="5"/>
      <c r="X1783" s="11"/>
      <c r="Y1783" s="4"/>
      <c r="Z1783" s="5"/>
      <c r="AA1783" s="4"/>
      <c r="AB1783" s="4"/>
      <c r="AC1783" s="4"/>
      <c r="AD1783" s="5"/>
      <c r="AE1783" s="5"/>
      <c r="AF1783" s="5"/>
      <c r="AG1783" s="5"/>
      <c r="AH1783" s="5"/>
      <c r="AI1783" s="5"/>
      <c r="AJ1783" s="5"/>
      <c r="AK1783" s="5"/>
      <c r="AL1783" s="5"/>
    </row>
    <row r="1784">
      <c r="A1784" s="4" t="str">
        <f>VLOOKUP(L1784,payment_ids!C:D,2,FALSE)</f>
        <v>pay_HGVOwRSEUOVQ8T</v>
      </c>
      <c r="B1784" s="4"/>
      <c r="C1784" s="4" t="s">
        <v>5181</v>
      </c>
      <c r="D1784" s="4">
        <v>50022.0</v>
      </c>
      <c r="E1784" s="5"/>
      <c r="F1784" s="4">
        <v>1.0</v>
      </c>
      <c r="G1784" s="4">
        <v>99.0</v>
      </c>
      <c r="H1784" s="4"/>
      <c r="I1784" s="4">
        <v>99.0</v>
      </c>
      <c r="J1784" s="4" t="s">
        <v>5270</v>
      </c>
      <c r="K1784" s="5">
        <f>+919873312345</f>
        <v>919873312345</v>
      </c>
      <c r="L1784" s="4" t="str">
        <f t="shared" si="1"/>
        <v>alishachandna2011@gmail.com919873312345</v>
      </c>
      <c r="M1784" s="10" t="s">
        <v>67</v>
      </c>
      <c r="N1784" s="4" t="b">
        <v>0</v>
      </c>
      <c r="O1784" s="4" t="str">
        <f>VLOOKUP(A1784,payment_ids!D:E,2,FALSE)</f>
        <v>upi</v>
      </c>
      <c r="P1784" s="4" t="s">
        <v>69</v>
      </c>
      <c r="Q1784" s="4" t="s">
        <v>5271</v>
      </c>
      <c r="R1784" s="4"/>
      <c r="S1784" s="12" t="s">
        <v>5183</v>
      </c>
      <c r="T1784" s="5"/>
      <c r="U1784" s="4"/>
      <c r="V1784" s="11"/>
      <c r="W1784" s="5"/>
      <c r="X1784" s="11"/>
      <c r="Y1784" s="4"/>
      <c r="Z1784" s="5"/>
      <c r="AA1784" s="4"/>
      <c r="AB1784" s="4"/>
      <c r="AC1784" s="4"/>
      <c r="AD1784" s="5"/>
      <c r="AE1784" s="5"/>
      <c r="AF1784" s="5"/>
      <c r="AG1784" s="5"/>
      <c r="AH1784" s="5"/>
      <c r="AI1784" s="5"/>
      <c r="AJ1784" s="5"/>
      <c r="AK1784" s="5"/>
      <c r="AL1784" s="5"/>
    </row>
    <row r="1785">
      <c r="A1785" s="4" t="str">
        <f>VLOOKUP(L1785,payment_ids!C:D,2,FALSE)</f>
        <v>pay_HFHdsTDB6O825c</v>
      </c>
      <c r="B1785" s="4"/>
      <c r="C1785" s="4" t="s">
        <v>5181</v>
      </c>
      <c r="D1785" s="4">
        <v>50022.0</v>
      </c>
      <c r="E1785" s="5"/>
      <c r="F1785" s="4">
        <v>1.0</v>
      </c>
      <c r="G1785" s="4">
        <v>99.0</v>
      </c>
      <c r="H1785" s="4"/>
      <c r="I1785" s="4">
        <v>99.0</v>
      </c>
      <c r="J1785" s="4" t="s">
        <v>5272</v>
      </c>
      <c r="K1785" s="5">
        <f>+919723207150</f>
        <v>919723207150</v>
      </c>
      <c r="L1785" s="4" t="str">
        <f t="shared" si="1"/>
        <v>lyfofdream@gmail.com919723207150</v>
      </c>
      <c r="M1785" s="10" t="s">
        <v>67</v>
      </c>
      <c r="N1785" s="4" t="b">
        <v>0</v>
      </c>
      <c r="O1785" s="4" t="str">
        <f>VLOOKUP(A1785,payment_ids!D:E,2,FALSE)</f>
        <v>card</v>
      </c>
      <c r="P1785" s="4" t="s">
        <v>69</v>
      </c>
      <c r="Q1785" s="4" t="s">
        <v>5273</v>
      </c>
      <c r="R1785" s="4"/>
      <c r="S1785" s="12" t="s">
        <v>5183</v>
      </c>
      <c r="T1785" s="5"/>
      <c r="U1785" s="4"/>
      <c r="V1785" s="11"/>
      <c r="W1785" s="5"/>
      <c r="X1785" s="11"/>
      <c r="Y1785" s="4"/>
      <c r="Z1785" s="5"/>
      <c r="AA1785" s="4"/>
      <c r="AB1785" s="4"/>
      <c r="AC1785" s="4"/>
      <c r="AD1785" s="5"/>
      <c r="AE1785" s="5"/>
      <c r="AF1785" s="5"/>
      <c r="AG1785" s="5"/>
      <c r="AH1785" s="5"/>
      <c r="AI1785" s="5"/>
      <c r="AJ1785" s="5"/>
      <c r="AK1785" s="5"/>
      <c r="AL1785" s="5"/>
    </row>
    <row r="1786">
      <c r="A1786" s="4" t="str">
        <f>VLOOKUP(L1786,payment_ids!C:D,2,FALSE)</f>
        <v>pay_HGy1gHjbwueRXk</v>
      </c>
      <c r="B1786" s="4"/>
      <c r="C1786" s="4" t="s">
        <v>5181</v>
      </c>
      <c r="D1786" s="4">
        <v>50022.0</v>
      </c>
      <c r="E1786" s="5"/>
      <c r="F1786" s="4">
        <v>1.0</v>
      </c>
      <c r="G1786" s="4">
        <v>99.0</v>
      </c>
      <c r="H1786" s="4"/>
      <c r="I1786" s="4">
        <v>99.0</v>
      </c>
      <c r="J1786" s="4" t="s">
        <v>5274</v>
      </c>
      <c r="K1786" s="5">
        <f>+919592222270</f>
        <v>919592222270</v>
      </c>
      <c r="L1786" s="4" t="str">
        <f t="shared" si="1"/>
        <v>manikmd2006@gmail.com919592222270</v>
      </c>
      <c r="M1786" s="10" t="s">
        <v>67</v>
      </c>
      <c r="N1786" s="4" t="b">
        <v>0</v>
      </c>
      <c r="O1786" s="4" t="str">
        <f>VLOOKUP(A1786,payment_ids!D:E,2,FALSE)</f>
        <v>card</v>
      </c>
      <c r="P1786" s="4" t="s">
        <v>69</v>
      </c>
      <c r="Q1786" s="4" t="s">
        <v>4472</v>
      </c>
      <c r="R1786" s="4"/>
      <c r="S1786" s="12" t="s">
        <v>5183</v>
      </c>
      <c r="T1786" s="5"/>
      <c r="U1786" s="4"/>
      <c r="V1786" s="11"/>
      <c r="W1786" s="5"/>
      <c r="X1786" s="11"/>
      <c r="Y1786" s="4"/>
      <c r="Z1786" s="5"/>
      <c r="AA1786" s="4"/>
      <c r="AB1786" s="4"/>
      <c r="AC1786" s="4"/>
      <c r="AD1786" s="5"/>
      <c r="AE1786" s="5"/>
      <c r="AF1786" s="5"/>
      <c r="AG1786" s="5"/>
      <c r="AH1786" s="5"/>
      <c r="AI1786" s="5"/>
      <c r="AJ1786" s="5"/>
      <c r="AK1786" s="5"/>
      <c r="AL1786" s="5"/>
    </row>
    <row r="1787">
      <c r="A1787" s="4" t="str">
        <f>VLOOKUP(L1787,payment_ids!C:D,2,FALSE)</f>
        <v>pay_HH0ZYr3CPKox0h</v>
      </c>
      <c r="B1787" s="4"/>
      <c r="C1787" s="4" t="s">
        <v>5181</v>
      </c>
      <c r="D1787" s="4">
        <v>50022.0</v>
      </c>
      <c r="E1787" s="5"/>
      <c r="F1787" s="4">
        <v>1.0</v>
      </c>
      <c r="G1787" s="4">
        <v>99.0</v>
      </c>
      <c r="H1787" s="4"/>
      <c r="I1787" s="4">
        <v>99.0</v>
      </c>
      <c r="J1787" s="4" t="s">
        <v>5275</v>
      </c>
      <c r="K1787" s="5">
        <f>+919967531850</f>
        <v>919967531850</v>
      </c>
      <c r="L1787" s="4" t="str">
        <f t="shared" si="1"/>
        <v>keniajkomal@gmail.com919967531850</v>
      </c>
      <c r="M1787" s="10" t="s">
        <v>67</v>
      </c>
      <c r="N1787" s="4" t="b">
        <v>0</v>
      </c>
      <c r="O1787" s="4" t="str">
        <f>VLOOKUP(A1787,payment_ids!D:E,2,FALSE)</f>
        <v>card</v>
      </c>
      <c r="P1787" s="4" t="s">
        <v>69</v>
      </c>
      <c r="Q1787" s="4" t="s">
        <v>5276</v>
      </c>
      <c r="R1787" s="4"/>
      <c r="S1787" s="12" t="s">
        <v>5183</v>
      </c>
      <c r="T1787" s="5"/>
      <c r="U1787" s="4"/>
      <c r="V1787" s="11"/>
      <c r="W1787" s="5"/>
      <c r="X1787" s="11"/>
      <c r="Y1787" s="4"/>
      <c r="Z1787" s="5"/>
      <c r="AA1787" s="4"/>
      <c r="AB1787" s="4"/>
      <c r="AC1787" s="4"/>
      <c r="AD1787" s="5"/>
      <c r="AE1787" s="5"/>
      <c r="AF1787" s="5"/>
      <c r="AG1787" s="5"/>
      <c r="AH1787" s="5"/>
      <c r="AI1787" s="5"/>
      <c r="AJ1787" s="5"/>
      <c r="AK1787" s="5"/>
      <c r="AL1787" s="5"/>
    </row>
    <row r="1788">
      <c r="A1788" s="4" t="str">
        <f>VLOOKUP(L1788,payment_ids!C:D,2,FALSE)</f>
        <v>pay_HHQMWwG4EMkFOA</v>
      </c>
      <c r="B1788" s="4"/>
      <c r="C1788" s="4" t="s">
        <v>5181</v>
      </c>
      <c r="D1788" s="4">
        <v>50022.0</v>
      </c>
      <c r="E1788" s="5"/>
      <c r="F1788" s="4">
        <v>1.0</v>
      </c>
      <c r="G1788" s="4">
        <v>99.0</v>
      </c>
      <c r="H1788" s="4"/>
      <c r="I1788" s="4">
        <v>99.0</v>
      </c>
      <c r="J1788" s="4" t="s">
        <v>5277</v>
      </c>
      <c r="K1788" s="5">
        <f>+918840986632</f>
        <v>918840986632</v>
      </c>
      <c r="L1788" s="4" t="str">
        <f t="shared" si="1"/>
        <v>anjalikesarwani410@gmail.com918840986632</v>
      </c>
      <c r="M1788" s="10" t="s">
        <v>67</v>
      </c>
      <c r="N1788" s="4" t="b">
        <v>0</v>
      </c>
      <c r="O1788" s="4" t="str">
        <f>VLOOKUP(A1788,payment_ids!D:E,2,FALSE)</f>
        <v>upi</v>
      </c>
      <c r="P1788" s="4" t="s">
        <v>69</v>
      </c>
      <c r="Q1788" s="4" t="s">
        <v>5278</v>
      </c>
      <c r="R1788" s="4"/>
      <c r="S1788" s="12" t="s">
        <v>5183</v>
      </c>
      <c r="T1788" s="5"/>
      <c r="U1788" s="4"/>
      <c r="V1788" s="11"/>
      <c r="W1788" s="5"/>
      <c r="X1788" s="11"/>
      <c r="Y1788" s="4"/>
      <c r="Z1788" s="5"/>
      <c r="AA1788" s="4"/>
      <c r="AB1788" s="4"/>
      <c r="AC1788" s="4"/>
      <c r="AD1788" s="5"/>
      <c r="AE1788" s="5"/>
      <c r="AF1788" s="5"/>
      <c r="AG1788" s="5"/>
      <c r="AH1788" s="5"/>
      <c r="AI1788" s="5"/>
      <c r="AJ1788" s="5"/>
      <c r="AK1788" s="5"/>
      <c r="AL1788" s="5"/>
    </row>
    <row r="1789">
      <c r="A1789" s="4" t="str">
        <f>VLOOKUP(L1789,payment_ids!C:D,2,FALSE)</f>
        <v>pay_HHrJ3SUDlH8reK</v>
      </c>
      <c r="B1789" s="4"/>
      <c r="C1789" s="4" t="s">
        <v>5181</v>
      </c>
      <c r="D1789" s="4">
        <v>50022.0</v>
      </c>
      <c r="E1789" s="5"/>
      <c r="F1789" s="4">
        <v>1.0</v>
      </c>
      <c r="G1789" s="4">
        <v>99.0</v>
      </c>
      <c r="H1789" s="4"/>
      <c r="I1789" s="4">
        <v>99.0</v>
      </c>
      <c r="J1789" s="4" t="s">
        <v>5279</v>
      </c>
      <c r="K1789" s="5">
        <f>+919971981649</f>
        <v>919971981649</v>
      </c>
      <c r="L1789" s="4" t="str">
        <f t="shared" si="1"/>
        <v>geetarao926@gmail.com919971981649</v>
      </c>
      <c r="M1789" s="10" t="s">
        <v>67</v>
      </c>
      <c r="N1789" s="4" t="b">
        <v>0</v>
      </c>
      <c r="O1789" s="4" t="str">
        <f>VLOOKUP(A1789,payment_ids!D:E,2,FALSE)</f>
        <v>upi</v>
      </c>
      <c r="P1789" s="4" t="s">
        <v>69</v>
      </c>
      <c r="Q1789" s="11">
        <v>44202.90972222222</v>
      </c>
      <c r="R1789" s="4"/>
      <c r="S1789" s="12" t="s">
        <v>5183</v>
      </c>
      <c r="T1789" s="5"/>
      <c r="U1789" s="4"/>
      <c r="V1789" s="11"/>
      <c r="W1789" s="5"/>
      <c r="X1789" s="11"/>
      <c r="Y1789" s="4"/>
      <c r="Z1789" s="5"/>
      <c r="AA1789" s="4"/>
      <c r="AB1789" s="4"/>
      <c r="AC1789" s="4"/>
      <c r="AD1789" s="5"/>
      <c r="AE1789" s="5"/>
      <c r="AF1789" s="5"/>
      <c r="AG1789" s="5"/>
      <c r="AH1789" s="5"/>
      <c r="AI1789" s="5"/>
      <c r="AJ1789" s="5"/>
      <c r="AK1789" s="5"/>
      <c r="AL1789" s="5"/>
    </row>
    <row r="1790">
      <c r="A1790" s="4" t="str">
        <f>VLOOKUP(L1790,payment_ids!C:D,2,FALSE)</f>
        <v>pay_HI81d9mN48aXN6</v>
      </c>
      <c r="B1790" s="4"/>
      <c r="C1790" s="4" t="s">
        <v>5181</v>
      </c>
      <c r="D1790" s="4">
        <v>50022.0</v>
      </c>
      <c r="E1790" s="5"/>
      <c r="F1790" s="4">
        <v>1.0</v>
      </c>
      <c r="G1790" s="4">
        <v>99.0</v>
      </c>
      <c r="H1790" s="4"/>
      <c r="I1790" s="4">
        <v>99.0</v>
      </c>
      <c r="J1790" s="4" t="s">
        <v>5280</v>
      </c>
      <c r="K1790" s="5">
        <f>+918090208755</f>
        <v>918090208755</v>
      </c>
      <c r="L1790" s="4" t="str">
        <f t="shared" si="1"/>
        <v>raj.divyansh3@gmail.com918090208755</v>
      </c>
      <c r="M1790" s="10" t="s">
        <v>67</v>
      </c>
      <c r="N1790" s="4" t="b">
        <v>0</v>
      </c>
      <c r="O1790" s="4" t="str">
        <f>VLOOKUP(A1790,payment_ids!D:E,2,FALSE)</f>
        <v>upi</v>
      </c>
      <c r="P1790" s="4" t="s">
        <v>69</v>
      </c>
      <c r="Q1790" s="11">
        <v>44233.59097222222</v>
      </c>
      <c r="R1790" s="4"/>
      <c r="S1790" s="12" t="s">
        <v>5183</v>
      </c>
      <c r="T1790" s="5"/>
      <c r="U1790" s="4"/>
      <c r="V1790" s="11"/>
      <c r="W1790" s="5"/>
      <c r="X1790" s="11"/>
      <c r="Y1790" s="4"/>
      <c r="Z1790" s="5"/>
      <c r="AA1790" s="4"/>
      <c r="AB1790" s="4"/>
      <c r="AC1790" s="4"/>
      <c r="AD1790" s="5"/>
      <c r="AE1790" s="5"/>
      <c r="AF1790" s="5"/>
      <c r="AG1790" s="5"/>
      <c r="AH1790" s="5"/>
      <c r="AI1790" s="5"/>
      <c r="AJ1790" s="5"/>
      <c r="AK1790" s="5"/>
      <c r="AL1790" s="5"/>
    </row>
    <row r="1791">
      <c r="A1791" s="4" t="str">
        <f>VLOOKUP(L1791,payment_ids!C:D,2,FALSE)</f>
        <v>pay_HIFiSWcEJ2yBlt</v>
      </c>
      <c r="B1791" s="4"/>
      <c r="C1791" s="4" t="s">
        <v>5181</v>
      </c>
      <c r="D1791" s="4">
        <v>50022.0</v>
      </c>
      <c r="E1791" s="5"/>
      <c r="F1791" s="4">
        <v>1.0</v>
      </c>
      <c r="G1791" s="4">
        <v>99.0</v>
      </c>
      <c r="H1791" s="4"/>
      <c r="I1791" s="4">
        <v>99.0</v>
      </c>
      <c r="J1791" s="4" t="s">
        <v>5281</v>
      </c>
      <c r="K1791" s="5">
        <f>+919740170552</f>
        <v>919740170552</v>
      </c>
      <c r="L1791" s="4" t="str">
        <f t="shared" si="1"/>
        <v>bankapur.shruti@gmail.com919740170552</v>
      </c>
      <c r="M1791" s="10" t="s">
        <v>67</v>
      </c>
      <c r="N1791" s="4" t="b">
        <v>0</v>
      </c>
      <c r="O1791" s="4" t="str">
        <f>VLOOKUP(A1791,payment_ids!D:E,2,FALSE)</f>
        <v>upi</v>
      </c>
      <c r="P1791" s="4" t="s">
        <v>69</v>
      </c>
      <c r="Q1791" s="11">
        <v>44233.90416666667</v>
      </c>
      <c r="R1791" s="4"/>
      <c r="S1791" s="12" t="s">
        <v>5183</v>
      </c>
      <c r="T1791" s="5"/>
      <c r="U1791" s="4"/>
      <c r="V1791" s="11"/>
      <c r="W1791" s="5"/>
      <c r="X1791" s="11"/>
      <c r="Y1791" s="4"/>
      <c r="Z1791" s="5"/>
      <c r="AA1791" s="4"/>
      <c r="AB1791" s="4"/>
      <c r="AC1791" s="4"/>
      <c r="AD1791" s="5"/>
      <c r="AE1791" s="5"/>
      <c r="AF1791" s="5"/>
      <c r="AG1791" s="5"/>
      <c r="AH1791" s="5"/>
      <c r="AI1791" s="5"/>
      <c r="AJ1791" s="5"/>
      <c r="AK1791" s="5"/>
      <c r="AL1791" s="5"/>
    </row>
    <row r="1792">
      <c r="A1792" s="4" t="str">
        <f>VLOOKUP(L1792,payment_ids!C:D,2,FALSE)</f>
        <v>pay_HIQhgenwgAFMkc</v>
      </c>
      <c r="B1792" s="4"/>
      <c r="C1792" s="4" t="s">
        <v>5181</v>
      </c>
      <c r="D1792" s="4">
        <v>50022.0</v>
      </c>
      <c r="E1792" s="5"/>
      <c r="F1792" s="4">
        <v>1.0</v>
      </c>
      <c r="G1792" s="4">
        <v>99.0</v>
      </c>
      <c r="H1792" s="4"/>
      <c r="I1792" s="4">
        <v>99.0</v>
      </c>
      <c r="J1792" s="4" t="s">
        <v>5282</v>
      </c>
      <c r="K1792" s="5">
        <f>+919840106359</f>
        <v>919840106359</v>
      </c>
      <c r="L1792" s="4" t="str">
        <f t="shared" si="1"/>
        <v>kalyaninair86@gmail.com919840106359</v>
      </c>
      <c r="M1792" s="10" t="s">
        <v>67</v>
      </c>
      <c r="N1792" s="4" t="b">
        <v>0</v>
      </c>
      <c r="O1792" s="4" t="str">
        <f>VLOOKUP(A1792,payment_ids!D:E,2,FALSE)</f>
        <v>upi</v>
      </c>
      <c r="P1792" s="4" t="s">
        <v>69</v>
      </c>
      <c r="Q1792" s="11">
        <v>44261.35277777778</v>
      </c>
      <c r="R1792" s="4"/>
      <c r="S1792" s="12" t="s">
        <v>5183</v>
      </c>
      <c r="T1792" s="5"/>
      <c r="U1792" s="4"/>
      <c r="V1792" s="11"/>
      <c r="W1792" s="5"/>
      <c r="X1792" s="11"/>
      <c r="Y1792" s="4"/>
      <c r="Z1792" s="5"/>
      <c r="AA1792" s="4"/>
      <c r="AB1792" s="4"/>
      <c r="AC1792" s="4"/>
      <c r="AD1792" s="5"/>
      <c r="AE1792" s="5"/>
      <c r="AF1792" s="5"/>
      <c r="AG1792" s="5"/>
      <c r="AH1792" s="5"/>
      <c r="AI1792" s="5"/>
      <c r="AJ1792" s="5"/>
      <c r="AK1792" s="5"/>
      <c r="AL1792" s="5"/>
    </row>
    <row r="1793">
      <c r="A1793" s="4" t="str">
        <f>VLOOKUP(L1793,payment_ids!C:D,2,FALSE)</f>
        <v>pay_HIVsAmwVo6HdUI</v>
      </c>
      <c r="B1793" s="4"/>
      <c r="C1793" s="4" t="s">
        <v>5181</v>
      </c>
      <c r="D1793" s="4">
        <v>50022.0</v>
      </c>
      <c r="E1793" s="5"/>
      <c r="F1793" s="4">
        <v>1.0</v>
      </c>
      <c r="G1793" s="4">
        <v>99.0</v>
      </c>
      <c r="H1793" s="4"/>
      <c r="I1793" s="4">
        <v>99.0</v>
      </c>
      <c r="J1793" s="4" t="s">
        <v>5283</v>
      </c>
      <c r="K1793" s="5">
        <f>+916295797197</f>
        <v>916295797197</v>
      </c>
      <c r="L1793" s="4" t="str">
        <f t="shared" si="1"/>
        <v>satyamrrr8@gmail.com916295797197</v>
      </c>
      <c r="M1793" s="10" t="s">
        <v>67</v>
      </c>
      <c r="N1793" s="4" t="b">
        <v>0</v>
      </c>
      <c r="O1793" s="4" t="str">
        <f>VLOOKUP(A1793,payment_ids!D:E,2,FALSE)</f>
        <v>upi</v>
      </c>
      <c r="P1793" s="4" t="s">
        <v>69</v>
      </c>
      <c r="Q1793" s="11">
        <v>44261.56319444445</v>
      </c>
      <c r="R1793" s="4"/>
      <c r="S1793" s="12" t="s">
        <v>5183</v>
      </c>
      <c r="T1793" s="5"/>
      <c r="U1793" s="4"/>
      <c r="V1793" s="11"/>
      <c r="W1793" s="5"/>
      <c r="X1793" s="11"/>
      <c r="Y1793" s="4"/>
      <c r="Z1793" s="5"/>
      <c r="AA1793" s="4"/>
      <c r="AB1793" s="4"/>
      <c r="AC1793" s="4"/>
      <c r="AD1793" s="5"/>
      <c r="AE1793" s="5"/>
      <c r="AF1793" s="5"/>
      <c r="AG1793" s="5"/>
      <c r="AH1793" s="5"/>
      <c r="AI1793" s="5"/>
      <c r="AJ1793" s="5"/>
      <c r="AK1793" s="5"/>
      <c r="AL1793" s="5"/>
    </row>
    <row r="1794">
      <c r="A1794" s="4" t="str">
        <f>VLOOKUP(L1794,payment_ids!C:D,2,FALSE)</f>
        <v>pay_HIXBqSzLGwNFrx</v>
      </c>
      <c r="B1794" s="4"/>
      <c r="C1794" s="4" t="s">
        <v>5181</v>
      </c>
      <c r="D1794" s="4">
        <v>50022.0</v>
      </c>
      <c r="E1794" s="5"/>
      <c r="F1794" s="4">
        <v>1.0</v>
      </c>
      <c r="G1794" s="4">
        <v>99.0</v>
      </c>
      <c r="H1794" s="4"/>
      <c r="I1794" s="4">
        <v>99.0</v>
      </c>
      <c r="J1794" s="4" t="s">
        <v>5284</v>
      </c>
      <c r="K1794" s="5">
        <f>+919845819013</f>
        <v>919845819013</v>
      </c>
      <c r="L1794" s="4" t="str">
        <f t="shared" si="1"/>
        <v>hanumanthappa.shubha32@gmail.com919845819013</v>
      </c>
      <c r="M1794" s="10" t="s">
        <v>67</v>
      </c>
      <c r="N1794" s="4" t="b">
        <v>0</v>
      </c>
      <c r="O1794" s="4" t="str">
        <f>VLOOKUP(A1794,payment_ids!D:E,2,FALSE)</f>
        <v>upi</v>
      </c>
      <c r="P1794" s="4" t="s">
        <v>69</v>
      </c>
      <c r="Q1794" s="11">
        <v>44261.61666666667</v>
      </c>
      <c r="R1794" s="4"/>
      <c r="S1794" s="12" t="s">
        <v>5183</v>
      </c>
      <c r="T1794" s="5"/>
      <c r="U1794" s="4"/>
      <c r="V1794" s="11"/>
      <c r="W1794" s="5"/>
      <c r="X1794" s="11"/>
      <c r="Y1794" s="4"/>
      <c r="Z1794" s="5"/>
      <c r="AA1794" s="4"/>
      <c r="AB1794" s="4"/>
      <c r="AC1794" s="4"/>
      <c r="AD1794" s="5"/>
      <c r="AE1794" s="5"/>
      <c r="AF1794" s="5"/>
      <c r="AG1794" s="5"/>
      <c r="AH1794" s="5"/>
      <c r="AI1794" s="5"/>
      <c r="AJ1794" s="5"/>
      <c r="AK1794" s="5"/>
      <c r="AL1794" s="5"/>
    </row>
    <row r="1795">
      <c r="A1795" s="4" t="str">
        <f>VLOOKUP(L1795,payment_ids!C:D,2,FALSE)</f>
        <v>pay_HIt7jixZUZao21</v>
      </c>
      <c r="B1795" s="4"/>
      <c r="C1795" s="4" t="s">
        <v>5181</v>
      </c>
      <c r="D1795" s="4">
        <v>50022.0</v>
      </c>
      <c r="E1795" s="5"/>
      <c r="F1795" s="4">
        <v>1.0</v>
      </c>
      <c r="G1795" s="4">
        <v>99.0</v>
      </c>
      <c r="H1795" s="4"/>
      <c r="I1795" s="4">
        <v>99.0</v>
      </c>
      <c r="J1795" s="4" t="s">
        <v>5285</v>
      </c>
      <c r="K1795" s="5">
        <f>+919351211353</f>
        <v>919351211353</v>
      </c>
      <c r="L1795" s="4" t="str">
        <f t="shared" si="1"/>
        <v>jainmamta17866@gmail.com919351211353</v>
      </c>
      <c r="M1795" s="10" t="s">
        <v>67</v>
      </c>
      <c r="N1795" s="4" t="b">
        <v>0</v>
      </c>
      <c r="O1795" s="4" t="str">
        <f>VLOOKUP(A1795,payment_ids!D:E,2,FALSE)</f>
        <v>upi</v>
      </c>
      <c r="P1795" s="4" t="s">
        <v>69</v>
      </c>
      <c r="Q1795" s="11">
        <v>44292.51111111111</v>
      </c>
      <c r="R1795" s="4"/>
      <c r="S1795" s="12" t="s">
        <v>5286</v>
      </c>
      <c r="T1795" s="5"/>
      <c r="U1795" s="4"/>
      <c r="V1795" s="11"/>
      <c r="W1795" s="5"/>
      <c r="X1795" s="11"/>
      <c r="Y1795" s="4"/>
      <c r="Z1795" s="5"/>
      <c r="AA1795" s="4"/>
      <c r="AB1795" s="4"/>
      <c r="AC1795" s="4"/>
      <c r="AD1795" s="5"/>
      <c r="AE1795" s="5"/>
      <c r="AF1795" s="5"/>
      <c r="AG1795" s="5"/>
      <c r="AH1795" s="5"/>
      <c r="AI1795" s="5"/>
      <c r="AJ1795" s="5"/>
      <c r="AK1795" s="5"/>
      <c r="AL1795" s="5"/>
    </row>
    <row r="1796">
      <c r="A1796" s="4" t="str">
        <f>VLOOKUP(L1796,payment_ids!C:D,2,FALSE)</f>
        <v>pay_HKA97mDcKDrgMZ</v>
      </c>
      <c r="B1796" s="4"/>
      <c r="C1796" s="4" t="s">
        <v>5181</v>
      </c>
      <c r="D1796" s="4">
        <v>50022.0</v>
      </c>
      <c r="E1796" s="5"/>
      <c r="F1796" s="4">
        <v>1.0</v>
      </c>
      <c r="G1796" s="4">
        <v>99.0</v>
      </c>
      <c r="H1796" s="4"/>
      <c r="I1796" s="4">
        <v>99.0</v>
      </c>
      <c r="J1796" s="4" t="s">
        <v>5287</v>
      </c>
      <c r="K1796" s="5">
        <f>+918861347671</f>
        <v>918861347671</v>
      </c>
      <c r="L1796" s="4" t="str">
        <f t="shared" si="1"/>
        <v>pavanuppar17@gmail.com918861347671</v>
      </c>
      <c r="M1796" s="10" t="s">
        <v>67</v>
      </c>
      <c r="N1796" s="4" t="b">
        <v>0</v>
      </c>
      <c r="O1796" s="4" t="str">
        <f>VLOOKUP(A1796,payment_ids!D:E,2,FALSE)</f>
        <v>upi</v>
      </c>
      <c r="P1796" s="4" t="s">
        <v>69</v>
      </c>
      <c r="Q1796" s="11">
        <v>44383.78611111111</v>
      </c>
      <c r="R1796" s="4"/>
      <c r="S1796" s="12" t="s">
        <v>5183</v>
      </c>
      <c r="T1796" s="5"/>
      <c r="U1796" s="4"/>
      <c r="V1796" s="11"/>
      <c r="W1796" s="5"/>
      <c r="X1796" s="11"/>
      <c r="Y1796" s="4"/>
      <c r="Z1796" s="5"/>
      <c r="AA1796" s="4"/>
      <c r="AB1796" s="4"/>
      <c r="AC1796" s="4"/>
      <c r="AD1796" s="5"/>
      <c r="AE1796" s="5"/>
      <c r="AF1796" s="5"/>
      <c r="AG1796" s="5"/>
      <c r="AH1796" s="5"/>
      <c r="AI1796" s="5"/>
      <c r="AJ1796" s="5"/>
      <c r="AK1796" s="5"/>
      <c r="AL1796" s="5"/>
    </row>
    <row r="1797">
      <c r="A1797" s="4" t="str">
        <f>VLOOKUP(L1797,payment_ids!C:D,2,FALSE)</f>
        <v>pay_HKoAwFECHZOJsM</v>
      </c>
      <c r="B1797" s="4"/>
      <c r="C1797" s="4" t="s">
        <v>5181</v>
      </c>
      <c r="D1797" s="4">
        <v>50022.0</v>
      </c>
      <c r="E1797" s="5"/>
      <c r="F1797" s="4">
        <v>1.0</v>
      </c>
      <c r="G1797" s="4">
        <v>99.0</v>
      </c>
      <c r="H1797" s="4"/>
      <c r="I1797" s="4">
        <v>99.0</v>
      </c>
      <c r="J1797" s="4" t="s">
        <v>5288</v>
      </c>
      <c r="K1797" s="5">
        <f>+919841025607</f>
        <v>919841025607</v>
      </c>
      <c r="L1797" s="4" t="str">
        <f t="shared" si="1"/>
        <v>barkha1657@gmail.com919841025607</v>
      </c>
      <c r="M1797" s="10" t="s">
        <v>67</v>
      </c>
      <c r="N1797" s="4" t="b">
        <v>0</v>
      </c>
      <c r="O1797" s="4" t="str">
        <f>VLOOKUP(A1797,payment_ids!D:E,2,FALSE)</f>
        <v>card</v>
      </c>
      <c r="P1797" s="4" t="s">
        <v>69</v>
      </c>
      <c r="Q1797" s="11">
        <v>44445.36319444444</v>
      </c>
      <c r="R1797" s="4"/>
      <c r="S1797" s="12" t="s">
        <v>5183</v>
      </c>
      <c r="T1797" s="4" t="s">
        <v>2444</v>
      </c>
      <c r="U1797" s="4"/>
      <c r="V1797" s="11"/>
      <c r="W1797" s="5"/>
      <c r="X1797" s="11"/>
      <c r="Y1797" s="4"/>
      <c r="Z1797" s="5"/>
      <c r="AA1797" s="4"/>
      <c r="AB1797" s="4"/>
      <c r="AC1797" s="4"/>
      <c r="AD1797" s="5"/>
      <c r="AE1797" s="5"/>
      <c r="AF1797" s="5"/>
      <c r="AG1797" s="5"/>
      <c r="AH1797" s="5"/>
      <c r="AI1797" s="5"/>
      <c r="AJ1797" s="5"/>
      <c r="AK1797" s="5"/>
      <c r="AL1797" s="5"/>
    </row>
    <row r="1798">
      <c r="A1798" s="4" t="str">
        <f>VLOOKUP(L1798,payment_ids!C:D,2,FALSE)</f>
        <v>pay_HKq5qRyluRirbu</v>
      </c>
      <c r="B1798" s="4"/>
      <c r="C1798" s="4" t="s">
        <v>5181</v>
      </c>
      <c r="D1798" s="4">
        <v>50022.0</v>
      </c>
      <c r="E1798" s="5"/>
      <c r="F1798" s="4">
        <v>3.0</v>
      </c>
      <c r="G1798" s="4">
        <v>199.0</v>
      </c>
      <c r="H1798" s="4"/>
      <c r="I1798" s="4">
        <v>199.0</v>
      </c>
      <c r="J1798" s="4" t="s">
        <v>5289</v>
      </c>
      <c r="K1798" s="5">
        <f>+919482136591</f>
        <v>919482136591</v>
      </c>
      <c r="L1798" s="4" t="str">
        <f t="shared" si="1"/>
        <v>rn3641@gmail.com919482136591</v>
      </c>
      <c r="M1798" s="10" t="s">
        <v>67</v>
      </c>
      <c r="N1798" s="4" t="b">
        <v>0</v>
      </c>
      <c r="O1798" s="4" t="str">
        <f>VLOOKUP(A1798,payment_ids!D:E,2,FALSE)</f>
        <v>upi</v>
      </c>
      <c r="P1798" s="4" t="s">
        <v>69</v>
      </c>
      <c r="Q1798" s="11">
        <v>44445.441666666666</v>
      </c>
      <c r="R1798" s="4"/>
      <c r="S1798" s="12" t="s">
        <v>5183</v>
      </c>
      <c r="T1798" s="4" t="s">
        <v>2444</v>
      </c>
      <c r="U1798" s="4"/>
      <c r="V1798" s="11"/>
      <c r="W1798" s="5"/>
      <c r="X1798" s="11"/>
      <c r="Y1798" s="4"/>
      <c r="Z1798" s="5"/>
      <c r="AA1798" s="4"/>
      <c r="AB1798" s="4"/>
      <c r="AC1798" s="4"/>
      <c r="AD1798" s="5"/>
      <c r="AE1798" s="5"/>
      <c r="AF1798" s="5"/>
      <c r="AG1798" s="5"/>
      <c r="AH1798" s="5"/>
      <c r="AI1798" s="5"/>
      <c r="AJ1798" s="5"/>
      <c r="AK1798" s="5"/>
      <c r="AL1798" s="5"/>
    </row>
    <row r="1799">
      <c r="A1799" s="4" t="str">
        <f>VLOOKUP(L1799,payment_ids!C:D,2,FALSE)</f>
        <v>pay_HLM90cksod33k4</v>
      </c>
      <c r="B1799" s="4"/>
      <c r="C1799" s="4" t="s">
        <v>5181</v>
      </c>
      <c r="D1799" s="4">
        <v>50022.0</v>
      </c>
      <c r="E1799" s="5"/>
      <c r="F1799" s="4">
        <v>1.0</v>
      </c>
      <c r="G1799" s="4">
        <v>99.0</v>
      </c>
      <c r="H1799" s="4"/>
      <c r="I1799" s="4">
        <v>99.0</v>
      </c>
      <c r="J1799" s="4" t="s">
        <v>5290</v>
      </c>
      <c r="K1799" s="5">
        <f>+919717389836</f>
        <v>919717389836</v>
      </c>
      <c r="L1799" s="4" t="str">
        <f t="shared" si="1"/>
        <v>mlpgayathri@gmail.com919717389836</v>
      </c>
      <c r="M1799" s="10" t="s">
        <v>67</v>
      </c>
      <c r="N1799" s="4" t="b">
        <v>0</v>
      </c>
      <c r="O1799" s="4" t="str">
        <f>VLOOKUP(A1799,payment_ids!D:E,2,FALSE)</f>
        <v>upi</v>
      </c>
      <c r="P1799" s="4" t="s">
        <v>69</v>
      </c>
      <c r="Q1799" s="11">
        <v>44475.74791666667</v>
      </c>
      <c r="R1799" s="4"/>
      <c r="S1799" s="12" t="s">
        <v>5183</v>
      </c>
      <c r="T1799" s="4" t="s">
        <v>2444</v>
      </c>
      <c r="U1799" s="4"/>
      <c r="V1799" s="11"/>
      <c r="W1799" s="5"/>
      <c r="X1799" s="11"/>
      <c r="Y1799" s="4"/>
      <c r="Z1799" s="5"/>
      <c r="AA1799" s="4"/>
      <c r="AB1799" s="4"/>
      <c r="AC1799" s="4"/>
      <c r="AD1799" s="5"/>
      <c r="AE1799" s="5"/>
      <c r="AF1799" s="5"/>
      <c r="AG1799" s="5"/>
      <c r="AH1799" s="5"/>
      <c r="AI1799" s="5"/>
      <c r="AJ1799" s="5"/>
      <c r="AK1799" s="5"/>
      <c r="AL1799" s="5"/>
    </row>
    <row r="1800">
      <c r="A1800" s="4" t="str">
        <f>VLOOKUP(L1800,payment_ids!C:D,2,FALSE)</f>
        <v>pay_HLMptC9iTTxPYf</v>
      </c>
      <c r="B1800" s="4"/>
      <c r="C1800" s="4" t="s">
        <v>5181</v>
      </c>
      <c r="D1800" s="4">
        <v>50022.0</v>
      </c>
      <c r="E1800" s="5"/>
      <c r="F1800" s="4">
        <v>1.0</v>
      </c>
      <c r="G1800" s="4">
        <v>99.0</v>
      </c>
      <c r="H1800" s="4"/>
      <c r="I1800" s="4">
        <v>99.0</v>
      </c>
      <c r="J1800" s="4" t="s">
        <v>5291</v>
      </c>
      <c r="K1800" s="5">
        <f>+919911240246</f>
        <v>919911240246</v>
      </c>
      <c r="L1800" s="4" t="str">
        <f t="shared" si="1"/>
        <v>ssg009008@gmail.com919911240246</v>
      </c>
      <c r="M1800" s="10" t="s">
        <v>67</v>
      </c>
      <c r="N1800" s="4" t="b">
        <v>0</v>
      </c>
      <c r="O1800" s="4" t="str">
        <f>VLOOKUP(A1800,payment_ids!D:E,2,FALSE)</f>
        <v>upi</v>
      </c>
      <c r="P1800" s="4" t="s">
        <v>69</v>
      </c>
      <c r="Q1800" s="11">
        <v>44475.77638888889</v>
      </c>
      <c r="R1800" s="4"/>
      <c r="S1800" s="12" t="s">
        <v>5183</v>
      </c>
      <c r="T1800" s="4" t="s">
        <v>2444</v>
      </c>
      <c r="U1800" s="4"/>
      <c r="V1800" s="11"/>
      <c r="W1800" s="5"/>
      <c r="X1800" s="11"/>
      <c r="Y1800" s="4"/>
      <c r="Z1800" s="5"/>
      <c r="AA1800" s="4"/>
      <c r="AB1800" s="4"/>
      <c r="AC1800" s="4"/>
      <c r="AD1800" s="5"/>
      <c r="AE1800" s="5"/>
      <c r="AF1800" s="5"/>
      <c r="AG1800" s="5"/>
      <c r="AH1800" s="5"/>
      <c r="AI1800" s="5"/>
      <c r="AJ1800" s="5"/>
      <c r="AK1800" s="5"/>
      <c r="AL1800" s="5"/>
    </row>
    <row r="1801">
      <c r="A1801" s="4" t="str">
        <f>VLOOKUP(L1801,payment_ids!C:D,2,FALSE)</f>
        <v>pay_HLR7MudAeZmBQk</v>
      </c>
      <c r="B1801" s="4"/>
      <c r="C1801" s="4" t="s">
        <v>5181</v>
      </c>
      <c r="D1801" s="4">
        <v>50022.0</v>
      </c>
      <c r="E1801" s="5"/>
      <c r="F1801" s="4">
        <v>1.0</v>
      </c>
      <c r="G1801" s="4">
        <v>99.0</v>
      </c>
      <c r="H1801" s="4"/>
      <c r="I1801" s="4">
        <v>99.0</v>
      </c>
      <c r="J1801" s="4" t="s">
        <v>5292</v>
      </c>
      <c r="K1801" s="5">
        <f>+917007308238</f>
        <v>917007308238</v>
      </c>
      <c r="L1801" s="4" t="str">
        <f t="shared" si="1"/>
        <v>yajan.singh0@gmail.com917007308238</v>
      </c>
      <c r="M1801" s="10" t="s">
        <v>67</v>
      </c>
      <c r="N1801" s="4" t="b">
        <v>0</v>
      </c>
      <c r="O1801" s="4" t="str">
        <f>VLOOKUP(A1801,payment_ids!D:E,2,FALSE)</f>
        <v>upi</v>
      </c>
      <c r="P1801" s="4" t="s">
        <v>69</v>
      </c>
      <c r="Q1801" s="11">
        <v>44475.95277777778</v>
      </c>
      <c r="R1801" s="4"/>
      <c r="S1801" s="12" t="s">
        <v>5183</v>
      </c>
      <c r="T1801" s="4" t="s">
        <v>2444</v>
      </c>
      <c r="U1801" s="4"/>
      <c r="V1801" s="11"/>
      <c r="W1801" s="5"/>
      <c r="X1801" s="11"/>
      <c r="Y1801" s="4"/>
      <c r="Z1801" s="5"/>
      <c r="AA1801" s="4"/>
      <c r="AB1801" s="4"/>
      <c r="AC1801" s="4"/>
      <c r="AD1801" s="5"/>
      <c r="AE1801" s="5"/>
      <c r="AF1801" s="5"/>
      <c r="AG1801" s="5"/>
      <c r="AH1801" s="5"/>
      <c r="AI1801" s="5"/>
      <c r="AJ1801" s="5"/>
      <c r="AK1801" s="5"/>
      <c r="AL1801" s="5"/>
    </row>
    <row r="1802">
      <c r="A1802" s="4" t="str">
        <f>VLOOKUP(L1802,payment_ids!C:D,2,FALSE)</f>
        <v>pay_HLafNFi4goAhs2</v>
      </c>
      <c r="B1802" s="4"/>
      <c r="C1802" s="4" t="s">
        <v>5181</v>
      </c>
      <c r="D1802" s="4">
        <v>50022.0</v>
      </c>
      <c r="E1802" s="5"/>
      <c r="F1802" s="4">
        <v>1.0</v>
      </c>
      <c r="G1802" s="4">
        <v>99.0</v>
      </c>
      <c r="H1802" s="4"/>
      <c r="I1802" s="4">
        <v>99.0</v>
      </c>
      <c r="J1802" s="4" t="s">
        <v>5293</v>
      </c>
      <c r="K1802" s="5">
        <f>+919003200139</f>
        <v>919003200139</v>
      </c>
      <c r="L1802" s="4" t="str">
        <f t="shared" si="1"/>
        <v>sivavij2000@gmail.com919003200139</v>
      </c>
      <c r="M1802" s="10" t="s">
        <v>67</v>
      </c>
      <c r="N1802" s="4" t="b">
        <v>0</v>
      </c>
      <c r="O1802" s="4" t="str">
        <f>VLOOKUP(A1802,payment_ids!D:E,2,FALSE)</f>
        <v>upi</v>
      </c>
      <c r="P1802" s="4" t="s">
        <v>69</v>
      </c>
      <c r="Q1802" s="11">
        <v>44506.339583333334</v>
      </c>
      <c r="R1802" s="4"/>
      <c r="S1802" s="12" t="s">
        <v>5183</v>
      </c>
      <c r="T1802" s="4" t="s">
        <v>2444</v>
      </c>
      <c r="U1802" s="4"/>
      <c r="V1802" s="11"/>
      <c r="W1802" s="5"/>
      <c r="X1802" s="11"/>
      <c r="Y1802" s="4"/>
      <c r="Z1802" s="5"/>
      <c r="AA1802" s="4"/>
      <c r="AB1802" s="4"/>
      <c r="AC1802" s="4"/>
      <c r="AD1802" s="5"/>
      <c r="AE1802" s="5"/>
      <c r="AF1802" s="5"/>
      <c r="AG1802" s="5"/>
      <c r="AH1802" s="5"/>
      <c r="AI1802" s="5"/>
      <c r="AJ1802" s="5"/>
      <c r="AK1802" s="5"/>
      <c r="AL1802" s="5"/>
    </row>
    <row r="1803">
      <c r="A1803" s="4" t="str">
        <f>VLOOKUP(L1803,payment_ids!C:D,2,FALSE)</f>
        <v>pay_HLfR8Y4kI0gj3p</v>
      </c>
      <c r="B1803" s="4"/>
      <c r="C1803" s="4" t="s">
        <v>5181</v>
      </c>
      <c r="D1803" s="4">
        <v>50022.0</v>
      </c>
      <c r="E1803" s="5"/>
      <c r="F1803" s="4">
        <v>1.0</v>
      </c>
      <c r="G1803" s="4">
        <v>99.0</v>
      </c>
      <c r="H1803" s="4"/>
      <c r="I1803" s="4">
        <v>99.0</v>
      </c>
      <c r="J1803" s="4" t="s">
        <v>5294</v>
      </c>
      <c r="K1803" s="5">
        <f>+918224030254</f>
        <v>918224030254</v>
      </c>
      <c r="L1803" s="4" t="str">
        <f t="shared" si="1"/>
        <v>samyak.jain1298@gmail.com918224030254</v>
      </c>
      <c r="M1803" s="10" t="s">
        <v>67</v>
      </c>
      <c r="N1803" s="4" t="b">
        <v>0</v>
      </c>
      <c r="O1803" s="4" t="str">
        <f>VLOOKUP(A1803,payment_ids!D:E,2,FALSE)</f>
        <v>upi</v>
      </c>
      <c r="P1803" s="4" t="s">
        <v>69</v>
      </c>
      <c r="Q1803" s="11">
        <v>44506.53402777778</v>
      </c>
      <c r="R1803" s="4"/>
      <c r="S1803" s="12" t="s">
        <v>5183</v>
      </c>
      <c r="T1803" s="4" t="s">
        <v>2444</v>
      </c>
      <c r="U1803" s="4"/>
      <c r="V1803" s="11"/>
      <c r="W1803" s="5"/>
      <c r="X1803" s="11"/>
      <c r="Y1803" s="4"/>
      <c r="Z1803" s="5"/>
      <c r="AA1803" s="4"/>
      <c r="AB1803" s="4"/>
      <c r="AC1803" s="4"/>
      <c r="AD1803" s="5"/>
      <c r="AE1803" s="5"/>
      <c r="AF1803" s="5"/>
      <c r="AG1803" s="5"/>
      <c r="AH1803" s="5"/>
      <c r="AI1803" s="5"/>
      <c r="AJ1803" s="5"/>
      <c r="AK1803" s="5"/>
      <c r="AL1803" s="5"/>
    </row>
    <row r="1804">
      <c r="A1804" s="4" t="str">
        <f>VLOOKUP(L1804,payment_ids!C:D,2,FALSE)</f>
        <v>pay_HLziAVIZpF5fQH</v>
      </c>
      <c r="B1804" s="4"/>
      <c r="C1804" s="4" t="s">
        <v>5181</v>
      </c>
      <c r="D1804" s="4">
        <v>50022.0</v>
      </c>
      <c r="E1804" s="5"/>
      <c r="F1804" s="4">
        <v>3.0</v>
      </c>
      <c r="G1804" s="4">
        <v>199.0</v>
      </c>
      <c r="H1804" s="4"/>
      <c r="I1804" s="4">
        <v>199.0</v>
      </c>
      <c r="J1804" s="4" t="s">
        <v>5295</v>
      </c>
      <c r="K1804" s="5">
        <f>+919706154411</f>
        <v>919706154411</v>
      </c>
      <c r="L1804" s="4" t="str">
        <f t="shared" si="1"/>
        <v>piyush.shah91@gmail.com919706154411</v>
      </c>
      <c r="M1804" s="10" t="s">
        <v>67</v>
      </c>
      <c r="N1804" s="4" t="b">
        <v>0</v>
      </c>
      <c r="O1804" s="4" t="str">
        <f>VLOOKUP(A1804,payment_ids!D:E,2,FALSE)</f>
        <v>upi</v>
      </c>
      <c r="P1804" s="4" t="s">
        <v>69</v>
      </c>
      <c r="Q1804" s="11">
        <v>44536.36041666667</v>
      </c>
      <c r="R1804" s="4"/>
      <c r="S1804" s="12" t="s">
        <v>5183</v>
      </c>
      <c r="T1804" s="4" t="s">
        <v>2444</v>
      </c>
      <c r="U1804" s="4"/>
      <c r="V1804" s="11"/>
      <c r="W1804" s="5"/>
      <c r="X1804" s="11"/>
      <c r="Y1804" s="4"/>
      <c r="Z1804" s="5"/>
      <c r="AA1804" s="4"/>
      <c r="AB1804" s="4"/>
      <c r="AC1804" s="4"/>
      <c r="AD1804" s="5"/>
      <c r="AE1804" s="5"/>
      <c r="AF1804" s="5"/>
      <c r="AG1804" s="5"/>
      <c r="AH1804" s="5"/>
      <c r="AI1804" s="5"/>
      <c r="AJ1804" s="5"/>
      <c r="AK1804" s="5"/>
      <c r="AL1804" s="5"/>
    </row>
    <row r="1805">
      <c r="A1805" s="4" t="str">
        <f>VLOOKUP(L1805,payment_ids!C:D,2,FALSE)</f>
        <v>pay_HMQvZ60Jw1by0O</v>
      </c>
      <c r="B1805" s="4"/>
      <c r="C1805" s="4" t="s">
        <v>5181</v>
      </c>
      <c r="D1805" s="4">
        <v>50022.0</v>
      </c>
      <c r="E1805" s="5"/>
      <c r="F1805" s="4">
        <v>3.0</v>
      </c>
      <c r="G1805" s="4">
        <v>199.0</v>
      </c>
      <c r="H1805" s="4"/>
      <c r="I1805" s="4">
        <v>199.0</v>
      </c>
      <c r="J1805" s="4" t="s">
        <v>5296</v>
      </c>
      <c r="K1805" s="5">
        <f>+919298858281</f>
        <v>919298858281</v>
      </c>
      <c r="L1805" s="4" t="str">
        <f t="shared" si="1"/>
        <v>padmajamanchanapalli@gmail.com919298858281</v>
      </c>
      <c r="M1805" s="10" t="s">
        <v>67</v>
      </c>
      <c r="N1805" s="4" t="b">
        <v>0</v>
      </c>
      <c r="O1805" s="4" t="str">
        <f>VLOOKUP(A1805,payment_ids!D:E,2,FALSE)</f>
        <v>card</v>
      </c>
      <c r="P1805" s="4" t="s">
        <v>69</v>
      </c>
      <c r="Q1805" s="4" t="s">
        <v>5297</v>
      </c>
      <c r="R1805" s="4"/>
      <c r="S1805" s="12" t="s">
        <v>5183</v>
      </c>
      <c r="T1805" s="4" t="s">
        <v>2444</v>
      </c>
      <c r="U1805" s="4"/>
      <c r="V1805" s="11"/>
      <c r="W1805" s="5"/>
      <c r="X1805" s="11"/>
      <c r="Y1805" s="4"/>
      <c r="Z1805" s="5"/>
      <c r="AA1805" s="4"/>
      <c r="AB1805" s="4"/>
      <c r="AC1805" s="4"/>
      <c r="AD1805" s="5"/>
      <c r="AE1805" s="5"/>
      <c r="AF1805" s="5"/>
      <c r="AG1805" s="5"/>
      <c r="AH1805" s="5"/>
      <c r="AI1805" s="5"/>
      <c r="AJ1805" s="5"/>
      <c r="AK1805" s="5"/>
      <c r="AL1805" s="5"/>
    </row>
    <row r="1806">
      <c r="A1806" s="4" t="str">
        <f>VLOOKUP(L1806,payment_ids!C:D,2,FALSE)</f>
        <v>pay_HMQx9Qv9ibQKig</v>
      </c>
      <c r="B1806" s="4"/>
      <c r="C1806" s="4" t="s">
        <v>5181</v>
      </c>
      <c r="D1806" s="4">
        <v>50022.0</v>
      </c>
      <c r="E1806" s="5"/>
      <c r="F1806" s="4">
        <v>1.0</v>
      </c>
      <c r="G1806" s="4">
        <v>99.0</v>
      </c>
      <c r="H1806" s="4"/>
      <c r="I1806" s="4">
        <v>99.0</v>
      </c>
      <c r="J1806" s="4" t="s">
        <v>5298</v>
      </c>
      <c r="K1806" s="5">
        <f>+919413867417</f>
        <v>919413867417</v>
      </c>
      <c r="L1806" s="4" t="str">
        <f t="shared" si="1"/>
        <v>ar.mohsin.ahmed@gmail.com919413867417</v>
      </c>
      <c r="M1806" s="10" t="s">
        <v>67</v>
      </c>
      <c r="N1806" s="4" t="b">
        <v>0</v>
      </c>
      <c r="O1806" s="4" t="str">
        <f>VLOOKUP(A1806,payment_ids!D:E,2,FALSE)</f>
        <v>upi</v>
      </c>
      <c r="P1806" s="4" t="s">
        <v>69</v>
      </c>
      <c r="Q1806" s="4" t="s">
        <v>2559</v>
      </c>
      <c r="R1806" s="4"/>
      <c r="S1806" s="12" t="s">
        <v>5183</v>
      </c>
      <c r="T1806" s="4" t="s">
        <v>2444</v>
      </c>
      <c r="U1806" s="4"/>
      <c r="V1806" s="11"/>
      <c r="W1806" s="5"/>
      <c r="X1806" s="11"/>
      <c r="Y1806" s="4"/>
      <c r="Z1806" s="5"/>
      <c r="AA1806" s="4"/>
      <c r="AB1806" s="4"/>
      <c r="AC1806" s="4"/>
      <c r="AD1806" s="5"/>
      <c r="AE1806" s="5"/>
      <c r="AF1806" s="5"/>
      <c r="AG1806" s="5"/>
      <c r="AH1806" s="5"/>
      <c r="AI1806" s="5"/>
      <c r="AJ1806" s="5"/>
      <c r="AK1806" s="5"/>
      <c r="AL1806" s="5"/>
    </row>
    <row r="1807">
      <c r="A1807" s="4" t="str">
        <f>VLOOKUP(L1807,payment_ids!C:D,2,FALSE)</f>
        <v>pay_HMrrWYfabqGPJS</v>
      </c>
      <c r="B1807" s="4"/>
      <c r="C1807" s="4" t="s">
        <v>5181</v>
      </c>
      <c r="D1807" s="4">
        <v>50022.0</v>
      </c>
      <c r="E1807" s="5"/>
      <c r="F1807" s="4">
        <v>6.0</v>
      </c>
      <c r="G1807" s="4">
        <v>349.0</v>
      </c>
      <c r="H1807" s="4"/>
      <c r="I1807" s="4">
        <v>349.0</v>
      </c>
      <c r="J1807" s="4" t="s">
        <v>5299</v>
      </c>
      <c r="K1807" s="5">
        <f>+919818816460</f>
        <v>919818816460</v>
      </c>
      <c r="L1807" s="4" t="str">
        <f t="shared" si="1"/>
        <v>yashisharma52@gmail.com919818816460</v>
      </c>
      <c r="M1807" s="10" t="s">
        <v>67</v>
      </c>
      <c r="N1807" s="4" t="b">
        <v>0</v>
      </c>
      <c r="O1807" s="4" t="str">
        <f>VLOOKUP(A1807,payment_ids!D:E,2,FALSE)</f>
        <v>card</v>
      </c>
      <c r="P1807" s="4" t="s">
        <v>69</v>
      </c>
      <c r="Q1807" s="4" t="s">
        <v>5300</v>
      </c>
      <c r="R1807" s="4"/>
      <c r="S1807" s="12" t="s">
        <v>5183</v>
      </c>
      <c r="T1807" s="4" t="s">
        <v>2444</v>
      </c>
      <c r="U1807" s="4"/>
      <c r="V1807" s="11"/>
      <c r="W1807" s="5"/>
      <c r="X1807" s="11"/>
      <c r="Y1807" s="4"/>
      <c r="Z1807" s="5"/>
      <c r="AA1807" s="4"/>
      <c r="AB1807" s="4"/>
      <c r="AC1807" s="4"/>
      <c r="AD1807" s="5"/>
      <c r="AE1807" s="5"/>
      <c r="AF1807" s="5"/>
      <c r="AG1807" s="5"/>
      <c r="AH1807" s="5"/>
      <c r="AI1807" s="5"/>
      <c r="AJ1807" s="5"/>
      <c r="AK1807" s="5"/>
      <c r="AL1807" s="5"/>
    </row>
    <row r="1808">
      <c r="A1808" s="4" t="str">
        <f>VLOOKUP(L1808,payment_ids!C:D,2,FALSE)</f>
        <v>pay_HMxjq680zJ3Q0E</v>
      </c>
      <c r="B1808" s="4"/>
      <c r="C1808" s="4" t="s">
        <v>5181</v>
      </c>
      <c r="D1808" s="4">
        <v>50022.0</v>
      </c>
      <c r="E1808" s="5"/>
      <c r="F1808" s="4">
        <v>1.0</v>
      </c>
      <c r="G1808" s="4">
        <v>99.0</v>
      </c>
      <c r="H1808" s="4"/>
      <c r="I1808" s="4">
        <v>99.0</v>
      </c>
      <c r="J1808" s="4" t="s">
        <v>5301</v>
      </c>
      <c r="K1808" s="5">
        <f>+917259018830</f>
        <v>917259018830</v>
      </c>
      <c r="L1808" s="4" t="str">
        <f t="shared" si="1"/>
        <v>ghategastishweta@gmail.com917259018830</v>
      </c>
      <c r="M1808" s="10" t="s">
        <v>67</v>
      </c>
      <c r="N1808" s="4" t="b">
        <v>0</v>
      </c>
      <c r="O1808" s="4" t="str">
        <f>VLOOKUP(A1808,payment_ids!D:E,2,FALSE)</f>
        <v>upi</v>
      </c>
      <c r="P1808" s="4" t="s">
        <v>69</v>
      </c>
      <c r="Q1808" s="4" t="s">
        <v>5302</v>
      </c>
      <c r="R1808" s="4"/>
      <c r="S1808" s="12" t="s">
        <v>5183</v>
      </c>
      <c r="T1808" s="4" t="s">
        <v>2444</v>
      </c>
      <c r="U1808" s="4"/>
      <c r="V1808" s="11"/>
      <c r="W1808" s="5"/>
      <c r="X1808" s="11"/>
      <c r="Y1808" s="4"/>
      <c r="Z1808" s="5"/>
      <c r="AA1808" s="4"/>
      <c r="AB1808" s="4"/>
      <c r="AC1808" s="4"/>
      <c r="AD1808" s="5"/>
      <c r="AE1808" s="5"/>
      <c r="AF1808" s="5"/>
      <c r="AG1808" s="5"/>
      <c r="AH1808" s="5"/>
      <c r="AI1808" s="5"/>
      <c r="AJ1808" s="5"/>
      <c r="AK1808" s="5"/>
      <c r="AL1808" s="5"/>
    </row>
    <row r="1809">
      <c r="A1809" s="4" t="str">
        <f>VLOOKUP(L1809,payment_ids!C:D,2,FALSE)</f>
        <v>pay_HNFCwKDiNn8UfK</v>
      </c>
      <c r="B1809" s="4"/>
      <c r="C1809" s="4" t="s">
        <v>5181</v>
      </c>
      <c r="D1809" s="4">
        <v>50022.0</v>
      </c>
      <c r="E1809" s="5"/>
      <c r="F1809" s="4">
        <v>6.0</v>
      </c>
      <c r="G1809" s="4">
        <v>349.0</v>
      </c>
      <c r="H1809" s="4"/>
      <c r="I1809" s="4">
        <v>349.0</v>
      </c>
      <c r="J1809" s="4" t="s">
        <v>5303</v>
      </c>
      <c r="K1809" s="5">
        <f>+919966271433</f>
        <v>919966271433</v>
      </c>
      <c r="L1809" s="4" t="str">
        <f t="shared" si="1"/>
        <v>cmharikrishna89@gmail.com919966271433</v>
      </c>
      <c r="M1809" s="10" t="s">
        <v>67</v>
      </c>
      <c r="N1809" s="4" t="b">
        <v>0</v>
      </c>
      <c r="O1809" s="4" t="str">
        <f>VLOOKUP(A1809,payment_ids!D:E,2,FALSE)</f>
        <v>upi</v>
      </c>
      <c r="P1809" s="4" t="s">
        <v>69</v>
      </c>
      <c r="Q1809" s="4" t="s">
        <v>5304</v>
      </c>
      <c r="R1809" s="4"/>
      <c r="S1809" s="12" t="s">
        <v>5183</v>
      </c>
      <c r="T1809" s="4" t="s">
        <v>2444</v>
      </c>
      <c r="U1809" s="4"/>
      <c r="V1809" s="11"/>
      <c r="W1809" s="5"/>
      <c r="X1809" s="11"/>
      <c r="Y1809" s="4"/>
      <c r="Z1809" s="5"/>
      <c r="AA1809" s="4"/>
      <c r="AB1809" s="4"/>
      <c r="AC1809" s="4"/>
      <c r="AD1809" s="5"/>
      <c r="AE1809" s="5"/>
      <c r="AF1809" s="5"/>
      <c r="AG1809" s="5"/>
      <c r="AH1809" s="5"/>
      <c r="AI1809" s="5"/>
      <c r="AJ1809" s="5"/>
      <c r="AK1809" s="5"/>
      <c r="AL1809" s="5"/>
    </row>
    <row r="1810">
      <c r="A1810" s="4" t="str">
        <f>VLOOKUP(L1810,payment_ids!C:D,2,FALSE)</f>
        <v>pay_HNYFde083se2Mv</v>
      </c>
      <c r="B1810" s="4"/>
      <c r="C1810" s="4" t="s">
        <v>5181</v>
      </c>
      <c r="D1810" s="4">
        <v>50022.0</v>
      </c>
      <c r="E1810" s="5"/>
      <c r="F1810" s="4">
        <v>3.0</v>
      </c>
      <c r="G1810" s="4">
        <v>199.0</v>
      </c>
      <c r="H1810" s="4"/>
      <c r="I1810" s="4">
        <v>199.0</v>
      </c>
      <c r="J1810" s="4" t="s">
        <v>5305</v>
      </c>
      <c r="K1810" s="5">
        <f>+919911275926</f>
        <v>919911275926</v>
      </c>
      <c r="L1810" s="4" t="str">
        <f t="shared" si="1"/>
        <v>vimalarora789@gmail.com919911275926</v>
      </c>
      <c r="M1810" s="10" t="s">
        <v>67</v>
      </c>
      <c r="N1810" s="4" t="b">
        <v>0</v>
      </c>
      <c r="O1810" s="4" t="str">
        <f>VLOOKUP(A1810,payment_ids!D:E,2,FALSE)</f>
        <v>upi</v>
      </c>
      <c r="P1810" s="4" t="s">
        <v>69</v>
      </c>
      <c r="Q1810" s="4" t="s">
        <v>5306</v>
      </c>
      <c r="R1810" s="4"/>
      <c r="S1810" s="12" t="s">
        <v>5183</v>
      </c>
      <c r="T1810" s="4" t="s">
        <v>2444</v>
      </c>
      <c r="U1810" s="4"/>
      <c r="V1810" s="11"/>
      <c r="W1810" s="5"/>
      <c r="X1810" s="11"/>
      <c r="Y1810" s="4"/>
      <c r="Z1810" s="5"/>
      <c r="AA1810" s="4"/>
      <c r="AB1810" s="4"/>
      <c r="AC1810" s="4"/>
      <c r="AD1810" s="5"/>
      <c r="AE1810" s="5"/>
      <c r="AF1810" s="5"/>
      <c r="AG1810" s="5"/>
      <c r="AH1810" s="5"/>
      <c r="AI1810" s="5"/>
      <c r="AJ1810" s="5"/>
      <c r="AK1810" s="5"/>
      <c r="AL1810" s="5"/>
    </row>
    <row r="1811">
      <c r="A1811" s="4" t="str">
        <f>VLOOKUP(L1811,payment_ids!C:D,2,FALSE)</f>
        <v>pay_HO3vfanxywuAGZ</v>
      </c>
      <c r="B1811" s="4"/>
      <c r="C1811" s="4" t="s">
        <v>5181</v>
      </c>
      <c r="D1811" s="4">
        <v>50022.0</v>
      </c>
      <c r="E1811" s="5"/>
      <c r="F1811" s="4">
        <v>1.0</v>
      </c>
      <c r="G1811" s="4">
        <v>99.0</v>
      </c>
      <c r="H1811" s="4"/>
      <c r="I1811" s="4">
        <v>99.0</v>
      </c>
      <c r="J1811" s="4" t="s">
        <v>5307</v>
      </c>
      <c r="K1811" s="5">
        <f>+919898282870</f>
        <v>919898282870</v>
      </c>
      <c r="L1811" s="4" t="str">
        <f t="shared" si="1"/>
        <v>jigishanitin@yahoo.com919898282870</v>
      </c>
      <c r="M1811" s="10" t="s">
        <v>67</v>
      </c>
      <c r="N1811" s="4" t="b">
        <v>0</v>
      </c>
      <c r="O1811" s="4" t="str">
        <f>VLOOKUP(A1811,payment_ids!D:E,2,FALSE)</f>
        <v>card</v>
      </c>
      <c r="P1811" s="4" t="s">
        <v>69</v>
      </c>
      <c r="Q1811" s="4" t="s">
        <v>5308</v>
      </c>
      <c r="R1811" s="4"/>
      <c r="S1811" s="12" t="s">
        <v>5183</v>
      </c>
      <c r="T1811" s="4" t="s">
        <v>2444</v>
      </c>
      <c r="U1811" s="4"/>
      <c r="V1811" s="11"/>
      <c r="W1811" s="5"/>
      <c r="X1811" s="11"/>
      <c r="Y1811" s="4"/>
      <c r="Z1811" s="5"/>
      <c r="AA1811" s="4"/>
      <c r="AB1811" s="4"/>
      <c r="AC1811" s="4"/>
      <c r="AD1811" s="5"/>
      <c r="AE1811" s="5"/>
      <c r="AF1811" s="5"/>
      <c r="AG1811" s="5"/>
      <c r="AH1811" s="5"/>
      <c r="AI1811" s="5"/>
      <c r="AJ1811" s="5"/>
      <c r="AK1811" s="5"/>
      <c r="AL1811" s="5"/>
    </row>
    <row r="1812">
      <c r="A1812" s="4" t="str">
        <f>VLOOKUP(L1812,payment_ids!C:D,2,FALSE)</f>
        <v>pay_HOAtxLZyc7BhXN</v>
      </c>
      <c r="B1812" s="4"/>
      <c r="C1812" s="4" t="s">
        <v>5181</v>
      </c>
      <c r="D1812" s="4">
        <v>50022.0</v>
      </c>
      <c r="E1812" s="5"/>
      <c r="F1812" s="4">
        <v>1.0</v>
      </c>
      <c r="G1812" s="4">
        <v>99.0</v>
      </c>
      <c r="H1812" s="4"/>
      <c r="I1812" s="4">
        <v>99.0</v>
      </c>
      <c r="J1812" s="4" t="s">
        <v>5309</v>
      </c>
      <c r="K1812" s="5">
        <f>+919624287349</f>
        <v>919624287349</v>
      </c>
      <c r="L1812" s="4" t="str">
        <f t="shared" si="1"/>
        <v>ketansinghi@gmail.com919624287349</v>
      </c>
      <c r="M1812" s="10" t="s">
        <v>67</v>
      </c>
      <c r="N1812" s="4" t="b">
        <v>0</v>
      </c>
      <c r="O1812" s="4" t="str">
        <f>VLOOKUP(A1812,payment_ids!D:E,2,FALSE)</f>
        <v>card</v>
      </c>
      <c r="P1812" s="4" t="s">
        <v>69</v>
      </c>
      <c r="Q1812" s="4" t="s">
        <v>5310</v>
      </c>
      <c r="R1812" s="4"/>
      <c r="S1812" s="12" t="s">
        <v>5183</v>
      </c>
      <c r="T1812" s="4" t="s">
        <v>2444</v>
      </c>
      <c r="U1812" s="4"/>
      <c r="V1812" s="11"/>
      <c r="W1812" s="5"/>
      <c r="X1812" s="11"/>
      <c r="Y1812" s="4"/>
      <c r="Z1812" s="5"/>
      <c r="AA1812" s="4"/>
      <c r="AB1812" s="4"/>
      <c r="AC1812" s="4"/>
      <c r="AD1812" s="5"/>
      <c r="AE1812" s="5"/>
      <c r="AF1812" s="5"/>
      <c r="AG1812" s="5"/>
      <c r="AH1812" s="5"/>
      <c r="AI1812" s="5"/>
      <c r="AJ1812" s="5"/>
      <c r="AK1812" s="5"/>
      <c r="AL1812" s="5"/>
    </row>
    <row r="1813">
      <c r="A1813" s="4" t="str">
        <f>VLOOKUP(L1813,payment_ids!C:D,2,FALSE)</f>
        <v>pay_HOQEXlYcQV6AFz</v>
      </c>
      <c r="B1813" s="4"/>
      <c r="C1813" s="4" t="s">
        <v>5181</v>
      </c>
      <c r="D1813" s="4">
        <v>50022.0</v>
      </c>
      <c r="E1813" s="5"/>
      <c r="F1813" s="4">
        <v>1.0</v>
      </c>
      <c r="G1813" s="4">
        <v>99.0</v>
      </c>
      <c r="H1813" s="4"/>
      <c r="I1813" s="4">
        <v>99.0</v>
      </c>
      <c r="J1813" s="4" t="s">
        <v>5311</v>
      </c>
      <c r="K1813" s="5">
        <f>+918150038307</f>
        <v>918150038307</v>
      </c>
      <c r="L1813" s="4" t="str">
        <f t="shared" si="1"/>
        <v>shwetha.126.merill@gmail.com918150038307</v>
      </c>
      <c r="M1813" s="10" t="s">
        <v>67</v>
      </c>
      <c r="N1813" s="4" t="b">
        <v>0</v>
      </c>
      <c r="O1813" s="4" t="str">
        <f>VLOOKUP(A1813,payment_ids!D:E,2,FALSE)</f>
        <v>upi</v>
      </c>
      <c r="P1813" s="4" t="s">
        <v>69</v>
      </c>
      <c r="Q1813" s="4" t="s">
        <v>5312</v>
      </c>
      <c r="R1813" s="4"/>
      <c r="S1813" s="12" t="s">
        <v>5183</v>
      </c>
      <c r="T1813" s="4" t="s">
        <v>2444</v>
      </c>
      <c r="U1813" s="4"/>
      <c r="V1813" s="11"/>
      <c r="W1813" s="5"/>
      <c r="X1813" s="11"/>
      <c r="Y1813" s="4"/>
      <c r="Z1813" s="5"/>
      <c r="AA1813" s="4"/>
      <c r="AB1813" s="4"/>
      <c r="AC1813" s="4"/>
      <c r="AD1813" s="5"/>
      <c r="AE1813" s="5"/>
      <c r="AF1813" s="5"/>
      <c r="AG1813" s="5"/>
      <c r="AH1813" s="5"/>
      <c r="AI1813" s="5"/>
      <c r="AJ1813" s="5"/>
      <c r="AK1813" s="5"/>
      <c r="AL1813" s="5"/>
    </row>
    <row r="1814">
      <c r="A1814" s="4" t="str">
        <f>VLOOKUP(L1814,payment_ids!C:D,2,FALSE)</f>
        <v>pay_HPJclh9HpU07u3</v>
      </c>
      <c r="B1814" s="4"/>
      <c r="C1814" s="4" t="s">
        <v>5181</v>
      </c>
      <c r="D1814" s="4">
        <v>50022.0</v>
      </c>
      <c r="E1814" s="5"/>
      <c r="F1814" s="4">
        <v>1.0</v>
      </c>
      <c r="G1814" s="4">
        <v>99.0</v>
      </c>
      <c r="H1814" s="4"/>
      <c r="I1814" s="4">
        <v>99.0</v>
      </c>
      <c r="J1814" s="4" t="s">
        <v>5313</v>
      </c>
      <c r="K1814" s="5">
        <f>+919481776791</f>
        <v>919481776791</v>
      </c>
      <c r="L1814" s="4" t="str">
        <f t="shared" si="1"/>
        <v>ranjanisriharsha@gmail.com919481776791</v>
      </c>
      <c r="M1814" s="10" t="s">
        <v>67</v>
      </c>
      <c r="N1814" s="4" t="b">
        <v>0</v>
      </c>
      <c r="O1814" s="4" t="str">
        <f>VLOOKUP(A1814,payment_ids!D:E,2,FALSE)</f>
        <v>upi</v>
      </c>
      <c r="P1814" s="4" t="s">
        <v>69</v>
      </c>
      <c r="Q1814" s="4" t="s">
        <v>5314</v>
      </c>
      <c r="R1814" s="4"/>
      <c r="S1814" s="12" t="s">
        <v>5183</v>
      </c>
      <c r="T1814" s="4" t="s">
        <v>2444</v>
      </c>
      <c r="U1814" s="4"/>
      <c r="V1814" s="11"/>
      <c r="W1814" s="5"/>
      <c r="X1814" s="11"/>
      <c r="Y1814" s="4"/>
      <c r="Z1814" s="5"/>
      <c r="AA1814" s="4"/>
      <c r="AB1814" s="4"/>
      <c r="AC1814" s="4"/>
      <c r="AD1814" s="5"/>
      <c r="AE1814" s="5"/>
      <c r="AF1814" s="5"/>
      <c r="AG1814" s="5"/>
      <c r="AH1814" s="5"/>
      <c r="AI1814" s="5"/>
      <c r="AJ1814" s="5"/>
      <c r="AK1814" s="5"/>
      <c r="AL1814" s="5"/>
    </row>
    <row r="1815">
      <c r="A1815" s="4" t="str">
        <f>VLOOKUP(L1815,payment_ids!C:D,2,FALSE)</f>
        <v>pay_HFIxLjMhOneBSc</v>
      </c>
      <c r="B1815" s="4"/>
      <c r="C1815" s="4" t="s">
        <v>5181</v>
      </c>
      <c r="D1815" s="4">
        <v>50022.0</v>
      </c>
      <c r="E1815" s="5"/>
      <c r="F1815" s="4">
        <v>6.0</v>
      </c>
      <c r="G1815" s="4">
        <v>349.0</v>
      </c>
      <c r="H1815" s="4"/>
      <c r="I1815" s="4">
        <v>349.0</v>
      </c>
      <c r="J1815" s="4" t="s">
        <v>5248</v>
      </c>
      <c r="K1815" s="5">
        <f>+919680448639</f>
        <v>919680448639</v>
      </c>
      <c r="L1815" s="4" t="str">
        <f t="shared" si="1"/>
        <v>garima2525@gmail.com919680448639</v>
      </c>
      <c r="M1815" s="10" t="s">
        <v>67</v>
      </c>
      <c r="N1815" s="4" t="b">
        <v>0</v>
      </c>
      <c r="O1815" s="4" t="str">
        <f>VLOOKUP(A1815,payment_ids!D:E,2,FALSE)</f>
        <v>upi</v>
      </c>
      <c r="P1815" s="4" t="s">
        <v>69</v>
      </c>
      <c r="Q1815" s="4" t="s">
        <v>5315</v>
      </c>
      <c r="R1815" s="4"/>
      <c r="S1815" s="12" t="s">
        <v>5183</v>
      </c>
      <c r="T1815" s="4" t="s">
        <v>2444</v>
      </c>
      <c r="U1815" s="4"/>
      <c r="V1815" s="11"/>
      <c r="W1815" s="5"/>
      <c r="X1815" s="11"/>
      <c r="Y1815" s="4"/>
      <c r="Z1815" s="5"/>
      <c r="AA1815" s="4"/>
      <c r="AB1815" s="4"/>
      <c r="AC1815" s="4"/>
      <c r="AD1815" s="5"/>
      <c r="AE1815" s="5"/>
      <c r="AF1815" s="5"/>
      <c r="AG1815" s="5"/>
      <c r="AH1815" s="5"/>
      <c r="AI1815" s="5"/>
      <c r="AJ1815" s="5"/>
      <c r="AK1815" s="5"/>
      <c r="AL1815" s="5"/>
    </row>
    <row r="1816">
      <c r="A1816" s="4" t="str">
        <f>VLOOKUP(L1816,payment_ids!C:D,2,FALSE)</f>
        <v>pay_HPcVolAKJbiIbj</v>
      </c>
      <c r="B1816" s="4"/>
      <c r="C1816" s="4" t="s">
        <v>5181</v>
      </c>
      <c r="D1816" s="4">
        <v>50022.0</v>
      </c>
      <c r="E1816" s="5"/>
      <c r="F1816" s="4">
        <v>1.0</v>
      </c>
      <c r="G1816" s="4">
        <v>99.0</v>
      </c>
      <c r="H1816" s="4"/>
      <c r="I1816" s="4">
        <v>99.0</v>
      </c>
      <c r="J1816" s="4" t="s">
        <v>5316</v>
      </c>
      <c r="K1816" s="5">
        <f>+919324351884</f>
        <v>919324351884</v>
      </c>
      <c r="L1816" s="4" t="str">
        <f t="shared" si="1"/>
        <v>purshottam@anj.co.in919324351884</v>
      </c>
      <c r="M1816" s="10" t="s">
        <v>67</v>
      </c>
      <c r="N1816" s="4" t="b">
        <v>0</v>
      </c>
      <c r="O1816" s="4" t="str">
        <f>VLOOKUP(A1816,payment_ids!D:E,2,FALSE)</f>
        <v>upi</v>
      </c>
      <c r="P1816" s="4" t="s">
        <v>69</v>
      </c>
      <c r="Q1816" s="4" t="s">
        <v>5317</v>
      </c>
      <c r="R1816" s="4"/>
      <c r="S1816" s="12" t="s">
        <v>5183</v>
      </c>
      <c r="T1816" s="4" t="s">
        <v>2444</v>
      </c>
      <c r="U1816" s="4"/>
      <c r="V1816" s="11"/>
      <c r="W1816" s="5"/>
      <c r="X1816" s="11"/>
      <c r="Y1816" s="4"/>
      <c r="Z1816" s="5"/>
      <c r="AA1816" s="4"/>
      <c r="AB1816" s="4"/>
      <c r="AC1816" s="4"/>
      <c r="AD1816" s="5"/>
      <c r="AE1816" s="5"/>
      <c r="AF1816" s="5"/>
      <c r="AG1816" s="5"/>
      <c r="AH1816" s="5"/>
      <c r="AI1816" s="5"/>
      <c r="AJ1816" s="5"/>
      <c r="AK1816" s="5"/>
      <c r="AL1816" s="5"/>
    </row>
    <row r="1817">
      <c r="A1817" s="4" t="str">
        <f>VLOOKUP(L1817,payment_ids!C:D,2,FALSE)</f>
        <v>pay_HPdKImKw25cDDQ</v>
      </c>
      <c r="B1817" s="4"/>
      <c r="C1817" s="4" t="s">
        <v>5181</v>
      </c>
      <c r="D1817" s="4">
        <v>50022.0</v>
      </c>
      <c r="E1817" s="5"/>
      <c r="F1817" s="4">
        <v>1.0</v>
      </c>
      <c r="G1817" s="4">
        <v>99.0</v>
      </c>
      <c r="H1817" s="4"/>
      <c r="I1817" s="4">
        <v>99.0</v>
      </c>
      <c r="J1817" s="4" t="s">
        <v>5318</v>
      </c>
      <c r="K1817" s="5">
        <f>+918788080444</f>
        <v>918788080444</v>
      </c>
      <c r="L1817" s="4" t="str">
        <f t="shared" si="1"/>
        <v>radhikaanil1998@gmail.com918788080444</v>
      </c>
      <c r="M1817" s="10" t="s">
        <v>67</v>
      </c>
      <c r="N1817" s="4" t="b">
        <v>0</v>
      </c>
      <c r="O1817" s="4" t="str">
        <f>VLOOKUP(A1817,payment_ids!D:E,2,FALSE)</f>
        <v>upi</v>
      </c>
      <c r="P1817" s="4" t="s">
        <v>69</v>
      </c>
      <c r="Q1817" s="4" t="s">
        <v>5319</v>
      </c>
      <c r="R1817" s="4"/>
      <c r="S1817" s="12" t="s">
        <v>5183</v>
      </c>
      <c r="T1817" s="4" t="s">
        <v>2444</v>
      </c>
      <c r="U1817" s="4"/>
      <c r="V1817" s="11"/>
      <c r="W1817" s="5"/>
      <c r="X1817" s="11"/>
      <c r="Y1817" s="4"/>
      <c r="Z1817" s="5"/>
      <c r="AA1817" s="4"/>
      <c r="AB1817" s="4"/>
      <c r="AC1817" s="4"/>
      <c r="AD1817" s="5"/>
      <c r="AE1817" s="5"/>
      <c r="AF1817" s="5"/>
      <c r="AG1817" s="5"/>
      <c r="AH1817" s="5"/>
      <c r="AI1817" s="5"/>
      <c r="AJ1817" s="5"/>
      <c r="AK1817" s="5"/>
      <c r="AL1817" s="5"/>
    </row>
    <row r="1818">
      <c r="A1818" s="4" t="str">
        <f>VLOOKUP(L1818,payment_ids!C:D,2,FALSE)</f>
        <v>pay_HNTvk5Cjvw8BXl</v>
      </c>
      <c r="B1818" s="4"/>
      <c r="C1818" s="4" t="s">
        <v>5181</v>
      </c>
      <c r="D1818" s="4">
        <v>50022.0</v>
      </c>
      <c r="E1818" s="5"/>
      <c r="F1818" s="4">
        <v>6.0</v>
      </c>
      <c r="G1818" s="4">
        <v>349.0</v>
      </c>
      <c r="H1818" s="4"/>
      <c r="I1818" s="4">
        <v>349.0</v>
      </c>
      <c r="J1818" s="4" t="s">
        <v>3545</v>
      </c>
      <c r="K1818" s="5">
        <f>+918108094720</f>
        <v>918108094720</v>
      </c>
      <c r="L1818" s="4" t="str">
        <f t="shared" si="1"/>
        <v>pagarkarapsara@gmail.com918108094720</v>
      </c>
      <c r="M1818" s="10" t="s">
        <v>67</v>
      </c>
      <c r="N1818" s="4" t="b">
        <v>0</v>
      </c>
      <c r="O1818" s="4" t="str">
        <f>VLOOKUP(A1818,payment_ids!D:E,2,FALSE)</f>
        <v>card</v>
      </c>
      <c r="P1818" s="4" t="s">
        <v>69</v>
      </c>
      <c r="Q1818" s="4" t="s">
        <v>5320</v>
      </c>
      <c r="R1818" s="4"/>
      <c r="S1818" s="12" t="s">
        <v>5183</v>
      </c>
      <c r="T1818" s="4" t="s">
        <v>2444</v>
      </c>
      <c r="U1818" s="4"/>
      <c r="V1818" s="11"/>
      <c r="W1818" s="5"/>
      <c r="X1818" s="11"/>
      <c r="Y1818" s="4"/>
      <c r="Z1818" s="5"/>
      <c r="AA1818" s="4"/>
      <c r="AB1818" s="4"/>
      <c r="AC1818" s="4"/>
      <c r="AD1818" s="5"/>
      <c r="AE1818" s="5"/>
      <c r="AF1818" s="5"/>
      <c r="AG1818" s="5"/>
      <c r="AH1818" s="5"/>
      <c r="AI1818" s="5"/>
      <c r="AJ1818" s="5"/>
      <c r="AK1818" s="5"/>
      <c r="AL1818" s="5"/>
    </row>
    <row r="1819">
      <c r="A1819" s="4" t="str">
        <f>VLOOKUP(L1819,payment_ids!C:D,2,FALSE)</f>
        <v>pay_H6k7fH2VlH0QbR</v>
      </c>
      <c r="B1819" s="4"/>
      <c r="C1819" s="4" t="s">
        <v>5321</v>
      </c>
      <c r="D1819" s="4">
        <v>49995.0</v>
      </c>
      <c r="E1819" s="4"/>
      <c r="F1819" s="4">
        <v>1.0</v>
      </c>
      <c r="G1819" s="4">
        <v>99.0</v>
      </c>
      <c r="H1819" s="4"/>
      <c r="I1819" s="4">
        <v>99.0</v>
      </c>
      <c r="J1819" s="4" t="s">
        <v>5322</v>
      </c>
      <c r="K1819" s="6">
        <f>+919866992056</f>
        <v>919866992056</v>
      </c>
      <c r="L1819" s="4" t="str">
        <f t="shared" si="1"/>
        <v>mammai.sravanthi@gmail.com919866992056</v>
      </c>
      <c r="M1819" s="10" t="s">
        <v>67</v>
      </c>
      <c r="N1819" s="4" t="b">
        <v>0</v>
      </c>
      <c r="O1819" s="4" t="str">
        <f>VLOOKUP(A1819,payment_ids!D:E,2,FALSE)</f>
        <v>upi</v>
      </c>
      <c r="P1819" s="4" t="s">
        <v>69</v>
      </c>
      <c r="Q1819" s="11">
        <v>44291.81875</v>
      </c>
      <c r="R1819" s="4"/>
      <c r="S1819" s="12" t="s">
        <v>5323</v>
      </c>
      <c r="T1819" s="4"/>
      <c r="U1819" s="4"/>
      <c r="V1819" s="11"/>
      <c r="W1819" s="5"/>
      <c r="X1819" s="11"/>
      <c r="Y1819" s="4"/>
      <c r="Z1819" s="5"/>
      <c r="AA1819" s="4"/>
      <c r="AB1819" s="4"/>
      <c r="AC1819" s="4"/>
      <c r="AD1819" s="5"/>
      <c r="AE1819" s="5"/>
      <c r="AF1819" s="5"/>
      <c r="AG1819" s="5"/>
      <c r="AH1819" s="5"/>
      <c r="AI1819" s="5"/>
      <c r="AJ1819" s="5"/>
      <c r="AK1819" s="5"/>
      <c r="AL1819" s="5"/>
    </row>
    <row r="1820">
      <c r="A1820" s="4" t="str">
        <f>VLOOKUP(L1820,payment_ids!C:D,2,FALSE)</f>
        <v>pay_H6mzGpdFagGjob</v>
      </c>
      <c r="B1820" s="4"/>
      <c r="C1820" s="4" t="s">
        <v>5321</v>
      </c>
      <c r="D1820" s="4">
        <v>49995.0</v>
      </c>
      <c r="E1820" s="4"/>
      <c r="F1820" s="4">
        <v>1.0</v>
      </c>
      <c r="G1820" s="4">
        <v>99.0</v>
      </c>
      <c r="H1820" s="4"/>
      <c r="I1820" s="4">
        <v>99.0</v>
      </c>
      <c r="J1820" s="4" t="s">
        <v>5324</v>
      </c>
      <c r="K1820" s="6">
        <f>+917888699913</f>
        <v>917888699913</v>
      </c>
      <c r="L1820" s="4" t="str">
        <f t="shared" si="1"/>
        <v>drashtiartistry@gmail.com917888699913</v>
      </c>
      <c r="M1820" s="10" t="s">
        <v>67</v>
      </c>
      <c r="N1820" s="4" t="b">
        <v>0</v>
      </c>
      <c r="O1820" s="4" t="str">
        <f>VLOOKUP(A1820,payment_ids!D:E,2,FALSE)</f>
        <v>card</v>
      </c>
      <c r="P1820" s="4" t="s">
        <v>69</v>
      </c>
      <c r="Q1820" s="11">
        <v>44291.93541666667</v>
      </c>
      <c r="R1820" s="4"/>
      <c r="S1820" s="12" t="s">
        <v>5323</v>
      </c>
      <c r="T1820" s="4"/>
      <c r="U1820" s="4"/>
      <c r="V1820" s="11"/>
      <c r="W1820" s="5"/>
      <c r="X1820" s="11"/>
      <c r="Y1820" s="4"/>
      <c r="Z1820" s="5"/>
      <c r="AA1820" s="4"/>
      <c r="AB1820" s="4"/>
      <c r="AC1820" s="4"/>
      <c r="AD1820" s="5"/>
      <c r="AE1820" s="5"/>
      <c r="AF1820" s="5"/>
      <c r="AG1820" s="5"/>
      <c r="AH1820" s="5"/>
      <c r="AI1820" s="5"/>
      <c r="AJ1820" s="5"/>
      <c r="AK1820" s="5"/>
      <c r="AL1820" s="5"/>
    </row>
    <row r="1821">
      <c r="A1821" s="4" t="str">
        <f>VLOOKUP(L1821,payment_ids!C:D,2,FALSE)</f>
        <v>pay_H7TJ2qbQQPY7GM</v>
      </c>
      <c r="B1821" s="4"/>
      <c r="C1821" s="4" t="s">
        <v>5321</v>
      </c>
      <c r="D1821" s="4">
        <v>49995.0</v>
      </c>
      <c r="E1821" s="4"/>
      <c r="F1821" s="4">
        <v>1.0</v>
      </c>
      <c r="G1821" s="4">
        <v>99.0</v>
      </c>
      <c r="H1821" s="4"/>
      <c r="I1821" s="4">
        <v>99.0</v>
      </c>
      <c r="J1821" s="4" t="s">
        <v>5325</v>
      </c>
      <c r="K1821" s="6">
        <f>+917623850524</f>
        <v>917623850524</v>
      </c>
      <c r="L1821" s="4" t="str">
        <f t="shared" si="1"/>
        <v>sohinistill21@gmail.com917623850524</v>
      </c>
      <c r="M1821" s="10" t="s">
        <v>67</v>
      </c>
      <c r="N1821" s="4" t="b">
        <v>0</v>
      </c>
      <c r="O1821" s="4" t="str">
        <f>VLOOKUP(A1821,payment_ids!D:E,2,FALSE)</f>
        <v>upi</v>
      </c>
      <c r="P1821" s="4" t="s">
        <v>69</v>
      </c>
      <c r="Q1821" s="11">
        <v>44352.660416666666</v>
      </c>
      <c r="R1821" s="4"/>
      <c r="S1821" s="12" t="s">
        <v>5323</v>
      </c>
      <c r="T1821" s="4"/>
      <c r="U1821" s="4"/>
      <c r="V1821" s="11"/>
      <c r="W1821" s="5"/>
      <c r="X1821" s="11"/>
      <c r="Y1821" s="4"/>
      <c r="Z1821" s="5"/>
      <c r="AA1821" s="4"/>
      <c r="AB1821" s="4"/>
      <c r="AC1821" s="4"/>
      <c r="AD1821" s="5"/>
      <c r="AE1821" s="5"/>
      <c r="AF1821" s="5"/>
      <c r="AG1821" s="5"/>
      <c r="AH1821" s="5"/>
      <c r="AI1821" s="5"/>
      <c r="AJ1821" s="5"/>
      <c r="AK1821" s="5"/>
      <c r="AL1821" s="5"/>
    </row>
    <row r="1822">
      <c r="A1822" s="4" t="str">
        <f>VLOOKUP(L1822,payment_ids!C:D,2,FALSE)</f>
        <v>pay_H7r08WJHNrm19E</v>
      </c>
      <c r="B1822" s="4"/>
      <c r="C1822" s="4" t="s">
        <v>5321</v>
      </c>
      <c r="D1822" s="4">
        <v>49995.0</v>
      </c>
      <c r="E1822" s="4"/>
      <c r="F1822" s="4">
        <v>1.0</v>
      </c>
      <c r="G1822" s="4">
        <v>99.0</v>
      </c>
      <c r="H1822" s="4"/>
      <c r="I1822" s="4">
        <v>99.0</v>
      </c>
      <c r="J1822" s="4" t="s">
        <v>5326</v>
      </c>
      <c r="K1822" s="6">
        <f>+919820044067</f>
        <v>919820044067</v>
      </c>
      <c r="L1822" s="4" t="str">
        <f t="shared" si="1"/>
        <v>mamta.taliwala2@gmail.com919820044067</v>
      </c>
      <c r="M1822" s="10" t="s">
        <v>67</v>
      </c>
      <c r="N1822" s="4" t="b">
        <v>0</v>
      </c>
      <c r="O1822" s="4" t="str">
        <f>VLOOKUP(A1822,payment_ids!D:E,2,FALSE)</f>
        <v>card</v>
      </c>
      <c r="P1822" s="4" t="s">
        <v>69</v>
      </c>
      <c r="Q1822" s="11">
        <v>44382.62847222222</v>
      </c>
      <c r="R1822" s="4"/>
      <c r="S1822" s="12" t="s">
        <v>5323</v>
      </c>
      <c r="T1822" s="4"/>
      <c r="U1822" s="4"/>
      <c r="V1822" s="11"/>
      <c r="W1822" s="5"/>
      <c r="X1822" s="11"/>
      <c r="Y1822" s="4"/>
      <c r="Z1822" s="5"/>
      <c r="AA1822" s="4"/>
      <c r="AB1822" s="4"/>
      <c r="AC1822" s="4"/>
      <c r="AD1822" s="5"/>
      <c r="AE1822" s="5"/>
      <c r="AF1822" s="5"/>
      <c r="AG1822" s="5"/>
      <c r="AH1822" s="5"/>
      <c r="AI1822" s="5"/>
      <c r="AJ1822" s="5"/>
      <c r="AK1822" s="5"/>
      <c r="AL1822" s="5"/>
    </row>
    <row r="1823">
      <c r="A1823" s="4" t="str">
        <f>VLOOKUP(L1823,payment_ids!C:D,2,FALSE)</f>
        <v>pay_H7gGPw3A5gGb6U</v>
      </c>
      <c r="B1823" s="4"/>
      <c r="C1823" s="4" t="s">
        <v>5321</v>
      </c>
      <c r="D1823" s="4">
        <v>49995.0</v>
      </c>
      <c r="E1823" s="4"/>
      <c r="F1823" s="4">
        <v>1.0</v>
      </c>
      <c r="G1823" s="4">
        <v>99.0</v>
      </c>
      <c r="H1823" s="4"/>
      <c r="I1823" s="4">
        <v>99.0</v>
      </c>
      <c r="J1823" s="4" t="s">
        <v>5327</v>
      </c>
      <c r="K1823" s="6">
        <f>+919871780649</f>
        <v>919871780649</v>
      </c>
      <c r="L1823" s="4" t="str">
        <f t="shared" si="1"/>
        <v>adv.akansha@gmail.com919871780649</v>
      </c>
      <c r="M1823" s="10" t="s">
        <v>67</v>
      </c>
      <c r="N1823" s="4" t="b">
        <v>0</v>
      </c>
      <c r="O1823" s="4" t="str">
        <f>VLOOKUP(A1823,payment_ids!D:E,2,FALSE)</f>
        <v>upi</v>
      </c>
      <c r="P1823" s="4" t="s">
        <v>69</v>
      </c>
      <c r="Q1823" s="11">
        <v>44382.188888888886</v>
      </c>
      <c r="R1823" s="4"/>
      <c r="S1823" s="12" t="s">
        <v>5323</v>
      </c>
      <c r="T1823" s="4"/>
      <c r="U1823" s="4"/>
      <c r="V1823" s="11"/>
      <c r="W1823" s="5"/>
      <c r="X1823" s="11"/>
      <c r="Y1823" s="4"/>
      <c r="Z1823" s="5"/>
      <c r="AA1823" s="4"/>
      <c r="AB1823" s="4"/>
      <c r="AC1823" s="4"/>
      <c r="AD1823" s="5"/>
      <c r="AE1823" s="5"/>
      <c r="AF1823" s="5"/>
      <c r="AG1823" s="5"/>
      <c r="AH1823" s="5"/>
      <c r="AI1823" s="5"/>
      <c r="AJ1823" s="5"/>
      <c r="AK1823" s="5"/>
      <c r="AL1823" s="5"/>
    </row>
    <row r="1824">
      <c r="A1824" s="4" t="str">
        <f>VLOOKUP(L1824,payment_ids!C:D,2,FALSE)</f>
        <v>pay_H7xhW2MYlRJH6r</v>
      </c>
      <c r="B1824" s="4"/>
      <c r="C1824" s="4" t="s">
        <v>5321</v>
      </c>
      <c r="D1824" s="4">
        <v>49995.0</v>
      </c>
      <c r="E1824" s="4"/>
      <c r="F1824" s="4">
        <v>1.0</v>
      </c>
      <c r="G1824" s="4">
        <v>99.0</v>
      </c>
      <c r="H1824" s="4"/>
      <c r="I1824" s="4">
        <v>99.0</v>
      </c>
      <c r="J1824" s="4" t="s">
        <v>5328</v>
      </c>
      <c r="K1824" s="6">
        <f>+918779493309</f>
        <v>918779493309</v>
      </c>
      <c r="L1824" s="4" t="str">
        <f t="shared" si="1"/>
        <v>blessypvgeorge@gmail.com918779493309</v>
      </c>
      <c r="M1824" s="10" t="s">
        <v>67</v>
      </c>
      <c r="N1824" s="4" t="b">
        <v>0</v>
      </c>
      <c r="O1824" s="4" t="str">
        <f>VLOOKUP(A1824,payment_ids!D:E,2,FALSE)</f>
        <v>upi</v>
      </c>
      <c r="P1824" s="4" t="s">
        <v>69</v>
      </c>
      <c r="Q1824" s="11">
        <v>44382.899305555555</v>
      </c>
      <c r="R1824" s="4"/>
      <c r="S1824" s="12" t="s">
        <v>5323</v>
      </c>
      <c r="T1824" s="4"/>
      <c r="U1824" s="4"/>
      <c r="V1824" s="11"/>
      <c r="W1824" s="5"/>
      <c r="X1824" s="11"/>
      <c r="Y1824" s="4"/>
      <c r="Z1824" s="5"/>
      <c r="AA1824" s="4"/>
      <c r="AB1824" s="4"/>
      <c r="AC1824" s="4"/>
      <c r="AD1824" s="5"/>
      <c r="AE1824" s="5"/>
      <c r="AF1824" s="5"/>
      <c r="AG1824" s="5"/>
      <c r="AH1824" s="5"/>
      <c r="AI1824" s="5"/>
      <c r="AJ1824" s="5"/>
      <c r="AK1824" s="5"/>
      <c r="AL1824" s="5"/>
    </row>
    <row r="1825">
      <c r="A1825" s="4" t="str">
        <f>VLOOKUP(L1825,payment_ids!C:D,2,FALSE)</f>
        <v>pay_H7nOzlzH8ZV2Sg</v>
      </c>
      <c r="B1825" s="4"/>
      <c r="C1825" s="4" t="s">
        <v>5321</v>
      </c>
      <c r="D1825" s="4">
        <v>49995.0</v>
      </c>
      <c r="E1825" s="4"/>
      <c r="F1825" s="4">
        <v>1.0</v>
      </c>
      <c r="G1825" s="4">
        <v>99.0</v>
      </c>
      <c r="H1825" s="4"/>
      <c r="I1825" s="4">
        <v>99.0</v>
      </c>
      <c r="J1825" s="4" t="s">
        <v>5329</v>
      </c>
      <c r="K1825" s="6">
        <f>+918454989633</f>
        <v>918454989633</v>
      </c>
      <c r="L1825" s="4" t="str">
        <f t="shared" si="1"/>
        <v>leenasarode24@gmail.com918454989633</v>
      </c>
      <c r="M1825" s="10" t="s">
        <v>67</v>
      </c>
      <c r="N1825" s="4" t="b">
        <v>0</v>
      </c>
      <c r="O1825" s="4" t="str">
        <f>VLOOKUP(A1825,payment_ids!D:E,2,FALSE)</f>
        <v>card</v>
      </c>
      <c r="P1825" s="4" t="s">
        <v>69</v>
      </c>
      <c r="Q1825" s="11">
        <v>44382.48055555556</v>
      </c>
      <c r="R1825" s="4"/>
      <c r="S1825" s="12" t="s">
        <v>5323</v>
      </c>
      <c r="T1825" s="4"/>
      <c r="U1825" s="4"/>
      <c r="V1825" s="11"/>
      <c r="W1825" s="5"/>
      <c r="X1825" s="11"/>
      <c r="Y1825" s="4"/>
      <c r="Z1825" s="5"/>
      <c r="AA1825" s="4"/>
      <c r="AB1825" s="4"/>
      <c r="AC1825" s="4"/>
      <c r="AD1825" s="5"/>
      <c r="AE1825" s="5"/>
      <c r="AF1825" s="5"/>
      <c r="AG1825" s="5"/>
      <c r="AH1825" s="5"/>
      <c r="AI1825" s="5"/>
      <c r="AJ1825" s="5"/>
      <c r="AK1825" s="5"/>
      <c r="AL1825" s="5"/>
    </row>
    <row r="1826">
      <c r="A1826" s="4" t="str">
        <f>VLOOKUP(L1826,payment_ids!C:D,2,FALSE)</f>
        <v>pay_H7oKGW1e2LPAqo</v>
      </c>
      <c r="B1826" s="4"/>
      <c r="C1826" s="4" t="s">
        <v>5321</v>
      </c>
      <c r="D1826" s="4">
        <v>49995.0</v>
      </c>
      <c r="E1826" s="4"/>
      <c r="F1826" s="4">
        <v>1.0</v>
      </c>
      <c r="G1826" s="4">
        <v>99.0</v>
      </c>
      <c r="H1826" s="4"/>
      <c r="I1826" s="4">
        <v>99.0</v>
      </c>
      <c r="J1826" s="4" t="s">
        <v>5330</v>
      </c>
      <c r="K1826" s="6">
        <f>+918319965657</f>
        <v>918319965657</v>
      </c>
      <c r="L1826" s="4" t="str">
        <f t="shared" si="1"/>
        <v>sabrigain17@gmail.com918319965657</v>
      </c>
      <c r="M1826" s="10" t="s">
        <v>67</v>
      </c>
      <c r="N1826" s="4" t="b">
        <v>0</v>
      </c>
      <c r="O1826" s="4" t="str">
        <f>VLOOKUP(A1826,payment_ids!D:E,2,FALSE)</f>
        <v>upi</v>
      </c>
      <c r="P1826" s="4" t="s">
        <v>69</v>
      </c>
      <c r="Q1826" s="11">
        <v>44382.51736111111</v>
      </c>
      <c r="R1826" s="4"/>
      <c r="S1826" s="12" t="s">
        <v>5323</v>
      </c>
      <c r="T1826" s="4"/>
      <c r="U1826" s="4"/>
      <c r="V1826" s="11"/>
      <c r="W1826" s="5"/>
      <c r="X1826" s="11"/>
      <c r="Y1826" s="4"/>
      <c r="Z1826" s="5"/>
      <c r="AA1826" s="4"/>
      <c r="AB1826" s="4"/>
      <c r="AC1826" s="4"/>
      <c r="AD1826" s="5"/>
      <c r="AE1826" s="5"/>
      <c r="AF1826" s="5"/>
      <c r="AG1826" s="5"/>
      <c r="AH1826" s="5"/>
      <c r="AI1826" s="5"/>
      <c r="AJ1826" s="5"/>
      <c r="AK1826" s="5"/>
      <c r="AL1826" s="5"/>
    </row>
    <row r="1827">
      <c r="A1827" s="4" t="str">
        <f>VLOOKUP(L1827,payment_ids!C:D,2,FALSE)</f>
        <v>pay_H8EJqte9Lw4lAk</v>
      </c>
      <c r="B1827" s="4"/>
      <c r="C1827" s="4" t="s">
        <v>5321</v>
      </c>
      <c r="D1827" s="4">
        <v>49995.0</v>
      </c>
      <c r="E1827" s="4"/>
      <c r="F1827" s="4">
        <v>3.0</v>
      </c>
      <c r="G1827" s="4">
        <v>199.0</v>
      </c>
      <c r="H1827" s="4"/>
      <c r="I1827" s="4">
        <v>199.0</v>
      </c>
      <c r="J1827" s="4" t="s">
        <v>5331</v>
      </c>
      <c r="K1827" s="6">
        <f>+919819930890</f>
        <v>919819930890</v>
      </c>
      <c r="L1827" s="4" t="str">
        <f t="shared" si="1"/>
        <v>hachikocharlie1822@gmail.com919819930890</v>
      </c>
      <c r="M1827" s="10" t="s">
        <v>67</v>
      </c>
      <c r="N1827" s="4" t="b">
        <v>0</v>
      </c>
      <c r="O1827" s="4" t="str">
        <f>VLOOKUP(A1827,payment_ids!D:E,2,FALSE)</f>
        <v>upi</v>
      </c>
      <c r="P1827" s="4" t="s">
        <v>69</v>
      </c>
      <c r="Q1827" s="11">
        <v>44413.57708333333</v>
      </c>
      <c r="R1827" s="4"/>
      <c r="S1827" s="12" t="s">
        <v>5323</v>
      </c>
      <c r="T1827" s="4"/>
      <c r="U1827" s="4"/>
      <c r="V1827" s="11"/>
      <c r="W1827" s="5"/>
      <c r="X1827" s="11"/>
      <c r="Y1827" s="4"/>
      <c r="Z1827" s="5"/>
      <c r="AA1827" s="4"/>
      <c r="AB1827" s="4"/>
      <c r="AC1827" s="4"/>
      <c r="AD1827" s="5"/>
      <c r="AE1827" s="5"/>
      <c r="AF1827" s="5"/>
      <c r="AG1827" s="5"/>
      <c r="AH1827" s="5"/>
      <c r="AI1827" s="5"/>
      <c r="AJ1827" s="5"/>
      <c r="AK1827" s="5"/>
      <c r="AL1827" s="5"/>
    </row>
    <row r="1828">
      <c r="A1828" s="4" t="str">
        <f>VLOOKUP(L1828,payment_ids!C:D,2,FALSE)</f>
        <v>pay_H86MaHLUFrmxgb</v>
      </c>
      <c r="B1828" s="4"/>
      <c r="C1828" s="4" t="s">
        <v>5321</v>
      </c>
      <c r="D1828" s="4">
        <v>49995.0</v>
      </c>
      <c r="E1828" s="4"/>
      <c r="F1828" s="4">
        <v>1.0</v>
      </c>
      <c r="G1828" s="4">
        <v>99.0</v>
      </c>
      <c r="H1828" s="4"/>
      <c r="I1828" s="4">
        <v>99.0</v>
      </c>
      <c r="J1828" s="4" t="s">
        <v>5332</v>
      </c>
      <c r="K1828" s="6">
        <f>+916281238063</f>
        <v>916281238063</v>
      </c>
      <c r="L1828" s="4" t="str">
        <f t="shared" si="1"/>
        <v>princezzmaahi45@gmail.com916281238063</v>
      </c>
      <c r="M1828" s="10" t="s">
        <v>67</v>
      </c>
      <c r="N1828" s="4" t="b">
        <v>0</v>
      </c>
      <c r="O1828" s="4" t="str">
        <f>VLOOKUP(A1828,payment_ids!D:E,2,FALSE)</f>
        <v>upi</v>
      </c>
      <c r="P1828" s="4" t="s">
        <v>69</v>
      </c>
      <c r="Q1828" s="11">
        <v>44413.25277777778</v>
      </c>
      <c r="R1828" s="4"/>
      <c r="S1828" s="12" t="s">
        <v>5323</v>
      </c>
      <c r="T1828" s="4"/>
      <c r="U1828" s="4"/>
      <c r="V1828" s="11"/>
      <c r="W1828" s="5"/>
      <c r="X1828" s="11"/>
      <c r="Y1828" s="4"/>
      <c r="Z1828" s="5"/>
      <c r="AA1828" s="4"/>
      <c r="AB1828" s="4"/>
      <c r="AC1828" s="4"/>
      <c r="AD1828" s="5"/>
      <c r="AE1828" s="5"/>
      <c r="AF1828" s="5"/>
      <c r="AG1828" s="5"/>
      <c r="AH1828" s="5"/>
      <c r="AI1828" s="5"/>
      <c r="AJ1828" s="5"/>
      <c r="AK1828" s="5"/>
      <c r="AL1828" s="5"/>
    </row>
    <row r="1829">
      <c r="A1829" s="4" t="str">
        <f>VLOOKUP(L1829,payment_ids!C:D,2,FALSE)</f>
        <v>pay_H8NTqheTjJUp7F</v>
      </c>
      <c r="B1829" s="4"/>
      <c r="C1829" s="4" t="s">
        <v>5321</v>
      </c>
      <c r="D1829" s="4">
        <v>49995.0</v>
      </c>
      <c r="E1829" s="4"/>
      <c r="F1829" s="4">
        <v>1.0</v>
      </c>
      <c r="G1829" s="4">
        <v>99.0</v>
      </c>
      <c r="H1829" s="4"/>
      <c r="I1829" s="4">
        <v>99.0</v>
      </c>
      <c r="J1829" s="4" t="s">
        <v>5333</v>
      </c>
      <c r="K1829" s="6">
        <f>+917036057450</f>
        <v>917036057450</v>
      </c>
      <c r="L1829" s="4" t="str">
        <f t="shared" si="1"/>
        <v>mainactually@gmail.com917036057450</v>
      </c>
      <c r="M1829" s="10" t="s">
        <v>67</v>
      </c>
      <c r="N1829" s="4" t="b">
        <v>0</v>
      </c>
      <c r="O1829" s="4" t="str">
        <f>VLOOKUP(A1829,payment_ids!D:E,2,FALSE)</f>
        <v>card</v>
      </c>
      <c r="P1829" s="4" t="s">
        <v>69</v>
      </c>
      <c r="Q1829" s="11">
        <v>44413.95138888889</v>
      </c>
      <c r="R1829" s="4"/>
      <c r="S1829" s="12" t="s">
        <v>5323</v>
      </c>
      <c r="T1829" s="4"/>
      <c r="U1829" s="4"/>
      <c r="V1829" s="11"/>
      <c r="W1829" s="5"/>
      <c r="X1829" s="11"/>
      <c r="Y1829" s="4"/>
      <c r="Z1829" s="5"/>
      <c r="AA1829" s="4"/>
      <c r="AB1829" s="4"/>
      <c r="AC1829" s="4"/>
      <c r="AD1829" s="5"/>
      <c r="AE1829" s="5"/>
      <c r="AF1829" s="5"/>
      <c r="AG1829" s="5"/>
      <c r="AH1829" s="5"/>
      <c r="AI1829" s="5"/>
      <c r="AJ1829" s="5"/>
      <c r="AK1829" s="5"/>
      <c r="AL1829" s="5"/>
    </row>
    <row r="1830">
      <c r="A1830" s="4" t="str">
        <f>VLOOKUP(L1830,payment_ids!C:D,2,FALSE)</f>
        <v>pay_H8eXtowTE6mBX7</v>
      </c>
      <c r="B1830" s="4"/>
      <c r="C1830" s="4" t="s">
        <v>5321</v>
      </c>
      <c r="D1830" s="4">
        <v>49995.0</v>
      </c>
      <c r="E1830" s="4"/>
      <c r="F1830" s="4">
        <v>1.0</v>
      </c>
      <c r="G1830" s="4">
        <v>99.0</v>
      </c>
      <c r="H1830" s="4"/>
      <c r="I1830" s="4">
        <v>99.0</v>
      </c>
      <c r="J1830" s="4" t="s">
        <v>5334</v>
      </c>
      <c r="K1830" s="6">
        <f>+919958275458</f>
        <v>919958275458</v>
      </c>
      <c r="L1830" s="4" t="str">
        <f t="shared" si="1"/>
        <v>neha.goyal.1190@gmail.com919958275458</v>
      </c>
      <c r="M1830" s="10" t="s">
        <v>67</v>
      </c>
      <c r="N1830" s="4" t="b">
        <v>0</v>
      </c>
      <c r="O1830" s="4" t="str">
        <f>VLOOKUP(A1830,payment_ids!D:E,2,FALSE)</f>
        <v>upi</v>
      </c>
      <c r="P1830" s="4" t="s">
        <v>69</v>
      </c>
      <c r="Q1830" s="11">
        <v>44444.645833333336</v>
      </c>
      <c r="R1830" s="4"/>
      <c r="S1830" s="12" t="s">
        <v>5323</v>
      </c>
      <c r="T1830" s="4"/>
      <c r="U1830" s="4"/>
      <c r="V1830" s="11"/>
      <c r="W1830" s="5"/>
      <c r="X1830" s="11"/>
      <c r="Y1830" s="4"/>
      <c r="Z1830" s="5"/>
      <c r="AA1830" s="4"/>
      <c r="AB1830" s="4"/>
      <c r="AC1830" s="4"/>
      <c r="AD1830" s="5"/>
      <c r="AE1830" s="5"/>
      <c r="AF1830" s="5"/>
      <c r="AG1830" s="5"/>
      <c r="AH1830" s="5"/>
      <c r="AI1830" s="5"/>
      <c r="AJ1830" s="5"/>
      <c r="AK1830" s="5"/>
      <c r="AL1830" s="5"/>
    </row>
    <row r="1831">
      <c r="A1831" s="4" t="str">
        <f>VLOOKUP(L1831,payment_ids!C:D,2,FALSE)</f>
        <v>pay_H8islEvXKgyn7K</v>
      </c>
      <c r="B1831" s="4"/>
      <c r="C1831" s="4" t="s">
        <v>5321</v>
      </c>
      <c r="D1831" s="4">
        <v>49995.0</v>
      </c>
      <c r="E1831" s="4"/>
      <c r="F1831" s="4">
        <v>1.0</v>
      </c>
      <c r="G1831" s="4">
        <v>99.0</v>
      </c>
      <c r="H1831" s="4"/>
      <c r="I1831" s="4">
        <v>99.0</v>
      </c>
      <c r="J1831" s="4" t="s">
        <v>5335</v>
      </c>
      <c r="K1831" s="6">
        <f>+919873695983</f>
        <v>919873695983</v>
      </c>
      <c r="L1831" s="4" t="str">
        <f t="shared" si="1"/>
        <v>nivedita.krishnan@ymail.com919873695983</v>
      </c>
      <c r="M1831" s="10" t="s">
        <v>67</v>
      </c>
      <c r="N1831" s="4" t="b">
        <v>0</v>
      </c>
      <c r="O1831" s="4" t="str">
        <f>VLOOKUP(A1831,payment_ids!D:E,2,FALSE)</f>
        <v>upi</v>
      </c>
      <c r="P1831" s="4" t="s">
        <v>69</v>
      </c>
      <c r="Q1831" s="11">
        <v>44444.822222222225</v>
      </c>
      <c r="R1831" s="4"/>
      <c r="S1831" s="12" t="s">
        <v>5323</v>
      </c>
      <c r="T1831" s="4"/>
      <c r="U1831" s="4"/>
      <c r="V1831" s="11"/>
      <c r="W1831" s="5"/>
      <c r="X1831" s="11"/>
      <c r="Y1831" s="4"/>
      <c r="Z1831" s="5"/>
      <c r="AA1831" s="4"/>
      <c r="AB1831" s="4"/>
      <c r="AC1831" s="4"/>
      <c r="AD1831" s="5"/>
      <c r="AE1831" s="5"/>
      <c r="AF1831" s="5"/>
      <c r="AG1831" s="5"/>
      <c r="AH1831" s="5"/>
      <c r="AI1831" s="5"/>
      <c r="AJ1831" s="5"/>
      <c r="AK1831" s="5"/>
      <c r="AL1831" s="5"/>
    </row>
    <row r="1832">
      <c r="A1832" s="4" t="str">
        <f>VLOOKUP(L1832,payment_ids!C:D,2,FALSE)</f>
        <v>pay_H8ZXAPBbxVPUqx</v>
      </c>
      <c r="B1832" s="4"/>
      <c r="C1832" s="4" t="s">
        <v>5321</v>
      </c>
      <c r="D1832" s="4">
        <v>49995.0</v>
      </c>
      <c r="E1832" s="4"/>
      <c r="F1832" s="4">
        <v>3.0</v>
      </c>
      <c r="G1832" s="4">
        <v>199.0</v>
      </c>
      <c r="H1832" s="4"/>
      <c r="I1832" s="4">
        <v>199.0</v>
      </c>
      <c r="J1832" s="4" t="s">
        <v>5336</v>
      </c>
      <c r="K1832" s="6">
        <f>+919740537949</f>
        <v>919740537949</v>
      </c>
      <c r="L1832" s="4" t="str">
        <f t="shared" si="1"/>
        <v>fouziapkhan24@gmail.com919740537949</v>
      </c>
      <c r="M1832" s="10" t="s">
        <v>67</v>
      </c>
      <c r="N1832" s="4" t="b">
        <v>0</v>
      </c>
      <c r="O1832" s="4" t="str">
        <f>VLOOKUP(A1832,payment_ids!D:E,2,FALSE)</f>
        <v>upi</v>
      </c>
      <c r="P1832" s="4" t="s">
        <v>69</v>
      </c>
      <c r="Q1832" s="11">
        <v>44444.441666666666</v>
      </c>
      <c r="R1832" s="4"/>
      <c r="S1832" s="12" t="s">
        <v>5323</v>
      </c>
      <c r="T1832" s="4"/>
      <c r="U1832" s="4"/>
      <c r="V1832" s="11"/>
      <c r="W1832" s="5"/>
      <c r="X1832" s="11"/>
      <c r="Y1832" s="4"/>
      <c r="Z1832" s="5"/>
      <c r="AA1832" s="4"/>
      <c r="AB1832" s="4"/>
      <c r="AC1832" s="4"/>
      <c r="AD1832" s="5"/>
      <c r="AE1832" s="5"/>
      <c r="AF1832" s="5"/>
      <c r="AG1832" s="5"/>
      <c r="AH1832" s="5"/>
      <c r="AI1832" s="5"/>
      <c r="AJ1832" s="5"/>
      <c r="AK1832" s="5"/>
      <c r="AL1832" s="5"/>
    </row>
    <row r="1833">
      <c r="A1833" s="4" t="str">
        <f>VLOOKUP(L1833,payment_ids!C:D,2,FALSE)</f>
        <v>pay_H8adQrmTvwzAlI</v>
      </c>
      <c r="B1833" s="4"/>
      <c r="C1833" s="4" t="s">
        <v>5321</v>
      </c>
      <c r="D1833" s="4">
        <v>49995.0</v>
      </c>
      <c r="E1833" s="4"/>
      <c r="F1833" s="4">
        <v>1.0</v>
      </c>
      <c r="G1833" s="4">
        <v>99.0</v>
      </c>
      <c r="H1833" s="4"/>
      <c r="I1833" s="4">
        <v>99.0</v>
      </c>
      <c r="J1833" s="4" t="s">
        <v>5337</v>
      </c>
      <c r="K1833" s="6">
        <f>+919888298806</f>
        <v>919888298806</v>
      </c>
      <c r="L1833" s="4" t="str">
        <f t="shared" si="1"/>
        <v>harpreet.hunjan29@gmail.com919888298806</v>
      </c>
      <c r="M1833" s="10" t="s">
        <v>67</v>
      </c>
      <c r="N1833" s="4" t="b">
        <v>0</v>
      </c>
      <c r="O1833" s="4" t="str">
        <f>VLOOKUP(A1833,payment_ids!D:E,2,FALSE)</f>
        <v>upi</v>
      </c>
      <c r="P1833" s="4" t="s">
        <v>69</v>
      </c>
      <c r="Q1833" s="11">
        <v>44444.486805555556</v>
      </c>
      <c r="R1833" s="4"/>
      <c r="S1833" s="12" t="s">
        <v>5323</v>
      </c>
      <c r="T1833" s="4"/>
      <c r="U1833" s="4"/>
      <c r="V1833" s="11"/>
      <c r="W1833" s="5"/>
      <c r="X1833" s="11"/>
      <c r="Y1833" s="4"/>
      <c r="Z1833" s="5"/>
      <c r="AA1833" s="4"/>
      <c r="AB1833" s="4"/>
      <c r="AC1833" s="4"/>
      <c r="AD1833" s="5"/>
      <c r="AE1833" s="5"/>
      <c r="AF1833" s="5"/>
      <c r="AG1833" s="5"/>
      <c r="AH1833" s="5"/>
      <c r="AI1833" s="5"/>
      <c r="AJ1833" s="5"/>
      <c r="AK1833" s="5"/>
      <c r="AL1833" s="5"/>
    </row>
    <row r="1834">
      <c r="A1834" s="4" t="str">
        <f>VLOOKUP(L1834,payment_ids!C:D,2,FALSE)</f>
        <v>pay_H96chLeecYUif8</v>
      </c>
      <c r="B1834" s="4"/>
      <c r="C1834" s="4" t="s">
        <v>5321</v>
      </c>
      <c r="D1834" s="4">
        <v>49995.0</v>
      </c>
      <c r="E1834" s="4"/>
      <c r="F1834" s="4">
        <v>3.0</v>
      </c>
      <c r="G1834" s="4">
        <v>199.0</v>
      </c>
      <c r="H1834" s="4"/>
      <c r="I1834" s="4">
        <v>199.0</v>
      </c>
      <c r="J1834" s="4" t="s">
        <v>5338</v>
      </c>
      <c r="K1834" s="6">
        <f>+918123595843</f>
        <v>918123595843</v>
      </c>
      <c r="L1834" s="4" t="str">
        <f t="shared" si="1"/>
        <v>ambikanaiky@gmail.com918123595843</v>
      </c>
      <c r="M1834" s="10" t="s">
        <v>67</v>
      </c>
      <c r="N1834" s="4" t="b">
        <v>0</v>
      </c>
      <c r="O1834" s="4" t="str">
        <f>VLOOKUP(A1834,payment_ids!D:E,2,FALSE)</f>
        <v>upi</v>
      </c>
      <c r="P1834" s="4" t="s">
        <v>69</v>
      </c>
      <c r="Q1834" s="11">
        <v>44474.794444444444</v>
      </c>
      <c r="R1834" s="4"/>
      <c r="S1834" s="12" t="s">
        <v>5323</v>
      </c>
      <c r="T1834" s="4"/>
      <c r="U1834" s="4"/>
      <c r="V1834" s="11"/>
      <c r="W1834" s="5"/>
      <c r="X1834" s="11"/>
      <c r="Y1834" s="4"/>
      <c r="Z1834" s="5"/>
      <c r="AA1834" s="4"/>
      <c r="AB1834" s="4"/>
      <c r="AC1834" s="4"/>
      <c r="AD1834" s="5"/>
      <c r="AE1834" s="5"/>
      <c r="AF1834" s="5"/>
      <c r="AG1834" s="5"/>
      <c r="AH1834" s="5"/>
      <c r="AI1834" s="5"/>
      <c r="AJ1834" s="5"/>
      <c r="AK1834" s="5"/>
      <c r="AL1834" s="5"/>
    </row>
    <row r="1835">
      <c r="A1835" s="4" t="str">
        <f>VLOOKUP(L1835,payment_ids!C:D,2,FALSE)</f>
        <v>pay_HAjdoR2LWWXq6H</v>
      </c>
      <c r="B1835" s="4"/>
      <c r="C1835" s="4" t="s">
        <v>5321</v>
      </c>
      <c r="D1835" s="4">
        <v>49995.0</v>
      </c>
      <c r="E1835" s="4"/>
      <c r="F1835" s="4">
        <v>1.0</v>
      </c>
      <c r="G1835" s="4">
        <v>99.0</v>
      </c>
      <c r="H1835" s="4"/>
      <c r="I1835" s="4">
        <v>99.0</v>
      </c>
      <c r="J1835" s="4" t="s">
        <v>5339</v>
      </c>
      <c r="K1835" s="6">
        <f>+918657906445</f>
        <v>918657906445</v>
      </c>
      <c r="L1835" s="4" t="str">
        <f t="shared" si="1"/>
        <v>vdhvr15@gmail.com918657906445</v>
      </c>
      <c r="M1835" s="10" t="s">
        <v>67</v>
      </c>
      <c r="N1835" s="4" t="b">
        <v>0</v>
      </c>
      <c r="O1835" s="4" t="str">
        <f>VLOOKUP(A1835,payment_ids!D:E,2,FALSE)</f>
        <v>upi</v>
      </c>
      <c r="P1835" s="4" t="s">
        <v>69</v>
      </c>
      <c r="Q1835" s="4" t="s">
        <v>5340</v>
      </c>
      <c r="R1835" s="4"/>
      <c r="S1835" s="12" t="s">
        <v>5323</v>
      </c>
      <c r="T1835" s="4"/>
      <c r="U1835" s="4"/>
      <c r="V1835" s="11"/>
      <c r="W1835" s="5"/>
      <c r="X1835" s="11"/>
      <c r="Y1835" s="4"/>
      <c r="Z1835" s="5"/>
      <c r="AA1835" s="4"/>
      <c r="AB1835" s="4"/>
      <c r="AC1835" s="4"/>
      <c r="AD1835" s="5"/>
      <c r="AE1835" s="5"/>
      <c r="AF1835" s="5"/>
      <c r="AG1835" s="5"/>
      <c r="AH1835" s="5"/>
      <c r="AI1835" s="5"/>
      <c r="AJ1835" s="5"/>
      <c r="AK1835" s="5"/>
      <c r="AL1835" s="5"/>
    </row>
    <row r="1836">
      <c r="A1836" s="4" t="str">
        <f>VLOOKUP(L1836,payment_ids!C:D,2,FALSE)</f>
        <v>pay_HB1Uspp5AeWXnh</v>
      </c>
      <c r="B1836" s="4"/>
      <c r="C1836" s="4" t="s">
        <v>5321</v>
      </c>
      <c r="D1836" s="4">
        <v>49995.0</v>
      </c>
      <c r="E1836" s="4"/>
      <c r="F1836" s="4">
        <v>6.0</v>
      </c>
      <c r="G1836" s="4">
        <v>349.0</v>
      </c>
      <c r="H1836" s="4"/>
      <c r="I1836" s="4">
        <v>349.0</v>
      </c>
      <c r="J1836" s="4" t="s">
        <v>5341</v>
      </c>
      <c r="K1836" s="6">
        <f>+919994759191</f>
        <v>919994759191</v>
      </c>
      <c r="L1836" s="4" t="str">
        <f t="shared" si="1"/>
        <v>navinait@aol.com919994759191</v>
      </c>
      <c r="M1836" s="10" t="s">
        <v>67</v>
      </c>
      <c r="N1836" s="4" t="b">
        <v>0</v>
      </c>
      <c r="O1836" s="4" t="str">
        <f>VLOOKUP(A1836,payment_ids!D:E,2,FALSE)</f>
        <v>card</v>
      </c>
      <c r="P1836" s="4" t="s">
        <v>69</v>
      </c>
      <c r="Q1836" s="4" t="s">
        <v>5342</v>
      </c>
      <c r="R1836" s="4"/>
      <c r="S1836" s="12" t="s">
        <v>5323</v>
      </c>
      <c r="T1836" s="4"/>
      <c r="U1836" s="4"/>
      <c r="V1836" s="11"/>
      <c r="W1836" s="5"/>
      <c r="X1836" s="11"/>
      <c r="Y1836" s="4"/>
      <c r="Z1836" s="5"/>
      <c r="AA1836" s="4"/>
      <c r="AB1836" s="4"/>
      <c r="AC1836" s="4"/>
      <c r="AD1836" s="5"/>
      <c r="AE1836" s="5"/>
      <c r="AF1836" s="5"/>
      <c r="AG1836" s="5"/>
      <c r="AH1836" s="5"/>
      <c r="AI1836" s="5"/>
      <c r="AJ1836" s="5"/>
      <c r="AK1836" s="5"/>
      <c r="AL1836" s="5"/>
    </row>
    <row r="1837">
      <c r="A1837" s="4" t="str">
        <f>VLOOKUP(L1837,payment_ids!C:D,2,FALSE)</f>
        <v>pay_HB1dfPmXjsygBr</v>
      </c>
      <c r="B1837" s="4"/>
      <c r="C1837" s="4" t="s">
        <v>5321</v>
      </c>
      <c r="D1837" s="4">
        <v>49995.0</v>
      </c>
      <c r="E1837" s="4"/>
      <c r="F1837" s="4">
        <v>1.0</v>
      </c>
      <c r="G1837" s="4">
        <v>99.0</v>
      </c>
      <c r="H1837" s="4"/>
      <c r="I1837" s="4">
        <v>99.0</v>
      </c>
      <c r="J1837" s="4" t="s">
        <v>5343</v>
      </c>
      <c r="K1837" s="6">
        <f>+918524887557</f>
        <v>918524887557</v>
      </c>
      <c r="L1837" s="4" t="str">
        <f t="shared" si="1"/>
        <v>srisriabinayasri11998@gmail.com918524887557</v>
      </c>
      <c r="M1837" s="10" t="s">
        <v>67</v>
      </c>
      <c r="N1837" s="4" t="b">
        <v>0</v>
      </c>
      <c r="O1837" s="4" t="str">
        <f>VLOOKUP(A1837,payment_ids!D:E,2,FALSE)</f>
        <v>card</v>
      </c>
      <c r="P1837" s="4" t="s">
        <v>69</v>
      </c>
      <c r="Q1837" s="4" t="s">
        <v>5344</v>
      </c>
      <c r="R1837" s="4"/>
      <c r="S1837" s="12" t="s">
        <v>5323</v>
      </c>
      <c r="T1837" s="4"/>
      <c r="U1837" s="4"/>
      <c r="V1837" s="11"/>
      <c r="W1837" s="5"/>
      <c r="X1837" s="11"/>
      <c r="Y1837" s="4"/>
      <c r="Z1837" s="5"/>
      <c r="AA1837" s="4"/>
      <c r="AB1837" s="4"/>
      <c r="AC1837" s="4"/>
      <c r="AD1837" s="5"/>
      <c r="AE1837" s="5"/>
      <c r="AF1837" s="5"/>
      <c r="AG1837" s="5"/>
      <c r="AH1837" s="5"/>
      <c r="AI1837" s="5"/>
      <c r="AJ1837" s="5"/>
      <c r="AK1837" s="5"/>
      <c r="AL1837" s="5"/>
    </row>
    <row r="1838">
      <c r="A1838" s="4" t="str">
        <f>VLOOKUP(L1838,payment_ids!C:D,2,FALSE)</f>
        <v>pay_HBIUVJS9wtY2zT</v>
      </c>
      <c r="B1838" s="4"/>
      <c r="C1838" s="4" t="s">
        <v>5321</v>
      </c>
      <c r="D1838" s="4">
        <v>49995.0</v>
      </c>
      <c r="E1838" s="4"/>
      <c r="F1838" s="4">
        <v>1.0</v>
      </c>
      <c r="G1838" s="4">
        <v>99.0</v>
      </c>
      <c r="H1838" s="4"/>
      <c r="I1838" s="4">
        <v>99.0</v>
      </c>
      <c r="J1838" s="4" t="s">
        <v>2111</v>
      </c>
      <c r="K1838" s="6">
        <f>+919606619902</f>
        <v>919606619902</v>
      </c>
      <c r="L1838" s="4" t="str">
        <f t="shared" si="1"/>
        <v>neha30may98@gmail.com919606619902</v>
      </c>
      <c r="M1838" s="10" t="s">
        <v>67</v>
      </c>
      <c r="N1838" s="4" t="b">
        <v>0</v>
      </c>
      <c r="O1838" s="4" t="str">
        <f>VLOOKUP(A1838,payment_ids!D:E,2,FALSE)</f>
        <v>upi</v>
      </c>
      <c r="P1838" s="4" t="s">
        <v>69</v>
      </c>
      <c r="Q1838" s="4" t="s">
        <v>5345</v>
      </c>
      <c r="R1838" s="4"/>
      <c r="S1838" s="12" t="s">
        <v>5323</v>
      </c>
      <c r="T1838" s="4"/>
      <c r="U1838" s="4"/>
      <c r="V1838" s="11"/>
      <c r="W1838" s="5"/>
      <c r="X1838" s="11"/>
      <c r="Y1838" s="4"/>
      <c r="Z1838" s="5"/>
      <c r="AA1838" s="4"/>
      <c r="AB1838" s="4"/>
      <c r="AC1838" s="4"/>
      <c r="AD1838" s="5"/>
      <c r="AE1838" s="5"/>
      <c r="AF1838" s="5"/>
      <c r="AG1838" s="5"/>
      <c r="AH1838" s="5"/>
      <c r="AI1838" s="5"/>
      <c r="AJ1838" s="5"/>
      <c r="AK1838" s="5"/>
      <c r="AL1838" s="5"/>
    </row>
    <row r="1839">
      <c r="A1839" s="4" t="str">
        <f>VLOOKUP(L1839,payment_ids!C:D,2,FALSE)</f>
        <v>pay_HBUnFZ0sKKgPS9</v>
      </c>
      <c r="B1839" s="4"/>
      <c r="C1839" s="4" t="s">
        <v>5321</v>
      </c>
      <c r="D1839" s="4">
        <v>49995.0</v>
      </c>
      <c r="E1839" s="4"/>
      <c r="F1839" s="4">
        <v>1.0</v>
      </c>
      <c r="G1839" s="4">
        <v>99.0</v>
      </c>
      <c r="H1839" s="4"/>
      <c r="I1839" s="4">
        <v>99.0</v>
      </c>
      <c r="J1839" s="4" t="s">
        <v>5346</v>
      </c>
      <c r="K1839" s="6">
        <f>+918448759224</f>
        <v>918448759224</v>
      </c>
      <c r="L1839" s="4" t="str">
        <f t="shared" si="1"/>
        <v>anushkapillai24@gmail.com918448759224</v>
      </c>
      <c r="M1839" s="10" t="s">
        <v>67</v>
      </c>
      <c r="N1839" s="4" t="b">
        <v>0</v>
      </c>
      <c r="O1839" s="4" t="str">
        <f>VLOOKUP(A1839,payment_ids!D:E,2,FALSE)</f>
        <v>upi</v>
      </c>
      <c r="P1839" s="4" t="s">
        <v>69</v>
      </c>
      <c r="Q1839" s="4" t="s">
        <v>5347</v>
      </c>
      <c r="R1839" s="4"/>
      <c r="S1839" s="12" t="s">
        <v>5323</v>
      </c>
      <c r="T1839" s="4"/>
      <c r="U1839" s="4"/>
      <c r="V1839" s="11"/>
      <c r="W1839" s="5"/>
      <c r="X1839" s="11"/>
      <c r="Y1839" s="4"/>
      <c r="Z1839" s="5"/>
      <c r="AA1839" s="4"/>
      <c r="AB1839" s="4"/>
      <c r="AC1839" s="4"/>
      <c r="AD1839" s="5"/>
      <c r="AE1839" s="5"/>
      <c r="AF1839" s="5"/>
      <c r="AG1839" s="5"/>
      <c r="AH1839" s="5"/>
      <c r="AI1839" s="5"/>
      <c r="AJ1839" s="5"/>
      <c r="AK1839" s="5"/>
      <c r="AL1839" s="5"/>
    </row>
    <row r="1840">
      <c r="A1840" s="4" t="str">
        <f>VLOOKUP(L1840,payment_ids!C:D,2,FALSE)</f>
        <v>pay_HBWPj0E6LpFqNc</v>
      </c>
      <c r="B1840" s="4"/>
      <c r="C1840" s="4" t="s">
        <v>5321</v>
      </c>
      <c r="D1840" s="4">
        <v>49995.0</v>
      </c>
      <c r="E1840" s="4"/>
      <c r="F1840" s="4">
        <v>1.0</v>
      </c>
      <c r="G1840" s="4">
        <v>99.0</v>
      </c>
      <c r="H1840" s="4"/>
      <c r="I1840" s="4">
        <v>99.0</v>
      </c>
      <c r="J1840" s="4" t="s">
        <v>5348</v>
      </c>
      <c r="K1840" s="6">
        <f>+918414908487</f>
        <v>918414908487</v>
      </c>
      <c r="L1840" s="4" t="str">
        <f t="shared" si="1"/>
        <v>dips161@gmail.com918414908487</v>
      </c>
      <c r="M1840" s="10" t="s">
        <v>67</v>
      </c>
      <c r="N1840" s="4" t="b">
        <v>0</v>
      </c>
      <c r="O1840" s="4" t="str">
        <f>VLOOKUP(A1840,payment_ids!D:E,2,FALSE)</f>
        <v>wallet</v>
      </c>
      <c r="P1840" s="4" t="s">
        <v>69</v>
      </c>
      <c r="Q1840" s="4" t="s">
        <v>5349</v>
      </c>
      <c r="R1840" s="4"/>
      <c r="S1840" s="12" t="s">
        <v>5323</v>
      </c>
      <c r="T1840" s="4"/>
      <c r="U1840" s="4"/>
      <c r="V1840" s="11"/>
      <c r="W1840" s="5"/>
      <c r="X1840" s="11"/>
      <c r="Y1840" s="4"/>
      <c r="Z1840" s="5"/>
      <c r="AA1840" s="4"/>
      <c r="AB1840" s="4"/>
      <c r="AC1840" s="4"/>
      <c r="AD1840" s="5"/>
      <c r="AE1840" s="5"/>
      <c r="AF1840" s="5"/>
      <c r="AG1840" s="5"/>
      <c r="AH1840" s="5"/>
      <c r="AI1840" s="5"/>
      <c r="AJ1840" s="5"/>
      <c r="AK1840" s="5"/>
      <c r="AL1840" s="5"/>
    </row>
    <row r="1841">
      <c r="A1841" s="4" t="str">
        <f>VLOOKUP(L1841,payment_ids!C:D,2,FALSE)</f>
        <v>pay_HBX8MH1pFZbPD2</v>
      </c>
      <c r="B1841" s="4"/>
      <c r="C1841" s="4" t="s">
        <v>5321</v>
      </c>
      <c r="D1841" s="4">
        <v>49995.0</v>
      </c>
      <c r="E1841" s="4"/>
      <c r="F1841" s="4">
        <v>1.0</v>
      </c>
      <c r="G1841" s="4">
        <v>99.0</v>
      </c>
      <c r="H1841" s="4"/>
      <c r="I1841" s="4">
        <v>99.0</v>
      </c>
      <c r="J1841" s="4" t="s">
        <v>5350</v>
      </c>
      <c r="K1841" s="6">
        <f>+918095609662</f>
        <v>918095609662</v>
      </c>
      <c r="L1841" s="4" t="str">
        <f t="shared" si="1"/>
        <v>varshamakeup2927@gmail.com918095609662</v>
      </c>
      <c r="M1841" s="10" t="s">
        <v>67</v>
      </c>
      <c r="N1841" s="4" t="b">
        <v>0</v>
      </c>
      <c r="O1841" s="4" t="str">
        <f>VLOOKUP(A1841,payment_ids!D:E,2,FALSE)</f>
        <v>upi</v>
      </c>
      <c r="P1841" s="4" t="s">
        <v>69</v>
      </c>
      <c r="Q1841" s="4" t="s">
        <v>5351</v>
      </c>
      <c r="R1841" s="4"/>
      <c r="S1841" s="12" t="s">
        <v>5323</v>
      </c>
      <c r="T1841" s="4"/>
      <c r="U1841" s="4"/>
      <c r="V1841" s="11"/>
      <c r="W1841" s="5"/>
      <c r="X1841" s="11"/>
      <c r="Y1841" s="4"/>
      <c r="Z1841" s="5"/>
      <c r="AA1841" s="4"/>
      <c r="AB1841" s="4"/>
      <c r="AC1841" s="4"/>
      <c r="AD1841" s="5"/>
      <c r="AE1841" s="5"/>
      <c r="AF1841" s="5"/>
      <c r="AG1841" s="5"/>
      <c r="AH1841" s="5"/>
      <c r="AI1841" s="5"/>
      <c r="AJ1841" s="5"/>
      <c r="AK1841" s="5"/>
      <c r="AL1841" s="5"/>
    </row>
    <row r="1842">
      <c r="A1842" s="4" t="str">
        <f>VLOOKUP(L1842,payment_ids!C:D,2,FALSE)</f>
        <v>pay_HBpXtWZ2owCg7M</v>
      </c>
      <c r="B1842" s="4"/>
      <c r="C1842" s="4" t="s">
        <v>5321</v>
      </c>
      <c r="D1842" s="4">
        <v>49995.0</v>
      </c>
      <c r="E1842" s="4"/>
      <c r="F1842" s="4">
        <v>1.0</v>
      </c>
      <c r="G1842" s="4">
        <v>99.0</v>
      </c>
      <c r="H1842" s="4"/>
      <c r="I1842" s="4">
        <v>99.0</v>
      </c>
      <c r="J1842" s="4" t="s">
        <v>5352</v>
      </c>
      <c r="K1842" s="6">
        <f>+917978906395</f>
        <v>917978906395</v>
      </c>
      <c r="L1842" s="4" t="str">
        <f t="shared" si="1"/>
        <v>susmita2128@gmail.com917978906395</v>
      </c>
      <c r="M1842" s="10" t="s">
        <v>67</v>
      </c>
      <c r="N1842" s="4" t="b">
        <v>0</v>
      </c>
      <c r="O1842" s="4" t="str">
        <f>VLOOKUP(A1842,payment_ids!D:E,2,FALSE)</f>
        <v>upi</v>
      </c>
      <c r="P1842" s="4" t="s">
        <v>69</v>
      </c>
      <c r="Q1842" s="4" t="s">
        <v>5353</v>
      </c>
      <c r="R1842" s="4"/>
      <c r="S1842" s="12" t="s">
        <v>5323</v>
      </c>
      <c r="T1842" s="4"/>
      <c r="U1842" s="4"/>
      <c r="V1842" s="11"/>
      <c r="W1842" s="5"/>
      <c r="X1842" s="11"/>
      <c r="Y1842" s="4"/>
      <c r="Z1842" s="5"/>
      <c r="AA1842" s="4"/>
      <c r="AB1842" s="4"/>
      <c r="AC1842" s="4"/>
      <c r="AD1842" s="5"/>
      <c r="AE1842" s="5"/>
      <c r="AF1842" s="5"/>
      <c r="AG1842" s="5"/>
      <c r="AH1842" s="5"/>
      <c r="AI1842" s="5"/>
      <c r="AJ1842" s="5"/>
      <c r="AK1842" s="5"/>
      <c r="AL1842" s="5"/>
    </row>
    <row r="1843">
      <c r="A1843" s="4" t="str">
        <f>VLOOKUP(L1843,payment_ids!C:D,2,FALSE)</f>
        <v>pay_HCIJ6eybd7t2cJ</v>
      </c>
      <c r="B1843" s="4"/>
      <c r="C1843" s="4" t="s">
        <v>5321</v>
      </c>
      <c r="D1843" s="4">
        <v>49995.0</v>
      </c>
      <c r="E1843" s="4"/>
      <c r="F1843" s="4">
        <v>1.0</v>
      </c>
      <c r="G1843" s="4">
        <v>99.0</v>
      </c>
      <c r="H1843" s="4"/>
      <c r="I1843" s="4">
        <v>99.0</v>
      </c>
      <c r="J1843" s="4" t="s">
        <v>5354</v>
      </c>
      <c r="K1843" s="6">
        <f>+918287024066</f>
        <v>918287024066</v>
      </c>
      <c r="L1843" s="4" t="str">
        <f t="shared" si="1"/>
        <v>malikchaaru.25@gmail.com918287024066</v>
      </c>
      <c r="M1843" s="10" t="s">
        <v>67</v>
      </c>
      <c r="N1843" s="4" t="b">
        <v>0</v>
      </c>
      <c r="O1843" s="4" t="str">
        <f>VLOOKUP(A1843,payment_ids!D:E,2,FALSE)</f>
        <v>upi</v>
      </c>
      <c r="P1843" s="4" t="s">
        <v>69</v>
      </c>
      <c r="Q1843" s="4" t="s">
        <v>5355</v>
      </c>
      <c r="R1843" s="4"/>
      <c r="S1843" s="12" t="s">
        <v>5323</v>
      </c>
      <c r="T1843" s="4"/>
      <c r="U1843" s="4"/>
      <c r="V1843" s="11"/>
      <c r="W1843" s="5"/>
      <c r="X1843" s="11"/>
      <c r="Y1843" s="4"/>
      <c r="Z1843" s="5"/>
      <c r="AA1843" s="4"/>
      <c r="AB1843" s="4"/>
      <c r="AC1843" s="4"/>
      <c r="AD1843" s="5"/>
      <c r="AE1843" s="5"/>
      <c r="AF1843" s="5"/>
      <c r="AG1843" s="5"/>
      <c r="AH1843" s="5"/>
      <c r="AI1843" s="5"/>
      <c r="AJ1843" s="5"/>
      <c r="AK1843" s="5"/>
      <c r="AL1843" s="5"/>
    </row>
    <row r="1844">
      <c r="A1844" s="4" t="str">
        <f>VLOOKUP(L1844,payment_ids!C:D,2,FALSE)</f>
        <v>pay_HCXfO9ouPvoPo4</v>
      </c>
      <c r="B1844" s="4"/>
      <c r="C1844" s="4" t="s">
        <v>5321</v>
      </c>
      <c r="D1844" s="4">
        <v>49995.0</v>
      </c>
      <c r="E1844" s="4"/>
      <c r="F1844" s="4">
        <v>1.0</v>
      </c>
      <c r="G1844" s="4">
        <v>99.0</v>
      </c>
      <c r="H1844" s="4"/>
      <c r="I1844" s="4">
        <v>99.0</v>
      </c>
      <c r="J1844" s="4" t="s">
        <v>5356</v>
      </c>
      <c r="K1844" s="6">
        <f>+917338767219</f>
        <v>917338767219</v>
      </c>
      <c r="L1844" s="4" t="str">
        <f t="shared" si="1"/>
        <v>shesamalinisivamani@gmail.com917338767219</v>
      </c>
      <c r="M1844" s="10" t="s">
        <v>67</v>
      </c>
      <c r="N1844" s="4" t="b">
        <v>0</v>
      </c>
      <c r="O1844" s="4" t="str">
        <f>VLOOKUP(A1844,payment_ids!D:E,2,FALSE)</f>
        <v>upi</v>
      </c>
      <c r="P1844" s="4" t="s">
        <v>69</v>
      </c>
      <c r="Q1844" s="4" t="s">
        <v>5357</v>
      </c>
      <c r="R1844" s="4"/>
      <c r="S1844" s="12" t="s">
        <v>5323</v>
      </c>
      <c r="T1844" s="4"/>
      <c r="U1844" s="5"/>
      <c r="V1844" s="11"/>
      <c r="W1844" s="5"/>
      <c r="X1844" s="11"/>
      <c r="Y1844" s="4"/>
      <c r="Z1844" s="5"/>
      <c r="AA1844" s="4"/>
      <c r="AB1844" s="4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</row>
    <row r="1845">
      <c r="A1845" s="4" t="str">
        <f>VLOOKUP(L1845,payment_ids!C:D,2,FALSE)</f>
        <v>pay_HBjQ7aqlImame9</v>
      </c>
      <c r="B1845" s="4"/>
      <c r="C1845" s="4" t="s">
        <v>5321</v>
      </c>
      <c r="D1845" s="4">
        <v>49995.0</v>
      </c>
      <c r="E1845" s="4"/>
      <c r="F1845" s="4">
        <v>1.0</v>
      </c>
      <c r="G1845" s="4">
        <v>99.0</v>
      </c>
      <c r="H1845" s="4"/>
      <c r="I1845" s="4">
        <v>99.0</v>
      </c>
      <c r="J1845" s="4" t="s">
        <v>5358</v>
      </c>
      <c r="K1845" s="6">
        <f>+919943041950</f>
        <v>919943041950</v>
      </c>
      <c r="L1845" s="4" t="str">
        <f t="shared" si="1"/>
        <v>ayishaparveen1966@gmail.com919943041950</v>
      </c>
      <c r="M1845" s="10" t="s">
        <v>67</v>
      </c>
      <c r="N1845" s="4" t="b">
        <v>0</v>
      </c>
      <c r="O1845" s="4" t="str">
        <f>VLOOKUP(A1845,payment_ids!D:E,2,FALSE)</f>
        <v>card</v>
      </c>
      <c r="P1845" s="4" t="s">
        <v>69</v>
      </c>
      <c r="Q1845" s="4" t="s">
        <v>5359</v>
      </c>
      <c r="R1845" s="4"/>
      <c r="S1845" s="12" t="s">
        <v>5323</v>
      </c>
      <c r="T1845" s="4"/>
      <c r="U1845" s="4"/>
      <c r="V1845" s="11"/>
      <c r="W1845" s="5"/>
      <c r="X1845" s="11"/>
      <c r="Y1845" s="4"/>
      <c r="Z1845" s="5"/>
      <c r="AA1845" s="4"/>
      <c r="AB1845" s="4"/>
      <c r="AC1845" s="4"/>
      <c r="AD1845" s="5"/>
      <c r="AE1845" s="5"/>
      <c r="AF1845" s="5"/>
      <c r="AG1845" s="5"/>
      <c r="AH1845" s="5"/>
      <c r="AI1845" s="5"/>
      <c r="AJ1845" s="5"/>
      <c r="AK1845" s="5"/>
      <c r="AL1845" s="5"/>
    </row>
    <row r="1846">
      <c r="A1846" s="4" t="str">
        <f>VLOOKUP(L1846,payment_ids!C:D,2,FALSE)</f>
        <v>pay_HCfBeCcbGFnPmG</v>
      </c>
      <c r="B1846" s="4"/>
      <c r="C1846" s="4" t="s">
        <v>5321</v>
      </c>
      <c r="D1846" s="4">
        <v>49995.0</v>
      </c>
      <c r="E1846" s="4"/>
      <c r="F1846" s="4">
        <v>1.0</v>
      </c>
      <c r="G1846" s="4">
        <v>99.0</v>
      </c>
      <c r="H1846" s="4"/>
      <c r="I1846" s="4">
        <v>99.0</v>
      </c>
      <c r="J1846" s="4" t="s">
        <v>5360</v>
      </c>
      <c r="K1846" s="6">
        <f>+919804232486</f>
        <v>919804232486</v>
      </c>
      <c r="L1846" s="4" t="str">
        <f t="shared" si="1"/>
        <v>alvina.megh27@gmail.com919804232486</v>
      </c>
      <c r="M1846" s="10" t="s">
        <v>67</v>
      </c>
      <c r="N1846" s="4" t="b">
        <v>0</v>
      </c>
      <c r="O1846" s="4" t="str">
        <f>VLOOKUP(A1846,payment_ids!D:E,2,FALSE)</f>
        <v>upi</v>
      </c>
      <c r="P1846" s="4" t="s">
        <v>69</v>
      </c>
      <c r="Q1846" s="4" t="s">
        <v>5361</v>
      </c>
      <c r="R1846" s="4"/>
      <c r="S1846" s="12" t="s">
        <v>5323</v>
      </c>
      <c r="T1846" s="4"/>
      <c r="U1846" s="4"/>
      <c r="V1846" s="11"/>
      <c r="W1846" s="5"/>
      <c r="X1846" s="11"/>
      <c r="Y1846" s="4"/>
      <c r="Z1846" s="5"/>
      <c r="AA1846" s="4"/>
      <c r="AB1846" s="4"/>
      <c r="AC1846" s="4"/>
      <c r="AD1846" s="5"/>
      <c r="AE1846" s="5"/>
      <c r="AF1846" s="5"/>
      <c r="AG1846" s="5"/>
      <c r="AH1846" s="5"/>
      <c r="AI1846" s="5"/>
      <c r="AJ1846" s="5"/>
      <c r="AK1846" s="5"/>
      <c r="AL1846" s="5"/>
    </row>
    <row r="1847">
      <c r="A1847" s="4" t="str">
        <f>VLOOKUP(L1847,payment_ids!C:D,2,FALSE)</f>
        <v>pay_HCkaT9YX66ZT8j</v>
      </c>
      <c r="B1847" s="4"/>
      <c r="C1847" s="4" t="s">
        <v>5321</v>
      </c>
      <c r="D1847" s="4">
        <v>49995.0</v>
      </c>
      <c r="E1847" s="4"/>
      <c r="F1847" s="4">
        <v>1.0</v>
      </c>
      <c r="G1847" s="4">
        <v>99.0</v>
      </c>
      <c r="H1847" s="4"/>
      <c r="I1847" s="4">
        <v>99.0</v>
      </c>
      <c r="J1847" s="4" t="s">
        <v>5362</v>
      </c>
      <c r="K1847" s="6">
        <f>+919958533813</f>
        <v>919958533813</v>
      </c>
      <c r="L1847" s="4" t="str">
        <f t="shared" si="1"/>
        <v>faceandthefeast@gmail.com919958533813</v>
      </c>
      <c r="M1847" s="10" t="s">
        <v>67</v>
      </c>
      <c r="N1847" s="4" t="b">
        <v>0</v>
      </c>
      <c r="O1847" s="4" t="str">
        <f>VLOOKUP(A1847,payment_ids!D:E,2,FALSE)</f>
        <v>upi</v>
      </c>
      <c r="P1847" s="4" t="s">
        <v>69</v>
      </c>
      <c r="Q1847" s="4" t="s">
        <v>5363</v>
      </c>
      <c r="R1847" s="4"/>
      <c r="S1847" s="12" t="s">
        <v>5323</v>
      </c>
      <c r="T1847" s="4"/>
      <c r="U1847" s="4"/>
      <c r="V1847" s="11"/>
      <c r="W1847" s="5"/>
      <c r="X1847" s="11"/>
      <c r="Y1847" s="4"/>
      <c r="Z1847" s="5"/>
      <c r="AA1847" s="4"/>
      <c r="AB1847" s="4"/>
      <c r="AC1847" s="4"/>
      <c r="AD1847" s="5"/>
      <c r="AE1847" s="5"/>
      <c r="AF1847" s="5"/>
      <c r="AG1847" s="5"/>
      <c r="AH1847" s="5"/>
      <c r="AI1847" s="5"/>
      <c r="AJ1847" s="5"/>
      <c r="AK1847" s="5"/>
      <c r="AL1847" s="5"/>
    </row>
    <row r="1848">
      <c r="A1848" s="4" t="str">
        <f>VLOOKUP(L1848,payment_ids!C:D,2,FALSE)</f>
        <v>pay_HCymZF2CrLX39P</v>
      </c>
      <c r="B1848" s="4"/>
      <c r="C1848" s="4" t="s">
        <v>5321</v>
      </c>
      <c r="D1848" s="4">
        <v>49995.0</v>
      </c>
      <c r="E1848" s="4"/>
      <c r="F1848" s="4">
        <v>1.0</v>
      </c>
      <c r="G1848" s="4">
        <v>99.0</v>
      </c>
      <c r="H1848" s="4"/>
      <c r="I1848" s="4">
        <v>99.0</v>
      </c>
      <c r="J1848" s="4" t="s">
        <v>5364</v>
      </c>
      <c r="K1848" s="6">
        <f t="shared" ref="K1848:K1849" si="9">+917999996564</f>
        <v>917999996564</v>
      </c>
      <c r="L1848" s="4" t="str">
        <f t="shared" si="1"/>
        <v>loveleensidhu95@gmail.com917999996564</v>
      </c>
      <c r="M1848" s="10" t="s">
        <v>67</v>
      </c>
      <c r="N1848" s="4" t="b">
        <v>0</v>
      </c>
      <c r="O1848" s="4" t="str">
        <f>VLOOKUP(A1848,payment_ids!D:E,2,FALSE)</f>
        <v>card</v>
      </c>
      <c r="P1848" s="4" t="s">
        <v>69</v>
      </c>
      <c r="Q1848" s="4" t="s">
        <v>5365</v>
      </c>
      <c r="R1848" s="4"/>
      <c r="S1848" s="12" t="s">
        <v>5323</v>
      </c>
      <c r="T1848" s="4"/>
      <c r="U1848" s="4"/>
      <c r="V1848" s="11"/>
      <c r="W1848" s="5"/>
      <c r="X1848" s="11"/>
      <c r="Y1848" s="4"/>
      <c r="Z1848" s="5"/>
      <c r="AA1848" s="4"/>
      <c r="AB1848" s="4"/>
      <c r="AC1848" s="4"/>
      <c r="AD1848" s="5"/>
      <c r="AE1848" s="5"/>
      <c r="AF1848" s="5"/>
      <c r="AG1848" s="5"/>
      <c r="AH1848" s="5"/>
      <c r="AI1848" s="5"/>
      <c r="AJ1848" s="5"/>
      <c r="AK1848" s="5"/>
      <c r="AL1848" s="5"/>
    </row>
    <row r="1849">
      <c r="A1849" s="4" t="str">
        <f>VLOOKUP(L1849,payment_ids!C:D,2,FALSE)</f>
        <v>pay_HCymZF2CrLX39P</v>
      </c>
      <c r="B1849" s="4"/>
      <c r="C1849" s="4" t="s">
        <v>5321</v>
      </c>
      <c r="D1849" s="4">
        <v>49995.0</v>
      </c>
      <c r="E1849" s="4"/>
      <c r="F1849" s="4">
        <v>1.0</v>
      </c>
      <c r="G1849" s="4">
        <v>99.0</v>
      </c>
      <c r="H1849" s="4"/>
      <c r="I1849" s="4">
        <v>99.0</v>
      </c>
      <c r="J1849" s="4" t="s">
        <v>5364</v>
      </c>
      <c r="K1849" s="6">
        <f t="shared" si="9"/>
        <v>917999996564</v>
      </c>
      <c r="L1849" s="4" t="str">
        <f t="shared" si="1"/>
        <v>loveleensidhu95@gmail.com917999996564</v>
      </c>
      <c r="M1849" s="10" t="s">
        <v>67</v>
      </c>
      <c r="N1849" s="4" t="b">
        <v>0</v>
      </c>
      <c r="O1849" s="4" t="str">
        <f>VLOOKUP(A1849,payment_ids!D:E,2,FALSE)</f>
        <v>card</v>
      </c>
      <c r="P1849" s="4" t="s">
        <v>69</v>
      </c>
      <c r="Q1849" s="4" t="s">
        <v>5366</v>
      </c>
      <c r="R1849" s="4"/>
      <c r="S1849" s="12" t="s">
        <v>5323</v>
      </c>
      <c r="T1849" s="4"/>
      <c r="U1849" s="5"/>
      <c r="V1849" s="11"/>
      <c r="W1849" s="5"/>
      <c r="X1849" s="11"/>
      <c r="Y1849" s="4"/>
      <c r="Z1849" s="5"/>
      <c r="AA1849" s="5"/>
      <c r="AB1849" s="4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</row>
    <row r="1850">
      <c r="A1850" s="4" t="str">
        <f>VLOOKUP(L1850,payment_ids!C:D,2,FALSE)</f>
        <v>pay_HDMqyh4zbCDMx9</v>
      </c>
      <c r="B1850" s="4"/>
      <c r="C1850" s="4" t="s">
        <v>5321</v>
      </c>
      <c r="D1850" s="4">
        <v>49995.0</v>
      </c>
      <c r="E1850" s="4"/>
      <c r="F1850" s="4">
        <v>6.0</v>
      </c>
      <c r="G1850" s="4">
        <v>349.0</v>
      </c>
      <c r="H1850" s="4"/>
      <c r="I1850" s="4">
        <v>349.0</v>
      </c>
      <c r="J1850" s="4" t="s">
        <v>5367</v>
      </c>
      <c r="K1850" s="6">
        <f>+919870589666</f>
        <v>919870589666</v>
      </c>
      <c r="L1850" s="4" t="str">
        <f t="shared" si="1"/>
        <v>shivani.nirupam@gmail.com919870589666</v>
      </c>
      <c r="M1850" s="10" t="s">
        <v>67</v>
      </c>
      <c r="N1850" s="4" t="b">
        <v>0</v>
      </c>
      <c r="O1850" s="4" t="str">
        <f>VLOOKUP(A1850,payment_ids!D:E,2,FALSE)</f>
        <v>card</v>
      </c>
      <c r="P1850" s="4" t="s">
        <v>69</v>
      </c>
      <c r="Q1850" s="4" t="s">
        <v>5368</v>
      </c>
      <c r="R1850" s="4"/>
      <c r="S1850" s="12" t="s">
        <v>5323</v>
      </c>
      <c r="T1850" s="4"/>
      <c r="U1850" s="4"/>
      <c r="V1850" s="11"/>
      <c r="W1850" s="5"/>
      <c r="X1850" s="11"/>
      <c r="Y1850" s="4"/>
      <c r="Z1850" s="5"/>
      <c r="AA1850" s="4"/>
      <c r="AB1850" s="4"/>
      <c r="AC1850" s="4"/>
      <c r="AD1850" s="5"/>
      <c r="AE1850" s="5"/>
      <c r="AF1850" s="5"/>
      <c r="AG1850" s="5"/>
      <c r="AH1850" s="5"/>
      <c r="AI1850" s="5"/>
      <c r="AJ1850" s="5"/>
      <c r="AK1850" s="5"/>
      <c r="AL1850" s="5"/>
    </row>
    <row r="1851">
      <c r="A1851" s="4" t="str">
        <f>VLOOKUP(L1851,payment_ids!C:D,2,FALSE)</f>
        <v>pay_HDNF5ZAEoAQEzb</v>
      </c>
      <c r="B1851" s="4"/>
      <c r="C1851" s="4" t="s">
        <v>5321</v>
      </c>
      <c r="D1851" s="4">
        <v>49995.0</v>
      </c>
      <c r="E1851" s="4"/>
      <c r="F1851" s="4">
        <v>1.0</v>
      </c>
      <c r="G1851" s="4">
        <v>99.0</v>
      </c>
      <c r="H1851" s="4"/>
      <c r="I1851" s="4">
        <v>99.0</v>
      </c>
      <c r="J1851" s="4" t="s">
        <v>5369</v>
      </c>
      <c r="K1851" s="6">
        <f>+918007969876</f>
        <v>918007969876</v>
      </c>
      <c r="L1851" s="4" t="str">
        <f t="shared" si="1"/>
        <v>rakshi.shetty7@gmail.com918007969876</v>
      </c>
      <c r="M1851" s="10" t="s">
        <v>67</v>
      </c>
      <c r="N1851" s="4" t="b">
        <v>0</v>
      </c>
      <c r="O1851" s="4" t="str">
        <f>VLOOKUP(A1851,payment_ids!D:E,2,FALSE)</f>
        <v>upi</v>
      </c>
      <c r="P1851" s="4" t="s">
        <v>69</v>
      </c>
      <c r="Q1851" s="4" t="s">
        <v>5370</v>
      </c>
      <c r="R1851" s="4"/>
      <c r="S1851" s="12" t="s">
        <v>5323</v>
      </c>
      <c r="T1851" s="4"/>
      <c r="U1851" s="4"/>
      <c r="V1851" s="11"/>
      <c r="W1851" s="5"/>
      <c r="X1851" s="11"/>
      <c r="Y1851" s="4"/>
      <c r="Z1851" s="5"/>
      <c r="AA1851" s="4"/>
      <c r="AB1851" s="4"/>
      <c r="AC1851" s="4"/>
      <c r="AD1851" s="5"/>
      <c r="AE1851" s="5"/>
      <c r="AF1851" s="5"/>
      <c r="AG1851" s="5"/>
      <c r="AH1851" s="5"/>
      <c r="AI1851" s="5"/>
      <c r="AJ1851" s="5"/>
      <c r="AK1851" s="5"/>
      <c r="AL1851" s="5"/>
    </row>
    <row r="1852">
      <c r="A1852" s="4" t="str">
        <f>VLOOKUP(L1852,payment_ids!C:D,2,FALSE)</f>
        <v>pay_HDQSOpHPXWR7Gy</v>
      </c>
      <c r="B1852" s="4"/>
      <c r="C1852" s="4" t="s">
        <v>5321</v>
      </c>
      <c r="D1852" s="4">
        <v>49995.0</v>
      </c>
      <c r="E1852" s="4"/>
      <c r="F1852" s="4">
        <v>6.0</v>
      </c>
      <c r="G1852" s="4">
        <v>349.0</v>
      </c>
      <c r="H1852" s="4"/>
      <c r="I1852" s="4">
        <v>349.0</v>
      </c>
      <c r="J1852" s="4" t="s">
        <v>5371</v>
      </c>
      <c r="K1852" s="6">
        <f>+917567075433</f>
        <v>917567075433</v>
      </c>
      <c r="L1852" s="4" t="str">
        <f t="shared" si="1"/>
        <v>kavitathakur59@yahoo.com917567075433</v>
      </c>
      <c r="M1852" s="10" t="s">
        <v>67</v>
      </c>
      <c r="N1852" s="4" t="b">
        <v>0</v>
      </c>
      <c r="O1852" s="4" t="str">
        <f>VLOOKUP(A1852,payment_ids!D:E,2,FALSE)</f>
        <v>upi</v>
      </c>
      <c r="P1852" s="4" t="s">
        <v>69</v>
      </c>
      <c r="Q1852" s="4" t="s">
        <v>5372</v>
      </c>
      <c r="R1852" s="4"/>
      <c r="S1852" s="12" t="s">
        <v>5323</v>
      </c>
      <c r="T1852" s="4"/>
      <c r="U1852" s="4"/>
      <c r="V1852" s="11"/>
      <c r="W1852" s="5"/>
      <c r="X1852" s="11"/>
      <c r="Y1852" s="4"/>
      <c r="Z1852" s="5"/>
      <c r="AA1852" s="4"/>
      <c r="AB1852" s="4"/>
      <c r="AC1852" s="4"/>
      <c r="AD1852" s="5"/>
      <c r="AE1852" s="5"/>
      <c r="AF1852" s="5"/>
      <c r="AG1852" s="5"/>
      <c r="AH1852" s="5"/>
      <c r="AI1852" s="5"/>
      <c r="AJ1852" s="5"/>
      <c r="AK1852" s="5"/>
      <c r="AL1852" s="5"/>
    </row>
    <row r="1853">
      <c r="A1853" s="4" t="str">
        <f>VLOOKUP(L1853,payment_ids!C:D,2,FALSE)</f>
        <v>pay_HDgXVyb21TjTIm</v>
      </c>
      <c r="B1853" s="4"/>
      <c r="C1853" s="4" t="s">
        <v>5321</v>
      </c>
      <c r="D1853" s="4">
        <v>49995.0</v>
      </c>
      <c r="E1853" s="4"/>
      <c r="F1853" s="4">
        <v>3.0</v>
      </c>
      <c r="G1853" s="4">
        <v>199.0</v>
      </c>
      <c r="H1853" s="4"/>
      <c r="I1853" s="4">
        <v>199.0</v>
      </c>
      <c r="J1853" s="4" t="s">
        <v>5373</v>
      </c>
      <c r="K1853" s="6">
        <f>+918287105839</f>
        <v>918287105839</v>
      </c>
      <c r="L1853" s="4" t="str">
        <f t="shared" si="1"/>
        <v>simranksnet@gmail.com918287105839</v>
      </c>
      <c r="M1853" s="10" t="s">
        <v>67</v>
      </c>
      <c r="N1853" s="4" t="b">
        <v>0</v>
      </c>
      <c r="O1853" s="4" t="str">
        <f>VLOOKUP(A1853,payment_ids!D:E,2,FALSE)</f>
        <v>upi</v>
      </c>
      <c r="P1853" s="4" t="s">
        <v>69</v>
      </c>
      <c r="Q1853" s="4" t="s">
        <v>5374</v>
      </c>
      <c r="R1853" s="4"/>
      <c r="S1853" s="12" t="s">
        <v>5323</v>
      </c>
      <c r="T1853" s="4"/>
      <c r="U1853" s="4"/>
      <c r="V1853" s="11"/>
      <c r="W1853" s="5"/>
      <c r="X1853" s="11"/>
      <c r="Y1853" s="4"/>
      <c r="Z1853" s="5"/>
      <c r="AA1853" s="4"/>
      <c r="AB1853" s="4"/>
      <c r="AC1853" s="4"/>
      <c r="AD1853" s="5"/>
      <c r="AE1853" s="5"/>
      <c r="AF1853" s="5"/>
      <c r="AG1853" s="5"/>
      <c r="AH1853" s="5"/>
      <c r="AI1853" s="5"/>
      <c r="AJ1853" s="5"/>
      <c r="AK1853" s="5"/>
      <c r="AL1853" s="5"/>
    </row>
    <row r="1854">
      <c r="A1854" s="4" t="str">
        <f>VLOOKUP(L1854,payment_ids!C:D,2,FALSE)</f>
        <v>pay_HDhM1VJmxxXyCu</v>
      </c>
      <c r="B1854" s="4"/>
      <c r="C1854" s="4" t="s">
        <v>5321</v>
      </c>
      <c r="D1854" s="4">
        <v>49995.0</v>
      </c>
      <c r="E1854" s="4"/>
      <c r="F1854" s="4">
        <v>1.0</v>
      </c>
      <c r="G1854" s="4">
        <v>99.0</v>
      </c>
      <c r="H1854" s="4"/>
      <c r="I1854" s="4">
        <v>99.0</v>
      </c>
      <c r="J1854" s="4" t="s">
        <v>5375</v>
      </c>
      <c r="K1854" s="6">
        <f>+919366050662</f>
        <v>919366050662</v>
      </c>
      <c r="L1854" s="4" t="str">
        <f t="shared" si="1"/>
        <v>atunoyalie01dec@gmail.com919366050662</v>
      </c>
      <c r="M1854" s="10" t="s">
        <v>67</v>
      </c>
      <c r="N1854" s="4" t="b">
        <v>0</v>
      </c>
      <c r="O1854" s="4" t="str">
        <f>VLOOKUP(A1854,payment_ids!D:E,2,FALSE)</f>
        <v>card</v>
      </c>
      <c r="P1854" s="4" t="s">
        <v>69</v>
      </c>
      <c r="Q1854" s="4" t="s">
        <v>5376</v>
      </c>
      <c r="R1854" s="4"/>
      <c r="S1854" s="12" t="s">
        <v>5323</v>
      </c>
      <c r="T1854" s="4"/>
      <c r="U1854" s="4"/>
      <c r="V1854" s="11"/>
      <c r="W1854" s="5"/>
      <c r="X1854" s="11"/>
      <c r="Y1854" s="4"/>
      <c r="Z1854" s="5"/>
      <c r="AA1854" s="4"/>
      <c r="AB1854" s="4"/>
      <c r="AC1854" s="4"/>
      <c r="AD1854" s="5"/>
      <c r="AE1854" s="5"/>
      <c r="AF1854" s="5"/>
      <c r="AG1854" s="5"/>
      <c r="AH1854" s="5"/>
      <c r="AI1854" s="5"/>
      <c r="AJ1854" s="5"/>
      <c r="AK1854" s="5"/>
      <c r="AL1854" s="5"/>
    </row>
    <row r="1855">
      <c r="A1855" s="4" t="str">
        <f>VLOOKUP(L1855,payment_ids!C:D,2,FALSE)</f>
        <v>pay_HDih3R3Csh37BG</v>
      </c>
      <c r="B1855" s="4"/>
      <c r="C1855" s="4" t="s">
        <v>5321</v>
      </c>
      <c r="D1855" s="4">
        <v>49995.0</v>
      </c>
      <c r="E1855" s="4"/>
      <c r="F1855" s="4">
        <v>1.0</v>
      </c>
      <c r="G1855" s="4">
        <v>99.0</v>
      </c>
      <c r="H1855" s="4"/>
      <c r="I1855" s="4">
        <v>99.0</v>
      </c>
      <c r="J1855" s="4" t="s">
        <v>5377</v>
      </c>
      <c r="K1855" s="6">
        <f>+918530360909</f>
        <v>918530360909</v>
      </c>
      <c r="L1855" s="4" t="str">
        <f t="shared" si="1"/>
        <v>gandhiharshita@rocketmail.com918530360909</v>
      </c>
      <c r="M1855" s="10" t="s">
        <v>67</v>
      </c>
      <c r="N1855" s="4" t="b">
        <v>0</v>
      </c>
      <c r="O1855" s="4" t="str">
        <f>VLOOKUP(A1855,payment_ids!D:E,2,FALSE)</f>
        <v>upi</v>
      </c>
      <c r="P1855" s="4" t="s">
        <v>69</v>
      </c>
      <c r="Q1855" s="4" t="s">
        <v>5378</v>
      </c>
      <c r="R1855" s="4"/>
      <c r="S1855" s="12" t="s">
        <v>5323</v>
      </c>
      <c r="T1855" s="4"/>
      <c r="U1855" s="4"/>
      <c r="V1855" s="11"/>
      <c r="W1855" s="5"/>
      <c r="X1855" s="11"/>
      <c r="Y1855" s="4"/>
      <c r="Z1855" s="5"/>
      <c r="AA1855" s="4"/>
      <c r="AB1855" s="4"/>
      <c r="AC1855" s="4"/>
      <c r="AD1855" s="5"/>
      <c r="AE1855" s="5"/>
      <c r="AF1855" s="5"/>
      <c r="AG1855" s="5"/>
      <c r="AH1855" s="5"/>
      <c r="AI1855" s="5"/>
      <c r="AJ1855" s="5"/>
      <c r="AK1855" s="5"/>
      <c r="AL1855" s="5"/>
    </row>
    <row r="1856">
      <c r="A1856" s="4" t="str">
        <f>VLOOKUP(L1856,payment_ids!C:D,2,FALSE)</f>
        <v>pay_HDkKyw90mpRjUM</v>
      </c>
      <c r="B1856" s="4"/>
      <c r="C1856" s="4" t="s">
        <v>5321</v>
      </c>
      <c r="D1856" s="4">
        <v>49995.0</v>
      </c>
      <c r="E1856" s="4"/>
      <c r="F1856" s="4">
        <v>3.0</v>
      </c>
      <c r="G1856" s="4">
        <v>199.0</v>
      </c>
      <c r="H1856" s="4"/>
      <c r="I1856" s="4">
        <v>199.0</v>
      </c>
      <c r="J1856" s="4" t="s">
        <v>5379</v>
      </c>
      <c r="K1856" s="6">
        <f>+919873345664</f>
        <v>919873345664</v>
      </c>
      <c r="L1856" s="4" t="str">
        <f t="shared" si="1"/>
        <v>deepaliawasthi.311@gmail.com919873345664</v>
      </c>
      <c r="M1856" s="10" t="s">
        <v>67</v>
      </c>
      <c r="N1856" s="4" t="b">
        <v>0</v>
      </c>
      <c r="O1856" s="4" t="str">
        <f>VLOOKUP(A1856,payment_ids!D:E,2,FALSE)</f>
        <v>upi</v>
      </c>
      <c r="P1856" s="4" t="s">
        <v>69</v>
      </c>
      <c r="Q1856" s="4" t="s">
        <v>5380</v>
      </c>
      <c r="R1856" s="4"/>
      <c r="S1856" s="12" t="s">
        <v>5323</v>
      </c>
      <c r="T1856" s="4"/>
      <c r="U1856" s="4"/>
      <c r="V1856" s="11"/>
      <c r="W1856" s="5"/>
      <c r="X1856" s="11"/>
      <c r="Y1856" s="4"/>
      <c r="Z1856" s="5"/>
      <c r="AA1856" s="4"/>
      <c r="AB1856" s="4"/>
      <c r="AC1856" s="4"/>
      <c r="AD1856" s="5"/>
      <c r="AE1856" s="5"/>
      <c r="AF1856" s="5"/>
      <c r="AG1856" s="5"/>
      <c r="AH1856" s="5"/>
      <c r="AI1856" s="5"/>
      <c r="AJ1856" s="5"/>
      <c r="AK1856" s="5"/>
      <c r="AL1856" s="5"/>
    </row>
    <row r="1857">
      <c r="A1857" s="4" t="str">
        <f>VLOOKUP(L1857,payment_ids!C:D,2,FALSE)</f>
        <v>pay_HCkaT9YX66ZT8j</v>
      </c>
      <c r="B1857" s="4"/>
      <c r="C1857" s="4" t="s">
        <v>5321</v>
      </c>
      <c r="D1857" s="4">
        <v>49995.0</v>
      </c>
      <c r="E1857" s="4"/>
      <c r="F1857" s="4">
        <v>1.0</v>
      </c>
      <c r="G1857" s="4">
        <v>99.0</v>
      </c>
      <c r="H1857" s="4"/>
      <c r="I1857" s="4">
        <v>99.0</v>
      </c>
      <c r="J1857" s="4" t="s">
        <v>5362</v>
      </c>
      <c r="K1857" s="6">
        <f>+919958533813</f>
        <v>919958533813</v>
      </c>
      <c r="L1857" s="4" t="str">
        <f t="shared" si="1"/>
        <v>faceandthefeast@gmail.com919958533813</v>
      </c>
      <c r="M1857" s="10" t="s">
        <v>67</v>
      </c>
      <c r="N1857" s="4" t="b">
        <v>0</v>
      </c>
      <c r="O1857" s="4" t="str">
        <f>VLOOKUP(A1857,payment_ids!D:E,2,FALSE)</f>
        <v>upi</v>
      </c>
      <c r="P1857" s="4" t="s">
        <v>69</v>
      </c>
      <c r="Q1857" s="4" t="s">
        <v>5381</v>
      </c>
      <c r="R1857" s="4"/>
      <c r="S1857" s="12" t="s">
        <v>5323</v>
      </c>
      <c r="T1857" s="4"/>
      <c r="U1857" s="4"/>
      <c r="V1857" s="11"/>
      <c r="W1857" s="5"/>
      <c r="X1857" s="11"/>
      <c r="Y1857" s="4"/>
      <c r="Z1857" s="5"/>
      <c r="AA1857" s="4"/>
      <c r="AB1857" s="4"/>
      <c r="AC1857" s="4"/>
      <c r="AD1857" s="5"/>
      <c r="AE1857" s="5"/>
      <c r="AF1857" s="5"/>
      <c r="AG1857" s="5"/>
      <c r="AH1857" s="5"/>
      <c r="AI1857" s="5"/>
      <c r="AJ1857" s="5"/>
      <c r="AK1857" s="5"/>
      <c r="AL1857" s="5"/>
    </row>
    <row r="1858">
      <c r="A1858" s="4" t="str">
        <f>VLOOKUP(L1858,payment_ids!C:D,2,FALSE)</f>
        <v>pay_HEBt2LUUVKpqDh</v>
      </c>
      <c r="B1858" s="4"/>
      <c r="C1858" s="4" t="s">
        <v>5321</v>
      </c>
      <c r="D1858" s="4">
        <v>49995.0</v>
      </c>
      <c r="E1858" s="4"/>
      <c r="F1858" s="4">
        <v>1.0</v>
      </c>
      <c r="G1858" s="4">
        <v>99.0</v>
      </c>
      <c r="H1858" s="4"/>
      <c r="I1858" s="4">
        <v>99.0</v>
      </c>
      <c r="J1858" s="4" t="s">
        <v>5382</v>
      </c>
      <c r="K1858" s="6">
        <f>+919989403000</f>
        <v>919989403000</v>
      </c>
      <c r="L1858" s="4" t="str">
        <f t="shared" si="1"/>
        <v>sbmraji@gmail.com919989403000</v>
      </c>
      <c r="M1858" s="10" t="s">
        <v>67</v>
      </c>
      <c r="N1858" s="4" t="b">
        <v>0</v>
      </c>
      <c r="O1858" s="4" t="str">
        <f>VLOOKUP(A1858,payment_ids!D:E,2,FALSE)</f>
        <v>upi</v>
      </c>
      <c r="P1858" s="4" t="s">
        <v>69</v>
      </c>
      <c r="Q1858" s="4" t="s">
        <v>5383</v>
      </c>
      <c r="R1858" s="4"/>
      <c r="S1858" s="12" t="s">
        <v>5323</v>
      </c>
      <c r="T1858" s="4"/>
      <c r="U1858" s="4"/>
      <c r="V1858" s="11"/>
      <c r="W1858" s="5"/>
      <c r="X1858" s="11"/>
      <c r="Y1858" s="4"/>
      <c r="Z1858" s="5"/>
      <c r="AA1858" s="4"/>
      <c r="AB1858" s="4"/>
      <c r="AC1858" s="4"/>
      <c r="AD1858" s="5"/>
      <c r="AE1858" s="5"/>
      <c r="AF1858" s="5"/>
      <c r="AG1858" s="5"/>
      <c r="AH1858" s="5"/>
      <c r="AI1858" s="5"/>
      <c r="AJ1858" s="5"/>
      <c r="AK1858" s="5"/>
      <c r="AL1858" s="5"/>
    </row>
    <row r="1859">
      <c r="A1859" s="4" t="str">
        <f>VLOOKUP(L1859,payment_ids!C:D,2,FALSE)</f>
        <v>pay_HECpYFZSxgIf2C</v>
      </c>
      <c r="B1859" s="4"/>
      <c r="C1859" s="4" t="s">
        <v>5321</v>
      </c>
      <c r="D1859" s="4">
        <v>49995.0</v>
      </c>
      <c r="E1859" s="4"/>
      <c r="F1859" s="4">
        <v>1.0</v>
      </c>
      <c r="G1859" s="4">
        <v>99.0</v>
      </c>
      <c r="H1859" s="4"/>
      <c r="I1859" s="4">
        <v>99.0</v>
      </c>
      <c r="J1859" s="4" t="s">
        <v>5384</v>
      </c>
      <c r="K1859" s="6">
        <f>+918131060633</f>
        <v>918131060633</v>
      </c>
      <c r="L1859" s="4" t="str">
        <f t="shared" si="1"/>
        <v>junkee56@gmail.com918131060633</v>
      </c>
      <c r="M1859" s="10" t="s">
        <v>67</v>
      </c>
      <c r="N1859" s="4" t="b">
        <v>0</v>
      </c>
      <c r="O1859" s="4" t="str">
        <f>VLOOKUP(A1859,payment_ids!D:E,2,FALSE)</f>
        <v>upi</v>
      </c>
      <c r="P1859" s="4" t="s">
        <v>69</v>
      </c>
      <c r="Q1859" s="4" t="s">
        <v>5385</v>
      </c>
      <c r="R1859" s="4"/>
      <c r="S1859" s="12" t="s">
        <v>5323</v>
      </c>
      <c r="T1859" s="4"/>
      <c r="U1859" s="4"/>
      <c r="V1859" s="11"/>
      <c r="W1859" s="5"/>
      <c r="X1859" s="11"/>
      <c r="Y1859" s="4"/>
      <c r="Z1859" s="5"/>
      <c r="AA1859" s="4"/>
      <c r="AB1859" s="4"/>
      <c r="AC1859" s="4"/>
      <c r="AD1859" s="5"/>
      <c r="AE1859" s="5"/>
      <c r="AF1859" s="5"/>
      <c r="AG1859" s="5"/>
      <c r="AH1859" s="5"/>
      <c r="AI1859" s="5"/>
      <c r="AJ1859" s="5"/>
      <c r="AK1859" s="5"/>
      <c r="AL1859" s="5"/>
    </row>
    <row r="1860">
      <c r="A1860" s="4" t="str">
        <f>VLOOKUP(L1860,payment_ids!C:D,2,FALSE)</f>
        <v>pay_HEHDqDWJeWwNXe</v>
      </c>
      <c r="B1860" s="4"/>
      <c r="C1860" s="4" t="s">
        <v>5321</v>
      </c>
      <c r="D1860" s="4">
        <v>49995.0</v>
      </c>
      <c r="E1860" s="4"/>
      <c r="F1860" s="4">
        <v>1.0</v>
      </c>
      <c r="G1860" s="4">
        <v>99.0</v>
      </c>
      <c r="H1860" s="4"/>
      <c r="I1860" s="4">
        <v>99.0</v>
      </c>
      <c r="J1860" s="4" t="s">
        <v>5386</v>
      </c>
      <c r="K1860" s="6">
        <f>+919500088992</f>
        <v>919500088992</v>
      </c>
      <c r="L1860" s="4" t="str">
        <f t="shared" si="1"/>
        <v>sandhiyakaruna1997@gmail.com919500088992</v>
      </c>
      <c r="M1860" s="10" t="s">
        <v>67</v>
      </c>
      <c r="N1860" s="4" t="b">
        <v>0</v>
      </c>
      <c r="O1860" s="4" t="str">
        <f>VLOOKUP(A1860,payment_ids!D:E,2,FALSE)</f>
        <v>upi</v>
      </c>
      <c r="P1860" s="4" t="s">
        <v>69</v>
      </c>
      <c r="Q1860" s="4" t="s">
        <v>5387</v>
      </c>
      <c r="R1860" s="4"/>
      <c r="S1860" s="12" t="s">
        <v>5323</v>
      </c>
      <c r="T1860" s="4"/>
      <c r="U1860" s="4"/>
      <c r="V1860" s="11"/>
      <c r="W1860" s="5"/>
      <c r="X1860" s="11"/>
      <c r="Y1860" s="4"/>
      <c r="Z1860" s="5"/>
      <c r="AA1860" s="4"/>
      <c r="AB1860" s="4"/>
      <c r="AC1860" s="4"/>
      <c r="AD1860" s="5"/>
      <c r="AE1860" s="5"/>
      <c r="AF1860" s="5"/>
      <c r="AG1860" s="5"/>
      <c r="AH1860" s="5"/>
      <c r="AI1860" s="5"/>
      <c r="AJ1860" s="5"/>
      <c r="AK1860" s="5"/>
      <c r="AL1860" s="5"/>
    </row>
    <row r="1861">
      <c r="A1861" s="4" t="str">
        <f>VLOOKUP(L1861,payment_ids!C:D,2,FALSE)</f>
        <v>pay_HEW5bzE3iwCjVc</v>
      </c>
      <c r="B1861" s="4"/>
      <c r="C1861" s="4" t="s">
        <v>5321</v>
      </c>
      <c r="D1861" s="4">
        <v>49995.0</v>
      </c>
      <c r="E1861" s="4"/>
      <c r="F1861" s="4">
        <v>1.0</v>
      </c>
      <c r="G1861" s="4">
        <v>99.0</v>
      </c>
      <c r="H1861" s="4"/>
      <c r="I1861" s="4">
        <v>99.0</v>
      </c>
      <c r="J1861" s="4" t="s">
        <v>5388</v>
      </c>
      <c r="K1861" s="6">
        <f>+918860059220</f>
        <v>918860059220</v>
      </c>
      <c r="L1861" s="4" t="str">
        <f t="shared" si="1"/>
        <v>muskansuri06@gmail.com918860059220</v>
      </c>
      <c r="M1861" s="10" t="s">
        <v>67</v>
      </c>
      <c r="N1861" s="4" t="b">
        <v>0</v>
      </c>
      <c r="O1861" s="4" t="str">
        <f>VLOOKUP(A1861,payment_ids!D:E,2,FALSE)</f>
        <v>upi</v>
      </c>
      <c r="P1861" s="4" t="s">
        <v>69</v>
      </c>
      <c r="Q1861" s="4" t="s">
        <v>5389</v>
      </c>
      <c r="R1861" s="4"/>
      <c r="S1861" s="12" t="s">
        <v>5323</v>
      </c>
      <c r="T1861" s="4"/>
      <c r="U1861" s="4"/>
      <c r="V1861" s="11"/>
      <c r="W1861" s="5"/>
      <c r="X1861" s="11"/>
      <c r="Y1861" s="4"/>
      <c r="Z1861" s="5"/>
      <c r="AA1861" s="4"/>
      <c r="AB1861" s="4"/>
      <c r="AC1861" s="4"/>
      <c r="AD1861" s="5"/>
      <c r="AE1861" s="5"/>
      <c r="AF1861" s="5"/>
      <c r="AG1861" s="5"/>
      <c r="AH1861" s="5"/>
      <c r="AI1861" s="5"/>
      <c r="AJ1861" s="5"/>
      <c r="AK1861" s="5"/>
      <c r="AL1861" s="5"/>
    </row>
    <row r="1862">
      <c r="A1862" s="4" t="str">
        <f>VLOOKUP(L1862,payment_ids!C:D,2,FALSE)</f>
        <v>pay_HF7GlatpD1sQkS</v>
      </c>
      <c r="B1862" s="4"/>
      <c r="C1862" s="4" t="s">
        <v>5321</v>
      </c>
      <c r="D1862" s="4">
        <v>49995.0</v>
      </c>
      <c r="E1862" s="5"/>
      <c r="F1862" s="4">
        <v>1.0</v>
      </c>
      <c r="G1862" s="4">
        <v>99.0</v>
      </c>
      <c r="H1862" s="4"/>
      <c r="I1862" s="4">
        <v>99.0</v>
      </c>
      <c r="J1862" s="4" t="s">
        <v>5390</v>
      </c>
      <c r="K1862" s="5">
        <f>+919402108039</f>
        <v>919402108039</v>
      </c>
      <c r="L1862" s="4" t="str">
        <f t="shared" si="1"/>
        <v>basusreedebbarman@gmail.com919402108039</v>
      </c>
      <c r="M1862" s="10" t="s">
        <v>67</v>
      </c>
      <c r="N1862" s="4" t="b">
        <v>0</v>
      </c>
      <c r="O1862" s="4" t="str">
        <f>VLOOKUP(A1862,payment_ids!D:E,2,FALSE)</f>
        <v>upi</v>
      </c>
      <c r="P1862" s="4" t="s">
        <v>69</v>
      </c>
      <c r="Q1862" s="4" t="s">
        <v>5391</v>
      </c>
      <c r="R1862" s="4"/>
      <c r="S1862" s="12" t="s">
        <v>5323</v>
      </c>
      <c r="T1862" s="5"/>
      <c r="U1862" s="4"/>
      <c r="V1862" s="11"/>
      <c r="W1862" s="5"/>
      <c r="X1862" s="11"/>
      <c r="Y1862" s="4"/>
      <c r="Z1862" s="5"/>
      <c r="AA1862" s="4"/>
      <c r="AB1862" s="4"/>
      <c r="AC1862" s="4"/>
      <c r="AD1862" s="5"/>
      <c r="AE1862" s="5"/>
      <c r="AF1862" s="5"/>
      <c r="AG1862" s="5"/>
      <c r="AH1862" s="5"/>
      <c r="AI1862" s="5"/>
      <c r="AJ1862" s="5"/>
      <c r="AK1862" s="5"/>
      <c r="AL1862" s="5"/>
    </row>
    <row r="1863">
      <c r="A1863" s="4" t="str">
        <f>VLOOKUP(L1863,payment_ids!C:D,2,FALSE)</f>
        <v>pay_HFJd8wuIrcSeeD</v>
      </c>
      <c r="B1863" s="4"/>
      <c r="C1863" s="4" t="s">
        <v>5321</v>
      </c>
      <c r="D1863" s="4">
        <v>49995.0</v>
      </c>
      <c r="E1863" s="5"/>
      <c r="F1863" s="4">
        <v>1.0</v>
      </c>
      <c r="G1863" s="4">
        <v>99.0</v>
      </c>
      <c r="H1863" s="4"/>
      <c r="I1863" s="4">
        <v>99.0</v>
      </c>
      <c r="J1863" s="4" t="s">
        <v>5392</v>
      </c>
      <c r="K1863" s="5">
        <f>+917083544581</f>
        <v>917083544581</v>
      </c>
      <c r="L1863" s="4" t="str">
        <f t="shared" si="1"/>
        <v>kinnarigky6@gmail.com917083544581</v>
      </c>
      <c r="M1863" s="10" t="s">
        <v>67</v>
      </c>
      <c r="N1863" s="4" t="b">
        <v>0</v>
      </c>
      <c r="O1863" s="4" t="str">
        <f>VLOOKUP(A1863,payment_ids!D:E,2,FALSE)</f>
        <v>card</v>
      </c>
      <c r="P1863" s="4" t="s">
        <v>69</v>
      </c>
      <c r="Q1863" s="4" t="s">
        <v>5393</v>
      </c>
      <c r="R1863" s="4"/>
      <c r="S1863" s="12" t="s">
        <v>5323</v>
      </c>
      <c r="T1863" s="5"/>
      <c r="U1863" s="4"/>
      <c r="V1863" s="11"/>
      <c r="W1863" s="5"/>
      <c r="X1863" s="11"/>
      <c r="Y1863" s="4"/>
      <c r="Z1863" s="5"/>
      <c r="AA1863" s="4"/>
      <c r="AB1863" s="4"/>
      <c r="AC1863" s="4"/>
      <c r="AD1863" s="5"/>
      <c r="AE1863" s="5"/>
      <c r="AF1863" s="5"/>
      <c r="AG1863" s="5"/>
      <c r="AH1863" s="5"/>
      <c r="AI1863" s="5"/>
      <c r="AJ1863" s="5"/>
      <c r="AK1863" s="5"/>
      <c r="AL1863" s="5"/>
    </row>
    <row r="1864">
      <c r="A1864" s="4" t="str">
        <f>VLOOKUP(L1864,payment_ids!C:D,2,FALSE)</f>
        <v>pay_HFS46BabPhcYbH</v>
      </c>
      <c r="B1864" s="4"/>
      <c r="C1864" s="4" t="s">
        <v>5321</v>
      </c>
      <c r="D1864" s="4">
        <v>49995.0</v>
      </c>
      <c r="E1864" s="5"/>
      <c r="F1864" s="4">
        <v>1.0</v>
      </c>
      <c r="G1864" s="4">
        <v>99.0</v>
      </c>
      <c r="H1864" s="4"/>
      <c r="I1864" s="4">
        <v>99.0</v>
      </c>
      <c r="J1864" s="4" t="s">
        <v>5394</v>
      </c>
      <c r="K1864" s="5">
        <f>+918415931367</f>
        <v>918415931367</v>
      </c>
      <c r="L1864" s="4" t="str">
        <f t="shared" si="1"/>
        <v>sandadkhar28@gmail.com918415931367</v>
      </c>
      <c r="M1864" s="10" t="s">
        <v>67</v>
      </c>
      <c r="N1864" s="4" t="b">
        <v>0</v>
      </c>
      <c r="O1864" s="4" t="str">
        <f>VLOOKUP(A1864,payment_ids!D:E,2,FALSE)</f>
        <v>upi</v>
      </c>
      <c r="P1864" s="4" t="s">
        <v>69</v>
      </c>
      <c r="Q1864" s="4" t="s">
        <v>5395</v>
      </c>
      <c r="R1864" s="4"/>
      <c r="S1864" s="12" t="s">
        <v>5323</v>
      </c>
      <c r="T1864" s="5"/>
      <c r="U1864" s="4"/>
      <c r="V1864" s="11"/>
      <c r="W1864" s="5"/>
      <c r="X1864" s="11"/>
      <c r="Y1864" s="4"/>
      <c r="Z1864" s="5"/>
      <c r="AA1864" s="4"/>
      <c r="AB1864" s="4"/>
      <c r="AC1864" s="4"/>
      <c r="AD1864" s="5"/>
      <c r="AE1864" s="5"/>
      <c r="AF1864" s="5"/>
      <c r="AG1864" s="5"/>
      <c r="AH1864" s="5"/>
      <c r="AI1864" s="5"/>
      <c r="AJ1864" s="5"/>
      <c r="AK1864" s="5"/>
      <c r="AL1864" s="5"/>
    </row>
    <row r="1865">
      <c r="A1865" s="4" t="str">
        <f>VLOOKUP(L1865,payment_ids!C:D,2,FALSE)</f>
        <v>pay_HFq96ZwMsfr6xS</v>
      </c>
      <c r="B1865" s="4"/>
      <c r="C1865" s="4" t="s">
        <v>5321</v>
      </c>
      <c r="D1865" s="4">
        <v>49995.0</v>
      </c>
      <c r="E1865" s="5"/>
      <c r="F1865" s="4">
        <v>1.0</v>
      </c>
      <c r="G1865" s="4">
        <v>99.0</v>
      </c>
      <c r="H1865" s="4"/>
      <c r="I1865" s="4">
        <v>99.0</v>
      </c>
      <c r="J1865" s="4" t="s">
        <v>2117</v>
      </c>
      <c r="K1865" s="5">
        <f>+918527077200</f>
        <v>918527077200</v>
      </c>
      <c r="L1865" s="4" t="str">
        <f t="shared" si="1"/>
        <v>trishamittal47@gmail.com918527077200</v>
      </c>
      <c r="M1865" s="10" t="s">
        <v>67</v>
      </c>
      <c r="N1865" s="4" t="b">
        <v>0</v>
      </c>
      <c r="O1865" s="4" t="str">
        <f>VLOOKUP(A1865,payment_ids!D:E,2,FALSE)</f>
        <v>upi</v>
      </c>
      <c r="P1865" s="4" t="s">
        <v>69</v>
      </c>
      <c r="Q1865" s="4" t="s">
        <v>4911</v>
      </c>
      <c r="R1865" s="4"/>
      <c r="S1865" s="12" t="s">
        <v>5323</v>
      </c>
      <c r="T1865" s="5"/>
      <c r="U1865" s="4"/>
      <c r="V1865" s="11"/>
      <c r="W1865" s="5"/>
      <c r="X1865" s="11"/>
      <c r="Y1865" s="4"/>
      <c r="Z1865" s="5"/>
      <c r="AA1865" s="4"/>
      <c r="AB1865" s="4"/>
      <c r="AC1865" s="4"/>
      <c r="AD1865" s="5"/>
      <c r="AE1865" s="5"/>
      <c r="AF1865" s="5"/>
      <c r="AG1865" s="5"/>
      <c r="AH1865" s="5"/>
      <c r="AI1865" s="5"/>
      <c r="AJ1865" s="5"/>
      <c r="AK1865" s="5"/>
      <c r="AL1865" s="5"/>
    </row>
    <row r="1866">
      <c r="A1866" s="4" t="str">
        <f>VLOOKUP(L1866,payment_ids!C:D,2,FALSE)</f>
        <v>pay_HN2DMUBnnQ9K3S</v>
      </c>
      <c r="B1866" s="4"/>
      <c r="C1866" s="4" t="s">
        <v>5321</v>
      </c>
      <c r="D1866" s="4">
        <v>49995.0</v>
      </c>
      <c r="E1866" s="5"/>
      <c r="F1866" s="4">
        <v>1.0</v>
      </c>
      <c r="G1866" s="4">
        <v>99.0</v>
      </c>
      <c r="H1866" s="4"/>
      <c r="I1866" s="4">
        <v>99.0</v>
      </c>
      <c r="J1866" s="4" t="s">
        <v>5396</v>
      </c>
      <c r="K1866" s="5">
        <f>+918375947597</f>
        <v>918375947597</v>
      </c>
      <c r="L1866" s="4" t="str">
        <f t="shared" si="1"/>
        <v>juhi.kumari.5150@gmail.com918375947597</v>
      </c>
      <c r="M1866" s="10" t="s">
        <v>67</v>
      </c>
      <c r="N1866" s="4" t="b">
        <v>0</v>
      </c>
      <c r="O1866" s="4" t="str">
        <f>VLOOKUP(A1866,payment_ids!D:E,2,FALSE)</f>
        <v>upi</v>
      </c>
      <c r="P1866" s="4" t="s">
        <v>69</v>
      </c>
      <c r="Q1866" s="4" t="s">
        <v>5065</v>
      </c>
      <c r="R1866" s="4"/>
      <c r="S1866" s="12" t="s">
        <v>5323</v>
      </c>
      <c r="T1866" s="4" t="s">
        <v>2444</v>
      </c>
      <c r="U1866" s="4"/>
      <c r="V1866" s="11"/>
      <c r="W1866" s="5"/>
      <c r="X1866" s="11"/>
      <c r="Y1866" s="4"/>
      <c r="Z1866" s="5"/>
      <c r="AA1866" s="4"/>
      <c r="AB1866" s="4"/>
      <c r="AC1866" s="4"/>
      <c r="AD1866" s="5"/>
      <c r="AE1866" s="5"/>
      <c r="AF1866" s="5"/>
      <c r="AG1866" s="5"/>
      <c r="AH1866" s="5"/>
      <c r="AI1866" s="5"/>
      <c r="AJ1866" s="5"/>
      <c r="AK1866" s="5"/>
      <c r="AL1866" s="5"/>
    </row>
    <row r="1867">
      <c r="A1867" s="4" t="str">
        <f>VLOOKUP(L1867,payment_ids!C:D,2,FALSE)</f>
        <v>pay_HOT1NWKylgwBv2</v>
      </c>
      <c r="B1867" s="4"/>
      <c r="C1867" s="4" t="s">
        <v>5321</v>
      </c>
      <c r="D1867" s="4">
        <v>49995.0</v>
      </c>
      <c r="E1867" s="5"/>
      <c r="F1867" s="4">
        <v>6.0</v>
      </c>
      <c r="G1867" s="4">
        <v>349.0</v>
      </c>
      <c r="H1867" s="4"/>
      <c r="I1867" s="4">
        <v>349.0</v>
      </c>
      <c r="J1867" s="4" t="s">
        <v>5397</v>
      </c>
      <c r="K1867" s="5">
        <f>+917740084138</f>
        <v>917740084138</v>
      </c>
      <c r="L1867" s="4" t="str">
        <f t="shared" si="1"/>
        <v>tanreetmakeover@gmail.com917740084138</v>
      </c>
      <c r="M1867" s="10" t="s">
        <v>67</v>
      </c>
      <c r="N1867" s="4" t="b">
        <v>0</v>
      </c>
      <c r="O1867" s="4" t="str">
        <f>VLOOKUP(A1867,payment_ids!D:E,2,FALSE)</f>
        <v>upi</v>
      </c>
      <c r="P1867" s="4" t="s">
        <v>69</v>
      </c>
      <c r="Q1867" s="4" t="s">
        <v>5398</v>
      </c>
      <c r="R1867" s="4"/>
      <c r="S1867" s="12" t="s">
        <v>5399</v>
      </c>
      <c r="T1867" s="4" t="s">
        <v>2444</v>
      </c>
      <c r="U1867" s="4"/>
      <c r="V1867" s="11"/>
      <c r="W1867" s="5"/>
      <c r="X1867" s="11"/>
      <c r="Y1867" s="4"/>
      <c r="Z1867" s="5"/>
      <c r="AA1867" s="4"/>
      <c r="AB1867" s="4"/>
      <c r="AC1867" s="4"/>
      <c r="AD1867" s="5"/>
      <c r="AE1867" s="5"/>
      <c r="AF1867" s="5"/>
      <c r="AG1867" s="5"/>
      <c r="AH1867" s="5"/>
      <c r="AI1867" s="5"/>
      <c r="AJ1867" s="5"/>
      <c r="AK1867" s="5"/>
      <c r="AL1867" s="5"/>
    </row>
    <row r="1868">
      <c r="A1868" s="4" t="str">
        <f>VLOOKUP(L1868,payment_ids!C:D,2,FALSE)</f>
        <v>pay_H6mXfd9acT25Mr</v>
      </c>
      <c r="B1868" s="4"/>
      <c r="C1868" s="4" t="s">
        <v>5400</v>
      </c>
      <c r="D1868" s="4">
        <v>50040.0</v>
      </c>
      <c r="E1868" s="4"/>
      <c r="F1868" s="4">
        <v>3.0</v>
      </c>
      <c r="G1868" s="4">
        <v>199.0</v>
      </c>
      <c r="H1868" s="4"/>
      <c r="I1868" s="4">
        <v>199.0</v>
      </c>
      <c r="J1868" s="4" t="s">
        <v>5401</v>
      </c>
      <c r="K1868" s="6">
        <f>+918755661125</f>
        <v>918755661125</v>
      </c>
      <c r="L1868" s="4" t="str">
        <f t="shared" si="1"/>
        <v>drpallawibishnoi@gmail.com918755661125</v>
      </c>
      <c r="M1868" s="10" t="s">
        <v>67</v>
      </c>
      <c r="N1868" s="4" t="b">
        <v>0</v>
      </c>
      <c r="O1868" s="4" t="str">
        <f>VLOOKUP(A1868,payment_ids!D:E,2,FALSE)</f>
        <v>upi</v>
      </c>
      <c r="P1868" s="4" t="s">
        <v>69</v>
      </c>
      <c r="Q1868" s="11">
        <v>44291.91736111111</v>
      </c>
      <c r="R1868" s="4"/>
      <c r="S1868" s="12" t="s">
        <v>5402</v>
      </c>
      <c r="T1868" s="4"/>
      <c r="U1868" s="4"/>
      <c r="V1868" s="11"/>
      <c r="W1868" s="5"/>
      <c r="X1868" s="11"/>
      <c r="Y1868" s="4"/>
      <c r="Z1868" s="5"/>
      <c r="AA1868" s="4"/>
      <c r="AB1868" s="4"/>
      <c r="AC1868" s="4"/>
      <c r="AD1868" s="5"/>
      <c r="AE1868" s="5"/>
      <c r="AF1868" s="5"/>
      <c r="AG1868" s="5"/>
      <c r="AH1868" s="5"/>
      <c r="AI1868" s="5"/>
      <c r="AJ1868" s="5"/>
      <c r="AK1868" s="5"/>
      <c r="AL1868" s="5"/>
    </row>
    <row r="1869">
      <c r="A1869" s="4" t="str">
        <f>VLOOKUP(L1869,payment_ids!C:D,2,FALSE)</f>
        <v>pay_H6mdTBWAVKlggZ</v>
      </c>
      <c r="B1869" s="4"/>
      <c r="C1869" s="4" t="s">
        <v>5400</v>
      </c>
      <c r="D1869" s="4">
        <v>50040.0</v>
      </c>
      <c r="E1869" s="4"/>
      <c r="F1869" s="4">
        <v>1.0</v>
      </c>
      <c r="G1869" s="4">
        <v>99.0</v>
      </c>
      <c r="H1869" s="4"/>
      <c r="I1869" s="4">
        <v>99.0</v>
      </c>
      <c r="J1869" s="4" t="s">
        <v>5403</v>
      </c>
      <c r="K1869" s="6">
        <f>+918109272227</f>
        <v>918109272227</v>
      </c>
      <c r="L1869" s="4" t="str">
        <f t="shared" si="1"/>
        <v>jasleen2892@gmail.com918109272227</v>
      </c>
      <c r="M1869" s="10" t="s">
        <v>67</v>
      </c>
      <c r="N1869" s="4" t="b">
        <v>0</v>
      </c>
      <c r="O1869" s="4" t="str">
        <f>VLOOKUP(A1869,payment_ids!D:E,2,FALSE)</f>
        <v>upi</v>
      </c>
      <c r="P1869" s="4" t="s">
        <v>69</v>
      </c>
      <c r="Q1869" s="11">
        <v>44291.92152777778</v>
      </c>
      <c r="R1869" s="4"/>
      <c r="S1869" s="12" t="s">
        <v>5402</v>
      </c>
      <c r="T1869" s="4"/>
      <c r="U1869" s="4"/>
      <c r="V1869" s="11"/>
      <c r="W1869" s="5"/>
      <c r="X1869" s="11"/>
      <c r="Y1869" s="4"/>
      <c r="Z1869" s="5"/>
      <c r="AA1869" s="4"/>
      <c r="AB1869" s="4"/>
      <c r="AC1869" s="4"/>
      <c r="AD1869" s="5"/>
      <c r="AE1869" s="5"/>
      <c r="AF1869" s="5"/>
      <c r="AG1869" s="5"/>
      <c r="AH1869" s="5"/>
      <c r="AI1869" s="5"/>
      <c r="AJ1869" s="5"/>
      <c r="AK1869" s="5"/>
      <c r="AL1869" s="5"/>
    </row>
    <row r="1870">
      <c r="A1870" s="4" t="str">
        <f>VLOOKUP(L1870,payment_ids!C:D,2,FALSE)</f>
        <v>pay_H7XqtdTkWtm29O</v>
      </c>
      <c r="B1870" s="4"/>
      <c r="C1870" s="4" t="s">
        <v>5400</v>
      </c>
      <c r="D1870" s="4">
        <v>50040.0</v>
      </c>
      <c r="E1870" s="4"/>
      <c r="F1870" s="4">
        <v>3.0</v>
      </c>
      <c r="G1870" s="4">
        <v>199.0</v>
      </c>
      <c r="H1870" s="4"/>
      <c r="I1870" s="4">
        <v>199.0</v>
      </c>
      <c r="J1870" s="4" t="s">
        <v>5404</v>
      </c>
      <c r="K1870" s="6">
        <f>+919711990351</f>
        <v>919711990351</v>
      </c>
      <c r="L1870" s="4" t="str">
        <f t="shared" si="1"/>
        <v>meghavirdi89@gmail.com919711990351</v>
      </c>
      <c r="M1870" s="10" t="s">
        <v>67</v>
      </c>
      <c r="N1870" s="4" t="b">
        <v>0</v>
      </c>
      <c r="O1870" s="4" t="str">
        <f>VLOOKUP(A1870,payment_ids!D:E,2,FALSE)</f>
        <v>upi</v>
      </c>
      <c r="P1870" s="4" t="s">
        <v>69</v>
      </c>
      <c r="Q1870" s="11">
        <v>44352.84652777778</v>
      </c>
      <c r="R1870" s="4"/>
      <c r="S1870" s="12" t="s">
        <v>5402</v>
      </c>
      <c r="T1870" s="4"/>
      <c r="U1870" s="4"/>
      <c r="V1870" s="11"/>
      <c r="W1870" s="5"/>
      <c r="X1870" s="11"/>
      <c r="Y1870" s="4"/>
      <c r="Z1870" s="5"/>
      <c r="AA1870" s="4"/>
      <c r="AB1870" s="4"/>
      <c r="AC1870" s="4"/>
      <c r="AD1870" s="5"/>
      <c r="AE1870" s="5"/>
      <c r="AF1870" s="5"/>
      <c r="AG1870" s="5"/>
      <c r="AH1870" s="5"/>
      <c r="AI1870" s="5"/>
      <c r="AJ1870" s="5"/>
      <c r="AK1870" s="5"/>
      <c r="AL1870" s="5"/>
    </row>
    <row r="1871">
      <c r="A1871" s="4" t="str">
        <f>VLOOKUP(L1871,payment_ids!C:D,2,FALSE)</f>
        <v>pay_H7paykaRKhXVQM</v>
      </c>
      <c r="B1871" s="4"/>
      <c r="C1871" s="4" t="s">
        <v>5400</v>
      </c>
      <c r="D1871" s="4">
        <v>50040.0</v>
      </c>
      <c r="E1871" s="4"/>
      <c r="F1871" s="4">
        <v>1.0</v>
      </c>
      <c r="G1871" s="4">
        <v>99.0</v>
      </c>
      <c r="H1871" s="4"/>
      <c r="I1871" s="4">
        <v>99.0</v>
      </c>
      <c r="J1871" s="4" t="s">
        <v>5405</v>
      </c>
      <c r="K1871" s="6">
        <f>+918888306660</f>
        <v>918888306660</v>
      </c>
      <c r="L1871" s="4" t="str">
        <f t="shared" si="1"/>
        <v>ashwineemodak2006@gmail.com918888306660</v>
      </c>
      <c r="M1871" s="10" t="s">
        <v>67</v>
      </c>
      <c r="N1871" s="4" t="b">
        <v>0</v>
      </c>
      <c r="O1871" s="4" t="str">
        <f>VLOOKUP(A1871,payment_ids!D:E,2,FALSE)</f>
        <v>card</v>
      </c>
      <c r="P1871" s="4" t="s">
        <v>69</v>
      </c>
      <c r="Q1871" s="11">
        <v>44382.56875</v>
      </c>
      <c r="R1871" s="4"/>
      <c r="S1871" s="12" t="s">
        <v>5402</v>
      </c>
      <c r="T1871" s="4"/>
      <c r="U1871" s="4"/>
      <c r="V1871" s="11"/>
      <c r="W1871" s="5"/>
      <c r="X1871" s="11"/>
      <c r="Y1871" s="4"/>
      <c r="Z1871" s="5"/>
      <c r="AA1871" s="4"/>
      <c r="AB1871" s="4"/>
      <c r="AC1871" s="4"/>
      <c r="AD1871" s="5"/>
      <c r="AE1871" s="5"/>
      <c r="AF1871" s="5"/>
      <c r="AG1871" s="5"/>
      <c r="AH1871" s="5"/>
      <c r="AI1871" s="5"/>
      <c r="AJ1871" s="5"/>
      <c r="AK1871" s="5"/>
      <c r="AL1871" s="5"/>
    </row>
    <row r="1872">
      <c r="A1872" s="4" t="str">
        <f>VLOOKUP(L1872,payment_ids!C:D,2,FALSE)</f>
        <v>pay_H7zbYafq7t9bQ5</v>
      </c>
      <c r="B1872" s="4"/>
      <c r="C1872" s="4" t="s">
        <v>5400</v>
      </c>
      <c r="D1872" s="4">
        <v>50040.0</v>
      </c>
      <c r="E1872" s="4"/>
      <c r="F1872" s="4">
        <v>1.0</v>
      </c>
      <c r="G1872" s="4">
        <v>99.0</v>
      </c>
      <c r="H1872" s="4"/>
      <c r="I1872" s="4">
        <v>99.0</v>
      </c>
      <c r="J1872" s="4" t="s">
        <v>5406</v>
      </c>
      <c r="K1872" s="6">
        <f>+919788178548</f>
        <v>919788178548</v>
      </c>
      <c r="L1872" s="4" t="str">
        <f t="shared" si="1"/>
        <v>gowsisekar.29@yahoo.com919788178548</v>
      </c>
      <c r="M1872" s="10" t="s">
        <v>67</v>
      </c>
      <c r="N1872" s="4" t="b">
        <v>0</v>
      </c>
      <c r="O1872" s="4" t="str">
        <f>VLOOKUP(A1872,payment_ids!D:E,2,FALSE)</f>
        <v>upi</v>
      </c>
      <c r="P1872" s="4" t="s">
        <v>69</v>
      </c>
      <c r="Q1872" s="11">
        <v>44382.97777777778</v>
      </c>
      <c r="R1872" s="4"/>
      <c r="S1872" s="12" t="s">
        <v>5402</v>
      </c>
      <c r="T1872" s="4"/>
      <c r="U1872" s="4"/>
      <c r="V1872" s="11"/>
      <c r="W1872" s="5"/>
      <c r="X1872" s="11"/>
      <c r="Y1872" s="4"/>
      <c r="Z1872" s="5"/>
      <c r="AA1872" s="4"/>
      <c r="AB1872" s="4"/>
      <c r="AC1872" s="4"/>
      <c r="AD1872" s="5"/>
      <c r="AE1872" s="5"/>
      <c r="AF1872" s="5"/>
      <c r="AG1872" s="5"/>
      <c r="AH1872" s="5"/>
      <c r="AI1872" s="5"/>
      <c r="AJ1872" s="5"/>
      <c r="AK1872" s="5"/>
      <c r="AL1872" s="5"/>
    </row>
    <row r="1873">
      <c r="A1873" s="4" t="str">
        <f>VLOOKUP(L1873,payment_ids!C:D,2,FALSE)</f>
        <v>pay_H8MbgYzXPwCAvF</v>
      </c>
      <c r="B1873" s="4"/>
      <c r="C1873" s="4" t="s">
        <v>5400</v>
      </c>
      <c r="D1873" s="4">
        <v>50040.0</v>
      </c>
      <c r="E1873" s="4"/>
      <c r="F1873" s="4">
        <v>1.0</v>
      </c>
      <c r="G1873" s="4">
        <v>99.0</v>
      </c>
      <c r="H1873" s="4"/>
      <c r="I1873" s="4">
        <v>99.0</v>
      </c>
      <c r="J1873" s="4" t="s">
        <v>5407</v>
      </c>
      <c r="K1873" s="6">
        <f>+918806098215</f>
        <v>918806098215</v>
      </c>
      <c r="L1873" s="4" t="str">
        <f t="shared" si="1"/>
        <v>amrutachavan306@gmail.com918806098215</v>
      </c>
      <c r="M1873" s="10" t="s">
        <v>67</v>
      </c>
      <c r="N1873" s="4" t="b">
        <v>0</v>
      </c>
      <c r="O1873" s="4" t="str">
        <f>VLOOKUP(A1873,payment_ids!D:E,2,FALSE)</f>
        <v>upi</v>
      </c>
      <c r="P1873" s="4" t="s">
        <v>69</v>
      </c>
      <c r="Q1873" s="11">
        <v>44413.91458333333</v>
      </c>
      <c r="R1873" s="4"/>
      <c r="S1873" s="12" t="s">
        <v>5402</v>
      </c>
      <c r="T1873" s="4"/>
      <c r="U1873" s="4"/>
      <c r="V1873" s="11"/>
      <c r="W1873" s="5"/>
      <c r="X1873" s="11"/>
      <c r="Y1873" s="4"/>
      <c r="Z1873" s="5"/>
      <c r="AA1873" s="4"/>
      <c r="AB1873" s="4"/>
      <c r="AC1873" s="4"/>
      <c r="AD1873" s="5"/>
      <c r="AE1873" s="5"/>
      <c r="AF1873" s="5"/>
      <c r="AG1873" s="5"/>
      <c r="AH1873" s="5"/>
      <c r="AI1873" s="5"/>
      <c r="AJ1873" s="5"/>
      <c r="AK1873" s="5"/>
      <c r="AL1873" s="5"/>
    </row>
    <row r="1874">
      <c r="A1874" s="4" t="str">
        <f>VLOOKUP(L1874,payment_ids!C:D,2,FALSE)</f>
        <v>pay_H8uIboerh1MQX3</v>
      </c>
      <c r="B1874" s="4"/>
      <c r="C1874" s="4" t="s">
        <v>5400</v>
      </c>
      <c r="D1874" s="4">
        <v>50040.0</v>
      </c>
      <c r="E1874" s="4"/>
      <c r="F1874" s="4">
        <v>1.0</v>
      </c>
      <c r="G1874" s="4">
        <v>99.0</v>
      </c>
      <c r="H1874" s="4"/>
      <c r="I1874" s="4">
        <v>99.0</v>
      </c>
      <c r="J1874" s="4" t="s">
        <v>5408</v>
      </c>
      <c r="K1874" s="6">
        <f>+919916909335</f>
        <v>919916909335</v>
      </c>
      <c r="L1874" s="4" t="str">
        <f t="shared" si="1"/>
        <v>satheeshurs@gmail.com919916909335</v>
      </c>
      <c r="M1874" s="10" t="s">
        <v>67</v>
      </c>
      <c r="N1874" s="4" t="b">
        <v>0</v>
      </c>
      <c r="O1874" s="4" t="str">
        <f>VLOOKUP(A1874,payment_ids!D:E,2,FALSE)</f>
        <v>upi</v>
      </c>
      <c r="P1874" s="4" t="s">
        <v>69</v>
      </c>
      <c r="Q1874" s="11">
        <v>44474.2875</v>
      </c>
      <c r="R1874" s="4"/>
      <c r="S1874" s="12" t="s">
        <v>5402</v>
      </c>
      <c r="T1874" s="4"/>
      <c r="U1874" s="4"/>
      <c r="V1874" s="11"/>
      <c r="W1874" s="5"/>
      <c r="X1874" s="11"/>
      <c r="Y1874" s="4"/>
      <c r="Z1874" s="5"/>
      <c r="AA1874" s="4"/>
      <c r="AB1874" s="4"/>
      <c r="AC1874" s="4"/>
      <c r="AD1874" s="5"/>
      <c r="AE1874" s="5"/>
      <c r="AF1874" s="5"/>
      <c r="AG1874" s="5"/>
      <c r="AH1874" s="5"/>
      <c r="AI1874" s="5"/>
      <c r="AJ1874" s="5"/>
      <c r="AK1874" s="5"/>
      <c r="AL1874" s="5"/>
    </row>
    <row r="1875">
      <c r="A1875" s="4" t="str">
        <f>VLOOKUP(L1875,payment_ids!C:D,2,FALSE)</f>
        <v>pay_HB1TmEaokJrrRi</v>
      </c>
      <c r="B1875" s="4"/>
      <c r="C1875" s="4" t="s">
        <v>5400</v>
      </c>
      <c r="D1875" s="4">
        <v>50040.0</v>
      </c>
      <c r="E1875" s="4"/>
      <c r="F1875" s="4">
        <v>1.0</v>
      </c>
      <c r="G1875" s="4">
        <v>99.0</v>
      </c>
      <c r="H1875" s="4"/>
      <c r="I1875" s="4">
        <v>99.0</v>
      </c>
      <c r="J1875" s="4" t="s">
        <v>5409</v>
      </c>
      <c r="K1875" s="6">
        <f>+919818251764</f>
        <v>919818251764</v>
      </c>
      <c r="L1875" s="4" t="str">
        <f t="shared" si="1"/>
        <v>gaursam@yahoo.in919818251764</v>
      </c>
      <c r="M1875" s="10" t="s">
        <v>67</v>
      </c>
      <c r="N1875" s="4" t="b">
        <v>0</v>
      </c>
      <c r="O1875" s="4" t="str">
        <f>VLOOKUP(A1875,payment_ids!D:E,2,FALSE)</f>
        <v>card</v>
      </c>
      <c r="P1875" s="4" t="s">
        <v>69</v>
      </c>
      <c r="Q1875" s="4" t="s">
        <v>5410</v>
      </c>
      <c r="R1875" s="4"/>
      <c r="S1875" s="12" t="s">
        <v>5402</v>
      </c>
      <c r="T1875" s="4"/>
      <c r="U1875" s="4"/>
      <c r="V1875" s="11"/>
      <c r="W1875" s="5"/>
      <c r="X1875" s="11"/>
      <c r="Y1875" s="4"/>
      <c r="Z1875" s="5"/>
      <c r="AA1875" s="4"/>
      <c r="AB1875" s="4"/>
      <c r="AC1875" s="4"/>
      <c r="AD1875" s="5"/>
      <c r="AE1875" s="5"/>
      <c r="AF1875" s="5"/>
      <c r="AG1875" s="5"/>
      <c r="AH1875" s="5"/>
      <c r="AI1875" s="5"/>
      <c r="AJ1875" s="5"/>
      <c r="AK1875" s="5"/>
      <c r="AL1875" s="5"/>
    </row>
    <row r="1876">
      <c r="A1876" s="4" t="str">
        <f>VLOOKUP(L1876,payment_ids!C:D,2,FALSE)</f>
        <v>pay_HB4w8R6mpIKb29</v>
      </c>
      <c r="B1876" s="4"/>
      <c r="C1876" s="4" t="s">
        <v>5400</v>
      </c>
      <c r="D1876" s="4">
        <v>50040.0</v>
      </c>
      <c r="E1876" s="4"/>
      <c r="F1876" s="4">
        <v>3.0</v>
      </c>
      <c r="G1876" s="4">
        <v>199.0</v>
      </c>
      <c r="H1876" s="4"/>
      <c r="I1876" s="4">
        <v>199.0</v>
      </c>
      <c r="J1876" s="4" t="s">
        <v>5411</v>
      </c>
      <c r="K1876" s="6">
        <f>+919999769481</f>
        <v>919999769481</v>
      </c>
      <c r="L1876" s="4" t="str">
        <f t="shared" si="1"/>
        <v>kushwah.akansha@gmail.com919999769481</v>
      </c>
      <c r="M1876" s="10" t="s">
        <v>67</v>
      </c>
      <c r="N1876" s="4" t="b">
        <v>0</v>
      </c>
      <c r="O1876" s="4" t="str">
        <f>VLOOKUP(A1876,payment_ids!D:E,2,FALSE)</f>
        <v>upi</v>
      </c>
      <c r="P1876" s="4" t="s">
        <v>69</v>
      </c>
      <c r="Q1876" s="4" t="s">
        <v>2937</v>
      </c>
      <c r="R1876" s="4"/>
      <c r="S1876" s="12" t="s">
        <v>5402</v>
      </c>
      <c r="T1876" s="4"/>
      <c r="U1876" s="4"/>
      <c r="V1876" s="11"/>
      <c r="W1876" s="5"/>
      <c r="X1876" s="11"/>
      <c r="Y1876" s="4"/>
      <c r="Z1876" s="5"/>
      <c r="AA1876" s="4"/>
      <c r="AB1876" s="4"/>
      <c r="AC1876" s="4"/>
      <c r="AD1876" s="5"/>
      <c r="AE1876" s="5"/>
      <c r="AF1876" s="5"/>
      <c r="AG1876" s="5"/>
      <c r="AH1876" s="5"/>
      <c r="AI1876" s="5"/>
      <c r="AJ1876" s="5"/>
      <c r="AK1876" s="5"/>
      <c r="AL1876" s="5"/>
    </row>
    <row r="1877">
      <c r="A1877" s="4" t="str">
        <f>VLOOKUP(L1877,payment_ids!C:D,2,FALSE)</f>
        <v>pay_HB5N7MKlhnWJSN</v>
      </c>
      <c r="B1877" s="4"/>
      <c r="C1877" s="4" t="s">
        <v>5400</v>
      </c>
      <c r="D1877" s="4">
        <v>50040.0</v>
      </c>
      <c r="E1877" s="4"/>
      <c r="F1877" s="4">
        <v>1.0</v>
      </c>
      <c r="G1877" s="4">
        <v>99.0</v>
      </c>
      <c r="H1877" s="4"/>
      <c r="I1877" s="4">
        <v>99.0</v>
      </c>
      <c r="J1877" s="4" t="s">
        <v>5412</v>
      </c>
      <c r="K1877" s="6">
        <f>+919560049420</f>
        <v>919560049420</v>
      </c>
      <c r="L1877" s="4" t="str">
        <f t="shared" si="1"/>
        <v>nabonitaa@gmail.com919560049420</v>
      </c>
      <c r="M1877" s="10" t="s">
        <v>67</v>
      </c>
      <c r="N1877" s="4" t="b">
        <v>0</v>
      </c>
      <c r="O1877" s="4" t="str">
        <f>VLOOKUP(A1877,payment_ids!D:E,2,FALSE)</f>
        <v>upi</v>
      </c>
      <c r="P1877" s="4" t="s">
        <v>69</v>
      </c>
      <c r="Q1877" s="4" t="s">
        <v>5413</v>
      </c>
      <c r="R1877" s="4"/>
      <c r="S1877" s="12" t="s">
        <v>5402</v>
      </c>
      <c r="T1877" s="4"/>
      <c r="U1877" s="4"/>
      <c r="V1877" s="11"/>
      <c r="W1877" s="5"/>
      <c r="X1877" s="11"/>
      <c r="Y1877" s="4"/>
      <c r="Z1877" s="5"/>
      <c r="AA1877" s="4"/>
      <c r="AB1877" s="4"/>
      <c r="AC1877" s="4"/>
      <c r="AD1877" s="5"/>
      <c r="AE1877" s="5"/>
      <c r="AF1877" s="5"/>
      <c r="AG1877" s="5"/>
      <c r="AH1877" s="5"/>
      <c r="AI1877" s="5"/>
      <c r="AJ1877" s="5"/>
      <c r="AK1877" s="5"/>
      <c r="AL1877" s="5"/>
    </row>
    <row r="1878">
      <c r="A1878" s="4" t="str">
        <f>VLOOKUP(L1878,payment_ids!C:D,2,FALSE)</f>
        <v>pay_HB9KXt6ju76WJO</v>
      </c>
      <c r="B1878" s="4"/>
      <c r="C1878" s="4" t="s">
        <v>5400</v>
      </c>
      <c r="D1878" s="4">
        <v>50040.0</v>
      </c>
      <c r="E1878" s="4"/>
      <c r="F1878" s="4">
        <v>1.0</v>
      </c>
      <c r="G1878" s="4">
        <v>99.0</v>
      </c>
      <c r="H1878" s="4"/>
      <c r="I1878" s="4">
        <v>99.0</v>
      </c>
      <c r="J1878" s="4" t="s">
        <v>5414</v>
      </c>
      <c r="K1878" s="6">
        <f>+919538494409</f>
        <v>919538494409</v>
      </c>
      <c r="L1878" s="4" t="str">
        <f t="shared" si="1"/>
        <v>shreejitahh@gmail.com919538494409</v>
      </c>
      <c r="M1878" s="10" t="s">
        <v>67</v>
      </c>
      <c r="N1878" s="4" t="b">
        <v>0</v>
      </c>
      <c r="O1878" s="4" t="str">
        <f>VLOOKUP(A1878,payment_ids!D:E,2,FALSE)</f>
        <v>wallet</v>
      </c>
      <c r="P1878" s="4" t="s">
        <v>69</v>
      </c>
      <c r="Q1878" s="4" t="s">
        <v>5415</v>
      </c>
      <c r="R1878" s="4"/>
      <c r="S1878" s="12" t="s">
        <v>5402</v>
      </c>
      <c r="T1878" s="4"/>
      <c r="U1878" s="4"/>
      <c r="V1878" s="11"/>
      <c r="W1878" s="5"/>
      <c r="X1878" s="11"/>
      <c r="Y1878" s="4"/>
      <c r="Z1878" s="5"/>
      <c r="AA1878" s="4"/>
      <c r="AB1878" s="4"/>
      <c r="AC1878" s="4"/>
      <c r="AD1878" s="5"/>
      <c r="AE1878" s="5"/>
      <c r="AF1878" s="5"/>
      <c r="AG1878" s="5"/>
      <c r="AH1878" s="5"/>
      <c r="AI1878" s="5"/>
      <c r="AJ1878" s="5"/>
      <c r="AK1878" s="5"/>
      <c r="AL1878" s="5"/>
    </row>
    <row r="1879">
      <c r="A1879" s="4" t="str">
        <f>VLOOKUP(L1879,payment_ids!C:D,2,FALSE)</f>
        <v>pay_HAxfUgzpiI0iQe</v>
      </c>
      <c r="B1879" s="4"/>
      <c r="C1879" s="4" t="s">
        <v>5400</v>
      </c>
      <c r="D1879" s="4">
        <v>50040.0</v>
      </c>
      <c r="E1879" s="4"/>
      <c r="F1879" s="4">
        <v>1.0</v>
      </c>
      <c r="G1879" s="4">
        <v>99.0</v>
      </c>
      <c r="H1879" s="4"/>
      <c r="I1879" s="4">
        <v>99.0</v>
      </c>
      <c r="J1879" s="4" t="s">
        <v>5416</v>
      </c>
      <c r="K1879" s="6">
        <f>+918374433210</f>
        <v>918374433210</v>
      </c>
      <c r="L1879" s="4" t="str">
        <f t="shared" si="1"/>
        <v>nehaaraja0804@gmail.com918374433210</v>
      </c>
      <c r="M1879" s="10" t="s">
        <v>67</v>
      </c>
      <c r="N1879" s="4" t="b">
        <v>0</v>
      </c>
      <c r="O1879" s="4" t="str">
        <f>VLOOKUP(A1879,payment_ids!D:E,2,FALSE)</f>
        <v>card</v>
      </c>
      <c r="P1879" s="4" t="s">
        <v>69</v>
      </c>
      <c r="Q1879" s="4" t="s">
        <v>5417</v>
      </c>
      <c r="R1879" s="4"/>
      <c r="S1879" s="12" t="s">
        <v>5402</v>
      </c>
      <c r="T1879" s="4"/>
      <c r="U1879" s="4"/>
      <c r="V1879" s="11"/>
      <c r="W1879" s="5"/>
      <c r="X1879" s="11"/>
      <c r="Y1879" s="4"/>
      <c r="Z1879" s="5"/>
      <c r="AA1879" s="4"/>
      <c r="AB1879" s="4"/>
      <c r="AC1879" s="4"/>
      <c r="AD1879" s="5"/>
      <c r="AE1879" s="5"/>
      <c r="AF1879" s="5"/>
      <c r="AG1879" s="5"/>
      <c r="AH1879" s="5"/>
      <c r="AI1879" s="5"/>
      <c r="AJ1879" s="5"/>
      <c r="AK1879" s="5"/>
      <c r="AL1879" s="5"/>
    </row>
    <row r="1880">
      <c r="A1880" s="4" t="str">
        <f>VLOOKUP(L1880,payment_ids!C:D,2,FALSE)</f>
        <v>pay_HBOnf7CLzzlFFh</v>
      </c>
      <c r="B1880" s="4"/>
      <c r="C1880" s="4" t="s">
        <v>5400</v>
      </c>
      <c r="D1880" s="4">
        <v>50040.0</v>
      </c>
      <c r="E1880" s="4"/>
      <c r="F1880" s="4">
        <v>6.0</v>
      </c>
      <c r="G1880" s="4">
        <v>349.0</v>
      </c>
      <c r="H1880" s="4"/>
      <c r="I1880" s="4">
        <v>349.0</v>
      </c>
      <c r="J1880" s="4" t="s">
        <v>5418</v>
      </c>
      <c r="K1880" s="6">
        <f>+918399944838</f>
        <v>918399944838</v>
      </c>
      <c r="L1880" s="4" t="str">
        <f t="shared" si="1"/>
        <v>apc1253@yahoo.com918399944838</v>
      </c>
      <c r="M1880" s="10" t="s">
        <v>67</v>
      </c>
      <c r="N1880" s="4" t="b">
        <v>0</v>
      </c>
      <c r="O1880" s="4" t="str">
        <f>VLOOKUP(A1880,payment_ids!D:E,2,FALSE)</f>
        <v>upi</v>
      </c>
      <c r="P1880" s="4" t="s">
        <v>69</v>
      </c>
      <c r="Q1880" s="4" t="s">
        <v>5419</v>
      </c>
      <c r="R1880" s="4"/>
      <c r="S1880" s="12" t="s">
        <v>5402</v>
      </c>
      <c r="T1880" s="4"/>
      <c r="U1880" s="4"/>
      <c r="V1880" s="11"/>
      <c r="W1880" s="5"/>
      <c r="X1880" s="11"/>
      <c r="Y1880" s="4"/>
      <c r="Z1880" s="5"/>
      <c r="AA1880" s="4"/>
      <c r="AB1880" s="4"/>
      <c r="AC1880" s="4"/>
      <c r="AD1880" s="5"/>
      <c r="AE1880" s="5"/>
      <c r="AF1880" s="5"/>
      <c r="AG1880" s="5"/>
      <c r="AH1880" s="5"/>
      <c r="AI1880" s="5"/>
      <c r="AJ1880" s="5"/>
      <c r="AK1880" s="5"/>
      <c r="AL1880" s="5"/>
    </row>
    <row r="1881">
      <c r="A1881" s="4" t="str">
        <f>VLOOKUP(L1881,payment_ids!C:D,2,FALSE)</f>
        <v>pay_HBThBUzp2T5wzK</v>
      </c>
      <c r="B1881" s="4"/>
      <c r="C1881" s="4" t="s">
        <v>5400</v>
      </c>
      <c r="D1881" s="4">
        <v>50040.0</v>
      </c>
      <c r="E1881" s="4"/>
      <c r="F1881" s="4">
        <v>1.0</v>
      </c>
      <c r="G1881" s="4">
        <v>99.0</v>
      </c>
      <c r="H1881" s="4"/>
      <c r="I1881" s="4">
        <v>99.0</v>
      </c>
      <c r="J1881" s="4" t="s">
        <v>5420</v>
      </c>
      <c r="K1881" s="6">
        <f>+919830125433</f>
        <v>919830125433</v>
      </c>
      <c r="L1881" s="4" t="str">
        <f t="shared" si="1"/>
        <v>priyagc@yahoo.com919830125433</v>
      </c>
      <c r="M1881" s="10" t="s">
        <v>67</v>
      </c>
      <c r="N1881" s="4" t="b">
        <v>0</v>
      </c>
      <c r="O1881" s="4" t="str">
        <f>VLOOKUP(A1881,payment_ids!D:E,2,FALSE)</f>
        <v>upi</v>
      </c>
      <c r="P1881" s="4" t="s">
        <v>69</v>
      </c>
      <c r="Q1881" s="4" t="s">
        <v>5421</v>
      </c>
      <c r="R1881" s="4"/>
      <c r="S1881" s="12" t="s">
        <v>5402</v>
      </c>
      <c r="T1881" s="4"/>
      <c r="U1881" s="4"/>
      <c r="V1881" s="11"/>
      <c r="W1881" s="5"/>
      <c r="X1881" s="11"/>
      <c r="Y1881" s="4"/>
      <c r="Z1881" s="5"/>
      <c r="AA1881" s="4"/>
      <c r="AB1881" s="4"/>
      <c r="AC1881" s="4"/>
      <c r="AD1881" s="5"/>
      <c r="AE1881" s="5"/>
      <c r="AF1881" s="5"/>
      <c r="AG1881" s="5"/>
      <c r="AH1881" s="5"/>
      <c r="AI1881" s="5"/>
      <c r="AJ1881" s="5"/>
      <c r="AK1881" s="5"/>
      <c r="AL1881" s="5"/>
    </row>
    <row r="1882">
      <c r="A1882" s="4" t="str">
        <f>VLOOKUP(L1882,payment_ids!C:D,2,FALSE)</f>
        <v>pay_HBKgIqXHpVupm2</v>
      </c>
      <c r="B1882" s="4"/>
      <c r="C1882" s="4" t="s">
        <v>5400</v>
      </c>
      <c r="D1882" s="4">
        <v>50040.0</v>
      </c>
      <c r="E1882" s="4"/>
      <c r="F1882" s="4">
        <v>1.0</v>
      </c>
      <c r="G1882" s="4">
        <v>99.0</v>
      </c>
      <c r="H1882" s="4"/>
      <c r="I1882" s="4">
        <v>99.0</v>
      </c>
      <c r="J1882" s="4" t="s">
        <v>5422</v>
      </c>
      <c r="K1882" s="6">
        <f>+918106251858</f>
        <v>918106251858</v>
      </c>
      <c r="L1882" s="4" t="str">
        <f t="shared" si="1"/>
        <v>vineelaammu9@gmail.com918106251858</v>
      </c>
      <c r="M1882" s="10" t="s">
        <v>67</v>
      </c>
      <c r="N1882" s="4" t="b">
        <v>0</v>
      </c>
      <c r="O1882" s="4" t="str">
        <f>VLOOKUP(A1882,payment_ids!D:E,2,FALSE)</f>
        <v>upi</v>
      </c>
      <c r="P1882" s="4" t="s">
        <v>69</v>
      </c>
      <c r="Q1882" s="4" t="s">
        <v>5423</v>
      </c>
      <c r="R1882" s="4"/>
      <c r="S1882" s="12" t="s">
        <v>5402</v>
      </c>
      <c r="T1882" s="4"/>
      <c r="U1882" s="4"/>
      <c r="V1882" s="11"/>
      <c r="W1882" s="5"/>
      <c r="X1882" s="11"/>
      <c r="Y1882" s="4"/>
      <c r="Z1882" s="5"/>
      <c r="AA1882" s="4"/>
      <c r="AB1882" s="4"/>
      <c r="AC1882" s="4"/>
      <c r="AD1882" s="5"/>
      <c r="AE1882" s="5"/>
      <c r="AF1882" s="5"/>
      <c r="AG1882" s="5"/>
      <c r="AH1882" s="5"/>
      <c r="AI1882" s="5"/>
      <c r="AJ1882" s="5"/>
      <c r="AK1882" s="5"/>
      <c r="AL1882" s="5"/>
    </row>
    <row r="1883">
      <c r="A1883" s="4" t="str">
        <f>VLOOKUP(L1883,payment_ids!C:D,2,FALSE)</f>
        <v>pay_HBYlVQOclOMHxj</v>
      </c>
      <c r="B1883" s="4"/>
      <c r="C1883" s="4" t="s">
        <v>5400</v>
      </c>
      <c r="D1883" s="4">
        <v>50040.0</v>
      </c>
      <c r="E1883" s="4"/>
      <c r="F1883" s="4">
        <v>1.0</v>
      </c>
      <c r="G1883" s="4">
        <v>99.0</v>
      </c>
      <c r="H1883" s="4"/>
      <c r="I1883" s="4">
        <v>99.0</v>
      </c>
      <c r="J1883" s="4" t="s">
        <v>5424</v>
      </c>
      <c r="K1883" s="6">
        <f>+919967023145</f>
        <v>919967023145</v>
      </c>
      <c r="L1883" s="4" t="str">
        <f t="shared" si="1"/>
        <v>jayanairp@rediffmail.com919967023145</v>
      </c>
      <c r="M1883" s="10" t="s">
        <v>67</v>
      </c>
      <c r="N1883" s="4" t="b">
        <v>0</v>
      </c>
      <c r="O1883" s="4" t="str">
        <f>VLOOKUP(A1883,payment_ids!D:E,2,FALSE)</f>
        <v>upi</v>
      </c>
      <c r="P1883" s="4" t="s">
        <v>69</v>
      </c>
      <c r="Q1883" s="4" t="s">
        <v>5425</v>
      </c>
      <c r="R1883" s="4"/>
      <c r="S1883" s="12" t="s">
        <v>5402</v>
      </c>
      <c r="T1883" s="4"/>
      <c r="U1883" s="4"/>
      <c r="V1883" s="11"/>
      <c r="W1883" s="5"/>
      <c r="X1883" s="11"/>
      <c r="Y1883" s="4"/>
      <c r="Z1883" s="5"/>
      <c r="AA1883" s="4"/>
      <c r="AB1883" s="4"/>
      <c r="AC1883" s="4"/>
      <c r="AD1883" s="5"/>
      <c r="AE1883" s="5"/>
      <c r="AF1883" s="5"/>
      <c r="AG1883" s="5"/>
      <c r="AH1883" s="5"/>
      <c r="AI1883" s="5"/>
      <c r="AJ1883" s="5"/>
      <c r="AK1883" s="5"/>
      <c r="AL1883" s="5"/>
    </row>
    <row r="1884">
      <c r="A1884" s="4" t="str">
        <f>VLOOKUP(L1884,payment_ids!C:D,2,FALSE)</f>
        <v>pay_HCBk1yOYZ0pd8w</v>
      </c>
      <c r="B1884" s="4"/>
      <c r="C1884" s="4" t="s">
        <v>5400</v>
      </c>
      <c r="D1884" s="4">
        <v>50040.0</v>
      </c>
      <c r="E1884" s="4"/>
      <c r="F1884" s="4">
        <v>1.0</v>
      </c>
      <c r="G1884" s="4">
        <v>99.0</v>
      </c>
      <c r="H1884" s="4"/>
      <c r="I1884" s="4">
        <v>99.0</v>
      </c>
      <c r="J1884" s="4" t="s">
        <v>5426</v>
      </c>
      <c r="K1884" s="6">
        <f>+919999443105</f>
        <v>919999443105</v>
      </c>
      <c r="L1884" s="4" t="str">
        <f t="shared" si="1"/>
        <v>mansiaggarwal1004@gmail.com919999443105</v>
      </c>
      <c r="M1884" s="10" t="s">
        <v>67</v>
      </c>
      <c r="N1884" s="4" t="b">
        <v>0</v>
      </c>
      <c r="O1884" s="4" t="str">
        <f>VLOOKUP(A1884,payment_ids!D:E,2,FALSE)</f>
        <v>upi</v>
      </c>
      <c r="P1884" s="4" t="s">
        <v>69</v>
      </c>
      <c r="Q1884" s="4" t="s">
        <v>5427</v>
      </c>
      <c r="R1884" s="4"/>
      <c r="S1884" s="12" t="s">
        <v>5402</v>
      </c>
      <c r="T1884" s="4"/>
      <c r="U1884" s="4"/>
      <c r="V1884" s="11"/>
      <c r="W1884" s="5"/>
      <c r="X1884" s="11"/>
      <c r="Y1884" s="4"/>
      <c r="Z1884" s="5"/>
      <c r="AA1884" s="4"/>
      <c r="AB1884" s="4"/>
      <c r="AC1884" s="4"/>
      <c r="AD1884" s="5"/>
      <c r="AE1884" s="5"/>
      <c r="AF1884" s="5"/>
      <c r="AG1884" s="5"/>
      <c r="AH1884" s="5"/>
      <c r="AI1884" s="5"/>
      <c r="AJ1884" s="5"/>
      <c r="AK1884" s="5"/>
      <c r="AL1884" s="5"/>
    </row>
    <row r="1885">
      <c r="A1885" s="4" t="str">
        <f>VLOOKUP(L1885,payment_ids!C:D,2,FALSE)</f>
        <v>pay_HD1RBnBJjMP4lX</v>
      </c>
      <c r="B1885" s="4"/>
      <c r="C1885" s="4" t="s">
        <v>5400</v>
      </c>
      <c r="D1885" s="4">
        <v>50040.0</v>
      </c>
      <c r="E1885" s="4"/>
      <c r="F1885" s="4">
        <v>6.0</v>
      </c>
      <c r="G1885" s="4">
        <v>349.0</v>
      </c>
      <c r="H1885" s="4"/>
      <c r="I1885" s="4">
        <v>349.0</v>
      </c>
      <c r="J1885" s="4" t="s">
        <v>5428</v>
      </c>
      <c r="K1885" s="6">
        <f>+917567999960</f>
        <v>917567999960</v>
      </c>
      <c r="L1885" s="4" t="str">
        <f t="shared" si="1"/>
        <v>nihardave14@gmail.com917567999960</v>
      </c>
      <c r="M1885" s="10" t="s">
        <v>67</v>
      </c>
      <c r="N1885" s="4" t="b">
        <v>0</v>
      </c>
      <c r="O1885" s="4" t="str">
        <f>VLOOKUP(A1885,payment_ids!D:E,2,FALSE)</f>
        <v>card</v>
      </c>
      <c r="P1885" s="4" t="s">
        <v>69</v>
      </c>
      <c r="Q1885" s="4" t="s">
        <v>5429</v>
      </c>
      <c r="R1885" s="4"/>
      <c r="S1885" s="12" t="s">
        <v>5402</v>
      </c>
      <c r="T1885" s="4"/>
      <c r="U1885" s="4"/>
      <c r="V1885" s="11"/>
      <c r="W1885" s="5"/>
      <c r="X1885" s="11"/>
      <c r="Y1885" s="4"/>
      <c r="Z1885" s="5"/>
      <c r="AA1885" s="4"/>
      <c r="AB1885" s="4"/>
      <c r="AC1885" s="4"/>
      <c r="AD1885" s="5"/>
      <c r="AE1885" s="5"/>
      <c r="AF1885" s="5"/>
      <c r="AG1885" s="5"/>
      <c r="AH1885" s="5"/>
      <c r="AI1885" s="5"/>
      <c r="AJ1885" s="5"/>
      <c r="AK1885" s="5"/>
      <c r="AL1885" s="5"/>
    </row>
    <row r="1886">
      <c r="A1886" s="4" t="str">
        <f>VLOOKUP(L1886,payment_ids!C:D,2,FALSE)</f>
        <v>pay_HDhuMzjPxQvcsc</v>
      </c>
      <c r="B1886" s="4"/>
      <c r="C1886" s="4" t="s">
        <v>5400</v>
      </c>
      <c r="D1886" s="4">
        <v>50040.0</v>
      </c>
      <c r="E1886" s="4"/>
      <c r="F1886" s="4">
        <v>1.0</v>
      </c>
      <c r="G1886" s="4">
        <v>99.0</v>
      </c>
      <c r="H1886" s="4"/>
      <c r="I1886" s="4">
        <v>99.0</v>
      </c>
      <c r="J1886" s="4" t="s">
        <v>5430</v>
      </c>
      <c r="K1886" s="6">
        <f>+917970341379</f>
        <v>917970341379</v>
      </c>
      <c r="L1886" s="4" t="str">
        <f t="shared" si="1"/>
        <v>sonal441@gmail.com917970341379</v>
      </c>
      <c r="M1886" s="10" t="s">
        <v>67</v>
      </c>
      <c r="N1886" s="4" t="b">
        <v>0</v>
      </c>
      <c r="O1886" s="4" t="str">
        <f>VLOOKUP(A1886,payment_ids!D:E,2,FALSE)</f>
        <v>upi</v>
      </c>
      <c r="P1886" s="4" t="s">
        <v>69</v>
      </c>
      <c r="Q1886" s="4" t="s">
        <v>5431</v>
      </c>
      <c r="R1886" s="4"/>
      <c r="S1886" s="12" t="s">
        <v>5402</v>
      </c>
      <c r="T1886" s="4"/>
      <c r="U1886" s="4"/>
      <c r="V1886" s="11"/>
      <c r="W1886" s="5"/>
      <c r="X1886" s="11"/>
      <c r="Y1886" s="4"/>
      <c r="Z1886" s="5"/>
      <c r="AA1886" s="4"/>
      <c r="AB1886" s="4"/>
      <c r="AC1886" s="4"/>
      <c r="AD1886" s="5"/>
      <c r="AE1886" s="5"/>
      <c r="AF1886" s="5"/>
      <c r="AG1886" s="5"/>
      <c r="AH1886" s="5"/>
      <c r="AI1886" s="5"/>
      <c r="AJ1886" s="5"/>
      <c r="AK1886" s="5"/>
      <c r="AL1886" s="5"/>
    </row>
    <row r="1887">
      <c r="A1887" s="4" t="str">
        <f>VLOOKUP(L1887,payment_ids!C:D,2,FALSE)</f>
        <v>pay_HDieMjm9VCtAiq</v>
      </c>
      <c r="B1887" s="4"/>
      <c r="C1887" s="4" t="s">
        <v>5400</v>
      </c>
      <c r="D1887" s="4">
        <v>50040.0</v>
      </c>
      <c r="E1887" s="4"/>
      <c r="F1887" s="4">
        <v>1.0</v>
      </c>
      <c r="G1887" s="4">
        <v>99.0</v>
      </c>
      <c r="H1887" s="4"/>
      <c r="I1887" s="4">
        <v>99.0</v>
      </c>
      <c r="J1887" s="4" t="s">
        <v>2036</v>
      </c>
      <c r="K1887" s="6">
        <f>+919665337579</f>
        <v>919665337579</v>
      </c>
      <c r="L1887" s="4" t="str">
        <f t="shared" si="1"/>
        <v>rutbhoi@gmail.com919665337579</v>
      </c>
      <c r="M1887" s="10" t="s">
        <v>67</v>
      </c>
      <c r="N1887" s="4" t="b">
        <v>0</v>
      </c>
      <c r="O1887" s="4" t="str">
        <f>VLOOKUP(A1887,payment_ids!D:E,2,FALSE)</f>
        <v>upi</v>
      </c>
      <c r="P1887" s="4" t="s">
        <v>69</v>
      </c>
      <c r="Q1887" s="4" t="s">
        <v>5432</v>
      </c>
      <c r="R1887" s="4"/>
      <c r="S1887" s="12" t="s">
        <v>5402</v>
      </c>
      <c r="T1887" s="4"/>
      <c r="U1887" s="4"/>
      <c r="V1887" s="11"/>
      <c r="W1887" s="5"/>
      <c r="X1887" s="11"/>
      <c r="Y1887" s="4"/>
      <c r="Z1887" s="5"/>
      <c r="AA1887" s="4"/>
      <c r="AB1887" s="4"/>
      <c r="AC1887" s="4"/>
      <c r="AD1887" s="5"/>
      <c r="AE1887" s="5"/>
      <c r="AF1887" s="5"/>
      <c r="AG1887" s="5"/>
      <c r="AH1887" s="5"/>
      <c r="AI1887" s="5"/>
      <c r="AJ1887" s="5"/>
      <c r="AK1887" s="5"/>
      <c r="AL1887" s="5"/>
    </row>
    <row r="1888">
      <c r="A1888" s="4" t="str">
        <f>VLOOKUP(L1888,payment_ids!C:D,2,FALSE)</f>
        <v>pay_HDihFl5jbjFrJW</v>
      </c>
      <c r="B1888" s="4"/>
      <c r="C1888" s="4" t="s">
        <v>5400</v>
      </c>
      <c r="D1888" s="4">
        <v>50040.0</v>
      </c>
      <c r="E1888" s="4"/>
      <c r="F1888" s="4">
        <v>1.0</v>
      </c>
      <c r="G1888" s="4">
        <v>99.0</v>
      </c>
      <c r="H1888" s="4"/>
      <c r="I1888" s="4">
        <v>99.0</v>
      </c>
      <c r="J1888" s="4" t="s">
        <v>5433</v>
      </c>
      <c r="K1888" s="6">
        <f>+919101179060</f>
        <v>919101179060</v>
      </c>
      <c r="L1888" s="4" t="str">
        <f t="shared" si="1"/>
        <v>anurekhathebest@gmail.com919101179060</v>
      </c>
      <c r="M1888" s="10" t="s">
        <v>67</v>
      </c>
      <c r="N1888" s="4" t="b">
        <v>0</v>
      </c>
      <c r="O1888" s="4" t="str">
        <f>VLOOKUP(A1888,payment_ids!D:E,2,FALSE)</f>
        <v>upi</v>
      </c>
      <c r="P1888" s="4" t="s">
        <v>69</v>
      </c>
      <c r="Q1888" s="4" t="s">
        <v>5378</v>
      </c>
      <c r="R1888" s="4"/>
      <c r="S1888" s="12" t="s">
        <v>5402</v>
      </c>
      <c r="T1888" s="4"/>
      <c r="U1888" s="4"/>
      <c r="V1888" s="11"/>
      <c r="W1888" s="5"/>
      <c r="X1888" s="11"/>
      <c r="Y1888" s="4"/>
      <c r="Z1888" s="5"/>
      <c r="AA1888" s="4"/>
      <c r="AB1888" s="4"/>
      <c r="AC1888" s="4"/>
      <c r="AD1888" s="5"/>
      <c r="AE1888" s="5"/>
      <c r="AF1888" s="5"/>
      <c r="AG1888" s="5"/>
      <c r="AH1888" s="5"/>
      <c r="AI1888" s="5"/>
      <c r="AJ1888" s="5"/>
      <c r="AK1888" s="5"/>
      <c r="AL1888" s="5"/>
    </row>
    <row r="1889">
      <c r="A1889" s="4" t="str">
        <f>VLOOKUP(L1889,payment_ids!C:D,2,FALSE)</f>
        <v>pay_HEKu981cQa5toA</v>
      </c>
      <c r="B1889" s="4"/>
      <c r="C1889" s="4" t="s">
        <v>5400</v>
      </c>
      <c r="D1889" s="4">
        <v>50040.0</v>
      </c>
      <c r="E1889" s="4"/>
      <c r="F1889" s="4">
        <v>1.0</v>
      </c>
      <c r="G1889" s="4">
        <v>99.0</v>
      </c>
      <c r="H1889" s="4"/>
      <c r="I1889" s="4">
        <v>99.0</v>
      </c>
      <c r="J1889" s="4" t="s">
        <v>5434</v>
      </c>
      <c r="K1889" s="6">
        <f>+918975009756</f>
        <v>918975009756</v>
      </c>
      <c r="L1889" s="4" t="str">
        <f t="shared" si="1"/>
        <v>singhchetan1989@gmail.com918975009756</v>
      </c>
      <c r="M1889" s="10" t="s">
        <v>67</v>
      </c>
      <c r="N1889" s="4" t="b">
        <v>0</v>
      </c>
      <c r="O1889" s="4" t="str">
        <f>VLOOKUP(A1889,payment_ids!D:E,2,FALSE)</f>
        <v>upi</v>
      </c>
      <c r="P1889" s="4" t="s">
        <v>69</v>
      </c>
      <c r="Q1889" s="4" t="s">
        <v>5435</v>
      </c>
      <c r="R1889" s="4"/>
      <c r="S1889" s="12" t="s">
        <v>5402</v>
      </c>
      <c r="T1889" s="4"/>
      <c r="U1889" s="4"/>
      <c r="V1889" s="11"/>
      <c r="W1889" s="5"/>
      <c r="X1889" s="11"/>
      <c r="Y1889" s="4"/>
      <c r="Z1889" s="5"/>
      <c r="AA1889" s="4"/>
      <c r="AB1889" s="4"/>
      <c r="AC1889" s="4"/>
      <c r="AD1889" s="5"/>
      <c r="AE1889" s="5"/>
      <c r="AF1889" s="5"/>
      <c r="AG1889" s="5"/>
      <c r="AH1889" s="5"/>
      <c r="AI1889" s="5"/>
      <c r="AJ1889" s="5"/>
      <c r="AK1889" s="5"/>
      <c r="AL1889" s="5"/>
    </row>
    <row r="1890">
      <c r="A1890" s="4" t="str">
        <f>VLOOKUP(L1890,payment_ids!C:D,2,FALSE)</f>
        <v>pay_HEgYqkWPvd50zf</v>
      </c>
      <c r="B1890" s="4"/>
      <c r="C1890" s="4" t="s">
        <v>5400</v>
      </c>
      <c r="D1890" s="4">
        <v>50040.0</v>
      </c>
      <c r="E1890" s="4"/>
      <c r="F1890" s="4">
        <v>1.0</v>
      </c>
      <c r="G1890" s="4">
        <v>99.0</v>
      </c>
      <c r="H1890" s="4"/>
      <c r="I1890" s="4">
        <v>99.0</v>
      </c>
      <c r="J1890" s="4" t="s">
        <v>5436</v>
      </c>
      <c r="K1890" s="6">
        <f>+918800718652</f>
        <v>918800718652</v>
      </c>
      <c r="L1890" s="4" t="str">
        <f t="shared" si="1"/>
        <v>aprajitavashistha11@gmail.com918800718652</v>
      </c>
      <c r="M1890" s="10" t="s">
        <v>67</v>
      </c>
      <c r="N1890" s="4" t="b">
        <v>0</v>
      </c>
      <c r="O1890" s="4" t="str">
        <f>VLOOKUP(A1890,payment_ids!D:E,2,FALSE)</f>
        <v>upi</v>
      </c>
      <c r="P1890" s="4" t="s">
        <v>69</v>
      </c>
      <c r="Q1890" s="4" t="s">
        <v>5437</v>
      </c>
      <c r="R1890" s="4"/>
      <c r="S1890" s="12" t="s">
        <v>5402</v>
      </c>
      <c r="T1890" s="4"/>
      <c r="U1890" s="4"/>
      <c r="V1890" s="11"/>
      <c r="W1890" s="5"/>
      <c r="X1890" s="11"/>
      <c r="Y1890" s="4"/>
      <c r="Z1890" s="5"/>
      <c r="AA1890" s="4"/>
      <c r="AB1890" s="4"/>
      <c r="AC1890" s="4"/>
      <c r="AD1890" s="5"/>
      <c r="AE1890" s="5"/>
      <c r="AF1890" s="5"/>
      <c r="AG1890" s="5"/>
      <c r="AH1890" s="5"/>
      <c r="AI1890" s="5"/>
      <c r="AJ1890" s="5"/>
      <c r="AK1890" s="5"/>
      <c r="AL1890" s="5"/>
    </row>
    <row r="1891">
      <c r="A1891" s="4" t="str">
        <f>VLOOKUP(L1891,payment_ids!C:D,2,FALSE)</f>
        <v>pay_HEizfECzn5gc9m</v>
      </c>
      <c r="B1891" s="4"/>
      <c r="C1891" s="4" t="s">
        <v>5400</v>
      </c>
      <c r="D1891" s="4">
        <v>50040.0</v>
      </c>
      <c r="E1891" s="4"/>
      <c r="F1891" s="4">
        <v>3.0</v>
      </c>
      <c r="G1891" s="4">
        <v>199.0</v>
      </c>
      <c r="H1891" s="4"/>
      <c r="I1891" s="4">
        <v>199.0</v>
      </c>
      <c r="J1891" s="4" t="s">
        <v>5438</v>
      </c>
      <c r="K1891" s="6">
        <f>+919739481670</f>
        <v>919739481670</v>
      </c>
      <c r="L1891" s="4" t="str">
        <f t="shared" si="1"/>
        <v>aishwarya94krishh@gmail.com919739481670</v>
      </c>
      <c r="M1891" s="10" t="s">
        <v>67</v>
      </c>
      <c r="N1891" s="4" t="b">
        <v>0</v>
      </c>
      <c r="O1891" s="4" t="str">
        <f>VLOOKUP(A1891,payment_ids!D:E,2,FALSE)</f>
        <v>upi</v>
      </c>
      <c r="P1891" s="4" t="s">
        <v>69</v>
      </c>
      <c r="Q1891" s="4" t="s">
        <v>5439</v>
      </c>
      <c r="R1891" s="4"/>
      <c r="S1891" s="12" t="s">
        <v>5402</v>
      </c>
      <c r="T1891" s="4"/>
      <c r="U1891" s="4"/>
      <c r="V1891" s="11"/>
      <c r="W1891" s="5"/>
      <c r="X1891" s="11"/>
      <c r="Y1891" s="4"/>
      <c r="Z1891" s="5"/>
      <c r="AA1891" s="4"/>
      <c r="AB1891" s="4"/>
      <c r="AC1891" s="4"/>
      <c r="AD1891" s="5"/>
      <c r="AE1891" s="5"/>
      <c r="AF1891" s="5"/>
      <c r="AG1891" s="5"/>
      <c r="AH1891" s="5"/>
      <c r="AI1891" s="5"/>
      <c r="AJ1891" s="5"/>
      <c r="AK1891" s="5"/>
      <c r="AL1891" s="5"/>
    </row>
    <row r="1892">
      <c r="A1892" s="4" t="str">
        <f>VLOOKUP(L1892,payment_ids!C:D,2,FALSE)</f>
        <v>pay_HEtU40HsuYFfRN</v>
      </c>
      <c r="B1892" s="4"/>
      <c r="C1892" s="4" t="s">
        <v>5400</v>
      </c>
      <c r="D1892" s="4">
        <v>50040.0</v>
      </c>
      <c r="E1892" s="4"/>
      <c r="F1892" s="4">
        <v>1.0</v>
      </c>
      <c r="G1892" s="4">
        <v>99.0</v>
      </c>
      <c r="H1892" s="4"/>
      <c r="I1892" s="4">
        <v>99.0</v>
      </c>
      <c r="J1892" s="4" t="s">
        <v>5440</v>
      </c>
      <c r="K1892" s="6">
        <f>+919940164021</f>
        <v>919940164021</v>
      </c>
      <c r="L1892" s="4" t="str">
        <f t="shared" si="1"/>
        <v>shakthikrishna75l@gmail.com919940164021</v>
      </c>
      <c r="M1892" s="10" t="s">
        <v>67</v>
      </c>
      <c r="N1892" s="4" t="b">
        <v>0</v>
      </c>
      <c r="O1892" s="4" t="str">
        <f>VLOOKUP(A1892,payment_ids!D:E,2,FALSE)</f>
        <v>upi</v>
      </c>
      <c r="P1892" s="4" t="s">
        <v>69</v>
      </c>
      <c r="Q1892" s="4" t="s">
        <v>5441</v>
      </c>
      <c r="R1892" s="4"/>
      <c r="S1892" s="12" t="s">
        <v>5402</v>
      </c>
      <c r="T1892" s="4"/>
      <c r="U1892" s="4"/>
      <c r="V1892" s="11"/>
      <c r="W1892" s="5"/>
      <c r="X1892" s="11"/>
      <c r="Y1892" s="4"/>
      <c r="Z1892" s="5"/>
      <c r="AA1892" s="4"/>
      <c r="AB1892" s="4"/>
      <c r="AC1892" s="4"/>
      <c r="AD1892" s="5"/>
      <c r="AE1892" s="5"/>
      <c r="AF1892" s="5"/>
      <c r="AG1892" s="5"/>
      <c r="AH1892" s="5"/>
      <c r="AI1892" s="5"/>
      <c r="AJ1892" s="5"/>
      <c r="AK1892" s="5"/>
      <c r="AL1892" s="5"/>
    </row>
    <row r="1893">
      <c r="A1893" s="4" t="str">
        <f>VLOOKUP(L1893,payment_ids!C:D,2,FALSE)</f>
        <v>pay_HFNQClmsqD2Ly3</v>
      </c>
      <c r="B1893" s="4"/>
      <c r="C1893" s="4" t="s">
        <v>5400</v>
      </c>
      <c r="D1893" s="4">
        <v>50040.0</v>
      </c>
      <c r="E1893" s="5"/>
      <c r="F1893" s="4">
        <v>3.0</v>
      </c>
      <c r="G1893" s="4">
        <v>199.0</v>
      </c>
      <c r="H1893" s="4"/>
      <c r="I1893" s="4">
        <v>199.0</v>
      </c>
      <c r="J1893" s="4" t="s">
        <v>5442</v>
      </c>
      <c r="K1893" s="5">
        <f>+919100353437</f>
        <v>919100353437</v>
      </c>
      <c r="L1893" s="4" t="str">
        <f t="shared" si="1"/>
        <v>jyoti.kullu12@gmail.com919100353437</v>
      </c>
      <c r="M1893" s="10" t="s">
        <v>67</v>
      </c>
      <c r="N1893" s="4" t="b">
        <v>0</v>
      </c>
      <c r="O1893" s="4" t="str">
        <f>VLOOKUP(A1893,payment_ids!D:E,2,FALSE)</f>
        <v>upi</v>
      </c>
      <c r="P1893" s="4" t="s">
        <v>69</v>
      </c>
      <c r="Q1893" s="4" t="s">
        <v>5443</v>
      </c>
      <c r="R1893" s="4"/>
      <c r="S1893" s="12" t="s">
        <v>5402</v>
      </c>
      <c r="T1893" s="5"/>
      <c r="U1893" s="4"/>
      <c r="V1893" s="11"/>
      <c r="W1893" s="5"/>
      <c r="X1893" s="11"/>
      <c r="Y1893" s="4"/>
      <c r="Z1893" s="5"/>
      <c r="AA1893" s="4"/>
      <c r="AB1893" s="4"/>
      <c r="AC1893" s="4"/>
      <c r="AD1893" s="5"/>
      <c r="AE1893" s="5"/>
      <c r="AF1893" s="5"/>
      <c r="AG1893" s="5"/>
      <c r="AH1893" s="5"/>
      <c r="AI1893" s="5"/>
      <c r="AJ1893" s="5"/>
      <c r="AK1893" s="5"/>
      <c r="AL1893" s="5"/>
    </row>
    <row r="1894">
      <c r="A1894" s="4" t="str">
        <f>VLOOKUP(L1894,payment_ids!C:D,2,FALSE)</f>
        <v>pay_H6kWh8vVU3NDv2</v>
      </c>
      <c r="B1894" s="4"/>
      <c r="C1894" s="4" t="s">
        <v>885</v>
      </c>
      <c r="D1894" s="4">
        <v>49844.0</v>
      </c>
      <c r="E1894" s="4"/>
      <c r="F1894" s="4">
        <v>1.0</v>
      </c>
      <c r="G1894" s="4">
        <v>99.0</v>
      </c>
      <c r="H1894" s="4"/>
      <c r="I1894" s="4">
        <v>99.0</v>
      </c>
      <c r="J1894" s="4" t="s">
        <v>5444</v>
      </c>
      <c r="K1894" s="6">
        <f>+918240806728</f>
        <v>918240806728</v>
      </c>
      <c r="L1894" s="4" t="str">
        <f t="shared" si="1"/>
        <v>pakhi.chakraborty@outlook.com918240806728</v>
      </c>
      <c r="M1894" s="10" t="s">
        <v>67</v>
      </c>
      <c r="N1894" s="4" t="b">
        <v>0</v>
      </c>
      <c r="O1894" s="4" t="str">
        <f>VLOOKUP(A1894,payment_ids!D:E,2,FALSE)</f>
        <v>upi</v>
      </c>
      <c r="P1894" s="4" t="s">
        <v>69</v>
      </c>
      <c r="Q1894" s="11">
        <v>44291.83541666667</v>
      </c>
      <c r="R1894" s="4"/>
      <c r="S1894" s="12" t="s">
        <v>5445</v>
      </c>
      <c r="T1894" s="4"/>
      <c r="U1894" s="4"/>
      <c r="V1894" s="11"/>
      <c r="W1894" s="5"/>
      <c r="X1894" s="11"/>
      <c r="Y1894" s="4"/>
      <c r="Z1894" s="5"/>
      <c r="AA1894" s="4"/>
      <c r="AB1894" s="4"/>
      <c r="AC1894" s="4"/>
      <c r="AD1894" s="5"/>
      <c r="AE1894" s="5"/>
      <c r="AF1894" s="5"/>
      <c r="AG1894" s="5"/>
      <c r="AH1894" s="5"/>
      <c r="AI1894" s="5"/>
      <c r="AJ1894" s="5"/>
      <c r="AK1894" s="5"/>
      <c r="AL1894" s="5"/>
    </row>
    <row r="1895">
      <c r="A1895" s="4" t="str">
        <f>VLOOKUP(L1895,payment_ids!C:D,2,FALSE)</f>
        <v>pay_H72ino7CvpaIqG</v>
      </c>
      <c r="B1895" s="4"/>
      <c r="C1895" s="4" t="s">
        <v>885</v>
      </c>
      <c r="D1895" s="4">
        <v>49844.0</v>
      </c>
      <c r="E1895" s="4"/>
      <c r="F1895" s="4">
        <v>1.0</v>
      </c>
      <c r="G1895" s="4">
        <v>99.0</v>
      </c>
      <c r="H1895" s="4"/>
      <c r="I1895" s="4">
        <v>99.0</v>
      </c>
      <c r="J1895" s="4" t="s">
        <v>5446</v>
      </c>
      <c r="K1895" s="6">
        <f>+919978976779</f>
        <v>919978976779</v>
      </c>
      <c r="L1895" s="4" t="str">
        <f t="shared" si="1"/>
        <v>ashutoshpatelhp22@gmail.com919978976779</v>
      </c>
      <c r="M1895" s="10" t="s">
        <v>67</v>
      </c>
      <c r="N1895" s="4" t="b">
        <v>0</v>
      </c>
      <c r="O1895" s="4" t="str">
        <f>VLOOKUP(A1895,payment_ids!D:E,2,FALSE)</f>
        <v>upi</v>
      </c>
      <c r="P1895" s="4" t="s">
        <v>69</v>
      </c>
      <c r="Q1895" s="11">
        <v>44321.57708333333</v>
      </c>
      <c r="R1895" s="4"/>
      <c r="S1895" s="12" t="s">
        <v>5445</v>
      </c>
      <c r="T1895" s="4"/>
      <c r="U1895" s="4"/>
      <c r="V1895" s="11"/>
      <c r="W1895" s="5"/>
      <c r="X1895" s="11"/>
      <c r="Y1895" s="4"/>
      <c r="Z1895" s="5"/>
      <c r="AA1895" s="4"/>
      <c r="AB1895" s="4"/>
      <c r="AC1895" s="4"/>
      <c r="AD1895" s="5"/>
      <c r="AE1895" s="5"/>
      <c r="AF1895" s="5"/>
      <c r="AG1895" s="5"/>
      <c r="AH1895" s="5"/>
      <c r="AI1895" s="5"/>
      <c r="AJ1895" s="5"/>
      <c r="AK1895" s="5"/>
      <c r="AL1895" s="5"/>
    </row>
    <row r="1896">
      <c r="A1896" s="4" t="str">
        <f>VLOOKUP(L1896,payment_ids!C:D,2,FALSE)</f>
        <v>pay_H75z3DAtP6lxPV</v>
      </c>
      <c r="B1896" s="4"/>
      <c r="C1896" s="4" t="s">
        <v>885</v>
      </c>
      <c r="D1896" s="4">
        <v>49844.0</v>
      </c>
      <c r="E1896" s="4"/>
      <c r="F1896" s="4">
        <v>1.0</v>
      </c>
      <c r="G1896" s="4">
        <v>99.0</v>
      </c>
      <c r="H1896" s="4"/>
      <c r="I1896" s="4">
        <v>99.0</v>
      </c>
      <c r="J1896" s="4" t="s">
        <v>5447</v>
      </c>
      <c r="K1896" s="6">
        <f>+918007064140</f>
        <v>918007064140</v>
      </c>
      <c r="L1896" s="4" t="str">
        <f t="shared" si="1"/>
        <v>tusharkamat123@gmail.com918007064140</v>
      </c>
      <c r="M1896" s="10" t="s">
        <v>67</v>
      </c>
      <c r="N1896" s="4" t="b">
        <v>0</v>
      </c>
      <c r="O1896" s="4" t="str">
        <f>VLOOKUP(A1896,payment_ids!D:E,2,FALSE)</f>
        <v>upi</v>
      </c>
      <c r="P1896" s="4" t="s">
        <v>69</v>
      </c>
      <c r="Q1896" s="11">
        <v>44321.70972222222</v>
      </c>
      <c r="R1896" s="4"/>
      <c r="S1896" s="12" t="s">
        <v>5445</v>
      </c>
      <c r="T1896" s="4"/>
      <c r="U1896" s="4"/>
      <c r="V1896" s="11"/>
      <c r="W1896" s="5"/>
      <c r="X1896" s="11"/>
      <c r="Y1896" s="4"/>
      <c r="Z1896" s="5"/>
      <c r="AA1896" s="4"/>
      <c r="AB1896" s="4"/>
      <c r="AC1896" s="4"/>
      <c r="AD1896" s="5"/>
      <c r="AE1896" s="5"/>
      <c r="AF1896" s="5"/>
      <c r="AG1896" s="5"/>
      <c r="AH1896" s="5"/>
      <c r="AI1896" s="5"/>
      <c r="AJ1896" s="5"/>
      <c r="AK1896" s="5"/>
      <c r="AL1896" s="5"/>
    </row>
    <row r="1897">
      <c r="A1897" s="4" t="str">
        <f>VLOOKUP(L1897,payment_ids!C:D,2,FALSE)</f>
        <v>pay_H78Oq2bTVvVg4d</v>
      </c>
      <c r="B1897" s="4"/>
      <c r="C1897" s="4" t="s">
        <v>885</v>
      </c>
      <c r="D1897" s="4">
        <v>49844.0</v>
      </c>
      <c r="E1897" s="4"/>
      <c r="F1897" s="4">
        <v>1.0</v>
      </c>
      <c r="G1897" s="4">
        <v>99.0</v>
      </c>
      <c r="H1897" s="4"/>
      <c r="I1897" s="4">
        <v>99.0</v>
      </c>
      <c r="J1897" s="4" t="s">
        <v>4234</v>
      </c>
      <c r="K1897" s="6">
        <f>+918983081469</f>
        <v>918983081469</v>
      </c>
      <c r="L1897" s="4" t="str">
        <f t="shared" si="1"/>
        <v>rashmijagtap63@gmail.com918983081469</v>
      </c>
      <c r="M1897" s="10" t="s">
        <v>67</v>
      </c>
      <c r="N1897" s="4" t="b">
        <v>0</v>
      </c>
      <c r="O1897" s="4" t="str">
        <f>VLOOKUP(A1897,payment_ids!D:E,2,FALSE)</f>
        <v>upi</v>
      </c>
      <c r="P1897" s="4" t="s">
        <v>69</v>
      </c>
      <c r="Q1897" s="11">
        <v>44321.808333333334</v>
      </c>
      <c r="R1897" s="4"/>
      <c r="S1897" s="12" t="s">
        <v>5445</v>
      </c>
      <c r="T1897" s="4"/>
      <c r="U1897" s="4"/>
      <c r="V1897" s="11"/>
      <c r="W1897" s="5"/>
      <c r="X1897" s="11"/>
      <c r="Y1897" s="4"/>
      <c r="Z1897" s="5"/>
      <c r="AA1897" s="4"/>
      <c r="AB1897" s="4"/>
      <c r="AC1897" s="4"/>
      <c r="AD1897" s="5"/>
      <c r="AE1897" s="5"/>
      <c r="AF1897" s="5"/>
      <c r="AG1897" s="5"/>
      <c r="AH1897" s="5"/>
      <c r="AI1897" s="5"/>
      <c r="AJ1897" s="5"/>
      <c r="AK1897" s="5"/>
      <c r="AL1897" s="5"/>
    </row>
    <row r="1898">
      <c r="A1898" s="4" t="str">
        <f>VLOOKUP(L1898,payment_ids!C:D,2,FALSE)</f>
        <v>pay_H7AjVAXJGbWjpZ</v>
      </c>
      <c r="B1898" s="4"/>
      <c r="C1898" s="4" t="s">
        <v>885</v>
      </c>
      <c r="D1898" s="4">
        <v>49844.0</v>
      </c>
      <c r="E1898" s="4"/>
      <c r="F1898" s="4">
        <v>3.0</v>
      </c>
      <c r="G1898" s="4">
        <v>199.0</v>
      </c>
      <c r="H1898" s="4"/>
      <c r="I1898" s="4">
        <v>199.0</v>
      </c>
      <c r="J1898" s="4" t="s">
        <v>5448</v>
      </c>
      <c r="K1898" s="6">
        <f>+917708772815</f>
        <v>917708772815</v>
      </c>
      <c r="L1898" s="4" t="str">
        <f t="shared" si="1"/>
        <v>manoharimeenakshi1904@gmail.com917708772815</v>
      </c>
      <c r="M1898" s="10" t="s">
        <v>67</v>
      </c>
      <c r="N1898" s="4" t="b">
        <v>0</v>
      </c>
      <c r="O1898" s="4" t="str">
        <f>VLOOKUP(A1898,payment_ids!D:E,2,FALSE)</f>
        <v>upi</v>
      </c>
      <c r="P1898" s="4" t="s">
        <v>69</v>
      </c>
      <c r="Q1898" s="11">
        <v>44321.90347222222</v>
      </c>
      <c r="R1898" s="4"/>
      <c r="S1898" s="12" t="s">
        <v>5445</v>
      </c>
      <c r="T1898" s="4"/>
      <c r="U1898" s="4"/>
      <c r="V1898" s="11"/>
      <c r="W1898" s="5"/>
      <c r="X1898" s="11"/>
      <c r="Y1898" s="4"/>
      <c r="Z1898" s="5"/>
      <c r="AA1898" s="4"/>
      <c r="AB1898" s="4"/>
      <c r="AC1898" s="4"/>
      <c r="AD1898" s="5"/>
      <c r="AE1898" s="5"/>
      <c r="AF1898" s="5"/>
      <c r="AG1898" s="5"/>
      <c r="AH1898" s="5"/>
      <c r="AI1898" s="5"/>
      <c r="AJ1898" s="5"/>
      <c r="AK1898" s="5"/>
      <c r="AL1898" s="5"/>
    </row>
    <row r="1899">
      <c r="A1899" s="4" t="str">
        <f>VLOOKUP(L1899,payment_ids!C:D,2,FALSE)</f>
        <v>pay_H7BOwptQiMxi3F</v>
      </c>
      <c r="B1899" s="4"/>
      <c r="C1899" s="4" t="s">
        <v>885</v>
      </c>
      <c r="D1899" s="4">
        <v>49844.0</v>
      </c>
      <c r="E1899" s="4"/>
      <c r="F1899" s="4">
        <v>1.0</v>
      </c>
      <c r="G1899" s="4">
        <v>99.0</v>
      </c>
      <c r="H1899" s="4"/>
      <c r="I1899" s="4">
        <v>99.0</v>
      </c>
      <c r="J1899" s="4" t="s">
        <v>5449</v>
      </c>
      <c r="K1899" s="6">
        <f>+919709040428</f>
        <v>919709040428</v>
      </c>
      <c r="L1899" s="4" t="str">
        <f t="shared" si="1"/>
        <v>surindivyarani@gmail.com919709040428</v>
      </c>
      <c r="M1899" s="10" t="s">
        <v>67</v>
      </c>
      <c r="N1899" s="4" t="b">
        <v>0</v>
      </c>
      <c r="O1899" s="4" t="str">
        <f>VLOOKUP(A1899,payment_ids!D:E,2,FALSE)</f>
        <v>upi</v>
      </c>
      <c r="P1899" s="4" t="s">
        <v>69</v>
      </c>
      <c r="Q1899" s="11">
        <v>44321.930555555555</v>
      </c>
      <c r="R1899" s="4"/>
      <c r="S1899" s="12" t="s">
        <v>5445</v>
      </c>
      <c r="T1899" s="4"/>
      <c r="U1899" s="4"/>
      <c r="V1899" s="11"/>
      <c r="W1899" s="5"/>
      <c r="X1899" s="11"/>
      <c r="Y1899" s="4"/>
      <c r="Z1899" s="5"/>
      <c r="AA1899" s="4"/>
      <c r="AB1899" s="4"/>
      <c r="AC1899" s="4"/>
      <c r="AD1899" s="5"/>
      <c r="AE1899" s="5"/>
      <c r="AF1899" s="5"/>
      <c r="AG1899" s="5"/>
      <c r="AH1899" s="5"/>
      <c r="AI1899" s="5"/>
      <c r="AJ1899" s="5"/>
      <c r="AK1899" s="5"/>
      <c r="AL1899" s="5"/>
    </row>
    <row r="1900">
      <c r="A1900" s="4" t="str">
        <f>VLOOKUP(L1900,payment_ids!C:D,2,FALSE)</f>
        <v>pay_H7TxyFaL6O5cp0</v>
      </c>
      <c r="B1900" s="4"/>
      <c r="C1900" s="4" t="s">
        <v>885</v>
      </c>
      <c r="D1900" s="4">
        <v>49844.0</v>
      </c>
      <c r="E1900" s="4"/>
      <c r="F1900" s="4">
        <v>3.0</v>
      </c>
      <c r="G1900" s="4">
        <v>199.0</v>
      </c>
      <c r="H1900" s="4"/>
      <c r="I1900" s="4">
        <v>199.0</v>
      </c>
      <c r="J1900" s="4" t="s">
        <v>5450</v>
      </c>
      <c r="K1900" s="6">
        <f>+917366912904</f>
        <v>917366912904</v>
      </c>
      <c r="L1900" s="4" t="str">
        <f t="shared" si="1"/>
        <v>shivani.singh6980@gmail.com917366912904</v>
      </c>
      <c r="M1900" s="10" t="s">
        <v>67</v>
      </c>
      <c r="N1900" s="4" t="b">
        <v>0</v>
      </c>
      <c r="O1900" s="4" t="str">
        <f>VLOOKUP(A1900,payment_ids!D:E,2,FALSE)</f>
        <v>upi</v>
      </c>
      <c r="P1900" s="4" t="s">
        <v>69</v>
      </c>
      <c r="Q1900" s="11">
        <v>44352.688888888886</v>
      </c>
      <c r="R1900" s="4"/>
      <c r="S1900" s="12" t="s">
        <v>5445</v>
      </c>
      <c r="T1900" s="4"/>
      <c r="U1900" s="4"/>
      <c r="V1900" s="11"/>
      <c r="W1900" s="5"/>
      <c r="X1900" s="11"/>
      <c r="Y1900" s="4"/>
      <c r="Z1900" s="5"/>
      <c r="AA1900" s="4"/>
      <c r="AB1900" s="4"/>
      <c r="AC1900" s="4"/>
      <c r="AD1900" s="5"/>
      <c r="AE1900" s="5"/>
      <c r="AF1900" s="5"/>
      <c r="AG1900" s="5"/>
      <c r="AH1900" s="5"/>
      <c r="AI1900" s="5"/>
      <c r="AJ1900" s="5"/>
      <c r="AK1900" s="5"/>
      <c r="AL1900" s="5"/>
    </row>
    <row r="1901">
      <c r="A1901" s="4" t="str">
        <f>VLOOKUP(L1901,payment_ids!C:D,2,FALSE)</f>
        <v>pay_H7ya0HdQLvPMmQ</v>
      </c>
      <c r="B1901" s="4"/>
      <c r="C1901" s="4" t="s">
        <v>885</v>
      </c>
      <c r="D1901" s="4">
        <v>49844.0</v>
      </c>
      <c r="E1901" s="4"/>
      <c r="F1901" s="4">
        <v>3.0</v>
      </c>
      <c r="G1901" s="4">
        <v>199.0</v>
      </c>
      <c r="H1901" s="4"/>
      <c r="I1901" s="4">
        <v>199.0</v>
      </c>
      <c r="J1901" s="4" t="s">
        <v>5451</v>
      </c>
      <c r="K1901" s="6">
        <f>+918001976830</f>
        <v>918001976830</v>
      </c>
      <c r="L1901" s="4" t="str">
        <f t="shared" si="1"/>
        <v>gourab93dey@gmail.com918001976830</v>
      </c>
      <c r="M1901" s="10" t="s">
        <v>67</v>
      </c>
      <c r="N1901" s="4" t="b">
        <v>0</v>
      </c>
      <c r="O1901" s="4" t="str">
        <f>VLOOKUP(A1901,payment_ids!D:E,2,FALSE)</f>
        <v>wallet</v>
      </c>
      <c r="P1901" s="4" t="s">
        <v>69</v>
      </c>
      <c r="Q1901" s="11">
        <v>44382.93541666667</v>
      </c>
      <c r="R1901" s="4"/>
      <c r="S1901" s="12" t="s">
        <v>5445</v>
      </c>
      <c r="T1901" s="4"/>
      <c r="U1901" s="4"/>
      <c r="V1901" s="11"/>
      <c r="W1901" s="5"/>
      <c r="X1901" s="11"/>
      <c r="Y1901" s="4"/>
      <c r="Z1901" s="5"/>
      <c r="AA1901" s="4"/>
      <c r="AB1901" s="4"/>
      <c r="AC1901" s="4"/>
      <c r="AD1901" s="5"/>
      <c r="AE1901" s="5"/>
      <c r="AF1901" s="5"/>
      <c r="AG1901" s="5"/>
      <c r="AH1901" s="5"/>
      <c r="AI1901" s="5"/>
      <c r="AJ1901" s="5"/>
      <c r="AK1901" s="5"/>
      <c r="AL1901" s="5"/>
    </row>
    <row r="1902">
      <c r="A1902" s="4" t="str">
        <f>VLOOKUP(L1902,payment_ids!C:D,2,FALSE)</f>
        <v>pay_H8GMLcczTr22Do</v>
      </c>
      <c r="B1902" s="4"/>
      <c r="C1902" s="4" t="s">
        <v>885</v>
      </c>
      <c r="D1902" s="4">
        <v>49844.0</v>
      </c>
      <c r="E1902" s="4"/>
      <c r="F1902" s="4">
        <v>6.0</v>
      </c>
      <c r="G1902" s="4">
        <v>349.0</v>
      </c>
      <c r="H1902" s="4"/>
      <c r="I1902" s="4">
        <v>349.0</v>
      </c>
      <c r="J1902" s="4" t="s">
        <v>5452</v>
      </c>
      <c r="K1902" s="6">
        <f>+918830205595</f>
        <v>918830205595</v>
      </c>
      <c r="L1902" s="4" t="str">
        <f t="shared" si="1"/>
        <v>drayeshashah786@gmail.com918830205595</v>
      </c>
      <c r="M1902" s="10" t="s">
        <v>67</v>
      </c>
      <c r="N1902" s="4" t="b">
        <v>0</v>
      </c>
      <c r="O1902" s="4" t="str">
        <f>VLOOKUP(A1902,payment_ids!D:E,2,FALSE)</f>
        <v>upi</v>
      </c>
      <c r="P1902" s="4" t="s">
        <v>69</v>
      </c>
      <c r="Q1902" s="11">
        <v>44413.660416666666</v>
      </c>
      <c r="R1902" s="4"/>
      <c r="S1902" s="12" t="s">
        <v>5445</v>
      </c>
      <c r="T1902" s="4"/>
      <c r="U1902" s="4"/>
      <c r="V1902" s="11"/>
      <c r="W1902" s="5"/>
      <c r="X1902" s="11"/>
      <c r="Y1902" s="4"/>
      <c r="Z1902" s="5"/>
      <c r="AA1902" s="4"/>
      <c r="AB1902" s="4"/>
      <c r="AC1902" s="4"/>
      <c r="AD1902" s="5"/>
      <c r="AE1902" s="5"/>
      <c r="AF1902" s="5"/>
      <c r="AG1902" s="5"/>
      <c r="AH1902" s="5"/>
      <c r="AI1902" s="5"/>
      <c r="AJ1902" s="5"/>
      <c r="AK1902" s="5"/>
      <c r="AL1902" s="5"/>
    </row>
    <row r="1903">
      <c r="A1903" s="4" t="str">
        <f>VLOOKUP(L1903,payment_ids!C:D,2,FALSE)</f>
        <v>pay_H8GYRWpj70o5s0</v>
      </c>
      <c r="B1903" s="4"/>
      <c r="C1903" s="4" t="s">
        <v>885</v>
      </c>
      <c r="D1903" s="4">
        <v>49844.0</v>
      </c>
      <c r="E1903" s="4"/>
      <c r="F1903" s="4">
        <v>3.0</v>
      </c>
      <c r="G1903" s="4">
        <v>199.0</v>
      </c>
      <c r="H1903" s="4"/>
      <c r="I1903" s="4">
        <v>199.0</v>
      </c>
      <c r="J1903" s="4" t="s">
        <v>5453</v>
      </c>
      <c r="K1903" s="6">
        <f>+916392121375</f>
        <v>916392121375</v>
      </c>
      <c r="L1903" s="4" t="str">
        <f t="shared" si="1"/>
        <v>guptaanand1009@gmail.com916392121375</v>
      </c>
      <c r="M1903" s="10" t="s">
        <v>67</v>
      </c>
      <c r="N1903" s="4" t="b">
        <v>0</v>
      </c>
      <c r="O1903" s="4" t="str">
        <f>VLOOKUP(A1903,payment_ids!D:E,2,FALSE)</f>
        <v>upi</v>
      </c>
      <c r="P1903" s="4" t="s">
        <v>69</v>
      </c>
      <c r="Q1903" s="11">
        <v>44413.66805555556</v>
      </c>
      <c r="R1903" s="4"/>
      <c r="S1903" s="12" t="s">
        <v>5445</v>
      </c>
      <c r="T1903" s="4"/>
      <c r="U1903" s="4"/>
      <c r="V1903" s="11"/>
      <c r="W1903" s="5"/>
      <c r="X1903" s="11"/>
      <c r="Y1903" s="4"/>
      <c r="Z1903" s="5"/>
      <c r="AA1903" s="4"/>
      <c r="AB1903" s="4"/>
      <c r="AC1903" s="4"/>
      <c r="AD1903" s="5"/>
      <c r="AE1903" s="5"/>
      <c r="AF1903" s="5"/>
      <c r="AG1903" s="5"/>
      <c r="AH1903" s="5"/>
      <c r="AI1903" s="5"/>
      <c r="AJ1903" s="5"/>
      <c r="AK1903" s="5"/>
      <c r="AL1903" s="5"/>
    </row>
    <row r="1904">
      <c r="A1904" s="4" t="str">
        <f>VLOOKUP(L1904,payment_ids!C:D,2,FALSE)</f>
        <v>pay_H8dlUsJzQydthx</v>
      </c>
      <c r="B1904" s="4"/>
      <c r="C1904" s="4" t="s">
        <v>885</v>
      </c>
      <c r="D1904" s="4">
        <v>49844.0</v>
      </c>
      <c r="E1904" s="4"/>
      <c r="F1904" s="4">
        <v>1.0</v>
      </c>
      <c r="G1904" s="4">
        <v>99.0</v>
      </c>
      <c r="H1904" s="4"/>
      <c r="I1904" s="4">
        <v>99.0</v>
      </c>
      <c r="J1904" s="4" t="s">
        <v>5454</v>
      </c>
      <c r="K1904" s="6">
        <f>+919539707907</f>
        <v>919539707907</v>
      </c>
      <c r="L1904" s="4" t="str">
        <f t="shared" si="1"/>
        <v>4489005@gmail.com919539707907</v>
      </c>
      <c r="M1904" s="10" t="s">
        <v>67</v>
      </c>
      <c r="N1904" s="4" t="b">
        <v>0</v>
      </c>
      <c r="O1904" s="4" t="str">
        <f>VLOOKUP(A1904,payment_ids!D:E,2,FALSE)</f>
        <v>upi</v>
      </c>
      <c r="P1904" s="4" t="s">
        <v>69</v>
      </c>
      <c r="Q1904" s="11">
        <v>44444.61388888889</v>
      </c>
      <c r="R1904" s="4"/>
      <c r="S1904" s="12" t="s">
        <v>5445</v>
      </c>
      <c r="T1904" s="4"/>
      <c r="U1904" s="4"/>
      <c r="V1904" s="11"/>
      <c r="W1904" s="5"/>
      <c r="X1904" s="11"/>
      <c r="Y1904" s="4"/>
      <c r="Z1904" s="5"/>
      <c r="AA1904" s="4"/>
      <c r="AB1904" s="4"/>
      <c r="AC1904" s="4"/>
      <c r="AD1904" s="5"/>
      <c r="AE1904" s="5"/>
      <c r="AF1904" s="5"/>
      <c r="AG1904" s="5"/>
      <c r="AH1904" s="5"/>
      <c r="AI1904" s="5"/>
      <c r="AJ1904" s="5"/>
      <c r="AK1904" s="5"/>
      <c r="AL1904" s="5"/>
    </row>
    <row r="1905">
      <c r="A1905" s="4" t="str">
        <f>VLOOKUP(L1905,payment_ids!C:D,2,FALSE)</f>
        <v>pay_H8qc8HHohGsc2I</v>
      </c>
      <c r="B1905" s="4"/>
      <c r="C1905" s="4" t="s">
        <v>885</v>
      </c>
      <c r="D1905" s="4">
        <v>49844.0</v>
      </c>
      <c r="E1905" s="4"/>
      <c r="F1905" s="4">
        <v>1.0</v>
      </c>
      <c r="G1905" s="4">
        <v>99.0</v>
      </c>
      <c r="H1905" s="4"/>
      <c r="I1905" s="4">
        <v>99.0</v>
      </c>
      <c r="J1905" s="4" t="s">
        <v>5455</v>
      </c>
      <c r="K1905" s="6">
        <f>+918686808655</f>
        <v>918686808655</v>
      </c>
      <c r="L1905" s="4" t="str">
        <f t="shared" si="1"/>
        <v>rxshah14@gmail.com918686808655</v>
      </c>
      <c r="M1905" s="10" t="s">
        <v>67</v>
      </c>
      <c r="N1905" s="4" t="b">
        <v>0</v>
      </c>
      <c r="O1905" s="4" t="str">
        <f>VLOOKUP(A1905,payment_ids!D:E,2,FALSE)</f>
        <v>upi</v>
      </c>
      <c r="P1905" s="4" t="s">
        <v>69</v>
      </c>
      <c r="Q1905" s="11">
        <v>44474.1375</v>
      </c>
      <c r="R1905" s="4"/>
      <c r="S1905" s="12" t="s">
        <v>5445</v>
      </c>
      <c r="T1905" s="4"/>
      <c r="U1905" s="4"/>
      <c r="V1905" s="11"/>
      <c r="W1905" s="5"/>
      <c r="X1905" s="11"/>
      <c r="Y1905" s="4"/>
      <c r="Z1905" s="5"/>
      <c r="AA1905" s="4"/>
      <c r="AB1905" s="4"/>
      <c r="AC1905" s="4"/>
      <c r="AD1905" s="5"/>
      <c r="AE1905" s="5"/>
      <c r="AF1905" s="5"/>
      <c r="AG1905" s="5"/>
      <c r="AH1905" s="5"/>
      <c r="AI1905" s="5"/>
      <c r="AJ1905" s="5"/>
      <c r="AK1905" s="5"/>
      <c r="AL1905" s="5"/>
    </row>
    <row r="1906">
      <c r="A1906" s="4" t="str">
        <f>VLOOKUP(L1906,payment_ids!C:D,2,FALSE)</f>
        <v>pay_H95r0hsJ1w2v44</v>
      </c>
      <c r="B1906" s="4"/>
      <c r="C1906" s="4" t="s">
        <v>885</v>
      </c>
      <c r="D1906" s="4">
        <v>49844.0</v>
      </c>
      <c r="E1906" s="4"/>
      <c r="F1906" s="4">
        <v>3.0</v>
      </c>
      <c r="G1906" s="4">
        <v>199.0</v>
      </c>
      <c r="H1906" s="4"/>
      <c r="I1906" s="4">
        <v>199.0</v>
      </c>
      <c r="J1906" s="4" t="s">
        <v>5456</v>
      </c>
      <c r="K1906" s="6">
        <f>+917993308196</f>
        <v>917993308196</v>
      </c>
      <c r="L1906" s="4" t="str">
        <f t="shared" si="1"/>
        <v>rahila.gulnazwork@gmail.com917993308196</v>
      </c>
      <c r="M1906" s="10" t="s">
        <v>67</v>
      </c>
      <c r="N1906" s="4" t="b">
        <v>0</v>
      </c>
      <c r="O1906" s="4" t="str">
        <f>VLOOKUP(A1906,payment_ids!D:E,2,FALSE)</f>
        <v>upi</v>
      </c>
      <c r="P1906" s="4" t="s">
        <v>69</v>
      </c>
      <c r="Q1906" s="11">
        <v>44474.75902777778</v>
      </c>
      <c r="R1906" s="4"/>
      <c r="S1906" s="12" t="s">
        <v>5445</v>
      </c>
      <c r="T1906" s="4"/>
      <c r="U1906" s="4"/>
      <c r="V1906" s="11"/>
      <c r="W1906" s="5"/>
      <c r="X1906" s="11"/>
      <c r="Y1906" s="4"/>
      <c r="Z1906" s="5"/>
      <c r="AA1906" s="4"/>
      <c r="AB1906" s="4"/>
      <c r="AC1906" s="4"/>
      <c r="AD1906" s="5"/>
      <c r="AE1906" s="5"/>
      <c r="AF1906" s="5"/>
      <c r="AG1906" s="5"/>
      <c r="AH1906" s="5"/>
      <c r="AI1906" s="5"/>
      <c r="AJ1906" s="5"/>
      <c r="AK1906" s="5"/>
      <c r="AL1906" s="5"/>
    </row>
    <row r="1907">
      <c r="A1907" s="4" t="str">
        <f>VLOOKUP(L1907,payment_ids!C:D,2,FALSE)</f>
        <v>pay_H96w2OEKTKsmx8</v>
      </c>
      <c r="B1907" s="4"/>
      <c r="C1907" s="4" t="s">
        <v>885</v>
      </c>
      <c r="D1907" s="4">
        <v>49844.0</v>
      </c>
      <c r="E1907" s="4"/>
      <c r="F1907" s="4">
        <v>3.0</v>
      </c>
      <c r="G1907" s="4">
        <v>199.0</v>
      </c>
      <c r="H1907" s="4"/>
      <c r="I1907" s="4">
        <v>199.0</v>
      </c>
      <c r="J1907" s="4" t="s">
        <v>5457</v>
      </c>
      <c r="K1907" s="6">
        <f>+917702780527</f>
        <v>917702780527</v>
      </c>
      <c r="L1907" s="4" t="str">
        <f t="shared" si="1"/>
        <v>sparsha.srinivas27595@gmail.com917702780527</v>
      </c>
      <c r="M1907" s="10" t="s">
        <v>67</v>
      </c>
      <c r="N1907" s="4" t="b">
        <v>0</v>
      </c>
      <c r="O1907" s="4" t="str">
        <f>VLOOKUP(A1907,payment_ids!D:E,2,FALSE)</f>
        <v>card</v>
      </c>
      <c r="P1907" s="4" t="s">
        <v>69</v>
      </c>
      <c r="Q1907" s="11">
        <v>44474.802777777775</v>
      </c>
      <c r="R1907" s="4"/>
      <c r="S1907" s="12" t="s">
        <v>5445</v>
      </c>
      <c r="T1907" s="4"/>
      <c r="U1907" s="4"/>
      <c r="V1907" s="11"/>
      <c r="W1907" s="5"/>
      <c r="X1907" s="11"/>
      <c r="Y1907" s="4"/>
      <c r="Z1907" s="5"/>
      <c r="AA1907" s="4"/>
      <c r="AB1907" s="4"/>
      <c r="AC1907" s="4"/>
      <c r="AD1907" s="5"/>
      <c r="AE1907" s="5"/>
      <c r="AF1907" s="5"/>
      <c r="AG1907" s="5"/>
      <c r="AH1907" s="5"/>
      <c r="AI1907" s="5"/>
      <c r="AJ1907" s="5"/>
      <c r="AK1907" s="5"/>
      <c r="AL1907" s="5"/>
    </row>
    <row r="1908">
      <c r="A1908" s="4" t="str">
        <f>VLOOKUP(L1908,payment_ids!C:D,2,FALSE)</f>
        <v>pay_HG9Af4W0w1Tewt</v>
      </c>
      <c r="B1908" s="4"/>
      <c r="C1908" s="4" t="s">
        <v>885</v>
      </c>
      <c r="D1908" s="4">
        <v>49844.0</v>
      </c>
      <c r="E1908" s="5"/>
      <c r="F1908" s="4">
        <v>6.0</v>
      </c>
      <c r="G1908" s="4">
        <v>349.0</v>
      </c>
      <c r="H1908" s="4"/>
      <c r="I1908" s="4">
        <v>349.0</v>
      </c>
      <c r="J1908" s="4" t="s">
        <v>5458</v>
      </c>
      <c r="K1908" s="5">
        <f>+919997436735</f>
        <v>919997436735</v>
      </c>
      <c r="L1908" s="4" t="str">
        <f t="shared" si="1"/>
        <v>mithileshkesari1997@gmail.com919997436735</v>
      </c>
      <c r="M1908" s="10" t="s">
        <v>67</v>
      </c>
      <c r="N1908" s="4" t="b">
        <v>0</v>
      </c>
      <c r="O1908" s="4" t="str">
        <f>VLOOKUP(A1908,payment_ids!D:E,2,FALSE)</f>
        <v>upi</v>
      </c>
      <c r="P1908" s="4" t="s">
        <v>69</v>
      </c>
      <c r="Q1908" s="4" t="s">
        <v>5459</v>
      </c>
      <c r="R1908" s="4"/>
      <c r="S1908" s="12" t="s">
        <v>5445</v>
      </c>
      <c r="T1908" s="5"/>
      <c r="U1908" s="4"/>
      <c r="V1908" s="11"/>
      <c r="W1908" s="5"/>
      <c r="X1908" s="11"/>
      <c r="Y1908" s="4"/>
      <c r="Z1908" s="5"/>
      <c r="AA1908" s="4"/>
      <c r="AB1908" s="4"/>
      <c r="AC1908" s="4"/>
      <c r="AD1908" s="5"/>
      <c r="AE1908" s="5"/>
      <c r="AF1908" s="5"/>
      <c r="AG1908" s="5"/>
      <c r="AH1908" s="5"/>
      <c r="AI1908" s="5"/>
      <c r="AJ1908" s="5"/>
      <c r="AK1908" s="5"/>
      <c r="AL1908" s="5"/>
    </row>
    <row r="1909">
      <c r="A1909" s="4" t="str">
        <f>VLOOKUP(L1909,payment_ids!C:D,2,FALSE)</f>
        <v>pay_HGHFtJDdDfsAGV</v>
      </c>
      <c r="B1909" s="4"/>
      <c r="C1909" s="4" t="s">
        <v>885</v>
      </c>
      <c r="D1909" s="4">
        <v>49844.0</v>
      </c>
      <c r="E1909" s="5"/>
      <c r="F1909" s="4">
        <v>1.0</v>
      </c>
      <c r="G1909" s="4">
        <v>99.0</v>
      </c>
      <c r="H1909" s="4"/>
      <c r="I1909" s="4">
        <v>99.0</v>
      </c>
      <c r="J1909" s="4" t="s">
        <v>5460</v>
      </c>
      <c r="K1909" s="5">
        <f>+917066390470</f>
        <v>917066390470</v>
      </c>
      <c r="L1909" s="4" t="str">
        <f t="shared" si="1"/>
        <v>rajkatariya4@gmail.com917066390470</v>
      </c>
      <c r="M1909" s="10" t="s">
        <v>67</v>
      </c>
      <c r="N1909" s="4" t="b">
        <v>0</v>
      </c>
      <c r="O1909" s="4" t="str">
        <f>VLOOKUP(A1909,payment_ids!D:E,2,FALSE)</f>
        <v>upi</v>
      </c>
      <c r="P1909" s="4" t="s">
        <v>69</v>
      </c>
      <c r="Q1909" s="4" t="s">
        <v>5461</v>
      </c>
      <c r="R1909" s="4"/>
      <c r="S1909" s="12" t="s">
        <v>5445</v>
      </c>
      <c r="T1909" s="5"/>
      <c r="U1909" s="4"/>
      <c r="V1909" s="11"/>
      <c r="W1909" s="5"/>
      <c r="X1909" s="11"/>
      <c r="Y1909" s="4"/>
      <c r="Z1909" s="5"/>
      <c r="AA1909" s="4"/>
      <c r="AB1909" s="4"/>
      <c r="AC1909" s="4"/>
      <c r="AD1909" s="5"/>
      <c r="AE1909" s="5"/>
      <c r="AF1909" s="5"/>
      <c r="AG1909" s="5"/>
      <c r="AH1909" s="5"/>
      <c r="AI1909" s="5"/>
      <c r="AJ1909" s="5"/>
      <c r="AK1909" s="5"/>
      <c r="AL1909" s="5"/>
    </row>
    <row r="1910">
      <c r="A1910" s="4" t="str">
        <f>VLOOKUP(L1910,payment_ids!C:D,2,FALSE)</f>
        <v>pay_HH3WUt3Kq9sMOs</v>
      </c>
      <c r="B1910" s="4"/>
      <c r="C1910" s="4" t="s">
        <v>885</v>
      </c>
      <c r="D1910" s="4">
        <v>49844.0</v>
      </c>
      <c r="E1910" s="5"/>
      <c r="F1910" s="4">
        <v>1.0</v>
      </c>
      <c r="G1910" s="4">
        <v>99.0</v>
      </c>
      <c r="H1910" s="4"/>
      <c r="I1910" s="4">
        <v>99.0</v>
      </c>
      <c r="J1910" s="4" t="s">
        <v>5462</v>
      </c>
      <c r="K1910" s="5">
        <f>+918489174326</f>
        <v>918489174326</v>
      </c>
      <c r="L1910" s="4" t="str">
        <f t="shared" si="1"/>
        <v>deepthiannie8@gmail.com918489174326</v>
      </c>
      <c r="M1910" s="10" t="s">
        <v>67</v>
      </c>
      <c r="N1910" s="4" t="b">
        <v>0</v>
      </c>
      <c r="O1910" s="4" t="str">
        <f>VLOOKUP(A1910,payment_ids!D:E,2,FALSE)</f>
        <v>card</v>
      </c>
      <c r="P1910" s="4" t="s">
        <v>69</v>
      </c>
      <c r="Q1910" s="4" t="s">
        <v>5463</v>
      </c>
      <c r="R1910" s="4"/>
      <c r="S1910" s="12" t="s">
        <v>5445</v>
      </c>
      <c r="T1910" s="5"/>
      <c r="U1910" s="4"/>
      <c r="V1910" s="11"/>
      <c r="W1910" s="5"/>
      <c r="X1910" s="11"/>
      <c r="Y1910" s="4"/>
      <c r="Z1910" s="5"/>
      <c r="AA1910" s="4"/>
      <c r="AB1910" s="4"/>
      <c r="AC1910" s="4"/>
      <c r="AD1910" s="5"/>
      <c r="AE1910" s="5"/>
      <c r="AF1910" s="5"/>
      <c r="AG1910" s="5"/>
      <c r="AH1910" s="5"/>
      <c r="AI1910" s="5"/>
      <c r="AJ1910" s="5"/>
      <c r="AK1910" s="5"/>
      <c r="AL1910" s="5"/>
    </row>
    <row r="1911">
      <c r="A1911" s="4" t="str">
        <f>VLOOKUP(L1911,payment_ids!C:D,2,FALSE)</f>
        <v>pay_HHP04B3NY4TWml</v>
      </c>
      <c r="B1911" s="4"/>
      <c r="C1911" s="4" t="s">
        <v>885</v>
      </c>
      <c r="D1911" s="4">
        <v>49844.0</v>
      </c>
      <c r="E1911" s="5"/>
      <c r="F1911" s="4">
        <v>3.0</v>
      </c>
      <c r="G1911" s="4">
        <v>199.0</v>
      </c>
      <c r="H1911" s="4"/>
      <c r="I1911" s="4">
        <v>199.0</v>
      </c>
      <c r="J1911" s="4" t="s">
        <v>5464</v>
      </c>
      <c r="K1911" s="5">
        <f>+919027925818</f>
        <v>919027925818</v>
      </c>
      <c r="L1911" s="4" t="str">
        <f t="shared" si="1"/>
        <v>amritamallick00@gmail.com919027925818</v>
      </c>
      <c r="M1911" s="10" t="s">
        <v>67</v>
      </c>
      <c r="N1911" s="4" t="b">
        <v>0</v>
      </c>
      <c r="O1911" s="4" t="str">
        <f>VLOOKUP(A1911,payment_ids!D:E,2,FALSE)</f>
        <v>upi</v>
      </c>
      <c r="P1911" s="4" t="s">
        <v>69</v>
      </c>
      <c r="Q1911" s="4" t="s">
        <v>5465</v>
      </c>
      <c r="R1911" s="4"/>
      <c r="S1911" s="12" t="s">
        <v>5445</v>
      </c>
      <c r="T1911" s="5"/>
      <c r="U1911" s="4"/>
      <c r="V1911" s="11"/>
      <c r="W1911" s="5"/>
      <c r="X1911" s="11"/>
      <c r="Y1911" s="4"/>
      <c r="Z1911" s="5"/>
      <c r="AA1911" s="4"/>
      <c r="AB1911" s="4"/>
      <c r="AC1911" s="4"/>
      <c r="AD1911" s="5"/>
      <c r="AE1911" s="5"/>
      <c r="AF1911" s="5"/>
      <c r="AG1911" s="5"/>
      <c r="AH1911" s="5"/>
      <c r="AI1911" s="5"/>
      <c r="AJ1911" s="5"/>
      <c r="AK1911" s="5"/>
      <c r="AL1911" s="5"/>
    </row>
    <row r="1912">
      <c r="A1912" s="4" t="str">
        <f>VLOOKUP(L1912,payment_ids!C:D,2,FALSE)</f>
        <v>pay_HHR2qmWL4E8oLa</v>
      </c>
      <c r="B1912" s="4"/>
      <c r="C1912" s="4" t="s">
        <v>885</v>
      </c>
      <c r="D1912" s="4">
        <v>49844.0</v>
      </c>
      <c r="E1912" s="5"/>
      <c r="F1912" s="4">
        <v>1.0</v>
      </c>
      <c r="G1912" s="4">
        <v>99.0</v>
      </c>
      <c r="H1912" s="4"/>
      <c r="I1912" s="4">
        <v>99.0</v>
      </c>
      <c r="J1912" s="4" t="s">
        <v>5466</v>
      </c>
      <c r="K1912" s="5">
        <f>+919664778552</f>
        <v>919664778552</v>
      </c>
      <c r="L1912" s="4" t="str">
        <f t="shared" si="1"/>
        <v>habsihab2@gmail.com919664778552</v>
      </c>
      <c r="M1912" s="10" t="s">
        <v>67</v>
      </c>
      <c r="N1912" s="4" t="b">
        <v>0</v>
      </c>
      <c r="O1912" s="4" t="str">
        <f>VLOOKUP(A1912,payment_ids!D:E,2,FALSE)</f>
        <v>upi</v>
      </c>
      <c r="P1912" s="4" t="s">
        <v>69</v>
      </c>
      <c r="Q1912" s="4" t="s">
        <v>5467</v>
      </c>
      <c r="R1912" s="4"/>
      <c r="S1912" s="12" t="s">
        <v>5445</v>
      </c>
      <c r="T1912" s="5"/>
      <c r="U1912" s="4"/>
      <c r="V1912" s="11"/>
      <c r="W1912" s="5"/>
      <c r="X1912" s="11"/>
      <c r="Y1912" s="4"/>
      <c r="Z1912" s="5"/>
      <c r="AA1912" s="4"/>
      <c r="AB1912" s="4"/>
      <c r="AC1912" s="4"/>
      <c r="AD1912" s="5"/>
      <c r="AE1912" s="5"/>
      <c r="AF1912" s="5"/>
      <c r="AG1912" s="5"/>
      <c r="AH1912" s="5"/>
      <c r="AI1912" s="5"/>
      <c r="AJ1912" s="5"/>
      <c r="AK1912" s="5"/>
      <c r="AL1912" s="5"/>
    </row>
    <row r="1913">
      <c r="A1913" s="4" t="str">
        <f>VLOOKUP(L1913,payment_ids!C:D,2,FALSE)</f>
        <v>pay_HHXuowbZqg61yY</v>
      </c>
      <c r="B1913" s="4"/>
      <c r="C1913" s="4" t="s">
        <v>885</v>
      </c>
      <c r="D1913" s="4">
        <v>49844.0</v>
      </c>
      <c r="E1913" s="5"/>
      <c r="F1913" s="4">
        <v>1.0</v>
      </c>
      <c r="G1913" s="4">
        <v>99.0</v>
      </c>
      <c r="H1913" s="4"/>
      <c r="I1913" s="4">
        <v>99.0</v>
      </c>
      <c r="J1913" s="4" t="s">
        <v>5468</v>
      </c>
      <c r="K1913" s="5">
        <f>+919080028916</f>
        <v>919080028916</v>
      </c>
      <c r="L1913" s="4" t="str">
        <f t="shared" si="1"/>
        <v>s.ramsaiaravindh@gmail.com919080028916</v>
      </c>
      <c r="M1913" s="10" t="s">
        <v>67</v>
      </c>
      <c r="N1913" s="4" t="b">
        <v>0</v>
      </c>
      <c r="O1913" s="4" t="str">
        <f>VLOOKUP(A1913,payment_ids!D:E,2,FALSE)</f>
        <v>upi</v>
      </c>
      <c r="P1913" s="4" t="s">
        <v>69</v>
      </c>
      <c r="Q1913" s="11">
        <v>44202.12013888889</v>
      </c>
      <c r="R1913" s="4"/>
      <c r="S1913" s="12" t="s">
        <v>5445</v>
      </c>
      <c r="T1913" s="5"/>
      <c r="U1913" s="4"/>
      <c r="V1913" s="11"/>
      <c r="W1913" s="5"/>
      <c r="X1913" s="11"/>
      <c r="Y1913" s="4"/>
      <c r="Z1913" s="5"/>
      <c r="AA1913" s="4"/>
      <c r="AB1913" s="4"/>
      <c r="AC1913" s="4"/>
      <c r="AD1913" s="5"/>
      <c r="AE1913" s="5"/>
      <c r="AF1913" s="5"/>
      <c r="AG1913" s="5"/>
      <c r="AH1913" s="5"/>
      <c r="AI1913" s="5"/>
      <c r="AJ1913" s="5"/>
      <c r="AK1913" s="5"/>
      <c r="AL1913" s="5"/>
    </row>
    <row r="1914">
      <c r="A1914" s="4" t="str">
        <f>VLOOKUP(L1914,payment_ids!C:D,2,FALSE)</f>
        <v>pay_HHaLhNpczQTOdU</v>
      </c>
      <c r="B1914" s="4"/>
      <c r="C1914" s="4" t="s">
        <v>885</v>
      </c>
      <c r="D1914" s="4">
        <v>49844.0</v>
      </c>
      <c r="E1914" s="5"/>
      <c r="F1914" s="4">
        <v>1.0</v>
      </c>
      <c r="G1914" s="4">
        <v>99.0</v>
      </c>
      <c r="H1914" s="4"/>
      <c r="I1914" s="4">
        <v>99.0</v>
      </c>
      <c r="J1914" s="4" t="s">
        <v>5469</v>
      </c>
      <c r="K1914" s="5">
        <f>+919003754317</f>
        <v>919003754317</v>
      </c>
      <c r="L1914" s="4" t="str">
        <f t="shared" si="1"/>
        <v>srshshobi@gmail.com919003754317</v>
      </c>
      <c r="M1914" s="10" t="s">
        <v>67</v>
      </c>
      <c r="N1914" s="4" t="b">
        <v>0</v>
      </c>
      <c r="O1914" s="4" t="str">
        <f>VLOOKUP(A1914,payment_ids!D:E,2,FALSE)</f>
        <v>upi</v>
      </c>
      <c r="P1914" s="4" t="s">
        <v>69</v>
      </c>
      <c r="Q1914" s="11">
        <v>44202.21875</v>
      </c>
      <c r="R1914" s="4"/>
      <c r="S1914" s="12" t="s">
        <v>5445</v>
      </c>
      <c r="T1914" s="5"/>
      <c r="U1914" s="4"/>
      <c r="V1914" s="11"/>
      <c r="W1914" s="5"/>
      <c r="X1914" s="11"/>
      <c r="Y1914" s="4"/>
      <c r="Z1914" s="5"/>
      <c r="AA1914" s="4"/>
      <c r="AB1914" s="4"/>
      <c r="AC1914" s="4"/>
      <c r="AD1914" s="5"/>
      <c r="AE1914" s="5"/>
      <c r="AF1914" s="5"/>
      <c r="AG1914" s="5"/>
      <c r="AH1914" s="5"/>
      <c r="AI1914" s="5"/>
      <c r="AJ1914" s="5"/>
      <c r="AK1914" s="5"/>
      <c r="AL1914" s="5"/>
    </row>
    <row r="1915">
      <c r="A1915" s="4" t="str">
        <f>VLOOKUP(L1915,payment_ids!C:D,2,FALSE)</f>
        <v>pay_HHoTiTALTRwWeS</v>
      </c>
      <c r="B1915" s="4"/>
      <c r="C1915" s="4" t="s">
        <v>885</v>
      </c>
      <c r="D1915" s="4">
        <v>49844.0</v>
      </c>
      <c r="E1915" s="5"/>
      <c r="F1915" s="4">
        <v>3.0</v>
      </c>
      <c r="G1915" s="4">
        <v>199.0</v>
      </c>
      <c r="H1915" s="4"/>
      <c r="I1915" s="4">
        <v>199.0</v>
      </c>
      <c r="J1915" s="4" t="s">
        <v>5470</v>
      </c>
      <c r="K1915" s="5">
        <f>+919686244607</f>
        <v>919686244607</v>
      </c>
      <c r="L1915" s="4" t="str">
        <f t="shared" si="1"/>
        <v>vinay4607.19@kgmcindia.edu919686244607</v>
      </c>
      <c r="M1915" s="10" t="s">
        <v>67</v>
      </c>
      <c r="N1915" s="4" t="b">
        <v>0</v>
      </c>
      <c r="O1915" s="4" t="str">
        <f>VLOOKUP(A1915,payment_ids!D:E,2,FALSE)</f>
        <v>upi</v>
      </c>
      <c r="P1915" s="4" t="s">
        <v>69</v>
      </c>
      <c r="Q1915" s="11">
        <v>44202.794444444444</v>
      </c>
      <c r="R1915" s="4"/>
      <c r="S1915" s="12" t="s">
        <v>5445</v>
      </c>
      <c r="T1915" s="5"/>
      <c r="U1915" s="4"/>
      <c r="V1915" s="11"/>
      <c r="W1915" s="5"/>
      <c r="X1915" s="11"/>
      <c r="Y1915" s="4"/>
      <c r="Z1915" s="5"/>
      <c r="AA1915" s="4"/>
      <c r="AB1915" s="4"/>
      <c r="AC1915" s="4"/>
      <c r="AD1915" s="5"/>
      <c r="AE1915" s="5"/>
      <c r="AF1915" s="5"/>
      <c r="AG1915" s="5"/>
      <c r="AH1915" s="5"/>
      <c r="AI1915" s="5"/>
      <c r="AJ1915" s="5"/>
      <c r="AK1915" s="5"/>
      <c r="AL1915" s="5"/>
    </row>
    <row r="1916">
      <c r="A1916" s="4" t="str">
        <f>VLOOKUP(L1916,payment_ids!C:D,2,FALSE)</f>
        <v>pay_HI3zqgfFuveGdq</v>
      </c>
      <c r="B1916" s="4"/>
      <c r="C1916" s="4" t="s">
        <v>885</v>
      </c>
      <c r="D1916" s="4">
        <v>49844.0</v>
      </c>
      <c r="E1916" s="5"/>
      <c r="F1916" s="4">
        <v>1.0</v>
      </c>
      <c r="G1916" s="4">
        <v>99.0</v>
      </c>
      <c r="H1916" s="4"/>
      <c r="I1916" s="4">
        <v>99.0</v>
      </c>
      <c r="J1916" s="4" t="s">
        <v>5471</v>
      </c>
      <c r="K1916" s="5">
        <f>+919566419332</f>
        <v>919566419332</v>
      </c>
      <c r="L1916" s="4" t="str">
        <f t="shared" si="1"/>
        <v>maliniprithivakumari@gmail.com919566419332</v>
      </c>
      <c r="M1916" s="10" t="s">
        <v>67</v>
      </c>
      <c r="N1916" s="4" t="b">
        <v>0</v>
      </c>
      <c r="O1916" s="4" t="str">
        <f>VLOOKUP(A1916,payment_ids!D:E,2,FALSE)</f>
        <v>upi</v>
      </c>
      <c r="P1916" s="4" t="s">
        <v>69</v>
      </c>
      <c r="Q1916" s="11">
        <v>44233.427083333336</v>
      </c>
      <c r="R1916" s="4"/>
      <c r="S1916" s="12" t="s">
        <v>5445</v>
      </c>
      <c r="T1916" s="5"/>
      <c r="U1916" s="4"/>
      <c r="V1916" s="11"/>
      <c r="W1916" s="5"/>
      <c r="X1916" s="11"/>
      <c r="Y1916" s="4"/>
      <c r="Z1916" s="5"/>
      <c r="AA1916" s="4"/>
      <c r="AB1916" s="4"/>
      <c r="AC1916" s="4"/>
      <c r="AD1916" s="5"/>
      <c r="AE1916" s="5"/>
      <c r="AF1916" s="5"/>
      <c r="AG1916" s="5"/>
      <c r="AH1916" s="5"/>
      <c r="AI1916" s="5"/>
      <c r="AJ1916" s="5"/>
      <c r="AK1916" s="5"/>
      <c r="AL1916" s="5"/>
    </row>
    <row r="1917">
      <c r="A1917" s="4" t="str">
        <f>VLOOKUP(L1917,payment_ids!C:D,2,FALSE)</f>
        <v>pay_HI769SiHlwUgAj</v>
      </c>
      <c r="B1917" s="4"/>
      <c r="C1917" s="4" t="s">
        <v>885</v>
      </c>
      <c r="D1917" s="4">
        <v>49844.0</v>
      </c>
      <c r="E1917" s="5"/>
      <c r="F1917" s="4">
        <v>1.0</v>
      </c>
      <c r="G1917" s="4">
        <v>99.0</v>
      </c>
      <c r="H1917" s="4"/>
      <c r="I1917" s="4">
        <v>99.0</v>
      </c>
      <c r="J1917" s="4" t="s">
        <v>5472</v>
      </c>
      <c r="K1917" s="5">
        <f>+919550343320</f>
        <v>919550343320</v>
      </c>
      <c r="L1917" s="4" t="str">
        <f t="shared" si="1"/>
        <v>aligetilokesh@gmail.com919550343320</v>
      </c>
      <c r="M1917" s="10" t="s">
        <v>67</v>
      </c>
      <c r="N1917" s="4" t="b">
        <v>0</v>
      </c>
      <c r="O1917" s="4" t="str">
        <f>VLOOKUP(A1917,payment_ids!D:E,2,FALSE)</f>
        <v>wallet</v>
      </c>
      <c r="P1917" s="4" t="s">
        <v>69</v>
      </c>
      <c r="Q1917" s="11">
        <v>44233.55347222222</v>
      </c>
      <c r="R1917" s="4"/>
      <c r="S1917" s="12" t="s">
        <v>5445</v>
      </c>
      <c r="T1917" s="5"/>
      <c r="U1917" s="4"/>
      <c r="V1917" s="11"/>
      <c r="W1917" s="5"/>
      <c r="X1917" s="11"/>
      <c r="Y1917" s="4"/>
      <c r="Z1917" s="5"/>
      <c r="AA1917" s="4"/>
      <c r="AB1917" s="4"/>
      <c r="AC1917" s="4"/>
      <c r="AD1917" s="5"/>
      <c r="AE1917" s="5"/>
      <c r="AF1917" s="5"/>
      <c r="AG1917" s="5"/>
      <c r="AH1917" s="5"/>
      <c r="AI1917" s="5"/>
      <c r="AJ1917" s="5"/>
      <c r="AK1917" s="5"/>
      <c r="AL1917" s="5"/>
    </row>
    <row r="1918">
      <c r="A1918" s="4" t="str">
        <f>VLOOKUP(L1918,payment_ids!C:D,2,FALSE)</f>
        <v>pay_HI7kD7bT7WEM76</v>
      </c>
      <c r="B1918" s="4"/>
      <c r="C1918" s="4" t="s">
        <v>885</v>
      </c>
      <c r="D1918" s="4">
        <v>49844.0</v>
      </c>
      <c r="E1918" s="5"/>
      <c r="F1918" s="4">
        <v>1.0</v>
      </c>
      <c r="G1918" s="4">
        <v>99.0</v>
      </c>
      <c r="H1918" s="4"/>
      <c r="I1918" s="4">
        <v>99.0</v>
      </c>
      <c r="J1918" s="4" t="s">
        <v>5473</v>
      </c>
      <c r="K1918" s="5">
        <f>+918770849568</f>
        <v>918770849568</v>
      </c>
      <c r="L1918" s="4" t="str">
        <f t="shared" si="1"/>
        <v>istiyaqmansuri29@gmail.com918770849568</v>
      </c>
      <c r="M1918" s="10" t="s">
        <v>67</v>
      </c>
      <c r="N1918" s="4" t="b">
        <v>0</v>
      </c>
      <c r="O1918" s="4" t="str">
        <f>VLOOKUP(A1918,payment_ids!D:E,2,FALSE)</f>
        <v>upi</v>
      </c>
      <c r="P1918" s="4" t="s">
        <v>69</v>
      </c>
      <c r="Q1918" s="11">
        <v>44233.57916666667</v>
      </c>
      <c r="R1918" s="4"/>
      <c r="S1918" s="12" t="s">
        <v>5445</v>
      </c>
      <c r="T1918" s="5"/>
      <c r="U1918" s="4"/>
      <c r="V1918" s="11"/>
      <c r="W1918" s="5"/>
      <c r="X1918" s="11"/>
      <c r="Y1918" s="4"/>
      <c r="Z1918" s="5"/>
      <c r="AA1918" s="4"/>
      <c r="AB1918" s="4"/>
      <c r="AC1918" s="4"/>
      <c r="AD1918" s="5"/>
      <c r="AE1918" s="5"/>
      <c r="AF1918" s="5"/>
      <c r="AG1918" s="5"/>
      <c r="AH1918" s="5"/>
      <c r="AI1918" s="5"/>
      <c r="AJ1918" s="5"/>
      <c r="AK1918" s="5"/>
      <c r="AL1918" s="5"/>
    </row>
    <row r="1919">
      <c r="A1919" s="4" t="str">
        <f>VLOOKUP(L1919,payment_ids!C:D,2,FALSE)</f>
        <v>pay_HI8gcYbBNOlklk</v>
      </c>
      <c r="B1919" s="4"/>
      <c r="C1919" s="4" t="s">
        <v>885</v>
      </c>
      <c r="D1919" s="4">
        <v>49844.0</v>
      </c>
      <c r="E1919" s="5"/>
      <c r="F1919" s="4">
        <v>1.0</v>
      </c>
      <c r="G1919" s="4">
        <v>99.0</v>
      </c>
      <c r="H1919" s="4"/>
      <c r="I1919" s="4">
        <v>99.0</v>
      </c>
      <c r="J1919" s="4" t="s">
        <v>5474</v>
      </c>
      <c r="K1919" s="5">
        <f>+918320657503</f>
        <v>918320657503</v>
      </c>
      <c r="L1919" s="4" t="str">
        <f t="shared" si="1"/>
        <v>kinjalmehta0108@gmail.com918320657503</v>
      </c>
      <c r="M1919" s="10" t="s">
        <v>67</v>
      </c>
      <c r="N1919" s="4" t="b">
        <v>0</v>
      </c>
      <c r="O1919" s="4" t="str">
        <f>VLOOKUP(A1919,payment_ids!D:E,2,FALSE)</f>
        <v>upi</v>
      </c>
      <c r="P1919" s="4" t="s">
        <v>69</v>
      </c>
      <c r="Q1919" s="11">
        <v>44233.61875</v>
      </c>
      <c r="R1919" s="4"/>
      <c r="S1919" s="12" t="s">
        <v>5445</v>
      </c>
      <c r="T1919" s="5"/>
      <c r="U1919" s="4"/>
      <c r="V1919" s="11"/>
      <c r="W1919" s="5"/>
      <c r="X1919" s="11"/>
      <c r="Y1919" s="4"/>
      <c r="Z1919" s="5"/>
      <c r="AA1919" s="4"/>
      <c r="AB1919" s="4"/>
      <c r="AC1919" s="4"/>
      <c r="AD1919" s="5"/>
      <c r="AE1919" s="5"/>
      <c r="AF1919" s="5"/>
      <c r="AG1919" s="5"/>
      <c r="AH1919" s="5"/>
      <c r="AI1919" s="5"/>
      <c r="AJ1919" s="5"/>
      <c r="AK1919" s="5"/>
      <c r="AL1919" s="5"/>
    </row>
    <row r="1920">
      <c r="A1920" s="4" t="str">
        <f>VLOOKUP(L1920,payment_ids!C:D,2,FALSE)</f>
        <v>pay_HIRLbyrSuojMYn</v>
      </c>
      <c r="B1920" s="4"/>
      <c r="C1920" s="4" t="s">
        <v>885</v>
      </c>
      <c r="D1920" s="4">
        <v>49844.0</v>
      </c>
      <c r="E1920" s="5"/>
      <c r="F1920" s="4">
        <v>1.0</v>
      </c>
      <c r="G1920" s="4">
        <v>99.0</v>
      </c>
      <c r="H1920" s="4"/>
      <c r="I1920" s="4">
        <v>99.0</v>
      </c>
      <c r="J1920" s="4" t="s">
        <v>5475</v>
      </c>
      <c r="K1920" s="5">
        <f>+918878177386</f>
        <v>918878177386</v>
      </c>
      <c r="L1920" s="4" t="str">
        <f t="shared" si="1"/>
        <v>ayushjain1309@gmail.com918878177386</v>
      </c>
      <c r="M1920" s="10" t="s">
        <v>67</v>
      </c>
      <c r="N1920" s="4" t="b">
        <v>0</v>
      </c>
      <c r="O1920" s="4" t="str">
        <f>VLOOKUP(A1920,payment_ids!D:E,2,FALSE)</f>
        <v>upi</v>
      </c>
      <c r="P1920" s="4" t="s">
        <v>69</v>
      </c>
      <c r="Q1920" s="11">
        <v>44261.37847222222</v>
      </c>
      <c r="R1920" s="4"/>
      <c r="S1920" s="12" t="s">
        <v>5476</v>
      </c>
      <c r="T1920" s="5"/>
      <c r="U1920" s="4"/>
      <c r="V1920" s="11"/>
      <c r="W1920" s="5"/>
      <c r="X1920" s="11"/>
      <c r="Y1920" s="4"/>
      <c r="Z1920" s="5"/>
      <c r="AA1920" s="4"/>
      <c r="AB1920" s="4"/>
      <c r="AC1920" s="4"/>
      <c r="AD1920" s="5"/>
      <c r="AE1920" s="5"/>
      <c r="AF1920" s="5"/>
      <c r="AG1920" s="5"/>
      <c r="AH1920" s="5"/>
      <c r="AI1920" s="5"/>
      <c r="AJ1920" s="5"/>
      <c r="AK1920" s="5"/>
      <c r="AL1920" s="5"/>
    </row>
    <row r="1921">
      <c r="A1921" s="4" t="str">
        <f>VLOOKUP(L1921,payment_ids!C:D,2,FALSE)</f>
        <v>pay_HIT8lWy6He50F4</v>
      </c>
      <c r="B1921" s="4"/>
      <c r="C1921" s="4" t="s">
        <v>885</v>
      </c>
      <c r="D1921" s="4">
        <v>49844.0</v>
      </c>
      <c r="E1921" s="5"/>
      <c r="F1921" s="4">
        <v>1.0</v>
      </c>
      <c r="G1921" s="4">
        <v>99.0</v>
      </c>
      <c r="H1921" s="4"/>
      <c r="I1921" s="4">
        <v>99.0</v>
      </c>
      <c r="J1921" s="4" t="s">
        <v>5477</v>
      </c>
      <c r="K1921" s="5">
        <f>+918296632605</f>
        <v>918296632605</v>
      </c>
      <c r="L1921" s="4" t="str">
        <f t="shared" si="1"/>
        <v>chetanreddy19@gmail.com918296632605</v>
      </c>
      <c r="M1921" s="10" t="s">
        <v>67</v>
      </c>
      <c r="N1921" s="4" t="b">
        <v>0</v>
      </c>
      <c r="O1921" s="4" t="str">
        <f>VLOOKUP(A1921,payment_ids!D:E,2,FALSE)</f>
        <v>upi</v>
      </c>
      <c r="P1921" s="4" t="s">
        <v>69</v>
      </c>
      <c r="Q1921" s="11">
        <v>44261.45208333333</v>
      </c>
      <c r="R1921" s="4"/>
      <c r="S1921" s="12" t="s">
        <v>5476</v>
      </c>
      <c r="T1921" s="5"/>
      <c r="U1921" s="4"/>
      <c r="V1921" s="11"/>
      <c r="W1921" s="5"/>
      <c r="X1921" s="11"/>
      <c r="Y1921" s="4"/>
      <c r="Z1921" s="5"/>
      <c r="AA1921" s="4"/>
      <c r="AB1921" s="4"/>
      <c r="AC1921" s="4"/>
      <c r="AD1921" s="5"/>
      <c r="AE1921" s="5"/>
      <c r="AF1921" s="5"/>
      <c r="AG1921" s="5"/>
      <c r="AH1921" s="5"/>
      <c r="AI1921" s="5"/>
      <c r="AJ1921" s="5"/>
      <c r="AK1921" s="5"/>
      <c r="AL1921" s="5"/>
    </row>
    <row r="1922">
      <c r="A1922" s="4" t="str">
        <f>VLOOKUP(L1922,payment_ids!C:D,2,FALSE)</f>
        <v>pay_HIvJO1YY3oSp48</v>
      </c>
      <c r="B1922" s="4"/>
      <c r="C1922" s="4" t="s">
        <v>885</v>
      </c>
      <c r="D1922" s="4">
        <v>49844.0</v>
      </c>
      <c r="E1922" s="5"/>
      <c r="F1922" s="4">
        <v>6.0</v>
      </c>
      <c r="G1922" s="4">
        <v>349.0</v>
      </c>
      <c r="H1922" s="4"/>
      <c r="I1922" s="4">
        <v>349.0</v>
      </c>
      <c r="J1922" s="4" t="s">
        <v>5478</v>
      </c>
      <c r="K1922" s="5">
        <f>+919091560661</f>
        <v>919091560661</v>
      </c>
      <c r="L1922" s="4" t="str">
        <f t="shared" si="1"/>
        <v>das.anik3@gmail.com919091560661</v>
      </c>
      <c r="M1922" s="10" t="s">
        <v>67</v>
      </c>
      <c r="N1922" s="4" t="b">
        <v>0</v>
      </c>
      <c r="O1922" s="4" t="str">
        <f>VLOOKUP(A1922,payment_ids!D:E,2,FALSE)</f>
        <v>upi</v>
      </c>
      <c r="P1922" s="4" t="s">
        <v>69</v>
      </c>
      <c r="Q1922" s="11">
        <v>44292.6</v>
      </c>
      <c r="R1922" s="4"/>
      <c r="S1922" s="12" t="s">
        <v>5476</v>
      </c>
      <c r="T1922" s="5"/>
      <c r="U1922" s="4"/>
      <c r="V1922" s="11"/>
      <c r="W1922" s="5"/>
      <c r="X1922" s="11"/>
      <c r="Y1922" s="4"/>
      <c r="Z1922" s="5"/>
      <c r="AA1922" s="4"/>
      <c r="AB1922" s="4"/>
      <c r="AC1922" s="4"/>
      <c r="AD1922" s="5"/>
      <c r="AE1922" s="5"/>
      <c r="AF1922" s="5"/>
      <c r="AG1922" s="5"/>
      <c r="AH1922" s="5"/>
      <c r="AI1922" s="5"/>
      <c r="AJ1922" s="5"/>
      <c r="AK1922" s="5"/>
      <c r="AL1922" s="5"/>
    </row>
    <row r="1923">
      <c r="A1923" s="4" t="str">
        <f>VLOOKUP(L1923,payment_ids!C:D,2,FALSE)</f>
        <v>pay_HJkZ4KLZXbkueQ</v>
      </c>
      <c r="B1923" s="4"/>
      <c r="C1923" s="4" t="s">
        <v>885</v>
      </c>
      <c r="D1923" s="4">
        <v>49844.0</v>
      </c>
      <c r="E1923" s="5"/>
      <c r="F1923" s="4">
        <v>1.0</v>
      </c>
      <c r="G1923" s="4">
        <v>99.0</v>
      </c>
      <c r="H1923" s="4"/>
      <c r="I1923" s="4">
        <v>99.0</v>
      </c>
      <c r="J1923" s="4" t="s">
        <v>5479</v>
      </c>
      <c r="K1923" s="5">
        <f>+918408011996</f>
        <v>918408011996</v>
      </c>
      <c r="L1923" s="4" t="str">
        <f t="shared" si="1"/>
        <v>tadasareniraj@gmail.com918408011996</v>
      </c>
      <c r="M1923" s="10" t="s">
        <v>67</v>
      </c>
      <c r="N1923" s="4" t="b">
        <v>0</v>
      </c>
      <c r="O1923" s="4" t="str">
        <f>VLOOKUP(A1923,payment_ids!D:E,2,FALSE)</f>
        <v>upi</v>
      </c>
      <c r="P1923" s="4" t="s">
        <v>69</v>
      </c>
      <c r="Q1923" s="11">
        <v>44353.688888888886</v>
      </c>
      <c r="R1923" s="4"/>
      <c r="S1923" s="12" t="s">
        <v>5476</v>
      </c>
      <c r="T1923" s="5"/>
      <c r="U1923" s="4"/>
      <c r="V1923" s="11"/>
      <c r="W1923" s="5"/>
      <c r="X1923" s="11"/>
      <c r="Y1923" s="4"/>
      <c r="Z1923" s="5"/>
      <c r="AA1923" s="4"/>
      <c r="AB1923" s="4"/>
      <c r="AC1923" s="4"/>
      <c r="AD1923" s="5"/>
      <c r="AE1923" s="5"/>
      <c r="AF1923" s="5"/>
      <c r="AG1923" s="5"/>
      <c r="AH1923" s="5"/>
      <c r="AI1923" s="5"/>
      <c r="AJ1923" s="5"/>
      <c r="AK1923" s="5"/>
      <c r="AL1923" s="5"/>
    </row>
    <row r="1924">
      <c r="A1924" s="4" t="str">
        <f>VLOOKUP(L1924,payment_ids!C:D,2,FALSE)</f>
        <v>pay_HJltNyAVxNHu2C</v>
      </c>
      <c r="B1924" s="4"/>
      <c r="C1924" s="4" t="s">
        <v>885</v>
      </c>
      <c r="D1924" s="4">
        <v>49844.0</v>
      </c>
      <c r="E1924" s="5"/>
      <c r="F1924" s="4">
        <v>3.0</v>
      </c>
      <c r="G1924" s="4">
        <v>199.0</v>
      </c>
      <c r="H1924" s="4"/>
      <c r="I1924" s="4">
        <v>199.0</v>
      </c>
      <c r="J1924" s="4" t="s">
        <v>5480</v>
      </c>
      <c r="K1924" s="5">
        <f>+918504043456</f>
        <v>918504043456</v>
      </c>
      <c r="L1924" s="4" t="str">
        <f t="shared" si="1"/>
        <v>vmittalvishalmittal1234@gmail.com918504043456</v>
      </c>
      <c r="M1924" s="10" t="s">
        <v>67</v>
      </c>
      <c r="N1924" s="4" t="b">
        <v>0</v>
      </c>
      <c r="O1924" s="4" t="str">
        <f>VLOOKUP(A1924,payment_ids!D:E,2,FALSE)</f>
        <v>upi</v>
      </c>
      <c r="P1924" s="4" t="s">
        <v>69</v>
      </c>
      <c r="Q1924" s="11">
        <v>44353.743055555555</v>
      </c>
      <c r="R1924" s="4"/>
      <c r="S1924" s="12" t="s">
        <v>5476</v>
      </c>
      <c r="T1924" s="5"/>
      <c r="U1924" s="4"/>
      <c r="V1924" s="11"/>
      <c r="W1924" s="5"/>
      <c r="X1924" s="11"/>
      <c r="Y1924" s="4"/>
      <c r="Z1924" s="5"/>
      <c r="AA1924" s="4"/>
      <c r="AB1924" s="4"/>
      <c r="AC1924" s="4"/>
      <c r="AD1924" s="5"/>
      <c r="AE1924" s="5"/>
      <c r="AF1924" s="5"/>
      <c r="AG1924" s="5"/>
      <c r="AH1924" s="5"/>
      <c r="AI1924" s="5"/>
      <c r="AJ1924" s="5"/>
      <c r="AK1924" s="5"/>
      <c r="AL1924" s="5"/>
    </row>
    <row r="1925">
      <c r="A1925" s="4" t="str">
        <f>VLOOKUP(L1925,payment_ids!C:D,2,FALSE)</f>
        <v>pay_HK2ckbwphPl7eG</v>
      </c>
      <c r="B1925" s="4"/>
      <c r="C1925" s="4" t="s">
        <v>885</v>
      </c>
      <c r="D1925" s="4">
        <v>49844.0</v>
      </c>
      <c r="E1925" s="5"/>
      <c r="F1925" s="4">
        <v>1.0</v>
      </c>
      <c r="G1925" s="4">
        <v>99.0</v>
      </c>
      <c r="H1925" s="4"/>
      <c r="I1925" s="4">
        <v>99.0</v>
      </c>
      <c r="J1925" s="4" t="s">
        <v>5481</v>
      </c>
      <c r="K1925" s="5">
        <f>+919773736657</f>
        <v>919773736657</v>
      </c>
      <c r="L1925" s="4" t="str">
        <f t="shared" si="1"/>
        <v>japman.dang@gmail.com919773736657</v>
      </c>
      <c r="M1925" s="10" t="s">
        <v>67</v>
      </c>
      <c r="N1925" s="4" t="b">
        <v>0</v>
      </c>
      <c r="O1925" s="4" t="str">
        <f>VLOOKUP(A1925,payment_ids!D:E,2,FALSE)</f>
        <v>upi</v>
      </c>
      <c r="P1925" s="4" t="s">
        <v>69</v>
      </c>
      <c r="Q1925" s="11">
        <v>44383.425</v>
      </c>
      <c r="R1925" s="4"/>
      <c r="S1925" s="12" t="s">
        <v>5476</v>
      </c>
      <c r="T1925" s="5"/>
      <c r="U1925" s="4"/>
      <c r="V1925" s="11"/>
      <c r="W1925" s="5"/>
      <c r="X1925" s="11"/>
      <c r="Y1925" s="4"/>
      <c r="Z1925" s="5"/>
      <c r="AA1925" s="4"/>
      <c r="AB1925" s="4"/>
      <c r="AC1925" s="4"/>
      <c r="AD1925" s="5"/>
      <c r="AE1925" s="5"/>
      <c r="AF1925" s="5"/>
      <c r="AG1925" s="5"/>
      <c r="AH1925" s="5"/>
      <c r="AI1925" s="5"/>
      <c r="AJ1925" s="5"/>
      <c r="AK1925" s="5"/>
      <c r="AL1925" s="5"/>
    </row>
    <row r="1926">
      <c r="A1926" s="4" t="str">
        <f>VLOOKUP(L1926,payment_ids!C:D,2,FALSE)</f>
        <v>pay_HK6KuAAwrScHcf</v>
      </c>
      <c r="B1926" s="4"/>
      <c r="C1926" s="4" t="s">
        <v>885</v>
      </c>
      <c r="D1926" s="4">
        <v>49844.0</v>
      </c>
      <c r="E1926" s="5"/>
      <c r="F1926" s="4">
        <v>1.0</v>
      </c>
      <c r="G1926" s="4">
        <v>99.0</v>
      </c>
      <c r="H1926" s="4"/>
      <c r="I1926" s="4">
        <v>99.0</v>
      </c>
      <c r="J1926" s="4" t="s">
        <v>5482</v>
      </c>
      <c r="K1926" s="5">
        <f t="shared" ref="K1926:K1930" si="10">+919167095969</f>
        <v>919167095969</v>
      </c>
      <c r="L1926" s="4" t="str">
        <f t="shared" si="1"/>
        <v>sharmamanisha081198@gmail.com919167095969</v>
      </c>
      <c r="M1926" s="10" t="s">
        <v>67</v>
      </c>
      <c r="N1926" s="4" t="b">
        <v>0</v>
      </c>
      <c r="O1926" s="4" t="str">
        <f>VLOOKUP(A1926,payment_ids!D:E,2,FALSE)</f>
        <v>upi</v>
      </c>
      <c r="P1926" s="4" t="s">
        <v>69</v>
      </c>
      <c r="Q1926" s="11">
        <v>44383.580555555556</v>
      </c>
      <c r="R1926" s="4"/>
      <c r="S1926" s="12" t="s">
        <v>5476</v>
      </c>
      <c r="T1926" s="5"/>
      <c r="U1926" s="4"/>
      <c r="V1926" s="11"/>
      <c r="W1926" s="5"/>
      <c r="X1926" s="11"/>
      <c r="Y1926" s="4"/>
      <c r="Z1926" s="5"/>
      <c r="AA1926" s="4"/>
      <c r="AB1926" s="4"/>
      <c r="AC1926" s="4"/>
      <c r="AD1926" s="5"/>
      <c r="AE1926" s="5"/>
      <c r="AF1926" s="5"/>
      <c r="AG1926" s="5"/>
      <c r="AH1926" s="5"/>
      <c r="AI1926" s="5"/>
      <c r="AJ1926" s="5"/>
      <c r="AK1926" s="5"/>
      <c r="AL1926" s="5"/>
    </row>
    <row r="1927">
      <c r="A1927" s="4" t="str">
        <f>VLOOKUP(L1927,payment_ids!C:D,2,FALSE)</f>
        <v>pay_HK6KuAAwrScHcf</v>
      </c>
      <c r="B1927" s="4"/>
      <c r="C1927" s="4" t="s">
        <v>885</v>
      </c>
      <c r="D1927" s="4">
        <v>49844.0</v>
      </c>
      <c r="E1927" s="5"/>
      <c r="F1927" s="4">
        <v>1.0</v>
      </c>
      <c r="G1927" s="4">
        <v>99.0</v>
      </c>
      <c r="H1927" s="4"/>
      <c r="I1927" s="4">
        <v>99.0</v>
      </c>
      <c r="J1927" s="4" t="s">
        <v>5482</v>
      </c>
      <c r="K1927" s="5">
        <f t="shared" si="10"/>
        <v>919167095969</v>
      </c>
      <c r="L1927" s="4" t="str">
        <f t="shared" si="1"/>
        <v>sharmamanisha081198@gmail.com919167095969</v>
      </c>
      <c r="M1927" s="10" t="s">
        <v>67</v>
      </c>
      <c r="N1927" s="4" t="b">
        <v>0</v>
      </c>
      <c r="O1927" s="4" t="str">
        <f>VLOOKUP(A1927,payment_ids!D:E,2,FALSE)</f>
        <v>upi</v>
      </c>
      <c r="P1927" s="4" t="s">
        <v>69</v>
      </c>
      <c r="Q1927" s="11">
        <v>44383.580555555556</v>
      </c>
      <c r="R1927" s="4"/>
      <c r="S1927" s="12" t="s">
        <v>5476</v>
      </c>
      <c r="T1927" s="5"/>
      <c r="U1927" s="4"/>
      <c r="V1927" s="11"/>
      <c r="W1927" s="5"/>
      <c r="X1927" s="11"/>
      <c r="Y1927" s="4"/>
      <c r="Z1927" s="5"/>
      <c r="AA1927" s="4"/>
      <c r="AB1927" s="4"/>
      <c r="AC1927" s="4"/>
      <c r="AD1927" s="5"/>
      <c r="AE1927" s="5"/>
      <c r="AF1927" s="5"/>
      <c r="AG1927" s="5"/>
      <c r="AH1927" s="5"/>
      <c r="AI1927" s="5"/>
      <c r="AJ1927" s="5"/>
      <c r="AK1927" s="5"/>
      <c r="AL1927" s="5"/>
    </row>
    <row r="1928">
      <c r="A1928" s="4" t="str">
        <f>VLOOKUP(L1928,payment_ids!C:D,2,FALSE)</f>
        <v>pay_HK6KuAAwrScHcf</v>
      </c>
      <c r="B1928" s="4"/>
      <c r="C1928" s="4" t="s">
        <v>885</v>
      </c>
      <c r="D1928" s="4">
        <v>49844.0</v>
      </c>
      <c r="E1928" s="5"/>
      <c r="F1928" s="4">
        <v>1.0</v>
      </c>
      <c r="G1928" s="4">
        <v>99.0</v>
      </c>
      <c r="H1928" s="4"/>
      <c r="I1928" s="4">
        <v>99.0</v>
      </c>
      <c r="J1928" s="4" t="s">
        <v>5482</v>
      </c>
      <c r="K1928" s="5">
        <f t="shared" si="10"/>
        <v>919167095969</v>
      </c>
      <c r="L1928" s="4" t="str">
        <f t="shared" si="1"/>
        <v>sharmamanisha081198@gmail.com919167095969</v>
      </c>
      <c r="M1928" s="10" t="s">
        <v>67</v>
      </c>
      <c r="N1928" s="4" t="b">
        <v>0</v>
      </c>
      <c r="O1928" s="4" t="str">
        <f>VLOOKUP(A1928,payment_ids!D:E,2,FALSE)</f>
        <v>upi</v>
      </c>
      <c r="P1928" s="4" t="s">
        <v>69</v>
      </c>
      <c r="Q1928" s="11">
        <v>44383.580555555556</v>
      </c>
      <c r="R1928" s="4"/>
      <c r="S1928" s="12" t="s">
        <v>5476</v>
      </c>
      <c r="T1928" s="5"/>
      <c r="U1928" s="4"/>
      <c r="V1928" s="11"/>
      <c r="W1928" s="5"/>
      <c r="X1928" s="11"/>
      <c r="Y1928" s="4"/>
      <c r="Z1928" s="5"/>
      <c r="AA1928" s="4"/>
      <c r="AB1928" s="4"/>
      <c r="AC1928" s="4"/>
      <c r="AD1928" s="5"/>
      <c r="AE1928" s="5"/>
      <c r="AF1928" s="5"/>
      <c r="AG1928" s="5"/>
      <c r="AH1928" s="5"/>
      <c r="AI1928" s="5"/>
      <c r="AJ1928" s="5"/>
      <c r="AK1928" s="5"/>
      <c r="AL1928" s="5"/>
    </row>
    <row r="1929">
      <c r="A1929" s="4" t="str">
        <f>VLOOKUP(L1929,payment_ids!C:D,2,FALSE)</f>
        <v>pay_HK6KuAAwrScHcf</v>
      </c>
      <c r="B1929" s="4"/>
      <c r="C1929" s="4" t="s">
        <v>885</v>
      </c>
      <c r="D1929" s="4">
        <v>49844.0</v>
      </c>
      <c r="E1929" s="5"/>
      <c r="F1929" s="4">
        <v>1.0</v>
      </c>
      <c r="G1929" s="4">
        <v>99.0</v>
      </c>
      <c r="H1929" s="4"/>
      <c r="I1929" s="4">
        <v>99.0</v>
      </c>
      <c r="J1929" s="4" t="s">
        <v>5482</v>
      </c>
      <c r="K1929" s="5">
        <f t="shared" si="10"/>
        <v>919167095969</v>
      </c>
      <c r="L1929" s="4" t="str">
        <f t="shared" si="1"/>
        <v>sharmamanisha081198@gmail.com919167095969</v>
      </c>
      <c r="M1929" s="10" t="s">
        <v>67</v>
      </c>
      <c r="N1929" s="4" t="b">
        <v>0</v>
      </c>
      <c r="O1929" s="4" t="str">
        <f>VLOOKUP(A1929,payment_ids!D:E,2,FALSE)</f>
        <v>upi</v>
      </c>
      <c r="P1929" s="4" t="s">
        <v>69</v>
      </c>
      <c r="Q1929" s="11">
        <v>44383.580555555556</v>
      </c>
      <c r="R1929" s="4"/>
      <c r="S1929" s="12" t="s">
        <v>5476</v>
      </c>
      <c r="T1929" s="5"/>
      <c r="U1929" s="4"/>
      <c r="V1929" s="11"/>
      <c r="W1929" s="5"/>
      <c r="X1929" s="11"/>
      <c r="Y1929" s="4"/>
      <c r="Z1929" s="5"/>
      <c r="AA1929" s="4"/>
      <c r="AB1929" s="4"/>
      <c r="AC1929" s="4"/>
      <c r="AD1929" s="5"/>
      <c r="AE1929" s="5"/>
      <c r="AF1929" s="5"/>
      <c r="AG1929" s="5"/>
      <c r="AH1929" s="5"/>
      <c r="AI1929" s="5"/>
      <c r="AJ1929" s="5"/>
      <c r="AK1929" s="5"/>
      <c r="AL1929" s="5"/>
    </row>
    <row r="1930">
      <c r="A1930" s="4" t="str">
        <f>VLOOKUP(L1930,payment_ids!C:D,2,FALSE)</f>
        <v>pay_HK6KuAAwrScHcf</v>
      </c>
      <c r="B1930" s="4"/>
      <c r="C1930" s="4" t="s">
        <v>885</v>
      </c>
      <c r="D1930" s="4">
        <v>49844.0</v>
      </c>
      <c r="E1930" s="5"/>
      <c r="F1930" s="4">
        <v>1.0</v>
      </c>
      <c r="G1930" s="4">
        <v>99.0</v>
      </c>
      <c r="H1930" s="4"/>
      <c r="I1930" s="4">
        <v>99.0</v>
      </c>
      <c r="J1930" s="4" t="s">
        <v>5482</v>
      </c>
      <c r="K1930" s="5">
        <f t="shared" si="10"/>
        <v>919167095969</v>
      </c>
      <c r="L1930" s="4" t="str">
        <f t="shared" si="1"/>
        <v>sharmamanisha081198@gmail.com919167095969</v>
      </c>
      <c r="M1930" s="10" t="s">
        <v>67</v>
      </c>
      <c r="N1930" s="4" t="b">
        <v>0</v>
      </c>
      <c r="O1930" s="4" t="str">
        <f>VLOOKUP(A1930,payment_ids!D:E,2,FALSE)</f>
        <v>upi</v>
      </c>
      <c r="P1930" s="4" t="s">
        <v>69</v>
      </c>
      <c r="Q1930" s="11">
        <v>44383.58125</v>
      </c>
      <c r="R1930" s="4"/>
      <c r="S1930" s="12" t="s">
        <v>5476</v>
      </c>
      <c r="T1930" s="5"/>
      <c r="U1930" s="4"/>
      <c r="V1930" s="11"/>
      <c r="W1930" s="5"/>
      <c r="X1930" s="11"/>
      <c r="Y1930" s="4"/>
      <c r="Z1930" s="5"/>
      <c r="AA1930" s="4"/>
      <c r="AB1930" s="4"/>
      <c r="AC1930" s="4"/>
      <c r="AD1930" s="5"/>
      <c r="AE1930" s="5"/>
      <c r="AF1930" s="5"/>
      <c r="AG1930" s="5"/>
      <c r="AH1930" s="5"/>
      <c r="AI1930" s="5"/>
      <c r="AJ1930" s="5"/>
      <c r="AK1930" s="5"/>
      <c r="AL1930" s="5"/>
    </row>
    <row r="1931">
      <c r="A1931" s="4" t="str">
        <f>VLOOKUP(L1931,payment_ids!C:D,2,FALSE)</f>
        <v>pay_HK8lWJnCOMQ8pQ</v>
      </c>
      <c r="B1931" s="4"/>
      <c r="C1931" s="4" t="s">
        <v>885</v>
      </c>
      <c r="D1931" s="4">
        <v>49844.0</v>
      </c>
      <c r="E1931" s="5"/>
      <c r="F1931" s="4">
        <v>1.0</v>
      </c>
      <c r="G1931" s="4">
        <v>99.0</v>
      </c>
      <c r="H1931" s="4"/>
      <c r="I1931" s="4">
        <v>99.0</v>
      </c>
      <c r="J1931" s="4" t="s">
        <v>5483</v>
      </c>
      <c r="K1931" s="5">
        <f>+918848602007</f>
        <v>918848602007</v>
      </c>
      <c r="L1931" s="4" t="str">
        <f t="shared" si="1"/>
        <v>saikrishnasanil@gmail.com918848602007</v>
      </c>
      <c r="M1931" s="10" t="s">
        <v>67</v>
      </c>
      <c r="N1931" s="4" t="b">
        <v>0</v>
      </c>
      <c r="O1931" s="4" t="str">
        <f>VLOOKUP(A1931,payment_ids!D:E,2,FALSE)</f>
        <v>upi</v>
      </c>
      <c r="P1931" s="4" t="s">
        <v>69</v>
      </c>
      <c r="Q1931" s="11">
        <v>44383.675</v>
      </c>
      <c r="R1931" s="4"/>
      <c r="S1931" s="12" t="s">
        <v>5476</v>
      </c>
      <c r="T1931" s="5"/>
      <c r="U1931" s="4"/>
      <c r="V1931" s="11"/>
      <c r="W1931" s="5"/>
      <c r="X1931" s="11"/>
      <c r="Y1931" s="4"/>
      <c r="Z1931" s="5"/>
      <c r="AA1931" s="4"/>
      <c r="AB1931" s="4"/>
      <c r="AC1931" s="4"/>
      <c r="AD1931" s="5"/>
      <c r="AE1931" s="5"/>
      <c r="AF1931" s="5"/>
      <c r="AG1931" s="5"/>
      <c r="AH1931" s="5"/>
      <c r="AI1931" s="5"/>
      <c r="AJ1931" s="5"/>
      <c r="AK1931" s="5"/>
      <c r="AL1931" s="5"/>
    </row>
    <row r="1932">
      <c r="A1932" s="4" t="str">
        <f>VLOOKUP(L1932,payment_ids!C:D,2,FALSE)</f>
        <v>pay_HKBwnJUmtovIjT</v>
      </c>
      <c r="B1932" s="4"/>
      <c r="C1932" s="4" t="s">
        <v>885</v>
      </c>
      <c r="D1932" s="4">
        <v>49844.0</v>
      </c>
      <c r="E1932" s="5"/>
      <c r="F1932" s="4">
        <v>1.0</v>
      </c>
      <c r="G1932" s="4">
        <v>99.0</v>
      </c>
      <c r="H1932" s="4"/>
      <c r="I1932" s="4">
        <v>99.0</v>
      </c>
      <c r="J1932" s="4" t="s">
        <v>5484</v>
      </c>
      <c r="K1932" s="5">
        <f>+917349483853</f>
        <v>917349483853</v>
      </c>
      <c r="L1932" s="4" t="str">
        <f t="shared" si="1"/>
        <v>madhuapugol111@gmail.com917349483853</v>
      </c>
      <c r="M1932" s="10" t="s">
        <v>67</v>
      </c>
      <c r="N1932" s="4" t="b">
        <v>0</v>
      </c>
      <c r="O1932" s="4" t="str">
        <f>VLOOKUP(A1932,payment_ids!D:E,2,FALSE)</f>
        <v>upi</v>
      </c>
      <c r="P1932" s="4" t="s">
        <v>69</v>
      </c>
      <c r="Q1932" s="11">
        <v>44383.80486111111</v>
      </c>
      <c r="R1932" s="4"/>
      <c r="S1932" s="12" t="s">
        <v>5476</v>
      </c>
      <c r="T1932" s="5"/>
      <c r="U1932" s="4"/>
      <c r="V1932" s="11"/>
      <c r="W1932" s="5"/>
      <c r="X1932" s="11"/>
      <c r="Y1932" s="4"/>
      <c r="Z1932" s="5"/>
      <c r="AA1932" s="4"/>
      <c r="AB1932" s="4"/>
      <c r="AC1932" s="4"/>
      <c r="AD1932" s="5"/>
      <c r="AE1932" s="5"/>
      <c r="AF1932" s="5"/>
      <c r="AG1932" s="5"/>
      <c r="AH1932" s="5"/>
      <c r="AI1932" s="5"/>
      <c r="AJ1932" s="5"/>
      <c r="AK1932" s="5"/>
      <c r="AL1932" s="5"/>
    </row>
    <row r="1933">
      <c r="A1933" s="4" t="str">
        <f>VLOOKUP(L1933,payment_ids!C:D,2,FALSE)</f>
        <v>pay_HKD8z15iUXiEgZ</v>
      </c>
      <c r="B1933" s="4"/>
      <c r="C1933" s="4" t="s">
        <v>885</v>
      </c>
      <c r="D1933" s="4">
        <v>49844.0</v>
      </c>
      <c r="E1933" s="5"/>
      <c r="F1933" s="4">
        <v>1.0</v>
      </c>
      <c r="G1933" s="4">
        <v>99.0</v>
      </c>
      <c r="H1933" s="4"/>
      <c r="I1933" s="4">
        <v>99.0</v>
      </c>
      <c r="J1933" s="4" t="s">
        <v>5485</v>
      </c>
      <c r="K1933" s="5">
        <f>+917440520944</f>
        <v>917440520944</v>
      </c>
      <c r="L1933" s="4" t="str">
        <f t="shared" si="1"/>
        <v>sanketchanda17@gmail.com917440520944</v>
      </c>
      <c r="M1933" s="10" t="s">
        <v>67</v>
      </c>
      <c r="N1933" s="4" t="b">
        <v>0</v>
      </c>
      <c r="O1933" s="4" t="str">
        <f>VLOOKUP(A1933,payment_ids!D:E,2,FALSE)</f>
        <v>upi</v>
      </c>
      <c r="P1933" s="4" t="s">
        <v>69</v>
      </c>
      <c r="Q1933" s="11">
        <v>44383.854166666664</v>
      </c>
      <c r="R1933" s="4"/>
      <c r="S1933" s="12" t="s">
        <v>5476</v>
      </c>
      <c r="T1933" s="5"/>
      <c r="U1933" s="4"/>
      <c r="V1933" s="11"/>
      <c r="W1933" s="5"/>
      <c r="X1933" s="11"/>
      <c r="Y1933" s="4"/>
      <c r="Z1933" s="5"/>
      <c r="AA1933" s="4"/>
      <c r="AB1933" s="4"/>
      <c r="AC1933" s="4"/>
      <c r="AD1933" s="5"/>
      <c r="AE1933" s="5"/>
      <c r="AF1933" s="5"/>
      <c r="AG1933" s="5"/>
      <c r="AH1933" s="5"/>
      <c r="AI1933" s="5"/>
      <c r="AJ1933" s="5"/>
      <c r="AK1933" s="5"/>
      <c r="AL1933" s="5"/>
    </row>
    <row r="1934">
      <c r="A1934" s="4" t="str">
        <f>VLOOKUP(L1934,payment_ids!C:D,2,FALSE)</f>
        <v>pay_HKDrw4sLG7r5DU</v>
      </c>
      <c r="B1934" s="4"/>
      <c r="C1934" s="4" t="s">
        <v>885</v>
      </c>
      <c r="D1934" s="4">
        <v>49844.0</v>
      </c>
      <c r="E1934" s="5"/>
      <c r="F1934" s="4">
        <v>1.0</v>
      </c>
      <c r="G1934" s="4">
        <v>99.0</v>
      </c>
      <c r="H1934" s="4"/>
      <c r="I1934" s="4">
        <v>99.0</v>
      </c>
      <c r="J1934" s="4" t="s">
        <v>5486</v>
      </c>
      <c r="K1934" s="5">
        <f>+919656555196</f>
        <v>919656555196</v>
      </c>
      <c r="L1934" s="4" t="str">
        <f t="shared" si="1"/>
        <v>aslam.muhammadaslam15@gmail.com919656555196</v>
      </c>
      <c r="M1934" s="10" t="s">
        <v>67</v>
      </c>
      <c r="N1934" s="4" t="b">
        <v>0</v>
      </c>
      <c r="O1934" s="4" t="str">
        <f>VLOOKUP(A1934,payment_ids!D:E,2,FALSE)</f>
        <v>upi</v>
      </c>
      <c r="P1934" s="4" t="s">
        <v>69</v>
      </c>
      <c r="Q1934" s="11">
        <v>44383.88333333333</v>
      </c>
      <c r="R1934" s="4"/>
      <c r="S1934" s="12" t="s">
        <v>5476</v>
      </c>
      <c r="T1934" s="5"/>
      <c r="U1934" s="4"/>
      <c r="V1934" s="11"/>
      <c r="W1934" s="5"/>
      <c r="X1934" s="11"/>
      <c r="Y1934" s="4"/>
      <c r="Z1934" s="5"/>
      <c r="AA1934" s="4"/>
      <c r="AB1934" s="4"/>
      <c r="AC1934" s="4"/>
      <c r="AD1934" s="5"/>
      <c r="AE1934" s="5"/>
      <c r="AF1934" s="5"/>
      <c r="AG1934" s="5"/>
      <c r="AH1934" s="5"/>
      <c r="AI1934" s="5"/>
      <c r="AJ1934" s="5"/>
      <c r="AK1934" s="5"/>
      <c r="AL1934" s="5"/>
    </row>
    <row r="1935">
      <c r="A1935" s="4" t="str">
        <f>VLOOKUP(L1935,payment_ids!C:D,2,FALSE)</f>
        <v>pay_HKTC2rivNRYlKM</v>
      </c>
      <c r="B1935" s="4"/>
      <c r="C1935" s="4" t="s">
        <v>885</v>
      </c>
      <c r="D1935" s="4">
        <v>49844.0</v>
      </c>
      <c r="E1935" s="5"/>
      <c r="F1935" s="4">
        <v>3.0</v>
      </c>
      <c r="G1935" s="4">
        <v>199.0</v>
      </c>
      <c r="H1935" s="4"/>
      <c r="I1935" s="4">
        <v>199.0</v>
      </c>
      <c r="J1935" s="4" t="s">
        <v>5487</v>
      </c>
      <c r="K1935" s="5">
        <f>+918335883002</f>
        <v>918335883002</v>
      </c>
      <c r="L1935" s="4" t="str">
        <f t="shared" si="1"/>
        <v>anuskachakraborty0098@gmail.com918335883002</v>
      </c>
      <c r="M1935" s="10" t="s">
        <v>67</v>
      </c>
      <c r="N1935" s="4" t="b">
        <v>0</v>
      </c>
      <c r="O1935" s="4" t="str">
        <f>VLOOKUP(A1935,payment_ids!D:E,2,FALSE)</f>
        <v>upi</v>
      </c>
      <c r="P1935" s="4" t="s">
        <v>69</v>
      </c>
      <c r="Q1935" s="11">
        <v>44414.50833333333</v>
      </c>
      <c r="R1935" s="4"/>
      <c r="S1935" s="12" t="s">
        <v>5476</v>
      </c>
      <c r="T1935" s="5"/>
      <c r="U1935" s="4"/>
      <c r="V1935" s="11"/>
      <c r="W1935" s="5"/>
      <c r="X1935" s="11"/>
      <c r="Y1935" s="4"/>
      <c r="Z1935" s="5"/>
      <c r="AA1935" s="4"/>
      <c r="AB1935" s="4"/>
      <c r="AC1935" s="4"/>
      <c r="AD1935" s="5"/>
      <c r="AE1935" s="5"/>
      <c r="AF1935" s="5"/>
      <c r="AG1935" s="5"/>
      <c r="AH1935" s="5"/>
      <c r="AI1935" s="5"/>
      <c r="AJ1935" s="5"/>
      <c r="AK1935" s="5"/>
      <c r="AL1935" s="5"/>
    </row>
    <row r="1936">
      <c r="A1936" s="4" t="str">
        <f>VLOOKUP(L1936,payment_ids!C:D,2,FALSE)</f>
        <v>pay_HKTYAjWLijl88o</v>
      </c>
      <c r="B1936" s="4"/>
      <c r="C1936" s="4" t="s">
        <v>885</v>
      </c>
      <c r="D1936" s="4">
        <v>49844.0</v>
      </c>
      <c r="E1936" s="5"/>
      <c r="F1936" s="4">
        <v>1.0</v>
      </c>
      <c r="G1936" s="4">
        <v>99.0</v>
      </c>
      <c r="H1936" s="4"/>
      <c r="I1936" s="4">
        <v>99.0</v>
      </c>
      <c r="J1936" s="4" t="s">
        <v>5488</v>
      </c>
      <c r="K1936" s="5">
        <f>+917384252628</f>
        <v>917384252628</v>
      </c>
      <c r="L1936" s="4" t="str">
        <f t="shared" si="1"/>
        <v>sanket.seksaria@gmail.com917384252628</v>
      </c>
      <c r="M1936" s="10" t="s">
        <v>67</v>
      </c>
      <c r="N1936" s="4" t="b">
        <v>0</v>
      </c>
      <c r="O1936" s="4" t="str">
        <f>VLOOKUP(A1936,payment_ids!D:E,2,FALSE)</f>
        <v>wallet</v>
      </c>
      <c r="P1936" s="4" t="s">
        <v>69</v>
      </c>
      <c r="Q1936" s="11">
        <v>44414.52291666667</v>
      </c>
      <c r="R1936" s="4"/>
      <c r="S1936" s="12" t="s">
        <v>5445</v>
      </c>
      <c r="T1936" s="5"/>
      <c r="U1936" s="4"/>
      <c r="V1936" s="11"/>
      <c r="W1936" s="5"/>
      <c r="X1936" s="11"/>
      <c r="Y1936" s="4"/>
      <c r="Z1936" s="5"/>
      <c r="AA1936" s="4"/>
      <c r="AB1936" s="4"/>
      <c r="AC1936" s="4"/>
      <c r="AD1936" s="5"/>
      <c r="AE1936" s="5"/>
      <c r="AF1936" s="5"/>
      <c r="AG1936" s="5"/>
      <c r="AH1936" s="5"/>
      <c r="AI1936" s="5"/>
      <c r="AJ1936" s="5"/>
      <c r="AK1936" s="5"/>
      <c r="AL1936" s="5"/>
    </row>
    <row r="1937">
      <c r="A1937" s="4" t="str">
        <f>VLOOKUP(L1937,payment_ids!C:D,2,FALSE)</f>
        <v>pay_HKsSP2KxNXVedE</v>
      </c>
      <c r="B1937" s="4"/>
      <c r="C1937" s="4" t="s">
        <v>885</v>
      </c>
      <c r="D1937" s="4">
        <v>49844.0</v>
      </c>
      <c r="E1937" s="5"/>
      <c r="F1937" s="4">
        <v>6.0</v>
      </c>
      <c r="G1937" s="4">
        <v>349.0</v>
      </c>
      <c r="H1937" s="4"/>
      <c r="I1937" s="4">
        <v>349.0</v>
      </c>
      <c r="J1937" s="4" t="s">
        <v>5489</v>
      </c>
      <c r="K1937" s="5">
        <f>+918200463339</f>
        <v>918200463339</v>
      </c>
      <c r="L1937" s="4" t="str">
        <f t="shared" si="1"/>
        <v>kamothidhaval@gmail.com918200463339</v>
      </c>
      <c r="M1937" s="10" t="s">
        <v>67</v>
      </c>
      <c r="N1937" s="4" t="b">
        <v>0</v>
      </c>
      <c r="O1937" s="4" t="str">
        <f>VLOOKUP(A1937,payment_ids!D:E,2,FALSE)</f>
        <v>upi</v>
      </c>
      <c r="P1937" s="4" t="s">
        <v>69</v>
      </c>
      <c r="Q1937" s="11">
        <v>44445.5375</v>
      </c>
      <c r="R1937" s="4"/>
      <c r="S1937" s="12" t="s">
        <v>5445</v>
      </c>
      <c r="T1937" s="4" t="s">
        <v>2444</v>
      </c>
      <c r="U1937" s="4"/>
      <c r="V1937" s="11"/>
      <c r="W1937" s="5"/>
      <c r="X1937" s="11"/>
      <c r="Y1937" s="4"/>
      <c r="Z1937" s="5"/>
      <c r="AA1937" s="4"/>
      <c r="AB1937" s="4"/>
      <c r="AC1937" s="4"/>
      <c r="AD1937" s="5"/>
      <c r="AE1937" s="5"/>
      <c r="AF1937" s="5"/>
      <c r="AG1937" s="5"/>
      <c r="AH1937" s="5"/>
      <c r="AI1937" s="5"/>
      <c r="AJ1937" s="5"/>
      <c r="AK1937" s="5"/>
      <c r="AL1937" s="5"/>
    </row>
    <row r="1938">
      <c r="A1938" s="4" t="str">
        <f>VLOOKUP(L1938,payment_ids!C:D,2,FALSE)</f>
        <v>pay_HKv4gR5j1TOKpZ</v>
      </c>
      <c r="B1938" s="4"/>
      <c r="C1938" s="4" t="s">
        <v>885</v>
      </c>
      <c r="D1938" s="4">
        <v>49844.0</v>
      </c>
      <c r="E1938" s="5"/>
      <c r="F1938" s="4">
        <v>6.0</v>
      </c>
      <c r="G1938" s="4">
        <v>349.0</v>
      </c>
      <c r="H1938" s="4"/>
      <c r="I1938" s="4">
        <v>349.0</v>
      </c>
      <c r="J1938" s="4" t="s">
        <v>5490</v>
      </c>
      <c r="K1938" s="5">
        <f>+918630509871</f>
        <v>918630509871</v>
      </c>
      <c r="L1938" s="4" t="str">
        <f t="shared" si="1"/>
        <v>pranshulsethiptl@gmail.com918630509871</v>
      </c>
      <c r="M1938" s="10" t="s">
        <v>67</v>
      </c>
      <c r="N1938" s="4" t="b">
        <v>0</v>
      </c>
      <c r="O1938" s="4" t="str">
        <f>VLOOKUP(A1938,payment_ids!D:E,2,FALSE)</f>
        <v>upi</v>
      </c>
      <c r="P1938" s="4" t="s">
        <v>69</v>
      </c>
      <c r="Q1938" s="11">
        <v>44445.64444444444</v>
      </c>
      <c r="R1938" s="4"/>
      <c r="S1938" s="12" t="s">
        <v>5445</v>
      </c>
      <c r="T1938" s="4" t="s">
        <v>2444</v>
      </c>
      <c r="U1938" s="4"/>
      <c r="V1938" s="11"/>
      <c r="W1938" s="5"/>
      <c r="X1938" s="11"/>
      <c r="Y1938" s="4"/>
      <c r="Z1938" s="5"/>
      <c r="AA1938" s="4"/>
      <c r="AB1938" s="4"/>
      <c r="AC1938" s="4"/>
      <c r="AD1938" s="5"/>
      <c r="AE1938" s="5"/>
      <c r="AF1938" s="5"/>
      <c r="AG1938" s="5"/>
      <c r="AH1938" s="5"/>
      <c r="AI1938" s="5"/>
      <c r="AJ1938" s="5"/>
      <c r="AK1938" s="5"/>
      <c r="AL1938" s="5"/>
    </row>
    <row r="1939">
      <c r="A1939" s="4" t="str">
        <f>VLOOKUP(L1939,payment_ids!C:D,2,FALSE)</f>
        <v>pay_HL3QeBdQeSc4qK</v>
      </c>
      <c r="B1939" s="4"/>
      <c r="C1939" s="4" t="s">
        <v>885</v>
      </c>
      <c r="D1939" s="4">
        <v>49844.0</v>
      </c>
      <c r="E1939" s="5"/>
      <c r="F1939" s="4">
        <v>6.0</v>
      </c>
      <c r="G1939" s="4">
        <v>349.0</v>
      </c>
      <c r="H1939" s="4"/>
      <c r="I1939" s="4">
        <v>349.0</v>
      </c>
      <c r="J1939" s="4" t="s">
        <v>5491</v>
      </c>
      <c r="K1939" s="5">
        <f>+919898782068</f>
        <v>919898782068</v>
      </c>
      <c r="L1939" s="4" t="str">
        <f t="shared" si="1"/>
        <v>anaghakhade31@gmail.com919898782068</v>
      </c>
      <c r="M1939" s="10" t="s">
        <v>67</v>
      </c>
      <c r="N1939" s="4" t="b">
        <v>0</v>
      </c>
      <c r="O1939" s="4" t="str">
        <f>VLOOKUP(A1939,payment_ids!D:E,2,FALSE)</f>
        <v>card</v>
      </c>
      <c r="P1939" s="4" t="s">
        <v>69</v>
      </c>
      <c r="Q1939" s="11">
        <v>44445.98472222222</v>
      </c>
      <c r="R1939" s="4"/>
      <c r="S1939" s="12" t="s">
        <v>5476</v>
      </c>
      <c r="T1939" s="4" t="s">
        <v>2444</v>
      </c>
      <c r="U1939" s="4"/>
      <c r="V1939" s="11"/>
      <c r="W1939" s="5"/>
      <c r="X1939" s="11"/>
      <c r="Y1939" s="4"/>
      <c r="Z1939" s="5"/>
      <c r="AA1939" s="4"/>
      <c r="AB1939" s="4"/>
      <c r="AC1939" s="4"/>
      <c r="AD1939" s="5"/>
      <c r="AE1939" s="5"/>
      <c r="AF1939" s="5"/>
      <c r="AG1939" s="5"/>
      <c r="AH1939" s="5"/>
      <c r="AI1939" s="5"/>
      <c r="AJ1939" s="5"/>
      <c r="AK1939" s="5"/>
      <c r="AL1939" s="5"/>
    </row>
    <row r="1940">
      <c r="A1940" s="4" t="str">
        <f>VLOOKUP(L1940,payment_ids!C:D,2,FALSE)</f>
        <v>pay_HLC7uQLPNcwP8B</v>
      </c>
      <c r="B1940" s="4"/>
      <c r="C1940" s="4" t="s">
        <v>885</v>
      </c>
      <c r="D1940" s="4">
        <v>49844.0</v>
      </c>
      <c r="E1940" s="5"/>
      <c r="F1940" s="4">
        <v>1.0</v>
      </c>
      <c r="G1940" s="4">
        <v>99.0</v>
      </c>
      <c r="H1940" s="4"/>
      <c r="I1940" s="4">
        <v>99.0</v>
      </c>
      <c r="J1940" s="4" t="s">
        <v>5492</v>
      </c>
      <c r="K1940" s="5">
        <f>+918297073432</f>
        <v>918297073432</v>
      </c>
      <c r="L1940" s="4" t="str">
        <f t="shared" si="1"/>
        <v>hameedsyed98@yahoo.com918297073432</v>
      </c>
      <c r="M1940" s="10" t="s">
        <v>67</v>
      </c>
      <c r="N1940" s="4" t="b">
        <v>0</v>
      </c>
      <c r="O1940" s="4" t="str">
        <f>VLOOKUP(A1940,payment_ids!D:E,2,FALSE)</f>
        <v>card</v>
      </c>
      <c r="P1940" s="4" t="s">
        <v>69</v>
      </c>
      <c r="Q1940" s="11">
        <v>44475.339583333334</v>
      </c>
      <c r="R1940" s="4"/>
      <c r="S1940" s="12" t="s">
        <v>5476</v>
      </c>
      <c r="T1940" s="4" t="s">
        <v>2444</v>
      </c>
      <c r="U1940" s="4"/>
      <c r="V1940" s="11"/>
      <c r="W1940" s="5"/>
      <c r="X1940" s="11"/>
      <c r="Y1940" s="4"/>
      <c r="Z1940" s="5"/>
      <c r="AA1940" s="4"/>
      <c r="AB1940" s="4"/>
      <c r="AC1940" s="4"/>
      <c r="AD1940" s="5"/>
      <c r="AE1940" s="5"/>
      <c r="AF1940" s="5"/>
      <c r="AG1940" s="5"/>
      <c r="AH1940" s="5"/>
      <c r="AI1940" s="5"/>
      <c r="AJ1940" s="5"/>
      <c r="AK1940" s="5"/>
      <c r="AL1940" s="5"/>
    </row>
    <row r="1941">
      <c r="A1941" s="4" t="str">
        <f>VLOOKUP(L1941,payment_ids!C:D,2,FALSE)</f>
        <v>pay_HLE885ax1F5H35</v>
      </c>
      <c r="B1941" s="4"/>
      <c r="C1941" s="4" t="s">
        <v>885</v>
      </c>
      <c r="D1941" s="4">
        <v>49844.0</v>
      </c>
      <c r="E1941" s="5"/>
      <c r="F1941" s="4">
        <v>1.0</v>
      </c>
      <c r="G1941" s="4">
        <v>99.0</v>
      </c>
      <c r="H1941" s="4"/>
      <c r="I1941" s="4">
        <v>99.0</v>
      </c>
      <c r="J1941" s="4" t="s">
        <v>5493</v>
      </c>
      <c r="K1941" s="5">
        <f>+918108894246</f>
        <v>918108894246</v>
      </c>
      <c r="L1941" s="4" t="str">
        <f t="shared" si="1"/>
        <v>prajakta7089.pv@gmail.com918108894246</v>
      </c>
      <c r="M1941" s="10" t="s">
        <v>67</v>
      </c>
      <c r="N1941" s="4" t="b">
        <v>0</v>
      </c>
      <c r="O1941" s="4" t="str">
        <f>VLOOKUP(A1941,payment_ids!D:E,2,FALSE)</f>
        <v>upi</v>
      </c>
      <c r="P1941" s="4" t="s">
        <v>69</v>
      </c>
      <c r="Q1941" s="11">
        <v>44475.42152777778</v>
      </c>
      <c r="R1941" s="4"/>
      <c r="S1941" s="12" t="s">
        <v>5476</v>
      </c>
      <c r="T1941" s="4" t="s">
        <v>2444</v>
      </c>
      <c r="U1941" s="4"/>
      <c r="V1941" s="11"/>
      <c r="W1941" s="5"/>
      <c r="X1941" s="11"/>
      <c r="Y1941" s="4"/>
      <c r="Z1941" s="5"/>
      <c r="AA1941" s="4"/>
      <c r="AB1941" s="4"/>
      <c r="AC1941" s="4"/>
      <c r="AD1941" s="5"/>
      <c r="AE1941" s="5"/>
      <c r="AF1941" s="5"/>
      <c r="AG1941" s="5"/>
      <c r="AH1941" s="5"/>
      <c r="AI1941" s="5"/>
      <c r="AJ1941" s="5"/>
      <c r="AK1941" s="5"/>
      <c r="AL1941" s="5"/>
    </row>
    <row r="1942">
      <c r="A1942" s="4" t="str">
        <f>VLOOKUP(L1942,payment_ids!C:D,2,FALSE)</f>
        <v>pay_HLGLgwP7sdCkzt</v>
      </c>
      <c r="B1942" s="4"/>
      <c r="C1942" s="4" t="s">
        <v>885</v>
      </c>
      <c r="D1942" s="4">
        <v>49844.0</v>
      </c>
      <c r="E1942" s="5"/>
      <c r="F1942" s="4">
        <v>1.0</v>
      </c>
      <c r="G1942" s="4">
        <v>99.0</v>
      </c>
      <c r="H1942" s="4"/>
      <c r="I1942" s="4">
        <v>99.0</v>
      </c>
      <c r="J1942" s="4" t="s">
        <v>5494</v>
      </c>
      <c r="K1942" s="5">
        <f>+917007526375</f>
        <v>917007526375</v>
      </c>
      <c r="L1942" s="4" t="str">
        <f t="shared" si="1"/>
        <v>divyanshisingh196@gmail.com917007526375</v>
      </c>
      <c r="M1942" s="10" t="s">
        <v>67</v>
      </c>
      <c r="N1942" s="4" t="b">
        <v>0</v>
      </c>
      <c r="O1942" s="4" t="str">
        <f>VLOOKUP(A1942,payment_ids!D:E,2,FALSE)</f>
        <v>upi</v>
      </c>
      <c r="P1942" s="4" t="s">
        <v>69</v>
      </c>
      <c r="Q1942" s="11">
        <v>44475.51111111111</v>
      </c>
      <c r="R1942" s="4"/>
      <c r="S1942" s="12" t="s">
        <v>5476</v>
      </c>
      <c r="T1942" s="4" t="s">
        <v>2444</v>
      </c>
      <c r="U1942" s="4"/>
      <c r="V1942" s="11"/>
      <c r="W1942" s="5"/>
      <c r="X1942" s="11"/>
      <c r="Y1942" s="4"/>
      <c r="Z1942" s="5"/>
      <c r="AA1942" s="4"/>
      <c r="AB1942" s="4"/>
      <c r="AC1942" s="4"/>
      <c r="AD1942" s="5"/>
      <c r="AE1942" s="5"/>
      <c r="AF1942" s="5"/>
      <c r="AG1942" s="5"/>
      <c r="AH1942" s="5"/>
      <c r="AI1942" s="5"/>
      <c r="AJ1942" s="5"/>
      <c r="AK1942" s="5"/>
      <c r="AL1942" s="5"/>
    </row>
    <row r="1943">
      <c r="A1943" s="4" t="str">
        <f>VLOOKUP(L1943,payment_ids!C:D,2,FALSE)</f>
        <v>pay_HLNxQrn6moTr18</v>
      </c>
      <c r="B1943" s="4"/>
      <c r="C1943" s="4" t="s">
        <v>885</v>
      </c>
      <c r="D1943" s="4">
        <v>49844.0</v>
      </c>
      <c r="E1943" s="5"/>
      <c r="F1943" s="4">
        <v>1.0</v>
      </c>
      <c r="G1943" s="4">
        <v>99.0</v>
      </c>
      <c r="H1943" s="4"/>
      <c r="I1943" s="4">
        <v>99.0</v>
      </c>
      <c r="J1943" s="4" t="s">
        <v>5495</v>
      </c>
      <c r="K1943" s="5">
        <f>+919123065728</f>
        <v>919123065728</v>
      </c>
      <c r="L1943" s="4" t="str">
        <f t="shared" si="1"/>
        <v>sagniksnow@gmail.com919123065728</v>
      </c>
      <c r="M1943" s="10" t="s">
        <v>67</v>
      </c>
      <c r="N1943" s="4" t="b">
        <v>0</v>
      </c>
      <c r="O1943" s="4" t="str">
        <f>VLOOKUP(A1943,payment_ids!D:E,2,FALSE)</f>
        <v>upi</v>
      </c>
      <c r="P1943" s="4" t="s">
        <v>69</v>
      </c>
      <c r="Q1943" s="11">
        <v>44475.82152777778</v>
      </c>
      <c r="R1943" s="4"/>
      <c r="S1943" s="12" t="s">
        <v>5476</v>
      </c>
      <c r="T1943" s="4" t="s">
        <v>2444</v>
      </c>
      <c r="U1943" s="4"/>
      <c r="V1943" s="11"/>
      <c r="W1943" s="5"/>
      <c r="X1943" s="11"/>
      <c r="Y1943" s="4"/>
      <c r="Z1943" s="5"/>
      <c r="AA1943" s="4"/>
      <c r="AB1943" s="4"/>
      <c r="AC1943" s="4"/>
      <c r="AD1943" s="5"/>
      <c r="AE1943" s="5"/>
      <c r="AF1943" s="5"/>
      <c r="AG1943" s="5"/>
      <c r="AH1943" s="5"/>
      <c r="AI1943" s="5"/>
      <c r="AJ1943" s="5"/>
      <c r="AK1943" s="5"/>
      <c r="AL1943" s="5"/>
    </row>
    <row r="1944">
      <c r="A1944" s="4" t="str">
        <f>VLOOKUP(L1944,payment_ids!C:D,2,FALSE)</f>
        <v>pay_HLSJS96dbxTHGM</v>
      </c>
      <c r="B1944" s="4"/>
      <c r="C1944" s="4" t="s">
        <v>885</v>
      </c>
      <c r="D1944" s="4">
        <v>49844.0</v>
      </c>
      <c r="E1944" s="5"/>
      <c r="F1944" s="4">
        <v>1.0</v>
      </c>
      <c r="G1944" s="4">
        <v>99.0</v>
      </c>
      <c r="H1944" s="4"/>
      <c r="I1944" s="4">
        <v>99.0</v>
      </c>
      <c r="J1944" s="4" t="s">
        <v>5496</v>
      </c>
      <c r="K1944" s="5">
        <f>+919992649292</f>
        <v>919992649292</v>
      </c>
      <c r="L1944" s="4" t="str">
        <f t="shared" si="1"/>
        <v>dhingrag50@gmail.com919992649292</v>
      </c>
      <c r="M1944" s="10" t="s">
        <v>67</v>
      </c>
      <c r="N1944" s="4" t="b">
        <v>0</v>
      </c>
      <c r="O1944" s="4" t="str">
        <f>VLOOKUP(A1944,payment_ids!D:E,2,FALSE)</f>
        <v>upi</v>
      </c>
      <c r="P1944" s="4" t="s">
        <v>69</v>
      </c>
      <c r="Q1944" s="11">
        <v>44475.99930555555</v>
      </c>
      <c r="R1944" s="4"/>
      <c r="S1944" s="12" t="s">
        <v>5445</v>
      </c>
      <c r="T1944" s="4" t="s">
        <v>2444</v>
      </c>
      <c r="U1944" s="4"/>
      <c r="V1944" s="11"/>
      <c r="W1944" s="5"/>
      <c r="X1944" s="11"/>
      <c r="Y1944" s="4"/>
      <c r="Z1944" s="5"/>
      <c r="AA1944" s="4"/>
      <c r="AB1944" s="4"/>
      <c r="AC1944" s="4"/>
      <c r="AD1944" s="5"/>
      <c r="AE1944" s="5"/>
      <c r="AF1944" s="5"/>
      <c r="AG1944" s="5"/>
      <c r="AH1944" s="5"/>
      <c r="AI1944" s="5"/>
      <c r="AJ1944" s="5"/>
      <c r="AK1944" s="5"/>
      <c r="AL1944" s="5"/>
    </row>
    <row r="1945">
      <c r="A1945" s="4" t="str">
        <f>VLOOKUP(L1945,payment_ids!C:D,2,FALSE)</f>
        <v>pay_HLcelEhT7iEUBB</v>
      </c>
      <c r="B1945" s="4"/>
      <c r="C1945" s="4" t="s">
        <v>885</v>
      </c>
      <c r="D1945" s="4">
        <v>49844.0</v>
      </c>
      <c r="E1945" s="5"/>
      <c r="F1945" s="4">
        <v>1.0</v>
      </c>
      <c r="G1945" s="4">
        <v>99.0</v>
      </c>
      <c r="H1945" s="4"/>
      <c r="I1945" s="4">
        <v>99.0</v>
      </c>
      <c r="J1945" s="4" t="s">
        <v>5497</v>
      </c>
      <c r="K1945" s="5">
        <f>+919701713538</f>
        <v>919701713538</v>
      </c>
      <c r="L1945" s="4" t="str">
        <f t="shared" si="1"/>
        <v>dr.anand1420@gmail.com919701713538</v>
      </c>
      <c r="M1945" s="10" t="s">
        <v>67</v>
      </c>
      <c r="N1945" s="4" t="b">
        <v>0</v>
      </c>
      <c r="O1945" s="4" t="str">
        <f>VLOOKUP(A1945,payment_ids!D:E,2,FALSE)</f>
        <v>upi</v>
      </c>
      <c r="P1945" s="4" t="s">
        <v>69</v>
      </c>
      <c r="Q1945" s="11">
        <v>44506.42083333333</v>
      </c>
      <c r="R1945" s="4"/>
      <c r="S1945" s="12" t="s">
        <v>5476</v>
      </c>
      <c r="T1945" s="4" t="s">
        <v>2444</v>
      </c>
      <c r="U1945" s="4"/>
      <c r="V1945" s="11"/>
      <c r="W1945" s="5"/>
      <c r="X1945" s="11"/>
      <c r="Y1945" s="4"/>
      <c r="Z1945" s="5"/>
      <c r="AA1945" s="4"/>
      <c r="AB1945" s="4"/>
      <c r="AC1945" s="4"/>
      <c r="AD1945" s="5"/>
      <c r="AE1945" s="5"/>
      <c r="AF1945" s="5"/>
      <c r="AG1945" s="5"/>
      <c r="AH1945" s="5"/>
      <c r="AI1945" s="5"/>
      <c r="AJ1945" s="5"/>
      <c r="AK1945" s="5"/>
      <c r="AL1945" s="5"/>
    </row>
    <row r="1946">
      <c r="A1946" s="4" t="str">
        <f>VLOOKUP(L1946,payment_ids!C:D,2,FALSE)</f>
        <v>pay_HLkKM5XfwAkvsf</v>
      </c>
      <c r="B1946" s="4"/>
      <c r="C1946" s="4" t="s">
        <v>885</v>
      </c>
      <c r="D1946" s="4">
        <v>49844.0</v>
      </c>
      <c r="E1946" s="5"/>
      <c r="F1946" s="4">
        <v>1.0</v>
      </c>
      <c r="G1946" s="4">
        <v>99.0</v>
      </c>
      <c r="H1946" s="4"/>
      <c r="I1946" s="4">
        <v>99.0</v>
      </c>
      <c r="J1946" s="4" t="s">
        <v>4227</v>
      </c>
      <c r="K1946" s="5">
        <f>+919657742062</f>
        <v>919657742062</v>
      </c>
      <c r="L1946" s="4" t="str">
        <f t="shared" si="1"/>
        <v>amrutashant08@gmail.com919657742062</v>
      </c>
      <c r="M1946" s="10" t="s">
        <v>67</v>
      </c>
      <c r="N1946" s="4" t="b">
        <v>0</v>
      </c>
      <c r="O1946" s="4" t="str">
        <f>VLOOKUP(A1946,payment_ids!D:E,2,FALSE)</f>
        <v>upi</v>
      </c>
      <c r="P1946" s="4" t="s">
        <v>69</v>
      </c>
      <c r="Q1946" s="11">
        <v>44536.59305555555</v>
      </c>
      <c r="R1946" s="4"/>
      <c r="S1946" s="12" t="s">
        <v>5445</v>
      </c>
      <c r="T1946" s="4" t="s">
        <v>2444</v>
      </c>
      <c r="U1946" s="4"/>
      <c r="V1946" s="11"/>
      <c r="W1946" s="5"/>
      <c r="X1946" s="11"/>
      <c r="Y1946" s="4"/>
      <c r="Z1946" s="5"/>
      <c r="AA1946" s="4"/>
      <c r="AB1946" s="4"/>
      <c r="AC1946" s="4"/>
      <c r="AD1946" s="5"/>
      <c r="AE1946" s="5"/>
      <c r="AF1946" s="5"/>
      <c r="AG1946" s="5"/>
      <c r="AH1946" s="5"/>
      <c r="AI1946" s="5"/>
      <c r="AJ1946" s="5"/>
      <c r="AK1946" s="5"/>
      <c r="AL1946" s="5"/>
    </row>
    <row r="1947">
      <c r="A1947" s="4" t="str">
        <f>VLOOKUP(L1947,payment_ids!C:D,2,FALSE)</f>
        <v>pay_HMdS4kZ02aw8jH</v>
      </c>
      <c r="B1947" s="4"/>
      <c r="C1947" s="4" t="s">
        <v>885</v>
      </c>
      <c r="D1947" s="4">
        <v>49844.0</v>
      </c>
      <c r="E1947" s="5"/>
      <c r="F1947" s="4">
        <v>6.0</v>
      </c>
      <c r="G1947" s="4">
        <v>349.0</v>
      </c>
      <c r="H1947" s="4"/>
      <c r="I1947" s="4">
        <v>349.0</v>
      </c>
      <c r="J1947" s="4" t="s">
        <v>5498</v>
      </c>
      <c r="K1947" s="5">
        <f>+917989902303</f>
        <v>917989902303</v>
      </c>
      <c r="L1947" s="4" t="str">
        <f t="shared" si="1"/>
        <v>premchand220895@gmail.com917989902303</v>
      </c>
      <c r="M1947" s="10" t="s">
        <v>67</v>
      </c>
      <c r="N1947" s="4" t="b">
        <v>0</v>
      </c>
      <c r="O1947" s="4" t="str">
        <f>VLOOKUP(A1947,payment_ids!D:E,2,FALSE)</f>
        <v>upi</v>
      </c>
      <c r="P1947" s="4" t="s">
        <v>69</v>
      </c>
      <c r="Q1947" s="4" t="s">
        <v>5499</v>
      </c>
      <c r="R1947" s="4"/>
      <c r="S1947" s="12" t="s">
        <v>5476</v>
      </c>
      <c r="T1947" s="4" t="s">
        <v>2444</v>
      </c>
      <c r="U1947" s="4"/>
      <c r="V1947" s="11"/>
      <c r="W1947" s="5"/>
      <c r="X1947" s="11"/>
      <c r="Y1947" s="4"/>
      <c r="Z1947" s="5"/>
      <c r="AA1947" s="4"/>
      <c r="AB1947" s="4"/>
      <c r="AC1947" s="4"/>
      <c r="AD1947" s="5"/>
      <c r="AE1947" s="5"/>
      <c r="AF1947" s="5"/>
      <c r="AG1947" s="5"/>
      <c r="AH1947" s="5"/>
      <c r="AI1947" s="5"/>
      <c r="AJ1947" s="5"/>
      <c r="AK1947" s="5"/>
      <c r="AL1947" s="5"/>
    </row>
    <row r="1948">
      <c r="A1948" s="4" t="str">
        <f>VLOOKUP(L1948,payment_ids!C:D,2,FALSE)</f>
        <v>pay_HMvqU8YdcEMHwf</v>
      </c>
      <c r="B1948" s="4"/>
      <c r="C1948" s="4" t="s">
        <v>885</v>
      </c>
      <c r="D1948" s="4">
        <v>49844.0</v>
      </c>
      <c r="E1948" s="5"/>
      <c r="F1948" s="4">
        <v>3.0</v>
      </c>
      <c r="G1948" s="4">
        <v>199.0</v>
      </c>
      <c r="H1948" s="4"/>
      <c r="I1948" s="4">
        <v>199.0</v>
      </c>
      <c r="J1948" s="4" t="s">
        <v>5500</v>
      </c>
      <c r="K1948" s="5">
        <f>+918921299687</f>
        <v>918921299687</v>
      </c>
      <c r="L1948" s="4" t="str">
        <f t="shared" si="1"/>
        <v>lechusree666@gmail.com918921299687</v>
      </c>
      <c r="M1948" s="10" t="s">
        <v>67</v>
      </c>
      <c r="N1948" s="4" t="b">
        <v>0</v>
      </c>
      <c r="O1948" s="4" t="str">
        <f>VLOOKUP(A1948,payment_ids!D:E,2,FALSE)</f>
        <v>card</v>
      </c>
      <c r="P1948" s="4" t="s">
        <v>69</v>
      </c>
      <c r="Q1948" s="4" t="s">
        <v>5501</v>
      </c>
      <c r="R1948" s="4"/>
      <c r="S1948" s="12" t="s">
        <v>5445</v>
      </c>
      <c r="T1948" s="4" t="s">
        <v>2444</v>
      </c>
      <c r="U1948" s="4"/>
      <c r="V1948" s="11"/>
      <c r="W1948" s="5"/>
      <c r="X1948" s="11"/>
      <c r="Y1948" s="4"/>
      <c r="Z1948" s="5"/>
      <c r="AA1948" s="4"/>
      <c r="AB1948" s="4"/>
      <c r="AC1948" s="4"/>
      <c r="AD1948" s="5"/>
      <c r="AE1948" s="5"/>
      <c r="AF1948" s="5"/>
      <c r="AG1948" s="5"/>
      <c r="AH1948" s="5"/>
      <c r="AI1948" s="5"/>
      <c r="AJ1948" s="5"/>
      <c r="AK1948" s="5"/>
      <c r="AL1948" s="5"/>
    </row>
    <row r="1949">
      <c r="A1949" s="4" t="str">
        <f>VLOOKUP(L1949,payment_ids!C:D,2,FALSE)</f>
        <v>pay_HOB1irYBYdpf3m</v>
      </c>
      <c r="B1949" s="4"/>
      <c r="C1949" s="4" t="s">
        <v>885</v>
      </c>
      <c r="D1949" s="4">
        <v>49844.0</v>
      </c>
      <c r="E1949" s="5"/>
      <c r="F1949" s="4">
        <v>1.0</v>
      </c>
      <c r="G1949" s="4">
        <v>99.0</v>
      </c>
      <c r="H1949" s="4"/>
      <c r="I1949" s="4">
        <v>99.0</v>
      </c>
      <c r="J1949" s="4" t="s">
        <v>5502</v>
      </c>
      <c r="K1949" s="5">
        <f>+919948030444</f>
        <v>919948030444</v>
      </c>
      <c r="L1949" s="4" t="str">
        <f t="shared" si="1"/>
        <v>vukecharishma1@gmail.com919948030444</v>
      </c>
      <c r="M1949" s="10" t="s">
        <v>67</v>
      </c>
      <c r="N1949" s="4" t="b">
        <v>0</v>
      </c>
      <c r="O1949" s="4" t="str">
        <f>VLOOKUP(A1949,payment_ids!D:E,2,FALSE)</f>
        <v>upi</v>
      </c>
      <c r="P1949" s="4" t="s">
        <v>69</v>
      </c>
      <c r="Q1949" s="4" t="s">
        <v>5503</v>
      </c>
      <c r="R1949" s="4"/>
      <c r="S1949" s="12" t="s">
        <v>5476</v>
      </c>
      <c r="T1949" s="4" t="s">
        <v>2444</v>
      </c>
      <c r="U1949" s="4"/>
      <c r="V1949" s="11"/>
      <c r="W1949" s="5"/>
      <c r="X1949" s="11"/>
      <c r="Y1949" s="4"/>
      <c r="Z1949" s="5"/>
      <c r="AA1949" s="4"/>
      <c r="AB1949" s="4"/>
      <c r="AC1949" s="4"/>
      <c r="AD1949" s="5"/>
      <c r="AE1949" s="5"/>
      <c r="AF1949" s="5"/>
      <c r="AG1949" s="5"/>
      <c r="AH1949" s="5"/>
      <c r="AI1949" s="5"/>
      <c r="AJ1949" s="5"/>
      <c r="AK1949" s="5"/>
      <c r="AL1949" s="5"/>
    </row>
    <row r="1950">
      <c r="A1950" s="4" t="str">
        <f>VLOOKUP(L1950,payment_ids!C:D,2,FALSE)</f>
        <v>pay_HOcBvoJBPYYvrS</v>
      </c>
      <c r="B1950" s="4"/>
      <c r="C1950" s="4" t="s">
        <v>885</v>
      </c>
      <c r="D1950" s="4">
        <v>49844.0</v>
      </c>
      <c r="E1950" s="5"/>
      <c r="F1950" s="4">
        <v>1.0</v>
      </c>
      <c r="G1950" s="4">
        <v>99.0</v>
      </c>
      <c r="H1950" s="4"/>
      <c r="I1950" s="4">
        <v>99.0</v>
      </c>
      <c r="J1950" s="4" t="s">
        <v>5504</v>
      </c>
      <c r="K1950" s="5">
        <f>+917999811058</f>
        <v>917999811058</v>
      </c>
      <c r="L1950" s="4" t="str">
        <f t="shared" si="1"/>
        <v>anshaynagpal22@gmail.com917999811058</v>
      </c>
      <c r="M1950" s="10" t="s">
        <v>67</v>
      </c>
      <c r="N1950" s="4" t="b">
        <v>0</v>
      </c>
      <c r="O1950" s="4" t="str">
        <f>VLOOKUP(A1950,payment_ids!D:E,2,FALSE)</f>
        <v>upi</v>
      </c>
      <c r="P1950" s="4" t="s">
        <v>69</v>
      </c>
      <c r="Q1950" s="4" t="s">
        <v>5505</v>
      </c>
      <c r="R1950" s="4"/>
      <c r="S1950" s="12" t="s">
        <v>5476</v>
      </c>
      <c r="T1950" s="4" t="s">
        <v>2444</v>
      </c>
      <c r="U1950" s="4"/>
      <c r="V1950" s="11"/>
      <c r="W1950" s="5"/>
      <c r="X1950" s="11"/>
      <c r="Y1950" s="4"/>
      <c r="Z1950" s="5"/>
      <c r="AA1950" s="4"/>
      <c r="AB1950" s="4"/>
      <c r="AC1950" s="4"/>
      <c r="AD1950" s="5"/>
      <c r="AE1950" s="5"/>
      <c r="AF1950" s="5"/>
      <c r="AG1950" s="5"/>
      <c r="AH1950" s="5"/>
      <c r="AI1950" s="5"/>
      <c r="AJ1950" s="5"/>
      <c r="AK1950" s="5"/>
      <c r="AL1950" s="5"/>
    </row>
    <row r="1951">
      <c r="A1951" s="4" t="str">
        <f>VLOOKUP(L1951,payment_ids!C:D,2,FALSE)</f>
        <v>pay_HP93vL6GoOimvU</v>
      </c>
      <c r="B1951" s="4"/>
      <c r="C1951" s="4" t="s">
        <v>885</v>
      </c>
      <c r="D1951" s="4">
        <v>49844.0</v>
      </c>
      <c r="E1951" s="5"/>
      <c r="F1951" s="4">
        <v>1.0</v>
      </c>
      <c r="G1951" s="4">
        <v>99.0</v>
      </c>
      <c r="H1951" s="4"/>
      <c r="I1951" s="4">
        <v>99.0</v>
      </c>
      <c r="J1951" s="4" t="s">
        <v>5506</v>
      </c>
      <c r="K1951" s="5">
        <f>+919891623596</f>
        <v>919891623596</v>
      </c>
      <c r="L1951" s="4" t="str">
        <f t="shared" si="1"/>
        <v>psitsme3@gmail.com919891623596</v>
      </c>
      <c r="M1951" s="10" t="s">
        <v>67</v>
      </c>
      <c r="N1951" s="4" t="b">
        <v>0</v>
      </c>
      <c r="O1951" s="4" t="str">
        <f>VLOOKUP(A1951,payment_ids!D:E,2,FALSE)</f>
        <v>upi</v>
      </c>
      <c r="P1951" s="4" t="s">
        <v>69</v>
      </c>
      <c r="Q1951" s="4" t="s">
        <v>5507</v>
      </c>
      <c r="R1951" s="4"/>
      <c r="S1951" s="12" t="s">
        <v>5476</v>
      </c>
      <c r="T1951" s="4" t="s">
        <v>2444</v>
      </c>
      <c r="U1951" s="4"/>
      <c r="V1951" s="11"/>
      <c r="W1951" s="5"/>
      <c r="X1951" s="11"/>
      <c r="Y1951" s="4"/>
      <c r="Z1951" s="5"/>
      <c r="AA1951" s="4"/>
      <c r="AB1951" s="4"/>
      <c r="AC1951" s="4"/>
      <c r="AD1951" s="5"/>
      <c r="AE1951" s="5"/>
      <c r="AF1951" s="5"/>
      <c r="AG1951" s="5"/>
      <c r="AH1951" s="5"/>
      <c r="AI1951" s="5"/>
      <c r="AJ1951" s="5"/>
      <c r="AK1951" s="5"/>
      <c r="AL1951" s="5"/>
    </row>
    <row r="1952">
      <c r="A1952" s="4" t="str">
        <f>VLOOKUP(L1952,payment_ids!C:D,2,FALSE)</f>
        <v>pay_H6IwUiKNdHcqOa</v>
      </c>
      <c r="B1952" s="4"/>
      <c r="C1952" s="4" t="s">
        <v>5508</v>
      </c>
      <c r="D1952" s="4">
        <v>50023.0</v>
      </c>
      <c r="E1952" s="4"/>
      <c r="F1952" s="4">
        <v>1.0</v>
      </c>
      <c r="G1952" s="4">
        <v>99.0</v>
      </c>
      <c r="H1952" s="4"/>
      <c r="I1952" s="4">
        <v>99.0</v>
      </c>
      <c r="J1952" s="4" t="s">
        <v>5509</v>
      </c>
      <c r="K1952" s="6">
        <f>+919650225768</f>
        <v>919650225768</v>
      </c>
      <c r="L1952" s="4" t="str">
        <f t="shared" si="1"/>
        <v>kushagra249@gmail.com919650225768</v>
      </c>
      <c r="M1952" s="10" t="s">
        <v>67</v>
      </c>
      <c r="N1952" s="4" t="b">
        <v>0</v>
      </c>
      <c r="O1952" s="4" t="str">
        <f>VLOOKUP(A1952,payment_ids!D:E,2,FALSE)</f>
        <v>upi</v>
      </c>
      <c r="P1952" s="4" t="s">
        <v>69</v>
      </c>
      <c r="Q1952" s="11">
        <v>44260.71111111111</v>
      </c>
      <c r="R1952" s="4"/>
      <c r="S1952" s="12" t="s">
        <v>5510</v>
      </c>
      <c r="T1952" s="4"/>
      <c r="U1952" s="4"/>
      <c r="V1952" s="11"/>
      <c r="W1952" s="5"/>
      <c r="X1952" s="11"/>
      <c r="Y1952" s="4"/>
      <c r="Z1952" s="5"/>
      <c r="AA1952" s="4"/>
      <c r="AB1952" s="4"/>
      <c r="AC1952" s="4"/>
      <c r="AD1952" s="5"/>
      <c r="AE1952" s="5"/>
      <c r="AF1952" s="5"/>
      <c r="AG1952" s="5"/>
      <c r="AH1952" s="5"/>
      <c r="AI1952" s="5"/>
      <c r="AJ1952" s="5"/>
      <c r="AK1952" s="5"/>
      <c r="AL1952" s="5"/>
    </row>
    <row r="1953">
      <c r="A1953" s="4" t="str">
        <f>VLOOKUP(L1953,payment_ids!C:D,2,FALSE)</f>
        <v>pay_H8Ozr9Wivntb9S</v>
      </c>
      <c r="B1953" s="4"/>
      <c r="C1953" s="4" t="s">
        <v>5508</v>
      </c>
      <c r="D1953" s="4">
        <v>50023.0</v>
      </c>
      <c r="E1953" s="4"/>
      <c r="F1953" s="4">
        <v>1.0</v>
      </c>
      <c r="G1953" s="4">
        <v>99.0</v>
      </c>
      <c r="H1953" s="4"/>
      <c r="I1953" s="4">
        <v>99.0</v>
      </c>
      <c r="J1953" s="4" t="s">
        <v>5511</v>
      </c>
      <c r="K1953" s="6">
        <f>+919999033033</f>
        <v>919999033033</v>
      </c>
      <c r="L1953" s="4" t="str">
        <f t="shared" si="1"/>
        <v>arpanhsingh@gmail.com919999033033</v>
      </c>
      <c r="M1953" s="10" t="s">
        <v>67</v>
      </c>
      <c r="N1953" s="4" t="b">
        <v>0</v>
      </c>
      <c r="O1953" s="4" t="str">
        <f>VLOOKUP(A1953,payment_ids!D:E,2,FALSE)</f>
        <v>upi</v>
      </c>
      <c r="P1953" s="4" t="s">
        <v>69</v>
      </c>
      <c r="Q1953" s="11">
        <v>44444.01180555556</v>
      </c>
      <c r="R1953" s="4"/>
      <c r="S1953" s="12" t="s">
        <v>5510</v>
      </c>
      <c r="T1953" s="4"/>
      <c r="U1953" s="4"/>
      <c r="V1953" s="11"/>
      <c r="W1953" s="5"/>
      <c r="X1953" s="11"/>
      <c r="Y1953" s="4"/>
      <c r="Z1953" s="5"/>
      <c r="AA1953" s="4"/>
      <c r="AB1953" s="4"/>
      <c r="AC1953" s="4"/>
      <c r="AD1953" s="5"/>
      <c r="AE1953" s="5"/>
      <c r="AF1953" s="5"/>
      <c r="AG1953" s="5"/>
      <c r="AH1953" s="5"/>
      <c r="AI1953" s="5"/>
      <c r="AJ1953" s="5"/>
      <c r="AK1953" s="5"/>
      <c r="AL1953" s="5"/>
    </row>
    <row r="1954">
      <c r="A1954" s="4" t="str">
        <f>VLOOKUP(L1954,payment_ids!C:D,2,FALSE)</f>
        <v>pay_H8vhusNyUBtLEF</v>
      </c>
      <c r="B1954" s="4"/>
      <c r="C1954" s="4" t="s">
        <v>5508</v>
      </c>
      <c r="D1954" s="4">
        <v>50023.0</v>
      </c>
      <c r="E1954" s="4"/>
      <c r="F1954" s="4">
        <v>3.0</v>
      </c>
      <c r="G1954" s="4">
        <v>199.0</v>
      </c>
      <c r="H1954" s="4"/>
      <c r="I1954" s="4">
        <v>199.0</v>
      </c>
      <c r="J1954" s="4" t="s">
        <v>5512</v>
      </c>
      <c r="K1954" s="6">
        <f>+919723231499</f>
        <v>919723231499</v>
      </c>
      <c r="L1954" s="4" t="str">
        <f t="shared" si="1"/>
        <v>omprakashutaha@gmail.com919723231499</v>
      </c>
      <c r="M1954" s="10" t="s">
        <v>67</v>
      </c>
      <c r="N1954" s="4" t="b">
        <v>0</v>
      </c>
      <c r="O1954" s="4" t="str">
        <f>VLOOKUP(A1954,payment_ids!D:E,2,FALSE)</f>
        <v>upi</v>
      </c>
      <c r="P1954" s="4" t="s">
        <v>69</v>
      </c>
      <c r="Q1954" s="11">
        <v>44474.345138888886</v>
      </c>
      <c r="R1954" s="4"/>
      <c r="S1954" s="12" t="s">
        <v>5510</v>
      </c>
      <c r="T1954" s="4"/>
      <c r="U1954" s="4"/>
      <c r="V1954" s="11"/>
      <c r="W1954" s="5"/>
      <c r="X1954" s="11"/>
      <c r="Y1954" s="4"/>
      <c r="Z1954" s="5"/>
      <c r="AA1954" s="4"/>
      <c r="AB1954" s="4"/>
      <c r="AC1954" s="4"/>
      <c r="AD1954" s="5"/>
      <c r="AE1954" s="5"/>
      <c r="AF1954" s="5"/>
      <c r="AG1954" s="5"/>
      <c r="AH1954" s="5"/>
      <c r="AI1954" s="5"/>
      <c r="AJ1954" s="5"/>
      <c r="AK1954" s="5"/>
      <c r="AL1954" s="5"/>
    </row>
    <row r="1955">
      <c r="A1955" s="4" t="str">
        <f>VLOOKUP(L1955,payment_ids!C:D,2,FALSE)</f>
        <v>pay_H99qbABlXHJPDI</v>
      </c>
      <c r="B1955" s="4"/>
      <c r="C1955" s="4" t="s">
        <v>5508</v>
      </c>
      <c r="D1955" s="4">
        <v>50023.0</v>
      </c>
      <c r="E1955" s="4"/>
      <c r="F1955" s="4">
        <v>1.0</v>
      </c>
      <c r="G1955" s="4">
        <v>99.0</v>
      </c>
      <c r="H1955" s="4"/>
      <c r="I1955" s="4">
        <v>99.0</v>
      </c>
      <c r="J1955" s="4" t="s">
        <v>5513</v>
      </c>
      <c r="K1955" s="6">
        <f>+918010983627</f>
        <v>918010983627</v>
      </c>
      <c r="L1955" s="4" t="str">
        <f t="shared" si="1"/>
        <v>naikanil0831@gmail.com918010983627</v>
      </c>
      <c r="M1955" s="10" t="s">
        <v>67</v>
      </c>
      <c r="N1955" s="4" t="b">
        <v>0</v>
      </c>
      <c r="O1955" s="4" t="str">
        <f>VLOOKUP(A1955,payment_ids!D:E,2,FALSE)</f>
        <v>upi</v>
      </c>
      <c r="P1955" s="4" t="s">
        <v>69</v>
      </c>
      <c r="Q1955" s="11">
        <v>44474.92152777778</v>
      </c>
      <c r="R1955" s="4"/>
      <c r="S1955" s="12" t="s">
        <v>5510</v>
      </c>
      <c r="T1955" s="4"/>
      <c r="U1955" s="4"/>
      <c r="V1955" s="11"/>
      <c r="W1955" s="5"/>
      <c r="X1955" s="11"/>
      <c r="Y1955" s="4"/>
      <c r="Z1955" s="5"/>
      <c r="AA1955" s="4"/>
      <c r="AB1955" s="4"/>
      <c r="AC1955" s="4"/>
      <c r="AD1955" s="5"/>
      <c r="AE1955" s="5"/>
      <c r="AF1955" s="5"/>
      <c r="AG1955" s="5"/>
      <c r="AH1955" s="5"/>
      <c r="AI1955" s="5"/>
      <c r="AJ1955" s="5"/>
      <c r="AK1955" s="5"/>
      <c r="AL1955" s="5"/>
    </row>
    <row r="1956">
      <c r="A1956" s="4" t="str">
        <f>VLOOKUP(L1956,payment_ids!C:D,2,FALSE)</f>
        <v>pay_HDjeB7wwj2JmyL</v>
      </c>
      <c r="B1956" s="4"/>
      <c r="C1956" s="4" t="s">
        <v>5508</v>
      </c>
      <c r="D1956" s="4">
        <v>50023.0</v>
      </c>
      <c r="E1956" s="4"/>
      <c r="F1956" s="4">
        <v>1.0</v>
      </c>
      <c r="G1956" s="4">
        <v>99.0</v>
      </c>
      <c r="H1956" s="4"/>
      <c r="I1956" s="4">
        <v>99.0</v>
      </c>
      <c r="J1956" s="4" t="s">
        <v>5514</v>
      </c>
      <c r="K1956" s="6">
        <f>+919958579459</f>
        <v>919958579459</v>
      </c>
      <c r="L1956" s="4" t="str">
        <f t="shared" si="1"/>
        <v>vtyagivivek@gmail.com919958579459</v>
      </c>
      <c r="M1956" s="10" t="s">
        <v>67</v>
      </c>
      <c r="N1956" s="4" t="b">
        <v>0</v>
      </c>
      <c r="O1956" s="4" t="str">
        <f>VLOOKUP(A1956,payment_ids!D:E,2,FALSE)</f>
        <v>wallet</v>
      </c>
      <c r="P1956" s="4" t="s">
        <v>69</v>
      </c>
      <c r="Q1956" s="4" t="s">
        <v>5515</v>
      </c>
      <c r="R1956" s="4"/>
      <c r="S1956" s="12" t="s">
        <v>5510</v>
      </c>
      <c r="T1956" s="4"/>
      <c r="U1956" s="4"/>
      <c r="V1956" s="11"/>
      <c r="W1956" s="5"/>
      <c r="X1956" s="11"/>
      <c r="Y1956" s="4"/>
      <c r="Z1956" s="5"/>
      <c r="AA1956" s="4"/>
      <c r="AB1956" s="4"/>
      <c r="AC1956" s="4"/>
      <c r="AD1956" s="5"/>
      <c r="AE1956" s="5"/>
      <c r="AF1956" s="5"/>
      <c r="AG1956" s="5"/>
      <c r="AH1956" s="5"/>
      <c r="AI1956" s="5"/>
      <c r="AJ1956" s="5"/>
      <c r="AK1956" s="5"/>
      <c r="AL1956" s="5"/>
    </row>
    <row r="1957">
      <c r="A1957" s="4" t="str">
        <f>VLOOKUP(L1957,payment_ids!C:D,2,FALSE)</f>
        <v>pay_HEgOklcw4pl1bZ</v>
      </c>
      <c r="B1957" s="4"/>
      <c r="C1957" s="4" t="s">
        <v>5508</v>
      </c>
      <c r="D1957" s="4">
        <v>50023.0</v>
      </c>
      <c r="E1957" s="4"/>
      <c r="F1957" s="4">
        <v>1.0</v>
      </c>
      <c r="G1957" s="4">
        <v>99.0</v>
      </c>
      <c r="H1957" s="4"/>
      <c r="I1957" s="4">
        <v>99.0</v>
      </c>
      <c r="J1957" s="4" t="s">
        <v>5516</v>
      </c>
      <c r="K1957" s="6">
        <f>+918932942995</f>
        <v>918932942995</v>
      </c>
      <c r="L1957" s="4" t="str">
        <f t="shared" si="1"/>
        <v>chandersoni2360842@gmail.com918932942995</v>
      </c>
      <c r="M1957" s="10" t="s">
        <v>67</v>
      </c>
      <c r="N1957" s="4" t="b">
        <v>0</v>
      </c>
      <c r="O1957" s="4" t="str">
        <f>VLOOKUP(A1957,payment_ids!D:E,2,FALSE)</f>
        <v>upi</v>
      </c>
      <c r="P1957" s="4" t="s">
        <v>69</v>
      </c>
      <c r="Q1957" s="4" t="s">
        <v>5517</v>
      </c>
      <c r="R1957" s="4"/>
      <c r="S1957" s="12" t="s">
        <v>5510</v>
      </c>
      <c r="T1957" s="4"/>
      <c r="U1957" s="4"/>
      <c r="V1957" s="11"/>
      <c r="W1957" s="5"/>
      <c r="X1957" s="11"/>
      <c r="Y1957" s="4"/>
      <c r="Z1957" s="5"/>
      <c r="AA1957" s="4"/>
      <c r="AB1957" s="4"/>
      <c r="AC1957" s="4"/>
      <c r="AD1957" s="5"/>
      <c r="AE1957" s="5"/>
      <c r="AF1957" s="5"/>
      <c r="AG1957" s="5"/>
      <c r="AH1957" s="5"/>
      <c r="AI1957" s="5"/>
      <c r="AJ1957" s="5"/>
      <c r="AK1957" s="5"/>
      <c r="AL1957" s="5"/>
    </row>
    <row r="1958">
      <c r="A1958" s="4" t="str">
        <f>VLOOKUP(L1958,payment_ids!C:D,2,FALSE)</f>
        <v>pay_HExsEZoNyw7739</v>
      </c>
      <c r="B1958" s="4"/>
      <c r="C1958" s="4" t="s">
        <v>5508</v>
      </c>
      <c r="D1958" s="4">
        <v>50023.0</v>
      </c>
      <c r="E1958" s="4"/>
      <c r="F1958" s="4">
        <v>1.0</v>
      </c>
      <c r="G1958" s="4">
        <v>99.0</v>
      </c>
      <c r="H1958" s="4"/>
      <c r="I1958" s="4">
        <v>99.0</v>
      </c>
      <c r="J1958" s="4" t="s">
        <v>5518</v>
      </c>
      <c r="K1958" s="6">
        <f>+919899044403</f>
        <v>919899044403</v>
      </c>
      <c r="L1958" s="4" t="str">
        <f t="shared" si="1"/>
        <v>priyatuteja3@gmail.com919899044403</v>
      </c>
      <c r="M1958" s="10" t="s">
        <v>67</v>
      </c>
      <c r="N1958" s="4" t="b">
        <v>0</v>
      </c>
      <c r="O1958" s="4" t="str">
        <f>VLOOKUP(A1958,payment_ids!D:E,2,FALSE)</f>
        <v>card</v>
      </c>
      <c r="P1958" s="4" t="s">
        <v>69</v>
      </c>
      <c r="Q1958" s="4" t="s">
        <v>5519</v>
      </c>
      <c r="R1958" s="4"/>
      <c r="S1958" s="12" t="s">
        <v>5510</v>
      </c>
      <c r="T1958" s="4"/>
      <c r="U1958" s="4"/>
      <c r="V1958" s="11"/>
      <c r="W1958" s="5"/>
      <c r="X1958" s="11"/>
      <c r="Y1958" s="4"/>
      <c r="Z1958" s="5"/>
      <c r="AA1958" s="4"/>
      <c r="AB1958" s="4"/>
      <c r="AC1958" s="4"/>
      <c r="AD1958" s="5"/>
      <c r="AE1958" s="5"/>
      <c r="AF1958" s="5"/>
      <c r="AG1958" s="5"/>
      <c r="AH1958" s="5"/>
      <c r="AI1958" s="5"/>
      <c r="AJ1958" s="5"/>
      <c r="AK1958" s="5"/>
      <c r="AL1958" s="5"/>
    </row>
    <row r="1959">
      <c r="A1959" s="4" t="str">
        <f>VLOOKUP(L1959,payment_ids!C:D,2,FALSE)</f>
        <v>pay_HCelYpG84OQq37</v>
      </c>
      <c r="B1959" s="4"/>
      <c r="C1959" s="4" t="s">
        <v>5508</v>
      </c>
      <c r="D1959" s="4">
        <v>50023.0</v>
      </c>
      <c r="E1959" s="4"/>
      <c r="F1959" s="4">
        <v>1.0</v>
      </c>
      <c r="G1959" s="4">
        <v>99.0</v>
      </c>
      <c r="H1959" s="4"/>
      <c r="I1959" s="4">
        <v>99.0</v>
      </c>
      <c r="J1959" s="4" t="s">
        <v>3434</v>
      </c>
      <c r="K1959" s="6">
        <f>+918308570267</f>
        <v>918308570267</v>
      </c>
      <c r="L1959" s="4" t="str">
        <f t="shared" si="1"/>
        <v>varunmahale1993@gmail.com918308570267</v>
      </c>
      <c r="M1959" s="10" t="s">
        <v>67</v>
      </c>
      <c r="N1959" s="4" t="b">
        <v>0</v>
      </c>
      <c r="O1959" s="4" t="str">
        <f>VLOOKUP(A1959,payment_ids!D:E,2,FALSE)</f>
        <v>card</v>
      </c>
      <c r="P1959" s="4" t="s">
        <v>69</v>
      </c>
      <c r="Q1959" s="4" t="s">
        <v>5520</v>
      </c>
      <c r="R1959" s="4"/>
      <c r="S1959" s="12" t="s">
        <v>5510</v>
      </c>
      <c r="T1959" s="4"/>
      <c r="U1959" s="4"/>
      <c r="V1959" s="11"/>
      <c r="W1959" s="5"/>
      <c r="X1959" s="11"/>
      <c r="Y1959" s="4"/>
      <c r="Z1959" s="5"/>
      <c r="AA1959" s="4"/>
      <c r="AB1959" s="4"/>
      <c r="AC1959" s="4"/>
      <c r="AD1959" s="5"/>
      <c r="AE1959" s="5"/>
      <c r="AF1959" s="5"/>
      <c r="AG1959" s="5"/>
      <c r="AH1959" s="5"/>
      <c r="AI1959" s="5"/>
      <c r="AJ1959" s="5"/>
      <c r="AK1959" s="5"/>
      <c r="AL1959" s="5"/>
    </row>
    <row r="1960">
      <c r="A1960" s="4" t="str">
        <f>VLOOKUP(L1960,payment_ids!C:D,2,FALSE)</f>
        <v>pay_HGSo6zw2BJVpob</v>
      </c>
      <c r="B1960" s="4"/>
      <c r="C1960" s="4" t="s">
        <v>5508</v>
      </c>
      <c r="D1960" s="4">
        <v>50023.0</v>
      </c>
      <c r="E1960" s="5"/>
      <c r="F1960" s="4">
        <v>1.0</v>
      </c>
      <c r="G1960" s="4">
        <v>99.0</v>
      </c>
      <c r="H1960" s="4"/>
      <c r="I1960" s="4">
        <v>99.0</v>
      </c>
      <c r="J1960" s="4" t="s">
        <v>5521</v>
      </c>
      <c r="K1960" s="5">
        <f>+916262487208</f>
        <v>916262487208</v>
      </c>
      <c r="L1960" s="4" t="str">
        <f t="shared" si="1"/>
        <v>disa7.sai@gmail.com916262487208</v>
      </c>
      <c r="M1960" s="10" t="s">
        <v>67</v>
      </c>
      <c r="N1960" s="4" t="b">
        <v>0</v>
      </c>
      <c r="O1960" s="4" t="str">
        <f>VLOOKUP(A1960,payment_ids!D:E,2,FALSE)</f>
        <v>upi</v>
      </c>
      <c r="P1960" s="4" t="s">
        <v>69</v>
      </c>
      <c r="Q1960" s="4" t="s">
        <v>5522</v>
      </c>
      <c r="R1960" s="4"/>
      <c r="S1960" s="12" t="s">
        <v>5510</v>
      </c>
      <c r="T1960" s="5"/>
      <c r="U1960" s="4"/>
      <c r="V1960" s="11"/>
      <c r="W1960" s="5"/>
      <c r="X1960" s="11"/>
      <c r="Y1960" s="4"/>
      <c r="Z1960" s="5"/>
      <c r="AA1960" s="4"/>
      <c r="AB1960" s="4"/>
      <c r="AC1960" s="4"/>
      <c r="AD1960" s="5"/>
      <c r="AE1960" s="5"/>
      <c r="AF1960" s="5"/>
      <c r="AG1960" s="5"/>
      <c r="AH1960" s="5"/>
      <c r="AI1960" s="5"/>
      <c r="AJ1960" s="5"/>
      <c r="AK1960" s="5"/>
      <c r="AL1960" s="5"/>
    </row>
    <row r="1961">
      <c r="A1961" s="4" t="str">
        <f>VLOOKUP(L1961,payment_ids!C:D,2,FALSE)</f>
        <v>pay_HGgoCeWzpwcufV</v>
      </c>
      <c r="B1961" s="4"/>
      <c r="C1961" s="4" t="s">
        <v>5508</v>
      </c>
      <c r="D1961" s="4">
        <v>50023.0</v>
      </c>
      <c r="E1961" s="5"/>
      <c r="F1961" s="4">
        <v>1.0</v>
      </c>
      <c r="G1961" s="4">
        <v>99.0</v>
      </c>
      <c r="H1961" s="4"/>
      <c r="I1961" s="4">
        <v>99.0</v>
      </c>
      <c r="J1961" s="4" t="s">
        <v>5523</v>
      </c>
      <c r="K1961" s="5">
        <f>+919654438434</f>
        <v>919654438434</v>
      </c>
      <c r="L1961" s="4" t="str">
        <f t="shared" si="1"/>
        <v>lovelysinghknp583@gmail.com919654438434</v>
      </c>
      <c r="M1961" s="10" t="s">
        <v>67</v>
      </c>
      <c r="N1961" s="4" t="b">
        <v>0</v>
      </c>
      <c r="O1961" s="4" t="str">
        <f>VLOOKUP(A1961,payment_ids!D:E,2,FALSE)</f>
        <v>upi</v>
      </c>
      <c r="P1961" s="4" t="s">
        <v>69</v>
      </c>
      <c r="Q1961" s="4" t="s">
        <v>5524</v>
      </c>
      <c r="R1961" s="4"/>
      <c r="S1961" s="12" t="s">
        <v>5510</v>
      </c>
      <c r="T1961" s="5"/>
      <c r="U1961" s="4"/>
      <c r="V1961" s="11"/>
      <c r="W1961" s="5"/>
      <c r="X1961" s="11"/>
      <c r="Y1961" s="4"/>
      <c r="Z1961" s="5"/>
      <c r="AA1961" s="4"/>
      <c r="AB1961" s="4"/>
      <c r="AC1961" s="4"/>
      <c r="AD1961" s="5"/>
      <c r="AE1961" s="5"/>
      <c r="AF1961" s="5"/>
      <c r="AG1961" s="5"/>
      <c r="AH1961" s="5"/>
      <c r="AI1961" s="5"/>
      <c r="AJ1961" s="5"/>
      <c r="AK1961" s="5"/>
      <c r="AL1961" s="5"/>
    </row>
    <row r="1962">
      <c r="A1962" s="4" t="str">
        <f>VLOOKUP(L1962,payment_ids!C:D,2,FALSE)</f>
        <v>pay_HGia4C1WChZuCh</v>
      </c>
      <c r="B1962" s="4"/>
      <c r="C1962" s="4" t="s">
        <v>5508</v>
      </c>
      <c r="D1962" s="4">
        <v>50023.0</v>
      </c>
      <c r="E1962" s="5"/>
      <c r="F1962" s="4">
        <v>1.0</v>
      </c>
      <c r="G1962" s="4">
        <v>99.0</v>
      </c>
      <c r="H1962" s="4"/>
      <c r="I1962" s="4">
        <v>99.0</v>
      </c>
      <c r="J1962" s="4" t="s">
        <v>5525</v>
      </c>
      <c r="K1962" s="5">
        <f>+919953415341</f>
        <v>919953415341</v>
      </c>
      <c r="L1962" s="4" t="str">
        <f t="shared" si="1"/>
        <v>yuktikumar15@yahoo.in919953415341</v>
      </c>
      <c r="M1962" s="10" t="s">
        <v>67</v>
      </c>
      <c r="N1962" s="4" t="b">
        <v>0</v>
      </c>
      <c r="O1962" s="4" t="str">
        <f>VLOOKUP(A1962,payment_ids!D:E,2,FALSE)</f>
        <v>wallet</v>
      </c>
      <c r="P1962" s="4" t="s">
        <v>69</v>
      </c>
      <c r="Q1962" s="4" t="s">
        <v>5526</v>
      </c>
      <c r="R1962" s="4"/>
      <c r="S1962" s="12" t="s">
        <v>5510</v>
      </c>
      <c r="T1962" s="5"/>
      <c r="U1962" s="4"/>
      <c r="V1962" s="11"/>
      <c r="W1962" s="5"/>
      <c r="X1962" s="11"/>
      <c r="Y1962" s="4"/>
      <c r="Z1962" s="5"/>
      <c r="AA1962" s="4"/>
      <c r="AB1962" s="4"/>
      <c r="AC1962" s="4"/>
      <c r="AD1962" s="5"/>
      <c r="AE1962" s="5"/>
      <c r="AF1962" s="5"/>
      <c r="AG1962" s="5"/>
      <c r="AH1962" s="5"/>
      <c r="AI1962" s="5"/>
      <c r="AJ1962" s="5"/>
      <c r="AK1962" s="5"/>
      <c r="AL1962" s="5"/>
    </row>
    <row r="1963">
      <c r="A1963" s="4" t="str">
        <f>VLOOKUP(L1963,payment_ids!C:D,2,FALSE)</f>
        <v>pay_HGrOufIww0V31c</v>
      </c>
      <c r="B1963" s="4"/>
      <c r="C1963" s="4" t="s">
        <v>5508</v>
      </c>
      <c r="D1963" s="4">
        <v>50023.0</v>
      </c>
      <c r="E1963" s="5"/>
      <c r="F1963" s="4">
        <v>1.0</v>
      </c>
      <c r="G1963" s="4">
        <v>99.0</v>
      </c>
      <c r="H1963" s="4"/>
      <c r="I1963" s="4">
        <v>99.0</v>
      </c>
      <c r="J1963" s="4" t="s">
        <v>5527</v>
      </c>
      <c r="K1963" s="5">
        <f>+919352968815</f>
        <v>919352968815</v>
      </c>
      <c r="L1963" s="4" t="str">
        <f t="shared" si="1"/>
        <v>girirajsingh652@gmail.com919352968815</v>
      </c>
      <c r="M1963" s="10" t="s">
        <v>67</v>
      </c>
      <c r="N1963" s="4" t="b">
        <v>0</v>
      </c>
      <c r="O1963" s="4" t="str">
        <f>VLOOKUP(A1963,payment_ids!D:E,2,FALSE)</f>
        <v>upi</v>
      </c>
      <c r="P1963" s="4" t="s">
        <v>69</v>
      </c>
      <c r="Q1963" s="4" t="s">
        <v>5528</v>
      </c>
      <c r="R1963" s="4"/>
      <c r="S1963" s="12" t="s">
        <v>5510</v>
      </c>
      <c r="T1963" s="5"/>
      <c r="U1963" s="4"/>
      <c r="V1963" s="11"/>
      <c r="W1963" s="5"/>
      <c r="X1963" s="11"/>
      <c r="Y1963" s="4"/>
      <c r="Z1963" s="5"/>
      <c r="AA1963" s="4"/>
      <c r="AB1963" s="4"/>
      <c r="AC1963" s="4"/>
      <c r="AD1963" s="5"/>
      <c r="AE1963" s="5"/>
      <c r="AF1963" s="5"/>
      <c r="AG1963" s="5"/>
      <c r="AH1963" s="5"/>
      <c r="AI1963" s="5"/>
      <c r="AJ1963" s="5"/>
      <c r="AK1963" s="5"/>
      <c r="AL1963" s="5"/>
    </row>
    <row r="1964">
      <c r="A1964" s="4" t="str">
        <f>VLOOKUP(L1964,payment_ids!C:D,2,FALSE)</f>
        <v>pay_HGvyoBuhX3eNOT</v>
      </c>
      <c r="B1964" s="4"/>
      <c r="C1964" s="4" t="s">
        <v>5508</v>
      </c>
      <c r="D1964" s="4">
        <v>50023.0</v>
      </c>
      <c r="E1964" s="5"/>
      <c r="F1964" s="4">
        <v>1.0</v>
      </c>
      <c r="G1964" s="4">
        <v>99.0</v>
      </c>
      <c r="H1964" s="4"/>
      <c r="I1964" s="4">
        <v>99.0</v>
      </c>
      <c r="J1964" s="4" t="s">
        <v>5529</v>
      </c>
      <c r="K1964" s="5">
        <f>+917009427457</f>
        <v>917009427457</v>
      </c>
      <c r="L1964" s="4" t="str">
        <f t="shared" si="1"/>
        <v>englishwithjasmeet@gmail.com917009427457</v>
      </c>
      <c r="M1964" s="10" t="s">
        <v>67</v>
      </c>
      <c r="N1964" s="4" t="b">
        <v>0</v>
      </c>
      <c r="O1964" s="4" t="str">
        <f>VLOOKUP(A1964,payment_ids!D:E,2,FALSE)</f>
        <v>upi</v>
      </c>
      <c r="P1964" s="4" t="s">
        <v>69</v>
      </c>
      <c r="Q1964" s="4" t="s">
        <v>5530</v>
      </c>
      <c r="R1964" s="4"/>
      <c r="S1964" s="12" t="s">
        <v>5510</v>
      </c>
      <c r="T1964" s="5"/>
      <c r="U1964" s="4"/>
      <c r="V1964" s="11"/>
      <c r="W1964" s="5"/>
      <c r="X1964" s="11"/>
      <c r="Y1964" s="4"/>
      <c r="Z1964" s="5"/>
      <c r="AA1964" s="4"/>
      <c r="AB1964" s="4"/>
      <c r="AC1964" s="4"/>
      <c r="AD1964" s="5"/>
      <c r="AE1964" s="5"/>
      <c r="AF1964" s="5"/>
      <c r="AG1964" s="5"/>
      <c r="AH1964" s="5"/>
      <c r="AI1964" s="5"/>
      <c r="AJ1964" s="5"/>
      <c r="AK1964" s="5"/>
      <c r="AL1964" s="5"/>
    </row>
    <row r="1965">
      <c r="A1965" s="4" t="str">
        <f>VLOOKUP(L1965,payment_ids!C:D,2,FALSE)</f>
        <v>pay_HGxTwP88hIilll</v>
      </c>
      <c r="B1965" s="4"/>
      <c r="C1965" s="4" t="s">
        <v>5508</v>
      </c>
      <c r="D1965" s="4">
        <v>50023.0</v>
      </c>
      <c r="E1965" s="5"/>
      <c r="F1965" s="4">
        <v>1.0</v>
      </c>
      <c r="G1965" s="4">
        <v>99.0</v>
      </c>
      <c r="H1965" s="4"/>
      <c r="I1965" s="4">
        <v>99.0</v>
      </c>
      <c r="J1965" s="4" t="s">
        <v>5531</v>
      </c>
      <c r="K1965" s="5">
        <f>+919030022440</f>
        <v>919030022440</v>
      </c>
      <c r="L1965" s="4" t="str">
        <f t="shared" si="1"/>
        <v>mohammedjameel4545@gmail.com919030022440</v>
      </c>
      <c r="M1965" s="10" t="s">
        <v>67</v>
      </c>
      <c r="N1965" s="4" t="b">
        <v>0</v>
      </c>
      <c r="O1965" s="4" t="str">
        <f>VLOOKUP(A1965,payment_ids!D:E,2,FALSE)</f>
        <v>wallet</v>
      </c>
      <c r="P1965" s="4" t="s">
        <v>69</v>
      </c>
      <c r="Q1965" s="4" t="s">
        <v>5532</v>
      </c>
      <c r="R1965" s="4"/>
      <c r="S1965" s="12" t="s">
        <v>5510</v>
      </c>
      <c r="T1965" s="5"/>
      <c r="U1965" s="4"/>
      <c r="V1965" s="11"/>
      <c r="W1965" s="5"/>
      <c r="X1965" s="11"/>
      <c r="Y1965" s="4"/>
      <c r="Z1965" s="5"/>
      <c r="AA1965" s="4"/>
      <c r="AB1965" s="4"/>
      <c r="AC1965" s="4"/>
      <c r="AD1965" s="5"/>
      <c r="AE1965" s="5"/>
      <c r="AF1965" s="5"/>
      <c r="AG1965" s="5"/>
      <c r="AH1965" s="5"/>
      <c r="AI1965" s="5"/>
      <c r="AJ1965" s="5"/>
      <c r="AK1965" s="5"/>
      <c r="AL1965" s="5"/>
    </row>
    <row r="1966">
      <c r="A1966" s="4" t="str">
        <f>VLOOKUP(L1966,payment_ids!C:D,2,FALSE)</f>
        <v>pay_HH5LlvRMO21btK</v>
      </c>
      <c r="B1966" s="4"/>
      <c r="C1966" s="4" t="s">
        <v>5508</v>
      </c>
      <c r="D1966" s="4">
        <v>50023.0</v>
      </c>
      <c r="E1966" s="5"/>
      <c r="F1966" s="4">
        <v>1.0</v>
      </c>
      <c r="G1966" s="4">
        <v>99.0</v>
      </c>
      <c r="H1966" s="4"/>
      <c r="I1966" s="4">
        <v>99.0</v>
      </c>
      <c r="J1966" s="4" t="s">
        <v>5533</v>
      </c>
      <c r="K1966" s="5">
        <f>+918770424852</f>
        <v>918770424852</v>
      </c>
      <c r="L1966" s="4" t="str">
        <f t="shared" si="1"/>
        <v>kharemeenal01@gmail.com918770424852</v>
      </c>
      <c r="M1966" s="10" t="s">
        <v>67</v>
      </c>
      <c r="N1966" s="4" t="b">
        <v>0</v>
      </c>
      <c r="O1966" s="4" t="str">
        <f>VLOOKUP(A1966,payment_ids!D:E,2,FALSE)</f>
        <v>upi</v>
      </c>
      <c r="P1966" s="4" t="s">
        <v>69</v>
      </c>
      <c r="Q1966" s="4" t="s">
        <v>5534</v>
      </c>
      <c r="R1966" s="4"/>
      <c r="S1966" s="12" t="s">
        <v>5510</v>
      </c>
      <c r="T1966" s="5"/>
      <c r="U1966" s="4"/>
      <c r="V1966" s="11"/>
      <c r="W1966" s="5"/>
      <c r="X1966" s="11"/>
      <c r="Y1966" s="4"/>
      <c r="Z1966" s="5"/>
      <c r="AA1966" s="4"/>
      <c r="AB1966" s="4"/>
      <c r="AC1966" s="4"/>
      <c r="AD1966" s="5"/>
      <c r="AE1966" s="5"/>
      <c r="AF1966" s="5"/>
      <c r="AG1966" s="5"/>
      <c r="AH1966" s="5"/>
      <c r="AI1966" s="5"/>
      <c r="AJ1966" s="5"/>
      <c r="AK1966" s="5"/>
      <c r="AL1966" s="5"/>
    </row>
    <row r="1967">
      <c r="A1967" s="4" t="str">
        <f>VLOOKUP(L1967,payment_ids!C:D,2,FALSE)</f>
        <v>pay_HHMVHeaInj7Tts</v>
      </c>
      <c r="B1967" s="4"/>
      <c r="C1967" s="4" t="s">
        <v>5508</v>
      </c>
      <c r="D1967" s="4">
        <v>50023.0</v>
      </c>
      <c r="E1967" s="5"/>
      <c r="F1967" s="4">
        <v>1.0</v>
      </c>
      <c r="G1967" s="4">
        <v>99.0</v>
      </c>
      <c r="H1967" s="4"/>
      <c r="I1967" s="4">
        <v>99.0</v>
      </c>
      <c r="J1967" s="4" t="s">
        <v>5535</v>
      </c>
      <c r="K1967" s="5">
        <f>+919654107764</f>
        <v>919654107764</v>
      </c>
      <c r="L1967" s="4" t="str">
        <f t="shared" si="1"/>
        <v>choprakirti2009@gmail.com919654107764</v>
      </c>
      <c r="M1967" s="10" t="s">
        <v>67</v>
      </c>
      <c r="N1967" s="4" t="b">
        <v>0</v>
      </c>
      <c r="O1967" s="4" t="str">
        <f>VLOOKUP(A1967,payment_ids!D:E,2,FALSE)</f>
        <v>upi</v>
      </c>
      <c r="P1967" s="4" t="s">
        <v>69</v>
      </c>
      <c r="Q1967" s="4" t="s">
        <v>3253</v>
      </c>
      <c r="R1967" s="4"/>
      <c r="S1967" s="12" t="s">
        <v>5510</v>
      </c>
      <c r="T1967" s="5"/>
      <c r="U1967" s="4"/>
      <c r="V1967" s="11"/>
      <c r="W1967" s="5"/>
      <c r="X1967" s="11"/>
      <c r="Y1967" s="4"/>
      <c r="Z1967" s="5"/>
      <c r="AA1967" s="4"/>
      <c r="AB1967" s="4"/>
      <c r="AC1967" s="4"/>
      <c r="AD1967" s="5"/>
      <c r="AE1967" s="5"/>
      <c r="AF1967" s="5"/>
      <c r="AG1967" s="5"/>
      <c r="AH1967" s="5"/>
      <c r="AI1967" s="5"/>
      <c r="AJ1967" s="5"/>
      <c r="AK1967" s="5"/>
      <c r="AL1967" s="5"/>
    </row>
    <row r="1968">
      <c r="A1968" s="4" t="str">
        <f>VLOOKUP(L1968,payment_ids!C:D,2,FALSE)</f>
        <v>pay_HHNqzPteWixNNz</v>
      </c>
      <c r="B1968" s="4"/>
      <c r="C1968" s="4" t="s">
        <v>5508</v>
      </c>
      <c r="D1968" s="4">
        <v>50023.0</v>
      </c>
      <c r="E1968" s="5"/>
      <c r="F1968" s="4">
        <v>1.0</v>
      </c>
      <c r="G1968" s="4">
        <v>99.0</v>
      </c>
      <c r="H1968" s="4"/>
      <c r="I1968" s="4">
        <v>99.0</v>
      </c>
      <c r="J1968" s="4" t="s">
        <v>5536</v>
      </c>
      <c r="K1968" s="5">
        <f>+918975880003</f>
        <v>918975880003</v>
      </c>
      <c r="L1968" s="4" t="str">
        <f t="shared" si="1"/>
        <v>pramod31095@gmail.com918975880003</v>
      </c>
      <c r="M1968" s="10" t="s">
        <v>67</v>
      </c>
      <c r="N1968" s="4" t="b">
        <v>0</v>
      </c>
      <c r="O1968" s="4" t="str">
        <f>VLOOKUP(A1968,payment_ids!D:E,2,FALSE)</f>
        <v>upi</v>
      </c>
      <c r="P1968" s="4" t="s">
        <v>69</v>
      </c>
      <c r="Q1968" s="4" t="s">
        <v>5537</v>
      </c>
      <c r="R1968" s="4"/>
      <c r="S1968" s="12" t="s">
        <v>5510</v>
      </c>
      <c r="T1968" s="5"/>
      <c r="U1968" s="4"/>
      <c r="V1968" s="11"/>
      <c r="W1968" s="5"/>
      <c r="X1968" s="11"/>
      <c r="Y1968" s="4"/>
      <c r="Z1968" s="5"/>
      <c r="AA1968" s="4"/>
      <c r="AB1968" s="4"/>
      <c r="AC1968" s="4"/>
      <c r="AD1968" s="5"/>
      <c r="AE1968" s="5"/>
      <c r="AF1968" s="5"/>
      <c r="AG1968" s="5"/>
      <c r="AH1968" s="5"/>
      <c r="AI1968" s="5"/>
      <c r="AJ1968" s="5"/>
      <c r="AK1968" s="5"/>
      <c r="AL1968" s="5"/>
    </row>
    <row r="1969">
      <c r="A1969" s="4" t="str">
        <f>VLOOKUP(L1969,payment_ids!C:D,2,FALSE)</f>
        <v>pay_HHPjQQeF7Zx962</v>
      </c>
      <c r="B1969" s="4"/>
      <c r="C1969" s="4" t="s">
        <v>5508</v>
      </c>
      <c r="D1969" s="4">
        <v>50023.0</v>
      </c>
      <c r="E1969" s="5"/>
      <c r="F1969" s="4">
        <v>1.0</v>
      </c>
      <c r="G1969" s="4">
        <v>99.0</v>
      </c>
      <c r="H1969" s="4"/>
      <c r="I1969" s="4">
        <v>99.0</v>
      </c>
      <c r="J1969" s="4" t="s">
        <v>5538</v>
      </c>
      <c r="K1969" s="5">
        <f>+918373944108</f>
        <v>918373944108</v>
      </c>
      <c r="L1969" s="4" t="str">
        <f t="shared" si="1"/>
        <v>theraoharsh@gmail.com918373944108</v>
      </c>
      <c r="M1969" s="10" t="s">
        <v>67</v>
      </c>
      <c r="N1969" s="4" t="b">
        <v>0</v>
      </c>
      <c r="O1969" s="4" t="str">
        <f>VLOOKUP(A1969,payment_ids!D:E,2,FALSE)</f>
        <v>upi</v>
      </c>
      <c r="P1969" s="4" t="s">
        <v>69</v>
      </c>
      <c r="Q1969" s="4" t="s">
        <v>5539</v>
      </c>
      <c r="R1969" s="4"/>
      <c r="S1969" s="12" t="s">
        <v>5510</v>
      </c>
      <c r="T1969" s="5"/>
      <c r="U1969" s="4"/>
      <c r="V1969" s="11"/>
      <c r="W1969" s="5"/>
      <c r="X1969" s="11"/>
      <c r="Y1969" s="4"/>
      <c r="Z1969" s="5"/>
      <c r="AA1969" s="4"/>
      <c r="AB1969" s="4"/>
      <c r="AC1969" s="4"/>
      <c r="AD1969" s="5"/>
      <c r="AE1969" s="5"/>
      <c r="AF1969" s="5"/>
      <c r="AG1969" s="5"/>
      <c r="AH1969" s="5"/>
      <c r="AI1969" s="5"/>
      <c r="AJ1969" s="5"/>
      <c r="AK1969" s="5"/>
      <c r="AL1969" s="5"/>
    </row>
    <row r="1970">
      <c r="A1970" s="4" t="str">
        <f>VLOOKUP(L1970,payment_ids!C:D,2,FALSE)</f>
        <v>pay_HHUTDOC7ReSnhu</v>
      </c>
      <c r="B1970" s="4"/>
      <c r="C1970" s="4" t="s">
        <v>5508</v>
      </c>
      <c r="D1970" s="4">
        <v>50023.0</v>
      </c>
      <c r="E1970" s="5"/>
      <c r="F1970" s="4">
        <v>3.0</v>
      </c>
      <c r="G1970" s="4">
        <v>199.0</v>
      </c>
      <c r="H1970" s="4"/>
      <c r="I1970" s="4">
        <v>199.0</v>
      </c>
      <c r="J1970" s="4" t="s">
        <v>5540</v>
      </c>
      <c r="K1970" s="5">
        <f>+918096162491</f>
        <v>918096162491</v>
      </c>
      <c r="L1970" s="4" t="str">
        <f t="shared" si="1"/>
        <v>sourab62@gmail.com918096162491</v>
      </c>
      <c r="M1970" s="10" t="s">
        <v>67</v>
      </c>
      <c r="N1970" s="4" t="b">
        <v>0</v>
      </c>
      <c r="O1970" s="4" t="str">
        <f>VLOOKUP(A1970,payment_ids!D:E,2,FALSE)</f>
        <v>upi</v>
      </c>
      <c r="P1970" s="4" t="s">
        <v>69</v>
      </c>
      <c r="Q1970" s="4" t="s">
        <v>5541</v>
      </c>
      <c r="R1970" s="4"/>
      <c r="S1970" s="12" t="s">
        <v>5510</v>
      </c>
      <c r="T1970" s="5"/>
      <c r="U1970" s="4"/>
      <c r="V1970" s="11"/>
      <c r="W1970" s="5"/>
      <c r="X1970" s="11"/>
      <c r="Y1970" s="4"/>
      <c r="Z1970" s="5"/>
      <c r="AA1970" s="4"/>
      <c r="AB1970" s="4"/>
      <c r="AC1970" s="4"/>
      <c r="AD1970" s="5"/>
      <c r="AE1970" s="5"/>
      <c r="AF1970" s="5"/>
      <c r="AG1970" s="5"/>
      <c r="AH1970" s="5"/>
      <c r="AI1970" s="5"/>
      <c r="AJ1970" s="5"/>
      <c r="AK1970" s="5"/>
      <c r="AL1970" s="5"/>
    </row>
    <row r="1971">
      <c r="A1971" s="4" t="str">
        <f>VLOOKUP(L1971,payment_ids!C:D,2,FALSE)</f>
        <v>pay_HHVqpToipHSfeO</v>
      </c>
      <c r="B1971" s="4"/>
      <c r="C1971" s="4" t="s">
        <v>5508</v>
      </c>
      <c r="D1971" s="4">
        <v>50023.0</v>
      </c>
      <c r="E1971" s="5"/>
      <c r="F1971" s="4">
        <v>1.0</v>
      </c>
      <c r="G1971" s="4">
        <v>99.0</v>
      </c>
      <c r="H1971" s="4"/>
      <c r="I1971" s="4">
        <v>99.0</v>
      </c>
      <c r="J1971" s="4" t="s">
        <v>5542</v>
      </c>
      <c r="K1971" s="5">
        <f>+917050446003</f>
        <v>917050446003</v>
      </c>
      <c r="L1971" s="4" t="str">
        <f t="shared" si="1"/>
        <v>gauravsoni10123@gmail.com917050446003</v>
      </c>
      <c r="M1971" s="10" t="s">
        <v>67</v>
      </c>
      <c r="N1971" s="4" t="b">
        <v>0</v>
      </c>
      <c r="O1971" s="4" t="str">
        <f>VLOOKUP(A1971,payment_ids!D:E,2,FALSE)</f>
        <v>upi</v>
      </c>
      <c r="P1971" s="4" t="s">
        <v>69</v>
      </c>
      <c r="Q1971" s="11">
        <v>44202.03472222222</v>
      </c>
      <c r="R1971" s="4"/>
      <c r="S1971" s="12" t="s">
        <v>5510</v>
      </c>
      <c r="T1971" s="5"/>
      <c r="U1971" s="4"/>
      <c r="V1971" s="11"/>
      <c r="W1971" s="5"/>
      <c r="X1971" s="11"/>
      <c r="Y1971" s="4"/>
      <c r="Z1971" s="5"/>
      <c r="AA1971" s="4"/>
      <c r="AB1971" s="4"/>
      <c r="AC1971" s="4"/>
      <c r="AD1971" s="5"/>
      <c r="AE1971" s="5"/>
      <c r="AF1971" s="5"/>
      <c r="AG1971" s="5"/>
      <c r="AH1971" s="5"/>
      <c r="AI1971" s="5"/>
      <c r="AJ1971" s="5"/>
      <c r="AK1971" s="5"/>
      <c r="AL1971" s="5"/>
    </row>
    <row r="1972">
      <c r="A1972" s="4" t="str">
        <f>VLOOKUP(L1972,payment_ids!C:D,2,FALSE)</f>
        <v>pay_HHoTT1aNu6OuVj</v>
      </c>
      <c r="B1972" s="4"/>
      <c r="C1972" s="4" t="s">
        <v>5508</v>
      </c>
      <c r="D1972" s="4">
        <v>50023.0</v>
      </c>
      <c r="E1972" s="5"/>
      <c r="F1972" s="4">
        <v>1.0</v>
      </c>
      <c r="G1972" s="4">
        <v>99.0</v>
      </c>
      <c r="H1972" s="4"/>
      <c r="I1972" s="4">
        <v>99.0</v>
      </c>
      <c r="J1972" s="4" t="s">
        <v>5543</v>
      </c>
      <c r="K1972" s="5">
        <f>+918249427653</f>
        <v>918249427653</v>
      </c>
      <c r="L1972" s="4" t="str">
        <f t="shared" si="1"/>
        <v>jayashreepanda091@gmail.com918249427653</v>
      </c>
      <c r="M1972" s="10" t="s">
        <v>67</v>
      </c>
      <c r="N1972" s="4" t="b">
        <v>0</v>
      </c>
      <c r="O1972" s="4" t="str">
        <f>VLOOKUP(A1972,payment_ids!D:E,2,FALSE)</f>
        <v>upi</v>
      </c>
      <c r="P1972" s="4" t="s">
        <v>69</v>
      </c>
      <c r="Q1972" s="11">
        <v>44202.794444444444</v>
      </c>
      <c r="R1972" s="4"/>
      <c r="S1972" s="12" t="s">
        <v>5510</v>
      </c>
      <c r="T1972" s="5"/>
      <c r="U1972" s="4"/>
      <c r="V1972" s="11"/>
      <c r="W1972" s="5"/>
      <c r="X1972" s="11"/>
      <c r="Y1972" s="4"/>
      <c r="Z1972" s="5"/>
      <c r="AA1972" s="4"/>
      <c r="AB1972" s="4"/>
      <c r="AC1972" s="4"/>
      <c r="AD1972" s="5"/>
      <c r="AE1972" s="5"/>
      <c r="AF1972" s="5"/>
      <c r="AG1972" s="5"/>
      <c r="AH1972" s="5"/>
      <c r="AI1972" s="5"/>
      <c r="AJ1972" s="5"/>
      <c r="AK1972" s="5"/>
      <c r="AL1972" s="5"/>
    </row>
    <row r="1973">
      <c r="A1973" s="4" t="str">
        <f>VLOOKUP(L1973,payment_ids!C:D,2,FALSE)</f>
        <v>pay_HHp53Y78Zl0jfs</v>
      </c>
      <c r="B1973" s="4"/>
      <c r="C1973" s="4" t="s">
        <v>5508</v>
      </c>
      <c r="D1973" s="4">
        <v>50023.0</v>
      </c>
      <c r="E1973" s="5"/>
      <c r="F1973" s="4">
        <v>3.0</v>
      </c>
      <c r="G1973" s="4">
        <v>199.0</v>
      </c>
      <c r="H1973" s="4"/>
      <c r="I1973" s="4">
        <v>199.0</v>
      </c>
      <c r="J1973" s="4" t="s">
        <v>5544</v>
      </c>
      <c r="K1973" s="5">
        <f>+919589027030</f>
        <v>919589027030</v>
      </c>
      <c r="L1973" s="4" t="str">
        <f t="shared" si="1"/>
        <v>eng.arpit420@gmail.com919589027030</v>
      </c>
      <c r="M1973" s="10" t="s">
        <v>67</v>
      </c>
      <c r="N1973" s="4" t="b">
        <v>0</v>
      </c>
      <c r="O1973" s="4" t="str">
        <f>VLOOKUP(A1973,payment_ids!D:E,2,FALSE)</f>
        <v>upi</v>
      </c>
      <c r="P1973" s="4" t="s">
        <v>69</v>
      </c>
      <c r="Q1973" s="11">
        <v>44202.81875</v>
      </c>
      <c r="R1973" s="4"/>
      <c r="S1973" s="12" t="s">
        <v>5510</v>
      </c>
      <c r="T1973" s="5"/>
      <c r="U1973" s="4"/>
      <c r="V1973" s="11"/>
      <c r="W1973" s="5"/>
      <c r="X1973" s="11"/>
      <c r="Y1973" s="4"/>
      <c r="Z1973" s="5"/>
      <c r="AA1973" s="4"/>
      <c r="AB1973" s="4"/>
      <c r="AC1973" s="4"/>
      <c r="AD1973" s="5"/>
      <c r="AE1973" s="5"/>
      <c r="AF1973" s="5"/>
      <c r="AG1973" s="5"/>
      <c r="AH1973" s="5"/>
      <c r="AI1973" s="5"/>
      <c r="AJ1973" s="5"/>
      <c r="AK1973" s="5"/>
      <c r="AL1973" s="5"/>
    </row>
    <row r="1974">
      <c r="A1974" s="4" t="str">
        <f>VLOOKUP(L1974,payment_ids!C:D,2,FALSE)</f>
        <v>pay_HHp7XnHmS5MROK</v>
      </c>
      <c r="B1974" s="4"/>
      <c r="C1974" s="4" t="s">
        <v>5508</v>
      </c>
      <c r="D1974" s="4">
        <v>50023.0</v>
      </c>
      <c r="E1974" s="5"/>
      <c r="F1974" s="4">
        <v>1.0</v>
      </c>
      <c r="G1974" s="4">
        <v>99.0</v>
      </c>
      <c r="H1974" s="4"/>
      <c r="I1974" s="4">
        <v>99.0</v>
      </c>
      <c r="J1974" s="4" t="s">
        <v>5545</v>
      </c>
      <c r="K1974" s="5">
        <f>+919179190048</f>
        <v>919179190048</v>
      </c>
      <c r="L1974" s="4" t="str">
        <f t="shared" si="1"/>
        <v>ns001670@gmail.com919179190048</v>
      </c>
      <c r="M1974" s="10" t="s">
        <v>67</v>
      </c>
      <c r="N1974" s="4" t="b">
        <v>0</v>
      </c>
      <c r="O1974" s="4" t="str">
        <f>VLOOKUP(A1974,payment_ids!D:E,2,FALSE)</f>
        <v>upi</v>
      </c>
      <c r="P1974" s="4" t="s">
        <v>69</v>
      </c>
      <c r="Q1974" s="11">
        <v>44202.82013888889</v>
      </c>
      <c r="R1974" s="4"/>
      <c r="S1974" s="12" t="s">
        <v>5510</v>
      </c>
      <c r="T1974" s="5"/>
      <c r="U1974" s="4"/>
      <c r="V1974" s="11"/>
      <c r="W1974" s="5"/>
      <c r="X1974" s="11"/>
      <c r="Y1974" s="4"/>
      <c r="Z1974" s="5"/>
      <c r="AA1974" s="4"/>
      <c r="AB1974" s="4"/>
      <c r="AC1974" s="4"/>
      <c r="AD1974" s="5"/>
      <c r="AE1974" s="5"/>
      <c r="AF1974" s="5"/>
      <c r="AG1974" s="5"/>
      <c r="AH1974" s="5"/>
      <c r="AI1974" s="5"/>
      <c r="AJ1974" s="5"/>
      <c r="AK1974" s="5"/>
      <c r="AL1974" s="5"/>
    </row>
    <row r="1975">
      <c r="A1975" s="4" t="str">
        <f>VLOOKUP(L1975,payment_ids!C:D,2,FALSE)</f>
        <v>pay_HHquaUmOE4Ixb0</v>
      </c>
      <c r="B1975" s="4"/>
      <c r="C1975" s="4" t="s">
        <v>5508</v>
      </c>
      <c r="D1975" s="4">
        <v>50023.0</v>
      </c>
      <c r="E1975" s="5"/>
      <c r="F1975" s="4">
        <v>1.0</v>
      </c>
      <c r="G1975" s="4">
        <v>99.0</v>
      </c>
      <c r="H1975" s="4"/>
      <c r="I1975" s="4">
        <v>99.0</v>
      </c>
      <c r="J1975" s="4" t="s">
        <v>5546</v>
      </c>
      <c r="K1975" s="5">
        <f>+918233680989</f>
        <v>918233680989</v>
      </c>
      <c r="L1975" s="4" t="str">
        <f t="shared" si="1"/>
        <v>mathurdevesh37@gmail.com918233680989</v>
      </c>
      <c r="M1975" s="10" t="s">
        <v>67</v>
      </c>
      <c r="N1975" s="4" t="b">
        <v>0</v>
      </c>
      <c r="O1975" s="4" t="str">
        <f>VLOOKUP(A1975,payment_ids!D:E,2,FALSE)</f>
        <v>upi</v>
      </c>
      <c r="P1975" s="4" t="s">
        <v>69</v>
      </c>
      <c r="Q1975" s="11">
        <v>44202.89375</v>
      </c>
      <c r="R1975" s="4"/>
      <c r="S1975" s="12" t="s">
        <v>5510</v>
      </c>
      <c r="T1975" s="5"/>
      <c r="U1975" s="4"/>
      <c r="V1975" s="11"/>
      <c r="W1975" s="5"/>
      <c r="X1975" s="11"/>
      <c r="Y1975" s="4"/>
      <c r="Z1975" s="5"/>
      <c r="AA1975" s="4"/>
      <c r="AB1975" s="4"/>
      <c r="AC1975" s="4"/>
      <c r="AD1975" s="5"/>
      <c r="AE1975" s="5"/>
      <c r="AF1975" s="5"/>
      <c r="AG1975" s="5"/>
      <c r="AH1975" s="5"/>
      <c r="AI1975" s="5"/>
      <c r="AJ1975" s="5"/>
      <c r="AK1975" s="5"/>
      <c r="AL1975" s="5"/>
    </row>
    <row r="1976">
      <c r="A1976" s="4" t="str">
        <f>VLOOKUP(L1976,payment_ids!C:D,2,FALSE)</f>
        <v>pay_HHrEZKCP7Q6UN5</v>
      </c>
      <c r="B1976" s="4"/>
      <c r="C1976" s="4" t="s">
        <v>5508</v>
      </c>
      <c r="D1976" s="4">
        <v>50023.0</v>
      </c>
      <c r="E1976" s="5"/>
      <c r="F1976" s="4">
        <v>1.0</v>
      </c>
      <c r="G1976" s="4">
        <v>99.0</v>
      </c>
      <c r="H1976" s="4"/>
      <c r="I1976" s="4">
        <v>99.0</v>
      </c>
      <c r="J1976" s="4" t="s">
        <v>5547</v>
      </c>
      <c r="K1976" s="5">
        <f>+917780975456</f>
        <v>917780975456</v>
      </c>
      <c r="L1976" s="4" t="str">
        <f t="shared" si="1"/>
        <v>romika747.rs@gmail.com917780975456</v>
      </c>
      <c r="M1976" s="10" t="s">
        <v>67</v>
      </c>
      <c r="N1976" s="4" t="b">
        <v>0</v>
      </c>
      <c r="O1976" s="4" t="str">
        <f>VLOOKUP(A1976,payment_ids!D:E,2,FALSE)</f>
        <v>upi</v>
      </c>
      <c r="P1976" s="4" t="s">
        <v>69</v>
      </c>
      <c r="Q1976" s="11">
        <v>44202.90694444445</v>
      </c>
      <c r="R1976" s="4"/>
      <c r="S1976" s="12" t="s">
        <v>5510</v>
      </c>
      <c r="T1976" s="5"/>
      <c r="U1976" s="4"/>
      <c r="V1976" s="11"/>
      <c r="W1976" s="5"/>
      <c r="X1976" s="11"/>
      <c r="Y1976" s="4"/>
      <c r="Z1976" s="5"/>
      <c r="AA1976" s="4"/>
      <c r="AB1976" s="4"/>
      <c r="AC1976" s="4"/>
      <c r="AD1976" s="5"/>
      <c r="AE1976" s="5"/>
      <c r="AF1976" s="5"/>
      <c r="AG1976" s="5"/>
      <c r="AH1976" s="5"/>
      <c r="AI1976" s="5"/>
      <c r="AJ1976" s="5"/>
      <c r="AK1976" s="5"/>
      <c r="AL1976" s="5"/>
    </row>
    <row r="1977">
      <c r="A1977" s="4" t="str">
        <f>VLOOKUP(L1977,payment_ids!C:D,2,FALSE)</f>
        <v>pay_HHuLF7RyhUMmX3</v>
      </c>
      <c r="B1977" s="4"/>
      <c r="C1977" s="4" t="s">
        <v>5508</v>
      </c>
      <c r="D1977" s="4">
        <v>50023.0</v>
      </c>
      <c r="E1977" s="5"/>
      <c r="F1977" s="4">
        <v>1.0</v>
      </c>
      <c r="G1977" s="4">
        <v>99.0</v>
      </c>
      <c r="H1977" s="4"/>
      <c r="I1977" s="4">
        <v>99.0</v>
      </c>
      <c r="J1977" s="4" t="s">
        <v>5548</v>
      </c>
      <c r="K1977" s="5">
        <f>+919808146756</f>
        <v>919808146756</v>
      </c>
      <c r="L1977" s="4" t="str">
        <f t="shared" si="1"/>
        <v>swapniloct22@gmail.com919808146756</v>
      </c>
      <c r="M1977" s="10" t="s">
        <v>67</v>
      </c>
      <c r="N1977" s="4" t="b">
        <v>0</v>
      </c>
      <c r="O1977" s="4" t="str">
        <f>VLOOKUP(A1977,payment_ids!D:E,2,FALSE)</f>
        <v>upi</v>
      </c>
      <c r="P1977" s="4" t="s">
        <v>69</v>
      </c>
      <c r="Q1977" s="11">
        <v>44233.03333333333</v>
      </c>
      <c r="R1977" s="4"/>
      <c r="S1977" s="12" t="s">
        <v>5510</v>
      </c>
      <c r="T1977" s="5"/>
      <c r="U1977" s="4"/>
      <c r="V1977" s="11"/>
      <c r="W1977" s="5"/>
      <c r="X1977" s="11"/>
      <c r="Y1977" s="4"/>
      <c r="Z1977" s="5"/>
      <c r="AA1977" s="4"/>
      <c r="AB1977" s="4"/>
      <c r="AC1977" s="4"/>
      <c r="AD1977" s="5"/>
      <c r="AE1977" s="5"/>
      <c r="AF1977" s="5"/>
      <c r="AG1977" s="5"/>
      <c r="AH1977" s="5"/>
      <c r="AI1977" s="5"/>
      <c r="AJ1977" s="5"/>
      <c r="AK1977" s="5"/>
      <c r="AL1977" s="5"/>
    </row>
    <row r="1978">
      <c r="A1978" s="4" t="str">
        <f>VLOOKUP(L1978,payment_ids!C:D,2,FALSE)</f>
        <v>pay_HI2LpNTRZKsEAf</v>
      </c>
      <c r="B1978" s="4"/>
      <c r="C1978" s="4" t="s">
        <v>5508</v>
      </c>
      <c r="D1978" s="4">
        <v>50023.0</v>
      </c>
      <c r="E1978" s="5"/>
      <c r="F1978" s="4">
        <v>1.0</v>
      </c>
      <c r="G1978" s="4">
        <v>99.0</v>
      </c>
      <c r="H1978" s="4"/>
      <c r="I1978" s="4">
        <v>99.0</v>
      </c>
      <c r="J1978" s="4" t="s">
        <v>5549</v>
      </c>
      <c r="K1978" s="5">
        <f>+919665892321</f>
        <v>919665892321</v>
      </c>
      <c r="L1978" s="4" t="str">
        <f t="shared" si="1"/>
        <v>gopi.sahane@gmail.com919665892321</v>
      </c>
      <c r="M1978" s="10" t="s">
        <v>67</v>
      </c>
      <c r="N1978" s="4" t="b">
        <v>0</v>
      </c>
      <c r="O1978" s="4" t="str">
        <f>VLOOKUP(A1978,payment_ids!D:E,2,FALSE)</f>
        <v>upi</v>
      </c>
      <c r="P1978" s="4" t="s">
        <v>69</v>
      </c>
      <c r="Q1978" s="11">
        <v>44233.36041666667</v>
      </c>
      <c r="R1978" s="4"/>
      <c r="S1978" s="12" t="s">
        <v>5510</v>
      </c>
      <c r="T1978" s="5"/>
      <c r="U1978" s="4"/>
      <c r="V1978" s="11"/>
      <c r="W1978" s="5"/>
      <c r="X1978" s="11"/>
      <c r="Y1978" s="4"/>
      <c r="Z1978" s="5"/>
      <c r="AA1978" s="4"/>
      <c r="AB1978" s="4"/>
      <c r="AC1978" s="4"/>
      <c r="AD1978" s="5"/>
      <c r="AE1978" s="5"/>
      <c r="AF1978" s="5"/>
      <c r="AG1978" s="5"/>
      <c r="AH1978" s="5"/>
      <c r="AI1978" s="5"/>
      <c r="AJ1978" s="5"/>
      <c r="AK1978" s="5"/>
      <c r="AL1978" s="5"/>
    </row>
    <row r="1979">
      <c r="A1979" s="4" t="str">
        <f>VLOOKUP(L1979,payment_ids!C:D,2,FALSE)</f>
        <v>pay_HI4Zbjm8ecP2LZ</v>
      </c>
      <c r="B1979" s="4"/>
      <c r="C1979" s="4" t="s">
        <v>5508</v>
      </c>
      <c r="D1979" s="4">
        <v>50023.0</v>
      </c>
      <c r="E1979" s="5"/>
      <c r="F1979" s="4">
        <v>1.0</v>
      </c>
      <c r="G1979" s="4">
        <v>99.0</v>
      </c>
      <c r="H1979" s="4"/>
      <c r="I1979" s="4">
        <v>99.0</v>
      </c>
      <c r="J1979" s="4" t="s">
        <v>5550</v>
      </c>
      <c r="K1979" s="5">
        <f>+917018656827</f>
        <v>917018656827</v>
      </c>
      <c r="L1979" s="4" t="str">
        <f t="shared" si="1"/>
        <v>kritikathakur12001312@gmail.com917018656827</v>
      </c>
      <c r="M1979" s="10" t="s">
        <v>67</v>
      </c>
      <c r="N1979" s="4" t="b">
        <v>0</v>
      </c>
      <c r="O1979" s="4" t="str">
        <f>VLOOKUP(A1979,payment_ids!D:E,2,FALSE)</f>
        <v>upi</v>
      </c>
      <c r="P1979" s="4" t="s">
        <v>69</v>
      </c>
      <c r="Q1979" s="11">
        <v>44233.450694444444</v>
      </c>
      <c r="R1979" s="4"/>
      <c r="S1979" s="12" t="s">
        <v>5510</v>
      </c>
      <c r="T1979" s="5"/>
      <c r="U1979" s="4"/>
      <c r="V1979" s="11"/>
      <c r="W1979" s="5"/>
      <c r="X1979" s="11"/>
      <c r="Y1979" s="4"/>
      <c r="Z1979" s="5"/>
      <c r="AA1979" s="4"/>
      <c r="AB1979" s="4"/>
      <c r="AC1979" s="4"/>
      <c r="AD1979" s="5"/>
      <c r="AE1979" s="5"/>
      <c r="AF1979" s="5"/>
      <c r="AG1979" s="5"/>
      <c r="AH1979" s="5"/>
      <c r="AI1979" s="5"/>
      <c r="AJ1979" s="5"/>
      <c r="AK1979" s="5"/>
      <c r="AL1979" s="5"/>
    </row>
    <row r="1980">
      <c r="A1980" s="4" t="str">
        <f>VLOOKUP(L1980,payment_ids!C:D,2,FALSE)</f>
        <v>pay_HI5nOHyAX30uGC</v>
      </c>
      <c r="B1980" s="4"/>
      <c r="C1980" s="4" t="s">
        <v>5508</v>
      </c>
      <c r="D1980" s="4">
        <v>50023.0</v>
      </c>
      <c r="E1980" s="5"/>
      <c r="F1980" s="4">
        <v>3.0</v>
      </c>
      <c r="G1980" s="4">
        <v>199.0</v>
      </c>
      <c r="H1980" s="4"/>
      <c r="I1980" s="4">
        <v>199.0</v>
      </c>
      <c r="J1980" s="4" t="s">
        <v>5551</v>
      </c>
      <c r="K1980" s="5">
        <f>+919074120123</f>
        <v>919074120123</v>
      </c>
      <c r="L1980" s="4" t="str">
        <f t="shared" si="1"/>
        <v>pawankt@yahoo.com919074120123</v>
      </c>
      <c r="M1980" s="10" t="s">
        <v>67</v>
      </c>
      <c r="N1980" s="4" t="b">
        <v>0</v>
      </c>
      <c r="O1980" s="4" t="str">
        <f>VLOOKUP(A1980,payment_ids!D:E,2,FALSE)</f>
        <v>upi</v>
      </c>
      <c r="P1980" s="4" t="s">
        <v>69</v>
      </c>
      <c r="Q1980" s="11">
        <v>44233.5</v>
      </c>
      <c r="R1980" s="4"/>
      <c r="S1980" s="12" t="s">
        <v>5510</v>
      </c>
      <c r="T1980" s="5"/>
      <c r="U1980" s="4"/>
      <c r="V1980" s="11"/>
      <c r="W1980" s="5"/>
      <c r="X1980" s="11"/>
      <c r="Y1980" s="4"/>
      <c r="Z1980" s="5"/>
      <c r="AA1980" s="4"/>
      <c r="AB1980" s="4"/>
      <c r="AC1980" s="4"/>
      <c r="AD1980" s="5"/>
      <c r="AE1980" s="5"/>
      <c r="AF1980" s="5"/>
      <c r="AG1980" s="5"/>
      <c r="AH1980" s="5"/>
      <c r="AI1980" s="5"/>
      <c r="AJ1980" s="5"/>
      <c r="AK1980" s="5"/>
      <c r="AL1980" s="5"/>
    </row>
    <row r="1981">
      <c r="A1981" s="4" t="str">
        <f>VLOOKUP(L1981,payment_ids!C:D,2,FALSE)</f>
        <v>pay_HIFzL0lS6fVu9E</v>
      </c>
      <c r="B1981" s="4"/>
      <c r="C1981" s="4" t="s">
        <v>5508</v>
      </c>
      <c r="D1981" s="4">
        <v>50023.0</v>
      </c>
      <c r="E1981" s="5"/>
      <c r="F1981" s="4">
        <v>1.0</v>
      </c>
      <c r="G1981" s="4">
        <v>99.0</v>
      </c>
      <c r="H1981" s="4"/>
      <c r="I1981" s="4">
        <v>99.0</v>
      </c>
      <c r="J1981" s="4" t="s">
        <v>5552</v>
      </c>
      <c r="K1981" s="5">
        <f>+918802776998</f>
        <v>918802776998</v>
      </c>
      <c r="L1981" s="4" t="str">
        <f t="shared" si="1"/>
        <v>cooladityavats@gmail.com918802776998</v>
      </c>
      <c r="M1981" s="10" t="s">
        <v>67</v>
      </c>
      <c r="N1981" s="4" t="b">
        <v>0</v>
      </c>
      <c r="O1981" s="4" t="str">
        <f>VLOOKUP(A1981,payment_ids!D:E,2,FALSE)</f>
        <v>upi</v>
      </c>
      <c r="P1981" s="4" t="s">
        <v>69</v>
      </c>
      <c r="Q1981" s="11">
        <v>44233.91875</v>
      </c>
      <c r="R1981" s="4"/>
      <c r="S1981" s="12" t="s">
        <v>5510</v>
      </c>
      <c r="T1981" s="5"/>
      <c r="U1981" s="4"/>
      <c r="V1981" s="11"/>
      <c r="W1981" s="5"/>
      <c r="X1981" s="11"/>
      <c r="Y1981" s="4"/>
      <c r="Z1981" s="5"/>
      <c r="AA1981" s="4"/>
      <c r="AB1981" s="4"/>
      <c r="AC1981" s="4"/>
      <c r="AD1981" s="5"/>
      <c r="AE1981" s="5"/>
      <c r="AF1981" s="5"/>
      <c r="AG1981" s="5"/>
      <c r="AH1981" s="5"/>
      <c r="AI1981" s="5"/>
      <c r="AJ1981" s="5"/>
      <c r="AK1981" s="5"/>
      <c r="AL1981" s="5"/>
    </row>
    <row r="1982">
      <c r="A1982" s="4" t="str">
        <f>VLOOKUP(L1982,payment_ids!C:D,2,FALSE)</f>
        <v>pay_HIHRNMy5NOtoqC</v>
      </c>
      <c r="B1982" s="4"/>
      <c r="C1982" s="4" t="s">
        <v>5508</v>
      </c>
      <c r="D1982" s="4">
        <v>50023.0</v>
      </c>
      <c r="E1982" s="5"/>
      <c r="F1982" s="4">
        <v>1.0</v>
      </c>
      <c r="G1982" s="4">
        <v>99.0</v>
      </c>
      <c r="H1982" s="4"/>
      <c r="I1982" s="4">
        <v>99.0</v>
      </c>
      <c r="J1982" s="4" t="s">
        <v>5553</v>
      </c>
      <c r="K1982" s="5">
        <f>+919099812436</f>
        <v>919099812436</v>
      </c>
      <c r="L1982" s="4" t="str">
        <f t="shared" si="1"/>
        <v>prajapatiayu148@gmail.com919099812436</v>
      </c>
      <c r="M1982" s="10" t="s">
        <v>67</v>
      </c>
      <c r="N1982" s="4" t="b">
        <v>0</v>
      </c>
      <c r="O1982" s="4" t="str">
        <f>VLOOKUP(A1982,payment_ids!D:E,2,FALSE)</f>
        <v>upi</v>
      </c>
      <c r="P1982" s="4" t="s">
        <v>69</v>
      </c>
      <c r="Q1982" s="11">
        <v>44233.975</v>
      </c>
      <c r="R1982" s="4"/>
      <c r="S1982" s="12" t="s">
        <v>5510</v>
      </c>
      <c r="T1982" s="5"/>
      <c r="U1982" s="4"/>
      <c r="V1982" s="11"/>
      <c r="W1982" s="5"/>
      <c r="X1982" s="11"/>
      <c r="Y1982" s="4"/>
      <c r="Z1982" s="5"/>
      <c r="AA1982" s="4"/>
      <c r="AB1982" s="4"/>
      <c r="AC1982" s="4"/>
      <c r="AD1982" s="5"/>
      <c r="AE1982" s="5"/>
      <c r="AF1982" s="5"/>
      <c r="AG1982" s="5"/>
      <c r="AH1982" s="5"/>
      <c r="AI1982" s="5"/>
      <c r="AJ1982" s="5"/>
      <c r="AK1982" s="5"/>
      <c r="AL1982" s="5"/>
    </row>
    <row r="1983">
      <c r="A1983" s="4" t="str">
        <f>VLOOKUP(L1983,payment_ids!C:D,2,FALSE)</f>
        <v>pay_HIPrhP0BKMkeBQ</v>
      </c>
      <c r="B1983" s="4"/>
      <c r="C1983" s="4" t="s">
        <v>5508</v>
      </c>
      <c r="D1983" s="4">
        <v>50023.0</v>
      </c>
      <c r="E1983" s="5"/>
      <c r="F1983" s="4">
        <v>1.0</v>
      </c>
      <c r="G1983" s="4">
        <v>99.0</v>
      </c>
      <c r="H1983" s="4"/>
      <c r="I1983" s="4">
        <v>99.0</v>
      </c>
      <c r="J1983" s="4" t="s">
        <v>5554</v>
      </c>
      <c r="K1983" s="5">
        <f>+918978600632</f>
        <v>918978600632</v>
      </c>
      <c r="L1983" s="4" t="str">
        <f t="shared" si="1"/>
        <v>monicaselesallampalli@gmail.com918978600632</v>
      </c>
      <c r="M1983" s="10" t="s">
        <v>67</v>
      </c>
      <c r="N1983" s="4" t="b">
        <v>0</v>
      </c>
      <c r="O1983" s="4" t="str">
        <f>VLOOKUP(A1983,payment_ids!D:E,2,FALSE)</f>
        <v>upi</v>
      </c>
      <c r="P1983" s="4" t="s">
        <v>69</v>
      </c>
      <c r="Q1983" s="11">
        <v>44261.31875</v>
      </c>
      <c r="R1983" s="4"/>
      <c r="S1983" s="12" t="s">
        <v>5510</v>
      </c>
      <c r="T1983" s="5"/>
      <c r="U1983" s="4"/>
      <c r="V1983" s="11"/>
      <c r="W1983" s="5"/>
      <c r="X1983" s="11"/>
      <c r="Y1983" s="4"/>
      <c r="Z1983" s="5"/>
      <c r="AA1983" s="4"/>
      <c r="AB1983" s="4"/>
      <c r="AC1983" s="4"/>
      <c r="AD1983" s="5"/>
      <c r="AE1983" s="5"/>
      <c r="AF1983" s="5"/>
      <c r="AG1983" s="5"/>
      <c r="AH1983" s="5"/>
      <c r="AI1983" s="5"/>
      <c r="AJ1983" s="5"/>
      <c r="AK1983" s="5"/>
      <c r="AL1983" s="5"/>
    </row>
    <row r="1984">
      <c r="A1984" s="4" t="str">
        <f>VLOOKUP(L1984,payment_ids!C:D,2,FALSE)</f>
        <v>pay_HIR9NLnellz1eL</v>
      </c>
      <c r="B1984" s="4"/>
      <c r="C1984" s="4" t="s">
        <v>5508</v>
      </c>
      <c r="D1984" s="4">
        <v>50023.0</v>
      </c>
      <c r="E1984" s="5"/>
      <c r="F1984" s="4">
        <v>3.0</v>
      </c>
      <c r="G1984" s="4">
        <v>199.0</v>
      </c>
      <c r="H1984" s="4"/>
      <c r="I1984" s="4">
        <v>199.0</v>
      </c>
      <c r="J1984" s="4" t="s">
        <v>5555</v>
      </c>
      <c r="K1984" s="5">
        <f>+918962625363</f>
        <v>918962625363</v>
      </c>
      <c r="L1984" s="4" t="str">
        <f t="shared" si="1"/>
        <v>mishrareetika11@gmail.com918962625363</v>
      </c>
      <c r="M1984" s="10" t="s">
        <v>67</v>
      </c>
      <c r="N1984" s="4" t="b">
        <v>0</v>
      </c>
      <c r="O1984" s="4" t="str">
        <f>VLOOKUP(A1984,payment_ids!D:E,2,FALSE)</f>
        <v>upi</v>
      </c>
      <c r="P1984" s="4" t="s">
        <v>69</v>
      </c>
      <c r="Q1984" s="11">
        <v>44261.370833333334</v>
      </c>
      <c r="R1984" s="4"/>
      <c r="S1984" s="12" t="s">
        <v>5510</v>
      </c>
      <c r="T1984" s="5"/>
      <c r="U1984" s="4"/>
      <c r="V1984" s="11"/>
      <c r="W1984" s="5"/>
      <c r="X1984" s="11"/>
      <c r="Y1984" s="4"/>
      <c r="Z1984" s="5"/>
      <c r="AA1984" s="4"/>
      <c r="AB1984" s="4"/>
      <c r="AC1984" s="4"/>
      <c r="AD1984" s="5"/>
      <c r="AE1984" s="5"/>
      <c r="AF1984" s="5"/>
      <c r="AG1984" s="5"/>
      <c r="AH1984" s="5"/>
      <c r="AI1984" s="5"/>
      <c r="AJ1984" s="5"/>
      <c r="AK1984" s="5"/>
      <c r="AL1984" s="5"/>
    </row>
    <row r="1985">
      <c r="A1985" s="4" t="str">
        <f>VLOOKUP(L1985,payment_ids!C:D,2,FALSE)</f>
        <v>pay_HIRceh0uVqV1W1</v>
      </c>
      <c r="B1985" s="4"/>
      <c r="C1985" s="4" t="s">
        <v>5508</v>
      </c>
      <c r="D1985" s="4">
        <v>50023.0</v>
      </c>
      <c r="E1985" s="5"/>
      <c r="F1985" s="4">
        <v>3.0</v>
      </c>
      <c r="G1985" s="4">
        <v>199.0</v>
      </c>
      <c r="H1985" s="4"/>
      <c r="I1985" s="4">
        <v>199.0</v>
      </c>
      <c r="J1985" s="4" t="s">
        <v>5556</v>
      </c>
      <c r="K1985" s="5">
        <f>+919000507561</f>
        <v>919000507561</v>
      </c>
      <c r="L1985" s="4" t="str">
        <f t="shared" si="1"/>
        <v>bgv.2195@gmail.com919000507561</v>
      </c>
      <c r="M1985" s="10" t="s">
        <v>67</v>
      </c>
      <c r="N1985" s="4" t="b">
        <v>0</v>
      </c>
      <c r="O1985" s="4" t="str">
        <f>VLOOKUP(A1985,payment_ids!D:E,2,FALSE)</f>
        <v>upi</v>
      </c>
      <c r="P1985" s="4" t="s">
        <v>69</v>
      </c>
      <c r="Q1985" s="11">
        <v>44261.38958333333</v>
      </c>
      <c r="R1985" s="4"/>
      <c r="S1985" s="12" t="s">
        <v>5510</v>
      </c>
      <c r="T1985" s="5"/>
      <c r="U1985" s="4"/>
      <c r="V1985" s="11"/>
      <c r="W1985" s="5"/>
      <c r="X1985" s="11"/>
      <c r="Y1985" s="4"/>
      <c r="Z1985" s="5"/>
      <c r="AA1985" s="4"/>
      <c r="AB1985" s="4"/>
      <c r="AC1985" s="4"/>
      <c r="AD1985" s="5"/>
      <c r="AE1985" s="5"/>
      <c r="AF1985" s="5"/>
      <c r="AG1985" s="5"/>
      <c r="AH1985" s="5"/>
      <c r="AI1985" s="5"/>
      <c r="AJ1985" s="5"/>
      <c r="AK1985" s="5"/>
      <c r="AL1985" s="5"/>
    </row>
    <row r="1986">
      <c r="A1986" s="4" t="str">
        <f>VLOOKUP(L1986,payment_ids!C:D,2,FALSE)</f>
        <v>pay_HITo8ktcYowWyj</v>
      </c>
      <c r="B1986" s="4"/>
      <c r="C1986" s="4" t="s">
        <v>5508</v>
      </c>
      <c r="D1986" s="4">
        <v>50023.0</v>
      </c>
      <c r="E1986" s="5"/>
      <c r="F1986" s="4">
        <v>1.0</v>
      </c>
      <c r="G1986" s="4">
        <v>99.0</v>
      </c>
      <c r="H1986" s="4"/>
      <c r="I1986" s="4">
        <v>99.0</v>
      </c>
      <c r="J1986" s="4" t="s">
        <v>5557</v>
      </c>
      <c r="K1986" s="5">
        <f>+919877802556</f>
        <v>919877802556</v>
      </c>
      <c r="L1986" s="4" t="str">
        <f t="shared" si="1"/>
        <v>demonrana1997@gmail.com919877802556</v>
      </c>
      <c r="M1986" s="10" t="s">
        <v>67</v>
      </c>
      <c r="N1986" s="4" t="b">
        <v>0</v>
      </c>
      <c r="O1986" s="4" t="str">
        <f>VLOOKUP(A1986,payment_ids!D:E,2,FALSE)</f>
        <v>upi</v>
      </c>
      <c r="P1986" s="4" t="s">
        <v>69</v>
      </c>
      <c r="Q1986" s="11">
        <v>44261.479166666664</v>
      </c>
      <c r="R1986" s="4"/>
      <c r="S1986" s="12" t="s">
        <v>5510</v>
      </c>
      <c r="T1986" s="5"/>
      <c r="U1986" s="4"/>
      <c r="V1986" s="11"/>
      <c r="W1986" s="5"/>
      <c r="X1986" s="11"/>
      <c r="Y1986" s="4"/>
      <c r="Z1986" s="5"/>
      <c r="AA1986" s="4"/>
      <c r="AB1986" s="4"/>
      <c r="AC1986" s="4"/>
      <c r="AD1986" s="5"/>
      <c r="AE1986" s="5"/>
      <c r="AF1986" s="5"/>
      <c r="AG1986" s="5"/>
      <c r="AH1986" s="5"/>
      <c r="AI1986" s="5"/>
      <c r="AJ1986" s="5"/>
      <c r="AK1986" s="5"/>
      <c r="AL1986" s="5"/>
    </row>
    <row r="1987">
      <c r="A1987" s="4" t="str">
        <f>VLOOKUP(L1987,payment_ids!C:D,2,FALSE)</f>
        <v>pay_HITwNjNA0lld6P</v>
      </c>
      <c r="B1987" s="4"/>
      <c r="C1987" s="4" t="s">
        <v>5508</v>
      </c>
      <c r="D1987" s="4">
        <v>50023.0</v>
      </c>
      <c r="E1987" s="5"/>
      <c r="F1987" s="4">
        <v>1.0</v>
      </c>
      <c r="G1987" s="4">
        <v>99.0</v>
      </c>
      <c r="H1987" s="4"/>
      <c r="I1987" s="4">
        <v>99.0</v>
      </c>
      <c r="J1987" s="4" t="s">
        <v>5558</v>
      </c>
      <c r="K1987" s="5">
        <f>+917078837488</f>
        <v>917078837488</v>
      </c>
      <c r="L1987" s="4" t="str">
        <f t="shared" si="1"/>
        <v>rahulnagar3532@gmail.com917078837488</v>
      </c>
      <c r="M1987" s="10" t="s">
        <v>67</v>
      </c>
      <c r="N1987" s="4" t="b">
        <v>0</v>
      </c>
      <c r="O1987" s="4" t="str">
        <f>VLOOKUP(A1987,payment_ids!D:E,2,FALSE)</f>
        <v>upi</v>
      </c>
      <c r="P1987" s="4" t="s">
        <v>69</v>
      </c>
      <c r="Q1987" s="11">
        <v>44261.48541666667</v>
      </c>
      <c r="R1987" s="4"/>
      <c r="S1987" s="12" t="s">
        <v>5510</v>
      </c>
      <c r="T1987" s="5"/>
      <c r="U1987" s="4"/>
      <c r="V1987" s="11"/>
      <c r="W1987" s="5"/>
      <c r="X1987" s="11"/>
      <c r="Y1987" s="4"/>
      <c r="Z1987" s="5"/>
      <c r="AA1987" s="4"/>
      <c r="AB1987" s="4"/>
      <c r="AC1987" s="4"/>
      <c r="AD1987" s="5"/>
      <c r="AE1987" s="5"/>
      <c r="AF1987" s="5"/>
      <c r="AG1987" s="5"/>
      <c r="AH1987" s="5"/>
      <c r="AI1987" s="5"/>
      <c r="AJ1987" s="5"/>
      <c r="AK1987" s="5"/>
      <c r="AL1987" s="5"/>
    </row>
    <row r="1988">
      <c r="A1988" s="4" t="str">
        <f>VLOOKUP(L1988,payment_ids!C:D,2,FALSE)</f>
        <v>pay_HIa3jq2N7YnAeq</v>
      </c>
      <c r="B1988" s="4"/>
      <c r="C1988" s="4" t="s">
        <v>5508</v>
      </c>
      <c r="D1988" s="4">
        <v>50023.0</v>
      </c>
      <c r="E1988" s="5"/>
      <c r="F1988" s="4">
        <v>1.0</v>
      </c>
      <c r="G1988" s="4">
        <v>99.0</v>
      </c>
      <c r="H1988" s="4"/>
      <c r="I1988" s="4">
        <v>99.0</v>
      </c>
      <c r="J1988" s="4" t="s">
        <v>5559</v>
      </c>
      <c r="K1988" s="5">
        <f>+919892410073</f>
        <v>919892410073</v>
      </c>
      <c r="L1988" s="4" t="str">
        <f t="shared" si="1"/>
        <v>raneshreyangi1994@gmail.com919892410073</v>
      </c>
      <c r="M1988" s="10" t="s">
        <v>67</v>
      </c>
      <c r="N1988" s="4" t="b">
        <v>0</v>
      </c>
      <c r="O1988" s="4" t="str">
        <f>VLOOKUP(A1988,payment_ids!D:E,2,FALSE)</f>
        <v>upi</v>
      </c>
      <c r="P1988" s="4" t="s">
        <v>69</v>
      </c>
      <c r="Q1988" s="11">
        <v>44261.73333333333</v>
      </c>
      <c r="R1988" s="4"/>
      <c r="S1988" s="12" t="s">
        <v>5510</v>
      </c>
      <c r="T1988" s="5"/>
      <c r="U1988" s="4"/>
      <c r="V1988" s="11"/>
      <c r="W1988" s="5"/>
      <c r="X1988" s="11"/>
      <c r="Y1988" s="4"/>
      <c r="Z1988" s="5"/>
      <c r="AA1988" s="4"/>
      <c r="AB1988" s="4"/>
      <c r="AC1988" s="4"/>
      <c r="AD1988" s="5"/>
      <c r="AE1988" s="5"/>
      <c r="AF1988" s="5"/>
      <c r="AG1988" s="5"/>
      <c r="AH1988" s="5"/>
      <c r="AI1988" s="5"/>
      <c r="AJ1988" s="5"/>
      <c r="AK1988" s="5"/>
      <c r="AL1988" s="5"/>
    </row>
    <row r="1989">
      <c r="A1989" s="4" t="str">
        <f>VLOOKUP(L1989,payment_ids!C:D,2,FALSE)</f>
        <v>pay_HIbOTFUalzBrqo</v>
      </c>
      <c r="B1989" s="4"/>
      <c r="C1989" s="4" t="s">
        <v>5508</v>
      </c>
      <c r="D1989" s="4">
        <v>50023.0</v>
      </c>
      <c r="E1989" s="5"/>
      <c r="F1989" s="4">
        <v>3.0</v>
      </c>
      <c r="G1989" s="4">
        <v>199.0</v>
      </c>
      <c r="H1989" s="4"/>
      <c r="I1989" s="4">
        <v>199.0</v>
      </c>
      <c r="J1989" s="4" t="s">
        <v>5560</v>
      </c>
      <c r="K1989" s="5">
        <f>+917895363374</f>
        <v>917895363374</v>
      </c>
      <c r="L1989" s="4" t="str">
        <f t="shared" si="1"/>
        <v>hvats1603@gmail.com917895363374</v>
      </c>
      <c r="M1989" s="10" t="s">
        <v>67</v>
      </c>
      <c r="N1989" s="4" t="b">
        <v>0</v>
      </c>
      <c r="O1989" s="4" t="str">
        <f>VLOOKUP(A1989,payment_ids!D:E,2,FALSE)</f>
        <v>upi</v>
      </c>
      <c r="P1989" s="4" t="s">
        <v>69</v>
      </c>
      <c r="Q1989" s="11">
        <v>44261.788194444445</v>
      </c>
      <c r="R1989" s="4"/>
      <c r="S1989" s="12" t="s">
        <v>5510</v>
      </c>
      <c r="T1989" s="5"/>
      <c r="U1989" s="4"/>
      <c r="V1989" s="11"/>
      <c r="W1989" s="5"/>
      <c r="X1989" s="11"/>
      <c r="Y1989" s="4"/>
      <c r="Z1989" s="5"/>
      <c r="AA1989" s="4"/>
      <c r="AB1989" s="4"/>
      <c r="AC1989" s="4"/>
      <c r="AD1989" s="5"/>
      <c r="AE1989" s="5"/>
      <c r="AF1989" s="5"/>
      <c r="AG1989" s="5"/>
      <c r="AH1989" s="5"/>
      <c r="AI1989" s="5"/>
      <c r="AJ1989" s="5"/>
      <c r="AK1989" s="5"/>
      <c r="AL1989" s="5"/>
    </row>
    <row r="1990">
      <c r="A1990" s="4" t="str">
        <f>VLOOKUP(L1990,payment_ids!C:D,2,FALSE)</f>
        <v>pay_HIdT7wVqHNVYqM</v>
      </c>
      <c r="B1990" s="4"/>
      <c r="C1990" s="4" t="s">
        <v>5508</v>
      </c>
      <c r="D1990" s="4">
        <v>50023.0</v>
      </c>
      <c r="E1990" s="5"/>
      <c r="F1990" s="4">
        <v>1.0</v>
      </c>
      <c r="G1990" s="4">
        <v>99.0</v>
      </c>
      <c r="H1990" s="4"/>
      <c r="I1990" s="4">
        <v>99.0</v>
      </c>
      <c r="J1990" s="4" t="s">
        <v>5561</v>
      </c>
      <c r="K1990" s="5">
        <f>+917016649532</f>
        <v>917016649532</v>
      </c>
      <c r="L1990" s="4" t="str">
        <f t="shared" si="1"/>
        <v>jaineha4294@gmail.com917016649532</v>
      </c>
      <c r="M1990" s="10" t="s">
        <v>67</v>
      </c>
      <c r="N1990" s="4" t="b">
        <v>0</v>
      </c>
      <c r="O1990" s="4" t="str">
        <f>VLOOKUP(A1990,payment_ids!D:E,2,FALSE)</f>
        <v>upi</v>
      </c>
      <c r="P1990" s="4" t="s">
        <v>69</v>
      </c>
      <c r="Q1990" s="11">
        <v>44261.87291666667</v>
      </c>
      <c r="R1990" s="4"/>
      <c r="S1990" s="12" t="s">
        <v>5510</v>
      </c>
      <c r="T1990" s="5"/>
      <c r="U1990" s="4"/>
      <c r="V1990" s="11"/>
      <c r="W1990" s="5"/>
      <c r="X1990" s="11"/>
      <c r="Y1990" s="4"/>
      <c r="Z1990" s="5"/>
      <c r="AA1990" s="4"/>
      <c r="AB1990" s="4"/>
      <c r="AC1990" s="4"/>
      <c r="AD1990" s="5"/>
      <c r="AE1990" s="5"/>
      <c r="AF1990" s="5"/>
      <c r="AG1990" s="5"/>
      <c r="AH1990" s="5"/>
      <c r="AI1990" s="5"/>
      <c r="AJ1990" s="5"/>
      <c r="AK1990" s="5"/>
      <c r="AL1990" s="5"/>
    </row>
    <row r="1991">
      <c r="A1991" s="4" t="str">
        <f>VLOOKUP(L1991,payment_ids!C:D,2,FALSE)</f>
        <v>pay_HHOj51X2diBPGR</v>
      </c>
      <c r="B1991" s="4"/>
      <c r="C1991" s="4" t="s">
        <v>5508</v>
      </c>
      <c r="D1991" s="4">
        <v>50023.0</v>
      </c>
      <c r="E1991" s="5"/>
      <c r="F1991" s="4">
        <v>1.0</v>
      </c>
      <c r="G1991" s="4">
        <v>99.0</v>
      </c>
      <c r="H1991" s="4"/>
      <c r="I1991" s="4">
        <v>99.0</v>
      </c>
      <c r="J1991" s="4" t="s">
        <v>5562</v>
      </c>
      <c r="K1991" s="5">
        <f>+918668517384</f>
        <v>918668517384</v>
      </c>
      <c r="L1991" s="4" t="str">
        <f t="shared" si="1"/>
        <v>shubhampansare141@gmail.com918668517384</v>
      </c>
      <c r="M1991" s="10" t="s">
        <v>67</v>
      </c>
      <c r="N1991" s="4" t="b">
        <v>0</v>
      </c>
      <c r="O1991" s="4" t="str">
        <f>VLOOKUP(A1991,payment_ids!D:E,2,FALSE)</f>
        <v>upi</v>
      </c>
      <c r="P1991" s="4" t="s">
        <v>69</v>
      </c>
      <c r="Q1991" s="11">
        <v>44292.379166666666</v>
      </c>
      <c r="R1991" s="4"/>
      <c r="S1991" s="12" t="s">
        <v>5510</v>
      </c>
      <c r="T1991" s="5"/>
      <c r="U1991" s="4"/>
      <c r="V1991" s="11"/>
      <c r="W1991" s="5"/>
      <c r="X1991" s="11"/>
      <c r="Y1991" s="4"/>
      <c r="Z1991" s="5"/>
      <c r="AA1991" s="4"/>
      <c r="AB1991" s="4"/>
      <c r="AC1991" s="4"/>
      <c r="AD1991" s="5"/>
      <c r="AE1991" s="5"/>
      <c r="AF1991" s="5"/>
      <c r="AG1991" s="5"/>
      <c r="AH1991" s="5"/>
      <c r="AI1991" s="5"/>
      <c r="AJ1991" s="5"/>
      <c r="AK1991" s="5"/>
      <c r="AL1991" s="5"/>
    </row>
    <row r="1992">
      <c r="A1992" s="4" t="str">
        <f>VLOOKUP(L1992,payment_ids!C:D,2,FALSE)</f>
        <v>pay_HJcYWhApCEMglJ</v>
      </c>
      <c r="B1992" s="4"/>
      <c r="C1992" s="4" t="s">
        <v>5508</v>
      </c>
      <c r="D1992" s="4">
        <v>50023.0</v>
      </c>
      <c r="E1992" s="5"/>
      <c r="F1992" s="4">
        <v>1.0</v>
      </c>
      <c r="G1992" s="4">
        <v>99.0</v>
      </c>
      <c r="H1992" s="4"/>
      <c r="I1992" s="4">
        <v>99.0</v>
      </c>
      <c r="J1992" s="4" t="s">
        <v>5563</v>
      </c>
      <c r="K1992" s="5">
        <f>+917088683014</f>
        <v>917088683014</v>
      </c>
      <c r="L1992" s="4" t="str">
        <f t="shared" si="1"/>
        <v>janmejayhero367@gmail.com917088683014</v>
      </c>
      <c r="M1992" s="10" t="s">
        <v>67</v>
      </c>
      <c r="N1992" s="4" t="b">
        <v>0</v>
      </c>
      <c r="O1992" s="4" t="str">
        <f>VLOOKUP(A1992,payment_ids!D:E,2,FALSE)</f>
        <v>upi</v>
      </c>
      <c r="P1992" s="4" t="s">
        <v>69</v>
      </c>
      <c r="Q1992" s="11">
        <v>44353.3625</v>
      </c>
      <c r="R1992" s="4"/>
      <c r="S1992" s="12" t="s">
        <v>5510</v>
      </c>
      <c r="T1992" s="5"/>
      <c r="U1992" s="4"/>
      <c r="V1992" s="11"/>
      <c r="W1992" s="5"/>
      <c r="X1992" s="11"/>
      <c r="Y1992" s="4"/>
      <c r="Z1992" s="5"/>
      <c r="AA1992" s="4"/>
      <c r="AB1992" s="4"/>
      <c r="AC1992" s="4"/>
      <c r="AD1992" s="5"/>
      <c r="AE1992" s="5"/>
      <c r="AF1992" s="5"/>
      <c r="AG1992" s="5"/>
      <c r="AH1992" s="5"/>
      <c r="AI1992" s="5"/>
      <c r="AJ1992" s="5"/>
      <c r="AK1992" s="5"/>
      <c r="AL1992" s="5"/>
    </row>
    <row r="1993">
      <c r="A1993" s="4" t="str">
        <f>VLOOKUP(L1993,payment_ids!C:D,2,FALSE)</f>
        <v>pay_HJciuqtk2tLGPo</v>
      </c>
      <c r="B1993" s="4"/>
      <c r="C1993" s="4" t="s">
        <v>5508</v>
      </c>
      <c r="D1993" s="4">
        <v>50023.0</v>
      </c>
      <c r="E1993" s="5"/>
      <c r="F1993" s="4">
        <v>1.0</v>
      </c>
      <c r="G1993" s="4">
        <v>99.0</v>
      </c>
      <c r="H1993" s="4"/>
      <c r="I1993" s="4">
        <v>99.0</v>
      </c>
      <c r="J1993" s="4" t="s">
        <v>5564</v>
      </c>
      <c r="K1993" s="5">
        <f>+919983213992</f>
        <v>919983213992</v>
      </c>
      <c r="L1993" s="4" t="str">
        <f t="shared" si="1"/>
        <v>jainpunit9983@gmail.com919983213992</v>
      </c>
      <c r="M1993" s="10" t="s">
        <v>67</v>
      </c>
      <c r="N1993" s="4" t="b">
        <v>0</v>
      </c>
      <c r="O1993" s="4" t="str">
        <f>VLOOKUP(A1993,payment_ids!D:E,2,FALSE)</f>
        <v>upi</v>
      </c>
      <c r="P1993" s="4" t="s">
        <v>69</v>
      </c>
      <c r="Q1993" s="11">
        <v>44353.36944444444</v>
      </c>
      <c r="R1993" s="4"/>
      <c r="S1993" s="12" t="s">
        <v>5510</v>
      </c>
      <c r="T1993" s="5"/>
      <c r="U1993" s="4"/>
      <c r="V1993" s="11"/>
      <c r="W1993" s="5"/>
      <c r="X1993" s="11"/>
      <c r="Y1993" s="4"/>
      <c r="Z1993" s="5"/>
      <c r="AA1993" s="4"/>
      <c r="AB1993" s="4"/>
      <c r="AC1993" s="4"/>
      <c r="AD1993" s="5"/>
      <c r="AE1993" s="5"/>
      <c r="AF1993" s="5"/>
      <c r="AG1993" s="5"/>
      <c r="AH1993" s="5"/>
      <c r="AI1993" s="5"/>
      <c r="AJ1993" s="5"/>
      <c r="AK1993" s="5"/>
      <c r="AL1993" s="5"/>
    </row>
    <row r="1994">
      <c r="A1994" s="4" t="str">
        <f>VLOOKUP(L1994,payment_ids!C:D,2,FALSE)</f>
        <v>pay_HJif7SGZlZPFj5</v>
      </c>
      <c r="B1994" s="4"/>
      <c r="C1994" s="4" t="s">
        <v>5508</v>
      </c>
      <c r="D1994" s="4">
        <v>50023.0</v>
      </c>
      <c r="E1994" s="5"/>
      <c r="F1994" s="4">
        <v>1.0</v>
      </c>
      <c r="G1994" s="4">
        <v>99.0</v>
      </c>
      <c r="H1994" s="4"/>
      <c r="I1994" s="4">
        <v>99.0</v>
      </c>
      <c r="J1994" s="4" t="s">
        <v>5565</v>
      </c>
      <c r="K1994" s="5">
        <f>+917558504980</f>
        <v>917558504980</v>
      </c>
      <c r="L1994" s="4" t="str">
        <f t="shared" si="1"/>
        <v>sapkaler2000@gmail.com917558504980</v>
      </c>
      <c r="M1994" s="10" t="s">
        <v>67</v>
      </c>
      <c r="N1994" s="4" t="b">
        <v>0</v>
      </c>
      <c r="O1994" s="4" t="str">
        <f>VLOOKUP(A1994,payment_ids!D:E,2,FALSE)</f>
        <v>upi</v>
      </c>
      <c r="P1994" s="4" t="s">
        <v>69</v>
      </c>
      <c r="Q1994" s="11">
        <v>44353.61111111111</v>
      </c>
      <c r="R1994" s="4"/>
      <c r="S1994" s="12" t="s">
        <v>5510</v>
      </c>
      <c r="T1994" s="5"/>
      <c r="U1994" s="4"/>
      <c r="V1994" s="11"/>
      <c r="W1994" s="5"/>
      <c r="X1994" s="11"/>
      <c r="Y1994" s="4"/>
      <c r="Z1994" s="5"/>
      <c r="AA1994" s="4"/>
      <c r="AB1994" s="4"/>
      <c r="AC1994" s="4"/>
      <c r="AD1994" s="5"/>
      <c r="AE1994" s="5"/>
      <c r="AF1994" s="5"/>
      <c r="AG1994" s="5"/>
      <c r="AH1994" s="5"/>
      <c r="AI1994" s="5"/>
      <c r="AJ1994" s="5"/>
      <c r="AK1994" s="5"/>
      <c r="AL1994" s="5"/>
    </row>
    <row r="1995">
      <c r="A1995" s="4" t="str">
        <f>VLOOKUP(L1995,payment_ids!C:D,2,FALSE)</f>
        <v>pay_HJiwgQQ6cJvBfI</v>
      </c>
      <c r="B1995" s="4"/>
      <c r="C1995" s="4" t="s">
        <v>5508</v>
      </c>
      <c r="D1995" s="4">
        <v>50023.0</v>
      </c>
      <c r="E1995" s="5"/>
      <c r="F1995" s="4">
        <v>1.0</v>
      </c>
      <c r="G1995" s="4">
        <v>99.0</v>
      </c>
      <c r="H1995" s="4"/>
      <c r="I1995" s="4">
        <v>99.0</v>
      </c>
      <c r="J1995" s="4" t="s">
        <v>5566</v>
      </c>
      <c r="K1995" s="5">
        <f>+917207605091</f>
        <v>917207605091</v>
      </c>
      <c r="L1995" s="4" t="str">
        <f t="shared" si="1"/>
        <v>imranpasha4828@gmail.com917207605091</v>
      </c>
      <c r="M1995" s="10" t="s">
        <v>67</v>
      </c>
      <c r="N1995" s="4" t="b">
        <v>0</v>
      </c>
      <c r="O1995" s="4" t="str">
        <f>VLOOKUP(A1995,payment_ids!D:E,2,FALSE)</f>
        <v>upi</v>
      </c>
      <c r="P1995" s="4" t="s">
        <v>69</v>
      </c>
      <c r="Q1995" s="11">
        <v>44353.62291666667</v>
      </c>
      <c r="R1995" s="4"/>
      <c r="S1995" s="12" t="s">
        <v>5510</v>
      </c>
      <c r="T1995" s="5"/>
      <c r="U1995" s="4"/>
      <c r="V1995" s="11"/>
      <c r="W1995" s="5"/>
      <c r="X1995" s="11"/>
      <c r="Y1995" s="4"/>
      <c r="Z1995" s="5"/>
      <c r="AA1995" s="4"/>
      <c r="AB1995" s="4"/>
      <c r="AC1995" s="4"/>
      <c r="AD1995" s="5"/>
      <c r="AE1995" s="5"/>
      <c r="AF1995" s="5"/>
      <c r="AG1995" s="5"/>
      <c r="AH1995" s="5"/>
      <c r="AI1995" s="5"/>
      <c r="AJ1995" s="5"/>
      <c r="AK1995" s="5"/>
      <c r="AL1995" s="5"/>
    </row>
    <row r="1996">
      <c r="A1996" s="4" t="str">
        <f>VLOOKUP(L1996,payment_ids!C:D,2,FALSE)</f>
        <v>pay_HJny2qz60ChOvB</v>
      </c>
      <c r="B1996" s="4"/>
      <c r="C1996" s="4" t="s">
        <v>5508</v>
      </c>
      <c r="D1996" s="4">
        <v>50023.0</v>
      </c>
      <c r="E1996" s="5"/>
      <c r="F1996" s="4">
        <v>1.0</v>
      </c>
      <c r="G1996" s="4">
        <v>99.0</v>
      </c>
      <c r="H1996" s="4"/>
      <c r="I1996" s="4">
        <v>99.0</v>
      </c>
      <c r="J1996" s="4" t="s">
        <v>5567</v>
      </c>
      <c r="K1996" s="5">
        <f>+919919525412</f>
        <v>919919525412</v>
      </c>
      <c r="L1996" s="4" t="str">
        <f t="shared" si="1"/>
        <v>rockstar9919525413@gmail.com919919525412</v>
      </c>
      <c r="M1996" s="10" t="s">
        <v>67</v>
      </c>
      <c r="N1996" s="4" t="b">
        <v>0</v>
      </c>
      <c r="O1996" s="4" t="str">
        <f>VLOOKUP(A1996,payment_ids!D:E,2,FALSE)</f>
        <v>upi</v>
      </c>
      <c r="P1996" s="4" t="s">
        <v>69</v>
      </c>
      <c r="Q1996" s="11">
        <v>44353.82777777778</v>
      </c>
      <c r="R1996" s="4"/>
      <c r="S1996" s="12" t="s">
        <v>5510</v>
      </c>
      <c r="T1996" s="5"/>
      <c r="U1996" s="4"/>
      <c r="V1996" s="11"/>
      <c r="W1996" s="5"/>
      <c r="X1996" s="11"/>
      <c r="Y1996" s="4"/>
      <c r="Z1996" s="5"/>
      <c r="AA1996" s="4"/>
      <c r="AB1996" s="4"/>
      <c r="AC1996" s="4"/>
      <c r="AD1996" s="5"/>
      <c r="AE1996" s="5"/>
      <c r="AF1996" s="5"/>
      <c r="AG1996" s="5"/>
      <c r="AH1996" s="5"/>
      <c r="AI1996" s="5"/>
      <c r="AJ1996" s="5"/>
      <c r="AK1996" s="5"/>
      <c r="AL1996" s="5"/>
    </row>
    <row r="1997">
      <c r="A1997" s="4" t="str">
        <f>VLOOKUP(L1997,payment_ids!C:D,2,FALSE)</f>
        <v>pay_HJsfQEodFJFHib</v>
      </c>
      <c r="B1997" s="4"/>
      <c r="C1997" s="4" t="s">
        <v>5508</v>
      </c>
      <c r="D1997" s="4">
        <v>50023.0</v>
      </c>
      <c r="E1997" s="5"/>
      <c r="F1997" s="4">
        <v>3.0</v>
      </c>
      <c r="G1997" s="4">
        <v>199.0</v>
      </c>
      <c r="H1997" s="4"/>
      <c r="I1997" s="4">
        <v>199.0</v>
      </c>
      <c r="J1997" s="4" t="s">
        <v>5568</v>
      </c>
      <c r="K1997" s="5">
        <f>+918383033821</f>
        <v>918383033821</v>
      </c>
      <c r="L1997" s="4" t="str">
        <f t="shared" si="1"/>
        <v>harshitakhandelwal83830@gmail.com918383033821</v>
      </c>
      <c r="M1997" s="10" t="s">
        <v>67</v>
      </c>
      <c r="N1997" s="4" t="b">
        <v>0</v>
      </c>
      <c r="O1997" s="4" t="str">
        <f>VLOOKUP(A1997,payment_ids!D:E,2,FALSE)</f>
        <v>upi</v>
      </c>
      <c r="P1997" s="4" t="s">
        <v>69</v>
      </c>
      <c r="Q1997" s="11">
        <v>44383.01944444444</v>
      </c>
      <c r="R1997" s="4"/>
      <c r="S1997" s="12" t="s">
        <v>5510</v>
      </c>
      <c r="T1997" s="5"/>
      <c r="U1997" s="4"/>
      <c r="V1997" s="11"/>
      <c r="W1997" s="5"/>
      <c r="X1997" s="11"/>
      <c r="Y1997" s="4"/>
      <c r="Z1997" s="5"/>
      <c r="AA1997" s="4"/>
      <c r="AB1997" s="4"/>
      <c r="AC1997" s="4"/>
      <c r="AD1997" s="5"/>
      <c r="AE1997" s="5"/>
      <c r="AF1997" s="5"/>
      <c r="AG1997" s="5"/>
      <c r="AH1997" s="5"/>
      <c r="AI1997" s="5"/>
      <c r="AJ1997" s="5"/>
      <c r="AK1997" s="5"/>
      <c r="AL1997" s="5"/>
    </row>
    <row r="1998">
      <c r="A1998" s="4" t="str">
        <f>VLOOKUP(L1998,payment_ids!C:D,2,FALSE)</f>
        <v>pay_HJxvH1AwAabIrr</v>
      </c>
      <c r="B1998" s="4"/>
      <c r="C1998" s="4" t="s">
        <v>5508</v>
      </c>
      <c r="D1998" s="4">
        <v>50023.0</v>
      </c>
      <c r="E1998" s="5"/>
      <c r="F1998" s="4">
        <v>1.0</v>
      </c>
      <c r="G1998" s="4">
        <v>99.0</v>
      </c>
      <c r="H1998" s="4"/>
      <c r="I1998" s="4">
        <v>99.0</v>
      </c>
      <c r="J1998" s="4" t="s">
        <v>5569</v>
      </c>
      <c r="K1998" s="5">
        <f>+919888452619</f>
        <v>919888452619</v>
      </c>
      <c r="L1998" s="4" t="str">
        <f t="shared" si="1"/>
        <v>yogeshyadav9300@gmail.com919888452619</v>
      </c>
      <c r="M1998" s="10" t="s">
        <v>67</v>
      </c>
      <c r="N1998" s="4" t="b">
        <v>0</v>
      </c>
      <c r="O1998" s="4" t="str">
        <f>VLOOKUP(A1998,payment_ids!D:E,2,FALSE)</f>
        <v>upi</v>
      </c>
      <c r="P1998" s="4" t="s">
        <v>69</v>
      </c>
      <c r="Q1998" s="11">
        <v>44383.23333333333</v>
      </c>
      <c r="R1998" s="4"/>
      <c r="S1998" s="12" t="s">
        <v>5510</v>
      </c>
      <c r="T1998" s="5"/>
      <c r="U1998" s="5"/>
      <c r="V1998" s="11"/>
      <c r="W1998" s="5"/>
      <c r="X1998" s="11"/>
      <c r="Y1998" s="4"/>
      <c r="Z1998" s="5"/>
      <c r="AA1998" s="5"/>
      <c r="AB1998" s="4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</row>
    <row r="1999">
      <c r="A1999" s="4" t="str">
        <f>VLOOKUP(L1999,payment_ids!C:D,2,FALSE)</f>
        <v>pay_HK4TeBpWyotWGI</v>
      </c>
      <c r="B1999" s="4"/>
      <c r="C1999" s="4" t="s">
        <v>5508</v>
      </c>
      <c r="D1999" s="4">
        <v>50023.0</v>
      </c>
      <c r="E1999" s="5"/>
      <c r="F1999" s="4">
        <v>1.0</v>
      </c>
      <c r="G1999" s="4">
        <v>99.0</v>
      </c>
      <c r="H1999" s="4"/>
      <c r="I1999" s="4">
        <v>99.0</v>
      </c>
      <c r="J1999" s="4" t="s">
        <v>5570</v>
      </c>
      <c r="K1999" s="5">
        <f>+919515689149</f>
        <v>919515689149</v>
      </c>
      <c r="L1999" s="4" t="str">
        <f t="shared" si="1"/>
        <v>harshitha.viriventi5@gmail.com919515689149</v>
      </c>
      <c r="M1999" s="10" t="s">
        <v>67</v>
      </c>
      <c r="N1999" s="4" t="b">
        <v>0</v>
      </c>
      <c r="O1999" s="4" t="str">
        <f>VLOOKUP(A1999,payment_ids!D:E,2,FALSE)</f>
        <v>upi</v>
      </c>
      <c r="P1999" s="4" t="s">
        <v>69</v>
      </c>
      <c r="Q1999" s="11">
        <v>44383.50069444445</v>
      </c>
      <c r="R1999" s="4"/>
      <c r="S1999" s="12" t="s">
        <v>5510</v>
      </c>
      <c r="T1999" s="5"/>
      <c r="U1999" s="5"/>
      <c r="V1999" s="11"/>
      <c r="W1999" s="5"/>
      <c r="X1999" s="11"/>
      <c r="Y1999" s="4"/>
      <c r="Z1999" s="5"/>
      <c r="AA1999" s="5"/>
      <c r="AB1999" s="4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</row>
    <row r="2000">
      <c r="A2000" s="4" t="str">
        <f>VLOOKUP(L2000,payment_ids!C:D,2,FALSE)</f>
        <v>pay_HK8rj1X3V03Cd7</v>
      </c>
      <c r="B2000" s="4"/>
      <c r="C2000" s="4" t="s">
        <v>5508</v>
      </c>
      <c r="D2000" s="4">
        <v>50023.0</v>
      </c>
      <c r="E2000" s="5"/>
      <c r="F2000" s="4">
        <v>1.0</v>
      </c>
      <c r="G2000" s="4">
        <v>99.0</v>
      </c>
      <c r="H2000" s="4"/>
      <c r="I2000" s="4">
        <v>99.0</v>
      </c>
      <c r="J2000" s="4" t="s">
        <v>5571</v>
      </c>
      <c r="K2000" s="5">
        <f>+919603725406</f>
        <v>919603725406</v>
      </c>
      <c r="L2000" s="4" t="str">
        <f t="shared" si="1"/>
        <v>mk2721970@gmail.com919603725406</v>
      </c>
      <c r="M2000" s="10" t="s">
        <v>67</v>
      </c>
      <c r="N2000" s="4" t="b">
        <v>0</v>
      </c>
      <c r="O2000" s="4" t="str">
        <f>VLOOKUP(A2000,payment_ids!D:E,2,FALSE)</f>
        <v>upi</v>
      </c>
      <c r="P2000" s="4" t="s">
        <v>69</v>
      </c>
      <c r="Q2000" s="11">
        <v>44383.67986111111</v>
      </c>
      <c r="R2000" s="4"/>
      <c r="S2000" s="12" t="s">
        <v>5510</v>
      </c>
      <c r="T2000" s="5"/>
      <c r="U2000" s="4"/>
      <c r="V2000" s="11"/>
      <c r="W2000" s="5"/>
      <c r="X2000" s="11"/>
      <c r="Y2000" s="4"/>
      <c r="Z2000" s="5"/>
      <c r="AA2000" s="4"/>
      <c r="AB2000" s="4"/>
      <c r="AC2000" s="4"/>
      <c r="AD2000" s="5"/>
      <c r="AE2000" s="5"/>
      <c r="AF2000" s="5"/>
      <c r="AG2000" s="5"/>
      <c r="AH2000" s="5"/>
      <c r="AI2000" s="5"/>
      <c r="AJ2000" s="5"/>
      <c r="AK2000" s="5"/>
      <c r="AL2000" s="5"/>
    </row>
    <row r="2001">
      <c r="A2001" s="4" t="str">
        <f>VLOOKUP(L2001,payment_ids!C:D,2,FALSE)</f>
        <v>pay_HK9CsGmnyj4yUB</v>
      </c>
      <c r="B2001" s="4"/>
      <c r="C2001" s="4" t="s">
        <v>5508</v>
      </c>
      <c r="D2001" s="4">
        <v>50023.0</v>
      </c>
      <c r="E2001" s="5"/>
      <c r="F2001" s="4">
        <v>1.0</v>
      </c>
      <c r="G2001" s="4">
        <v>99.0</v>
      </c>
      <c r="H2001" s="4"/>
      <c r="I2001" s="4">
        <v>99.0</v>
      </c>
      <c r="J2001" s="4" t="s">
        <v>5572</v>
      </c>
      <c r="K2001" s="5">
        <f>+919718236313</f>
        <v>919718236313</v>
      </c>
      <c r="L2001" s="4" t="str">
        <f t="shared" si="1"/>
        <v>arpitagupta3500@gmail.com919718236313</v>
      </c>
      <c r="M2001" s="10" t="s">
        <v>67</v>
      </c>
      <c r="N2001" s="4" t="b">
        <v>0</v>
      </c>
      <c r="O2001" s="4" t="str">
        <f>VLOOKUP(A2001,payment_ids!D:E,2,FALSE)</f>
        <v>upi</v>
      </c>
      <c r="P2001" s="4" t="s">
        <v>69</v>
      </c>
      <c r="Q2001" s="11">
        <v>44383.69375</v>
      </c>
      <c r="R2001" s="4"/>
      <c r="S2001" s="12" t="s">
        <v>5510</v>
      </c>
      <c r="T2001" s="5"/>
      <c r="U2001" s="4"/>
      <c r="V2001" s="11"/>
      <c r="W2001" s="5"/>
      <c r="X2001" s="11"/>
      <c r="Y2001" s="4"/>
      <c r="Z2001" s="5"/>
      <c r="AA2001" s="4"/>
      <c r="AB2001" s="4"/>
      <c r="AC2001" s="4"/>
      <c r="AD2001" s="5"/>
      <c r="AE2001" s="5"/>
      <c r="AF2001" s="5"/>
      <c r="AG2001" s="5"/>
      <c r="AH2001" s="5"/>
      <c r="AI2001" s="5"/>
      <c r="AJ2001" s="5"/>
      <c r="AK2001" s="5"/>
      <c r="AL2001" s="5"/>
    </row>
    <row r="2002">
      <c r="A2002" s="4" t="str">
        <f>VLOOKUP(L2002,payment_ids!C:D,2,FALSE)</f>
        <v>pay_HKBzzzeP6o5fL7</v>
      </c>
      <c r="B2002" s="4"/>
      <c r="C2002" s="4" t="s">
        <v>5508</v>
      </c>
      <c r="D2002" s="4">
        <v>50023.0</v>
      </c>
      <c r="E2002" s="5"/>
      <c r="F2002" s="4">
        <v>1.0</v>
      </c>
      <c r="G2002" s="4">
        <v>99.0</v>
      </c>
      <c r="H2002" s="4"/>
      <c r="I2002" s="4">
        <v>99.0</v>
      </c>
      <c r="J2002" s="4" t="s">
        <v>5573</v>
      </c>
      <c r="K2002" s="5">
        <f>+917037228960</f>
        <v>917037228960</v>
      </c>
      <c r="L2002" s="4" t="str">
        <f t="shared" si="1"/>
        <v>drganesh53@gmail.com917037228960</v>
      </c>
      <c r="M2002" s="10" t="s">
        <v>67</v>
      </c>
      <c r="N2002" s="4" t="b">
        <v>0</v>
      </c>
      <c r="O2002" s="4" t="str">
        <f>VLOOKUP(A2002,payment_ids!D:E,2,FALSE)</f>
        <v>upi</v>
      </c>
      <c r="P2002" s="4" t="s">
        <v>69</v>
      </c>
      <c r="Q2002" s="11">
        <v>44383.80972222222</v>
      </c>
      <c r="R2002" s="4"/>
      <c r="S2002" s="12" t="s">
        <v>5510</v>
      </c>
      <c r="T2002" s="5"/>
      <c r="U2002" s="4"/>
      <c r="V2002" s="11"/>
      <c r="W2002" s="5"/>
      <c r="X2002" s="11"/>
      <c r="Y2002" s="4"/>
      <c r="Z2002" s="5"/>
      <c r="AA2002" s="4"/>
      <c r="AB2002" s="4"/>
      <c r="AC2002" s="4"/>
      <c r="AD2002" s="5"/>
      <c r="AE2002" s="5"/>
      <c r="AF2002" s="5"/>
      <c r="AG2002" s="5"/>
      <c r="AH2002" s="5"/>
      <c r="AI2002" s="5"/>
      <c r="AJ2002" s="5"/>
      <c r="AK2002" s="5"/>
      <c r="AL2002" s="5"/>
    </row>
    <row r="2003">
      <c r="A2003" s="4" t="str">
        <f>VLOOKUP(L2003,payment_ids!C:D,2,FALSE)</f>
        <v>pay_HKDQFWyhBXA2GP</v>
      </c>
      <c r="B2003" s="4"/>
      <c r="C2003" s="4" t="s">
        <v>5508</v>
      </c>
      <c r="D2003" s="4">
        <v>50023.0</v>
      </c>
      <c r="E2003" s="5"/>
      <c r="F2003" s="4">
        <v>1.0</v>
      </c>
      <c r="G2003" s="4">
        <v>99.0</v>
      </c>
      <c r="H2003" s="4"/>
      <c r="I2003" s="4">
        <v>99.0</v>
      </c>
      <c r="J2003" s="4" t="s">
        <v>5574</v>
      </c>
      <c r="K2003" s="5">
        <f>+918826063256</f>
        <v>918826063256</v>
      </c>
      <c r="L2003" s="4" t="str">
        <f t="shared" si="1"/>
        <v>gurjeetkaur20060@gmail.com918826063256</v>
      </c>
      <c r="M2003" s="10" t="s">
        <v>67</v>
      </c>
      <c r="N2003" s="4" t="b">
        <v>0</v>
      </c>
      <c r="O2003" s="4" t="str">
        <f>VLOOKUP(A2003,payment_ids!D:E,2,FALSE)</f>
        <v>upi</v>
      </c>
      <c r="P2003" s="4" t="s">
        <v>69</v>
      </c>
      <c r="Q2003" s="11">
        <v>44383.865277777775</v>
      </c>
      <c r="R2003" s="4"/>
      <c r="S2003" s="12" t="s">
        <v>5510</v>
      </c>
      <c r="T2003" s="5"/>
      <c r="U2003" s="4"/>
      <c r="V2003" s="11"/>
      <c r="W2003" s="5"/>
      <c r="X2003" s="11"/>
      <c r="Y2003" s="4"/>
      <c r="Z2003" s="5"/>
      <c r="AA2003" s="4"/>
      <c r="AB2003" s="4"/>
      <c r="AC2003" s="4"/>
      <c r="AD2003" s="5"/>
      <c r="AE2003" s="5"/>
      <c r="AF2003" s="5"/>
      <c r="AG2003" s="5"/>
      <c r="AH2003" s="5"/>
      <c r="AI2003" s="5"/>
      <c r="AJ2003" s="5"/>
      <c r="AK2003" s="5"/>
      <c r="AL2003" s="5"/>
    </row>
    <row r="2004">
      <c r="A2004" s="4" t="str">
        <f>VLOOKUP(L2004,payment_ids!C:D,2,FALSE)</f>
        <v>pay_HKEcsB5aDKWbiR</v>
      </c>
      <c r="B2004" s="4"/>
      <c r="C2004" s="4" t="s">
        <v>5508</v>
      </c>
      <c r="D2004" s="4">
        <v>50023.0</v>
      </c>
      <c r="E2004" s="5"/>
      <c r="F2004" s="4">
        <v>1.0</v>
      </c>
      <c r="G2004" s="4">
        <v>99.0</v>
      </c>
      <c r="H2004" s="4"/>
      <c r="I2004" s="4">
        <v>99.0</v>
      </c>
      <c r="J2004" s="4" t="s">
        <v>5575</v>
      </c>
      <c r="K2004" s="5">
        <f>+919527044520</f>
        <v>919527044520</v>
      </c>
      <c r="L2004" s="4" t="str">
        <f t="shared" si="1"/>
        <v>hkakde1998@gmail.com919527044520</v>
      </c>
      <c r="M2004" s="10" t="s">
        <v>67</v>
      </c>
      <c r="N2004" s="4" t="b">
        <v>0</v>
      </c>
      <c r="O2004" s="4" t="str">
        <f>VLOOKUP(A2004,payment_ids!D:E,2,FALSE)</f>
        <v>upi</v>
      </c>
      <c r="P2004" s="4" t="s">
        <v>69</v>
      </c>
      <c r="Q2004" s="11">
        <v>44383.91458333333</v>
      </c>
      <c r="R2004" s="4"/>
      <c r="S2004" s="12" t="s">
        <v>5510</v>
      </c>
      <c r="T2004" s="5"/>
      <c r="U2004" s="4"/>
      <c r="V2004" s="11"/>
      <c r="W2004" s="5"/>
      <c r="X2004" s="11"/>
      <c r="Y2004" s="4"/>
      <c r="Z2004" s="5"/>
      <c r="AA2004" s="4"/>
      <c r="AB2004" s="4"/>
      <c r="AC2004" s="4"/>
      <c r="AD2004" s="5"/>
      <c r="AE2004" s="5"/>
      <c r="AF2004" s="5"/>
      <c r="AG2004" s="5"/>
      <c r="AH2004" s="5"/>
      <c r="AI2004" s="5"/>
      <c r="AJ2004" s="5"/>
      <c r="AK2004" s="5"/>
      <c r="AL2004" s="5"/>
    </row>
    <row r="2005">
      <c r="A2005" s="4" t="str">
        <f>VLOOKUP(L2005,payment_ids!C:D,2,FALSE)</f>
        <v>pay_HKFBT8Svc3L1YY</v>
      </c>
      <c r="B2005" s="4"/>
      <c r="C2005" s="4" t="s">
        <v>5508</v>
      </c>
      <c r="D2005" s="4">
        <v>50023.0</v>
      </c>
      <c r="E2005" s="5"/>
      <c r="F2005" s="4">
        <v>1.0</v>
      </c>
      <c r="G2005" s="4">
        <v>99.0</v>
      </c>
      <c r="H2005" s="4"/>
      <c r="I2005" s="4">
        <v>99.0</v>
      </c>
      <c r="J2005" s="4" t="s">
        <v>5576</v>
      </c>
      <c r="K2005" s="5">
        <f>+918295118282</f>
        <v>918295118282</v>
      </c>
      <c r="L2005" s="4" t="str">
        <f t="shared" si="1"/>
        <v>mayankmalik0006@gmail.com918295118282</v>
      </c>
      <c r="M2005" s="10" t="s">
        <v>67</v>
      </c>
      <c r="N2005" s="4" t="b">
        <v>0</v>
      </c>
      <c r="O2005" s="4" t="str">
        <f>VLOOKUP(A2005,payment_ids!D:E,2,FALSE)</f>
        <v>upi</v>
      </c>
      <c r="P2005" s="4" t="s">
        <v>69</v>
      </c>
      <c r="Q2005" s="11">
        <v>44383.93680555555</v>
      </c>
      <c r="R2005" s="4"/>
      <c r="S2005" s="12" t="s">
        <v>5510</v>
      </c>
      <c r="T2005" s="5"/>
      <c r="U2005" s="4"/>
      <c r="V2005" s="11"/>
      <c r="W2005" s="5"/>
      <c r="X2005" s="11"/>
      <c r="Y2005" s="4"/>
      <c r="Z2005" s="5"/>
      <c r="AA2005" s="4"/>
      <c r="AB2005" s="4"/>
      <c r="AC2005" s="4"/>
      <c r="AD2005" s="5"/>
      <c r="AE2005" s="5"/>
      <c r="AF2005" s="5"/>
      <c r="AG2005" s="5"/>
      <c r="AH2005" s="5"/>
      <c r="AI2005" s="5"/>
      <c r="AJ2005" s="5"/>
      <c r="AK2005" s="5"/>
      <c r="AL2005" s="5"/>
    </row>
    <row r="2006">
      <c r="A2006" s="4" t="str">
        <f>VLOOKUP(L2006,payment_ids!C:D,2,FALSE)</f>
        <v>pay_HKFaTB6ElYB2sU</v>
      </c>
      <c r="B2006" s="4"/>
      <c r="C2006" s="4" t="s">
        <v>5508</v>
      </c>
      <c r="D2006" s="4">
        <v>50023.0</v>
      </c>
      <c r="E2006" s="5"/>
      <c r="F2006" s="4">
        <v>1.0</v>
      </c>
      <c r="G2006" s="4">
        <v>99.0</v>
      </c>
      <c r="H2006" s="4"/>
      <c r="I2006" s="4">
        <v>99.0</v>
      </c>
      <c r="J2006" s="4" t="s">
        <v>5577</v>
      </c>
      <c r="K2006" s="5">
        <f>+919319320335</f>
        <v>919319320335</v>
      </c>
      <c r="L2006" s="4" t="str">
        <f t="shared" si="1"/>
        <v>gaman6794@gmail.com919319320335</v>
      </c>
      <c r="M2006" s="10" t="s">
        <v>67</v>
      </c>
      <c r="N2006" s="4" t="b">
        <v>0</v>
      </c>
      <c r="O2006" s="4" t="str">
        <f>VLOOKUP(A2006,payment_ids!D:E,2,FALSE)</f>
        <v>upi</v>
      </c>
      <c r="P2006" s="4" t="s">
        <v>69</v>
      </c>
      <c r="Q2006" s="11">
        <v>44383.95416666667</v>
      </c>
      <c r="R2006" s="4"/>
      <c r="S2006" s="12" t="s">
        <v>5510</v>
      </c>
      <c r="T2006" s="5"/>
      <c r="U2006" s="4"/>
      <c r="V2006" s="11"/>
      <c r="W2006" s="5"/>
      <c r="X2006" s="11"/>
      <c r="Y2006" s="4"/>
      <c r="Z2006" s="5"/>
      <c r="AA2006" s="4"/>
      <c r="AB2006" s="4"/>
      <c r="AC2006" s="4"/>
      <c r="AD2006" s="5"/>
      <c r="AE2006" s="5"/>
      <c r="AF2006" s="5"/>
      <c r="AG2006" s="5"/>
      <c r="AH2006" s="5"/>
      <c r="AI2006" s="5"/>
      <c r="AJ2006" s="5"/>
      <c r="AK2006" s="5"/>
      <c r="AL2006" s="5"/>
    </row>
    <row r="2007">
      <c r="A2007" s="4" t="str">
        <f>VLOOKUP(L2007,payment_ids!C:D,2,FALSE)</f>
        <v>pay_HKUWJBmtq33Bhd</v>
      </c>
      <c r="B2007" s="4"/>
      <c r="C2007" s="4" t="s">
        <v>5508</v>
      </c>
      <c r="D2007" s="4">
        <v>50023.0</v>
      </c>
      <c r="E2007" s="5"/>
      <c r="F2007" s="4">
        <v>1.0</v>
      </c>
      <c r="G2007" s="4">
        <v>99.0</v>
      </c>
      <c r="H2007" s="4"/>
      <c r="I2007" s="4">
        <v>99.0</v>
      </c>
      <c r="J2007" s="4" t="s">
        <v>5578</v>
      </c>
      <c r="K2007" s="5">
        <f>+917979931656</f>
        <v>917979931656</v>
      </c>
      <c r="L2007" s="4" t="str">
        <f t="shared" si="1"/>
        <v>snehasmriti44@gmail.com917979931656</v>
      </c>
      <c r="M2007" s="10" t="s">
        <v>67</v>
      </c>
      <c r="N2007" s="4" t="b">
        <v>0</v>
      </c>
      <c r="O2007" s="4" t="str">
        <f>VLOOKUP(A2007,payment_ids!D:E,2,FALSE)</f>
        <v>upi</v>
      </c>
      <c r="P2007" s="4" t="s">
        <v>69</v>
      </c>
      <c r="Q2007" s="11">
        <v>44414.5625</v>
      </c>
      <c r="R2007" s="4"/>
      <c r="S2007" s="12" t="s">
        <v>5510</v>
      </c>
      <c r="T2007" s="5"/>
      <c r="U2007" s="4"/>
      <c r="V2007" s="11"/>
      <c r="W2007" s="5"/>
      <c r="X2007" s="11"/>
      <c r="Y2007" s="4"/>
      <c r="Z2007" s="5"/>
      <c r="AA2007" s="4"/>
      <c r="AB2007" s="4"/>
      <c r="AC2007" s="4"/>
      <c r="AD2007" s="5"/>
      <c r="AE2007" s="5"/>
      <c r="AF2007" s="5"/>
      <c r="AG2007" s="5"/>
      <c r="AH2007" s="5"/>
      <c r="AI2007" s="5"/>
      <c r="AJ2007" s="5"/>
      <c r="AK2007" s="5"/>
      <c r="AL2007" s="5"/>
    </row>
    <row r="2008">
      <c r="A2008" s="4" t="str">
        <f>VLOOKUP(L2008,payment_ids!C:D,2,FALSE)</f>
        <v>pay_HKUezbzZfvMOOA</v>
      </c>
      <c r="B2008" s="4"/>
      <c r="C2008" s="4" t="s">
        <v>5508</v>
      </c>
      <c r="D2008" s="4">
        <v>50023.0</v>
      </c>
      <c r="E2008" s="5"/>
      <c r="F2008" s="4">
        <v>3.0</v>
      </c>
      <c r="G2008" s="4">
        <v>199.0</v>
      </c>
      <c r="H2008" s="4"/>
      <c r="I2008" s="4">
        <v>199.0</v>
      </c>
      <c r="J2008" s="4" t="s">
        <v>5579</v>
      </c>
      <c r="K2008" s="5">
        <f>+918971763523</f>
        <v>918971763523</v>
      </c>
      <c r="L2008" s="4" t="str">
        <f t="shared" si="1"/>
        <v>vanishree709@gmail.com918971763523</v>
      </c>
      <c r="M2008" s="10" t="s">
        <v>67</v>
      </c>
      <c r="N2008" s="4" t="b">
        <v>0</v>
      </c>
      <c r="O2008" s="4" t="str">
        <f>VLOOKUP(A2008,payment_ids!D:E,2,FALSE)</f>
        <v>upi</v>
      </c>
      <c r="P2008" s="4" t="s">
        <v>69</v>
      </c>
      <c r="Q2008" s="11">
        <v>44414.56805555556</v>
      </c>
      <c r="R2008" s="4"/>
      <c r="S2008" s="12" t="s">
        <v>5510</v>
      </c>
      <c r="T2008" s="5"/>
      <c r="U2008" s="4"/>
      <c r="V2008" s="11"/>
      <c r="W2008" s="5"/>
      <c r="X2008" s="11"/>
      <c r="Y2008" s="4"/>
      <c r="Z2008" s="5"/>
      <c r="AA2008" s="4"/>
      <c r="AB2008" s="4"/>
      <c r="AC2008" s="4"/>
      <c r="AD2008" s="5"/>
      <c r="AE2008" s="5"/>
      <c r="AF2008" s="5"/>
      <c r="AG2008" s="5"/>
      <c r="AH2008" s="5"/>
      <c r="AI2008" s="5"/>
      <c r="AJ2008" s="5"/>
      <c r="AK2008" s="5"/>
      <c r="AL2008" s="5"/>
    </row>
    <row r="2009">
      <c r="A2009" s="4" t="str">
        <f>VLOOKUP(L2009,payment_ids!C:D,2,FALSE)</f>
        <v>pay_HKVt9Np0t7bQ5K</v>
      </c>
      <c r="B2009" s="4"/>
      <c r="C2009" s="4" t="s">
        <v>5508</v>
      </c>
      <c r="D2009" s="4">
        <v>50023.0</v>
      </c>
      <c r="E2009" s="5"/>
      <c r="F2009" s="4">
        <v>1.0</v>
      </c>
      <c r="G2009" s="4">
        <v>99.0</v>
      </c>
      <c r="H2009" s="4"/>
      <c r="I2009" s="4">
        <v>99.0</v>
      </c>
      <c r="J2009" s="4" t="s">
        <v>5580</v>
      </c>
      <c r="K2009" s="5">
        <f>+919673631493</f>
        <v>919673631493</v>
      </c>
      <c r="L2009" s="4" t="str">
        <f t="shared" si="1"/>
        <v>kateteerthraj14@gmail.com919673631493</v>
      </c>
      <c r="M2009" s="10" t="s">
        <v>67</v>
      </c>
      <c r="N2009" s="4" t="b">
        <v>0</v>
      </c>
      <c r="O2009" s="4" t="str">
        <f>VLOOKUP(A2009,payment_ids!D:E,2,FALSE)</f>
        <v>upi</v>
      </c>
      <c r="P2009" s="4" t="s">
        <v>69</v>
      </c>
      <c r="Q2009" s="11">
        <v>44414.61875</v>
      </c>
      <c r="R2009" s="4"/>
      <c r="S2009" s="12" t="s">
        <v>5510</v>
      </c>
      <c r="T2009" s="5"/>
      <c r="U2009" s="4"/>
      <c r="V2009" s="11"/>
      <c r="W2009" s="5"/>
      <c r="X2009" s="11"/>
      <c r="Y2009" s="4"/>
      <c r="Z2009" s="5"/>
      <c r="AA2009" s="4"/>
      <c r="AB2009" s="4"/>
      <c r="AC2009" s="4"/>
      <c r="AD2009" s="5"/>
      <c r="AE2009" s="5"/>
      <c r="AF2009" s="5"/>
      <c r="AG2009" s="5"/>
      <c r="AH2009" s="5"/>
      <c r="AI2009" s="5"/>
      <c r="AJ2009" s="5"/>
      <c r="AK2009" s="5"/>
      <c r="AL2009" s="5"/>
    </row>
    <row r="2010">
      <c r="A2010" s="4" t="str">
        <f>VLOOKUP(L2010,payment_ids!C:D,2,FALSE)</f>
        <v>pay_HKhnh0rZL9ZoOM</v>
      </c>
      <c r="B2010" s="4"/>
      <c r="C2010" s="4" t="s">
        <v>5508</v>
      </c>
      <c r="D2010" s="4">
        <v>50023.0</v>
      </c>
      <c r="E2010" s="5"/>
      <c r="F2010" s="4">
        <v>1.0</v>
      </c>
      <c r="G2010" s="4">
        <v>99.0</v>
      </c>
      <c r="H2010" s="4"/>
      <c r="I2010" s="4">
        <v>99.0</v>
      </c>
      <c r="J2010" s="4" t="s">
        <v>5581</v>
      </c>
      <c r="K2010" s="5">
        <f>+918118874710</f>
        <v>918118874710</v>
      </c>
      <c r="L2010" s="4" t="str">
        <f t="shared" si="1"/>
        <v>razzsatish000@gmail.com918118874710</v>
      </c>
      <c r="M2010" s="10" t="s">
        <v>67</v>
      </c>
      <c r="N2010" s="4" t="b">
        <v>0</v>
      </c>
      <c r="O2010" s="4" t="str">
        <f>VLOOKUP(A2010,payment_ids!D:E,2,FALSE)</f>
        <v>upi</v>
      </c>
      <c r="P2010" s="4" t="s">
        <v>69</v>
      </c>
      <c r="Q2010" s="11">
        <v>44445.103472222225</v>
      </c>
      <c r="R2010" s="4"/>
      <c r="S2010" s="12" t="s">
        <v>5510</v>
      </c>
      <c r="T2010" s="4" t="s">
        <v>2444</v>
      </c>
      <c r="U2010" s="4"/>
      <c r="V2010" s="11"/>
      <c r="W2010" s="5"/>
      <c r="X2010" s="11"/>
      <c r="Y2010" s="4"/>
      <c r="Z2010" s="5"/>
      <c r="AA2010" s="4"/>
      <c r="AB2010" s="4"/>
      <c r="AC2010" s="4"/>
      <c r="AD2010" s="5"/>
      <c r="AE2010" s="5"/>
      <c r="AF2010" s="5"/>
      <c r="AG2010" s="5"/>
      <c r="AH2010" s="5"/>
      <c r="AI2010" s="5"/>
      <c r="AJ2010" s="5"/>
      <c r="AK2010" s="5"/>
      <c r="AL2010" s="5"/>
    </row>
    <row r="2011">
      <c r="A2011" s="4" t="str">
        <f>VLOOKUP(L2011,payment_ids!C:D,2,FALSE)</f>
        <v>pay_HKobaUV2KKtzVt</v>
      </c>
      <c r="B2011" s="4"/>
      <c r="C2011" s="4" t="s">
        <v>5508</v>
      </c>
      <c r="D2011" s="4">
        <v>50023.0</v>
      </c>
      <c r="E2011" s="5"/>
      <c r="F2011" s="4">
        <v>1.0</v>
      </c>
      <c r="G2011" s="4">
        <v>99.0</v>
      </c>
      <c r="H2011" s="4"/>
      <c r="I2011" s="4">
        <v>99.0</v>
      </c>
      <c r="J2011" s="4" t="s">
        <v>5582</v>
      </c>
      <c r="K2011" s="5">
        <f>+918168141859</f>
        <v>918168141859</v>
      </c>
      <c r="L2011" s="4" t="str">
        <f t="shared" si="1"/>
        <v>sharmavibhuti1507@gmail.com918168141859</v>
      </c>
      <c r="M2011" s="10" t="s">
        <v>67</v>
      </c>
      <c r="N2011" s="4" t="b">
        <v>0</v>
      </c>
      <c r="O2011" s="4" t="str">
        <f>VLOOKUP(A2011,payment_ids!D:E,2,FALSE)</f>
        <v>upi</v>
      </c>
      <c r="P2011" s="4" t="s">
        <v>69</v>
      </c>
      <c r="Q2011" s="11">
        <v>44445.38125</v>
      </c>
      <c r="R2011" s="4"/>
      <c r="S2011" s="12" t="s">
        <v>5510</v>
      </c>
      <c r="T2011" s="4" t="s">
        <v>2444</v>
      </c>
      <c r="U2011" s="4"/>
      <c r="V2011" s="11"/>
      <c r="W2011" s="5"/>
      <c r="X2011" s="11"/>
      <c r="Y2011" s="4"/>
      <c r="Z2011" s="5"/>
      <c r="AA2011" s="4"/>
      <c r="AB2011" s="4"/>
      <c r="AC2011" s="4"/>
      <c r="AD2011" s="5"/>
      <c r="AE2011" s="5"/>
      <c r="AF2011" s="5"/>
      <c r="AG2011" s="5"/>
      <c r="AH2011" s="5"/>
      <c r="AI2011" s="5"/>
      <c r="AJ2011" s="5"/>
      <c r="AK2011" s="5"/>
      <c r="AL2011" s="5"/>
    </row>
    <row r="2012">
      <c r="A2012" s="4" t="str">
        <f>VLOOKUP(L2012,payment_ids!C:D,2,FALSE)</f>
        <v>pay_HKq2wB7dfBct8B</v>
      </c>
      <c r="B2012" s="4"/>
      <c r="C2012" s="4" t="s">
        <v>5508</v>
      </c>
      <c r="D2012" s="4">
        <v>50023.0</v>
      </c>
      <c r="E2012" s="5"/>
      <c r="F2012" s="4">
        <v>1.0</v>
      </c>
      <c r="G2012" s="4">
        <v>99.0</v>
      </c>
      <c r="H2012" s="4"/>
      <c r="I2012" s="4">
        <v>99.0</v>
      </c>
      <c r="J2012" s="4" t="s">
        <v>5583</v>
      </c>
      <c r="K2012" s="5">
        <f>+917667488650</f>
        <v>917667488650</v>
      </c>
      <c r="L2012" s="4" t="str">
        <f t="shared" si="1"/>
        <v>click2rohit03@gmail.com917667488650</v>
      </c>
      <c r="M2012" s="10" t="s">
        <v>67</v>
      </c>
      <c r="N2012" s="4" t="b">
        <v>0</v>
      </c>
      <c r="O2012" s="4" t="str">
        <f>VLOOKUP(A2012,payment_ids!D:E,2,FALSE)</f>
        <v>card</v>
      </c>
      <c r="P2012" s="4" t="s">
        <v>69</v>
      </c>
      <c r="Q2012" s="11">
        <v>44445.45763888889</v>
      </c>
      <c r="R2012" s="4"/>
      <c r="S2012" s="12" t="s">
        <v>5584</v>
      </c>
      <c r="T2012" s="4" t="s">
        <v>2444</v>
      </c>
      <c r="U2012" s="4"/>
      <c r="V2012" s="11"/>
      <c r="W2012" s="5"/>
      <c r="X2012" s="11"/>
      <c r="Y2012" s="4"/>
      <c r="Z2012" s="5"/>
      <c r="AA2012" s="4"/>
      <c r="AB2012" s="4"/>
      <c r="AC2012" s="4"/>
      <c r="AD2012" s="5"/>
      <c r="AE2012" s="5"/>
      <c r="AF2012" s="5"/>
      <c r="AG2012" s="5"/>
      <c r="AH2012" s="5"/>
      <c r="AI2012" s="5"/>
      <c r="AJ2012" s="5"/>
      <c r="AK2012" s="5"/>
      <c r="AL2012" s="5"/>
    </row>
    <row r="2013">
      <c r="A2013" s="4" t="str">
        <f>VLOOKUP(L2013,payment_ids!C:D,2,FALSE)</f>
        <v>pay_HKqT4iUlJW3f3x</v>
      </c>
      <c r="B2013" s="4"/>
      <c r="C2013" s="4" t="s">
        <v>5508</v>
      </c>
      <c r="D2013" s="4">
        <v>50023.0</v>
      </c>
      <c r="E2013" s="5"/>
      <c r="F2013" s="4">
        <v>1.0</v>
      </c>
      <c r="G2013" s="4">
        <v>99.0</v>
      </c>
      <c r="H2013" s="4"/>
      <c r="I2013" s="4">
        <v>99.0</v>
      </c>
      <c r="J2013" s="4" t="s">
        <v>5585</v>
      </c>
      <c r="K2013" s="5">
        <f>+918447771521</f>
        <v>918447771521</v>
      </c>
      <c r="L2013" s="4" t="str">
        <f t="shared" si="1"/>
        <v>djha2099@gmail.com918447771521</v>
      </c>
      <c r="M2013" s="10" t="s">
        <v>67</v>
      </c>
      <c r="N2013" s="4" t="b">
        <v>0</v>
      </c>
      <c r="O2013" s="4" t="str">
        <f>VLOOKUP(A2013,payment_ids!D:E,2,FALSE)</f>
        <v>wallet</v>
      </c>
      <c r="P2013" s="4" t="s">
        <v>69</v>
      </c>
      <c r="Q2013" s="11">
        <v>44445.464583333334</v>
      </c>
      <c r="R2013" s="4"/>
      <c r="S2013" s="12" t="s">
        <v>5584</v>
      </c>
      <c r="T2013" s="4" t="s">
        <v>2444</v>
      </c>
      <c r="U2013" s="4"/>
      <c r="V2013" s="11"/>
      <c r="W2013" s="5"/>
      <c r="X2013" s="11"/>
      <c r="Y2013" s="4"/>
      <c r="Z2013" s="5"/>
      <c r="AA2013" s="4"/>
      <c r="AB2013" s="4"/>
      <c r="AC2013" s="4"/>
      <c r="AD2013" s="5"/>
      <c r="AE2013" s="5"/>
      <c r="AF2013" s="5"/>
      <c r="AG2013" s="5"/>
      <c r="AH2013" s="5"/>
      <c r="AI2013" s="5"/>
      <c r="AJ2013" s="5"/>
      <c r="AK2013" s="5"/>
      <c r="AL2013" s="5"/>
    </row>
    <row r="2014">
      <c r="A2014" s="4" t="str">
        <f>VLOOKUP(L2014,payment_ids!C:D,2,FALSE)</f>
        <v>pay_HKqsi2OcMx80l1</v>
      </c>
      <c r="B2014" s="4"/>
      <c r="C2014" s="4" t="s">
        <v>5508</v>
      </c>
      <c r="D2014" s="4">
        <v>50023.0</v>
      </c>
      <c r="E2014" s="5"/>
      <c r="F2014" s="4">
        <v>1.0</v>
      </c>
      <c r="G2014" s="4">
        <v>99.0</v>
      </c>
      <c r="H2014" s="4"/>
      <c r="I2014" s="4">
        <v>99.0</v>
      </c>
      <c r="J2014" s="4" t="s">
        <v>5586</v>
      </c>
      <c r="K2014" s="5">
        <f>+919012381546</f>
        <v>919012381546</v>
      </c>
      <c r="L2014" s="4" t="str">
        <f t="shared" si="1"/>
        <v>arpittiwari827@gmail.com919012381546</v>
      </c>
      <c r="M2014" s="10" t="s">
        <v>67</v>
      </c>
      <c r="N2014" s="4" t="b">
        <v>0</v>
      </c>
      <c r="O2014" s="4" t="str">
        <f>VLOOKUP(A2014,payment_ids!D:E,2,FALSE)</f>
        <v>upi</v>
      </c>
      <c r="P2014" s="4" t="s">
        <v>69</v>
      </c>
      <c r="Q2014" s="11">
        <v>44445.47361111111</v>
      </c>
      <c r="R2014" s="4"/>
      <c r="S2014" s="12" t="s">
        <v>5510</v>
      </c>
      <c r="T2014" s="4" t="s">
        <v>2444</v>
      </c>
      <c r="U2014" s="4"/>
      <c r="V2014" s="11"/>
      <c r="W2014" s="5"/>
      <c r="X2014" s="11"/>
      <c r="Y2014" s="4"/>
      <c r="Z2014" s="5"/>
      <c r="AA2014" s="4"/>
      <c r="AB2014" s="4"/>
      <c r="AC2014" s="4"/>
      <c r="AD2014" s="5"/>
      <c r="AE2014" s="5"/>
      <c r="AF2014" s="5"/>
      <c r="AG2014" s="5"/>
      <c r="AH2014" s="5"/>
      <c r="AI2014" s="5"/>
      <c r="AJ2014" s="5"/>
      <c r="AK2014" s="5"/>
      <c r="AL2014" s="5"/>
    </row>
    <row r="2015">
      <c r="A2015" s="4" t="str">
        <f>VLOOKUP(L2015,payment_ids!C:D,2,FALSE)</f>
        <v>pay_HKxHq5i9ZwxRcz</v>
      </c>
      <c r="B2015" s="4"/>
      <c r="C2015" s="4" t="s">
        <v>5508</v>
      </c>
      <c r="D2015" s="4">
        <v>50023.0</v>
      </c>
      <c r="E2015" s="5"/>
      <c r="F2015" s="4">
        <v>1.0</v>
      </c>
      <c r="G2015" s="4">
        <v>99.0</v>
      </c>
      <c r="H2015" s="4"/>
      <c r="I2015" s="4">
        <v>99.0</v>
      </c>
      <c r="J2015" s="4" t="s">
        <v>5587</v>
      </c>
      <c r="K2015" s="5">
        <f>+918975973296</f>
        <v>918975973296</v>
      </c>
      <c r="L2015" s="4" t="str">
        <f t="shared" si="1"/>
        <v>vaibhavjainavantika@gmail.com918975973296</v>
      </c>
      <c r="M2015" s="10" t="s">
        <v>67</v>
      </c>
      <c r="N2015" s="4" t="b">
        <v>0</v>
      </c>
      <c r="O2015" s="4" t="str">
        <f>VLOOKUP(A2015,payment_ids!D:E,2,FALSE)</f>
        <v>upi</v>
      </c>
      <c r="P2015" s="4" t="s">
        <v>69</v>
      </c>
      <c r="Q2015" s="11">
        <v>44445.73472222222</v>
      </c>
      <c r="R2015" s="4"/>
      <c r="S2015" s="12" t="s">
        <v>5510</v>
      </c>
      <c r="T2015" s="4" t="s">
        <v>2444</v>
      </c>
      <c r="U2015" s="4"/>
      <c r="V2015" s="11"/>
      <c r="W2015" s="5"/>
      <c r="X2015" s="11"/>
      <c r="Y2015" s="4"/>
      <c r="Z2015" s="5"/>
      <c r="AA2015" s="4"/>
      <c r="AB2015" s="4"/>
      <c r="AC2015" s="4"/>
      <c r="AD2015" s="5"/>
      <c r="AE2015" s="5"/>
      <c r="AF2015" s="5"/>
      <c r="AG2015" s="5"/>
      <c r="AH2015" s="5"/>
      <c r="AI2015" s="5"/>
      <c r="AJ2015" s="5"/>
      <c r="AK2015" s="5"/>
      <c r="AL2015" s="5"/>
    </row>
    <row r="2016">
      <c r="A2016" s="4" t="str">
        <f>VLOOKUP(L2016,payment_ids!C:D,2,FALSE)</f>
        <v>pay_HKxXIWLotTVM36</v>
      </c>
      <c r="B2016" s="4"/>
      <c r="C2016" s="4" t="s">
        <v>5508</v>
      </c>
      <c r="D2016" s="4">
        <v>50023.0</v>
      </c>
      <c r="E2016" s="5"/>
      <c r="F2016" s="4">
        <v>1.0</v>
      </c>
      <c r="G2016" s="4">
        <v>99.0</v>
      </c>
      <c r="H2016" s="4"/>
      <c r="I2016" s="4">
        <v>99.0</v>
      </c>
      <c r="J2016" s="4" t="s">
        <v>5588</v>
      </c>
      <c r="K2016" s="5">
        <f>+918090205655</f>
        <v>918090205655</v>
      </c>
      <c r="L2016" s="4" t="str">
        <f t="shared" si="1"/>
        <v>dilipsaini2296@gmail.com918090205655</v>
      </c>
      <c r="M2016" s="10" t="s">
        <v>67</v>
      </c>
      <c r="N2016" s="4" t="b">
        <v>0</v>
      </c>
      <c r="O2016" s="4" t="str">
        <f>VLOOKUP(A2016,payment_ids!D:E,2,FALSE)</f>
        <v>upi</v>
      </c>
      <c r="P2016" s="4" t="s">
        <v>69</v>
      </c>
      <c r="Q2016" s="11">
        <v>44445.74722222222</v>
      </c>
      <c r="R2016" s="4"/>
      <c r="S2016" s="12" t="s">
        <v>5510</v>
      </c>
      <c r="T2016" s="4" t="s">
        <v>2444</v>
      </c>
      <c r="U2016" s="4"/>
      <c r="V2016" s="11"/>
      <c r="W2016" s="5"/>
      <c r="X2016" s="11"/>
      <c r="Y2016" s="4"/>
      <c r="Z2016" s="5"/>
      <c r="AA2016" s="4"/>
      <c r="AB2016" s="4"/>
      <c r="AC2016" s="4"/>
      <c r="AD2016" s="5"/>
      <c r="AE2016" s="5"/>
      <c r="AF2016" s="5"/>
      <c r="AG2016" s="5"/>
      <c r="AH2016" s="5"/>
      <c r="AI2016" s="5"/>
      <c r="AJ2016" s="5"/>
      <c r="AK2016" s="5"/>
      <c r="AL2016" s="5"/>
    </row>
    <row r="2017">
      <c r="A2017" s="4" t="str">
        <f>VLOOKUP(L2017,payment_ids!C:D,2,FALSE)</f>
        <v>pay_HL3yreo8FHWZ9z</v>
      </c>
      <c r="B2017" s="4"/>
      <c r="C2017" s="4" t="s">
        <v>5508</v>
      </c>
      <c r="D2017" s="4">
        <v>50023.0</v>
      </c>
      <c r="E2017" s="5"/>
      <c r="F2017" s="4">
        <v>1.0</v>
      </c>
      <c r="G2017" s="4">
        <v>99.0</v>
      </c>
      <c r="H2017" s="4"/>
      <c r="I2017" s="4">
        <v>99.0</v>
      </c>
      <c r="J2017" s="4" t="s">
        <v>5589</v>
      </c>
      <c r="K2017" s="5">
        <f>+918081934339</f>
        <v>918081934339</v>
      </c>
      <c r="L2017" s="4" t="str">
        <f t="shared" si="1"/>
        <v>ankitasinha248@gmail.com918081934339</v>
      </c>
      <c r="M2017" s="10" t="s">
        <v>67</v>
      </c>
      <c r="N2017" s="4" t="b">
        <v>0</v>
      </c>
      <c r="O2017" s="4" t="str">
        <f>VLOOKUP(A2017,payment_ids!D:E,2,FALSE)</f>
        <v>upi</v>
      </c>
      <c r="P2017" s="4" t="s">
        <v>69</v>
      </c>
      <c r="Q2017" s="11">
        <v>44475.00763888889</v>
      </c>
      <c r="R2017" s="4"/>
      <c r="S2017" s="12" t="s">
        <v>5510</v>
      </c>
      <c r="T2017" s="4" t="s">
        <v>2444</v>
      </c>
      <c r="U2017" s="5"/>
      <c r="V2017" s="11"/>
      <c r="W2017" s="5"/>
      <c r="X2017" s="11"/>
      <c r="Y2017" s="4"/>
      <c r="Z2017" s="5"/>
      <c r="AA2017" s="5"/>
      <c r="AB2017" s="4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</row>
    <row r="2018">
      <c r="A2018" s="4" t="str">
        <f>VLOOKUP(L2018,payment_ids!C:D,2,FALSE)</f>
        <v>pay_HLAgzmFvHqLSdH</v>
      </c>
      <c r="B2018" s="4"/>
      <c r="C2018" s="4" t="s">
        <v>5508</v>
      </c>
      <c r="D2018" s="4">
        <v>50023.0</v>
      </c>
      <c r="E2018" s="5"/>
      <c r="F2018" s="4">
        <v>1.0</v>
      </c>
      <c r="G2018" s="4">
        <v>99.0</v>
      </c>
      <c r="H2018" s="4"/>
      <c r="I2018" s="4">
        <v>99.0</v>
      </c>
      <c r="J2018" s="4" t="s">
        <v>5590</v>
      </c>
      <c r="K2018" s="5">
        <f>+917057092709</f>
        <v>917057092709</v>
      </c>
      <c r="L2018" s="4" t="str">
        <f t="shared" si="1"/>
        <v>abhishekk25407@gmail.com917057092709</v>
      </c>
      <c r="M2018" s="10" t="s">
        <v>67</v>
      </c>
      <c r="N2018" s="4" t="b">
        <v>0</v>
      </c>
      <c r="O2018" s="4" t="str">
        <f>VLOOKUP(A2018,payment_ids!D:E,2,FALSE)</f>
        <v>upi</v>
      </c>
      <c r="P2018" s="4" t="s">
        <v>69</v>
      </c>
      <c r="Q2018" s="11">
        <v>44475.28125</v>
      </c>
      <c r="R2018" s="4"/>
      <c r="S2018" s="12" t="s">
        <v>5510</v>
      </c>
      <c r="T2018" s="4" t="s">
        <v>2444</v>
      </c>
      <c r="U2018" s="4"/>
      <c r="V2018" s="11"/>
      <c r="W2018" s="5"/>
      <c r="X2018" s="11"/>
      <c r="Y2018" s="4"/>
      <c r="Z2018" s="5"/>
      <c r="AA2018" s="4"/>
      <c r="AB2018" s="4"/>
      <c r="AC2018" s="4"/>
      <c r="AD2018" s="5"/>
      <c r="AE2018" s="5"/>
      <c r="AF2018" s="5"/>
      <c r="AG2018" s="5"/>
      <c r="AH2018" s="5"/>
      <c r="AI2018" s="5"/>
      <c r="AJ2018" s="5"/>
      <c r="AK2018" s="5"/>
      <c r="AL2018" s="5"/>
    </row>
    <row r="2019">
      <c r="A2019" s="4" t="str">
        <f>VLOOKUP(L2019,payment_ids!C:D,2,FALSE)</f>
        <v>pay_HLFfl5uSNhD87W</v>
      </c>
      <c r="B2019" s="4"/>
      <c r="C2019" s="4" t="s">
        <v>5508</v>
      </c>
      <c r="D2019" s="4">
        <v>50023.0</v>
      </c>
      <c r="E2019" s="5"/>
      <c r="F2019" s="4">
        <v>1.0</v>
      </c>
      <c r="G2019" s="4">
        <v>99.0</v>
      </c>
      <c r="H2019" s="4"/>
      <c r="I2019" s="4">
        <v>99.0</v>
      </c>
      <c r="J2019" s="4" t="s">
        <v>5591</v>
      </c>
      <c r="K2019" s="5">
        <f>+919720803108</f>
        <v>919720803108</v>
      </c>
      <c r="L2019" s="4" t="str">
        <f t="shared" si="1"/>
        <v>riyachand794@gmail.com919720803108</v>
      </c>
      <c r="M2019" s="10" t="s">
        <v>67</v>
      </c>
      <c r="N2019" s="4" t="b">
        <v>0</v>
      </c>
      <c r="O2019" s="4" t="str">
        <f>VLOOKUP(A2019,payment_ids!D:E,2,FALSE)</f>
        <v>upi</v>
      </c>
      <c r="P2019" s="4" t="s">
        <v>69</v>
      </c>
      <c r="Q2019" s="11">
        <v>44475.49236111111</v>
      </c>
      <c r="R2019" s="4"/>
      <c r="S2019" s="12" t="s">
        <v>5584</v>
      </c>
      <c r="T2019" s="4" t="s">
        <v>2444</v>
      </c>
      <c r="U2019" s="4"/>
      <c r="V2019" s="11"/>
      <c r="W2019" s="5"/>
      <c r="X2019" s="11"/>
      <c r="Y2019" s="4"/>
      <c r="Z2019" s="5"/>
      <c r="AA2019" s="4"/>
      <c r="AB2019" s="4"/>
      <c r="AC2019" s="4"/>
      <c r="AD2019" s="5"/>
      <c r="AE2019" s="5"/>
      <c r="AF2019" s="5"/>
      <c r="AG2019" s="5"/>
      <c r="AH2019" s="5"/>
      <c r="AI2019" s="5"/>
      <c r="AJ2019" s="5"/>
      <c r="AK2019" s="5"/>
      <c r="AL2019" s="5"/>
    </row>
    <row r="2020">
      <c r="A2020" s="4" t="str">
        <f>VLOOKUP(L2020,payment_ids!C:D,2,FALSE)</f>
        <v>pay_HLGPhNrhiJfEkV</v>
      </c>
      <c r="B2020" s="4"/>
      <c r="C2020" s="4" t="s">
        <v>5508</v>
      </c>
      <c r="D2020" s="4">
        <v>50023.0</v>
      </c>
      <c r="E2020" s="5"/>
      <c r="F2020" s="4">
        <v>1.0</v>
      </c>
      <c r="G2020" s="4">
        <v>99.0</v>
      </c>
      <c r="H2020" s="4"/>
      <c r="I2020" s="4">
        <v>99.0</v>
      </c>
      <c r="J2020" s="4" t="s">
        <v>5592</v>
      </c>
      <c r="K2020" s="5">
        <f>+917506863248</f>
        <v>917506863248</v>
      </c>
      <c r="L2020" s="4" t="str">
        <f t="shared" si="1"/>
        <v>pranitbandre005@gmail.com917506863248</v>
      </c>
      <c r="M2020" s="10" t="s">
        <v>67</v>
      </c>
      <c r="N2020" s="4" t="b">
        <v>0</v>
      </c>
      <c r="O2020" s="4" t="str">
        <f>VLOOKUP(A2020,payment_ids!D:E,2,FALSE)</f>
        <v>upi</v>
      </c>
      <c r="P2020" s="4" t="s">
        <v>69</v>
      </c>
      <c r="Q2020" s="11">
        <v>44475.51388888889</v>
      </c>
      <c r="R2020" s="4"/>
      <c r="S2020" s="12" t="s">
        <v>5510</v>
      </c>
      <c r="T2020" s="4" t="s">
        <v>2444</v>
      </c>
      <c r="U2020" s="4"/>
      <c r="V2020" s="11"/>
      <c r="W2020" s="5"/>
      <c r="X2020" s="11"/>
      <c r="Y2020" s="4"/>
      <c r="Z2020" s="5"/>
      <c r="AA2020" s="4"/>
      <c r="AB2020" s="4"/>
      <c r="AC2020" s="4"/>
      <c r="AD2020" s="5"/>
      <c r="AE2020" s="5"/>
      <c r="AF2020" s="5"/>
      <c r="AG2020" s="5"/>
      <c r="AH2020" s="5"/>
      <c r="AI2020" s="5"/>
      <c r="AJ2020" s="5"/>
      <c r="AK2020" s="5"/>
      <c r="AL2020" s="5"/>
    </row>
    <row r="2021">
      <c r="A2021" s="4" t="str">
        <f>VLOOKUP(L2021,payment_ids!C:D,2,FALSE)</f>
        <v>pay_HLO2gsryfs1PXZ</v>
      </c>
      <c r="B2021" s="4"/>
      <c r="C2021" s="4" t="s">
        <v>5508</v>
      </c>
      <c r="D2021" s="4">
        <v>50023.0</v>
      </c>
      <c r="E2021" s="5"/>
      <c r="F2021" s="4">
        <v>1.0</v>
      </c>
      <c r="G2021" s="4">
        <v>99.0</v>
      </c>
      <c r="H2021" s="4"/>
      <c r="I2021" s="4">
        <v>99.0</v>
      </c>
      <c r="J2021" s="4" t="s">
        <v>5593</v>
      </c>
      <c r="K2021" s="5">
        <f>+919741601609</f>
        <v>919741601609</v>
      </c>
      <c r="L2021" s="4" t="str">
        <f t="shared" si="1"/>
        <v>sanyogeeta999@gmail.com919741601609</v>
      </c>
      <c r="M2021" s="10" t="s">
        <v>67</v>
      </c>
      <c r="N2021" s="4" t="b">
        <v>0</v>
      </c>
      <c r="O2021" s="4" t="str">
        <f>VLOOKUP(A2021,payment_ids!D:E,2,FALSE)</f>
        <v>upi</v>
      </c>
      <c r="P2021" s="4" t="s">
        <v>69</v>
      </c>
      <c r="Q2021" s="11">
        <v>44475.825694444444</v>
      </c>
      <c r="R2021" s="4"/>
      <c r="S2021" s="12" t="s">
        <v>5510</v>
      </c>
      <c r="T2021" s="4" t="s">
        <v>2444</v>
      </c>
      <c r="U2021" s="4"/>
      <c r="V2021" s="11"/>
      <c r="W2021" s="5"/>
      <c r="X2021" s="11"/>
      <c r="Y2021" s="4"/>
      <c r="Z2021" s="5"/>
      <c r="AA2021" s="4"/>
      <c r="AB2021" s="4"/>
      <c r="AC2021" s="4"/>
      <c r="AD2021" s="5"/>
      <c r="AE2021" s="5"/>
      <c r="AF2021" s="5"/>
      <c r="AG2021" s="5"/>
      <c r="AH2021" s="5"/>
      <c r="AI2021" s="5"/>
      <c r="AJ2021" s="5"/>
      <c r="AK2021" s="5"/>
      <c r="AL2021" s="5"/>
    </row>
    <row r="2022">
      <c r="A2022" s="4" t="str">
        <f>VLOOKUP(L2022,payment_ids!C:D,2,FALSE)</f>
        <v>pay_HLOTODVsf0EqgP</v>
      </c>
      <c r="B2022" s="4"/>
      <c r="C2022" s="4" t="s">
        <v>5508</v>
      </c>
      <c r="D2022" s="4">
        <v>50023.0</v>
      </c>
      <c r="E2022" s="5"/>
      <c r="F2022" s="4">
        <v>1.0</v>
      </c>
      <c r="G2022" s="4">
        <v>99.0</v>
      </c>
      <c r="H2022" s="4"/>
      <c r="I2022" s="4">
        <v>99.0</v>
      </c>
      <c r="J2022" s="4" t="s">
        <v>5594</v>
      </c>
      <c r="K2022" s="5">
        <f>+918076985540</f>
        <v>918076985540</v>
      </c>
      <c r="L2022" s="4" t="str">
        <f t="shared" si="1"/>
        <v>karishmasain7@gmail.com918076985540</v>
      </c>
      <c r="M2022" s="10" t="s">
        <v>67</v>
      </c>
      <c r="N2022" s="4" t="b">
        <v>0</v>
      </c>
      <c r="O2022" s="4" t="str">
        <f>VLOOKUP(A2022,payment_ids!D:E,2,FALSE)</f>
        <v>upi</v>
      </c>
      <c r="P2022" s="4" t="s">
        <v>69</v>
      </c>
      <c r="Q2022" s="11">
        <v>44475.842361111114</v>
      </c>
      <c r="R2022" s="4"/>
      <c r="S2022" s="12" t="s">
        <v>5510</v>
      </c>
      <c r="T2022" s="4" t="s">
        <v>2444</v>
      </c>
      <c r="U2022" s="4"/>
      <c r="V2022" s="11"/>
      <c r="W2022" s="5"/>
      <c r="X2022" s="11"/>
      <c r="Y2022" s="4"/>
      <c r="Z2022" s="5"/>
      <c r="AA2022" s="4"/>
      <c r="AB2022" s="4"/>
      <c r="AC2022" s="4"/>
      <c r="AD2022" s="5"/>
      <c r="AE2022" s="5"/>
      <c r="AF2022" s="5"/>
      <c r="AG2022" s="5"/>
      <c r="AH2022" s="5"/>
      <c r="AI2022" s="5"/>
      <c r="AJ2022" s="5"/>
      <c r="AK2022" s="5"/>
      <c r="AL2022" s="5"/>
    </row>
    <row r="2023">
      <c r="A2023" s="4" t="str">
        <f>VLOOKUP(L2023,payment_ids!C:D,2,FALSE)</f>
        <v>pay_HLQgGCojdLMbZW</v>
      </c>
      <c r="B2023" s="4"/>
      <c r="C2023" s="4" t="s">
        <v>5508</v>
      </c>
      <c r="D2023" s="4">
        <v>50023.0</v>
      </c>
      <c r="E2023" s="5"/>
      <c r="F2023" s="4">
        <v>1.0</v>
      </c>
      <c r="G2023" s="4">
        <v>99.0</v>
      </c>
      <c r="H2023" s="4"/>
      <c r="I2023" s="4">
        <v>99.0</v>
      </c>
      <c r="J2023" s="4" t="s">
        <v>5595</v>
      </c>
      <c r="K2023" s="5">
        <f>+917972968800</f>
        <v>917972968800</v>
      </c>
      <c r="L2023" s="4" t="str">
        <f t="shared" si="1"/>
        <v>sushantb0007@gmail.com917972968800</v>
      </c>
      <c r="M2023" s="10" t="s">
        <v>67</v>
      </c>
      <c r="N2023" s="4" t="b">
        <v>0</v>
      </c>
      <c r="O2023" s="4" t="str">
        <f>VLOOKUP(A2023,payment_ids!D:E,2,FALSE)</f>
        <v>upi</v>
      </c>
      <c r="P2023" s="4" t="s">
        <v>69</v>
      </c>
      <c r="Q2023" s="11">
        <v>44475.93402777778</v>
      </c>
      <c r="R2023" s="4"/>
      <c r="S2023" s="12" t="s">
        <v>5510</v>
      </c>
      <c r="T2023" s="4" t="s">
        <v>2444</v>
      </c>
      <c r="U2023" s="4"/>
      <c r="V2023" s="11"/>
      <c r="W2023" s="5"/>
      <c r="X2023" s="11"/>
      <c r="Y2023" s="4"/>
      <c r="Z2023" s="5"/>
      <c r="AA2023" s="4"/>
      <c r="AB2023" s="4"/>
      <c r="AC2023" s="4"/>
      <c r="AD2023" s="5"/>
      <c r="AE2023" s="5"/>
      <c r="AF2023" s="5"/>
      <c r="AG2023" s="5"/>
      <c r="AH2023" s="5"/>
      <c r="AI2023" s="5"/>
      <c r="AJ2023" s="5"/>
      <c r="AK2023" s="5"/>
      <c r="AL2023" s="5"/>
    </row>
    <row r="2024">
      <c r="A2024" s="4" t="str">
        <f>VLOOKUP(L2024,payment_ids!C:D,2,FALSE)</f>
        <v>pay_HLQingrAiyXu7N</v>
      </c>
      <c r="B2024" s="4"/>
      <c r="C2024" s="4" t="s">
        <v>5508</v>
      </c>
      <c r="D2024" s="4">
        <v>50023.0</v>
      </c>
      <c r="E2024" s="5"/>
      <c r="F2024" s="4">
        <v>1.0</v>
      </c>
      <c r="G2024" s="4">
        <v>99.0</v>
      </c>
      <c r="H2024" s="4"/>
      <c r="I2024" s="4">
        <v>99.0</v>
      </c>
      <c r="J2024" s="4" t="s">
        <v>5596</v>
      </c>
      <c r="K2024" s="5">
        <f>+919793163491</f>
        <v>919793163491</v>
      </c>
      <c r="L2024" s="4" t="str">
        <f t="shared" si="1"/>
        <v>sanjiv.monu94@gmail.com919793163491</v>
      </c>
      <c r="M2024" s="10" t="s">
        <v>67</v>
      </c>
      <c r="N2024" s="4" t="b">
        <v>0</v>
      </c>
      <c r="O2024" s="4" t="str">
        <f>VLOOKUP(A2024,payment_ids!D:E,2,FALSE)</f>
        <v>upi</v>
      </c>
      <c r="P2024" s="4" t="s">
        <v>69</v>
      </c>
      <c r="Q2024" s="11">
        <v>44475.93472222222</v>
      </c>
      <c r="R2024" s="4"/>
      <c r="S2024" s="12" t="s">
        <v>5510</v>
      </c>
      <c r="T2024" s="4" t="s">
        <v>2444</v>
      </c>
      <c r="U2024" s="4"/>
      <c r="V2024" s="11"/>
      <c r="W2024" s="5"/>
      <c r="X2024" s="11"/>
      <c r="Y2024" s="4"/>
      <c r="Z2024" s="5"/>
      <c r="AA2024" s="4"/>
      <c r="AB2024" s="4"/>
      <c r="AC2024" s="4"/>
      <c r="AD2024" s="5"/>
      <c r="AE2024" s="5"/>
      <c r="AF2024" s="5"/>
      <c r="AG2024" s="5"/>
      <c r="AH2024" s="5"/>
      <c r="AI2024" s="5"/>
      <c r="AJ2024" s="5"/>
      <c r="AK2024" s="5"/>
      <c r="AL2024" s="5"/>
    </row>
    <row r="2025">
      <c r="A2025" s="4" t="str">
        <f>VLOOKUP(L2025,payment_ids!C:D,2,FALSE)</f>
        <v>pay_HLQof6ClGy34Bm</v>
      </c>
      <c r="B2025" s="4"/>
      <c r="C2025" s="4" t="s">
        <v>5508</v>
      </c>
      <c r="D2025" s="4">
        <v>50023.0</v>
      </c>
      <c r="E2025" s="5"/>
      <c r="F2025" s="4">
        <v>3.0</v>
      </c>
      <c r="G2025" s="4">
        <v>199.0</v>
      </c>
      <c r="H2025" s="4"/>
      <c r="I2025" s="4">
        <v>199.0</v>
      </c>
      <c r="J2025" s="4" t="s">
        <v>5597</v>
      </c>
      <c r="K2025" s="5">
        <f>+918000436505</f>
        <v>918000436505</v>
      </c>
      <c r="L2025" s="4" t="str">
        <f t="shared" si="1"/>
        <v>gauravkalal10@gmail.com918000436505</v>
      </c>
      <c r="M2025" s="10" t="s">
        <v>67</v>
      </c>
      <c r="N2025" s="4" t="b">
        <v>0</v>
      </c>
      <c r="O2025" s="4" t="str">
        <f>VLOOKUP(A2025,payment_ids!D:E,2,FALSE)</f>
        <v>upi</v>
      </c>
      <c r="P2025" s="4" t="s">
        <v>69</v>
      </c>
      <c r="Q2025" s="11">
        <v>44475.93819444445</v>
      </c>
      <c r="R2025" s="4"/>
      <c r="S2025" s="12" t="s">
        <v>5510</v>
      </c>
      <c r="T2025" s="4" t="s">
        <v>2444</v>
      </c>
      <c r="U2025" s="4"/>
      <c r="V2025" s="11"/>
      <c r="W2025" s="5"/>
      <c r="X2025" s="11"/>
      <c r="Y2025" s="4"/>
      <c r="Z2025" s="5"/>
      <c r="AA2025" s="4"/>
      <c r="AB2025" s="4"/>
      <c r="AC2025" s="4"/>
      <c r="AD2025" s="5"/>
      <c r="AE2025" s="5"/>
      <c r="AF2025" s="5"/>
      <c r="AG2025" s="5"/>
      <c r="AH2025" s="5"/>
      <c r="AI2025" s="5"/>
      <c r="AJ2025" s="5"/>
      <c r="AK2025" s="5"/>
      <c r="AL2025" s="5"/>
    </row>
    <row r="2026">
      <c r="A2026" s="4" t="str">
        <f>VLOOKUP(L2026,payment_ids!C:D,2,FALSE)</f>
        <v>pay_HLRgMq1jr6srtX</v>
      </c>
      <c r="B2026" s="4"/>
      <c r="C2026" s="4" t="s">
        <v>5508</v>
      </c>
      <c r="D2026" s="4">
        <v>50023.0</v>
      </c>
      <c r="E2026" s="5"/>
      <c r="F2026" s="4">
        <v>1.0</v>
      </c>
      <c r="G2026" s="4">
        <v>99.0</v>
      </c>
      <c r="H2026" s="4"/>
      <c r="I2026" s="4">
        <v>99.0</v>
      </c>
      <c r="J2026" s="4" t="s">
        <v>5598</v>
      </c>
      <c r="K2026" s="5">
        <f>+919738212989</f>
        <v>919738212989</v>
      </c>
      <c r="L2026" s="4" t="str">
        <f t="shared" si="1"/>
        <v>manoharmd79@gmail.com919738212989</v>
      </c>
      <c r="M2026" s="10" t="s">
        <v>67</v>
      </c>
      <c r="N2026" s="4" t="b">
        <v>0</v>
      </c>
      <c r="O2026" s="4" t="str">
        <f>VLOOKUP(A2026,payment_ids!D:E,2,FALSE)</f>
        <v>upi</v>
      </c>
      <c r="P2026" s="4" t="s">
        <v>69</v>
      </c>
      <c r="Q2026" s="11">
        <v>44475.97361111111</v>
      </c>
      <c r="R2026" s="4"/>
      <c r="S2026" s="12" t="s">
        <v>5510</v>
      </c>
      <c r="T2026" s="4" t="s">
        <v>2444</v>
      </c>
      <c r="U2026" s="4"/>
      <c r="V2026" s="11"/>
      <c r="W2026" s="5"/>
      <c r="X2026" s="11"/>
      <c r="Y2026" s="4"/>
      <c r="Z2026" s="5"/>
      <c r="AA2026" s="4"/>
      <c r="AB2026" s="4"/>
      <c r="AC2026" s="4"/>
      <c r="AD2026" s="5"/>
      <c r="AE2026" s="5"/>
      <c r="AF2026" s="5"/>
      <c r="AG2026" s="5"/>
      <c r="AH2026" s="5"/>
      <c r="AI2026" s="5"/>
      <c r="AJ2026" s="5"/>
      <c r="AK2026" s="5"/>
      <c r="AL2026" s="5"/>
    </row>
    <row r="2027">
      <c r="A2027" s="4" t="str">
        <f>VLOOKUP(L2027,payment_ids!C:D,2,FALSE)</f>
        <v>pay_HLSQySHhXpV0fS</v>
      </c>
      <c r="B2027" s="4"/>
      <c r="C2027" s="4" t="s">
        <v>5508</v>
      </c>
      <c r="D2027" s="4">
        <v>50023.0</v>
      </c>
      <c r="E2027" s="5"/>
      <c r="F2027" s="4">
        <v>1.0</v>
      </c>
      <c r="G2027" s="4">
        <v>99.0</v>
      </c>
      <c r="H2027" s="4"/>
      <c r="I2027" s="4">
        <v>99.0</v>
      </c>
      <c r="J2027" s="4" t="s">
        <v>5599</v>
      </c>
      <c r="K2027" s="5">
        <f>+919896986611</f>
        <v>919896986611</v>
      </c>
      <c r="L2027" s="4" t="str">
        <f t="shared" si="1"/>
        <v>ankit.kaushal4@gmail.com919896986611</v>
      </c>
      <c r="M2027" s="10" t="s">
        <v>67</v>
      </c>
      <c r="N2027" s="4" t="b">
        <v>0</v>
      </c>
      <c r="O2027" s="4" t="str">
        <f>VLOOKUP(A2027,payment_ids!D:E,2,FALSE)</f>
        <v>upi</v>
      </c>
      <c r="P2027" s="4" t="s">
        <v>69</v>
      </c>
      <c r="Q2027" s="11">
        <v>44506.004166666666</v>
      </c>
      <c r="R2027" s="4"/>
      <c r="S2027" s="12" t="s">
        <v>5510</v>
      </c>
      <c r="T2027" s="4" t="s">
        <v>2444</v>
      </c>
      <c r="U2027" s="4"/>
      <c r="V2027" s="11"/>
      <c r="W2027" s="5"/>
      <c r="X2027" s="11"/>
      <c r="Y2027" s="4"/>
      <c r="Z2027" s="5"/>
      <c r="AA2027" s="4"/>
      <c r="AB2027" s="4"/>
      <c r="AC2027" s="4"/>
      <c r="AD2027" s="5"/>
      <c r="AE2027" s="5"/>
      <c r="AF2027" s="5"/>
      <c r="AG2027" s="5"/>
      <c r="AH2027" s="5"/>
      <c r="AI2027" s="5"/>
      <c r="AJ2027" s="5"/>
      <c r="AK2027" s="5"/>
      <c r="AL2027" s="5"/>
    </row>
    <row r="2028">
      <c r="A2028" s="4" t="str">
        <f>VLOOKUP(L2028,payment_ids!C:D,2,FALSE)</f>
        <v>pay_HLccrWu8Wl1yNL</v>
      </c>
      <c r="B2028" s="4"/>
      <c r="C2028" s="4" t="s">
        <v>5508</v>
      </c>
      <c r="D2028" s="4">
        <v>50023.0</v>
      </c>
      <c r="E2028" s="5"/>
      <c r="F2028" s="4">
        <v>1.0</v>
      </c>
      <c r="G2028" s="4">
        <v>99.0</v>
      </c>
      <c r="H2028" s="4"/>
      <c r="I2028" s="4">
        <v>99.0</v>
      </c>
      <c r="J2028" s="4" t="s">
        <v>5600</v>
      </c>
      <c r="K2028" s="5">
        <f>+918726424329</f>
        <v>918726424329</v>
      </c>
      <c r="L2028" s="4" t="str">
        <f t="shared" si="1"/>
        <v>saudurrahman4u@gmail.com918726424329</v>
      </c>
      <c r="M2028" s="10" t="s">
        <v>67</v>
      </c>
      <c r="N2028" s="4" t="b">
        <v>0</v>
      </c>
      <c r="O2028" s="4" t="str">
        <f>VLOOKUP(A2028,payment_ids!D:E,2,FALSE)</f>
        <v>upi</v>
      </c>
      <c r="P2028" s="4" t="s">
        <v>69</v>
      </c>
      <c r="Q2028" s="11">
        <v>44506.419444444444</v>
      </c>
      <c r="R2028" s="4"/>
      <c r="S2028" s="12" t="s">
        <v>5510</v>
      </c>
      <c r="T2028" s="4" t="s">
        <v>2444</v>
      </c>
      <c r="U2028" s="4"/>
      <c r="V2028" s="11"/>
      <c r="W2028" s="5"/>
      <c r="X2028" s="11"/>
      <c r="Y2028" s="4"/>
      <c r="Z2028" s="5"/>
      <c r="AA2028" s="5"/>
      <c r="AB2028" s="4"/>
      <c r="AC2028" s="4"/>
      <c r="AD2028" s="5"/>
      <c r="AE2028" s="5"/>
      <c r="AF2028" s="5"/>
      <c r="AG2028" s="5"/>
      <c r="AH2028" s="5"/>
      <c r="AI2028" s="5"/>
      <c r="AJ2028" s="5"/>
      <c r="AK2028" s="5"/>
      <c r="AL2028" s="5"/>
    </row>
    <row r="2029">
      <c r="A2029" s="4" t="str">
        <f>VLOOKUP(L2029,payment_ids!C:D,2,FALSE)</f>
        <v>pay_HLdTiC0Pg1PGtf</v>
      </c>
      <c r="B2029" s="4"/>
      <c r="C2029" s="4" t="s">
        <v>5508</v>
      </c>
      <c r="D2029" s="4">
        <v>50023.0</v>
      </c>
      <c r="E2029" s="5"/>
      <c r="F2029" s="4">
        <v>1.0</v>
      </c>
      <c r="G2029" s="4">
        <v>99.0</v>
      </c>
      <c r="H2029" s="4"/>
      <c r="I2029" s="4">
        <v>99.0</v>
      </c>
      <c r="J2029" s="4" t="s">
        <v>5601</v>
      </c>
      <c r="K2029" s="5">
        <f>+917999614131</f>
        <v>917999614131</v>
      </c>
      <c r="L2029" s="4" t="str">
        <f t="shared" si="1"/>
        <v>kuhusharma20@gmail.com917999614131</v>
      </c>
      <c r="M2029" s="10" t="s">
        <v>67</v>
      </c>
      <c r="N2029" s="4" t="b">
        <v>0</v>
      </c>
      <c r="O2029" s="4" t="str">
        <f>VLOOKUP(A2029,payment_ids!D:E,2,FALSE)</f>
        <v>wallet</v>
      </c>
      <c r="P2029" s="4" t="s">
        <v>69</v>
      </c>
      <c r="Q2029" s="11">
        <v>44506.45763888889</v>
      </c>
      <c r="R2029" s="4"/>
      <c r="S2029" s="12" t="s">
        <v>5584</v>
      </c>
      <c r="T2029" s="4" t="s">
        <v>2444</v>
      </c>
      <c r="U2029" s="4"/>
      <c r="V2029" s="11"/>
      <c r="W2029" s="5"/>
      <c r="X2029" s="11"/>
      <c r="Y2029" s="4"/>
      <c r="Z2029" s="5"/>
      <c r="AA2029" s="5"/>
      <c r="AB2029" s="4"/>
      <c r="AC2029" s="4"/>
      <c r="AD2029" s="5"/>
      <c r="AE2029" s="5"/>
      <c r="AF2029" s="5"/>
      <c r="AG2029" s="5"/>
      <c r="AH2029" s="5"/>
      <c r="AI2029" s="5"/>
      <c r="AJ2029" s="5"/>
      <c r="AK2029" s="5"/>
      <c r="AL2029" s="5"/>
    </row>
    <row r="2030">
      <c r="A2030" s="4" t="str">
        <f>VLOOKUP(L2030,payment_ids!C:D,2,FALSE)</f>
        <v>pay_HLg6KXUS7sbG3x</v>
      </c>
      <c r="B2030" s="4"/>
      <c r="C2030" s="4" t="s">
        <v>5508</v>
      </c>
      <c r="D2030" s="4">
        <v>50023.0</v>
      </c>
      <c r="E2030" s="5"/>
      <c r="F2030" s="4">
        <v>3.0</v>
      </c>
      <c r="G2030" s="4">
        <v>199.0</v>
      </c>
      <c r="H2030" s="4"/>
      <c r="I2030" s="4">
        <v>199.0</v>
      </c>
      <c r="J2030" s="4" t="s">
        <v>5602</v>
      </c>
      <c r="K2030" s="5">
        <f>+919030202140</f>
        <v>919030202140</v>
      </c>
      <c r="L2030" s="4" t="str">
        <f t="shared" si="1"/>
        <v>deepakjenda501@gmail.com919030202140</v>
      </c>
      <c r="M2030" s="10" t="s">
        <v>67</v>
      </c>
      <c r="N2030" s="4" t="b">
        <v>0</v>
      </c>
      <c r="O2030" s="4" t="str">
        <f>VLOOKUP(A2030,payment_ids!D:E,2,FALSE)</f>
        <v>upi</v>
      </c>
      <c r="P2030" s="4" t="s">
        <v>69</v>
      </c>
      <c r="Q2030" s="11">
        <v>44506.56180555555</v>
      </c>
      <c r="R2030" s="4"/>
      <c r="S2030" s="12" t="s">
        <v>5510</v>
      </c>
      <c r="T2030" s="4" t="s">
        <v>2444</v>
      </c>
      <c r="U2030" s="4"/>
      <c r="V2030" s="11"/>
      <c r="W2030" s="5"/>
      <c r="X2030" s="11"/>
      <c r="Y2030" s="4"/>
      <c r="Z2030" s="5"/>
      <c r="AA2030" s="4"/>
      <c r="AB2030" s="4"/>
      <c r="AC2030" s="4"/>
      <c r="AD2030" s="5"/>
      <c r="AE2030" s="5"/>
      <c r="AF2030" s="5"/>
      <c r="AG2030" s="5"/>
      <c r="AH2030" s="5"/>
      <c r="AI2030" s="5"/>
      <c r="AJ2030" s="5"/>
      <c r="AK2030" s="5"/>
      <c r="AL2030" s="5"/>
    </row>
    <row r="2031">
      <c r="A2031" s="4" t="str">
        <f>VLOOKUP(L2031,payment_ids!C:D,2,FALSE)</f>
        <v>pay_HLiul4sE9qv2WN</v>
      </c>
      <c r="B2031" s="4"/>
      <c r="C2031" s="4" t="s">
        <v>5508</v>
      </c>
      <c r="D2031" s="4">
        <v>50023.0</v>
      </c>
      <c r="E2031" s="5"/>
      <c r="F2031" s="4">
        <v>1.0</v>
      </c>
      <c r="G2031" s="4">
        <v>99.0</v>
      </c>
      <c r="H2031" s="4"/>
      <c r="I2031" s="4">
        <v>99.0</v>
      </c>
      <c r="J2031" s="4" t="s">
        <v>5603</v>
      </c>
      <c r="K2031" s="5">
        <f>+917987369143</f>
        <v>917987369143</v>
      </c>
      <c r="L2031" s="4" t="str">
        <f t="shared" si="1"/>
        <v>dograkritika99@gmail.com917987369143</v>
      </c>
      <c r="M2031" s="10" t="s">
        <v>67</v>
      </c>
      <c r="N2031" s="4" t="b">
        <v>0</v>
      </c>
      <c r="O2031" s="4" t="str">
        <f>VLOOKUP(A2031,payment_ids!D:E,2,FALSE)</f>
        <v>upi</v>
      </c>
      <c r="P2031" s="4" t="s">
        <v>69</v>
      </c>
      <c r="Q2031" s="11">
        <v>44506.67569444444</v>
      </c>
      <c r="R2031" s="4"/>
      <c r="S2031" s="12" t="s">
        <v>5510</v>
      </c>
      <c r="T2031" s="4" t="s">
        <v>2444</v>
      </c>
      <c r="U2031" s="4"/>
      <c r="V2031" s="11"/>
      <c r="W2031" s="5"/>
      <c r="X2031" s="11"/>
      <c r="Y2031" s="4"/>
      <c r="Z2031" s="5"/>
      <c r="AA2031" s="4"/>
      <c r="AB2031" s="4"/>
      <c r="AC2031" s="4"/>
      <c r="AD2031" s="4"/>
      <c r="AE2031" s="5"/>
      <c r="AF2031" s="5"/>
      <c r="AG2031" s="5"/>
      <c r="AH2031" s="5"/>
      <c r="AI2031" s="5"/>
      <c r="AJ2031" s="5"/>
      <c r="AK2031" s="5"/>
      <c r="AL2031" s="5"/>
    </row>
    <row r="2032">
      <c r="A2032" s="4" t="str">
        <f>VLOOKUP(L2032,payment_ids!C:D,2,FALSE)</f>
        <v>pay_H9X9ohSWFlOcKS</v>
      </c>
      <c r="B2032" s="4"/>
      <c r="C2032" s="4" t="s">
        <v>5508</v>
      </c>
      <c r="D2032" s="4">
        <v>50023.0</v>
      </c>
      <c r="E2032" s="5"/>
      <c r="F2032" s="4">
        <v>1.0</v>
      </c>
      <c r="G2032" s="4">
        <v>99.0</v>
      </c>
      <c r="H2032" s="4"/>
      <c r="I2032" s="4">
        <v>99.0</v>
      </c>
      <c r="J2032" s="4" t="s">
        <v>5056</v>
      </c>
      <c r="K2032" s="5">
        <f>+919872897180</f>
        <v>919872897180</v>
      </c>
      <c r="L2032" s="4" t="str">
        <f t="shared" si="1"/>
        <v>nishj456@gmail.com919872897180</v>
      </c>
      <c r="M2032" s="10" t="s">
        <v>67</v>
      </c>
      <c r="N2032" s="4" t="b">
        <v>0</v>
      </c>
      <c r="O2032" s="4" t="str">
        <f>VLOOKUP(A2032,payment_ids!D:E,2,FALSE)</f>
        <v>card</v>
      </c>
      <c r="P2032" s="4" t="s">
        <v>69</v>
      </c>
      <c r="Q2032" s="11">
        <v>44506.677777777775</v>
      </c>
      <c r="R2032" s="4"/>
      <c r="S2032" s="12" t="s">
        <v>5510</v>
      </c>
      <c r="T2032" s="4" t="s">
        <v>2444</v>
      </c>
      <c r="U2032" s="4"/>
      <c r="V2032" s="11"/>
      <c r="W2032" s="5"/>
      <c r="X2032" s="11"/>
      <c r="Y2032" s="4"/>
      <c r="Z2032" s="5"/>
      <c r="AA2032" s="5"/>
      <c r="AB2032" s="4"/>
      <c r="AC2032" s="4"/>
      <c r="AD2032" s="4"/>
      <c r="AE2032" s="5"/>
      <c r="AF2032" s="5"/>
      <c r="AG2032" s="5"/>
      <c r="AH2032" s="5"/>
      <c r="AI2032" s="5"/>
      <c r="AJ2032" s="5"/>
      <c r="AK2032" s="5"/>
      <c r="AL2032" s="5"/>
    </row>
    <row r="2033">
      <c r="A2033" s="4" t="str">
        <f>VLOOKUP(L2033,payment_ids!C:D,2,FALSE)</f>
        <v>pay_HLktW1y0S9z3Eg</v>
      </c>
      <c r="B2033" s="4"/>
      <c r="C2033" s="4" t="s">
        <v>5508</v>
      </c>
      <c r="D2033" s="4">
        <v>50023.0</v>
      </c>
      <c r="E2033" s="5"/>
      <c r="F2033" s="4">
        <v>1.0</v>
      </c>
      <c r="G2033" s="4">
        <v>99.0</v>
      </c>
      <c r="H2033" s="4"/>
      <c r="I2033" s="4">
        <v>99.0</v>
      </c>
      <c r="J2033" s="4" t="s">
        <v>5604</v>
      </c>
      <c r="K2033" s="5">
        <f>+916260341849</f>
        <v>916260341849</v>
      </c>
      <c r="L2033" s="4" t="str">
        <f t="shared" si="1"/>
        <v>chhayapandeydigital@gmail.com916260341849</v>
      </c>
      <c r="M2033" s="10" t="s">
        <v>67</v>
      </c>
      <c r="N2033" s="4" t="b">
        <v>0</v>
      </c>
      <c r="O2033" s="4" t="str">
        <f>VLOOKUP(A2033,payment_ids!D:E,2,FALSE)</f>
        <v>card</v>
      </c>
      <c r="P2033" s="4" t="s">
        <v>69</v>
      </c>
      <c r="Q2033" s="11">
        <v>44506.75625</v>
      </c>
      <c r="R2033" s="4"/>
      <c r="S2033" s="12" t="s">
        <v>5510</v>
      </c>
      <c r="T2033" s="4" t="s">
        <v>2444</v>
      </c>
      <c r="U2033" s="4"/>
      <c r="V2033" s="11"/>
      <c r="W2033" s="5"/>
      <c r="X2033" s="11"/>
      <c r="Y2033" s="4"/>
      <c r="Z2033" s="5"/>
      <c r="AA2033" s="5"/>
      <c r="AB2033" s="4"/>
      <c r="AC2033" s="4"/>
      <c r="AD2033" s="4"/>
      <c r="AE2033" s="5"/>
      <c r="AF2033" s="5"/>
      <c r="AG2033" s="5"/>
      <c r="AH2033" s="5"/>
      <c r="AI2033" s="5"/>
      <c r="AJ2033" s="5"/>
      <c r="AK2033" s="5"/>
      <c r="AL2033" s="5"/>
    </row>
    <row r="2034">
      <c r="A2034" s="4" t="str">
        <f>VLOOKUP(L2034,payment_ids!C:D,2,FALSE)</f>
        <v>pay_HLljjT7l2Mmg3V</v>
      </c>
      <c r="B2034" s="4"/>
      <c r="C2034" s="4" t="s">
        <v>5508</v>
      </c>
      <c r="D2034" s="4">
        <v>50023.0</v>
      </c>
      <c r="E2034" s="5"/>
      <c r="F2034" s="4">
        <v>1.0</v>
      </c>
      <c r="G2034" s="4">
        <v>99.0</v>
      </c>
      <c r="H2034" s="4"/>
      <c r="I2034" s="4">
        <v>99.0</v>
      </c>
      <c r="J2034" s="4" t="s">
        <v>5605</v>
      </c>
      <c r="K2034" s="5">
        <f>+917889752242</f>
        <v>917889752242</v>
      </c>
      <c r="L2034" s="4" t="str">
        <f t="shared" si="1"/>
        <v>mubashirshafizargar444@gmail.com917889752242</v>
      </c>
      <c r="M2034" s="10" t="s">
        <v>67</v>
      </c>
      <c r="N2034" s="4" t="b">
        <v>0</v>
      </c>
      <c r="O2034" s="4" t="str">
        <f>VLOOKUP(A2034,payment_ids!D:E,2,FALSE)</f>
        <v>card</v>
      </c>
      <c r="P2034" s="4" t="s">
        <v>69</v>
      </c>
      <c r="Q2034" s="11">
        <v>44506.790972222225</v>
      </c>
      <c r="R2034" s="4"/>
      <c r="S2034" s="12" t="s">
        <v>5510</v>
      </c>
      <c r="T2034" s="4" t="s">
        <v>2444</v>
      </c>
      <c r="U2034" s="4"/>
      <c r="V2034" s="11"/>
      <c r="W2034" s="5"/>
      <c r="X2034" s="11"/>
      <c r="Y2034" s="4"/>
      <c r="Z2034" s="5"/>
      <c r="AA2034" s="4"/>
      <c r="AB2034" s="4"/>
      <c r="AC2034" s="4"/>
      <c r="AD2034" s="4"/>
      <c r="AE2034" s="5"/>
      <c r="AF2034" s="5"/>
      <c r="AG2034" s="5"/>
      <c r="AH2034" s="5"/>
      <c r="AI2034" s="5"/>
      <c r="AJ2034" s="5"/>
      <c r="AK2034" s="5"/>
      <c r="AL2034" s="5"/>
    </row>
    <row r="2035">
      <c r="A2035" s="4" t="str">
        <f>VLOOKUP(L2035,payment_ids!C:D,2,FALSE)</f>
        <v>pay_HLo7or2wq03sul</v>
      </c>
      <c r="B2035" s="4"/>
      <c r="C2035" s="4" t="s">
        <v>5508</v>
      </c>
      <c r="D2035" s="4">
        <v>50023.0</v>
      </c>
      <c r="E2035" s="5"/>
      <c r="F2035" s="4">
        <v>1.0</v>
      </c>
      <c r="G2035" s="4">
        <v>99.0</v>
      </c>
      <c r="H2035" s="4"/>
      <c r="I2035" s="4">
        <v>99.0</v>
      </c>
      <c r="J2035" s="4" t="s">
        <v>5606</v>
      </c>
      <c r="K2035" s="5">
        <f>+918096838739</f>
        <v>918096838739</v>
      </c>
      <c r="L2035" s="4" t="str">
        <f t="shared" si="1"/>
        <v>raghavajagannatham9@gmail.com918096838739</v>
      </c>
      <c r="M2035" s="10" t="s">
        <v>67</v>
      </c>
      <c r="N2035" s="4" t="b">
        <v>0</v>
      </c>
      <c r="O2035" s="4" t="str">
        <f>VLOOKUP(A2035,payment_ids!D:E,2,FALSE)</f>
        <v>upi</v>
      </c>
      <c r="P2035" s="4" t="s">
        <v>69</v>
      </c>
      <c r="Q2035" s="11">
        <v>44506.888194444444</v>
      </c>
      <c r="R2035" s="4"/>
      <c r="S2035" s="12" t="s">
        <v>5510</v>
      </c>
      <c r="T2035" s="4" t="s">
        <v>2444</v>
      </c>
      <c r="U2035" s="4"/>
      <c r="V2035" s="11"/>
      <c r="W2035" s="5"/>
      <c r="X2035" s="11"/>
      <c r="Y2035" s="4"/>
      <c r="Z2035" s="5"/>
      <c r="AA2035" s="5"/>
      <c r="AB2035" s="4"/>
      <c r="AC2035" s="4"/>
      <c r="AD2035" s="4"/>
      <c r="AE2035" s="5"/>
      <c r="AF2035" s="5"/>
      <c r="AG2035" s="5"/>
      <c r="AH2035" s="5"/>
      <c r="AI2035" s="5"/>
      <c r="AJ2035" s="5"/>
      <c r="AK2035" s="5"/>
      <c r="AL2035" s="5"/>
    </row>
    <row r="2036">
      <c r="A2036" s="4" t="str">
        <f>VLOOKUP(L2036,payment_ids!C:D,2,FALSE)</f>
        <v>pay_HLprwQoqrG9kNs</v>
      </c>
      <c r="B2036" s="4"/>
      <c r="C2036" s="4" t="s">
        <v>5508</v>
      </c>
      <c r="D2036" s="4">
        <v>50023.0</v>
      </c>
      <c r="E2036" s="5"/>
      <c r="F2036" s="4">
        <v>1.0</v>
      </c>
      <c r="G2036" s="4">
        <v>99.0</v>
      </c>
      <c r="H2036" s="4"/>
      <c r="I2036" s="4">
        <v>99.0</v>
      </c>
      <c r="J2036" s="4" t="s">
        <v>5607</v>
      </c>
      <c r="K2036" s="5">
        <f>+916261182699</f>
        <v>916261182699</v>
      </c>
      <c r="L2036" s="4" t="str">
        <f t="shared" si="1"/>
        <v>devendrav231@gmail.com916261182699</v>
      </c>
      <c r="M2036" s="10" t="s">
        <v>67</v>
      </c>
      <c r="N2036" s="4" t="b">
        <v>0</v>
      </c>
      <c r="O2036" s="4" t="str">
        <f>VLOOKUP(A2036,payment_ids!D:E,2,FALSE)</f>
        <v>upi</v>
      </c>
      <c r="P2036" s="4" t="s">
        <v>69</v>
      </c>
      <c r="Q2036" s="11">
        <v>44506.95972222222</v>
      </c>
      <c r="R2036" s="4"/>
      <c r="S2036" s="12" t="s">
        <v>5510</v>
      </c>
      <c r="T2036" s="4" t="s">
        <v>2444</v>
      </c>
      <c r="U2036" s="4"/>
      <c r="V2036" s="11"/>
      <c r="W2036" s="5"/>
      <c r="X2036" s="11"/>
      <c r="Y2036" s="4"/>
      <c r="Z2036" s="5"/>
      <c r="AA2036" s="5"/>
      <c r="AB2036" s="4"/>
      <c r="AC2036" s="4"/>
      <c r="AD2036" s="4"/>
      <c r="AE2036" s="5"/>
      <c r="AF2036" s="5"/>
      <c r="AG2036" s="5"/>
      <c r="AH2036" s="5"/>
      <c r="AI2036" s="5"/>
      <c r="AJ2036" s="5"/>
      <c r="AK2036" s="5"/>
      <c r="AL2036" s="5"/>
    </row>
    <row r="2037">
      <c r="A2037" s="4" t="str">
        <f>VLOOKUP(L2037,payment_ids!C:D,2,FALSE)</f>
        <v>pay_HLrkqfPcaDYhdq</v>
      </c>
      <c r="B2037" s="4"/>
      <c r="C2037" s="4" t="s">
        <v>5508</v>
      </c>
      <c r="D2037" s="4">
        <v>50023.0</v>
      </c>
      <c r="E2037" s="5"/>
      <c r="F2037" s="4">
        <v>3.0</v>
      </c>
      <c r="G2037" s="4">
        <v>199.0</v>
      </c>
      <c r="H2037" s="4"/>
      <c r="I2037" s="4">
        <v>199.0</v>
      </c>
      <c r="J2037" s="4" t="s">
        <v>5608</v>
      </c>
      <c r="K2037" s="5">
        <f>+918789837244</f>
        <v>918789837244</v>
      </c>
      <c r="L2037" s="4" t="str">
        <f t="shared" si="1"/>
        <v>sahaaditya296@gmail.com918789837244</v>
      </c>
      <c r="M2037" s="10" t="s">
        <v>67</v>
      </c>
      <c r="N2037" s="4" t="b">
        <v>0</v>
      </c>
      <c r="O2037" s="4" t="str">
        <f>VLOOKUP(A2037,payment_ids!D:E,2,FALSE)</f>
        <v>upi</v>
      </c>
      <c r="P2037" s="4" t="s">
        <v>69</v>
      </c>
      <c r="Q2037" s="11">
        <v>44536.03611111111</v>
      </c>
      <c r="R2037" s="4"/>
      <c r="S2037" s="12" t="s">
        <v>5510</v>
      </c>
      <c r="T2037" s="4" t="s">
        <v>2444</v>
      </c>
      <c r="U2037" s="4"/>
      <c r="V2037" s="11"/>
      <c r="W2037" s="5"/>
      <c r="X2037" s="11"/>
      <c r="Y2037" s="4"/>
      <c r="Z2037" s="5"/>
      <c r="AA2037" s="5"/>
      <c r="AB2037" s="4"/>
      <c r="AC2037" s="4"/>
      <c r="AD2037" s="4"/>
      <c r="AE2037" s="5"/>
      <c r="AF2037" s="5"/>
      <c r="AG2037" s="5"/>
      <c r="AH2037" s="5"/>
      <c r="AI2037" s="5"/>
      <c r="AJ2037" s="5"/>
      <c r="AK2037" s="5"/>
      <c r="AL2037" s="5"/>
    </row>
    <row r="2038">
      <c r="A2038" s="4" t="str">
        <f>VLOOKUP(L2038,payment_ids!C:D,2,FALSE)</f>
        <v>pay_HM5IliEPatNQZc</v>
      </c>
      <c r="B2038" s="4"/>
      <c r="C2038" s="4" t="s">
        <v>5508</v>
      </c>
      <c r="D2038" s="4">
        <v>50023.0</v>
      </c>
      <c r="E2038" s="5"/>
      <c r="F2038" s="4">
        <v>1.0</v>
      </c>
      <c r="G2038" s="4">
        <v>99.0</v>
      </c>
      <c r="H2038" s="4"/>
      <c r="I2038" s="4">
        <v>99.0</v>
      </c>
      <c r="J2038" s="4" t="s">
        <v>5609</v>
      </c>
      <c r="K2038" s="5">
        <f>+919337562517</f>
        <v>919337562517</v>
      </c>
      <c r="L2038" s="4" t="str">
        <f t="shared" si="1"/>
        <v>cc640050@gmail.com919337562517</v>
      </c>
      <c r="M2038" s="10" t="s">
        <v>67</v>
      </c>
      <c r="N2038" s="4" t="b">
        <v>0</v>
      </c>
      <c r="O2038" s="4" t="str">
        <f>VLOOKUP(A2038,payment_ids!D:E,2,FALSE)</f>
        <v>upi</v>
      </c>
      <c r="P2038" s="4" t="s">
        <v>69</v>
      </c>
      <c r="Q2038" s="11">
        <v>44536.59097222222</v>
      </c>
      <c r="R2038" s="4"/>
      <c r="S2038" s="12" t="s">
        <v>5510</v>
      </c>
      <c r="T2038" s="4" t="s">
        <v>2444</v>
      </c>
      <c r="U2038" s="4"/>
      <c r="V2038" s="11"/>
      <c r="W2038" s="5"/>
      <c r="X2038" s="11"/>
      <c r="Y2038" s="4"/>
      <c r="Z2038" s="5"/>
      <c r="AA2038" s="4"/>
      <c r="AB2038" s="4"/>
      <c r="AC2038" s="4"/>
      <c r="AD2038" s="4"/>
      <c r="AE2038" s="5"/>
      <c r="AF2038" s="5"/>
      <c r="AG2038" s="5"/>
      <c r="AH2038" s="5"/>
      <c r="AI2038" s="5"/>
      <c r="AJ2038" s="5"/>
      <c r="AK2038" s="5"/>
      <c r="AL2038" s="5"/>
    </row>
    <row r="2039">
      <c r="A2039" s="4" t="str">
        <f>VLOOKUP(L2039,payment_ids!C:D,2,FALSE)</f>
        <v>pay_HMBvRlmCDTNmQH</v>
      </c>
      <c r="B2039" s="4"/>
      <c r="C2039" s="4" t="s">
        <v>5508</v>
      </c>
      <c r="D2039" s="4">
        <v>50023.0</v>
      </c>
      <c r="E2039" s="5"/>
      <c r="F2039" s="4">
        <v>1.0</v>
      </c>
      <c r="G2039" s="4">
        <v>99.0</v>
      </c>
      <c r="H2039" s="4"/>
      <c r="I2039" s="4">
        <v>99.0</v>
      </c>
      <c r="J2039" s="4" t="s">
        <v>5610</v>
      </c>
      <c r="K2039" s="5">
        <f>+917744870296</f>
        <v>917744870296</v>
      </c>
      <c r="L2039" s="4" t="str">
        <f t="shared" si="1"/>
        <v>dhanashreeramteke814@gmail.com917744870296</v>
      </c>
      <c r="M2039" s="10" t="s">
        <v>67</v>
      </c>
      <c r="N2039" s="4" t="b">
        <v>0</v>
      </c>
      <c r="O2039" s="4" t="str">
        <f>VLOOKUP(A2039,payment_ids!D:E,2,FALSE)</f>
        <v>wallet</v>
      </c>
      <c r="P2039" s="4" t="s">
        <v>69</v>
      </c>
      <c r="Q2039" s="11">
        <v>44536.85902777778</v>
      </c>
      <c r="R2039" s="4"/>
      <c r="S2039" s="12" t="s">
        <v>5510</v>
      </c>
      <c r="T2039" s="4" t="s">
        <v>2444</v>
      </c>
      <c r="U2039" s="4"/>
      <c r="V2039" s="11"/>
      <c r="W2039" s="5"/>
      <c r="X2039" s="11"/>
      <c r="Y2039" s="4"/>
      <c r="Z2039" s="5"/>
      <c r="AA2039" s="4"/>
      <c r="AB2039" s="4"/>
      <c r="AC2039" s="4"/>
      <c r="AD2039" s="4"/>
      <c r="AE2039" s="5"/>
      <c r="AF2039" s="5"/>
      <c r="AG2039" s="5"/>
      <c r="AH2039" s="5"/>
      <c r="AI2039" s="5"/>
      <c r="AJ2039" s="5"/>
      <c r="AK2039" s="5"/>
      <c r="AL2039" s="5"/>
    </row>
    <row r="2040">
      <c r="A2040" s="4" t="str">
        <f>VLOOKUP(L2040,payment_ids!C:D,2,FALSE)</f>
        <v>pay_HMCKijKEGrkNi2</v>
      </c>
      <c r="B2040" s="4"/>
      <c r="C2040" s="4" t="s">
        <v>5508</v>
      </c>
      <c r="D2040" s="4">
        <v>50023.0</v>
      </c>
      <c r="E2040" s="5"/>
      <c r="F2040" s="4">
        <v>1.0</v>
      </c>
      <c r="G2040" s="4">
        <v>99.0</v>
      </c>
      <c r="H2040" s="4"/>
      <c r="I2040" s="4">
        <v>99.0</v>
      </c>
      <c r="J2040" s="4" t="s">
        <v>5611</v>
      </c>
      <c r="K2040" s="5">
        <f>+919699764241</f>
        <v>919699764241</v>
      </c>
      <c r="L2040" s="4" t="str">
        <f t="shared" si="1"/>
        <v>poojashinde2353@gmail.com919699764241</v>
      </c>
      <c r="M2040" s="10" t="s">
        <v>67</v>
      </c>
      <c r="N2040" s="4" t="b">
        <v>0</v>
      </c>
      <c r="O2040" s="4" t="str">
        <f>VLOOKUP(A2040,payment_ids!D:E,2,FALSE)</f>
        <v>wallet</v>
      </c>
      <c r="P2040" s="4" t="s">
        <v>69</v>
      </c>
      <c r="Q2040" s="11">
        <v>44536.90347222222</v>
      </c>
      <c r="R2040" s="4"/>
      <c r="S2040" s="12" t="s">
        <v>5584</v>
      </c>
      <c r="T2040" s="4" t="s">
        <v>2444</v>
      </c>
      <c r="U2040" s="4"/>
      <c r="V2040" s="11"/>
      <c r="W2040" s="5"/>
      <c r="X2040" s="11"/>
      <c r="Y2040" s="4"/>
      <c r="Z2040" s="5"/>
      <c r="AA2040" s="5"/>
      <c r="AB2040" s="4"/>
      <c r="AC2040" s="4"/>
      <c r="AD2040" s="4"/>
      <c r="AE2040" s="5"/>
      <c r="AF2040" s="5"/>
      <c r="AG2040" s="5"/>
      <c r="AH2040" s="5"/>
      <c r="AI2040" s="5"/>
      <c r="AJ2040" s="5"/>
      <c r="AK2040" s="5"/>
      <c r="AL2040" s="5"/>
    </row>
    <row r="2041">
      <c r="A2041" s="4" t="str">
        <f>VLOOKUP(L2041,payment_ids!C:D,2,FALSE)</f>
        <v>pay_HMHhSFaWncGHnh</v>
      </c>
      <c r="B2041" s="4"/>
      <c r="C2041" s="4" t="s">
        <v>5508</v>
      </c>
      <c r="D2041" s="4">
        <v>50023.0</v>
      </c>
      <c r="E2041" s="5"/>
      <c r="F2041" s="4">
        <v>1.0</v>
      </c>
      <c r="G2041" s="4">
        <v>99.0</v>
      </c>
      <c r="H2041" s="4"/>
      <c r="I2041" s="4">
        <v>99.0</v>
      </c>
      <c r="J2041" s="4" t="s">
        <v>5612</v>
      </c>
      <c r="K2041" s="5">
        <f>+919723627628</f>
        <v>919723627628</v>
      </c>
      <c r="L2041" s="4" t="str">
        <f t="shared" si="1"/>
        <v>bhaviknarigara12@gmail.com919723627628</v>
      </c>
      <c r="M2041" s="10" t="s">
        <v>67</v>
      </c>
      <c r="N2041" s="4" t="b">
        <v>0</v>
      </c>
      <c r="O2041" s="4" t="str">
        <f>VLOOKUP(A2041,payment_ids!D:E,2,FALSE)</f>
        <v>upi</v>
      </c>
      <c r="P2041" s="4" t="s">
        <v>69</v>
      </c>
      <c r="Q2041" s="4" t="s">
        <v>5613</v>
      </c>
      <c r="R2041" s="4"/>
      <c r="S2041" s="12" t="s">
        <v>5510</v>
      </c>
      <c r="T2041" s="4" t="s">
        <v>2444</v>
      </c>
      <c r="U2041" s="4"/>
      <c r="V2041" s="11"/>
      <c r="W2041" s="5"/>
      <c r="X2041" s="11"/>
      <c r="Y2041" s="4"/>
      <c r="Z2041" s="5"/>
      <c r="AA2041" s="4"/>
      <c r="AB2041" s="4"/>
      <c r="AC2041" s="4"/>
      <c r="AD2041" s="4"/>
      <c r="AE2041" s="5"/>
      <c r="AF2041" s="5"/>
      <c r="AG2041" s="5"/>
      <c r="AH2041" s="5"/>
      <c r="AI2041" s="5"/>
      <c r="AJ2041" s="5"/>
      <c r="AK2041" s="5"/>
      <c r="AL2041" s="5"/>
    </row>
    <row r="2042">
      <c r="A2042" s="4" t="str">
        <f>VLOOKUP(L2042,payment_ids!C:D,2,FALSE)</f>
        <v>pay_HMTTEjIhQwh8Kq</v>
      </c>
      <c r="B2042" s="4"/>
      <c r="C2042" s="4" t="s">
        <v>5508</v>
      </c>
      <c r="D2042" s="4">
        <v>50023.0</v>
      </c>
      <c r="E2042" s="5"/>
      <c r="F2042" s="4">
        <v>1.0</v>
      </c>
      <c r="G2042" s="4">
        <v>99.0</v>
      </c>
      <c r="H2042" s="4"/>
      <c r="I2042" s="4">
        <v>99.0</v>
      </c>
      <c r="J2042" s="4" t="s">
        <v>5614</v>
      </c>
      <c r="K2042" s="5">
        <f>+919011744354</f>
        <v>919011744354</v>
      </c>
      <c r="L2042" s="4" t="str">
        <f t="shared" si="1"/>
        <v>riyakate1503@gmail.com919011744354</v>
      </c>
      <c r="M2042" s="10" t="s">
        <v>67</v>
      </c>
      <c r="N2042" s="4" t="b">
        <v>0</v>
      </c>
      <c r="O2042" s="4" t="str">
        <f>VLOOKUP(A2042,payment_ids!D:E,2,FALSE)</f>
        <v>upi</v>
      </c>
      <c r="P2042" s="4" t="s">
        <v>69</v>
      </c>
      <c r="Q2042" s="4" t="s">
        <v>5615</v>
      </c>
      <c r="R2042" s="4"/>
      <c r="S2042" s="12" t="s">
        <v>5510</v>
      </c>
      <c r="T2042" s="4" t="s">
        <v>2444</v>
      </c>
      <c r="U2042" s="4"/>
      <c r="V2042" s="11"/>
      <c r="W2042" s="5"/>
      <c r="X2042" s="11"/>
      <c r="Y2042" s="4"/>
      <c r="Z2042" s="5"/>
      <c r="AA2042" s="4"/>
      <c r="AB2042" s="4"/>
      <c r="AC2042" s="4"/>
      <c r="AD2042" s="4"/>
      <c r="AE2042" s="5"/>
      <c r="AF2042" s="5"/>
      <c r="AG2042" s="5"/>
      <c r="AH2042" s="5"/>
      <c r="AI2042" s="5"/>
      <c r="AJ2042" s="5"/>
      <c r="AK2042" s="5"/>
      <c r="AL2042" s="5"/>
    </row>
    <row r="2043">
      <c r="A2043" s="4" t="str">
        <f>VLOOKUP(L2043,payment_ids!C:D,2,FALSE)</f>
        <v>pay_HMa0ZDCkE6aE77</v>
      </c>
      <c r="B2043" s="4"/>
      <c r="C2043" s="4" t="s">
        <v>5508</v>
      </c>
      <c r="D2043" s="4">
        <v>50023.0</v>
      </c>
      <c r="E2043" s="5"/>
      <c r="F2043" s="4">
        <v>1.0</v>
      </c>
      <c r="G2043" s="4">
        <v>99.0</v>
      </c>
      <c r="H2043" s="4"/>
      <c r="I2043" s="4">
        <v>99.0</v>
      </c>
      <c r="J2043" s="4" t="s">
        <v>5616</v>
      </c>
      <c r="K2043" s="5">
        <f>+917643978998</f>
        <v>917643978998</v>
      </c>
      <c r="L2043" s="4" t="str">
        <f t="shared" si="1"/>
        <v>anishkum915571@gmail.com917643978998</v>
      </c>
      <c r="M2043" s="10" t="s">
        <v>67</v>
      </c>
      <c r="N2043" s="4" t="b">
        <v>0</v>
      </c>
      <c r="O2043" s="4" t="str">
        <f>VLOOKUP(A2043,payment_ids!D:E,2,FALSE)</f>
        <v>upi</v>
      </c>
      <c r="P2043" s="4" t="s">
        <v>69</v>
      </c>
      <c r="Q2043" s="4" t="s">
        <v>5617</v>
      </c>
      <c r="R2043" s="4"/>
      <c r="S2043" s="12" t="s">
        <v>5510</v>
      </c>
      <c r="T2043" s="4" t="s">
        <v>2444</v>
      </c>
      <c r="U2043" s="4"/>
      <c r="V2043" s="11"/>
      <c r="W2043" s="5"/>
      <c r="X2043" s="11"/>
      <c r="Y2043" s="4"/>
      <c r="Z2043" s="5"/>
      <c r="AA2043" s="4"/>
      <c r="AB2043" s="4"/>
      <c r="AC2043" s="4"/>
      <c r="AD2043" s="4"/>
      <c r="AE2043" s="5"/>
      <c r="AF2043" s="5"/>
      <c r="AG2043" s="5"/>
      <c r="AH2043" s="5"/>
      <c r="AI2043" s="5"/>
      <c r="AJ2043" s="5"/>
      <c r="AK2043" s="5"/>
      <c r="AL2043" s="5"/>
    </row>
    <row r="2044">
      <c r="A2044" s="4" t="str">
        <f>VLOOKUP(L2044,payment_ids!C:D,2,FALSE)</f>
        <v>pay_HMapHTYpTYuPlg</v>
      </c>
      <c r="B2044" s="4"/>
      <c r="C2044" s="4" t="s">
        <v>5508</v>
      </c>
      <c r="D2044" s="4">
        <v>50023.0</v>
      </c>
      <c r="E2044" s="5"/>
      <c r="F2044" s="4">
        <v>1.0</v>
      </c>
      <c r="G2044" s="4">
        <v>99.0</v>
      </c>
      <c r="H2044" s="4"/>
      <c r="I2044" s="4">
        <v>99.0</v>
      </c>
      <c r="J2044" s="4" t="s">
        <v>5618</v>
      </c>
      <c r="K2044" s="5">
        <f>+918866868669</f>
        <v>918866868669</v>
      </c>
      <c r="L2044" s="4" t="str">
        <f t="shared" si="1"/>
        <v>panchalsgroup@gmail.com918866868669</v>
      </c>
      <c r="M2044" s="10" t="s">
        <v>67</v>
      </c>
      <c r="N2044" s="4" t="b">
        <v>0</v>
      </c>
      <c r="O2044" s="4" t="str">
        <f>VLOOKUP(A2044,payment_ids!D:E,2,FALSE)</f>
        <v>upi</v>
      </c>
      <c r="P2044" s="4" t="s">
        <v>69</v>
      </c>
      <c r="Q2044" s="4" t="s">
        <v>5619</v>
      </c>
      <c r="R2044" s="4"/>
      <c r="S2044" s="12" t="s">
        <v>5510</v>
      </c>
      <c r="T2044" s="4" t="s">
        <v>2444</v>
      </c>
      <c r="U2044" s="4"/>
      <c r="V2044" s="11"/>
      <c r="W2044" s="5"/>
      <c r="X2044" s="11"/>
      <c r="Y2044" s="4"/>
      <c r="Z2044" s="5"/>
      <c r="AA2044" s="4"/>
      <c r="AB2044" s="4"/>
      <c r="AC2044" s="4"/>
      <c r="AD2044" s="4"/>
      <c r="AE2044" s="5"/>
      <c r="AF2044" s="5"/>
      <c r="AG2044" s="5"/>
      <c r="AH2044" s="5"/>
      <c r="AI2044" s="5"/>
      <c r="AJ2044" s="5"/>
      <c r="AK2044" s="5"/>
      <c r="AL2044" s="5"/>
    </row>
    <row r="2045">
      <c r="A2045" s="4" t="str">
        <f>VLOOKUP(L2045,payment_ids!C:D,2,FALSE)</f>
        <v>pay_HMcmV7I5ZqIRXL</v>
      </c>
      <c r="B2045" s="4"/>
      <c r="C2045" s="4" t="s">
        <v>5508</v>
      </c>
      <c r="D2045" s="4">
        <v>50023.0</v>
      </c>
      <c r="E2045" s="5"/>
      <c r="F2045" s="4">
        <v>1.0</v>
      </c>
      <c r="G2045" s="4">
        <v>99.0</v>
      </c>
      <c r="H2045" s="4"/>
      <c r="I2045" s="4">
        <v>99.0</v>
      </c>
      <c r="J2045" s="4" t="s">
        <v>5620</v>
      </c>
      <c r="K2045" s="5">
        <f>+918819015555</f>
        <v>918819015555</v>
      </c>
      <c r="L2045" s="4" t="str">
        <f t="shared" si="1"/>
        <v>babu.jaiswal99@gmail.com918819015555</v>
      </c>
      <c r="M2045" s="10" t="s">
        <v>67</v>
      </c>
      <c r="N2045" s="4" t="b">
        <v>0</v>
      </c>
      <c r="O2045" s="4" t="str">
        <f>VLOOKUP(A2045,payment_ids!D:E,2,FALSE)</f>
        <v>upi</v>
      </c>
      <c r="P2045" s="4" t="s">
        <v>69</v>
      </c>
      <c r="Q2045" s="4" t="s">
        <v>5621</v>
      </c>
      <c r="R2045" s="4"/>
      <c r="S2045" s="12" t="s">
        <v>5510</v>
      </c>
      <c r="T2045" s="4" t="s">
        <v>2444</v>
      </c>
      <c r="U2045" s="4"/>
      <c r="V2045" s="11"/>
      <c r="W2045" s="5"/>
      <c r="X2045" s="11"/>
      <c r="Y2045" s="4"/>
      <c r="Z2045" s="5"/>
      <c r="AA2045" s="5"/>
      <c r="AB2045" s="4"/>
      <c r="AC2045" s="4"/>
      <c r="AD2045" s="4"/>
      <c r="AE2045" s="5"/>
      <c r="AF2045" s="5"/>
      <c r="AG2045" s="5"/>
      <c r="AH2045" s="5"/>
      <c r="AI2045" s="5"/>
      <c r="AJ2045" s="5"/>
      <c r="AK2045" s="5"/>
      <c r="AL2045" s="5"/>
    </row>
    <row r="2046">
      <c r="A2046" s="4" t="str">
        <f>VLOOKUP(L2046,payment_ids!C:D,2,FALSE)</f>
        <v>pay_HMhbuT9XuK5R23</v>
      </c>
      <c r="B2046" s="4"/>
      <c r="C2046" s="4" t="s">
        <v>5508</v>
      </c>
      <c r="D2046" s="4">
        <v>50023.0</v>
      </c>
      <c r="E2046" s="5"/>
      <c r="F2046" s="4">
        <v>1.0</v>
      </c>
      <c r="G2046" s="4">
        <v>99.0</v>
      </c>
      <c r="H2046" s="4"/>
      <c r="I2046" s="4">
        <v>99.0</v>
      </c>
      <c r="J2046" s="4" t="s">
        <v>5622</v>
      </c>
      <c r="K2046" s="5">
        <f>+917814200641</f>
        <v>917814200641</v>
      </c>
      <c r="L2046" s="4" t="str">
        <f t="shared" si="1"/>
        <v>js4746135@gmail.com917814200641</v>
      </c>
      <c r="M2046" s="10" t="s">
        <v>67</v>
      </c>
      <c r="N2046" s="4" t="b">
        <v>0</v>
      </c>
      <c r="O2046" s="4" t="str">
        <f>VLOOKUP(A2046,payment_ids!D:E,2,FALSE)</f>
        <v>upi</v>
      </c>
      <c r="P2046" s="4" t="s">
        <v>69</v>
      </c>
      <c r="Q2046" s="4" t="s">
        <v>5623</v>
      </c>
      <c r="R2046" s="4"/>
      <c r="S2046" s="12" t="s">
        <v>5584</v>
      </c>
      <c r="T2046" s="4" t="s">
        <v>2444</v>
      </c>
      <c r="U2046" s="4"/>
      <c r="V2046" s="11"/>
      <c r="W2046" s="5"/>
      <c r="X2046" s="11"/>
      <c r="Y2046" s="4"/>
      <c r="Z2046" s="5"/>
      <c r="AA2046" s="4"/>
      <c r="AB2046" s="4"/>
      <c r="AC2046" s="4"/>
      <c r="AD2046" s="4"/>
      <c r="AE2046" s="5"/>
      <c r="AF2046" s="5"/>
      <c r="AG2046" s="5"/>
      <c r="AH2046" s="5"/>
      <c r="AI2046" s="5"/>
      <c r="AJ2046" s="5"/>
      <c r="AK2046" s="5"/>
      <c r="AL2046" s="5"/>
    </row>
    <row r="2047">
      <c r="A2047" s="4" t="str">
        <f>VLOOKUP(L2047,payment_ids!C:D,2,FALSE)</f>
        <v>pay_HMo30TxgdkoPZO</v>
      </c>
      <c r="B2047" s="4"/>
      <c r="C2047" s="4" t="s">
        <v>5508</v>
      </c>
      <c r="D2047" s="4">
        <v>50023.0</v>
      </c>
      <c r="E2047" s="5"/>
      <c r="F2047" s="4">
        <v>1.0</v>
      </c>
      <c r="G2047" s="4">
        <v>99.0</v>
      </c>
      <c r="H2047" s="4"/>
      <c r="I2047" s="4">
        <v>99.0</v>
      </c>
      <c r="J2047" s="4" t="s">
        <v>5624</v>
      </c>
      <c r="K2047" s="5">
        <f>+919982501293</f>
        <v>919982501293</v>
      </c>
      <c r="L2047" s="4" t="str">
        <f t="shared" si="1"/>
        <v>ravindrabeniwal027@gmail.com919982501293</v>
      </c>
      <c r="M2047" s="10" t="s">
        <v>67</v>
      </c>
      <c r="N2047" s="4" t="b">
        <v>0</v>
      </c>
      <c r="O2047" s="4" t="str">
        <f>VLOOKUP(A2047,payment_ids!D:E,2,FALSE)</f>
        <v>upi</v>
      </c>
      <c r="P2047" s="4" t="s">
        <v>69</v>
      </c>
      <c r="Q2047" s="4" t="s">
        <v>5625</v>
      </c>
      <c r="R2047" s="4"/>
      <c r="S2047" s="12" t="s">
        <v>5510</v>
      </c>
      <c r="T2047" s="4" t="s">
        <v>2444</v>
      </c>
      <c r="U2047" s="4"/>
      <c r="V2047" s="11"/>
      <c r="W2047" s="5"/>
      <c r="X2047" s="11"/>
      <c r="Y2047" s="4"/>
      <c r="Z2047" s="5"/>
      <c r="AA2047" s="4"/>
      <c r="AB2047" s="4"/>
      <c r="AC2047" s="4"/>
      <c r="AD2047" s="4"/>
      <c r="AE2047" s="5"/>
      <c r="AF2047" s="5"/>
      <c r="AG2047" s="5"/>
      <c r="AH2047" s="5"/>
      <c r="AI2047" s="5"/>
      <c r="AJ2047" s="5"/>
      <c r="AK2047" s="5"/>
      <c r="AL2047" s="5"/>
    </row>
    <row r="2048">
      <c r="A2048" s="4" t="str">
        <f>VLOOKUP(L2048,payment_ids!C:D,2,FALSE)</f>
        <v>pay_HMovXtrld0DxPi</v>
      </c>
      <c r="B2048" s="4"/>
      <c r="C2048" s="4" t="s">
        <v>5508</v>
      </c>
      <c r="D2048" s="4">
        <v>50023.0</v>
      </c>
      <c r="E2048" s="5"/>
      <c r="F2048" s="4">
        <v>3.0</v>
      </c>
      <c r="G2048" s="4">
        <v>199.0</v>
      </c>
      <c r="H2048" s="4"/>
      <c r="I2048" s="4">
        <v>199.0</v>
      </c>
      <c r="J2048" s="4" t="s">
        <v>5626</v>
      </c>
      <c r="K2048" s="5">
        <f>+918126300309</f>
        <v>918126300309</v>
      </c>
      <c r="L2048" s="4" t="str">
        <f t="shared" si="1"/>
        <v>mohitgoswami190@gmail.com918126300309</v>
      </c>
      <c r="M2048" s="10" t="s">
        <v>67</v>
      </c>
      <c r="N2048" s="4" t="b">
        <v>0</v>
      </c>
      <c r="O2048" s="4" t="str">
        <f>VLOOKUP(A2048,payment_ids!D:E,2,FALSE)</f>
        <v>wallet</v>
      </c>
      <c r="P2048" s="4" t="s">
        <v>69</v>
      </c>
      <c r="Q2048" s="4" t="s">
        <v>5627</v>
      </c>
      <c r="R2048" s="4"/>
      <c r="S2048" s="12" t="s">
        <v>5510</v>
      </c>
      <c r="T2048" s="4" t="s">
        <v>2444</v>
      </c>
      <c r="U2048" s="4"/>
      <c r="V2048" s="11"/>
      <c r="W2048" s="5"/>
      <c r="X2048" s="11"/>
      <c r="Y2048" s="4"/>
      <c r="Z2048" s="5"/>
      <c r="AA2048" s="4"/>
      <c r="AB2048" s="4"/>
      <c r="AC2048" s="4"/>
      <c r="AD2048" s="4"/>
      <c r="AE2048" s="5"/>
      <c r="AF2048" s="5"/>
      <c r="AG2048" s="5"/>
      <c r="AH2048" s="5"/>
      <c r="AI2048" s="5"/>
      <c r="AJ2048" s="5"/>
      <c r="AK2048" s="5"/>
      <c r="AL2048" s="5"/>
    </row>
    <row r="2049">
      <c r="A2049" s="4" t="str">
        <f>VLOOKUP(L2049,payment_ids!C:D,2,FALSE)</f>
        <v>pay_HMrWuy1tNdMgD3</v>
      </c>
      <c r="B2049" s="4"/>
      <c r="C2049" s="4" t="s">
        <v>5508</v>
      </c>
      <c r="D2049" s="4">
        <v>50023.0</v>
      </c>
      <c r="E2049" s="5"/>
      <c r="F2049" s="4">
        <v>1.0</v>
      </c>
      <c r="G2049" s="4">
        <v>99.0</v>
      </c>
      <c r="H2049" s="4"/>
      <c r="I2049" s="4">
        <v>99.0</v>
      </c>
      <c r="J2049" s="4" t="s">
        <v>5628</v>
      </c>
      <c r="K2049" s="5">
        <f>+918500253053</f>
        <v>918500253053</v>
      </c>
      <c r="L2049" s="4" t="str">
        <f t="shared" si="1"/>
        <v>phanindra022@gmail.com918500253053</v>
      </c>
      <c r="M2049" s="10" t="s">
        <v>67</v>
      </c>
      <c r="N2049" s="4" t="b">
        <v>0</v>
      </c>
      <c r="O2049" s="4" t="str">
        <f>VLOOKUP(A2049,payment_ids!D:E,2,FALSE)</f>
        <v>upi</v>
      </c>
      <c r="P2049" s="4" t="s">
        <v>69</v>
      </c>
      <c r="Q2049" s="4" t="s">
        <v>5629</v>
      </c>
      <c r="R2049" s="4"/>
      <c r="S2049" s="12" t="s">
        <v>5510</v>
      </c>
      <c r="T2049" s="4" t="s">
        <v>2444</v>
      </c>
      <c r="U2049" s="4"/>
      <c r="V2049" s="11"/>
      <c r="W2049" s="5"/>
      <c r="X2049" s="11"/>
      <c r="Y2049" s="4"/>
      <c r="Z2049" s="5"/>
      <c r="AA2049" s="5"/>
      <c r="AB2049" s="4"/>
      <c r="AC2049" s="4"/>
      <c r="AD2049" s="4"/>
      <c r="AE2049" s="5"/>
      <c r="AF2049" s="5"/>
      <c r="AG2049" s="5"/>
      <c r="AH2049" s="5"/>
      <c r="AI2049" s="5"/>
      <c r="AJ2049" s="5"/>
      <c r="AK2049" s="5"/>
      <c r="AL2049" s="5"/>
    </row>
    <row r="2050">
      <c r="A2050" s="4" t="str">
        <f>VLOOKUP(L2050,payment_ids!C:D,2,FALSE)</f>
        <v>pay_HMuzs5fEY1QrgX</v>
      </c>
      <c r="B2050" s="4"/>
      <c r="C2050" s="4" t="s">
        <v>5508</v>
      </c>
      <c r="D2050" s="4">
        <v>50023.0</v>
      </c>
      <c r="E2050" s="5"/>
      <c r="F2050" s="4">
        <v>1.0</v>
      </c>
      <c r="G2050" s="4">
        <v>99.0</v>
      </c>
      <c r="H2050" s="4"/>
      <c r="I2050" s="4">
        <v>99.0</v>
      </c>
      <c r="J2050" s="4" t="s">
        <v>5630</v>
      </c>
      <c r="K2050" s="5">
        <f>+919722544329</f>
        <v>919722544329</v>
      </c>
      <c r="L2050" s="4" t="str">
        <f t="shared" si="1"/>
        <v>yogeshraje1995@gmail.com919722544329</v>
      </c>
      <c r="M2050" s="10" t="s">
        <v>67</v>
      </c>
      <c r="N2050" s="4" t="b">
        <v>0</v>
      </c>
      <c r="O2050" s="4" t="str">
        <f>VLOOKUP(A2050,payment_ids!D:E,2,FALSE)</f>
        <v>wallet</v>
      </c>
      <c r="P2050" s="4" t="s">
        <v>69</v>
      </c>
      <c r="Q2050" s="4" t="s">
        <v>5631</v>
      </c>
      <c r="R2050" s="4"/>
      <c r="S2050" s="12" t="s">
        <v>5510</v>
      </c>
      <c r="T2050" s="4" t="s">
        <v>2444</v>
      </c>
      <c r="U2050" s="4"/>
      <c r="V2050" s="11"/>
      <c r="W2050" s="5"/>
      <c r="X2050" s="11"/>
      <c r="Y2050" s="4"/>
      <c r="Z2050" s="5"/>
      <c r="AA2050" s="4"/>
      <c r="AB2050" s="4"/>
      <c r="AC2050" s="4"/>
      <c r="AD2050" s="4"/>
      <c r="AE2050" s="5"/>
      <c r="AF2050" s="5"/>
      <c r="AG2050" s="5"/>
      <c r="AH2050" s="5"/>
      <c r="AI2050" s="5"/>
      <c r="AJ2050" s="5"/>
      <c r="AK2050" s="5"/>
      <c r="AL2050" s="5"/>
    </row>
    <row r="2051">
      <c r="A2051" s="4" t="str">
        <f>VLOOKUP(L2051,payment_ids!C:D,2,FALSE)</f>
        <v>pay_HMwG68XNuaMfun</v>
      </c>
      <c r="B2051" s="4"/>
      <c r="C2051" s="4" t="s">
        <v>5508</v>
      </c>
      <c r="D2051" s="4">
        <v>50023.0</v>
      </c>
      <c r="E2051" s="5"/>
      <c r="F2051" s="4">
        <v>3.0</v>
      </c>
      <c r="G2051" s="4">
        <v>199.0</v>
      </c>
      <c r="H2051" s="4"/>
      <c r="I2051" s="4">
        <v>199.0</v>
      </c>
      <c r="J2051" s="4" t="s">
        <v>5632</v>
      </c>
      <c r="K2051" s="5">
        <f>+918076195663</f>
        <v>918076195663</v>
      </c>
      <c r="L2051" s="4" t="str">
        <f t="shared" si="1"/>
        <v>mohitprajapati888@gmail.com918076195663</v>
      </c>
      <c r="M2051" s="10" t="s">
        <v>67</v>
      </c>
      <c r="N2051" s="4" t="b">
        <v>0</v>
      </c>
      <c r="O2051" s="4" t="str">
        <f>VLOOKUP(A2051,payment_ids!D:E,2,FALSE)</f>
        <v>upi</v>
      </c>
      <c r="P2051" s="4" t="s">
        <v>69</v>
      </c>
      <c r="Q2051" s="4" t="s">
        <v>5633</v>
      </c>
      <c r="R2051" s="4"/>
      <c r="S2051" s="12" t="s">
        <v>5510</v>
      </c>
      <c r="T2051" s="4" t="s">
        <v>2444</v>
      </c>
      <c r="U2051" s="4"/>
      <c r="V2051" s="11"/>
      <c r="W2051" s="5"/>
      <c r="X2051" s="11"/>
      <c r="Y2051" s="4"/>
      <c r="Z2051" s="5"/>
      <c r="AA2051" s="5"/>
      <c r="AB2051" s="4"/>
      <c r="AC2051" s="4"/>
      <c r="AD2051" s="4"/>
      <c r="AE2051" s="5"/>
      <c r="AF2051" s="5"/>
      <c r="AG2051" s="5"/>
      <c r="AH2051" s="5"/>
      <c r="AI2051" s="5"/>
      <c r="AJ2051" s="5"/>
      <c r="AK2051" s="5"/>
      <c r="AL2051" s="5"/>
    </row>
    <row r="2052">
      <c r="A2052" s="4" t="str">
        <f>VLOOKUP(L2052,payment_ids!C:D,2,FALSE)</f>
        <v>pay_HMxhp3JTQETJ5d</v>
      </c>
      <c r="B2052" s="4"/>
      <c r="C2052" s="4" t="s">
        <v>5508</v>
      </c>
      <c r="D2052" s="4">
        <v>50023.0</v>
      </c>
      <c r="E2052" s="5"/>
      <c r="F2052" s="4">
        <v>1.0</v>
      </c>
      <c r="G2052" s="4">
        <v>99.0</v>
      </c>
      <c r="H2052" s="4"/>
      <c r="I2052" s="4">
        <v>99.0</v>
      </c>
      <c r="J2052" s="4" t="s">
        <v>5634</v>
      </c>
      <c r="K2052" s="5">
        <f>+919660969602</f>
        <v>919660969602</v>
      </c>
      <c r="L2052" s="4" t="str">
        <f t="shared" si="1"/>
        <v>naveenjarwal05@gmail.com919660969602</v>
      </c>
      <c r="M2052" s="10" t="s">
        <v>67</v>
      </c>
      <c r="N2052" s="4" t="b">
        <v>0</v>
      </c>
      <c r="O2052" s="4" t="str">
        <f>VLOOKUP(A2052,payment_ids!D:E,2,FALSE)</f>
        <v>upi</v>
      </c>
      <c r="P2052" s="4" t="s">
        <v>69</v>
      </c>
      <c r="Q2052" s="4" t="s">
        <v>5635</v>
      </c>
      <c r="R2052" s="4"/>
      <c r="S2052" s="12" t="s">
        <v>5510</v>
      </c>
      <c r="T2052" s="4" t="s">
        <v>2444</v>
      </c>
      <c r="U2052" s="4"/>
      <c r="V2052" s="11"/>
      <c r="W2052" s="5"/>
      <c r="X2052" s="11"/>
      <c r="Y2052" s="4"/>
      <c r="Z2052" s="5"/>
      <c r="AA2052" s="5"/>
      <c r="AB2052" s="4"/>
      <c r="AC2052" s="4"/>
      <c r="AD2052" s="4"/>
      <c r="AE2052" s="5"/>
      <c r="AF2052" s="5"/>
      <c r="AG2052" s="5"/>
      <c r="AH2052" s="5"/>
      <c r="AI2052" s="5"/>
      <c r="AJ2052" s="5"/>
      <c r="AK2052" s="5"/>
      <c r="AL2052" s="5"/>
    </row>
    <row r="2053">
      <c r="A2053" s="4" t="str">
        <f>VLOOKUP(L2053,payment_ids!C:D,2,FALSE)</f>
        <v>pay_HMz91m2neAqcDD</v>
      </c>
      <c r="B2053" s="4"/>
      <c r="C2053" s="4" t="s">
        <v>5508</v>
      </c>
      <c r="D2053" s="4">
        <v>50023.0</v>
      </c>
      <c r="E2053" s="5"/>
      <c r="F2053" s="4">
        <v>1.0</v>
      </c>
      <c r="G2053" s="4">
        <v>99.0</v>
      </c>
      <c r="H2053" s="4"/>
      <c r="I2053" s="4">
        <v>99.0</v>
      </c>
      <c r="J2053" s="4" t="s">
        <v>5636</v>
      </c>
      <c r="K2053" s="5">
        <f>+919049119829</f>
        <v>919049119829</v>
      </c>
      <c r="L2053" s="4" t="str">
        <f t="shared" si="1"/>
        <v>avhadsanket4@gmail.com919049119829</v>
      </c>
      <c r="M2053" s="10" t="s">
        <v>67</v>
      </c>
      <c r="N2053" s="4" t="b">
        <v>0</v>
      </c>
      <c r="O2053" s="4" t="str">
        <f>VLOOKUP(A2053,payment_ids!D:E,2,FALSE)</f>
        <v>card</v>
      </c>
      <c r="P2053" s="4" t="s">
        <v>69</v>
      </c>
      <c r="Q2053" s="4" t="s">
        <v>5637</v>
      </c>
      <c r="R2053" s="4"/>
      <c r="S2053" s="12" t="s">
        <v>5510</v>
      </c>
      <c r="T2053" s="4" t="s">
        <v>2444</v>
      </c>
      <c r="U2053" s="4"/>
      <c r="V2053" s="11"/>
      <c r="W2053" s="5"/>
      <c r="X2053" s="11"/>
      <c r="Y2053" s="4"/>
      <c r="Z2053" s="5"/>
      <c r="AA2053" s="5"/>
      <c r="AB2053" s="4"/>
      <c r="AC2053" s="4"/>
      <c r="AD2053" s="4"/>
      <c r="AE2053" s="5"/>
      <c r="AF2053" s="5"/>
      <c r="AG2053" s="5"/>
      <c r="AH2053" s="5"/>
      <c r="AI2053" s="5"/>
      <c r="AJ2053" s="5"/>
      <c r="AK2053" s="5"/>
      <c r="AL2053" s="5"/>
    </row>
    <row r="2054">
      <c r="A2054" s="4" t="str">
        <f>VLOOKUP(L2054,payment_ids!C:D,2,FALSE)</f>
        <v>pay_HN3t5VdqGcOKPp</v>
      </c>
      <c r="B2054" s="4"/>
      <c r="C2054" s="4" t="s">
        <v>5508</v>
      </c>
      <c r="D2054" s="4">
        <v>50023.0</v>
      </c>
      <c r="E2054" s="5"/>
      <c r="F2054" s="4">
        <v>1.0</v>
      </c>
      <c r="G2054" s="4">
        <v>99.0</v>
      </c>
      <c r="H2054" s="4"/>
      <c r="I2054" s="4">
        <v>99.0</v>
      </c>
      <c r="J2054" s="4" t="s">
        <v>5638</v>
      </c>
      <c r="K2054" s="5">
        <f>+919664013366</f>
        <v>919664013366</v>
      </c>
      <c r="L2054" s="4" t="str">
        <f t="shared" si="1"/>
        <v>suchitpatil2612@gmail.com919664013366</v>
      </c>
      <c r="M2054" s="10" t="s">
        <v>67</v>
      </c>
      <c r="N2054" s="4" t="b">
        <v>0</v>
      </c>
      <c r="O2054" s="4" t="str">
        <f>VLOOKUP(A2054,payment_ids!D:E,2,FALSE)</f>
        <v>upi</v>
      </c>
      <c r="P2054" s="4" t="s">
        <v>69</v>
      </c>
      <c r="Q2054" s="4" t="s">
        <v>5639</v>
      </c>
      <c r="R2054" s="4"/>
      <c r="S2054" s="12" t="s">
        <v>5510</v>
      </c>
      <c r="T2054" s="4" t="s">
        <v>2444</v>
      </c>
      <c r="U2054" s="4"/>
      <c r="V2054" s="11"/>
      <c r="W2054" s="5"/>
      <c r="X2054" s="11"/>
      <c r="Y2054" s="4"/>
      <c r="Z2054" s="5"/>
      <c r="AA2054" s="4"/>
      <c r="AB2054" s="4"/>
      <c r="AC2054" s="4"/>
      <c r="AD2054" s="4"/>
      <c r="AE2054" s="5"/>
      <c r="AF2054" s="5"/>
      <c r="AG2054" s="5"/>
      <c r="AH2054" s="5"/>
      <c r="AI2054" s="5"/>
      <c r="AJ2054" s="5"/>
      <c r="AK2054" s="5"/>
      <c r="AL2054" s="5"/>
    </row>
    <row r="2055">
      <c r="A2055" s="4" t="str">
        <f>VLOOKUP(L2055,payment_ids!C:D,2,FALSE)</f>
        <v>pay_HN3tBD6FiJK7Dq</v>
      </c>
      <c r="B2055" s="4"/>
      <c r="C2055" s="4" t="s">
        <v>5508</v>
      </c>
      <c r="D2055" s="4">
        <v>50023.0</v>
      </c>
      <c r="E2055" s="5"/>
      <c r="F2055" s="4">
        <v>1.0</v>
      </c>
      <c r="G2055" s="4">
        <v>99.0</v>
      </c>
      <c r="H2055" s="4"/>
      <c r="I2055" s="4">
        <v>99.0</v>
      </c>
      <c r="J2055" s="4" t="s">
        <v>5640</v>
      </c>
      <c r="K2055" s="5">
        <f>+919967076670</f>
        <v>919967076670</v>
      </c>
      <c r="L2055" s="4" t="str">
        <f t="shared" si="1"/>
        <v>vruddhipanchal1481@gmail.com919967076670</v>
      </c>
      <c r="M2055" s="10" t="s">
        <v>67</v>
      </c>
      <c r="N2055" s="4" t="b">
        <v>0</v>
      </c>
      <c r="O2055" s="4" t="str">
        <f>VLOOKUP(A2055,payment_ids!D:E,2,FALSE)</f>
        <v>upi</v>
      </c>
      <c r="P2055" s="4" t="s">
        <v>69</v>
      </c>
      <c r="Q2055" s="4" t="s">
        <v>5639</v>
      </c>
      <c r="R2055" s="4"/>
      <c r="S2055" s="12" t="s">
        <v>5510</v>
      </c>
      <c r="T2055" s="4" t="s">
        <v>2444</v>
      </c>
      <c r="U2055" s="4"/>
      <c r="V2055" s="11"/>
      <c r="W2055" s="5"/>
      <c r="X2055" s="11"/>
      <c r="Y2055" s="4"/>
      <c r="Z2055" s="5"/>
      <c r="AA2055" s="4"/>
      <c r="AB2055" s="4"/>
      <c r="AC2055" s="4"/>
      <c r="AD2055" s="4"/>
      <c r="AE2055" s="5"/>
      <c r="AF2055" s="5"/>
      <c r="AG2055" s="5"/>
      <c r="AH2055" s="5"/>
      <c r="AI2055" s="5"/>
      <c r="AJ2055" s="5"/>
      <c r="AK2055" s="5"/>
      <c r="AL2055" s="5"/>
    </row>
    <row r="2056">
      <c r="A2056" s="4" t="str">
        <f>VLOOKUP(L2056,payment_ids!C:D,2,FALSE)</f>
        <v>pay_HND0M6ofxkLAH9</v>
      </c>
      <c r="B2056" s="4"/>
      <c r="C2056" s="4" t="s">
        <v>5508</v>
      </c>
      <c r="D2056" s="4">
        <v>50023.0</v>
      </c>
      <c r="E2056" s="5"/>
      <c r="F2056" s="4">
        <v>1.0</v>
      </c>
      <c r="G2056" s="4">
        <v>99.0</v>
      </c>
      <c r="H2056" s="4"/>
      <c r="I2056" s="4">
        <v>99.0</v>
      </c>
      <c r="J2056" s="4" t="s">
        <v>5641</v>
      </c>
      <c r="K2056" s="5">
        <f>+918800535571</f>
        <v>918800535571</v>
      </c>
      <c r="L2056" s="4" t="str">
        <f t="shared" si="1"/>
        <v>amitrajput763@gmail.com918800535571</v>
      </c>
      <c r="M2056" s="10" t="s">
        <v>67</v>
      </c>
      <c r="N2056" s="4" t="b">
        <v>0</v>
      </c>
      <c r="O2056" s="4" t="str">
        <f>VLOOKUP(A2056,payment_ids!D:E,2,FALSE)</f>
        <v>card</v>
      </c>
      <c r="P2056" s="4" t="s">
        <v>69</v>
      </c>
      <c r="Q2056" s="4" t="s">
        <v>5642</v>
      </c>
      <c r="R2056" s="4"/>
      <c r="S2056" s="12" t="s">
        <v>5510</v>
      </c>
      <c r="T2056" s="4" t="s">
        <v>2444</v>
      </c>
      <c r="U2056" s="4"/>
      <c r="V2056" s="11"/>
      <c r="W2056" s="5"/>
      <c r="X2056" s="11"/>
      <c r="Y2056" s="4"/>
      <c r="Z2056" s="5"/>
      <c r="AA2056" s="4"/>
      <c r="AB2056" s="4"/>
      <c r="AC2056" s="4"/>
      <c r="AD2056" s="4"/>
      <c r="AE2056" s="5"/>
      <c r="AF2056" s="5"/>
      <c r="AG2056" s="5"/>
      <c r="AH2056" s="5"/>
      <c r="AI2056" s="5"/>
      <c r="AJ2056" s="5"/>
      <c r="AK2056" s="5"/>
      <c r="AL2056" s="5"/>
    </row>
    <row r="2057">
      <c r="A2057" s="4" t="str">
        <f>VLOOKUP(L2057,payment_ids!C:D,2,FALSE)</f>
        <v>pay_HNFCQW0XEPjzOD</v>
      </c>
      <c r="B2057" s="4"/>
      <c r="C2057" s="4" t="s">
        <v>5508</v>
      </c>
      <c r="D2057" s="4">
        <v>50023.0</v>
      </c>
      <c r="E2057" s="5"/>
      <c r="F2057" s="4">
        <v>1.0</v>
      </c>
      <c r="G2057" s="4">
        <v>99.0</v>
      </c>
      <c r="H2057" s="4"/>
      <c r="I2057" s="4">
        <v>99.0</v>
      </c>
      <c r="J2057" s="4" t="s">
        <v>5643</v>
      </c>
      <c r="K2057" s="5">
        <f>+918603922312</f>
        <v>918603922312</v>
      </c>
      <c r="L2057" s="4" t="str">
        <f t="shared" si="1"/>
        <v>priyanshupriyadarship@gmail.com918603922312</v>
      </c>
      <c r="M2057" s="10" t="s">
        <v>67</v>
      </c>
      <c r="N2057" s="4" t="b">
        <v>0</v>
      </c>
      <c r="O2057" s="4" t="str">
        <f>VLOOKUP(A2057,payment_ids!D:E,2,FALSE)</f>
        <v>card</v>
      </c>
      <c r="P2057" s="4" t="s">
        <v>69</v>
      </c>
      <c r="Q2057" s="4" t="s">
        <v>5644</v>
      </c>
      <c r="R2057" s="4"/>
      <c r="S2057" s="12" t="s">
        <v>5584</v>
      </c>
      <c r="T2057" s="4" t="s">
        <v>2444</v>
      </c>
      <c r="U2057" s="4"/>
      <c r="V2057" s="11"/>
      <c r="W2057" s="5"/>
      <c r="X2057" s="11"/>
      <c r="Y2057" s="4"/>
      <c r="Z2057" s="5"/>
      <c r="AA2057" s="4"/>
      <c r="AB2057" s="4"/>
      <c r="AC2057" s="4"/>
      <c r="AD2057" s="4"/>
      <c r="AE2057" s="5"/>
      <c r="AF2057" s="5"/>
      <c r="AG2057" s="5"/>
      <c r="AH2057" s="5"/>
      <c r="AI2057" s="5"/>
      <c r="AJ2057" s="5"/>
      <c r="AK2057" s="5"/>
      <c r="AL2057" s="5"/>
    </row>
    <row r="2058">
      <c r="A2058" s="4" t="str">
        <f>VLOOKUP(L2058,payment_ids!C:D,2,FALSE)</f>
        <v>pay_HNLKkZVWVlzN3O</v>
      </c>
      <c r="B2058" s="4"/>
      <c r="C2058" s="4" t="s">
        <v>5508</v>
      </c>
      <c r="D2058" s="4">
        <v>50023.0</v>
      </c>
      <c r="E2058" s="5"/>
      <c r="F2058" s="4">
        <v>1.0</v>
      </c>
      <c r="G2058" s="4">
        <v>99.0</v>
      </c>
      <c r="H2058" s="4"/>
      <c r="I2058" s="4">
        <v>99.0</v>
      </c>
      <c r="J2058" s="4" t="s">
        <v>5645</v>
      </c>
      <c r="K2058" s="5">
        <f>+919772815983</f>
        <v>919772815983</v>
      </c>
      <c r="L2058" s="4" t="str">
        <f t="shared" si="1"/>
        <v>manishiit900@gmail.com919772815983</v>
      </c>
      <c r="M2058" s="10" t="s">
        <v>67</v>
      </c>
      <c r="N2058" s="4" t="b">
        <v>0</v>
      </c>
      <c r="O2058" s="4" t="str">
        <f>VLOOKUP(A2058,payment_ids!D:E,2,FALSE)</f>
        <v>upi</v>
      </c>
      <c r="P2058" s="4" t="s">
        <v>69</v>
      </c>
      <c r="Q2058" s="4" t="s">
        <v>5646</v>
      </c>
      <c r="R2058" s="4"/>
      <c r="S2058" s="12" t="s">
        <v>5510</v>
      </c>
      <c r="T2058" s="4" t="s">
        <v>2444</v>
      </c>
      <c r="U2058" s="4"/>
      <c r="V2058" s="11"/>
      <c r="W2058" s="5"/>
      <c r="X2058" s="11"/>
      <c r="Y2058" s="4"/>
      <c r="Z2058" s="5"/>
      <c r="AA2058" s="4"/>
      <c r="AB2058" s="4"/>
      <c r="AC2058" s="4"/>
      <c r="AD2058" s="4"/>
      <c r="AE2058" s="5"/>
      <c r="AF2058" s="5"/>
      <c r="AG2058" s="5"/>
      <c r="AH2058" s="5"/>
      <c r="AI2058" s="5"/>
      <c r="AJ2058" s="5"/>
      <c r="AK2058" s="5"/>
      <c r="AL2058" s="5"/>
    </row>
    <row r="2059">
      <c r="A2059" s="4" t="str">
        <f>VLOOKUP(L2059,payment_ids!C:D,2,FALSE)</f>
        <v>pay_HNLyb6c9Wh3RoJ</v>
      </c>
      <c r="B2059" s="4"/>
      <c r="C2059" s="4" t="s">
        <v>5508</v>
      </c>
      <c r="D2059" s="4">
        <v>50023.0</v>
      </c>
      <c r="E2059" s="5"/>
      <c r="F2059" s="4">
        <v>1.0</v>
      </c>
      <c r="G2059" s="4">
        <v>99.0</v>
      </c>
      <c r="H2059" s="4"/>
      <c r="I2059" s="4">
        <v>99.0</v>
      </c>
      <c r="J2059" s="4" t="s">
        <v>5647</v>
      </c>
      <c r="K2059" s="5">
        <f>+919484014005</f>
        <v>919484014005</v>
      </c>
      <c r="L2059" s="4" t="str">
        <f t="shared" si="1"/>
        <v>parmeetkour9858@gmail.com919484014005</v>
      </c>
      <c r="M2059" s="10" t="s">
        <v>67</v>
      </c>
      <c r="N2059" s="4" t="b">
        <v>0</v>
      </c>
      <c r="O2059" s="4" t="str">
        <f>VLOOKUP(A2059,payment_ids!D:E,2,FALSE)</f>
        <v>upi</v>
      </c>
      <c r="P2059" s="4" t="s">
        <v>69</v>
      </c>
      <c r="Q2059" s="4" t="s">
        <v>5648</v>
      </c>
      <c r="R2059" s="4"/>
      <c r="S2059" s="12" t="s">
        <v>5510</v>
      </c>
      <c r="T2059" s="4" t="s">
        <v>2444</v>
      </c>
      <c r="U2059" s="4"/>
      <c r="V2059" s="11"/>
      <c r="W2059" s="5"/>
      <c r="X2059" s="11"/>
      <c r="Y2059" s="4"/>
      <c r="Z2059" s="5"/>
      <c r="AA2059" s="4"/>
      <c r="AB2059" s="4"/>
      <c r="AC2059" s="4"/>
      <c r="AD2059" s="4"/>
      <c r="AE2059" s="5"/>
      <c r="AF2059" s="5"/>
      <c r="AG2059" s="5"/>
      <c r="AH2059" s="5"/>
      <c r="AI2059" s="5"/>
      <c r="AJ2059" s="5"/>
      <c r="AK2059" s="5"/>
      <c r="AL2059" s="5"/>
    </row>
    <row r="2060">
      <c r="A2060" s="4" t="str">
        <f>VLOOKUP(L2060,payment_ids!C:D,2,FALSE)</f>
        <v>pay_HNOJ0Ioxi03Lc4</v>
      </c>
      <c r="B2060" s="4"/>
      <c r="C2060" s="4" t="s">
        <v>5508</v>
      </c>
      <c r="D2060" s="4">
        <v>50023.0</v>
      </c>
      <c r="E2060" s="5"/>
      <c r="F2060" s="4">
        <v>1.0</v>
      </c>
      <c r="G2060" s="4">
        <v>99.0</v>
      </c>
      <c r="H2060" s="4"/>
      <c r="I2060" s="4">
        <v>99.0</v>
      </c>
      <c r="J2060" s="4" t="s">
        <v>5649</v>
      </c>
      <c r="K2060" s="5">
        <f>+918872004951</f>
        <v>918872004951</v>
      </c>
      <c r="L2060" s="4" t="str">
        <f t="shared" si="1"/>
        <v>joshinancy7700@gmail.com918872004951</v>
      </c>
      <c r="M2060" s="10" t="s">
        <v>67</v>
      </c>
      <c r="N2060" s="4" t="b">
        <v>0</v>
      </c>
      <c r="O2060" s="4" t="str">
        <f>VLOOKUP(A2060,payment_ids!D:E,2,FALSE)</f>
        <v>upi</v>
      </c>
      <c r="P2060" s="4" t="s">
        <v>69</v>
      </c>
      <c r="Q2060" s="4" t="s">
        <v>5650</v>
      </c>
      <c r="R2060" s="4"/>
      <c r="S2060" s="12" t="s">
        <v>5510</v>
      </c>
      <c r="T2060" s="4" t="s">
        <v>2444</v>
      </c>
      <c r="U2060" s="5"/>
      <c r="V2060" s="11"/>
      <c r="W2060" s="5"/>
      <c r="X2060" s="11"/>
      <c r="Y2060" s="4"/>
      <c r="Z2060" s="5"/>
      <c r="AA2060" s="5"/>
      <c r="AB2060" s="4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</row>
    <row r="2061">
      <c r="A2061" s="4" t="str">
        <f>VLOOKUP(L2061,payment_ids!C:D,2,FALSE)</f>
        <v>pay_HNPCq5SqPXPySi</v>
      </c>
      <c r="B2061" s="4"/>
      <c r="C2061" s="4" t="s">
        <v>5508</v>
      </c>
      <c r="D2061" s="4">
        <v>50023.0</v>
      </c>
      <c r="E2061" s="5"/>
      <c r="F2061" s="4">
        <v>1.0</v>
      </c>
      <c r="G2061" s="4">
        <v>99.0</v>
      </c>
      <c r="H2061" s="4"/>
      <c r="I2061" s="4">
        <v>99.0</v>
      </c>
      <c r="J2061" s="4" t="s">
        <v>5651</v>
      </c>
      <c r="K2061" s="5">
        <f>+919110121929</f>
        <v>919110121929</v>
      </c>
      <c r="L2061" s="4" t="str">
        <f t="shared" si="1"/>
        <v>krsonudilli@gmail.com919110121929</v>
      </c>
      <c r="M2061" s="10" t="s">
        <v>67</v>
      </c>
      <c r="N2061" s="4" t="b">
        <v>0</v>
      </c>
      <c r="O2061" s="4" t="str">
        <f>VLOOKUP(A2061,payment_ids!D:E,2,FALSE)</f>
        <v>upi</v>
      </c>
      <c r="P2061" s="4" t="s">
        <v>69</v>
      </c>
      <c r="Q2061" s="4" t="s">
        <v>5652</v>
      </c>
      <c r="R2061" s="4"/>
      <c r="S2061" s="12" t="s">
        <v>5510</v>
      </c>
      <c r="T2061" s="4" t="s">
        <v>2444</v>
      </c>
      <c r="U2061" s="4"/>
      <c r="V2061" s="11"/>
      <c r="W2061" s="5"/>
      <c r="X2061" s="11"/>
      <c r="Y2061" s="4"/>
      <c r="Z2061" s="5"/>
      <c r="AA2061" s="4"/>
      <c r="AB2061" s="4"/>
      <c r="AC2061" s="4"/>
      <c r="AD2061" s="4"/>
      <c r="AE2061" s="5"/>
      <c r="AF2061" s="5"/>
      <c r="AG2061" s="5"/>
      <c r="AH2061" s="5"/>
      <c r="AI2061" s="5"/>
      <c r="AJ2061" s="5"/>
      <c r="AK2061" s="5"/>
      <c r="AL2061" s="5"/>
    </row>
    <row r="2062">
      <c r="A2062" s="4" t="str">
        <f>VLOOKUP(L2062,payment_ids!C:D,2,FALSE)</f>
        <v>pay_HNZ5jDXAS8G2ji</v>
      </c>
      <c r="B2062" s="4"/>
      <c r="C2062" s="4" t="s">
        <v>5508</v>
      </c>
      <c r="D2062" s="4">
        <v>50023.0</v>
      </c>
      <c r="E2062" s="5"/>
      <c r="F2062" s="4">
        <v>1.0</v>
      </c>
      <c r="G2062" s="4">
        <v>99.0</v>
      </c>
      <c r="H2062" s="4"/>
      <c r="I2062" s="4">
        <v>99.0</v>
      </c>
      <c r="J2062" s="4" t="s">
        <v>5653</v>
      </c>
      <c r="K2062" s="5">
        <f>+919956740907</f>
        <v>919956740907</v>
      </c>
      <c r="L2062" s="4" t="str">
        <f t="shared" si="1"/>
        <v>prashant.prajapati225@gmail.com919956740907</v>
      </c>
      <c r="M2062" s="10" t="s">
        <v>67</v>
      </c>
      <c r="N2062" s="4" t="b">
        <v>0</v>
      </c>
      <c r="O2062" s="4" t="str">
        <f>VLOOKUP(A2062,payment_ids!D:E,2,FALSE)</f>
        <v>upi</v>
      </c>
      <c r="P2062" s="4" t="s">
        <v>69</v>
      </c>
      <c r="Q2062" s="4" t="s">
        <v>5654</v>
      </c>
      <c r="R2062" s="4"/>
      <c r="S2062" s="12" t="s">
        <v>5510</v>
      </c>
      <c r="T2062" s="4" t="s">
        <v>2444</v>
      </c>
      <c r="U2062" s="4"/>
      <c r="V2062" s="11"/>
      <c r="W2062" s="5"/>
      <c r="X2062" s="11"/>
      <c r="Y2062" s="4"/>
      <c r="Z2062" s="5"/>
      <c r="AA2062" s="4"/>
      <c r="AB2062" s="4"/>
      <c r="AC2062" s="4"/>
      <c r="AD2062" s="4"/>
      <c r="AE2062" s="5"/>
      <c r="AF2062" s="5"/>
      <c r="AG2062" s="5"/>
      <c r="AH2062" s="5"/>
      <c r="AI2062" s="5"/>
      <c r="AJ2062" s="5"/>
      <c r="AK2062" s="5"/>
      <c r="AL2062" s="5"/>
    </row>
    <row r="2063">
      <c r="A2063" s="4" t="str">
        <f>VLOOKUP(L2063,payment_ids!C:D,2,FALSE)</f>
        <v>pay_HNbGvJTj67ZssQ</v>
      </c>
      <c r="B2063" s="4"/>
      <c r="C2063" s="4" t="s">
        <v>5508</v>
      </c>
      <c r="D2063" s="4">
        <v>50023.0</v>
      </c>
      <c r="E2063" s="5"/>
      <c r="F2063" s="4">
        <v>1.0</v>
      </c>
      <c r="G2063" s="4">
        <v>99.0</v>
      </c>
      <c r="H2063" s="4"/>
      <c r="I2063" s="4">
        <v>99.0</v>
      </c>
      <c r="J2063" s="4" t="s">
        <v>5655</v>
      </c>
      <c r="K2063" s="5">
        <f>+918800820356</f>
        <v>918800820356</v>
      </c>
      <c r="L2063" s="4" t="str">
        <f t="shared" si="1"/>
        <v>sumer1309@gmail.com918800820356</v>
      </c>
      <c r="M2063" s="10" t="s">
        <v>67</v>
      </c>
      <c r="N2063" s="4" t="b">
        <v>0</v>
      </c>
      <c r="O2063" s="4" t="str">
        <f>VLOOKUP(A2063,payment_ids!D:E,2,FALSE)</f>
        <v>wallet</v>
      </c>
      <c r="P2063" s="4" t="s">
        <v>69</v>
      </c>
      <c r="Q2063" s="4" t="s">
        <v>5656</v>
      </c>
      <c r="R2063" s="4"/>
      <c r="S2063" s="12" t="s">
        <v>5510</v>
      </c>
      <c r="T2063" s="4" t="s">
        <v>2444</v>
      </c>
      <c r="U2063" s="4"/>
      <c r="V2063" s="11"/>
      <c r="W2063" s="5"/>
      <c r="X2063" s="11"/>
      <c r="Y2063" s="4"/>
      <c r="Z2063" s="5"/>
      <c r="AA2063" s="4"/>
      <c r="AB2063" s="4"/>
      <c r="AC2063" s="4"/>
      <c r="AD2063" s="4"/>
      <c r="AE2063" s="5"/>
      <c r="AF2063" s="5"/>
      <c r="AG2063" s="5"/>
      <c r="AH2063" s="5"/>
      <c r="AI2063" s="5"/>
      <c r="AJ2063" s="5"/>
      <c r="AK2063" s="5"/>
      <c r="AL2063" s="5"/>
    </row>
    <row r="2064">
      <c r="A2064" s="4" t="str">
        <f>VLOOKUP(L2064,payment_ids!C:D,2,FALSE)</f>
        <v>pay_HNbwNjvviYF6d2</v>
      </c>
      <c r="B2064" s="4"/>
      <c r="C2064" s="4" t="s">
        <v>5508</v>
      </c>
      <c r="D2064" s="4">
        <v>50023.0</v>
      </c>
      <c r="E2064" s="5"/>
      <c r="F2064" s="4">
        <v>1.0</v>
      </c>
      <c r="G2064" s="4">
        <v>99.0</v>
      </c>
      <c r="H2064" s="4"/>
      <c r="I2064" s="4">
        <v>99.0</v>
      </c>
      <c r="J2064" s="4" t="s">
        <v>5657</v>
      </c>
      <c r="K2064" s="5">
        <f>+919650394291</f>
        <v>919650394291</v>
      </c>
      <c r="L2064" s="4" t="str">
        <f t="shared" si="1"/>
        <v>shweta913.singh@gmail.com919650394291</v>
      </c>
      <c r="M2064" s="10" t="s">
        <v>67</v>
      </c>
      <c r="N2064" s="4" t="b">
        <v>0</v>
      </c>
      <c r="O2064" s="4" t="str">
        <f>VLOOKUP(A2064,payment_ids!D:E,2,FALSE)</f>
        <v>upi</v>
      </c>
      <c r="P2064" s="4" t="s">
        <v>69</v>
      </c>
      <c r="Q2064" s="4" t="s">
        <v>5658</v>
      </c>
      <c r="R2064" s="4"/>
      <c r="S2064" s="12" t="s">
        <v>5510</v>
      </c>
      <c r="T2064" s="4" t="s">
        <v>2444</v>
      </c>
      <c r="U2064" s="4"/>
      <c r="V2064" s="11"/>
      <c r="W2064" s="5"/>
      <c r="X2064" s="11"/>
      <c r="Y2064" s="4"/>
      <c r="Z2064" s="5"/>
      <c r="AA2064" s="4"/>
      <c r="AB2064" s="4"/>
      <c r="AC2064" s="4"/>
      <c r="AD2064" s="4"/>
      <c r="AE2064" s="5"/>
      <c r="AF2064" s="5"/>
      <c r="AG2064" s="5"/>
      <c r="AH2064" s="5"/>
      <c r="AI2064" s="5"/>
      <c r="AJ2064" s="5"/>
      <c r="AK2064" s="5"/>
      <c r="AL2064" s="5"/>
    </row>
    <row r="2065">
      <c r="A2065" s="4" t="str">
        <f>VLOOKUP(L2065,payment_ids!C:D,2,FALSE)</f>
        <v>pay_HNcYzpBtsMbzbl</v>
      </c>
      <c r="B2065" s="4"/>
      <c r="C2065" s="4" t="s">
        <v>5508</v>
      </c>
      <c r="D2065" s="4">
        <v>50023.0</v>
      </c>
      <c r="E2065" s="5"/>
      <c r="F2065" s="4">
        <v>1.0</v>
      </c>
      <c r="G2065" s="4">
        <v>99.0</v>
      </c>
      <c r="H2065" s="4"/>
      <c r="I2065" s="4">
        <v>99.0</v>
      </c>
      <c r="J2065" s="4" t="s">
        <v>5659</v>
      </c>
      <c r="K2065" s="5">
        <f>+919987366442</f>
        <v>919987366442</v>
      </c>
      <c r="L2065" s="4" t="str">
        <f t="shared" si="1"/>
        <v>onkarjadhavoj.61@gmail.com919987366442</v>
      </c>
      <c r="M2065" s="10" t="s">
        <v>67</v>
      </c>
      <c r="N2065" s="4" t="b">
        <v>0</v>
      </c>
      <c r="O2065" s="4" t="str">
        <f>VLOOKUP(A2065,payment_ids!D:E,2,FALSE)</f>
        <v>upi</v>
      </c>
      <c r="P2065" s="4" t="s">
        <v>69</v>
      </c>
      <c r="Q2065" s="4" t="s">
        <v>5660</v>
      </c>
      <c r="R2065" s="4"/>
      <c r="S2065" s="12" t="s">
        <v>5510</v>
      </c>
      <c r="T2065" s="4" t="s">
        <v>2444</v>
      </c>
      <c r="U2065" s="4"/>
      <c r="V2065" s="11"/>
      <c r="W2065" s="5"/>
      <c r="X2065" s="11"/>
      <c r="Y2065" s="4"/>
      <c r="Z2065" s="5"/>
      <c r="AA2065" s="4"/>
      <c r="AB2065" s="4"/>
      <c r="AC2065" s="4"/>
      <c r="AD2065" s="4"/>
      <c r="AE2065" s="5"/>
      <c r="AF2065" s="5"/>
      <c r="AG2065" s="5"/>
      <c r="AH2065" s="5"/>
      <c r="AI2065" s="5"/>
      <c r="AJ2065" s="5"/>
      <c r="AK2065" s="5"/>
      <c r="AL2065" s="5"/>
    </row>
    <row r="2066">
      <c r="A2066" s="4" t="str">
        <f>VLOOKUP(L2066,payment_ids!C:D,2,FALSE)</f>
        <v>pay_HNg2K48lVj3cVa</v>
      </c>
      <c r="B2066" s="4"/>
      <c r="C2066" s="4" t="s">
        <v>5508</v>
      </c>
      <c r="D2066" s="4">
        <v>50023.0</v>
      </c>
      <c r="E2066" s="5"/>
      <c r="F2066" s="4">
        <v>3.0</v>
      </c>
      <c r="G2066" s="4">
        <v>199.0</v>
      </c>
      <c r="H2066" s="4"/>
      <c r="I2066" s="4">
        <v>199.0</v>
      </c>
      <c r="J2066" s="4" t="s">
        <v>5661</v>
      </c>
      <c r="K2066" s="5">
        <f>+918341134078</f>
        <v>918341134078</v>
      </c>
      <c r="L2066" s="4" t="str">
        <f t="shared" si="1"/>
        <v>parvathi.sriram7@gmail.com918341134078</v>
      </c>
      <c r="M2066" s="10" t="s">
        <v>67</v>
      </c>
      <c r="N2066" s="4" t="b">
        <v>0</v>
      </c>
      <c r="O2066" s="4" t="str">
        <f>VLOOKUP(A2066,payment_ids!D:E,2,FALSE)</f>
        <v>upi</v>
      </c>
      <c r="P2066" s="4" t="s">
        <v>69</v>
      </c>
      <c r="Q2066" s="4" t="s">
        <v>5662</v>
      </c>
      <c r="R2066" s="4"/>
      <c r="S2066" s="12" t="s">
        <v>5510</v>
      </c>
      <c r="T2066" s="4" t="s">
        <v>2444</v>
      </c>
      <c r="U2066" s="4"/>
      <c r="V2066" s="11"/>
      <c r="W2066" s="5"/>
      <c r="X2066" s="11"/>
      <c r="Y2066" s="4"/>
      <c r="Z2066" s="5"/>
      <c r="AA2066" s="4"/>
      <c r="AB2066" s="4"/>
      <c r="AC2066" s="4"/>
      <c r="AD2066" s="4"/>
      <c r="AE2066" s="5"/>
      <c r="AF2066" s="5"/>
      <c r="AG2066" s="5"/>
      <c r="AH2066" s="5"/>
      <c r="AI2066" s="5"/>
      <c r="AJ2066" s="5"/>
      <c r="AK2066" s="5"/>
      <c r="AL2066" s="5"/>
    </row>
    <row r="2067">
      <c r="A2067" s="4" t="str">
        <f>VLOOKUP(L2067,payment_ids!C:D,2,FALSE)</f>
        <v>pay_HNhr0f6RGLnxG8</v>
      </c>
      <c r="B2067" s="4"/>
      <c r="C2067" s="4" t="s">
        <v>5508</v>
      </c>
      <c r="D2067" s="4">
        <v>50023.0</v>
      </c>
      <c r="E2067" s="5"/>
      <c r="F2067" s="4">
        <v>1.0</v>
      </c>
      <c r="G2067" s="4">
        <v>99.0</v>
      </c>
      <c r="H2067" s="4"/>
      <c r="I2067" s="4">
        <v>99.0</v>
      </c>
      <c r="J2067" s="4" t="s">
        <v>5663</v>
      </c>
      <c r="K2067" s="5">
        <f>+917499830829</f>
        <v>917499830829</v>
      </c>
      <c r="L2067" s="4" t="str">
        <f t="shared" si="1"/>
        <v>runalpawar0.55@gmail.com917499830829</v>
      </c>
      <c r="M2067" s="10" t="s">
        <v>67</v>
      </c>
      <c r="N2067" s="4" t="b">
        <v>0</v>
      </c>
      <c r="O2067" s="4" t="str">
        <f>VLOOKUP(A2067,payment_ids!D:E,2,FALSE)</f>
        <v>upi</v>
      </c>
      <c r="P2067" s="4" t="s">
        <v>69</v>
      </c>
      <c r="Q2067" s="4" t="s">
        <v>5664</v>
      </c>
      <c r="R2067" s="4"/>
      <c r="S2067" s="12" t="s">
        <v>5510</v>
      </c>
      <c r="T2067" s="4" t="s">
        <v>2444</v>
      </c>
      <c r="U2067" s="4"/>
      <c r="V2067" s="11"/>
      <c r="W2067" s="5"/>
      <c r="X2067" s="11"/>
      <c r="Y2067" s="4"/>
      <c r="Z2067" s="5"/>
      <c r="AA2067" s="4"/>
      <c r="AB2067" s="4"/>
      <c r="AC2067" s="4"/>
      <c r="AD2067" s="4"/>
      <c r="AE2067" s="5"/>
      <c r="AF2067" s="5"/>
      <c r="AG2067" s="5"/>
      <c r="AH2067" s="5"/>
      <c r="AI2067" s="5"/>
      <c r="AJ2067" s="5"/>
      <c r="AK2067" s="5"/>
      <c r="AL2067" s="5"/>
    </row>
    <row r="2068">
      <c r="A2068" s="4" t="str">
        <f>VLOOKUP(L2068,payment_ids!C:D,2,FALSE)</f>
        <v>pay_HNm2yHTiU3mj9j</v>
      </c>
      <c r="B2068" s="4"/>
      <c r="C2068" s="4" t="s">
        <v>5508</v>
      </c>
      <c r="D2068" s="4">
        <v>50023.0</v>
      </c>
      <c r="E2068" s="5"/>
      <c r="F2068" s="4">
        <v>1.0</v>
      </c>
      <c r="G2068" s="4">
        <v>99.0</v>
      </c>
      <c r="H2068" s="4"/>
      <c r="I2068" s="4">
        <v>99.0</v>
      </c>
      <c r="J2068" s="4" t="s">
        <v>5665</v>
      </c>
      <c r="K2068" s="5">
        <f>+917836073584</f>
        <v>917836073584</v>
      </c>
      <c r="L2068" s="4" t="str">
        <f t="shared" si="1"/>
        <v>dk5483159.star@gmail.com917836073584</v>
      </c>
      <c r="M2068" s="10" t="s">
        <v>67</v>
      </c>
      <c r="N2068" s="4" t="b">
        <v>0</v>
      </c>
      <c r="O2068" s="4" t="str">
        <f>VLOOKUP(A2068,payment_ids!D:E,2,FALSE)</f>
        <v>upi</v>
      </c>
      <c r="P2068" s="4" t="s">
        <v>69</v>
      </c>
      <c r="Q2068" s="4" t="s">
        <v>5666</v>
      </c>
      <c r="R2068" s="4"/>
      <c r="S2068" s="12" t="s">
        <v>5510</v>
      </c>
      <c r="T2068" s="4" t="s">
        <v>2444</v>
      </c>
      <c r="U2068" s="4"/>
      <c r="V2068" s="11"/>
      <c r="W2068" s="5"/>
      <c r="X2068" s="11"/>
      <c r="Y2068" s="4"/>
      <c r="Z2068" s="5"/>
      <c r="AA2068" s="4"/>
      <c r="AB2068" s="4"/>
      <c r="AC2068" s="4"/>
      <c r="AD2068" s="4"/>
      <c r="AE2068" s="5"/>
      <c r="AF2068" s="5"/>
      <c r="AG2068" s="5"/>
      <c r="AH2068" s="5"/>
      <c r="AI2068" s="5"/>
      <c r="AJ2068" s="5"/>
      <c r="AK2068" s="5"/>
      <c r="AL2068" s="5"/>
    </row>
    <row r="2069">
      <c r="A2069" s="4" t="str">
        <f>VLOOKUP(L2069,payment_ids!C:D,2,FALSE)</f>
        <v>pay_HNnLBXB4q2h4IF</v>
      </c>
      <c r="B2069" s="4"/>
      <c r="C2069" s="4" t="s">
        <v>5508</v>
      </c>
      <c r="D2069" s="4">
        <v>50023.0</v>
      </c>
      <c r="E2069" s="5"/>
      <c r="F2069" s="4">
        <v>1.0</v>
      </c>
      <c r="G2069" s="4">
        <v>99.0</v>
      </c>
      <c r="H2069" s="4"/>
      <c r="I2069" s="4">
        <v>99.0</v>
      </c>
      <c r="J2069" s="4" t="s">
        <v>5667</v>
      </c>
      <c r="K2069" s="5">
        <f>+919993040197</f>
        <v>919993040197</v>
      </c>
      <c r="L2069" s="4" t="str">
        <f t="shared" si="1"/>
        <v>shubhamkishor3@gmail.com919993040197</v>
      </c>
      <c r="M2069" s="10" t="s">
        <v>67</v>
      </c>
      <c r="N2069" s="4" t="b">
        <v>0</v>
      </c>
      <c r="O2069" s="4" t="str">
        <f>VLOOKUP(A2069,payment_ids!D:E,2,FALSE)</f>
        <v>netbanking</v>
      </c>
      <c r="P2069" s="4" t="s">
        <v>69</v>
      </c>
      <c r="Q2069" s="4" t="s">
        <v>5668</v>
      </c>
      <c r="R2069" s="4"/>
      <c r="S2069" s="12" t="s">
        <v>5510</v>
      </c>
      <c r="T2069" s="4" t="s">
        <v>2444</v>
      </c>
      <c r="U2069" s="4"/>
      <c r="V2069" s="11"/>
      <c r="W2069" s="5"/>
      <c r="X2069" s="11"/>
      <c r="Y2069" s="4"/>
      <c r="Z2069" s="5"/>
      <c r="AA2069" s="4"/>
      <c r="AB2069" s="4"/>
      <c r="AC2069" s="4"/>
      <c r="AD2069" s="4"/>
      <c r="AE2069" s="5"/>
      <c r="AF2069" s="5"/>
      <c r="AG2069" s="5"/>
      <c r="AH2069" s="5"/>
      <c r="AI2069" s="5"/>
      <c r="AJ2069" s="5"/>
      <c r="AK2069" s="5"/>
      <c r="AL2069" s="5"/>
    </row>
    <row r="2070">
      <c r="A2070" s="4" t="str">
        <f>VLOOKUP(L2070,payment_ids!C:D,2,FALSE)</f>
        <v>pay_HNnfq7dEFCjNOU</v>
      </c>
      <c r="B2070" s="4"/>
      <c r="C2070" s="4" t="s">
        <v>5508</v>
      </c>
      <c r="D2070" s="4">
        <v>50023.0</v>
      </c>
      <c r="E2070" s="5"/>
      <c r="F2070" s="4">
        <v>3.0</v>
      </c>
      <c r="G2070" s="4">
        <v>199.0</v>
      </c>
      <c r="H2070" s="4"/>
      <c r="I2070" s="4">
        <v>199.0</v>
      </c>
      <c r="J2070" s="4" t="s">
        <v>5669</v>
      </c>
      <c r="K2070" s="5">
        <f>+918140098109</f>
        <v>918140098109</v>
      </c>
      <c r="L2070" s="4" t="str">
        <f t="shared" si="1"/>
        <v>abhirajsinh6@gmail.com918140098109</v>
      </c>
      <c r="M2070" s="10" t="s">
        <v>67</v>
      </c>
      <c r="N2070" s="4" t="b">
        <v>0</v>
      </c>
      <c r="O2070" s="4" t="str">
        <f>VLOOKUP(A2070,payment_ids!D:E,2,FALSE)</f>
        <v>upi</v>
      </c>
      <c r="P2070" s="4" t="s">
        <v>69</v>
      </c>
      <c r="Q2070" s="4" t="s">
        <v>5670</v>
      </c>
      <c r="R2070" s="4"/>
      <c r="S2070" s="12" t="s">
        <v>5510</v>
      </c>
      <c r="T2070" s="4" t="s">
        <v>2444</v>
      </c>
      <c r="U2070" s="4"/>
      <c r="V2070" s="11"/>
      <c r="W2070" s="5"/>
      <c r="X2070" s="11"/>
      <c r="Y2070" s="4"/>
      <c r="Z2070" s="5"/>
      <c r="AA2070" s="4"/>
      <c r="AB2070" s="4"/>
      <c r="AC2070" s="4"/>
      <c r="AD2070" s="4"/>
      <c r="AE2070" s="5"/>
      <c r="AF2070" s="5"/>
      <c r="AG2070" s="5"/>
      <c r="AH2070" s="5"/>
      <c r="AI2070" s="5"/>
      <c r="AJ2070" s="5"/>
      <c r="AK2070" s="5"/>
      <c r="AL2070" s="5"/>
    </row>
    <row r="2071">
      <c r="A2071" s="4" t="str">
        <f>VLOOKUP(L2071,payment_ids!C:D,2,FALSE)</f>
        <v>pay_HNoo7yqGquUX8K</v>
      </c>
      <c r="B2071" s="4"/>
      <c r="C2071" s="4" t="s">
        <v>5508</v>
      </c>
      <c r="D2071" s="4">
        <v>50023.0</v>
      </c>
      <c r="E2071" s="5"/>
      <c r="F2071" s="4">
        <v>1.0</v>
      </c>
      <c r="G2071" s="4">
        <v>99.0</v>
      </c>
      <c r="H2071" s="4"/>
      <c r="I2071" s="4">
        <v>99.0</v>
      </c>
      <c r="J2071" s="4" t="s">
        <v>5671</v>
      </c>
      <c r="K2071" s="5">
        <f>+918377817586</f>
        <v>918377817586</v>
      </c>
      <c r="L2071" s="4" t="str">
        <f t="shared" si="1"/>
        <v>spot_shaan@rediffmail.com918377817586</v>
      </c>
      <c r="M2071" s="10" t="s">
        <v>67</v>
      </c>
      <c r="N2071" s="4" t="b">
        <v>0</v>
      </c>
      <c r="O2071" s="4" t="str">
        <f>VLOOKUP(A2071,payment_ids!D:E,2,FALSE)</f>
        <v>upi</v>
      </c>
      <c r="P2071" s="4" t="s">
        <v>69</v>
      </c>
      <c r="Q2071" s="4" t="s">
        <v>5672</v>
      </c>
      <c r="R2071" s="4"/>
      <c r="S2071" s="12" t="s">
        <v>5510</v>
      </c>
      <c r="T2071" s="4" t="s">
        <v>2444</v>
      </c>
      <c r="U2071" s="4"/>
      <c r="V2071" s="11"/>
      <c r="W2071" s="5"/>
      <c r="X2071" s="11"/>
      <c r="Y2071" s="4"/>
      <c r="Z2071" s="5"/>
      <c r="AA2071" s="4"/>
      <c r="AB2071" s="4"/>
      <c r="AC2071" s="4"/>
      <c r="AD2071" s="4"/>
      <c r="AE2071" s="5"/>
      <c r="AF2071" s="5"/>
      <c r="AG2071" s="5"/>
      <c r="AH2071" s="5"/>
      <c r="AI2071" s="5"/>
      <c r="AJ2071" s="5"/>
      <c r="AK2071" s="5"/>
      <c r="AL2071" s="5"/>
    </row>
    <row r="2072">
      <c r="A2072" s="4" t="str">
        <f>VLOOKUP(L2072,payment_ids!C:D,2,FALSE)</f>
        <v>pay_HO0AEDWuTSrOfK</v>
      </c>
      <c r="B2072" s="4"/>
      <c r="C2072" s="4" t="s">
        <v>5508</v>
      </c>
      <c r="D2072" s="4">
        <v>50023.0</v>
      </c>
      <c r="E2072" s="5"/>
      <c r="F2072" s="4">
        <v>1.0</v>
      </c>
      <c r="G2072" s="4">
        <v>99.0</v>
      </c>
      <c r="H2072" s="4"/>
      <c r="I2072" s="4">
        <v>99.0</v>
      </c>
      <c r="J2072" s="4" t="s">
        <v>5673</v>
      </c>
      <c r="K2072" s="5">
        <f>+917992339735</f>
        <v>917992339735</v>
      </c>
      <c r="L2072" s="4" t="str">
        <f t="shared" si="1"/>
        <v>rahulshivam867@gmail.com917992339735</v>
      </c>
      <c r="M2072" s="10" t="s">
        <v>67</v>
      </c>
      <c r="N2072" s="4" t="b">
        <v>0</v>
      </c>
      <c r="O2072" s="4" t="str">
        <f>VLOOKUP(A2072,payment_ids!D:E,2,FALSE)</f>
        <v>upi</v>
      </c>
      <c r="P2072" s="4" t="s">
        <v>69</v>
      </c>
      <c r="Q2072" s="4" t="s">
        <v>5674</v>
      </c>
      <c r="R2072" s="4"/>
      <c r="S2072" s="12" t="s">
        <v>5510</v>
      </c>
      <c r="T2072" s="4" t="s">
        <v>2444</v>
      </c>
      <c r="U2072" s="4"/>
      <c r="V2072" s="11"/>
      <c r="W2072" s="5"/>
      <c r="X2072" s="11"/>
      <c r="Y2072" s="4"/>
      <c r="Z2072" s="5"/>
      <c r="AA2072" s="4"/>
      <c r="AB2072" s="4"/>
      <c r="AC2072" s="4"/>
      <c r="AD2072" s="4"/>
      <c r="AE2072" s="5"/>
      <c r="AF2072" s="5"/>
      <c r="AG2072" s="5"/>
      <c r="AH2072" s="5"/>
      <c r="AI2072" s="5"/>
      <c r="AJ2072" s="5"/>
      <c r="AK2072" s="5"/>
      <c r="AL2072" s="5"/>
    </row>
    <row r="2073">
      <c r="A2073" s="4" t="str">
        <f>VLOOKUP(L2073,payment_ids!C:D,2,FALSE)</f>
        <v>pay_HO55U8lLrNrxvp</v>
      </c>
      <c r="B2073" s="4"/>
      <c r="C2073" s="4" t="s">
        <v>5508</v>
      </c>
      <c r="D2073" s="4">
        <v>50023.0</v>
      </c>
      <c r="E2073" s="5"/>
      <c r="F2073" s="4">
        <v>1.0</v>
      </c>
      <c r="G2073" s="4">
        <v>99.0</v>
      </c>
      <c r="H2073" s="4"/>
      <c r="I2073" s="4">
        <v>99.0</v>
      </c>
      <c r="J2073" s="4" t="s">
        <v>5675</v>
      </c>
      <c r="K2073" s="5">
        <f>+917981651055</f>
        <v>917981651055</v>
      </c>
      <c r="L2073" s="4" t="str">
        <f t="shared" si="1"/>
        <v>srikanthgoud.bathula@gmail.com917981651055</v>
      </c>
      <c r="M2073" s="10" t="s">
        <v>67</v>
      </c>
      <c r="N2073" s="4" t="b">
        <v>0</v>
      </c>
      <c r="O2073" s="4" t="str">
        <f>VLOOKUP(A2073,payment_ids!D:E,2,FALSE)</f>
        <v>upi</v>
      </c>
      <c r="P2073" s="4" t="s">
        <v>69</v>
      </c>
      <c r="Q2073" s="4" t="s">
        <v>5676</v>
      </c>
      <c r="R2073" s="4"/>
      <c r="S2073" s="12" t="s">
        <v>5510</v>
      </c>
      <c r="T2073" s="4" t="s">
        <v>2444</v>
      </c>
      <c r="U2073" s="4"/>
      <c r="V2073" s="11"/>
      <c r="W2073" s="5"/>
      <c r="X2073" s="11"/>
      <c r="Y2073" s="4"/>
      <c r="Z2073" s="5"/>
      <c r="AA2073" s="4"/>
      <c r="AB2073" s="4"/>
      <c r="AC2073" s="4"/>
      <c r="AD2073" s="4"/>
      <c r="AE2073" s="5"/>
      <c r="AF2073" s="5"/>
      <c r="AG2073" s="5"/>
      <c r="AH2073" s="5"/>
      <c r="AI2073" s="5"/>
      <c r="AJ2073" s="5"/>
      <c r="AK2073" s="5"/>
      <c r="AL2073" s="5"/>
    </row>
    <row r="2074">
      <c r="A2074" s="4" t="str">
        <f>VLOOKUP(L2074,payment_ids!C:D,2,FALSE)</f>
        <v>pay_HO97Bv5mxkWdHP</v>
      </c>
      <c r="B2074" s="4"/>
      <c r="C2074" s="4" t="s">
        <v>5508</v>
      </c>
      <c r="D2074" s="4">
        <v>50023.0</v>
      </c>
      <c r="E2074" s="5"/>
      <c r="F2074" s="4">
        <v>1.0</v>
      </c>
      <c r="G2074" s="4">
        <v>99.0</v>
      </c>
      <c r="H2074" s="4"/>
      <c r="I2074" s="4">
        <v>99.0</v>
      </c>
      <c r="J2074" s="4" t="s">
        <v>5677</v>
      </c>
      <c r="K2074" s="5">
        <f>+918368895417</f>
        <v>918368895417</v>
      </c>
      <c r="L2074" s="4" t="str">
        <f t="shared" si="1"/>
        <v>sankalpmittal305@gmail.com918368895417</v>
      </c>
      <c r="M2074" s="10" t="s">
        <v>67</v>
      </c>
      <c r="N2074" s="4" t="b">
        <v>0</v>
      </c>
      <c r="O2074" s="4" t="str">
        <f>VLOOKUP(A2074,payment_ids!D:E,2,FALSE)</f>
        <v>upi</v>
      </c>
      <c r="P2074" s="4" t="s">
        <v>69</v>
      </c>
      <c r="Q2074" s="4" t="s">
        <v>5678</v>
      </c>
      <c r="R2074" s="4"/>
      <c r="S2074" s="12" t="s">
        <v>5510</v>
      </c>
      <c r="T2074" s="4" t="s">
        <v>2444</v>
      </c>
      <c r="U2074" s="4"/>
      <c r="V2074" s="11"/>
      <c r="W2074" s="5"/>
      <c r="X2074" s="11"/>
      <c r="Y2074" s="4"/>
      <c r="Z2074" s="5"/>
      <c r="AA2074" s="4"/>
      <c r="AB2074" s="4"/>
      <c r="AC2074" s="4"/>
      <c r="AD2074" s="4"/>
      <c r="AE2074" s="5"/>
      <c r="AF2074" s="5"/>
      <c r="AG2074" s="5"/>
      <c r="AH2074" s="5"/>
      <c r="AI2074" s="5"/>
      <c r="AJ2074" s="5"/>
      <c r="AK2074" s="5"/>
      <c r="AL2074" s="5"/>
    </row>
    <row r="2075">
      <c r="A2075" s="4" t="str">
        <f>VLOOKUP(L2075,payment_ids!C:D,2,FALSE)</f>
        <v>pay_HOABD3bbd0Y6YT</v>
      </c>
      <c r="B2075" s="4"/>
      <c r="C2075" s="4" t="s">
        <v>5508</v>
      </c>
      <c r="D2075" s="4">
        <v>50023.0</v>
      </c>
      <c r="E2075" s="5"/>
      <c r="F2075" s="4">
        <v>1.0</v>
      </c>
      <c r="G2075" s="4">
        <v>99.0</v>
      </c>
      <c r="H2075" s="4"/>
      <c r="I2075" s="4">
        <v>99.0</v>
      </c>
      <c r="J2075" s="4" t="s">
        <v>5679</v>
      </c>
      <c r="K2075" s="5">
        <f>+918999466652</f>
        <v>918999466652</v>
      </c>
      <c r="L2075" s="4" t="str">
        <f t="shared" si="1"/>
        <v>sahil.s45531@gmail.com918999466652</v>
      </c>
      <c r="M2075" s="10" t="s">
        <v>67</v>
      </c>
      <c r="N2075" s="4" t="b">
        <v>0</v>
      </c>
      <c r="O2075" s="4" t="str">
        <f>VLOOKUP(A2075,payment_ids!D:E,2,FALSE)</f>
        <v>upi</v>
      </c>
      <c r="P2075" s="4" t="s">
        <v>69</v>
      </c>
      <c r="Q2075" s="4" t="s">
        <v>5680</v>
      </c>
      <c r="R2075" s="4"/>
      <c r="S2075" s="12" t="s">
        <v>5510</v>
      </c>
      <c r="T2075" s="4" t="s">
        <v>2444</v>
      </c>
      <c r="U2075" s="4"/>
      <c r="V2075" s="11"/>
      <c r="W2075" s="5"/>
      <c r="X2075" s="11"/>
      <c r="Y2075" s="4"/>
      <c r="Z2075" s="5"/>
      <c r="AA2075" s="4"/>
      <c r="AB2075" s="4"/>
      <c r="AC2075" s="4"/>
      <c r="AD2075" s="4"/>
      <c r="AE2075" s="5"/>
      <c r="AF2075" s="5"/>
      <c r="AG2075" s="5"/>
      <c r="AH2075" s="5"/>
      <c r="AI2075" s="5"/>
      <c r="AJ2075" s="5"/>
      <c r="AK2075" s="5"/>
      <c r="AL2075" s="5"/>
    </row>
    <row r="2076">
      <c r="A2076" s="4" t="str">
        <f>VLOOKUP(L2076,payment_ids!C:D,2,FALSE)</f>
        <v>pay_HOAO0XeFId6VZP</v>
      </c>
      <c r="B2076" s="4"/>
      <c r="C2076" s="4" t="s">
        <v>5508</v>
      </c>
      <c r="D2076" s="4">
        <v>50023.0</v>
      </c>
      <c r="E2076" s="5"/>
      <c r="F2076" s="4">
        <v>1.0</v>
      </c>
      <c r="G2076" s="4">
        <v>99.0</v>
      </c>
      <c r="H2076" s="4"/>
      <c r="I2076" s="4">
        <v>99.0</v>
      </c>
      <c r="J2076" s="4" t="s">
        <v>5681</v>
      </c>
      <c r="K2076" s="5">
        <f>+919901655925</f>
        <v>919901655925</v>
      </c>
      <c r="L2076" s="4" t="str">
        <f t="shared" si="1"/>
        <v>vk463841@gmail.com919901655925</v>
      </c>
      <c r="M2076" s="10" t="s">
        <v>67</v>
      </c>
      <c r="N2076" s="4" t="b">
        <v>0</v>
      </c>
      <c r="O2076" s="4" t="str">
        <f>VLOOKUP(A2076,payment_ids!D:E,2,FALSE)</f>
        <v>upi</v>
      </c>
      <c r="P2076" s="4" t="s">
        <v>69</v>
      </c>
      <c r="Q2076" s="4" t="s">
        <v>5682</v>
      </c>
      <c r="R2076" s="4"/>
      <c r="S2076" s="12" t="s">
        <v>5510</v>
      </c>
      <c r="T2076" s="4" t="s">
        <v>2444</v>
      </c>
      <c r="U2076" s="4"/>
      <c r="V2076" s="11"/>
      <c r="W2076" s="5"/>
      <c r="X2076" s="11"/>
      <c r="Y2076" s="4"/>
      <c r="Z2076" s="5"/>
      <c r="AA2076" s="4"/>
      <c r="AB2076" s="4"/>
      <c r="AC2076" s="4"/>
      <c r="AD2076" s="4"/>
      <c r="AE2076" s="5"/>
      <c r="AF2076" s="5"/>
      <c r="AG2076" s="5"/>
      <c r="AH2076" s="5"/>
      <c r="AI2076" s="5"/>
      <c r="AJ2076" s="5"/>
      <c r="AK2076" s="5"/>
      <c r="AL2076" s="5"/>
    </row>
    <row r="2077">
      <c r="A2077" s="4" t="str">
        <f>VLOOKUP(L2077,payment_ids!C:D,2,FALSE)</f>
        <v>pay_HO8A2JR26FIPDG</v>
      </c>
      <c r="B2077" s="4"/>
      <c r="C2077" s="4" t="s">
        <v>5508</v>
      </c>
      <c r="D2077" s="4">
        <v>50023.0</v>
      </c>
      <c r="E2077" s="5"/>
      <c r="F2077" s="4">
        <v>1.0</v>
      </c>
      <c r="G2077" s="4">
        <v>99.0</v>
      </c>
      <c r="H2077" s="4"/>
      <c r="I2077" s="4">
        <v>99.0</v>
      </c>
      <c r="J2077" s="4" t="s">
        <v>5683</v>
      </c>
      <c r="K2077" s="5">
        <f>+919959353462</f>
        <v>919959353462</v>
      </c>
      <c r="L2077" s="4" t="str">
        <f t="shared" si="1"/>
        <v>saiteja3660@gmail.com919959353462</v>
      </c>
      <c r="M2077" s="10" t="s">
        <v>67</v>
      </c>
      <c r="N2077" s="4" t="b">
        <v>0</v>
      </c>
      <c r="O2077" s="4" t="str">
        <f>VLOOKUP(A2077,payment_ids!D:E,2,FALSE)</f>
        <v>upi</v>
      </c>
      <c r="P2077" s="4" t="s">
        <v>69</v>
      </c>
      <c r="Q2077" s="4" t="s">
        <v>5684</v>
      </c>
      <c r="R2077" s="4"/>
      <c r="S2077" s="12" t="s">
        <v>5510</v>
      </c>
      <c r="T2077" s="4" t="s">
        <v>2444</v>
      </c>
      <c r="U2077" s="4"/>
      <c r="V2077" s="11"/>
      <c r="W2077" s="5"/>
      <c r="X2077" s="11"/>
      <c r="Y2077" s="4"/>
      <c r="Z2077" s="5"/>
      <c r="AA2077" s="4"/>
      <c r="AB2077" s="4"/>
      <c r="AC2077" s="4"/>
      <c r="AD2077" s="4"/>
      <c r="AE2077" s="5"/>
      <c r="AF2077" s="5"/>
      <c r="AG2077" s="5"/>
      <c r="AH2077" s="5"/>
      <c r="AI2077" s="5"/>
      <c r="AJ2077" s="5"/>
      <c r="AK2077" s="5"/>
      <c r="AL2077" s="5"/>
    </row>
    <row r="2078">
      <c r="A2078" s="4" t="str">
        <f>VLOOKUP(L2078,payment_ids!C:D,2,FALSE)</f>
        <v>pay_HODTzypsdTD4Xx</v>
      </c>
      <c r="B2078" s="4"/>
      <c r="C2078" s="4" t="s">
        <v>5508</v>
      </c>
      <c r="D2078" s="4">
        <v>50023.0</v>
      </c>
      <c r="E2078" s="5"/>
      <c r="F2078" s="4">
        <v>1.0</v>
      </c>
      <c r="G2078" s="4">
        <v>99.0</v>
      </c>
      <c r="H2078" s="4"/>
      <c r="I2078" s="4">
        <v>99.0</v>
      </c>
      <c r="J2078" s="4" t="s">
        <v>5685</v>
      </c>
      <c r="K2078" s="5">
        <f>+919673275442</f>
        <v>919673275442</v>
      </c>
      <c r="L2078" s="4" t="str">
        <f t="shared" si="1"/>
        <v>masayeprabodhan@gmail.com919673275442</v>
      </c>
      <c r="M2078" s="10" t="s">
        <v>67</v>
      </c>
      <c r="N2078" s="4" t="b">
        <v>0</v>
      </c>
      <c r="O2078" s="4" t="str">
        <f>VLOOKUP(A2078,payment_ids!D:E,2,FALSE)</f>
        <v>upi</v>
      </c>
      <c r="P2078" s="4" t="s">
        <v>69</v>
      </c>
      <c r="Q2078" s="4" t="s">
        <v>5686</v>
      </c>
      <c r="R2078" s="4"/>
      <c r="S2078" s="12" t="s">
        <v>5510</v>
      </c>
      <c r="T2078" s="4" t="s">
        <v>2444</v>
      </c>
      <c r="U2078" s="4"/>
      <c r="V2078" s="11"/>
      <c r="W2078" s="5"/>
      <c r="X2078" s="11"/>
      <c r="Y2078" s="4"/>
      <c r="Z2078" s="5"/>
      <c r="AA2078" s="4"/>
      <c r="AB2078" s="4"/>
      <c r="AC2078" s="4"/>
      <c r="AD2078" s="4"/>
      <c r="AE2078" s="5"/>
      <c r="AF2078" s="5"/>
      <c r="AG2078" s="5"/>
      <c r="AH2078" s="5"/>
      <c r="AI2078" s="5"/>
      <c r="AJ2078" s="5"/>
      <c r="AK2078" s="5"/>
      <c r="AL2078" s="5"/>
    </row>
    <row r="2079">
      <c r="A2079" s="4" t="str">
        <f>VLOOKUP(L2079,payment_ids!C:D,2,FALSE)</f>
        <v>pay_HOLcKgae9AAMKV</v>
      </c>
      <c r="B2079" s="4"/>
      <c r="C2079" s="4" t="s">
        <v>5508</v>
      </c>
      <c r="D2079" s="4">
        <v>50023.0</v>
      </c>
      <c r="E2079" s="5"/>
      <c r="F2079" s="4">
        <v>1.0</v>
      </c>
      <c r="G2079" s="4">
        <v>99.0</v>
      </c>
      <c r="H2079" s="4"/>
      <c r="I2079" s="4">
        <v>99.0</v>
      </c>
      <c r="J2079" s="4" t="s">
        <v>5687</v>
      </c>
      <c r="K2079" s="5">
        <f>+916207324351</f>
        <v>916207324351</v>
      </c>
      <c r="L2079" s="4" t="str">
        <f t="shared" si="1"/>
        <v>avinashkr846@gmail.com916207324351</v>
      </c>
      <c r="M2079" s="10" t="s">
        <v>67</v>
      </c>
      <c r="N2079" s="4" t="b">
        <v>0</v>
      </c>
      <c r="O2079" s="4" t="str">
        <f>VLOOKUP(A2079,payment_ids!D:E,2,FALSE)</f>
        <v>upi</v>
      </c>
      <c r="P2079" s="4" t="s">
        <v>69</v>
      </c>
      <c r="Q2079" s="4" t="s">
        <v>5688</v>
      </c>
      <c r="R2079" s="4"/>
      <c r="S2079" s="12" t="s">
        <v>5510</v>
      </c>
      <c r="T2079" s="4" t="s">
        <v>2444</v>
      </c>
      <c r="U2079" s="4"/>
      <c r="V2079" s="11"/>
      <c r="W2079" s="5"/>
      <c r="X2079" s="11"/>
      <c r="Y2079" s="4"/>
      <c r="Z2079" s="5"/>
      <c r="AA2079" s="4"/>
      <c r="AB2079" s="4"/>
      <c r="AC2079" s="4"/>
      <c r="AD2079" s="4"/>
      <c r="AE2079" s="5"/>
      <c r="AF2079" s="5"/>
      <c r="AG2079" s="5"/>
      <c r="AH2079" s="5"/>
      <c r="AI2079" s="5"/>
      <c r="AJ2079" s="5"/>
      <c r="AK2079" s="5"/>
      <c r="AL2079" s="5"/>
    </row>
    <row r="2080">
      <c r="A2080" s="4" t="str">
        <f>VLOOKUP(L2080,payment_ids!C:D,2,FALSE)</f>
        <v>pay_HOMfwSG0kQR1BN</v>
      </c>
      <c r="B2080" s="4"/>
      <c r="C2080" s="4" t="s">
        <v>5508</v>
      </c>
      <c r="D2080" s="4">
        <v>50023.0</v>
      </c>
      <c r="E2080" s="5"/>
      <c r="F2080" s="4">
        <v>1.0</v>
      </c>
      <c r="G2080" s="4">
        <v>99.0</v>
      </c>
      <c r="H2080" s="4"/>
      <c r="I2080" s="4">
        <v>99.0</v>
      </c>
      <c r="J2080" s="4" t="s">
        <v>5689</v>
      </c>
      <c r="K2080" s="5">
        <f>+918559939436</f>
        <v>918559939436</v>
      </c>
      <c r="L2080" s="4" t="str">
        <f t="shared" si="1"/>
        <v>diamondrathore44@gmail.com918559939436</v>
      </c>
      <c r="M2080" s="10" t="s">
        <v>67</v>
      </c>
      <c r="N2080" s="4" t="b">
        <v>0</v>
      </c>
      <c r="O2080" s="4" t="str">
        <f>VLOOKUP(A2080,payment_ids!D:E,2,FALSE)</f>
        <v>upi</v>
      </c>
      <c r="P2080" s="4" t="s">
        <v>69</v>
      </c>
      <c r="Q2080" s="4" t="s">
        <v>5690</v>
      </c>
      <c r="R2080" s="4"/>
      <c r="S2080" s="12" t="s">
        <v>5510</v>
      </c>
      <c r="T2080" s="4" t="s">
        <v>2444</v>
      </c>
      <c r="U2080" s="4"/>
      <c r="V2080" s="11"/>
      <c r="W2080" s="5"/>
      <c r="X2080" s="11"/>
      <c r="Y2080" s="4"/>
      <c r="Z2080" s="5"/>
      <c r="AA2080" s="4"/>
      <c r="AB2080" s="4"/>
      <c r="AC2080" s="4"/>
      <c r="AD2080" s="4"/>
      <c r="AE2080" s="5"/>
      <c r="AF2080" s="5"/>
      <c r="AG2080" s="5"/>
      <c r="AH2080" s="5"/>
      <c r="AI2080" s="5"/>
      <c r="AJ2080" s="5"/>
      <c r="AK2080" s="5"/>
      <c r="AL2080" s="5"/>
    </row>
    <row r="2081">
      <c r="A2081" s="4" t="str">
        <f>VLOOKUP(L2081,payment_ids!C:D,2,FALSE)</f>
        <v>pay_HOO5qCm7qaSyjz</v>
      </c>
      <c r="B2081" s="4"/>
      <c r="C2081" s="4" t="s">
        <v>5508</v>
      </c>
      <c r="D2081" s="4">
        <v>50023.0</v>
      </c>
      <c r="E2081" s="5"/>
      <c r="F2081" s="4">
        <v>1.0</v>
      </c>
      <c r="G2081" s="4">
        <v>99.0</v>
      </c>
      <c r="H2081" s="4"/>
      <c r="I2081" s="4">
        <v>99.0</v>
      </c>
      <c r="J2081" s="4" t="s">
        <v>5691</v>
      </c>
      <c r="K2081" s="5">
        <f>+918741001420</f>
        <v>918741001420</v>
      </c>
      <c r="L2081" s="4" t="str">
        <f t="shared" si="1"/>
        <v>ashishbelwal2@gmail.com918741001420</v>
      </c>
      <c r="M2081" s="10" t="s">
        <v>67</v>
      </c>
      <c r="N2081" s="4" t="b">
        <v>0</v>
      </c>
      <c r="O2081" s="4" t="str">
        <f>VLOOKUP(A2081,payment_ids!D:E,2,FALSE)</f>
        <v>upi</v>
      </c>
      <c r="P2081" s="4" t="s">
        <v>69</v>
      </c>
      <c r="Q2081" s="4" t="s">
        <v>5692</v>
      </c>
      <c r="R2081" s="4"/>
      <c r="S2081" s="12" t="s">
        <v>5510</v>
      </c>
      <c r="T2081" s="4" t="s">
        <v>2444</v>
      </c>
      <c r="U2081" s="4"/>
      <c r="V2081" s="11"/>
      <c r="W2081" s="5"/>
      <c r="X2081" s="11"/>
      <c r="Y2081" s="4"/>
      <c r="Z2081" s="5"/>
      <c r="AA2081" s="4"/>
      <c r="AB2081" s="4"/>
      <c r="AC2081" s="4"/>
      <c r="AD2081" s="4"/>
      <c r="AE2081" s="5"/>
      <c r="AF2081" s="5"/>
      <c r="AG2081" s="5"/>
      <c r="AH2081" s="5"/>
      <c r="AI2081" s="5"/>
      <c r="AJ2081" s="5"/>
      <c r="AK2081" s="5"/>
      <c r="AL2081" s="5"/>
    </row>
    <row r="2082">
      <c r="A2082" s="4" t="str">
        <f>VLOOKUP(L2082,payment_ids!C:D,2,FALSE)</f>
        <v>pay_HOOqJqSoHuD687</v>
      </c>
      <c r="B2082" s="4"/>
      <c r="C2082" s="4" t="s">
        <v>5508</v>
      </c>
      <c r="D2082" s="4">
        <v>50023.0</v>
      </c>
      <c r="E2082" s="5"/>
      <c r="F2082" s="4">
        <v>1.0</v>
      </c>
      <c r="G2082" s="4">
        <v>99.0</v>
      </c>
      <c r="H2082" s="4"/>
      <c r="I2082" s="4">
        <v>99.0</v>
      </c>
      <c r="J2082" s="4" t="s">
        <v>5693</v>
      </c>
      <c r="K2082" s="5">
        <f>+917974147359</f>
        <v>917974147359</v>
      </c>
      <c r="L2082" s="4" t="str">
        <f t="shared" si="1"/>
        <v>dodiyanarendrasingh76@gmail.com917974147359</v>
      </c>
      <c r="M2082" s="10" t="s">
        <v>67</v>
      </c>
      <c r="N2082" s="4" t="b">
        <v>0</v>
      </c>
      <c r="O2082" s="4" t="str">
        <f>VLOOKUP(A2082,payment_ids!D:E,2,FALSE)</f>
        <v>upi</v>
      </c>
      <c r="P2082" s="4" t="s">
        <v>69</v>
      </c>
      <c r="Q2082" s="4" t="s">
        <v>5694</v>
      </c>
      <c r="R2082" s="4"/>
      <c r="S2082" s="12" t="s">
        <v>5510</v>
      </c>
      <c r="T2082" s="4" t="s">
        <v>2444</v>
      </c>
      <c r="U2082" s="4"/>
      <c r="V2082" s="11"/>
      <c r="W2082" s="5"/>
      <c r="X2082" s="11"/>
      <c r="Y2082" s="4"/>
      <c r="Z2082" s="5"/>
      <c r="AA2082" s="4"/>
      <c r="AB2082" s="4"/>
      <c r="AC2082" s="4"/>
      <c r="AD2082" s="4"/>
      <c r="AE2082" s="5"/>
      <c r="AF2082" s="5"/>
      <c r="AG2082" s="5"/>
      <c r="AH2082" s="5"/>
      <c r="AI2082" s="5"/>
      <c r="AJ2082" s="5"/>
      <c r="AK2082" s="5"/>
      <c r="AL2082" s="5"/>
    </row>
    <row r="2083">
      <c r="A2083" s="4" t="str">
        <f>VLOOKUP(L2083,payment_ids!C:D,2,FALSE)</f>
        <v>pay_HOUPHAYxT02EZb</v>
      </c>
      <c r="B2083" s="4"/>
      <c r="C2083" s="4" t="s">
        <v>5508</v>
      </c>
      <c r="D2083" s="4">
        <v>50023.0</v>
      </c>
      <c r="E2083" s="5"/>
      <c r="F2083" s="4">
        <v>3.0</v>
      </c>
      <c r="G2083" s="4">
        <v>199.0</v>
      </c>
      <c r="H2083" s="4"/>
      <c r="I2083" s="4">
        <v>199.0</v>
      </c>
      <c r="J2083" s="4" t="s">
        <v>5695</v>
      </c>
      <c r="K2083" s="5">
        <f>+918962611357</f>
        <v>918962611357</v>
      </c>
      <c r="L2083" s="4" t="str">
        <f t="shared" si="1"/>
        <v>deeppuware41@gmail.com918962611357</v>
      </c>
      <c r="M2083" s="10" t="s">
        <v>67</v>
      </c>
      <c r="N2083" s="4" t="b">
        <v>0</v>
      </c>
      <c r="O2083" s="4" t="str">
        <f>VLOOKUP(A2083,payment_ids!D:E,2,FALSE)</f>
        <v>upi</v>
      </c>
      <c r="P2083" s="4" t="s">
        <v>69</v>
      </c>
      <c r="Q2083" s="4" t="s">
        <v>5696</v>
      </c>
      <c r="R2083" s="4"/>
      <c r="S2083" s="12" t="s">
        <v>5510</v>
      </c>
      <c r="T2083" s="4" t="s">
        <v>2444</v>
      </c>
      <c r="U2083" s="4"/>
      <c r="V2083" s="11"/>
      <c r="W2083" s="5"/>
      <c r="X2083" s="11"/>
      <c r="Y2083" s="4"/>
      <c r="Z2083" s="5"/>
      <c r="AA2083" s="4"/>
      <c r="AB2083" s="4"/>
      <c r="AC2083" s="4"/>
      <c r="AD2083" s="4"/>
      <c r="AE2083" s="5"/>
      <c r="AF2083" s="5"/>
      <c r="AG2083" s="5"/>
      <c r="AH2083" s="5"/>
      <c r="AI2083" s="5"/>
      <c r="AJ2083" s="5"/>
      <c r="AK2083" s="5"/>
      <c r="AL2083" s="5"/>
    </row>
    <row r="2084">
      <c r="A2084" s="4" t="str">
        <f>VLOOKUP(L2084,payment_ids!C:D,2,FALSE)</f>
        <v>pay_HOg6KOfdkHaR6k</v>
      </c>
      <c r="B2084" s="4"/>
      <c r="C2084" s="4" t="s">
        <v>5508</v>
      </c>
      <c r="D2084" s="4">
        <v>50023.0</v>
      </c>
      <c r="E2084" s="5"/>
      <c r="F2084" s="4">
        <v>1.0</v>
      </c>
      <c r="G2084" s="4">
        <v>99.0</v>
      </c>
      <c r="H2084" s="4"/>
      <c r="I2084" s="4">
        <v>99.0</v>
      </c>
      <c r="J2084" s="4" t="s">
        <v>5697</v>
      </c>
      <c r="K2084" s="5">
        <f>+919936206070</f>
        <v>919936206070</v>
      </c>
      <c r="L2084" s="4" t="str">
        <f t="shared" si="1"/>
        <v>dhanishtiwari07@gmail.com919936206070</v>
      </c>
      <c r="M2084" s="10" t="s">
        <v>67</v>
      </c>
      <c r="N2084" s="4" t="b">
        <v>0</v>
      </c>
      <c r="O2084" s="4" t="str">
        <f>VLOOKUP(A2084,payment_ids!D:E,2,FALSE)</f>
        <v>upi</v>
      </c>
      <c r="P2084" s="4" t="s">
        <v>69</v>
      </c>
      <c r="Q2084" s="4" t="s">
        <v>5698</v>
      </c>
      <c r="R2084" s="4"/>
      <c r="S2084" s="12" t="s">
        <v>5510</v>
      </c>
      <c r="T2084" s="4" t="s">
        <v>2444</v>
      </c>
      <c r="U2084" s="4"/>
      <c r="V2084" s="11"/>
      <c r="W2084" s="5"/>
      <c r="X2084" s="11"/>
      <c r="Y2084" s="4"/>
      <c r="Z2084" s="5"/>
      <c r="AA2084" s="4"/>
      <c r="AB2084" s="4"/>
      <c r="AC2084" s="4"/>
      <c r="AD2084" s="4"/>
      <c r="AE2084" s="5"/>
      <c r="AF2084" s="5"/>
      <c r="AG2084" s="5"/>
      <c r="AH2084" s="5"/>
      <c r="AI2084" s="5"/>
      <c r="AJ2084" s="5"/>
      <c r="AK2084" s="5"/>
      <c r="AL2084" s="5"/>
    </row>
    <row r="2085">
      <c r="A2085" s="4" t="str">
        <f>VLOOKUP(L2085,payment_ids!C:D,2,FALSE)</f>
        <v>pay_HOkkUJgOP4C8Ek</v>
      </c>
      <c r="B2085" s="4"/>
      <c r="C2085" s="4" t="s">
        <v>5508</v>
      </c>
      <c r="D2085" s="4">
        <v>50023.0</v>
      </c>
      <c r="E2085" s="5"/>
      <c r="F2085" s="4">
        <v>1.0</v>
      </c>
      <c r="G2085" s="4">
        <v>99.0</v>
      </c>
      <c r="H2085" s="4"/>
      <c r="I2085" s="4">
        <v>99.0</v>
      </c>
      <c r="J2085" s="4" t="s">
        <v>5699</v>
      </c>
      <c r="K2085" s="5">
        <f>+919354284667</f>
        <v>919354284667</v>
      </c>
      <c r="L2085" s="4" t="str">
        <f t="shared" si="1"/>
        <v>sksarfarazkhan3438@gmail.com919354284667</v>
      </c>
      <c r="M2085" s="10" t="s">
        <v>67</v>
      </c>
      <c r="N2085" s="4" t="b">
        <v>0</v>
      </c>
      <c r="O2085" s="4" t="str">
        <f>VLOOKUP(A2085,payment_ids!D:E,2,FALSE)</f>
        <v>upi</v>
      </c>
      <c r="P2085" s="4" t="s">
        <v>69</v>
      </c>
      <c r="Q2085" s="4" t="s">
        <v>5700</v>
      </c>
      <c r="R2085" s="4"/>
      <c r="S2085" s="12" t="s">
        <v>5510</v>
      </c>
      <c r="T2085" s="4" t="s">
        <v>2444</v>
      </c>
      <c r="U2085" s="4"/>
      <c r="V2085" s="11"/>
      <c r="W2085" s="5"/>
      <c r="X2085" s="11"/>
      <c r="Y2085" s="4"/>
      <c r="Z2085" s="5"/>
      <c r="AA2085" s="4"/>
      <c r="AB2085" s="4"/>
      <c r="AC2085" s="4"/>
      <c r="AD2085" s="4"/>
      <c r="AE2085" s="5"/>
      <c r="AF2085" s="5"/>
      <c r="AG2085" s="5"/>
      <c r="AH2085" s="5"/>
      <c r="AI2085" s="5"/>
      <c r="AJ2085" s="5"/>
      <c r="AK2085" s="5"/>
      <c r="AL2085" s="5"/>
    </row>
    <row r="2086">
      <c r="A2086" s="4" t="str">
        <f>VLOOKUP(L2086,payment_ids!C:D,2,FALSE)</f>
        <v>pay_HOwiuCkbf8T041</v>
      </c>
      <c r="B2086" s="4"/>
      <c r="C2086" s="4" t="s">
        <v>5508</v>
      </c>
      <c r="D2086" s="4">
        <v>50023.0</v>
      </c>
      <c r="E2086" s="5"/>
      <c r="F2086" s="4">
        <v>1.0</v>
      </c>
      <c r="G2086" s="4">
        <v>99.0</v>
      </c>
      <c r="H2086" s="4"/>
      <c r="I2086" s="4">
        <v>99.0</v>
      </c>
      <c r="J2086" s="4" t="s">
        <v>3588</v>
      </c>
      <c r="K2086" s="5">
        <f>+919752585428</f>
        <v>919752585428</v>
      </c>
      <c r="L2086" s="4" t="str">
        <f t="shared" si="1"/>
        <v>nekramsen@gmail.com919752585428</v>
      </c>
      <c r="M2086" s="10" t="s">
        <v>67</v>
      </c>
      <c r="N2086" s="4" t="b">
        <v>0</v>
      </c>
      <c r="O2086" s="4" t="str">
        <f>VLOOKUP(A2086,payment_ids!D:E,2,FALSE)</f>
        <v>upi</v>
      </c>
      <c r="P2086" s="4" t="s">
        <v>69</v>
      </c>
      <c r="Q2086" s="4" t="s">
        <v>5701</v>
      </c>
      <c r="R2086" s="4"/>
      <c r="S2086" s="12" t="s">
        <v>5584</v>
      </c>
      <c r="T2086" s="4" t="s">
        <v>2444</v>
      </c>
      <c r="U2086" s="4"/>
      <c r="V2086" s="11"/>
      <c r="W2086" s="5"/>
      <c r="X2086" s="11"/>
      <c r="Y2086" s="4"/>
      <c r="Z2086" s="5"/>
      <c r="AA2086" s="4"/>
      <c r="AB2086" s="4"/>
      <c r="AC2086" s="4"/>
      <c r="AD2086" s="4"/>
      <c r="AE2086" s="5"/>
      <c r="AF2086" s="5"/>
      <c r="AG2086" s="5"/>
      <c r="AH2086" s="5"/>
      <c r="AI2086" s="5"/>
      <c r="AJ2086" s="5"/>
      <c r="AK2086" s="5"/>
      <c r="AL2086" s="5"/>
    </row>
    <row r="2087">
      <c r="A2087" s="4" t="str">
        <f>VLOOKUP(L2087,payment_ids!C:D,2,FALSE)</f>
        <v>pay_HPBFe70eI0baiu</v>
      </c>
      <c r="B2087" s="4"/>
      <c r="C2087" s="4" t="s">
        <v>5508</v>
      </c>
      <c r="D2087" s="4">
        <v>50023.0</v>
      </c>
      <c r="E2087" s="5"/>
      <c r="F2087" s="4">
        <v>1.0</v>
      </c>
      <c r="G2087" s="4">
        <v>99.0</v>
      </c>
      <c r="H2087" s="4"/>
      <c r="I2087" s="4">
        <v>99.0</v>
      </c>
      <c r="J2087" s="4" t="s">
        <v>5702</v>
      </c>
      <c r="K2087" s="5">
        <f>+917974796104</f>
        <v>917974796104</v>
      </c>
      <c r="L2087" s="4" t="str">
        <f t="shared" si="1"/>
        <v>riyab932@gmail.com917974796104</v>
      </c>
      <c r="M2087" s="10" t="s">
        <v>67</v>
      </c>
      <c r="N2087" s="4" t="b">
        <v>0</v>
      </c>
      <c r="O2087" s="4" t="str">
        <f>VLOOKUP(A2087,payment_ids!D:E,2,FALSE)</f>
        <v>upi</v>
      </c>
      <c r="P2087" s="4" t="s">
        <v>69</v>
      </c>
      <c r="Q2087" s="4" t="s">
        <v>5703</v>
      </c>
      <c r="R2087" s="4"/>
      <c r="S2087" s="12" t="s">
        <v>5510</v>
      </c>
      <c r="T2087" s="4" t="s">
        <v>2444</v>
      </c>
      <c r="U2087" s="4"/>
      <c r="V2087" s="11"/>
      <c r="W2087" s="5"/>
      <c r="X2087" s="11"/>
      <c r="Y2087" s="4"/>
      <c r="Z2087" s="5"/>
      <c r="AA2087" s="4"/>
      <c r="AB2087" s="4"/>
      <c r="AC2087" s="4"/>
      <c r="AD2087" s="4"/>
      <c r="AE2087" s="5"/>
      <c r="AF2087" s="5"/>
      <c r="AG2087" s="5"/>
      <c r="AH2087" s="5"/>
      <c r="AI2087" s="5"/>
      <c r="AJ2087" s="5"/>
      <c r="AK2087" s="5"/>
      <c r="AL2087" s="5"/>
    </row>
    <row r="2088">
      <c r="A2088" s="4" t="str">
        <f>VLOOKUP(L2088,payment_ids!C:D,2,FALSE)</f>
        <v>pay_HPf76crmmHLYXW</v>
      </c>
      <c r="B2088" s="4"/>
      <c r="C2088" s="4" t="s">
        <v>5508</v>
      </c>
      <c r="D2088" s="4">
        <v>50023.0</v>
      </c>
      <c r="E2088" s="5"/>
      <c r="F2088" s="4">
        <v>1.0</v>
      </c>
      <c r="G2088" s="4">
        <v>99.0</v>
      </c>
      <c r="H2088" s="4"/>
      <c r="I2088" s="4">
        <v>99.0</v>
      </c>
      <c r="J2088" s="4" t="s">
        <v>5704</v>
      </c>
      <c r="K2088" s="5">
        <f t="shared" ref="K2088:K2089" si="11">+917991700859</f>
        <v>917991700859</v>
      </c>
      <c r="L2088" s="4" t="str">
        <f t="shared" si="1"/>
        <v>rk8735080@gmail.com917991700859</v>
      </c>
      <c r="M2088" s="10" t="s">
        <v>67</v>
      </c>
      <c r="N2088" s="4" t="b">
        <v>0</v>
      </c>
      <c r="O2088" s="4" t="str">
        <f>VLOOKUP(A2088,payment_ids!D:E,2,FALSE)</f>
        <v>wallet</v>
      </c>
      <c r="P2088" s="4" t="s">
        <v>69</v>
      </c>
      <c r="Q2088" s="4" t="s">
        <v>5705</v>
      </c>
      <c r="R2088" s="4"/>
      <c r="S2088" s="12" t="s">
        <v>5510</v>
      </c>
      <c r="T2088" s="4" t="s">
        <v>2444</v>
      </c>
      <c r="U2088" s="4"/>
      <c r="V2088" s="11"/>
      <c r="W2088" s="5"/>
      <c r="X2088" s="11"/>
      <c r="Y2088" s="4"/>
      <c r="Z2088" s="5"/>
      <c r="AA2088" s="4"/>
      <c r="AB2088" s="4"/>
      <c r="AC2088" s="4"/>
      <c r="AD2088" s="4"/>
      <c r="AE2088" s="5"/>
      <c r="AF2088" s="5"/>
      <c r="AG2088" s="5"/>
      <c r="AH2088" s="5"/>
      <c r="AI2088" s="5"/>
      <c r="AJ2088" s="5"/>
      <c r="AK2088" s="5"/>
      <c r="AL2088" s="5"/>
    </row>
    <row r="2089">
      <c r="A2089" s="4" t="str">
        <f>VLOOKUP(L2089,payment_ids!C:D,2,FALSE)</f>
        <v>pay_HPf76crmmHLYXW</v>
      </c>
      <c r="B2089" s="4"/>
      <c r="C2089" s="4" t="s">
        <v>5508</v>
      </c>
      <c r="D2089" s="4">
        <v>50023.0</v>
      </c>
      <c r="E2089" s="5"/>
      <c r="F2089" s="4">
        <v>1.0</v>
      </c>
      <c r="G2089" s="4">
        <v>99.0</v>
      </c>
      <c r="H2089" s="4"/>
      <c r="I2089" s="4">
        <v>99.0</v>
      </c>
      <c r="J2089" s="4" t="s">
        <v>5704</v>
      </c>
      <c r="K2089" s="5">
        <f t="shared" si="11"/>
        <v>917991700859</v>
      </c>
      <c r="L2089" s="4" t="str">
        <f t="shared" si="1"/>
        <v>rk8735080@gmail.com917991700859</v>
      </c>
      <c r="M2089" s="10" t="s">
        <v>67</v>
      </c>
      <c r="N2089" s="4" t="b">
        <v>0</v>
      </c>
      <c r="O2089" s="4" t="str">
        <f>VLOOKUP(A2089,payment_ids!D:E,2,FALSE)</f>
        <v>wallet</v>
      </c>
      <c r="P2089" s="4" t="s">
        <v>69</v>
      </c>
      <c r="Q2089" s="4" t="s">
        <v>5705</v>
      </c>
      <c r="R2089" s="4"/>
      <c r="S2089" s="12" t="s">
        <v>5510</v>
      </c>
      <c r="T2089" s="4" t="s">
        <v>2444</v>
      </c>
      <c r="U2089" s="4"/>
      <c r="V2089" s="11"/>
      <c r="W2089" s="5"/>
      <c r="X2089" s="11"/>
      <c r="Y2089" s="4"/>
      <c r="Z2089" s="5"/>
      <c r="AA2089" s="4"/>
      <c r="AB2089" s="4"/>
      <c r="AC2089" s="4"/>
      <c r="AD2089" s="4"/>
      <c r="AE2089" s="5"/>
      <c r="AF2089" s="5"/>
      <c r="AG2089" s="5"/>
      <c r="AH2089" s="5"/>
      <c r="AI2089" s="5"/>
      <c r="AJ2089" s="5"/>
      <c r="AK2089" s="5"/>
      <c r="AL2089" s="5"/>
    </row>
    <row r="2090">
      <c r="A2090" s="4" t="str">
        <f>VLOOKUP(L2090,payment_ids!C:D,2,FALSE)</f>
        <v>pay_HPjxHrmd0E5vTO</v>
      </c>
      <c r="B2090" s="4"/>
      <c r="C2090" s="4" t="s">
        <v>5508</v>
      </c>
      <c r="D2090" s="4">
        <v>50023.0</v>
      </c>
      <c r="E2090" s="5"/>
      <c r="F2090" s="4">
        <v>1.0</v>
      </c>
      <c r="G2090" s="4">
        <v>99.0</v>
      </c>
      <c r="H2090" s="4"/>
      <c r="I2090" s="4">
        <v>99.0</v>
      </c>
      <c r="J2090" s="4" t="s">
        <v>5706</v>
      </c>
      <c r="K2090" s="5">
        <f>+918637236842</f>
        <v>918637236842</v>
      </c>
      <c r="L2090" s="4" t="str">
        <f t="shared" si="1"/>
        <v>chinmayamallick99@gmail.com918637236842</v>
      </c>
      <c r="M2090" s="10" t="s">
        <v>67</v>
      </c>
      <c r="N2090" s="4" t="b">
        <v>0</v>
      </c>
      <c r="O2090" s="4" t="str">
        <f>VLOOKUP(A2090,payment_ids!D:E,2,FALSE)</f>
        <v>wallet</v>
      </c>
      <c r="P2090" s="4" t="s">
        <v>69</v>
      </c>
      <c r="Q2090" s="4" t="s">
        <v>5707</v>
      </c>
      <c r="R2090" s="4"/>
      <c r="S2090" s="12" t="s">
        <v>5510</v>
      </c>
      <c r="T2090" s="4" t="s">
        <v>2444</v>
      </c>
      <c r="U2090" s="4"/>
      <c r="V2090" s="11"/>
      <c r="W2090" s="5"/>
      <c r="X2090" s="11"/>
      <c r="Y2090" s="4"/>
      <c r="Z2090" s="5"/>
      <c r="AA2090" s="4"/>
      <c r="AB2090" s="4"/>
      <c r="AC2090" s="4"/>
      <c r="AD2090" s="4"/>
      <c r="AE2090" s="5"/>
      <c r="AF2090" s="5"/>
      <c r="AG2090" s="5"/>
      <c r="AH2090" s="5"/>
      <c r="AI2090" s="5"/>
      <c r="AJ2090" s="5"/>
      <c r="AK2090" s="5"/>
      <c r="AL2090" s="5"/>
    </row>
    <row r="2091">
      <c r="A2091" s="4" t="str">
        <f>VLOOKUP(L2091,payment_ids!C:D,2,FALSE)</f>
        <v>pay_H6FI5hqEmx0rQr</v>
      </c>
      <c r="B2091" s="4"/>
      <c r="C2091" s="4" t="s">
        <v>1320</v>
      </c>
      <c r="D2091" s="4">
        <v>50036.0</v>
      </c>
      <c r="E2091" s="4"/>
      <c r="F2091" s="4">
        <v>1.0</v>
      </c>
      <c r="G2091" s="4">
        <v>149.0</v>
      </c>
      <c r="H2091" s="4"/>
      <c r="I2091" s="4">
        <v>149.0</v>
      </c>
      <c r="J2091" s="4" t="s">
        <v>5708</v>
      </c>
      <c r="K2091" s="6">
        <f>+919910448040</f>
        <v>919910448040</v>
      </c>
      <c r="L2091" s="4" t="str">
        <f t="shared" si="1"/>
        <v>jyotsnab@mdi.ac.in919910448040</v>
      </c>
      <c r="M2091" s="10" t="s">
        <v>67</v>
      </c>
      <c r="N2091" s="4" t="b">
        <v>0</v>
      </c>
      <c r="O2091" s="4" t="str">
        <f>VLOOKUP(A2091,payment_ids!D:E,2,FALSE)</f>
        <v>upi</v>
      </c>
      <c r="P2091" s="4" t="s">
        <v>69</v>
      </c>
      <c r="Q2091" s="11">
        <v>44260.5625</v>
      </c>
      <c r="R2091" s="4"/>
      <c r="S2091" s="12" t="s">
        <v>5709</v>
      </c>
      <c r="T2091" s="4"/>
      <c r="U2091" s="4"/>
      <c r="V2091" s="11"/>
      <c r="W2091" s="5"/>
      <c r="X2091" s="11"/>
      <c r="Y2091" s="4"/>
      <c r="Z2091" s="5"/>
      <c r="AA2091" s="4"/>
      <c r="AB2091" s="4"/>
      <c r="AC2091" s="4"/>
      <c r="AD2091" s="4"/>
      <c r="AE2091" s="5"/>
      <c r="AF2091" s="5"/>
      <c r="AG2091" s="5"/>
      <c r="AH2091" s="5"/>
      <c r="AI2091" s="5"/>
      <c r="AJ2091" s="5"/>
      <c r="AK2091" s="5"/>
      <c r="AL2091" s="5"/>
    </row>
    <row r="2092">
      <c r="A2092" s="4" t="str">
        <f>VLOOKUP(L2092,payment_ids!C:D,2,FALSE)</f>
        <v>pay_H7Oe8gLPqGazh5</v>
      </c>
      <c r="B2092" s="4"/>
      <c r="C2092" s="4" t="s">
        <v>1320</v>
      </c>
      <c r="D2092" s="4">
        <v>50036.0</v>
      </c>
      <c r="E2092" s="4"/>
      <c r="F2092" s="4">
        <v>1.0</v>
      </c>
      <c r="G2092" s="4">
        <v>149.0</v>
      </c>
      <c r="H2092" s="4"/>
      <c r="I2092" s="4">
        <v>149.0</v>
      </c>
      <c r="J2092" s="4" t="s">
        <v>5710</v>
      </c>
      <c r="K2092" s="6">
        <f>+919971724494</f>
        <v>919971724494</v>
      </c>
      <c r="L2092" s="4" t="str">
        <f t="shared" si="1"/>
        <v>amanpreet.singh1085@gmail.com919971724494</v>
      </c>
      <c r="M2092" s="10" t="s">
        <v>67</v>
      </c>
      <c r="N2092" s="4" t="b">
        <v>0</v>
      </c>
      <c r="O2092" s="4" t="str">
        <f>VLOOKUP(A2092,payment_ids!D:E,2,FALSE)</f>
        <v>netbanking</v>
      </c>
      <c r="P2092" s="4" t="s">
        <v>69</v>
      </c>
      <c r="Q2092" s="11">
        <v>44352.47083333333</v>
      </c>
      <c r="R2092" s="4"/>
      <c r="S2092" s="12" t="s">
        <v>5709</v>
      </c>
      <c r="T2092" s="4"/>
      <c r="U2092" s="4"/>
      <c r="V2092" s="11"/>
      <c r="W2092" s="5"/>
      <c r="X2092" s="11"/>
      <c r="Y2092" s="4"/>
      <c r="Z2092" s="5"/>
      <c r="AA2092" s="4"/>
      <c r="AB2092" s="4"/>
      <c r="AC2092" s="4"/>
      <c r="AD2092" s="4"/>
      <c r="AE2092" s="5"/>
      <c r="AF2092" s="5"/>
      <c r="AG2092" s="5"/>
      <c r="AH2092" s="5"/>
      <c r="AI2092" s="5"/>
      <c r="AJ2092" s="5"/>
      <c r="AK2092" s="5"/>
      <c r="AL2092" s="5"/>
    </row>
    <row r="2093">
      <c r="A2093" s="4" t="str">
        <f>VLOOKUP(L2093,payment_ids!C:D,2,FALSE)</f>
        <v>pay_H7wjy6dMKciMKk</v>
      </c>
      <c r="B2093" s="4"/>
      <c r="C2093" s="4" t="s">
        <v>1320</v>
      </c>
      <c r="D2093" s="4">
        <v>50036.0</v>
      </c>
      <c r="E2093" s="4"/>
      <c r="F2093" s="4">
        <v>1.0</v>
      </c>
      <c r="G2093" s="4">
        <v>149.0</v>
      </c>
      <c r="H2093" s="4"/>
      <c r="I2093" s="4">
        <v>149.0</v>
      </c>
      <c r="J2093" s="4" t="s">
        <v>5711</v>
      </c>
      <c r="K2093" s="6">
        <f>+917042102011</f>
        <v>917042102011</v>
      </c>
      <c r="L2093" s="4" t="str">
        <f t="shared" si="1"/>
        <v>pallavi@alokindustries.com917042102011</v>
      </c>
      <c r="M2093" s="10" t="s">
        <v>67</v>
      </c>
      <c r="N2093" s="4" t="b">
        <v>0</v>
      </c>
      <c r="O2093" s="4" t="str">
        <f>VLOOKUP(A2093,payment_ids!D:E,2,FALSE)</f>
        <v>netbanking</v>
      </c>
      <c r="P2093" s="4" t="s">
        <v>69</v>
      </c>
      <c r="Q2093" s="11">
        <v>44382.86041666667</v>
      </c>
      <c r="R2093" s="4"/>
      <c r="S2093" s="12" t="s">
        <v>5709</v>
      </c>
      <c r="T2093" s="4"/>
      <c r="U2093" s="4"/>
      <c r="V2093" s="11"/>
      <c r="W2093" s="5"/>
      <c r="X2093" s="11"/>
      <c r="Y2093" s="4"/>
      <c r="Z2093" s="5"/>
      <c r="AA2093" s="4"/>
      <c r="AB2093" s="4"/>
      <c r="AC2093" s="4"/>
      <c r="AD2093" s="4"/>
      <c r="AE2093" s="5"/>
      <c r="AF2093" s="5"/>
      <c r="AG2093" s="5"/>
      <c r="AH2093" s="5"/>
      <c r="AI2093" s="5"/>
      <c r="AJ2093" s="5"/>
      <c r="AK2093" s="5"/>
      <c r="AL2093" s="5"/>
    </row>
    <row r="2094">
      <c r="A2094" s="4" t="str">
        <f>VLOOKUP(L2094,payment_ids!C:D,2,FALSE)</f>
        <v>pay_H8zJArzluWKjjB</v>
      </c>
      <c r="B2094" s="4"/>
      <c r="C2094" s="4" t="s">
        <v>1320</v>
      </c>
      <c r="D2094" s="4">
        <v>50036.0</v>
      </c>
      <c r="E2094" s="4"/>
      <c r="F2094" s="4">
        <v>1.0</v>
      </c>
      <c r="G2094" s="4">
        <v>149.0</v>
      </c>
      <c r="H2094" s="4"/>
      <c r="I2094" s="4">
        <v>149.0</v>
      </c>
      <c r="J2094" s="4" t="s">
        <v>5712</v>
      </c>
      <c r="K2094" s="6">
        <f>+919540645352</f>
        <v>919540645352</v>
      </c>
      <c r="L2094" s="4" t="str">
        <f t="shared" si="1"/>
        <v>shipra@alokindustries.com919540645352</v>
      </c>
      <c r="M2094" s="10" t="s">
        <v>67</v>
      </c>
      <c r="N2094" s="4" t="b">
        <v>0</v>
      </c>
      <c r="O2094" s="4" t="str">
        <f>VLOOKUP(A2094,payment_ids!D:E,2,FALSE)</f>
        <v>upi</v>
      </c>
      <c r="P2094" s="4" t="s">
        <v>69</v>
      </c>
      <c r="Q2094" s="11">
        <v>44474.49166666667</v>
      </c>
      <c r="R2094" s="4"/>
      <c r="S2094" s="12" t="s">
        <v>5709</v>
      </c>
      <c r="T2094" s="4"/>
      <c r="U2094" s="4"/>
      <c r="V2094" s="11"/>
      <c r="W2094" s="5"/>
      <c r="X2094" s="11"/>
      <c r="Y2094" s="4"/>
      <c r="Z2094" s="5"/>
      <c r="AA2094" s="4"/>
      <c r="AB2094" s="4"/>
      <c r="AC2094" s="4"/>
      <c r="AD2094" s="4"/>
      <c r="AE2094" s="5"/>
      <c r="AF2094" s="5"/>
      <c r="AG2094" s="5"/>
      <c r="AH2094" s="5"/>
      <c r="AI2094" s="5"/>
      <c r="AJ2094" s="5"/>
      <c r="AK2094" s="5"/>
      <c r="AL2094" s="5"/>
    </row>
    <row r="2095">
      <c r="A2095" s="4" t="str">
        <f>VLOOKUP(L2095,payment_ids!C:D,2,FALSE)</f>
        <v>pay_HBO4DRIDshbLvD</v>
      </c>
      <c r="B2095" s="4"/>
      <c r="C2095" s="4" t="s">
        <v>1320</v>
      </c>
      <c r="D2095" s="4">
        <v>50036.0</v>
      </c>
      <c r="E2095" s="4"/>
      <c r="F2095" s="4">
        <v>1.0</v>
      </c>
      <c r="G2095" s="4">
        <v>199.0</v>
      </c>
      <c r="H2095" s="4"/>
      <c r="I2095" s="4">
        <v>199.0</v>
      </c>
      <c r="J2095" s="4" t="s">
        <v>5713</v>
      </c>
      <c r="K2095" s="6">
        <f>+919338214450</f>
        <v>919338214450</v>
      </c>
      <c r="L2095" s="4" t="str">
        <f t="shared" si="1"/>
        <v>laxhminarayan@yahoo.com919338214450</v>
      </c>
      <c r="M2095" s="10" t="s">
        <v>67</v>
      </c>
      <c r="N2095" s="4" t="b">
        <v>0</v>
      </c>
      <c r="O2095" s="4" t="str">
        <f>VLOOKUP(A2095,payment_ids!D:E,2,FALSE)</f>
        <v>upi</v>
      </c>
      <c r="P2095" s="4" t="s">
        <v>69</v>
      </c>
      <c r="Q2095" s="4" t="s">
        <v>5714</v>
      </c>
      <c r="R2095" s="4"/>
      <c r="S2095" s="12" t="s">
        <v>5709</v>
      </c>
      <c r="T2095" s="4"/>
      <c r="U2095" s="4"/>
      <c r="V2095" s="11"/>
      <c r="W2095" s="5"/>
      <c r="X2095" s="11"/>
      <c r="Y2095" s="4"/>
      <c r="Z2095" s="5"/>
      <c r="AA2095" s="4"/>
      <c r="AB2095" s="4"/>
      <c r="AC2095" s="4"/>
      <c r="AD2095" s="4"/>
      <c r="AE2095" s="5"/>
      <c r="AF2095" s="5"/>
      <c r="AG2095" s="5"/>
      <c r="AH2095" s="5"/>
      <c r="AI2095" s="5"/>
      <c r="AJ2095" s="5"/>
      <c r="AK2095" s="5"/>
      <c r="AL2095" s="5"/>
    </row>
    <row r="2096">
      <c r="A2096" s="4" t="str">
        <f>VLOOKUP(L2096,payment_ids!C:D,2,FALSE)</f>
        <v>pay_HBTZyo7s4cTwLL</v>
      </c>
      <c r="B2096" s="4"/>
      <c r="C2096" s="4" t="s">
        <v>1320</v>
      </c>
      <c r="D2096" s="4">
        <v>50036.0</v>
      </c>
      <c r="E2096" s="4"/>
      <c r="F2096" s="4">
        <v>1.0</v>
      </c>
      <c r="G2096" s="4">
        <v>199.0</v>
      </c>
      <c r="H2096" s="4"/>
      <c r="I2096" s="4">
        <v>199.0</v>
      </c>
      <c r="J2096" s="4" t="s">
        <v>5715</v>
      </c>
      <c r="K2096" s="6">
        <f>+917533851002</f>
        <v>917533851002</v>
      </c>
      <c r="L2096" s="4" t="str">
        <f t="shared" si="1"/>
        <v>ankitrockstar321@gmail.com917533851002</v>
      </c>
      <c r="M2096" s="10" t="s">
        <v>67</v>
      </c>
      <c r="N2096" s="4" t="b">
        <v>0</v>
      </c>
      <c r="O2096" s="4" t="str">
        <f>VLOOKUP(A2096,payment_ids!D:E,2,FALSE)</f>
        <v>upi</v>
      </c>
      <c r="P2096" s="4" t="s">
        <v>69</v>
      </c>
      <c r="Q2096" s="4" t="s">
        <v>5716</v>
      </c>
      <c r="R2096" s="4"/>
      <c r="S2096" s="12" t="s">
        <v>5709</v>
      </c>
      <c r="T2096" s="4"/>
      <c r="U2096" s="4"/>
      <c r="V2096" s="11"/>
      <c r="W2096" s="5"/>
      <c r="X2096" s="11"/>
      <c r="Y2096" s="4"/>
      <c r="Z2096" s="5"/>
      <c r="AA2096" s="4"/>
      <c r="AB2096" s="4"/>
      <c r="AC2096" s="4"/>
      <c r="AD2096" s="4"/>
      <c r="AE2096" s="5"/>
      <c r="AF2096" s="5"/>
      <c r="AG2096" s="5"/>
      <c r="AH2096" s="5"/>
      <c r="AI2096" s="5"/>
      <c r="AJ2096" s="5"/>
      <c r="AK2096" s="5"/>
      <c r="AL2096" s="5"/>
    </row>
    <row r="2097">
      <c r="A2097" s="4" t="str">
        <f>VLOOKUP(L2097,payment_ids!C:D,2,FALSE)</f>
        <v>pay_HCFVF26gloeODU</v>
      </c>
      <c r="B2097" s="4"/>
      <c r="C2097" s="4" t="s">
        <v>1320</v>
      </c>
      <c r="D2097" s="4">
        <v>50036.0</v>
      </c>
      <c r="E2097" s="4"/>
      <c r="F2097" s="4">
        <v>1.0</v>
      </c>
      <c r="G2097" s="4">
        <v>199.0</v>
      </c>
      <c r="H2097" s="4"/>
      <c r="I2097" s="4">
        <v>199.0</v>
      </c>
      <c r="J2097" s="4" t="s">
        <v>5717</v>
      </c>
      <c r="K2097" s="6">
        <f>+917680997878</f>
        <v>917680997878</v>
      </c>
      <c r="L2097" s="4" t="str">
        <f t="shared" si="1"/>
        <v>beems9999@gmail.com917680997878</v>
      </c>
      <c r="M2097" s="10" t="s">
        <v>67</v>
      </c>
      <c r="N2097" s="4" t="b">
        <v>0</v>
      </c>
      <c r="O2097" s="4" t="str">
        <f>VLOOKUP(A2097,payment_ids!D:E,2,FALSE)</f>
        <v>upi</v>
      </c>
      <c r="P2097" s="4" t="s">
        <v>69</v>
      </c>
      <c r="Q2097" s="4" t="s">
        <v>5718</v>
      </c>
      <c r="R2097" s="4"/>
      <c r="S2097" s="12" t="s">
        <v>5709</v>
      </c>
      <c r="T2097" s="4"/>
      <c r="U2097" s="4"/>
      <c r="V2097" s="11"/>
      <c r="W2097" s="5"/>
      <c r="X2097" s="11"/>
      <c r="Y2097" s="4"/>
      <c r="Z2097" s="5"/>
      <c r="AA2097" s="4"/>
      <c r="AB2097" s="4"/>
      <c r="AC2097" s="4"/>
      <c r="AD2097" s="4"/>
      <c r="AE2097" s="5"/>
      <c r="AF2097" s="5"/>
      <c r="AG2097" s="5"/>
      <c r="AH2097" s="5"/>
      <c r="AI2097" s="5"/>
      <c r="AJ2097" s="5"/>
      <c r="AK2097" s="5"/>
      <c r="AL2097" s="5"/>
    </row>
    <row r="2098">
      <c r="A2098" s="4" t="str">
        <f>VLOOKUP(L2098,payment_ids!C:D,2,FALSE)</f>
        <v>pay_HCx7lTk3u1Ihyf</v>
      </c>
      <c r="B2098" s="4"/>
      <c r="C2098" s="4" t="s">
        <v>1320</v>
      </c>
      <c r="D2098" s="4">
        <v>50036.0</v>
      </c>
      <c r="E2098" s="4"/>
      <c r="F2098" s="4">
        <v>3.0</v>
      </c>
      <c r="G2098" s="4">
        <v>399.0</v>
      </c>
      <c r="H2098" s="4"/>
      <c r="I2098" s="4">
        <v>399.0</v>
      </c>
      <c r="J2098" s="4" t="s">
        <v>1525</v>
      </c>
      <c r="K2098" s="6">
        <f>+919815577304</f>
        <v>919815577304</v>
      </c>
      <c r="L2098" s="4" t="str">
        <f t="shared" si="1"/>
        <v>princekamboj@gmail.com919815577304</v>
      </c>
      <c r="M2098" s="10" t="s">
        <v>67</v>
      </c>
      <c r="N2098" s="4" t="b">
        <v>0</v>
      </c>
      <c r="O2098" s="4" t="str">
        <f>VLOOKUP(A2098,payment_ids!D:E,2,FALSE)</f>
        <v>card</v>
      </c>
      <c r="P2098" s="4" t="s">
        <v>69</v>
      </c>
      <c r="Q2098" s="4" t="s">
        <v>5719</v>
      </c>
      <c r="R2098" s="4"/>
      <c r="S2098" s="12" t="s">
        <v>5709</v>
      </c>
      <c r="T2098" s="4"/>
      <c r="U2098" s="4"/>
      <c r="V2098" s="11"/>
      <c r="W2098" s="5"/>
      <c r="X2098" s="11"/>
      <c r="Y2098" s="4"/>
      <c r="Z2098" s="5"/>
      <c r="AA2098" s="4"/>
      <c r="AB2098" s="4"/>
      <c r="AC2098" s="4"/>
      <c r="AD2098" s="4"/>
      <c r="AE2098" s="5"/>
      <c r="AF2098" s="5"/>
      <c r="AG2098" s="5"/>
      <c r="AH2098" s="5"/>
      <c r="AI2098" s="5"/>
      <c r="AJ2098" s="5"/>
      <c r="AK2098" s="5"/>
      <c r="AL2098" s="5"/>
    </row>
    <row r="2099">
      <c r="A2099" s="4" t="str">
        <f>VLOOKUP(L2099,payment_ids!C:D,2,FALSE)</f>
        <v>pay_HDf5pHxWQIQbsg</v>
      </c>
      <c r="B2099" s="4"/>
      <c r="C2099" s="4" t="s">
        <v>1320</v>
      </c>
      <c r="D2099" s="4">
        <v>50036.0</v>
      </c>
      <c r="E2099" s="4"/>
      <c r="F2099" s="4">
        <v>1.0</v>
      </c>
      <c r="G2099" s="4">
        <v>199.0</v>
      </c>
      <c r="H2099" s="4"/>
      <c r="I2099" s="4">
        <v>199.0</v>
      </c>
      <c r="J2099" s="4" t="s">
        <v>5720</v>
      </c>
      <c r="K2099" s="6">
        <f>+917003167260</f>
        <v>917003167260</v>
      </c>
      <c r="L2099" s="4" t="str">
        <f t="shared" si="1"/>
        <v>shrabandutta@gmail.com917003167260</v>
      </c>
      <c r="M2099" s="10" t="s">
        <v>67</v>
      </c>
      <c r="N2099" s="4" t="b">
        <v>0</v>
      </c>
      <c r="O2099" s="4" t="str">
        <f>VLOOKUP(A2099,payment_ids!D:E,2,FALSE)</f>
        <v>netbanking</v>
      </c>
      <c r="P2099" s="4" t="s">
        <v>69</v>
      </c>
      <c r="Q2099" s="4" t="s">
        <v>5721</v>
      </c>
      <c r="R2099" s="4"/>
      <c r="S2099" s="12" t="s">
        <v>5709</v>
      </c>
      <c r="T2099" s="4"/>
      <c r="U2099" s="4"/>
      <c r="V2099" s="11"/>
      <c r="W2099" s="5"/>
      <c r="X2099" s="11"/>
      <c r="Y2099" s="4"/>
      <c r="Z2099" s="5"/>
      <c r="AA2099" s="4"/>
      <c r="AB2099" s="4"/>
      <c r="AC2099" s="4"/>
      <c r="AD2099" s="4"/>
      <c r="AE2099" s="5"/>
      <c r="AF2099" s="5"/>
      <c r="AG2099" s="5"/>
      <c r="AH2099" s="5"/>
      <c r="AI2099" s="5"/>
      <c r="AJ2099" s="5"/>
      <c r="AK2099" s="5"/>
      <c r="AL2099" s="5"/>
    </row>
    <row r="2100">
      <c r="A2100" s="4" t="str">
        <f>VLOOKUP(L2100,payment_ids!C:D,2,FALSE)</f>
        <v>pay_HDhICG4z7J2EJc</v>
      </c>
      <c r="B2100" s="4"/>
      <c r="C2100" s="4" t="s">
        <v>1320</v>
      </c>
      <c r="D2100" s="4">
        <v>50036.0</v>
      </c>
      <c r="E2100" s="4"/>
      <c r="F2100" s="4">
        <v>3.0</v>
      </c>
      <c r="G2100" s="4">
        <v>399.0</v>
      </c>
      <c r="H2100" s="4"/>
      <c r="I2100" s="4">
        <v>399.0</v>
      </c>
      <c r="J2100" s="4" t="s">
        <v>1629</v>
      </c>
      <c r="K2100" s="6">
        <f>+919819617103</f>
        <v>919819617103</v>
      </c>
      <c r="L2100" s="4" t="str">
        <f t="shared" si="1"/>
        <v>esther.ninan@gmail.com919819617103</v>
      </c>
      <c r="M2100" s="10" t="s">
        <v>67</v>
      </c>
      <c r="N2100" s="4" t="b">
        <v>0</v>
      </c>
      <c r="O2100" s="4" t="str">
        <f>VLOOKUP(A2100,payment_ids!D:E,2,FALSE)</f>
        <v>upi</v>
      </c>
      <c r="P2100" s="4" t="s">
        <v>69</v>
      </c>
      <c r="Q2100" s="4" t="s">
        <v>5722</v>
      </c>
      <c r="R2100" s="4"/>
      <c r="S2100" s="12" t="s">
        <v>5709</v>
      </c>
      <c r="T2100" s="4"/>
      <c r="U2100" s="4"/>
      <c r="V2100" s="11"/>
      <c r="W2100" s="5"/>
      <c r="X2100" s="11"/>
      <c r="Y2100" s="4"/>
      <c r="Z2100" s="5"/>
      <c r="AA2100" s="4"/>
      <c r="AB2100" s="4"/>
      <c r="AC2100" s="4"/>
      <c r="AD2100" s="4"/>
      <c r="AE2100" s="5"/>
      <c r="AF2100" s="5"/>
      <c r="AG2100" s="5"/>
      <c r="AH2100" s="5"/>
      <c r="AI2100" s="5"/>
      <c r="AJ2100" s="5"/>
      <c r="AK2100" s="5"/>
      <c r="AL2100" s="5"/>
    </row>
    <row r="2101">
      <c r="A2101" s="4" t="str">
        <f>VLOOKUP(L2101,payment_ids!C:D,2,FALSE)</f>
        <v>pay_HFMuXfjDZB8jNY</v>
      </c>
      <c r="B2101" s="4"/>
      <c r="C2101" s="4" t="s">
        <v>1320</v>
      </c>
      <c r="D2101" s="4">
        <v>50036.0</v>
      </c>
      <c r="E2101" s="5"/>
      <c r="F2101" s="4">
        <v>1.0</v>
      </c>
      <c r="G2101" s="4">
        <v>199.0</v>
      </c>
      <c r="H2101" s="4"/>
      <c r="I2101" s="4">
        <v>199.0</v>
      </c>
      <c r="J2101" s="4" t="s">
        <v>1876</v>
      </c>
      <c r="K2101" s="5">
        <f>+919654240109</f>
        <v>919654240109</v>
      </c>
      <c r="L2101" s="4" t="str">
        <f t="shared" si="1"/>
        <v>eirabothra1@gmail.com919654240109</v>
      </c>
      <c r="M2101" s="10" t="s">
        <v>67</v>
      </c>
      <c r="N2101" s="4" t="b">
        <v>0</v>
      </c>
      <c r="O2101" s="4" t="str">
        <f>VLOOKUP(A2101,payment_ids!D:E,2,FALSE)</f>
        <v>netbanking</v>
      </c>
      <c r="P2101" s="4" t="s">
        <v>69</v>
      </c>
      <c r="Q2101" s="4" t="s">
        <v>5723</v>
      </c>
      <c r="R2101" s="4"/>
      <c r="S2101" s="12" t="s">
        <v>5709</v>
      </c>
      <c r="T2101" s="5"/>
      <c r="U2101" s="4"/>
      <c r="V2101" s="11"/>
      <c r="W2101" s="5"/>
      <c r="X2101" s="11"/>
      <c r="Y2101" s="4"/>
      <c r="Z2101" s="5"/>
      <c r="AA2101" s="4"/>
      <c r="AB2101" s="4"/>
      <c r="AC2101" s="4"/>
      <c r="AD2101" s="4"/>
      <c r="AE2101" s="5"/>
      <c r="AF2101" s="5"/>
      <c r="AG2101" s="5"/>
      <c r="AH2101" s="5"/>
      <c r="AI2101" s="5"/>
      <c r="AJ2101" s="5"/>
      <c r="AK2101" s="5"/>
      <c r="AL2101" s="5"/>
    </row>
    <row r="2102">
      <c r="A2102" s="4" t="str">
        <f>VLOOKUP(L2102,payment_ids!C:D,2,FALSE)</f>
        <v>pay_HIzXpcYpWr5kCk</v>
      </c>
      <c r="B2102" s="4"/>
      <c r="C2102" s="4" t="s">
        <v>1320</v>
      </c>
      <c r="D2102" s="4">
        <v>50036.0</v>
      </c>
      <c r="E2102" s="5"/>
      <c r="F2102" s="4">
        <v>1.0</v>
      </c>
      <c r="G2102" s="4">
        <v>199.0</v>
      </c>
      <c r="H2102" s="4"/>
      <c r="I2102" s="4">
        <v>199.0</v>
      </c>
      <c r="J2102" s="4" t="s">
        <v>5724</v>
      </c>
      <c r="K2102" s="5">
        <f>+917416118311</f>
        <v>917416118311</v>
      </c>
      <c r="L2102" s="4" t="str">
        <f t="shared" si="1"/>
        <v>reddyyogeshwari@yahoo.co.in917416118311</v>
      </c>
      <c r="M2102" s="10" t="s">
        <v>67</v>
      </c>
      <c r="N2102" s="4" t="b">
        <v>0</v>
      </c>
      <c r="O2102" s="4" t="str">
        <f>VLOOKUP(A2102,payment_ids!D:E,2,FALSE)</f>
        <v>netbanking</v>
      </c>
      <c r="P2102" s="4" t="s">
        <v>69</v>
      </c>
      <c r="Q2102" s="11">
        <v>44292.77361111111</v>
      </c>
      <c r="R2102" s="4"/>
      <c r="S2102" s="12" t="s">
        <v>5709</v>
      </c>
      <c r="T2102" s="5"/>
      <c r="U2102" s="4"/>
      <c r="V2102" s="11"/>
      <c r="W2102" s="5"/>
      <c r="X2102" s="11"/>
      <c r="Y2102" s="4"/>
      <c r="Z2102" s="5"/>
      <c r="AA2102" s="4"/>
      <c r="AB2102" s="4"/>
      <c r="AC2102" s="4"/>
      <c r="AD2102" s="4"/>
      <c r="AE2102" s="5"/>
      <c r="AF2102" s="5"/>
      <c r="AG2102" s="5"/>
      <c r="AH2102" s="5"/>
      <c r="AI2102" s="5"/>
      <c r="AJ2102" s="5"/>
      <c r="AK2102" s="5"/>
      <c r="AL2102" s="5"/>
    </row>
    <row r="2103">
      <c r="A2103" s="4" t="str">
        <f>VLOOKUP(L2103,payment_ids!C:D,2,FALSE)</f>
        <v>pay_HJFbQQkoDFwQHU</v>
      </c>
      <c r="B2103" s="4"/>
      <c r="C2103" s="4" t="s">
        <v>1320</v>
      </c>
      <c r="D2103" s="4">
        <v>50036.0</v>
      </c>
      <c r="E2103" s="5"/>
      <c r="F2103" s="4">
        <v>1.0</v>
      </c>
      <c r="G2103" s="4">
        <v>199.0</v>
      </c>
      <c r="H2103" s="4"/>
      <c r="I2103" s="4">
        <v>199.0</v>
      </c>
      <c r="J2103" s="4" t="s">
        <v>5725</v>
      </c>
      <c r="K2103" s="5">
        <f>+919910448040</f>
        <v>919910448040</v>
      </c>
      <c r="L2103" s="4" t="str">
        <f t="shared" si="1"/>
        <v>bhatnagar.jyo@gmail.com919910448040</v>
      </c>
      <c r="M2103" s="10" t="s">
        <v>67</v>
      </c>
      <c r="N2103" s="4" t="b">
        <v>0</v>
      </c>
      <c r="O2103" s="4" t="str">
        <f>VLOOKUP(A2103,payment_ids!D:E,2,FALSE)</f>
        <v>upi</v>
      </c>
      <c r="P2103" s="4" t="s">
        <v>69</v>
      </c>
      <c r="Q2103" s="11">
        <v>44322.427083333336</v>
      </c>
      <c r="R2103" s="4"/>
      <c r="S2103" s="12" t="s">
        <v>5726</v>
      </c>
      <c r="T2103" s="5"/>
      <c r="U2103" s="4"/>
      <c r="V2103" s="11"/>
      <c r="W2103" s="5"/>
      <c r="X2103" s="11"/>
      <c r="Y2103" s="4"/>
      <c r="Z2103" s="5"/>
      <c r="AA2103" s="4"/>
      <c r="AB2103" s="4"/>
      <c r="AC2103" s="4"/>
      <c r="AD2103" s="4"/>
      <c r="AE2103" s="5"/>
      <c r="AF2103" s="5"/>
      <c r="AG2103" s="5"/>
      <c r="AH2103" s="5"/>
      <c r="AI2103" s="5"/>
      <c r="AJ2103" s="5"/>
      <c r="AK2103" s="5"/>
      <c r="AL2103" s="5"/>
    </row>
    <row r="2104">
      <c r="A2104" s="4" t="str">
        <f>VLOOKUP(L2104,payment_ids!C:D,2,FALSE)</f>
        <v>pay_HLoK1tUqVbVR0B</v>
      </c>
      <c r="B2104" s="4"/>
      <c r="C2104" s="4" t="s">
        <v>1320</v>
      </c>
      <c r="D2104" s="4">
        <v>50036.0</v>
      </c>
      <c r="E2104" s="5"/>
      <c r="F2104" s="4">
        <v>1.0</v>
      </c>
      <c r="G2104" s="4">
        <v>199.0</v>
      </c>
      <c r="H2104" s="4"/>
      <c r="I2104" s="4">
        <v>199.0</v>
      </c>
      <c r="J2104" s="4" t="s">
        <v>5727</v>
      </c>
      <c r="K2104" s="5">
        <f>+919861980400</f>
        <v>919861980400</v>
      </c>
      <c r="L2104" s="4" t="str">
        <f t="shared" si="1"/>
        <v>ankitanurag1991@gmail.com919861980400</v>
      </c>
      <c r="M2104" s="10" t="s">
        <v>67</v>
      </c>
      <c r="N2104" s="4" t="b">
        <v>0</v>
      </c>
      <c r="O2104" s="4" t="str">
        <f>VLOOKUP(A2104,payment_ids!D:E,2,FALSE)</f>
        <v>upi</v>
      </c>
      <c r="P2104" s="4" t="s">
        <v>69</v>
      </c>
      <c r="Q2104" s="11">
        <v>44506.895833333336</v>
      </c>
      <c r="R2104" s="4"/>
      <c r="S2104" s="12" t="s">
        <v>5709</v>
      </c>
      <c r="T2104" s="4" t="s">
        <v>2444</v>
      </c>
      <c r="U2104" s="4"/>
      <c r="V2104" s="11"/>
      <c r="W2104" s="5"/>
      <c r="X2104" s="11"/>
      <c r="Y2104" s="4"/>
      <c r="Z2104" s="5"/>
      <c r="AA2104" s="4"/>
      <c r="AB2104" s="4"/>
      <c r="AC2104" s="4"/>
      <c r="AD2104" s="4"/>
      <c r="AE2104" s="5"/>
      <c r="AF2104" s="5"/>
      <c r="AG2104" s="5"/>
      <c r="AH2104" s="5"/>
      <c r="AI2104" s="5"/>
      <c r="AJ2104" s="5"/>
      <c r="AK2104" s="5"/>
      <c r="AL2104" s="5"/>
    </row>
    <row r="2105">
      <c r="A2105" s="4" t="str">
        <f>VLOOKUP(L2105,payment_ids!C:D,2,FALSE)</f>
        <v>pay_HPIhXEbtFCF8mX</v>
      </c>
      <c r="B2105" s="4"/>
      <c r="C2105" s="4" t="s">
        <v>1320</v>
      </c>
      <c r="D2105" s="4">
        <v>50036.0</v>
      </c>
      <c r="E2105" s="5"/>
      <c r="F2105" s="4">
        <v>1.0</v>
      </c>
      <c r="G2105" s="4">
        <v>199.0</v>
      </c>
      <c r="H2105" s="4"/>
      <c r="I2105" s="4">
        <v>199.0</v>
      </c>
      <c r="J2105" s="4" t="s">
        <v>5728</v>
      </c>
      <c r="K2105" s="5">
        <f>+917303332887</f>
        <v>917303332887</v>
      </c>
      <c r="L2105" s="4" t="str">
        <f t="shared" si="1"/>
        <v>writetomeet@icloud.com917303332887</v>
      </c>
      <c r="M2105" s="10" t="s">
        <v>67</v>
      </c>
      <c r="N2105" s="4" t="b">
        <v>0</v>
      </c>
      <c r="O2105" s="4" t="str">
        <f>VLOOKUP(A2105,payment_ids!D:E,2,FALSE)</f>
        <v>upi</v>
      </c>
      <c r="P2105" s="4" t="s">
        <v>69</v>
      </c>
      <c r="Q2105" s="4" t="s">
        <v>5729</v>
      </c>
      <c r="R2105" s="4"/>
      <c r="S2105" s="12" t="s">
        <v>5709</v>
      </c>
      <c r="T2105" s="4" t="s">
        <v>2444</v>
      </c>
      <c r="U2105" s="4"/>
      <c r="V2105" s="11"/>
      <c r="W2105" s="5"/>
      <c r="X2105" s="11"/>
      <c r="Y2105" s="4"/>
      <c r="Z2105" s="5"/>
      <c r="AA2105" s="4"/>
      <c r="AB2105" s="4"/>
      <c r="AC2105" s="4"/>
      <c r="AD2105" s="4"/>
      <c r="AE2105" s="5"/>
      <c r="AF2105" s="5"/>
      <c r="AG2105" s="5"/>
      <c r="AH2105" s="5"/>
      <c r="AI2105" s="5"/>
      <c r="AJ2105" s="5"/>
      <c r="AK2105" s="5"/>
      <c r="AL2105" s="5"/>
    </row>
    <row r="2106">
      <c r="A2106" s="4" t="str">
        <f>VLOOKUP(L2106,payment_ids!C:D,2,FALSE)</f>
        <v>pay_H7KpTD4SXveTKz</v>
      </c>
      <c r="B2106" s="4"/>
      <c r="C2106" s="4" t="s">
        <v>1727</v>
      </c>
      <c r="D2106" s="4">
        <v>50033.0</v>
      </c>
      <c r="E2106" s="4"/>
      <c r="F2106" s="4">
        <v>6.0</v>
      </c>
      <c r="G2106" s="4">
        <v>349.0</v>
      </c>
      <c r="H2106" s="4"/>
      <c r="I2106" s="4">
        <v>349.0</v>
      </c>
      <c r="J2106" s="4" t="s">
        <v>5730</v>
      </c>
      <c r="K2106" s="6">
        <f>+919901755533</f>
        <v>919901755533</v>
      </c>
      <c r="L2106" s="4" t="str">
        <f t="shared" si="1"/>
        <v>ajaychalam.m@gmail.com919901755533</v>
      </c>
      <c r="M2106" s="10" t="s">
        <v>67</v>
      </c>
      <c r="N2106" s="4" t="b">
        <v>0</v>
      </c>
      <c r="O2106" s="4" t="str">
        <f>VLOOKUP(A2106,payment_ids!D:E,2,FALSE)</f>
        <v>card</v>
      </c>
      <c r="P2106" s="4" t="s">
        <v>69</v>
      </c>
      <c r="Q2106" s="11">
        <v>44352.31458333333</v>
      </c>
      <c r="R2106" s="4"/>
      <c r="S2106" s="12" t="s">
        <v>5731</v>
      </c>
      <c r="T2106" s="4"/>
      <c r="U2106" s="4"/>
      <c r="V2106" s="11"/>
      <c r="W2106" s="5"/>
      <c r="X2106" s="11"/>
      <c r="Y2106" s="4"/>
      <c r="Z2106" s="5"/>
      <c r="AA2106" s="4"/>
      <c r="AB2106" s="4"/>
      <c r="AC2106" s="4"/>
      <c r="AD2106" s="4"/>
      <c r="AE2106" s="5"/>
      <c r="AF2106" s="5"/>
      <c r="AG2106" s="5"/>
      <c r="AH2106" s="5"/>
      <c r="AI2106" s="5"/>
      <c r="AJ2106" s="5"/>
      <c r="AK2106" s="5"/>
      <c r="AL2106" s="5"/>
    </row>
    <row r="2107">
      <c r="A2107" s="4" t="str">
        <f>VLOOKUP(L2107,payment_ids!C:D,2,FALSE)</f>
        <v>pay_H7b4w3CPbc0ziJ</v>
      </c>
      <c r="B2107" s="4"/>
      <c r="C2107" s="4" t="s">
        <v>1727</v>
      </c>
      <c r="D2107" s="4">
        <v>50033.0</v>
      </c>
      <c r="E2107" s="4"/>
      <c r="F2107" s="4">
        <v>3.0</v>
      </c>
      <c r="G2107" s="4">
        <v>199.0</v>
      </c>
      <c r="H2107" s="4"/>
      <c r="I2107" s="4">
        <v>199.0</v>
      </c>
      <c r="J2107" s="4" t="s">
        <v>5732</v>
      </c>
      <c r="K2107" s="6">
        <f>+917603039107</f>
        <v>917603039107</v>
      </c>
      <c r="L2107" s="4" t="str">
        <f t="shared" si="1"/>
        <v>mahatopanchanan@gmail.com917603039107</v>
      </c>
      <c r="M2107" s="10" t="s">
        <v>67</v>
      </c>
      <c r="N2107" s="4" t="b">
        <v>0</v>
      </c>
      <c r="O2107" s="4" t="str">
        <f>VLOOKUP(A2107,payment_ids!D:E,2,FALSE)</f>
        <v>upi</v>
      </c>
      <c r="P2107" s="4" t="s">
        <v>69</v>
      </c>
      <c r="Q2107" s="11">
        <v>44352.97708333333</v>
      </c>
      <c r="R2107" s="4"/>
      <c r="S2107" s="12" t="s">
        <v>5731</v>
      </c>
      <c r="T2107" s="4"/>
      <c r="U2107" s="4"/>
      <c r="V2107" s="11"/>
      <c r="W2107" s="5"/>
      <c r="X2107" s="11"/>
      <c r="Y2107" s="4"/>
      <c r="Z2107" s="5"/>
      <c r="AA2107" s="4"/>
      <c r="AB2107" s="4"/>
      <c r="AC2107" s="4"/>
      <c r="AD2107" s="4"/>
      <c r="AE2107" s="5"/>
      <c r="AF2107" s="5"/>
      <c r="AG2107" s="5"/>
      <c r="AH2107" s="5"/>
      <c r="AI2107" s="5"/>
      <c r="AJ2107" s="5"/>
      <c r="AK2107" s="5"/>
      <c r="AL2107" s="5"/>
    </row>
    <row r="2108">
      <c r="A2108" s="4" t="str">
        <f>VLOOKUP(L2108,payment_ids!C:D,2,FALSE)</f>
        <v>pay_H7eD3hW6oydzOY</v>
      </c>
      <c r="B2108" s="4"/>
      <c r="C2108" s="4" t="s">
        <v>1727</v>
      </c>
      <c r="D2108" s="4">
        <v>50033.0</v>
      </c>
      <c r="E2108" s="4"/>
      <c r="F2108" s="4">
        <v>1.0</v>
      </c>
      <c r="G2108" s="4">
        <v>99.0</v>
      </c>
      <c r="H2108" s="4"/>
      <c r="I2108" s="4">
        <v>99.0</v>
      </c>
      <c r="J2108" s="4" t="s">
        <v>5733</v>
      </c>
      <c r="K2108" s="6">
        <f>+919167180092</f>
        <v>919167180092</v>
      </c>
      <c r="L2108" s="4" t="str">
        <f t="shared" si="1"/>
        <v>tchirag1996@gmail.com919167180092</v>
      </c>
      <c r="M2108" s="10" t="s">
        <v>67</v>
      </c>
      <c r="N2108" s="4" t="b">
        <v>0</v>
      </c>
      <c r="O2108" s="4" t="str">
        <f>VLOOKUP(A2108,payment_ids!D:E,2,FALSE)</f>
        <v>upi</v>
      </c>
      <c r="P2108" s="4" t="s">
        <v>69</v>
      </c>
      <c r="Q2108" s="11">
        <v>44382.10486111111</v>
      </c>
      <c r="R2108" s="4"/>
      <c r="S2108" s="12" t="s">
        <v>5731</v>
      </c>
      <c r="T2108" s="4"/>
      <c r="U2108" s="4"/>
      <c r="V2108" s="11"/>
      <c r="W2108" s="5"/>
      <c r="X2108" s="11"/>
      <c r="Y2108" s="4"/>
      <c r="Z2108" s="5"/>
      <c r="AA2108" s="4"/>
      <c r="AB2108" s="4"/>
      <c r="AC2108" s="4"/>
      <c r="AD2108" s="4"/>
      <c r="AE2108" s="5"/>
      <c r="AF2108" s="5"/>
      <c r="AG2108" s="5"/>
      <c r="AH2108" s="5"/>
      <c r="AI2108" s="5"/>
      <c r="AJ2108" s="5"/>
      <c r="AK2108" s="5"/>
      <c r="AL2108" s="5"/>
    </row>
    <row r="2109">
      <c r="A2109" s="4" t="str">
        <f>VLOOKUP(L2109,payment_ids!C:D,2,FALSE)</f>
        <v>pay_H7rtNNp5AlpCFZ</v>
      </c>
      <c r="B2109" s="4"/>
      <c r="C2109" s="4" t="s">
        <v>1727</v>
      </c>
      <c r="D2109" s="4">
        <v>50033.0</v>
      </c>
      <c r="E2109" s="4"/>
      <c r="F2109" s="4">
        <v>1.0</v>
      </c>
      <c r="G2109" s="4">
        <v>99.0</v>
      </c>
      <c r="H2109" s="4"/>
      <c r="I2109" s="4">
        <v>99.0</v>
      </c>
      <c r="J2109" s="4" t="s">
        <v>5734</v>
      </c>
      <c r="K2109" s="6">
        <f>+917021536708</f>
        <v>917021536708</v>
      </c>
      <c r="L2109" s="4" t="str">
        <f t="shared" si="1"/>
        <v>ramana.saps4hana@gmail.com917021536708</v>
      </c>
      <c r="M2109" s="10" t="s">
        <v>67</v>
      </c>
      <c r="N2109" s="4" t="b">
        <v>0</v>
      </c>
      <c r="O2109" s="4" t="str">
        <f>VLOOKUP(A2109,payment_ids!D:E,2,FALSE)</f>
        <v>upi</v>
      </c>
      <c r="P2109" s="4" t="s">
        <v>69</v>
      </c>
      <c r="Q2109" s="11">
        <v>44382.6625</v>
      </c>
      <c r="R2109" s="4"/>
      <c r="S2109" s="12" t="s">
        <v>5731</v>
      </c>
      <c r="T2109" s="4"/>
      <c r="U2109" s="4"/>
      <c r="V2109" s="11"/>
      <c r="W2109" s="5"/>
      <c r="X2109" s="11"/>
      <c r="Y2109" s="4"/>
      <c r="Z2109" s="5"/>
      <c r="AA2109" s="4"/>
      <c r="AB2109" s="4"/>
      <c r="AC2109" s="4"/>
      <c r="AD2109" s="4"/>
      <c r="AE2109" s="5"/>
      <c r="AF2109" s="5"/>
      <c r="AG2109" s="5"/>
      <c r="AH2109" s="5"/>
      <c r="AI2109" s="5"/>
      <c r="AJ2109" s="5"/>
      <c r="AK2109" s="5"/>
      <c r="AL2109" s="5"/>
    </row>
    <row r="2110">
      <c r="A2110" s="4" t="str">
        <f>VLOOKUP(L2110,payment_ids!C:D,2,FALSE)</f>
        <v>pay_H7wfzIQre5l8KH</v>
      </c>
      <c r="B2110" s="4"/>
      <c r="C2110" s="4" t="s">
        <v>1727</v>
      </c>
      <c r="D2110" s="4">
        <v>50033.0</v>
      </c>
      <c r="E2110" s="4"/>
      <c r="F2110" s="4">
        <v>1.0</v>
      </c>
      <c r="G2110" s="4">
        <v>99.0</v>
      </c>
      <c r="H2110" s="4"/>
      <c r="I2110" s="4">
        <v>99.0</v>
      </c>
      <c r="J2110" s="4" t="s">
        <v>5735</v>
      </c>
      <c r="K2110" s="6">
        <f>+919967317033</f>
        <v>919967317033</v>
      </c>
      <c r="L2110" s="4" t="str">
        <f t="shared" si="1"/>
        <v>guptaravi374@gmail.com919967317033</v>
      </c>
      <c r="M2110" s="10" t="s">
        <v>67</v>
      </c>
      <c r="N2110" s="4" t="b">
        <v>0</v>
      </c>
      <c r="O2110" s="4" t="str">
        <f>VLOOKUP(A2110,payment_ids!D:E,2,FALSE)</f>
        <v>card</v>
      </c>
      <c r="P2110" s="4" t="s">
        <v>69</v>
      </c>
      <c r="Q2110" s="11">
        <v>44382.85763888889</v>
      </c>
      <c r="R2110" s="4"/>
      <c r="S2110" s="12" t="s">
        <v>5731</v>
      </c>
      <c r="T2110" s="4"/>
      <c r="U2110" s="4"/>
      <c r="V2110" s="11"/>
      <c r="W2110" s="5"/>
      <c r="X2110" s="11"/>
      <c r="Y2110" s="4"/>
      <c r="Z2110" s="5"/>
      <c r="AA2110" s="4"/>
      <c r="AB2110" s="4"/>
      <c r="AC2110" s="4"/>
      <c r="AD2110" s="4"/>
      <c r="AE2110" s="5"/>
      <c r="AF2110" s="5"/>
      <c r="AG2110" s="5"/>
      <c r="AH2110" s="5"/>
      <c r="AI2110" s="5"/>
      <c r="AJ2110" s="5"/>
      <c r="AK2110" s="5"/>
      <c r="AL2110" s="5"/>
    </row>
    <row r="2111">
      <c r="A2111" s="4" t="str">
        <f>VLOOKUP(L2111,payment_ids!C:D,2,FALSE)</f>
        <v>pay_H7y95YDtlKlPkl</v>
      </c>
      <c r="B2111" s="4"/>
      <c r="C2111" s="4" t="s">
        <v>1727</v>
      </c>
      <c r="D2111" s="4">
        <v>50033.0</v>
      </c>
      <c r="E2111" s="4"/>
      <c r="F2111" s="4">
        <v>6.0</v>
      </c>
      <c r="G2111" s="4">
        <v>349.0</v>
      </c>
      <c r="H2111" s="4"/>
      <c r="I2111" s="4">
        <v>349.0</v>
      </c>
      <c r="J2111" s="4" t="s">
        <v>5736</v>
      </c>
      <c r="K2111" s="6">
        <f>+919703030473</f>
        <v>919703030473</v>
      </c>
      <c r="L2111" s="4" t="str">
        <f t="shared" si="1"/>
        <v>ashwinraod@gmail.com919703030473</v>
      </c>
      <c r="M2111" s="10" t="s">
        <v>67</v>
      </c>
      <c r="N2111" s="4" t="b">
        <v>0</v>
      </c>
      <c r="O2111" s="4" t="str">
        <f>VLOOKUP(A2111,payment_ids!D:E,2,FALSE)</f>
        <v>upi</v>
      </c>
      <c r="P2111" s="4" t="s">
        <v>69</v>
      </c>
      <c r="Q2111" s="11">
        <v>44382.91736111111</v>
      </c>
      <c r="R2111" s="4"/>
      <c r="S2111" s="12" t="s">
        <v>5731</v>
      </c>
      <c r="T2111" s="4"/>
      <c r="U2111" s="5"/>
      <c r="V2111" s="11"/>
      <c r="W2111" s="5"/>
      <c r="X2111" s="11"/>
      <c r="Y2111" s="4"/>
      <c r="Z2111" s="5"/>
      <c r="AA2111" s="5"/>
      <c r="AB2111" s="4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</row>
    <row r="2112">
      <c r="A2112" s="4" t="str">
        <f>VLOOKUP(L2112,payment_ids!C:D,2,FALSE)</f>
        <v>pay_H7mI4IWdxpC9zg</v>
      </c>
      <c r="B2112" s="4"/>
      <c r="C2112" s="4" t="s">
        <v>1727</v>
      </c>
      <c r="D2112" s="4">
        <v>50033.0</v>
      </c>
      <c r="E2112" s="4"/>
      <c r="F2112" s="4">
        <v>6.0</v>
      </c>
      <c r="G2112" s="4">
        <v>349.0</v>
      </c>
      <c r="H2112" s="4"/>
      <c r="I2112" s="4">
        <v>349.0</v>
      </c>
      <c r="J2112" s="4" t="s">
        <v>5737</v>
      </c>
      <c r="K2112" s="6">
        <f>+919000590078</f>
        <v>919000590078</v>
      </c>
      <c r="L2112" s="4" t="str">
        <f t="shared" si="1"/>
        <v>prashanthkasthuri@gmail.com919000590078</v>
      </c>
      <c r="M2112" s="10" t="s">
        <v>67</v>
      </c>
      <c r="N2112" s="4" t="b">
        <v>0</v>
      </c>
      <c r="O2112" s="4" t="str">
        <f>VLOOKUP(A2112,payment_ids!D:E,2,FALSE)</f>
        <v>upi</v>
      </c>
      <c r="P2112" s="4" t="s">
        <v>69</v>
      </c>
      <c r="Q2112" s="11">
        <v>44382.43402777778</v>
      </c>
      <c r="R2112" s="4"/>
      <c r="S2112" s="12" t="s">
        <v>5731</v>
      </c>
      <c r="T2112" s="4"/>
      <c r="U2112" s="4"/>
      <c r="V2112" s="11"/>
      <c r="W2112" s="5"/>
      <c r="X2112" s="11"/>
      <c r="Y2112" s="4"/>
      <c r="Z2112" s="5"/>
      <c r="AA2112" s="4"/>
      <c r="AB2112" s="4"/>
      <c r="AC2112" s="4"/>
      <c r="AD2112" s="4"/>
      <c r="AE2112" s="5"/>
      <c r="AF2112" s="5"/>
      <c r="AG2112" s="5"/>
      <c r="AH2112" s="5"/>
      <c r="AI2112" s="5"/>
      <c r="AJ2112" s="5"/>
      <c r="AK2112" s="5"/>
      <c r="AL2112" s="5"/>
    </row>
    <row r="2113">
      <c r="A2113" s="4" t="str">
        <f>VLOOKUP(L2113,payment_ids!C:D,2,FALSE)</f>
        <v>pay_H83FOtr6LRf6lJ</v>
      </c>
      <c r="B2113" s="4"/>
      <c r="C2113" s="4" t="s">
        <v>1727</v>
      </c>
      <c r="D2113" s="4">
        <v>50033.0</v>
      </c>
      <c r="E2113" s="4"/>
      <c r="F2113" s="4">
        <v>3.0</v>
      </c>
      <c r="G2113" s="4">
        <v>199.0</v>
      </c>
      <c r="H2113" s="4"/>
      <c r="I2113" s="4">
        <v>199.0</v>
      </c>
      <c r="J2113" s="4" t="s">
        <v>5738</v>
      </c>
      <c r="K2113" s="6">
        <f>+919873108915</f>
        <v>919873108915</v>
      </c>
      <c r="L2113" s="4" t="str">
        <f t="shared" si="1"/>
        <v>aveshmishra345@gmail.com919873108915</v>
      </c>
      <c r="M2113" s="10" t="s">
        <v>67</v>
      </c>
      <c r="N2113" s="4" t="b">
        <v>0</v>
      </c>
      <c r="O2113" s="4" t="str">
        <f>VLOOKUP(A2113,payment_ids!D:E,2,FALSE)</f>
        <v>upi</v>
      </c>
      <c r="P2113" s="4" t="s">
        <v>69</v>
      </c>
      <c r="Q2113" s="11">
        <v>44413.126388888886</v>
      </c>
      <c r="R2113" s="4"/>
      <c r="S2113" s="12" t="s">
        <v>5731</v>
      </c>
      <c r="T2113" s="4"/>
      <c r="U2113" s="4"/>
      <c r="V2113" s="11"/>
      <c r="W2113" s="5"/>
      <c r="X2113" s="11"/>
      <c r="Y2113" s="4"/>
      <c r="Z2113" s="5"/>
      <c r="AA2113" s="4"/>
      <c r="AB2113" s="4"/>
      <c r="AC2113" s="4"/>
      <c r="AD2113" s="4"/>
      <c r="AE2113" s="5"/>
      <c r="AF2113" s="5"/>
      <c r="AG2113" s="5"/>
      <c r="AH2113" s="5"/>
      <c r="AI2113" s="5"/>
      <c r="AJ2113" s="5"/>
      <c r="AK2113" s="5"/>
      <c r="AL2113" s="5"/>
    </row>
    <row r="2114">
      <c r="A2114" s="4" t="str">
        <f>VLOOKUP(L2114,payment_ids!C:D,2,FALSE)</f>
        <v>pay_H8H4uuk8byeum7</v>
      </c>
      <c r="B2114" s="4"/>
      <c r="C2114" s="4" t="s">
        <v>1727</v>
      </c>
      <c r="D2114" s="4">
        <v>50033.0</v>
      </c>
      <c r="E2114" s="4"/>
      <c r="F2114" s="4">
        <v>1.0</v>
      </c>
      <c r="G2114" s="4">
        <v>99.0</v>
      </c>
      <c r="H2114" s="4"/>
      <c r="I2114" s="4">
        <v>99.0</v>
      </c>
      <c r="J2114" s="4" t="s">
        <v>5739</v>
      </c>
      <c r="K2114" s="6">
        <f>+919011231676</f>
        <v>919011231676</v>
      </c>
      <c r="L2114" s="4" t="str">
        <f t="shared" si="1"/>
        <v>mayurlokhande584@gmail.com919011231676</v>
      </c>
      <c r="M2114" s="10" t="s">
        <v>67</v>
      </c>
      <c r="N2114" s="4" t="b">
        <v>0</v>
      </c>
      <c r="O2114" s="4" t="str">
        <f>VLOOKUP(A2114,payment_ids!D:E,2,FALSE)</f>
        <v>upi</v>
      </c>
      <c r="P2114" s="4" t="s">
        <v>69</v>
      </c>
      <c r="Q2114" s="11">
        <v>44413.688888888886</v>
      </c>
      <c r="R2114" s="4"/>
      <c r="S2114" s="12" t="s">
        <v>5731</v>
      </c>
      <c r="T2114" s="4"/>
      <c r="U2114" s="5"/>
      <c r="V2114" s="11"/>
      <c r="W2114" s="5"/>
      <c r="X2114" s="11"/>
      <c r="Y2114" s="4"/>
      <c r="Z2114" s="5"/>
      <c r="AA2114" s="5"/>
      <c r="AB2114" s="4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</row>
    <row r="2115">
      <c r="A2115" s="4" t="str">
        <f>VLOOKUP(L2115,payment_ids!C:D,2,FALSE)</f>
        <v>pay_H8LJZO8OgPDB01</v>
      </c>
      <c r="B2115" s="4"/>
      <c r="C2115" s="4" t="s">
        <v>1727</v>
      </c>
      <c r="D2115" s="4">
        <v>50033.0</v>
      </c>
      <c r="E2115" s="4"/>
      <c r="F2115" s="4">
        <v>1.0</v>
      </c>
      <c r="G2115" s="4">
        <v>99.0</v>
      </c>
      <c r="H2115" s="4"/>
      <c r="I2115" s="4">
        <v>99.0</v>
      </c>
      <c r="J2115" s="4" t="s">
        <v>5740</v>
      </c>
      <c r="K2115" s="6">
        <f>+919366144046</f>
        <v>919366144046</v>
      </c>
      <c r="L2115" s="4" t="str">
        <f t="shared" si="1"/>
        <v>lipoktoshilongkumer@gmail.com919366144046</v>
      </c>
      <c r="M2115" s="10" t="s">
        <v>67</v>
      </c>
      <c r="N2115" s="4" t="b">
        <v>0</v>
      </c>
      <c r="O2115" s="4" t="str">
        <f>VLOOKUP(A2115,payment_ids!D:E,2,FALSE)</f>
        <v>upi</v>
      </c>
      <c r="P2115" s="4" t="s">
        <v>69</v>
      </c>
      <c r="Q2115" s="11">
        <v>44413.8625</v>
      </c>
      <c r="R2115" s="4"/>
      <c r="S2115" s="12" t="s">
        <v>5731</v>
      </c>
      <c r="T2115" s="4"/>
      <c r="U2115" s="4"/>
      <c r="V2115" s="11"/>
      <c r="W2115" s="5"/>
      <c r="X2115" s="11"/>
      <c r="Y2115" s="4"/>
      <c r="Z2115" s="5"/>
      <c r="AA2115" s="4"/>
      <c r="AB2115" s="4"/>
      <c r="AC2115" s="4"/>
      <c r="AD2115" s="4"/>
      <c r="AE2115" s="5"/>
      <c r="AF2115" s="5"/>
      <c r="AG2115" s="5"/>
      <c r="AH2115" s="5"/>
      <c r="AI2115" s="5"/>
      <c r="AJ2115" s="5"/>
      <c r="AK2115" s="5"/>
      <c r="AL2115" s="5"/>
    </row>
    <row r="2116">
      <c r="A2116" s="4" t="str">
        <f>VLOOKUP(L2116,payment_ids!C:D,2,FALSE)</f>
        <v>pay_H80JLoKhAkMoQz</v>
      </c>
      <c r="B2116" s="4"/>
      <c r="C2116" s="4" t="s">
        <v>1727</v>
      </c>
      <c r="D2116" s="4">
        <v>50033.0</v>
      </c>
      <c r="E2116" s="4"/>
      <c r="F2116" s="4">
        <v>6.0</v>
      </c>
      <c r="G2116" s="4">
        <v>349.0</v>
      </c>
      <c r="H2116" s="4"/>
      <c r="I2116" s="4">
        <v>349.0</v>
      </c>
      <c r="J2116" s="4" t="s">
        <v>5741</v>
      </c>
      <c r="K2116" s="6">
        <f>+917204595392</f>
        <v>917204595392</v>
      </c>
      <c r="L2116" s="4" t="str">
        <f t="shared" si="1"/>
        <v>kulkarnikaustubh017@gmail.com917204595392</v>
      </c>
      <c r="M2116" s="10" t="s">
        <v>67</v>
      </c>
      <c r="N2116" s="4" t="b">
        <v>0</v>
      </c>
      <c r="O2116" s="4" t="str">
        <f>VLOOKUP(A2116,payment_ids!D:E,2,FALSE)</f>
        <v>upi</v>
      </c>
      <c r="P2116" s="4" t="s">
        <v>69</v>
      </c>
      <c r="Q2116" s="11">
        <v>44413.00625</v>
      </c>
      <c r="R2116" s="4"/>
      <c r="S2116" s="12" t="s">
        <v>5731</v>
      </c>
      <c r="T2116" s="4"/>
      <c r="U2116" s="4"/>
      <c r="V2116" s="11"/>
      <c r="W2116" s="5"/>
      <c r="X2116" s="11"/>
      <c r="Y2116" s="4"/>
      <c r="Z2116" s="5"/>
      <c r="AA2116" s="4"/>
      <c r="AB2116" s="4"/>
      <c r="AC2116" s="4"/>
      <c r="AD2116" s="4"/>
      <c r="AE2116" s="5"/>
      <c r="AF2116" s="5"/>
      <c r="AG2116" s="5"/>
      <c r="AH2116" s="5"/>
      <c r="AI2116" s="5"/>
      <c r="AJ2116" s="5"/>
      <c r="AK2116" s="5"/>
      <c r="AL2116" s="5"/>
    </row>
    <row r="2117">
      <c r="A2117" s="4" t="str">
        <f>VLOOKUP(L2117,payment_ids!C:D,2,FALSE)</f>
        <v>pay_H8hBAb4VHgs664</v>
      </c>
      <c r="B2117" s="4"/>
      <c r="C2117" s="4" t="s">
        <v>1727</v>
      </c>
      <c r="D2117" s="4">
        <v>50033.0</v>
      </c>
      <c r="E2117" s="4"/>
      <c r="F2117" s="4">
        <v>1.0</v>
      </c>
      <c r="G2117" s="4">
        <v>99.0</v>
      </c>
      <c r="H2117" s="4"/>
      <c r="I2117" s="4">
        <v>99.0</v>
      </c>
      <c r="J2117" s="4" t="s">
        <v>5742</v>
      </c>
      <c r="K2117" s="6">
        <f>+919867990322</f>
        <v>919867990322</v>
      </c>
      <c r="L2117" s="4" t="str">
        <f t="shared" si="1"/>
        <v>khan.anwar1994@gmail.com919867990322</v>
      </c>
      <c r="M2117" s="10" t="s">
        <v>67</v>
      </c>
      <c r="N2117" s="4" t="b">
        <v>0</v>
      </c>
      <c r="O2117" s="4" t="str">
        <f>VLOOKUP(A2117,payment_ids!D:E,2,FALSE)</f>
        <v>upi</v>
      </c>
      <c r="P2117" s="4" t="s">
        <v>69</v>
      </c>
      <c r="Q2117" s="11">
        <v>44444.75277777778</v>
      </c>
      <c r="R2117" s="4"/>
      <c r="S2117" s="12" t="s">
        <v>5731</v>
      </c>
      <c r="T2117" s="4"/>
      <c r="U2117" s="4"/>
      <c r="V2117" s="11"/>
      <c r="W2117" s="5"/>
      <c r="X2117" s="11"/>
      <c r="Y2117" s="4"/>
      <c r="Z2117" s="5"/>
      <c r="AA2117" s="4"/>
      <c r="AB2117" s="4"/>
      <c r="AC2117" s="4"/>
      <c r="AD2117" s="4"/>
      <c r="AE2117" s="5"/>
      <c r="AF2117" s="5"/>
      <c r="AG2117" s="5"/>
      <c r="AH2117" s="5"/>
      <c r="AI2117" s="5"/>
      <c r="AJ2117" s="5"/>
      <c r="AK2117" s="5"/>
      <c r="AL2117" s="5"/>
    </row>
    <row r="2118">
      <c r="A2118" s="4" t="str">
        <f>VLOOKUP(L2118,payment_ids!C:D,2,FALSE)</f>
        <v>pay_H8hLLRt6P6MZey</v>
      </c>
      <c r="B2118" s="4"/>
      <c r="C2118" s="4" t="s">
        <v>1727</v>
      </c>
      <c r="D2118" s="4">
        <v>50033.0</v>
      </c>
      <c r="E2118" s="4"/>
      <c r="F2118" s="4">
        <v>1.0</v>
      </c>
      <c r="G2118" s="4">
        <v>99.0</v>
      </c>
      <c r="H2118" s="4"/>
      <c r="I2118" s="4">
        <v>99.0</v>
      </c>
      <c r="J2118" s="4" t="s">
        <v>5743</v>
      </c>
      <c r="K2118" s="6">
        <f>+919654249733</f>
        <v>919654249733</v>
      </c>
      <c r="L2118" s="4" t="str">
        <f t="shared" si="1"/>
        <v>ritwikkumar1412@gmail.com919654249733</v>
      </c>
      <c r="M2118" s="10" t="s">
        <v>67</v>
      </c>
      <c r="N2118" s="4" t="b">
        <v>0</v>
      </c>
      <c r="O2118" s="4" t="str">
        <f>VLOOKUP(A2118,payment_ids!D:E,2,FALSE)</f>
        <v>upi</v>
      </c>
      <c r="P2118" s="4" t="s">
        <v>69</v>
      </c>
      <c r="Q2118" s="11">
        <v>44444.759722222225</v>
      </c>
      <c r="R2118" s="4"/>
      <c r="S2118" s="12" t="s">
        <v>5731</v>
      </c>
      <c r="T2118" s="4"/>
      <c r="U2118" s="4"/>
      <c r="V2118" s="11"/>
      <c r="W2118" s="5"/>
      <c r="X2118" s="11"/>
      <c r="Y2118" s="4"/>
      <c r="Z2118" s="5"/>
      <c r="AA2118" s="4"/>
      <c r="AB2118" s="4"/>
      <c r="AC2118" s="4"/>
      <c r="AD2118" s="4"/>
      <c r="AE2118" s="5"/>
      <c r="AF2118" s="5"/>
      <c r="AG2118" s="5"/>
      <c r="AH2118" s="5"/>
      <c r="AI2118" s="5"/>
      <c r="AJ2118" s="5"/>
      <c r="AK2118" s="5"/>
      <c r="AL2118" s="5"/>
    </row>
    <row r="2119">
      <c r="A2119" s="4" t="str">
        <f>VLOOKUP(L2119,payment_ids!C:D,2,FALSE)</f>
        <v>pay_H8imrtp1OM1Rno</v>
      </c>
      <c r="B2119" s="4"/>
      <c r="C2119" s="4" t="s">
        <v>1727</v>
      </c>
      <c r="D2119" s="4">
        <v>50033.0</v>
      </c>
      <c r="E2119" s="4"/>
      <c r="F2119" s="4">
        <v>1.0</v>
      </c>
      <c r="G2119" s="4">
        <v>99.0</v>
      </c>
      <c r="H2119" s="4"/>
      <c r="I2119" s="4">
        <v>99.0</v>
      </c>
      <c r="J2119" s="4" t="s">
        <v>3856</v>
      </c>
      <c r="K2119" s="6">
        <f>+919968938999</f>
        <v>919968938999</v>
      </c>
      <c r="L2119" s="4" t="str">
        <f t="shared" si="1"/>
        <v>bharat.oberoi.9@gmail.com919968938999</v>
      </c>
      <c r="M2119" s="10" t="s">
        <v>67</v>
      </c>
      <c r="N2119" s="4" t="b">
        <v>0</v>
      </c>
      <c r="O2119" s="4" t="str">
        <f>VLOOKUP(A2119,payment_ids!D:E,2,FALSE)</f>
        <v>card</v>
      </c>
      <c r="P2119" s="4" t="s">
        <v>69</v>
      </c>
      <c r="Q2119" s="11">
        <v>44444.81875</v>
      </c>
      <c r="R2119" s="4"/>
      <c r="S2119" s="12" t="s">
        <v>5731</v>
      </c>
      <c r="T2119" s="4"/>
      <c r="U2119" s="4"/>
      <c r="V2119" s="11"/>
      <c r="W2119" s="5"/>
      <c r="X2119" s="11"/>
      <c r="Y2119" s="4"/>
      <c r="Z2119" s="5"/>
      <c r="AA2119" s="4"/>
      <c r="AB2119" s="4"/>
      <c r="AC2119" s="4"/>
      <c r="AD2119" s="4"/>
      <c r="AE2119" s="5"/>
      <c r="AF2119" s="5"/>
      <c r="AG2119" s="5"/>
      <c r="AH2119" s="5"/>
      <c r="AI2119" s="5"/>
      <c r="AJ2119" s="5"/>
      <c r="AK2119" s="5"/>
      <c r="AL2119" s="5"/>
    </row>
    <row r="2120">
      <c r="A2120" s="4" t="str">
        <f>VLOOKUP(L2120,payment_ids!C:D,2,FALSE)</f>
        <v>pay_H8kxHoBWHGc3Q9</v>
      </c>
      <c r="B2120" s="4"/>
      <c r="C2120" s="4" t="s">
        <v>1727</v>
      </c>
      <c r="D2120" s="4">
        <v>50033.0</v>
      </c>
      <c r="E2120" s="4"/>
      <c r="F2120" s="4">
        <v>1.0</v>
      </c>
      <c r="G2120" s="4">
        <v>99.0</v>
      </c>
      <c r="H2120" s="4"/>
      <c r="I2120" s="4">
        <v>99.0</v>
      </c>
      <c r="J2120" s="4" t="s">
        <v>5744</v>
      </c>
      <c r="K2120" s="6">
        <f>+917331128150</f>
        <v>917331128150</v>
      </c>
      <c r="L2120" s="4" t="str">
        <f t="shared" si="1"/>
        <v>zainahmedd@gmail.com917331128150</v>
      </c>
      <c r="M2120" s="10" t="s">
        <v>67</v>
      </c>
      <c r="N2120" s="4" t="b">
        <v>0</v>
      </c>
      <c r="O2120" s="4" t="str">
        <f>VLOOKUP(A2120,payment_ids!D:E,2,FALSE)</f>
        <v>card</v>
      </c>
      <c r="P2120" s="4" t="s">
        <v>69</v>
      </c>
      <c r="Q2120" s="11">
        <v>44444.90694444445</v>
      </c>
      <c r="R2120" s="4"/>
      <c r="S2120" s="12" t="s">
        <v>5731</v>
      </c>
      <c r="T2120" s="4"/>
      <c r="U2120" s="5"/>
      <c r="V2120" s="11"/>
      <c r="W2120" s="5"/>
      <c r="X2120" s="11"/>
      <c r="Y2120" s="4"/>
      <c r="Z2120" s="5"/>
      <c r="AA2120" s="5"/>
      <c r="AB2120" s="4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</row>
    <row r="2121">
      <c r="A2121" s="4" t="str">
        <f>VLOOKUP(L2121,payment_ids!C:D,2,FALSE)</f>
        <v>pay_H8Z95xWMxmutNU</v>
      </c>
      <c r="B2121" s="4"/>
      <c r="C2121" s="4" t="s">
        <v>1727</v>
      </c>
      <c r="D2121" s="4">
        <v>50033.0</v>
      </c>
      <c r="E2121" s="4"/>
      <c r="F2121" s="4">
        <v>3.0</v>
      </c>
      <c r="G2121" s="4">
        <v>199.0</v>
      </c>
      <c r="H2121" s="4"/>
      <c r="I2121" s="4">
        <v>199.0</v>
      </c>
      <c r="J2121" s="4" t="s">
        <v>5745</v>
      </c>
      <c r="K2121" s="6">
        <f>+917903896049</f>
        <v>917903896049</v>
      </c>
      <c r="L2121" s="4" t="str">
        <f t="shared" si="1"/>
        <v>ravijeet106@gmail.com917903896049</v>
      </c>
      <c r="M2121" s="10" t="s">
        <v>67</v>
      </c>
      <c r="N2121" s="4" t="b">
        <v>0</v>
      </c>
      <c r="O2121" s="4" t="str">
        <f>VLOOKUP(A2121,payment_ids!D:E,2,FALSE)</f>
        <v>upi</v>
      </c>
      <c r="P2121" s="4" t="s">
        <v>69</v>
      </c>
      <c r="Q2121" s="11">
        <v>44444.42569444444</v>
      </c>
      <c r="R2121" s="4"/>
      <c r="S2121" s="12" t="s">
        <v>5731</v>
      </c>
      <c r="T2121" s="4"/>
      <c r="U2121" s="4"/>
      <c r="V2121" s="11"/>
      <c r="W2121" s="5"/>
      <c r="X2121" s="11"/>
      <c r="Y2121" s="4"/>
      <c r="Z2121" s="5"/>
      <c r="AA2121" s="4"/>
      <c r="AB2121" s="4"/>
      <c r="AC2121" s="4"/>
      <c r="AD2121" s="4"/>
      <c r="AE2121" s="5"/>
      <c r="AF2121" s="5"/>
      <c r="AG2121" s="5"/>
      <c r="AH2121" s="5"/>
      <c r="AI2121" s="5"/>
      <c r="AJ2121" s="5"/>
      <c r="AK2121" s="5"/>
      <c r="AL2121" s="5"/>
    </row>
    <row r="2122">
      <c r="A2122" s="4" t="str">
        <f>VLOOKUP(L2122,payment_ids!C:D,2,FALSE)</f>
        <v>pay_H8a15Vrokxn5wr</v>
      </c>
      <c r="B2122" s="4"/>
      <c r="C2122" s="4" t="s">
        <v>1727</v>
      </c>
      <c r="D2122" s="4">
        <v>50033.0</v>
      </c>
      <c r="E2122" s="4"/>
      <c r="F2122" s="4">
        <v>6.0</v>
      </c>
      <c r="G2122" s="4">
        <v>349.0</v>
      </c>
      <c r="H2122" s="4"/>
      <c r="I2122" s="4">
        <v>349.0</v>
      </c>
      <c r="J2122" s="4" t="s">
        <v>5746</v>
      </c>
      <c r="K2122" s="6">
        <f>+918484824494</f>
        <v>918484824494</v>
      </c>
      <c r="L2122" s="4" t="str">
        <f t="shared" si="1"/>
        <v>sy205112055@gmail.com918484824494</v>
      </c>
      <c r="M2122" s="10" t="s">
        <v>67</v>
      </c>
      <c r="N2122" s="4" t="b">
        <v>0</v>
      </c>
      <c r="O2122" s="4" t="str">
        <f>VLOOKUP(A2122,payment_ids!D:E,2,FALSE)</f>
        <v>card</v>
      </c>
      <c r="P2122" s="4" t="s">
        <v>69</v>
      </c>
      <c r="Q2122" s="11">
        <v>44444.461805555555</v>
      </c>
      <c r="R2122" s="4"/>
      <c r="S2122" s="12" t="s">
        <v>5731</v>
      </c>
      <c r="T2122" s="4"/>
      <c r="U2122" s="4"/>
      <c r="V2122" s="11"/>
      <c r="W2122" s="5"/>
      <c r="X2122" s="11"/>
      <c r="Y2122" s="4"/>
      <c r="Z2122" s="5"/>
      <c r="AA2122" s="4"/>
      <c r="AB2122" s="4"/>
      <c r="AC2122" s="4"/>
      <c r="AD2122" s="4"/>
      <c r="AE2122" s="5"/>
      <c r="AF2122" s="5"/>
      <c r="AG2122" s="5"/>
      <c r="AH2122" s="5"/>
      <c r="AI2122" s="5"/>
      <c r="AJ2122" s="5"/>
      <c r="AK2122" s="5"/>
      <c r="AL2122" s="5"/>
    </row>
    <row r="2123">
      <c r="A2123" s="4" t="str">
        <f>VLOOKUP(L2123,payment_ids!C:D,2,FALSE)</f>
        <v>pay_H8akPhPXymP1fj</v>
      </c>
      <c r="B2123" s="4"/>
      <c r="C2123" s="4" t="s">
        <v>1727</v>
      </c>
      <c r="D2123" s="4">
        <v>50033.0</v>
      </c>
      <c r="E2123" s="4"/>
      <c r="F2123" s="4">
        <v>1.0</v>
      </c>
      <c r="G2123" s="4">
        <v>99.0</v>
      </c>
      <c r="H2123" s="4"/>
      <c r="I2123" s="4">
        <v>99.0</v>
      </c>
      <c r="J2123" s="4" t="s">
        <v>5747</v>
      </c>
      <c r="K2123" s="6">
        <f>+919818071446</f>
        <v>919818071446</v>
      </c>
      <c r="L2123" s="4" t="str">
        <f t="shared" si="1"/>
        <v>mayank.anku@gmail.com919818071446</v>
      </c>
      <c r="M2123" s="10" t="s">
        <v>67</v>
      </c>
      <c r="N2123" s="4" t="b">
        <v>0</v>
      </c>
      <c r="O2123" s="4" t="str">
        <f>VLOOKUP(A2123,payment_ids!D:E,2,FALSE)</f>
        <v>card</v>
      </c>
      <c r="P2123" s="4" t="s">
        <v>69</v>
      </c>
      <c r="Q2123" s="11">
        <v>44444.49097222222</v>
      </c>
      <c r="R2123" s="4"/>
      <c r="S2123" s="12" t="s">
        <v>5731</v>
      </c>
      <c r="T2123" s="4"/>
      <c r="U2123" s="4"/>
      <c r="V2123" s="11"/>
      <c r="W2123" s="5"/>
      <c r="X2123" s="11"/>
      <c r="Y2123" s="4"/>
      <c r="Z2123" s="5"/>
      <c r="AA2123" s="4"/>
      <c r="AB2123" s="4"/>
      <c r="AC2123" s="4"/>
      <c r="AD2123" s="4"/>
      <c r="AE2123" s="5"/>
      <c r="AF2123" s="5"/>
      <c r="AG2123" s="5"/>
      <c r="AH2123" s="5"/>
      <c r="AI2123" s="5"/>
      <c r="AJ2123" s="5"/>
      <c r="AK2123" s="5"/>
      <c r="AL2123" s="5"/>
    </row>
    <row r="2124">
      <c r="A2124" s="4" t="str">
        <f>VLOOKUP(L2124,payment_ids!C:D,2,FALSE)</f>
        <v>pay_H8b8IdtIkJqtus</v>
      </c>
      <c r="B2124" s="4"/>
      <c r="C2124" s="4" t="s">
        <v>1727</v>
      </c>
      <c r="D2124" s="4">
        <v>50033.0</v>
      </c>
      <c r="E2124" s="4"/>
      <c r="F2124" s="4">
        <v>3.0</v>
      </c>
      <c r="G2124" s="4">
        <v>199.0</v>
      </c>
      <c r="H2124" s="4"/>
      <c r="I2124" s="4">
        <v>199.0</v>
      </c>
      <c r="J2124" s="4" t="s">
        <v>5748</v>
      </c>
      <c r="K2124" s="6">
        <f>+919531868088</f>
        <v>919531868088</v>
      </c>
      <c r="L2124" s="4" t="str">
        <f t="shared" si="1"/>
        <v>madhureddy2019cse@gmail.com919531868088</v>
      </c>
      <c r="M2124" s="10" t="s">
        <v>67</v>
      </c>
      <c r="N2124" s="4" t="b">
        <v>0</v>
      </c>
      <c r="O2124" s="4" t="str">
        <f>VLOOKUP(A2124,payment_ids!D:E,2,FALSE)</f>
        <v>upi</v>
      </c>
      <c r="P2124" s="4" t="s">
        <v>69</v>
      </c>
      <c r="Q2124" s="11">
        <v>44444.506944444445</v>
      </c>
      <c r="R2124" s="4"/>
      <c r="S2124" s="12" t="s">
        <v>5731</v>
      </c>
      <c r="T2124" s="4"/>
      <c r="U2124" s="4"/>
      <c r="V2124" s="11"/>
      <c r="W2124" s="5"/>
      <c r="X2124" s="11"/>
      <c r="Y2124" s="4"/>
      <c r="Z2124" s="5"/>
      <c r="AA2124" s="4"/>
      <c r="AB2124" s="4"/>
      <c r="AC2124" s="4"/>
      <c r="AD2124" s="4"/>
      <c r="AE2124" s="5"/>
      <c r="AF2124" s="5"/>
      <c r="AG2124" s="5"/>
      <c r="AH2124" s="5"/>
      <c r="AI2124" s="5"/>
      <c r="AJ2124" s="5"/>
      <c r="AK2124" s="5"/>
      <c r="AL2124" s="5"/>
    </row>
    <row r="2125">
      <c r="A2125" s="4" t="str">
        <f>VLOOKUP(L2125,payment_ids!C:D,2,FALSE)</f>
        <v>pay_H8bVIGnYX44wZT</v>
      </c>
      <c r="B2125" s="4"/>
      <c r="C2125" s="4" t="s">
        <v>1727</v>
      </c>
      <c r="D2125" s="4">
        <v>50033.0</v>
      </c>
      <c r="E2125" s="4"/>
      <c r="F2125" s="4">
        <v>1.0</v>
      </c>
      <c r="G2125" s="4">
        <v>99.0</v>
      </c>
      <c r="H2125" s="4"/>
      <c r="I2125" s="4">
        <v>99.0</v>
      </c>
      <c r="J2125" s="4" t="s">
        <v>5749</v>
      </c>
      <c r="K2125" s="6">
        <f>+919819871361</f>
        <v>919819871361</v>
      </c>
      <c r="L2125" s="4" t="str">
        <f t="shared" si="1"/>
        <v>dkumar2105@gmail.com919819871361</v>
      </c>
      <c r="M2125" s="10" t="s">
        <v>67</v>
      </c>
      <c r="N2125" s="4" t="b">
        <v>0</v>
      </c>
      <c r="O2125" s="4" t="str">
        <f>VLOOKUP(A2125,payment_ids!D:E,2,FALSE)</f>
        <v>upi</v>
      </c>
      <c r="P2125" s="4" t="s">
        <v>69</v>
      </c>
      <c r="Q2125" s="11">
        <v>44444.521527777775</v>
      </c>
      <c r="R2125" s="4"/>
      <c r="S2125" s="12" t="s">
        <v>5731</v>
      </c>
      <c r="T2125" s="4"/>
      <c r="U2125" s="4"/>
      <c r="V2125" s="11"/>
      <c r="W2125" s="5"/>
      <c r="X2125" s="11"/>
      <c r="Y2125" s="4"/>
      <c r="Z2125" s="5"/>
      <c r="AA2125" s="4"/>
      <c r="AB2125" s="4"/>
      <c r="AC2125" s="4"/>
      <c r="AD2125" s="4"/>
      <c r="AE2125" s="5"/>
      <c r="AF2125" s="5"/>
      <c r="AG2125" s="5"/>
      <c r="AH2125" s="5"/>
      <c r="AI2125" s="5"/>
      <c r="AJ2125" s="5"/>
      <c r="AK2125" s="5"/>
      <c r="AL2125" s="5"/>
    </row>
    <row r="2126">
      <c r="A2126" s="4" t="str">
        <f>VLOOKUP(L2126,payment_ids!C:D,2,FALSE)</f>
        <v>pay_H8qtojQTZ0E0Jm</v>
      </c>
      <c r="B2126" s="4"/>
      <c r="C2126" s="4" t="s">
        <v>1727</v>
      </c>
      <c r="D2126" s="4">
        <v>50033.0</v>
      </c>
      <c r="E2126" s="4"/>
      <c r="F2126" s="4">
        <v>1.0</v>
      </c>
      <c r="G2126" s="4">
        <v>99.0</v>
      </c>
      <c r="H2126" s="4"/>
      <c r="I2126" s="4">
        <v>99.0</v>
      </c>
      <c r="J2126" s="4" t="s">
        <v>5750</v>
      </c>
      <c r="K2126" s="6">
        <f>+919100876678</f>
        <v>919100876678</v>
      </c>
      <c r="L2126" s="4" t="str">
        <f t="shared" si="1"/>
        <v>ysivakireeti@gmail.com919100876678</v>
      </c>
      <c r="M2126" s="10" t="s">
        <v>67</v>
      </c>
      <c r="N2126" s="4" t="b">
        <v>0</v>
      </c>
      <c r="O2126" s="4" t="str">
        <f>VLOOKUP(A2126,payment_ids!D:E,2,FALSE)</f>
        <v>upi</v>
      </c>
      <c r="P2126" s="4" t="s">
        <v>69</v>
      </c>
      <c r="Q2126" s="11">
        <v>44474.149305555555</v>
      </c>
      <c r="R2126" s="4"/>
      <c r="S2126" s="12" t="s">
        <v>5731</v>
      </c>
      <c r="T2126" s="4"/>
      <c r="U2126" s="4"/>
      <c r="V2126" s="11"/>
      <c r="W2126" s="5"/>
      <c r="X2126" s="11"/>
      <c r="Y2126" s="4"/>
      <c r="Z2126" s="5"/>
      <c r="AA2126" s="4"/>
      <c r="AB2126" s="4"/>
      <c r="AC2126" s="4"/>
      <c r="AD2126" s="4"/>
      <c r="AE2126" s="5"/>
      <c r="AF2126" s="5"/>
      <c r="AG2126" s="5"/>
      <c r="AH2126" s="5"/>
      <c r="AI2126" s="5"/>
      <c r="AJ2126" s="5"/>
      <c r="AK2126" s="5"/>
      <c r="AL2126" s="5"/>
    </row>
    <row r="2127">
      <c r="A2127" s="4" t="str">
        <f>VLOOKUP(L2127,payment_ids!C:D,2,FALSE)</f>
        <v>pay_H94fPZSxuNMIJQ</v>
      </c>
      <c r="B2127" s="4"/>
      <c r="C2127" s="4" t="s">
        <v>1727</v>
      </c>
      <c r="D2127" s="4">
        <v>50033.0</v>
      </c>
      <c r="E2127" s="4"/>
      <c r="F2127" s="4">
        <v>1.0</v>
      </c>
      <c r="G2127" s="4">
        <v>99.0</v>
      </c>
      <c r="H2127" s="4"/>
      <c r="I2127" s="4">
        <v>99.0</v>
      </c>
      <c r="J2127" s="4" t="s">
        <v>5751</v>
      </c>
      <c r="K2127" s="6">
        <f>+919464091279</f>
        <v>919464091279</v>
      </c>
      <c r="L2127" s="4" t="str">
        <f t="shared" si="1"/>
        <v>avvariraviraja@gmail.com919464091279</v>
      </c>
      <c r="M2127" s="10" t="s">
        <v>67</v>
      </c>
      <c r="N2127" s="4" t="b">
        <v>0</v>
      </c>
      <c r="O2127" s="4" t="str">
        <f>VLOOKUP(A2127,payment_ids!D:E,2,FALSE)</f>
        <v>upi</v>
      </c>
      <c r="P2127" s="4" t="s">
        <v>69</v>
      </c>
      <c r="Q2127" s="11">
        <v>44474.711805555555</v>
      </c>
      <c r="R2127" s="4"/>
      <c r="S2127" s="12" t="s">
        <v>5731</v>
      </c>
      <c r="T2127" s="4"/>
      <c r="U2127" s="4"/>
      <c r="V2127" s="11"/>
      <c r="W2127" s="5"/>
      <c r="X2127" s="11"/>
      <c r="Y2127" s="4"/>
      <c r="Z2127" s="5"/>
      <c r="AA2127" s="4"/>
      <c r="AB2127" s="4"/>
      <c r="AC2127" s="4"/>
      <c r="AD2127" s="4"/>
      <c r="AE2127" s="5"/>
      <c r="AF2127" s="5"/>
      <c r="AG2127" s="5"/>
      <c r="AH2127" s="5"/>
      <c r="AI2127" s="5"/>
      <c r="AJ2127" s="5"/>
      <c r="AK2127" s="5"/>
      <c r="AL2127" s="5"/>
    </row>
    <row r="2128">
      <c r="A2128" s="4" t="str">
        <f>VLOOKUP(L2128,payment_ids!C:D,2,FALSE)</f>
        <v>pay_H8vfFgvHQA9223</v>
      </c>
      <c r="B2128" s="4"/>
      <c r="C2128" s="4" t="s">
        <v>1727</v>
      </c>
      <c r="D2128" s="4">
        <v>50033.0</v>
      </c>
      <c r="E2128" s="4"/>
      <c r="F2128" s="4">
        <v>1.0</v>
      </c>
      <c r="G2128" s="4">
        <v>99.0</v>
      </c>
      <c r="H2128" s="4"/>
      <c r="I2128" s="4">
        <v>99.0</v>
      </c>
      <c r="J2128" s="4" t="s">
        <v>5752</v>
      </c>
      <c r="K2128" s="6">
        <f>+919506976416</f>
        <v>919506976416</v>
      </c>
      <c r="L2128" s="4" t="str">
        <f t="shared" si="1"/>
        <v>pdc11011@gmail.com919506976416</v>
      </c>
      <c r="M2128" s="10" t="s">
        <v>67</v>
      </c>
      <c r="N2128" s="4" t="b">
        <v>0</v>
      </c>
      <c r="O2128" s="4" t="str">
        <f>VLOOKUP(A2128,payment_ids!D:E,2,FALSE)</f>
        <v>upi</v>
      </c>
      <c r="P2128" s="4" t="s">
        <v>69</v>
      </c>
      <c r="Q2128" s="11">
        <v>44474.34375</v>
      </c>
      <c r="R2128" s="4"/>
      <c r="S2128" s="12" t="s">
        <v>5731</v>
      </c>
      <c r="T2128" s="4"/>
      <c r="U2128" s="4"/>
      <c r="V2128" s="11"/>
      <c r="W2128" s="5"/>
      <c r="X2128" s="11"/>
      <c r="Y2128" s="4"/>
      <c r="Z2128" s="5"/>
      <c r="AA2128" s="4"/>
      <c r="AB2128" s="4"/>
      <c r="AC2128" s="4"/>
      <c r="AD2128" s="4"/>
      <c r="AE2128" s="5"/>
      <c r="AF2128" s="5"/>
      <c r="AG2128" s="5"/>
      <c r="AH2128" s="5"/>
      <c r="AI2128" s="5"/>
      <c r="AJ2128" s="5"/>
      <c r="AK2128" s="5"/>
      <c r="AL2128" s="5"/>
    </row>
    <row r="2129">
      <c r="A2129" s="4" t="str">
        <f>VLOOKUP(L2129,payment_ids!C:D,2,FALSE)</f>
        <v>pay_H96BFl2BzzaGb4</v>
      </c>
      <c r="B2129" s="4"/>
      <c r="C2129" s="4" t="s">
        <v>1727</v>
      </c>
      <c r="D2129" s="4">
        <v>50033.0</v>
      </c>
      <c r="E2129" s="4"/>
      <c r="F2129" s="4">
        <v>1.0</v>
      </c>
      <c r="G2129" s="4">
        <v>99.0</v>
      </c>
      <c r="H2129" s="4"/>
      <c r="I2129" s="4">
        <v>99.0</v>
      </c>
      <c r="J2129" s="4" t="s">
        <v>5753</v>
      </c>
      <c r="K2129" s="6">
        <f>+919108408591</f>
        <v>919108408591</v>
      </c>
      <c r="L2129" s="4" t="str">
        <f t="shared" si="1"/>
        <v>dilkash.azam@gmail.com919108408591</v>
      </c>
      <c r="M2129" s="10" t="s">
        <v>67</v>
      </c>
      <c r="N2129" s="4" t="b">
        <v>0</v>
      </c>
      <c r="O2129" s="4" t="str">
        <f>VLOOKUP(A2129,payment_ids!D:E,2,FALSE)</f>
        <v>upi</v>
      </c>
      <c r="P2129" s="4" t="s">
        <v>69</v>
      </c>
      <c r="Q2129" s="11">
        <v>44474.865277777775</v>
      </c>
      <c r="R2129" s="4"/>
      <c r="S2129" s="12" t="s">
        <v>5731</v>
      </c>
      <c r="T2129" s="4"/>
      <c r="U2129" s="4"/>
      <c r="V2129" s="11"/>
      <c r="W2129" s="5"/>
      <c r="X2129" s="11"/>
      <c r="Y2129" s="4"/>
      <c r="Z2129" s="5"/>
      <c r="AA2129" s="4"/>
      <c r="AB2129" s="4"/>
      <c r="AC2129" s="4"/>
      <c r="AD2129" s="4"/>
      <c r="AE2129" s="5"/>
      <c r="AF2129" s="5"/>
      <c r="AG2129" s="5"/>
      <c r="AH2129" s="5"/>
      <c r="AI2129" s="5"/>
      <c r="AJ2129" s="5"/>
      <c r="AK2129" s="5"/>
      <c r="AL2129" s="5"/>
    </row>
    <row r="2130">
      <c r="A2130" s="4" t="str">
        <f>VLOOKUP(L2130,payment_ids!C:D,2,FALSE)</f>
        <v>pay_H8x969roGQbvwU</v>
      </c>
      <c r="B2130" s="4"/>
      <c r="C2130" s="4" t="s">
        <v>1727</v>
      </c>
      <c r="D2130" s="4">
        <v>50033.0</v>
      </c>
      <c r="E2130" s="4"/>
      <c r="F2130" s="4">
        <v>1.0</v>
      </c>
      <c r="G2130" s="4">
        <v>99.0</v>
      </c>
      <c r="H2130" s="4"/>
      <c r="I2130" s="4">
        <v>99.0</v>
      </c>
      <c r="J2130" s="4" t="s">
        <v>5754</v>
      </c>
      <c r="K2130" s="6">
        <f>+917671883672</f>
        <v>917671883672</v>
      </c>
      <c r="L2130" s="4" t="str">
        <f t="shared" si="1"/>
        <v>rayillasaiprakash@gmail.com917671883672</v>
      </c>
      <c r="M2130" s="10" t="s">
        <v>67</v>
      </c>
      <c r="N2130" s="4" t="b">
        <v>0</v>
      </c>
      <c r="O2130" s="4" t="str">
        <f>VLOOKUP(A2130,payment_ids!D:E,2,FALSE)</f>
        <v>upi</v>
      </c>
      <c r="P2130" s="4" t="s">
        <v>69</v>
      </c>
      <c r="Q2130" s="11">
        <v>44474.40347222222</v>
      </c>
      <c r="R2130" s="4"/>
      <c r="S2130" s="12" t="s">
        <v>5731</v>
      </c>
      <c r="T2130" s="4"/>
      <c r="U2130" s="4"/>
      <c r="V2130" s="11"/>
      <c r="W2130" s="5"/>
      <c r="X2130" s="11"/>
      <c r="Y2130" s="4"/>
      <c r="Z2130" s="5"/>
      <c r="AA2130" s="4"/>
      <c r="AB2130" s="4"/>
      <c r="AC2130" s="4"/>
      <c r="AD2130" s="4"/>
      <c r="AE2130" s="5"/>
      <c r="AF2130" s="5"/>
      <c r="AG2130" s="5"/>
      <c r="AH2130" s="5"/>
      <c r="AI2130" s="5"/>
      <c r="AJ2130" s="5"/>
      <c r="AK2130" s="5"/>
      <c r="AL2130" s="5"/>
    </row>
    <row r="2131">
      <c r="A2131" s="4" t="str">
        <f>VLOOKUP(L2131,payment_ids!C:D,2,FALSE)</f>
        <v>pay_H8naNSnAj5oaR1</v>
      </c>
      <c r="B2131" s="4"/>
      <c r="C2131" s="4" t="s">
        <v>1727</v>
      </c>
      <c r="D2131" s="4">
        <v>50033.0</v>
      </c>
      <c r="E2131" s="4"/>
      <c r="F2131" s="4">
        <v>1.0</v>
      </c>
      <c r="G2131" s="4">
        <v>99.0</v>
      </c>
      <c r="H2131" s="4"/>
      <c r="I2131" s="4">
        <v>99.0</v>
      </c>
      <c r="J2131" s="4" t="s">
        <v>5755</v>
      </c>
      <c r="K2131" s="6">
        <f>+919398229415</f>
        <v>919398229415</v>
      </c>
      <c r="L2131" s="4" t="str">
        <f t="shared" si="1"/>
        <v>hemu.monu3@gmail.com919398229415</v>
      </c>
      <c r="M2131" s="10" t="s">
        <v>67</v>
      </c>
      <c r="N2131" s="4" t="b">
        <v>0</v>
      </c>
      <c r="O2131" s="4" t="str">
        <f>VLOOKUP(A2131,payment_ids!D:E,2,FALSE)</f>
        <v>upi</v>
      </c>
      <c r="P2131" s="4" t="s">
        <v>69</v>
      </c>
      <c r="Q2131" s="11">
        <v>44474.01458333333</v>
      </c>
      <c r="R2131" s="4"/>
      <c r="S2131" s="12" t="s">
        <v>5731</v>
      </c>
      <c r="T2131" s="4"/>
      <c r="U2131" s="4"/>
      <c r="V2131" s="11"/>
      <c r="W2131" s="5"/>
      <c r="X2131" s="11"/>
      <c r="Y2131" s="4"/>
      <c r="Z2131" s="5"/>
      <c r="AA2131" s="4"/>
      <c r="AB2131" s="4"/>
      <c r="AC2131" s="4"/>
      <c r="AD2131" s="4"/>
      <c r="AE2131" s="5"/>
      <c r="AF2131" s="5"/>
      <c r="AG2131" s="5"/>
      <c r="AH2131" s="5"/>
      <c r="AI2131" s="5"/>
      <c r="AJ2131" s="5"/>
      <c r="AK2131" s="5"/>
      <c r="AL2131" s="5"/>
    </row>
    <row r="2132">
      <c r="A2132" s="4" t="str">
        <f>VLOOKUP(L2132,payment_ids!C:D,2,FALSE)</f>
        <v>pay_HAtoaPBFsDo4fD</v>
      </c>
      <c r="B2132" s="4"/>
      <c r="C2132" s="4" t="s">
        <v>1727</v>
      </c>
      <c r="D2132" s="4">
        <v>50033.0</v>
      </c>
      <c r="E2132" s="4"/>
      <c r="F2132" s="4">
        <v>1.0</v>
      </c>
      <c r="G2132" s="4">
        <v>99.0</v>
      </c>
      <c r="H2132" s="4"/>
      <c r="I2132" s="4">
        <v>99.0</v>
      </c>
      <c r="J2132" s="4" t="s">
        <v>5756</v>
      </c>
      <c r="K2132" s="6">
        <f>+918088385240</f>
        <v>918088385240</v>
      </c>
      <c r="L2132" s="4" t="str">
        <f t="shared" si="1"/>
        <v>amitabh.verma21@gmail.com918088385240</v>
      </c>
      <c r="M2132" s="10" t="s">
        <v>67</v>
      </c>
      <c r="N2132" s="4" t="b">
        <v>0</v>
      </c>
      <c r="O2132" s="4" t="str">
        <f>VLOOKUP(A2132,payment_ids!D:E,2,FALSE)</f>
        <v>upi</v>
      </c>
      <c r="P2132" s="4" t="s">
        <v>69</v>
      </c>
      <c r="Q2132" s="4" t="s">
        <v>5757</v>
      </c>
      <c r="R2132" s="4"/>
      <c r="S2132" s="12" t="s">
        <v>5731</v>
      </c>
      <c r="T2132" s="4"/>
      <c r="U2132" s="4"/>
      <c r="V2132" s="11"/>
      <c r="W2132" s="5"/>
      <c r="X2132" s="11"/>
      <c r="Y2132" s="4"/>
      <c r="Z2132" s="5"/>
      <c r="AA2132" s="4"/>
      <c r="AB2132" s="4"/>
      <c r="AC2132" s="4"/>
      <c r="AD2132" s="4"/>
      <c r="AE2132" s="5"/>
      <c r="AF2132" s="5"/>
      <c r="AG2132" s="5"/>
      <c r="AH2132" s="5"/>
      <c r="AI2132" s="5"/>
      <c r="AJ2132" s="5"/>
      <c r="AK2132" s="5"/>
      <c r="AL2132" s="5"/>
    </row>
    <row r="2133">
      <c r="A2133" s="4" t="str">
        <f>VLOOKUP(L2133,payment_ids!C:D,2,FALSE)</f>
        <v>pay_HAlx5fgPxz0Ees</v>
      </c>
      <c r="B2133" s="4"/>
      <c r="C2133" s="4" t="s">
        <v>1727</v>
      </c>
      <c r="D2133" s="4">
        <v>50033.0</v>
      </c>
      <c r="E2133" s="4"/>
      <c r="F2133" s="4">
        <v>1.0</v>
      </c>
      <c r="G2133" s="4">
        <v>99.0</v>
      </c>
      <c r="H2133" s="4"/>
      <c r="I2133" s="4">
        <v>99.0</v>
      </c>
      <c r="J2133" s="4" t="s">
        <v>5758</v>
      </c>
      <c r="K2133" s="6">
        <f>+918802901588</f>
        <v>918802901588</v>
      </c>
      <c r="L2133" s="4" t="str">
        <f t="shared" si="1"/>
        <v>abuzar.ansari2010@gmail.com918802901588</v>
      </c>
      <c r="M2133" s="10" t="s">
        <v>67</v>
      </c>
      <c r="N2133" s="4" t="b">
        <v>0</v>
      </c>
      <c r="O2133" s="4" t="str">
        <f>VLOOKUP(A2133,payment_ids!D:E,2,FALSE)</f>
        <v>upi</v>
      </c>
      <c r="P2133" s="4" t="s">
        <v>69</v>
      </c>
      <c r="Q2133" s="4" t="s">
        <v>5759</v>
      </c>
      <c r="R2133" s="4"/>
      <c r="S2133" s="12" t="s">
        <v>5731</v>
      </c>
      <c r="T2133" s="4"/>
      <c r="U2133" s="4"/>
      <c r="V2133" s="11"/>
      <c r="W2133" s="5"/>
      <c r="X2133" s="11"/>
      <c r="Y2133" s="4"/>
      <c r="Z2133" s="5"/>
      <c r="AA2133" s="4"/>
      <c r="AB2133" s="4"/>
      <c r="AC2133" s="4"/>
      <c r="AD2133" s="4"/>
      <c r="AE2133" s="5"/>
      <c r="AF2133" s="5"/>
      <c r="AG2133" s="5"/>
      <c r="AH2133" s="5"/>
      <c r="AI2133" s="5"/>
      <c r="AJ2133" s="5"/>
      <c r="AK2133" s="5"/>
      <c r="AL2133" s="5"/>
    </row>
    <row r="2134">
      <c r="A2134" s="4" t="str">
        <f>VLOOKUP(L2134,payment_ids!C:D,2,FALSE)</f>
        <v>pay_HBDOz8Hu56S4Sq</v>
      </c>
      <c r="B2134" s="4"/>
      <c r="C2134" s="4" t="s">
        <v>1727</v>
      </c>
      <c r="D2134" s="4">
        <v>50033.0</v>
      </c>
      <c r="E2134" s="4"/>
      <c r="F2134" s="4">
        <v>1.0</v>
      </c>
      <c r="G2134" s="4">
        <v>99.0</v>
      </c>
      <c r="H2134" s="4"/>
      <c r="I2134" s="4">
        <v>99.0</v>
      </c>
      <c r="J2134" s="4" t="s">
        <v>5760</v>
      </c>
      <c r="K2134" s="6">
        <f>+919600072984</f>
        <v>919600072984</v>
      </c>
      <c r="L2134" s="4" t="str">
        <f t="shared" si="1"/>
        <v>sushil.saprukm@gmail.com919600072984</v>
      </c>
      <c r="M2134" s="10" t="s">
        <v>67</v>
      </c>
      <c r="N2134" s="4" t="b">
        <v>0</v>
      </c>
      <c r="O2134" s="4" t="str">
        <f>VLOOKUP(A2134,payment_ids!D:E,2,FALSE)</f>
        <v>upi</v>
      </c>
      <c r="P2134" s="4" t="s">
        <v>69</v>
      </c>
      <c r="Q2134" s="4" t="s">
        <v>5761</v>
      </c>
      <c r="R2134" s="4"/>
      <c r="S2134" s="12" t="s">
        <v>5731</v>
      </c>
      <c r="T2134" s="4"/>
      <c r="U2134" s="4"/>
      <c r="V2134" s="11"/>
      <c r="W2134" s="5"/>
      <c r="X2134" s="11"/>
      <c r="Y2134" s="4"/>
      <c r="Z2134" s="5"/>
      <c r="AA2134" s="4"/>
      <c r="AB2134" s="4"/>
      <c r="AC2134" s="4"/>
      <c r="AD2134" s="4"/>
      <c r="AE2134" s="5"/>
      <c r="AF2134" s="5"/>
      <c r="AG2134" s="5"/>
      <c r="AH2134" s="5"/>
      <c r="AI2134" s="5"/>
      <c r="AJ2134" s="5"/>
      <c r="AK2134" s="5"/>
      <c r="AL2134" s="5"/>
    </row>
    <row r="2135">
      <c r="A2135" s="4" t="str">
        <f>VLOOKUP(L2135,payment_ids!C:D,2,FALSE)</f>
        <v>pay_HBPxeeP6gOd76h</v>
      </c>
      <c r="B2135" s="4"/>
      <c r="C2135" s="4" t="s">
        <v>1727</v>
      </c>
      <c r="D2135" s="4">
        <v>50033.0</v>
      </c>
      <c r="E2135" s="4"/>
      <c r="F2135" s="4">
        <v>6.0</v>
      </c>
      <c r="G2135" s="4">
        <v>349.0</v>
      </c>
      <c r="H2135" s="4"/>
      <c r="I2135" s="4">
        <v>349.0</v>
      </c>
      <c r="J2135" s="4" t="s">
        <v>5762</v>
      </c>
      <c r="K2135" s="6">
        <f>+917207197980</f>
        <v>917207197980</v>
      </c>
      <c r="L2135" s="4" t="str">
        <f t="shared" si="1"/>
        <v>devendrapratheek@gmail.com917207197980</v>
      </c>
      <c r="M2135" s="10" t="s">
        <v>67</v>
      </c>
      <c r="N2135" s="4" t="b">
        <v>0</v>
      </c>
      <c r="O2135" s="4" t="str">
        <f>VLOOKUP(A2135,payment_ids!D:E,2,FALSE)</f>
        <v>upi</v>
      </c>
      <c r="P2135" s="4" t="s">
        <v>69</v>
      </c>
      <c r="Q2135" s="4" t="s">
        <v>5763</v>
      </c>
      <c r="R2135" s="4"/>
      <c r="S2135" s="12" t="s">
        <v>5731</v>
      </c>
      <c r="T2135" s="4"/>
      <c r="U2135" s="5"/>
      <c r="V2135" s="11"/>
      <c r="W2135" s="5"/>
      <c r="X2135" s="11"/>
      <c r="Y2135" s="4"/>
      <c r="Z2135" s="5"/>
      <c r="AA2135" s="5"/>
      <c r="AB2135" s="4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</row>
    <row r="2136">
      <c r="A2136" s="4" t="str">
        <f>VLOOKUP(L2136,payment_ids!C:D,2,FALSE)</f>
        <v>pay_HBRrUvXKpgqDbB</v>
      </c>
      <c r="B2136" s="4"/>
      <c r="C2136" s="4" t="s">
        <v>1727</v>
      </c>
      <c r="D2136" s="4">
        <v>50033.0</v>
      </c>
      <c r="E2136" s="4"/>
      <c r="F2136" s="4">
        <v>1.0</v>
      </c>
      <c r="G2136" s="4">
        <v>99.0</v>
      </c>
      <c r="H2136" s="4"/>
      <c r="I2136" s="4">
        <v>99.0</v>
      </c>
      <c r="J2136" s="4" t="s">
        <v>5764</v>
      </c>
      <c r="K2136" s="6">
        <f>+919246464653</f>
        <v>919246464653</v>
      </c>
      <c r="L2136" s="4" t="str">
        <f t="shared" si="1"/>
        <v>chekka.kesava41@gmail.com919246464653</v>
      </c>
      <c r="M2136" s="10" t="s">
        <v>67</v>
      </c>
      <c r="N2136" s="4" t="b">
        <v>0</v>
      </c>
      <c r="O2136" s="4" t="str">
        <f>VLOOKUP(A2136,payment_ids!D:E,2,FALSE)</f>
        <v>upi</v>
      </c>
      <c r="P2136" s="4" t="s">
        <v>69</v>
      </c>
      <c r="Q2136" s="4" t="s">
        <v>5765</v>
      </c>
      <c r="R2136" s="4"/>
      <c r="S2136" s="12" t="s">
        <v>5731</v>
      </c>
      <c r="T2136" s="4"/>
      <c r="U2136" s="4"/>
      <c r="V2136" s="11"/>
      <c r="W2136" s="5"/>
      <c r="X2136" s="11"/>
      <c r="Y2136" s="4"/>
      <c r="Z2136" s="5"/>
      <c r="AA2136" s="4"/>
      <c r="AB2136" s="4"/>
      <c r="AC2136" s="4"/>
      <c r="AD2136" s="4"/>
      <c r="AE2136" s="5"/>
      <c r="AF2136" s="5"/>
      <c r="AG2136" s="5"/>
      <c r="AH2136" s="5"/>
      <c r="AI2136" s="5"/>
      <c r="AJ2136" s="5"/>
      <c r="AK2136" s="5"/>
      <c r="AL2136" s="5"/>
    </row>
    <row r="2137">
      <c r="A2137" s="4" t="str">
        <f>VLOOKUP(L2137,payment_ids!C:D,2,FALSE)</f>
        <v>pay_HBUHpZKhQbPiSl</v>
      </c>
      <c r="B2137" s="4"/>
      <c r="C2137" s="4" t="s">
        <v>1727</v>
      </c>
      <c r="D2137" s="4">
        <v>50033.0</v>
      </c>
      <c r="E2137" s="4"/>
      <c r="F2137" s="4">
        <v>1.0</v>
      </c>
      <c r="G2137" s="4">
        <v>99.0</v>
      </c>
      <c r="H2137" s="4"/>
      <c r="I2137" s="4">
        <v>99.0</v>
      </c>
      <c r="J2137" s="4" t="s">
        <v>5766</v>
      </c>
      <c r="K2137" s="6">
        <f>+919007284107</f>
        <v>919007284107</v>
      </c>
      <c r="L2137" s="4" t="str">
        <f t="shared" si="1"/>
        <v>abhi789b@gmail.com919007284107</v>
      </c>
      <c r="M2137" s="10" t="s">
        <v>67</v>
      </c>
      <c r="N2137" s="4" t="b">
        <v>0</v>
      </c>
      <c r="O2137" s="4" t="str">
        <f>VLOOKUP(A2137,payment_ids!D:E,2,FALSE)</f>
        <v>upi</v>
      </c>
      <c r="P2137" s="4" t="s">
        <v>69</v>
      </c>
      <c r="Q2137" s="4" t="s">
        <v>5767</v>
      </c>
      <c r="R2137" s="4"/>
      <c r="S2137" s="12" t="s">
        <v>5731</v>
      </c>
      <c r="T2137" s="4"/>
      <c r="U2137" s="4"/>
      <c r="V2137" s="11"/>
      <c r="W2137" s="5"/>
      <c r="X2137" s="11"/>
      <c r="Y2137" s="4"/>
      <c r="Z2137" s="5"/>
      <c r="AA2137" s="4"/>
      <c r="AB2137" s="4"/>
      <c r="AC2137" s="4"/>
      <c r="AD2137" s="4"/>
      <c r="AE2137" s="5"/>
      <c r="AF2137" s="5"/>
      <c r="AG2137" s="5"/>
      <c r="AH2137" s="5"/>
      <c r="AI2137" s="5"/>
      <c r="AJ2137" s="5"/>
      <c r="AK2137" s="5"/>
      <c r="AL2137" s="5"/>
    </row>
    <row r="2138">
      <c r="A2138" s="4" t="str">
        <f>VLOOKUP(L2138,payment_ids!C:D,2,FALSE)</f>
        <v>pay_HBV7cfGKDiCt1D</v>
      </c>
      <c r="B2138" s="4"/>
      <c r="C2138" s="4" t="s">
        <v>1727</v>
      </c>
      <c r="D2138" s="4">
        <v>50033.0</v>
      </c>
      <c r="E2138" s="4"/>
      <c r="F2138" s="4">
        <v>1.0</v>
      </c>
      <c r="G2138" s="4">
        <v>99.0</v>
      </c>
      <c r="H2138" s="4"/>
      <c r="I2138" s="4">
        <v>99.0</v>
      </c>
      <c r="J2138" s="4" t="s">
        <v>5768</v>
      </c>
      <c r="K2138" s="6">
        <f>+918105131224</f>
        <v>918105131224</v>
      </c>
      <c r="L2138" s="4" t="str">
        <f t="shared" si="1"/>
        <v>raj.company88@gmail.com918105131224</v>
      </c>
      <c r="M2138" s="10" t="s">
        <v>67</v>
      </c>
      <c r="N2138" s="4" t="b">
        <v>0</v>
      </c>
      <c r="O2138" s="4" t="str">
        <f>VLOOKUP(A2138,payment_ids!D:E,2,FALSE)</f>
        <v>upi</v>
      </c>
      <c r="P2138" s="4" t="s">
        <v>69</v>
      </c>
      <c r="Q2138" s="4" t="s">
        <v>5769</v>
      </c>
      <c r="R2138" s="4"/>
      <c r="S2138" s="12" t="s">
        <v>5731</v>
      </c>
      <c r="T2138" s="4"/>
      <c r="U2138" s="5"/>
      <c r="V2138" s="11"/>
      <c r="W2138" s="5"/>
      <c r="X2138" s="11"/>
      <c r="Y2138" s="4"/>
      <c r="Z2138" s="5"/>
      <c r="AA2138" s="5"/>
      <c r="AB2138" s="4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</row>
    <row r="2139">
      <c r="A2139" s="4" t="str">
        <f>VLOOKUP(L2139,payment_ids!C:D,2,FALSE)</f>
        <v>pay_HBWv8B1fnqVo5M</v>
      </c>
      <c r="B2139" s="4"/>
      <c r="C2139" s="4" t="s">
        <v>1727</v>
      </c>
      <c r="D2139" s="4">
        <v>50033.0</v>
      </c>
      <c r="E2139" s="4"/>
      <c r="F2139" s="4">
        <v>6.0</v>
      </c>
      <c r="G2139" s="4">
        <v>349.0</v>
      </c>
      <c r="H2139" s="4"/>
      <c r="I2139" s="4">
        <v>349.0</v>
      </c>
      <c r="J2139" s="4" t="s">
        <v>5770</v>
      </c>
      <c r="K2139" s="6">
        <f>+918805407352</f>
        <v>918805407352</v>
      </c>
      <c r="L2139" s="4" t="str">
        <f t="shared" si="1"/>
        <v>hemant.41073@gmail.com918805407352</v>
      </c>
      <c r="M2139" s="10" t="s">
        <v>67</v>
      </c>
      <c r="N2139" s="4" t="b">
        <v>0</v>
      </c>
      <c r="O2139" s="4" t="str">
        <f>VLOOKUP(A2139,payment_ids!D:E,2,FALSE)</f>
        <v>card</v>
      </c>
      <c r="P2139" s="4" t="s">
        <v>69</v>
      </c>
      <c r="Q2139" s="4" t="s">
        <v>5771</v>
      </c>
      <c r="R2139" s="4"/>
      <c r="S2139" s="12" t="s">
        <v>5731</v>
      </c>
      <c r="T2139" s="4"/>
      <c r="U2139" s="4"/>
      <c r="V2139" s="11"/>
      <c r="W2139" s="5"/>
      <c r="X2139" s="11"/>
      <c r="Y2139" s="4"/>
      <c r="Z2139" s="5"/>
      <c r="AA2139" s="4"/>
      <c r="AB2139" s="4"/>
      <c r="AC2139" s="4"/>
      <c r="AD2139" s="4"/>
      <c r="AE2139" s="5"/>
      <c r="AF2139" s="5"/>
      <c r="AG2139" s="5"/>
      <c r="AH2139" s="5"/>
      <c r="AI2139" s="5"/>
      <c r="AJ2139" s="5"/>
      <c r="AK2139" s="5"/>
      <c r="AL2139" s="5"/>
    </row>
    <row r="2140">
      <c r="A2140" s="4" t="str">
        <f>VLOOKUP(L2140,payment_ids!C:D,2,FALSE)</f>
        <v>pay_HBKpDVPNaQSsPt</v>
      </c>
      <c r="B2140" s="4"/>
      <c r="C2140" s="4" t="s">
        <v>1727</v>
      </c>
      <c r="D2140" s="4">
        <v>50033.0</v>
      </c>
      <c r="E2140" s="4"/>
      <c r="F2140" s="4">
        <v>1.0</v>
      </c>
      <c r="G2140" s="4">
        <v>99.0</v>
      </c>
      <c r="H2140" s="4"/>
      <c r="I2140" s="4">
        <v>99.0</v>
      </c>
      <c r="J2140" s="4" t="s">
        <v>5772</v>
      </c>
      <c r="K2140" s="6">
        <f>+916382080532</f>
        <v>916382080532</v>
      </c>
      <c r="L2140" s="4" t="str">
        <f t="shared" si="1"/>
        <v>keesswinharis@gmail.com916382080532</v>
      </c>
      <c r="M2140" s="10" t="s">
        <v>67</v>
      </c>
      <c r="N2140" s="4" t="b">
        <v>0</v>
      </c>
      <c r="O2140" s="4" t="str">
        <f>VLOOKUP(A2140,payment_ids!D:E,2,FALSE)</f>
        <v>wallet</v>
      </c>
      <c r="P2140" s="4" t="s">
        <v>69</v>
      </c>
      <c r="Q2140" s="4" t="s">
        <v>5773</v>
      </c>
      <c r="R2140" s="4"/>
      <c r="S2140" s="12" t="s">
        <v>5731</v>
      </c>
      <c r="T2140" s="4"/>
      <c r="U2140" s="4"/>
      <c r="V2140" s="11"/>
      <c r="W2140" s="5"/>
      <c r="X2140" s="11"/>
      <c r="Y2140" s="4"/>
      <c r="Z2140" s="5"/>
      <c r="AA2140" s="4"/>
      <c r="AB2140" s="4"/>
      <c r="AC2140" s="4"/>
      <c r="AD2140" s="4"/>
      <c r="AE2140" s="5"/>
      <c r="AF2140" s="5"/>
      <c r="AG2140" s="5"/>
      <c r="AH2140" s="5"/>
      <c r="AI2140" s="5"/>
      <c r="AJ2140" s="5"/>
      <c r="AK2140" s="5"/>
      <c r="AL2140" s="5"/>
    </row>
    <row r="2141">
      <c r="A2141" s="4" t="str">
        <f>VLOOKUP(L2141,payment_ids!C:D,2,FALSE)</f>
        <v>pay_HBmJ9hyp0oWa6f</v>
      </c>
      <c r="B2141" s="4"/>
      <c r="C2141" s="4" t="s">
        <v>1727</v>
      </c>
      <c r="D2141" s="4">
        <v>50033.0</v>
      </c>
      <c r="E2141" s="4"/>
      <c r="F2141" s="4">
        <v>3.0</v>
      </c>
      <c r="G2141" s="4">
        <v>199.0</v>
      </c>
      <c r="H2141" s="4"/>
      <c r="I2141" s="4">
        <v>199.0</v>
      </c>
      <c r="J2141" s="4" t="s">
        <v>5774</v>
      </c>
      <c r="K2141" s="6">
        <f>+919585863236</f>
        <v>919585863236</v>
      </c>
      <c r="L2141" s="4" t="str">
        <f t="shared" si="1"/>
        <v>route2rajkumar@gmail.com919585863236</v>
      </c>
      <c r="M2141" s="10" t="s">
        <v>67</v>
      </c>
      <c r="N2141" s="4" t="b">
        <v>0</v>
      </c>
      <c r="O2141" s="4" t="str">
        <f>VLOOKUP(A2141,payment_ids!D:E,2,FALSE)</f>
        <v>upi</v>
      </c>
      <c r="P2141" s="4" t="s">
        <v>69</v>
      </c>
      <c r="Q2141" s="4" t="s">
        <v>5775</v>
      </c>
      <c r="R2141" s="4"/>
      <c r="S2141" s="12" t="s">
        <v>5731</v>
      </c>
      <c r="T2141" s="4"/>
      <c r="U2141" s="4"/>
      <c r="V2141" s="11"/>
      <c r="W2141" s="5"/>
      <c r="X2141" s="11"/>
      <c r="Y2141" s="4"/>
      <c r="Z2141" s="5"/>
      <c r="AA2141" s="4"/>
      <c r="AB2141" s="4"/>
      <c r="AC2141" s="4"/>
      <c r="AD2141" s="4"/>
      <c r="AE2141" s="5"/>
      <c r="AF2141" s="5"/>
      <c r="AG2141" s="5"/>
      <c r="AH2141" s="5"/>
      <c r="AI2141" s="5"/>
      <c r="AJ2141" s="5"/>
      <c r="AK2141" s="5"/>
      <c r="AL2141" s="5"/>
    </row>
    <row r="2142">
      <c r="A2142" s="4" t="str">
        <f>VLOOKUP(L2142,payment_ids!C:D,2,FALSE)</f>
        <v>pay_HBnBAm6n7x8OBr</v>
      </c>
      <c r="B2142" s="4"/>
      <c r="C2142" s="4" t="s">
        <v>1727</v>
      </c>
      <c r="D2142" s="4">
        <v>50033.0</v>
      </c>
      <c r="E2142" s="4"/>
      <c r="F2142" s="4">
        <v>1.0</v>
      </c>
      <c r="G2142" s="4">
        <v>99.0</v>
      </c>
      <c r="H2142" s="4"/>
      <c r="I2142" s="4">
        <v>99.0</v>
      </c>
      <c r="J2142" s="4" t="s">
        <v>5776</v>
      </c>
      <c r="K2142" s="6">
        <f>+918499888338</f>
        <v>918499888338</v>
      </c>
      <c r="L2142" s="4" t="str">
        <f t="shared" si="1"/>
        <v>satyakrishna.chitturi@gmail.com918499888338</v>
      </c>
      <c r="M2142" s="10" t="s">
        <v>67</v>
      </c>
      <c r="N2142" s="4" t="b">
        <v>0</v>
      </c>
      <c r="O2142" s="4" t="str">
        <f>VLOOKUP(A2142,payment_ids!D:E,2,FALSE)</f>
        <v>upi</v>
      </c>
      <c r="P2142" s="4" t="s">
        <v>69</v>
      </c>
      <c r="Q2142" s="4" t="s">
        <v>5777</v>
      </c>
      <c r="R2142" s="4"/>
      <c r="S2142" s="12" t="s">
        <v>5731</v>
      </c>
      <c r="T2142" s="4"/>
      <c r="U2142" s="4"/>
      <c r="V2142" s="11"/>
      <c r="W2142" s="5"/>
      <c r="X2142" s="11"/>
      <c r="Y2142" s="4"/>
      <c r="Z2142" s="5"/>
      <c r="AA2142" s="4"/>
      <c r="AB2142" s="4"/>
      <c r="AC2142" s="4"/>
      <c r="AD2142" s="4"/>
      <c r="AE2142" s="5"/>
      <c r="AF2142" s="5"/>
      <c r="AG2142" s="5"/>
      <c r="AH2142" s="5"/>
      <c r="AI2142" s="5"/>
      <c r="AJ2142" s="5"/>
      <c r="AK2142" s="5"/>
      <c r="AL2142" s="5"/>
    </row>
    <row r="2143">
      <c r="A2143" s="4" t="str">
        <f>VLOOKUP(L2143,payment_ids!C:D,2,FALSE)</f>
        <v>pay_HBnZWOEu8sR1UD</v>
      </c>
      <c r="B2143" s="4"/>
      <c r="C2143" s="4" t="s">
        <v>1727</v>
      </c>
      <c r="D2143" s="4">
        <v>50033.0</v>
      </c>
      <c r="E2143" s="4"/>
      <c r="F2143" s="4">
        <v>1.0</v>
      </c>
      <c r="G2143" s="4">
        <v>99.0</v>
      </c>
      <c r="H2143" s="4"/>
      <c r="I2143" s="4">
        <v>99.0</v>
      </c>
      <c r="J2143" s="4" t="s">
        <v>5778</v>
      </c>
      <c r="K2143" s="6">
        <f>+918074303019</f>
        <v>918074303019</v>
      </c>
      <c r="L2143" s="4" t="str">
        <f t="shared" si="1"/>
        <v>sreenidhpenta@gmail.com918074303019</v>
      </c>
      <c r="M2143" s="10" t="s">
        <v>67</v>
      </c>
      <c r="N2143" s="4" t="b">
        <v>0</v>
      </c>
      <c r="O2143" s="4" t="str">
        <f>VLOOKUP(A2143,payment_ids!D:E,2,FALSE)</f>
        <v>upi</v>
      </c>
      <c r="P2143" s="4" t="s">
        <v>69</v>
      </c>
      <c r="Q2143" s="4" t="s">
        <v>5779</v>
      </c>
      <c r="R2143" s="4"/>
      <c r="S2143" s="12" t="s">
        <v>5731</v>
      </c>
      <c r="T2143" s="4"/>
      <c r="U2143" s="4"/>
      <c r="V2143" s="11"/>
      <c r="W2143" s="5"/>
      <c r="X2143" s="11"/>
      <c r="Y2143" s="4"/>
      <c r="Z2143" s="5"/>
      <c r="AA2143" s="4"/>
      <c r="AB2143" s="4"/>
      <c r="AC2143" s="4"/>
      <c r="AD2143" s="4"/>
      <c r="AE2143" s="5"/>
      <c r="AF2143" s="5"/>
      <c r="AG2143" s="5"/>
      <c r="AH2143" s="5"/>
      <c r="AI2143" s="5"/>
      <c r="AJ2143" s="5"/>
      <c r="AK2143" s="5"/>
      <c r="AL2143" s="5"/>
    </row>
    <row r="2144">
      <c r="A2144" s="4" t="str">
        <f>VLOOKUP(L2144,payment_ids!C:D,2,FALSE)</f>
        <v>pay_HBrZ65XLpjFIUO</v>
      </c>
      <c r="B2144" s="4"/>
      <c r="C2144" s="4" t="s">
        <v>1727</v>
      </c>
      <c r="D2144" s="4">
        <v>50033.0</v>
      </c>
      <c r="E2144" s="4"/>
      <c r="F2144" s="4">
        <v>3.0</v>
      </c>
      <c r="G2144" s="4">
        <v>199.0</v>
      </c>
      <c r="H2144" s="4"/>
      <c r="I2144" s="4">
        <v>199.0</v>
      </c>
      <c r="J2144" s="4" t="s">
        <v>5780</v>
      </c>
      <c r="K2144" s="6">
        <f>+917706069096</f>
        <v>917706069096</v>
      </c>
      <c r="L2144" s="4" t="str">
        <f t="shared" si="1"/>
        <v>ravishuklawwe@gmail.com917706069096</v>
      </c>
      <c r="M2144" s="10" t="s">
        <v>67</v>
      </c>
      <c r="N2144" s="4" t="b">
        <v>0</v>
      </c>
      <c r="O2144" s="4" t="str">
        <f>VLOOKUP(A2144,payment_ids!D:E,2,FALSE)</f>
        <v>upi</v>
      </c>
      <c r="P2144" s="4" t="s">
        <v>69</v>
      </c>
      <c r="Q2144" s="4" t="s">
        <v>5781</v>
      </c>
      <c r="R2144" s="4"/>
      <c r="S2144" s="12" t="s">
        <v>5731</v>
      </c>
      <c r="T2144" s="4"/>
      <c r="U2144" s="4"/>
      <c r="V2144" s="11"/>
      <c r="W2144" s="5"/>
      <c r="X2144" s="11"/>
      <c r="Y2144" s="4"/>
      <c r="Z2144" s="5"/>
      <c r="AA2144" s="4"/>
      <c r="AB2144" s="4"/>
      <c r="AC2144" s="4"/>
      <c r="AD2144" s="4"/>
      <c r="AE2144" s="5"/>
      <c r="AF2144" s="5"/>
      <c r="AG2144" s="5"/>
      <c r="AH2144" s="5"/>
      <c r="AI2144" s="5"/>
      <c r="AJ2144" s="5"/>
      <c r="AK2144" s="5"/>
      <c r="AL2144" s="5"/>
    </row>
    <row r="2145">
      <c r="A2145" s="4" t="str">
        <f>VLOOKUP(L2145,payment_ids!C:D,2,FALSE)</f>
        <v>pay_HBgmH32mrFimcv</v>
      </c>
      <c r="B2145" s="4"/>
      <c r="C2145" s="4" t="s">
        <v>1727</v>
      </c>
      <c r="D2145" s="4">
        <v>50033.0</v>
      </c>
      <c r="E2145" s="4"/>
      <c r="F2145" s="4">
        <v>1.0</v>
      </c>
      <c r="G2145" s="4">
        <v>99.0</v>
      </c>
      <c r="H2145" s="4"/>
      <c r="I2145" s="4">
        <v>99.0</v>
      </c>
      <c r="J2145" s="4" t="s">
        <v>5782</v>
      </c>
      <c r="K2145" s="6">
        <f>+918932903881</f>
        <v>918932903881</v>
      </c>
      <c r="L2145" s="4" t="str">
        <f t="shared" si="1"/>
        <v>kush28shukla@gmail.com918932903881</v>
      </c>
      <c r="M2145" s="10" t="s">
        <v>67</v>
      </c>
      <c r="N2145" s="4" t="b">
        <v>0</v>
      </c>
      <c r="O2145" s="4" t="str">
        <f>VLOOKUP(A2145,payment_ids!D:E,2,FALSE)</f>
        <v>upi</v>
      </c>
      <c r="P2145" s="4" t="s">
        <v>69</v>
      </c>
      <c r="Q2145" s="4" t="s">
        <v>5783</v>
      </c>
      <c r="R2145" s="4"/>
      <c r="S2145" s="12" t="s">
        <v>5731</v>
      </c>
      <c r="T2145" s="4"/>
      <c r="U2145" s="5"/>
      <c r="V2145" s="11"/>
      <c r="W2145" s="5"/>
      <c r="X2145" s="11"/>
      <c r="Y2145" s="4"/>
      <c r="Z2145" s="5"/>
      <c r="AA2145" s="5"/>
      <c r="AB2145" s="4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</row>
    <row r="2146">
      <c r="A2146" s="4" t="str">
        <f>VLOOKUP(L2146,payment_ids!C:D,2,FALSE)</f>
        <v>pay_HBvA2I4A2WKGNu</v>
      </c>
      <c r="B2146" s="4"/>
      <c r="C2146" s="4" t="s">
        <v>1727</v>
      </c>
      <c r="D2146" s="4">
        <v>50033.0</v>
      </c>
      <c r="E2146" s="4"/>
      <c r="F2146" s="4">
        <v>1.0</v>
      </c>
      <c r="G2146" s="4">
        <v>99.0</v>
      </c>
      <c r="H2146" s="4"/>
      <c r="I2146" s="4">
        <v>99.0</v>
      </c>
      <c r="J2146" s="4" t="s">
        <v>5784</v>
      </c>
      <c r="K2146" s="6">
        <f>+919004784288</f>
        <v>919004784288</v>
      </c>
      <c r="L2146" s="4" t="str">
        <f t="shared" si="1"/>
        <v>sagarpanchal2810@gmail.com919004784288</v>
      </c>
      <c r="M2146" s="10" t="s">
        <v>67</v>
      </c>
      <c r="N2146" s="4" t="b">
        <v>0</v>
      </c>
      <c r="O2146" s="4" t="str">
        <f>VLOOKUP(A2146,payment_ids!D:E,2,FALSE)</f>
        <v>upi</v>
      </c>
      <c r="P2146" s="4" t="s">
        <v>69</v>
      </c>
      <c r="Q2146" s="4" t="s">
        <v>5785</v>
      </c>
      <c r="R2146" s="4"/>
      <c r="S2146" s="12" t="s">
        <v>5731</v>
      </c>
      <c r="T2146" s="4"/>
      <c r="U2146" s="4"/>
      <c r="V2146" s="11"/>
      <c r="W2146" s="5"/>
      <c r="X2146" s="11"/>
      <c r="Y2146" s="4"/>
      <c r="Z2146" s="5"/>
      <c r="AA2146" s="4"/>
      <c r="AB2146" s="4"/>
      <c r="AC2146" s="4"/>
      <c r="AD2146" s="4"/>
      <c r="AE2146" s="5"/>
      <c r="AF2146" s="5"/>
      <c r="AG2146" s="5"/>
      <c r="AH2146" s="5"/>
      <c r="AI2146" s="5"/>
      <c r="AJ2146" s="5"/>
      <c r="AK2146" s="5"/>
      <c r="AL2146" s="5"/>
    </row>
    <row r="2147">
      <c r="A2147" s="4" t="str">
        <f>VLOOKUP(L2147,payment_ids!C:D,2,FALSE)</f>
        <v>pay_HBlg2YhVejsabe</v>
      </c>
      <c r="B2147" s="4"/>
      <c r="C2147" s="4" t="s">
        <v>1727</v>
      </c>
      <c r="D2147" s="4">
        <v>50033.0</v>
      </c>
      <c r="E2147" s="4"/>
      <c r="F2147" s="4">
        <v>1.0</v>
      </c>
      <c r="G2147" s="4">
        <v>99.0</v>
      </c>
      <c r="H2147" s="4"/>
      <c r="I2147" s="4">
        <v>99.0</v>
      </c>
      <c r="J2147" s="4" t="s">
        <v>5786</v>
      </c>
      <c r="K2147" s="6">
        <f>+919160091366</f>
        <v>919160091366</v>
      </c>
      <c r="L2147" s="4" t="str">
        <f t="shared" si="1"/>
        <v>prashanthchowdary258@gmail.com919160091366</v>
      </c>
      <c r="M2147" s="10" t="s">
        <v>67</v>
      </c>
      <c r="N2147" s="4" t="b">
        <v>0</v>
      </c>
      <c r="O2147" s="4" t="str">
        <f>VLOOKUP(A2147,payment_ids!D:E,2,FALSE)</f>
        <v>upi</v>
      </c>
      <c r="P2147" s="4" t="s">
        <v>69</v>
      </c>
      <c r="Q2147" s="4" t="s">
        <v>5787</v>
      </c>
      <c r="R2147" s="4"/>
      <c r="S2147" s="12" t="s">
        <v>5731</v>
      </c>
      <c r="T2147" s="4"/>
      <c r="U2147" s="4"/>
      <c r="V2147" s="11"/>
      <c r="W2147" s="5"/>
      <c r="X2147" s="11"/>
      <c r="Y2147" s="4"/>
      <c r="Z2147" s="5"/>
      <c r="AA2147" s="4"/>
      <c r="AB2147" s="4"/>
      <c r="AC2147" s="4"/>
      <c r="AD2147" s="4"/>
      <c r="AE2147" s="5"/>
      <c r="AF2147" s="5"/>
      <c r="AG2147" s="5"/>
      <c r="AH2147" s="5"/>
      <c r="AI2147" s="5"/>
      <c r="AJ2147" s="5"/>
      <c r="AK2147" s="5"/>
      <c r="AL2147" s="5"/>
    </row>
    <row r="2148">
      <c r="A2148" s="4" t="str">
        <f>VLOOKUP(L2148,payment_ids!C:D,2,FALSE)</f>
        <v>pay_HCAo4Qb0COiJAV</v>
      </c>
      <c r="B2148" s="4"/>
      <c r="C2148" s="4" t="s">
        <v>1727</v>
      </c>
      <c r="D2148" s="4">
        <v>50033.0</v>
      </c>
      <c r="E2148" s="4"/>
      <c r="F2148" s="4">
        <v>1.0</v>
      </c>
      <c r="G2148" s="4">
        <v>99.0</v>
      </c>
      <c r="H2148" s="4"/>
      <c r="I2148" s="4">
        <v>99.0</v>
      </c>
      <c r="J2148" s="4" t="s">
        <v>5788</v>
      </c>
      <c r="K2148" s="6">
        <f>+917013767675</f>
        <v>917013767675</v>
      </c>
      <c r="L2148" s="4" t="str">
        <f t="shared" si="1"/>
        <v>abhirambeem@gmail.com917013767675</v>
      </c>
      <c r="M2148" s="10" t="s">
        <v>67</v>
      </c>
      <c r="N2148" s="4" t="b">
        <v>0</v>
      </c>
      <c r="O2148" s="4" t="str">
        <f>VLOOKUP(A2148,payment_ids!D:E,2,FALSE)</f>
        <v>upi</v>
      </c>
      <c r="P2148" s="4" t="s">
        <v>69</v>
      </c>
      <c r="Q2148" s="4" t="s">
        <v>5789</v>
      </c>
      <c r="R2148" s="4"/>
      <c r="S2148" s="12" t="s">
        <v>5731</v>
      </c>
      <c r="T2148" s="4"/>
      <c r="U2148" s="4"/>
      <c r="V2148" s="11"/>
      <c r="W2148" s="5"/>
      <c r="X2148" s="11"/>
      <c r="Y2148" s="4"/>
      <c r="Z2148" s="5"/>
      <c r="AA2148" s="4"/>
      <c r="AB2148" s="4"/>
      <c r="AC2148" s="4"/>
      <c r="AD2148" s="4"/>
      <c r="AE2148" s="5"/>
      <c r="AF2148" s="5"/>
      <c r="AG2148" s="5"/>
      <c r="AH2148" s="5"/>
      <c r="AI2148" s="5"/>
      <c r="AJ2148" s="5"/>
      <c r="AK2148" s="5"/>
      <c r="AL2148" s="5"/>
    </row>
    <row r="2149">
      <c r="A2149" s="4" t="str">
        <f>VLOOKUP(L2149,payment_ids!C:D,2,FALSE)</f>
        <v>pay_HCCOaq1RJtbCjR</v>
      </c>
      <c r="B2149" s="4"/>
      <c r="C2149" s="4" t="s">
        <v>1727</v>
      </c>
      <c r="D2149" s="4">
        <v>50033.0</v>
      </c>
      <c r="E2149" s="4"/>
      <c r="F2149" s="4">
        <v>1.0</v>
      </c>
      <c r="G2149" s="4">
        <v>99.0</v>
      </c>
      <c r="H2149" s="4"/>
      <c r="I2149" s="4">
        <v>99.0</v>
      </c>
      <c r="J2149" s="4" t="s">
        <v>5790</v>
      </c>
      <c r="K2149" s="6">
        <f>+917200287691</f>
        <v>917200287691</v>
      </c>
      <c r="L2149" s="4" t="str">
        <f t="shared" si="1"/>
        <v>navinkr431@gmail.com917200287691</v>
      </c>
      <c r="M2149" s="10" t="s">
        <v>67</v>
      </c>
      <c r="N2149" s="4" t="b">
        <v>0</v>
      </c>
      <c r="O2149" s="4" t="str">
        <f>VLOOKUP(A2149,payment_ids!D:E,2,FALSE)</f>
        <v>upi</v>
      </c>
      <c r="P2149" s="4" t="s">
        <v>69</v>
      </c>
      <c r="Q2149" s="4" t="s">
        <v>5791</v>
      </c>
      <c r="R2149" s="4"/>
      <c r="S2149" s="12" t="s">
        <v>5731</v>
      </c>
      <c r="T2149" s="4"/>
      <c r="U2149" s="4"/>
      <c r="V2149" s="11"/>
      <c r="W2149" s="5"/>
      <c r="X2149" s="11"/>
      <c r="Y2149" s="4"/>
      <c r="Z2149" s="5"/>
      <c r="AA2149" s="4"/>
      <c r="AB2149" s="4"/>
      <c r="AC2149" s="4"/>
      <c r="AD2149" s="4"/>
      <c r="AE2149" s="5"/>
      <c r="AF2149" s="5"/>
      <c r="AG2149" s="5"/>
      <c r="AH2149" s="5"/>
      <c r="AI2149" s="5"/>
      <c r="AJ2149" s="5"/>
      <c r="AK2149" s="5"/>
      <c r="AL2149" s="5"/>
    </row>
    <row r="2150">
      <c r="A2150" s="4" t="str">
        <f>VLOOKUP(L2150,payment_ids!C:D,2,FALSE)</f>
        <v>pay_HCCeEDCgK5M4Lh</v>
      </c>
      <c r="B2150" s="4"/>
      <c r="C2150" s="4" t="s">
        <v>1727</v>
      </c>
      <c r="D2150" s="4">
        <v>50033.0</v>
      </c>
      <c r="E2150" s="4"/>
      <c r="F2150" s="4">
        <v>1.0</v>
      </c>
      <c r="G2150" s="4">
        <v>99.0</v>
      </c>
      <c r="H2150" s="4"/>
      <c r="I2150" s="4">
        <v>99.0</v>
      </c>
      <c r="J2150" s="4" t="s">
        <v>5792</v>
      </c>
      <c r="K2150" s="6">
        <f>+917737533313</f>
        <v>917737533313</v>
      </c>
      <c r="L2150" s="4" t="str">
        <f t="shared" si="1"/>
        <v>ervarunpratap@gmail.com917737533313</v>
      </c>
      <c r="M2150" s="10" t="s">
        <v>67</v>
      </c>
      <c r="N2150" s="4" t="b">
        <v>0</v>
      </c>
      <c r="O2150" s="4" t="str">
        <f>VLOOKUP(A2150,payment_ids!D:E,2,FALSE)</f>
        <v>upi</v>
      </c>
      <c r="P2150" s="4" t="s">
        <v>69</v>
      </c>
      <c r="Q2150" s="4" t="s">
        <v>5793</v>
      </c>
      <c r="R2150" s="4"/>
      <c r="S2150" s="12" t="s">
        <v>5731</v>
      </c>
      <c r="T2150" s="4"/>
      <c r="U2150" s="4"/>
      <c r="V2150" s="11"/>
      <c r="W2150" s="5"/>
      <c r="X2150" s="11"/>
      <c r="Y2150" s="4"/>
      <c r="Z2150" s="5"/>
      <c r="AA2150" s="4"/>
      <c r="AB2150" s="4"/>
      <c r="AC2150" s="4"/>
      <c r="AD2150" s="4"/>
      <c r="AE2150" s="5"/>
      <c r="AF2150" s="5"/>
      <c r="AG2150" s="5"/>
      <c r="AH2150" s="5"/>
      <c r="AI2150" s="5"/>
      <c r="AJ2150" s="5"/>
      <c r="AK2150" s="5"/>
      <c r="AL2150" s="5"/>
    </row>
    <row r="2151">
      <c r="A2151" s="4" t="str">
        <f>VLOOKUP(L2151,payment_ids!C:D,2,FALSE)</f>
        <v>pay_HC0mRQma2wv0yd</v>
      </c>
      <c r="B2151" s="4"/>
      <c r="C2151" s="4" t="s">
        <v>1727</v>
      </c>
      <c r="D2151" s="4">
        <v>50033.0</v>
      </c>
      <c r="E2151" s="4"/>
      <c r="F2151" s="4">
        <v>1.0</v>
      </c>
      <c r="G2151" s="4">
        <v>99.0</v>
      </c>
      <c r="H2151" s="4"/>
      <c r="I2151" s="4">
        <v>99.0</v>
      </c>
      <c r="J2151" s="4" t="s">
        <v>5794</v>
      </c>
      <c r="K2151" s="6">
        <f>+919573955523</f>
        <v>919573955523</v>
      </c>
      <c r="L2151" s="4" t="str">
        <f t="shared" si="1"/>
        <v>eswarnagachinna@gmail.com919573955523</v>
      </c>
      <c r="M2151" s="10" t="s">
        <v>67</v>
      </c>
      <c r="N2151" s="4" t="b">
        <v>0</v>
      </c>
      <c r="O2151" s="4" t="str">
        <f>VLOOKUP(A2151,payment_ids!D:E,2,FALSE)</f>
        <v>upi</v>
      </c>
      <c r="P2151" s="4" t="s">
        <v>69</v>
      </c>
      <c r="Q2151" s="4" t="s">
        <v>5795</v>
      </c>
      <c r="R2151" s="4"/>
      <c r="S2151" s="12" t="s">
        <v>5731</v>
      </c>
      <c r="T2151" s="4"/>
      <c r="U2151" s="4"/>
      <c r="V2151" s="11"/>
      <c r="W2151" s="5"/>
      <c r="X2151" s="11"/>
      <c r="Y2151" s="4"/>
      <c r="Z2151" s="5"/>
      <c r="AA2151" s="4"/>
      <c r="AB2151" s="4"/>
      <c r="AC2151" s="4"/>
      <c r="AD2151" s="4"/>
      <c r="AE2151" s="5"/>
      <c r="AF2151" s="5"/>
      <c r="AG2151" s="5"/>
      <c r="AH2151" s="5"/>
      <c r="AI2151" s="5"/>
      <c r="AJ2151" s="5"/>
      <c r="AK2151" s="5"/>
      <c r="AL2151" s="5"/>
    </row>
    <row r="2152">
      <c r="A2152" s="4" t="str">
        <f>VLOOKUP(L2152,payment_ids!C:D,2,FALSE)</f>
        <v>pay_HCA0F2FVgOoaN2</v>
      </c>
      <c r="B2152" s="4"/>
      <c r="C2152" s="4" t="s">
        <v>1727</v>
      </c>
      <c r="D2152" s="4">
        <v>50033.0</v>
      </c>
      <c r="E2152" s="4"/>
      <c r="F2152" s="4">
        <v>1.0</v>
      </c>
      <c r="G2152" s="4">
        <v>99.0</v>
      </c>
      <c r="H2152" s="4"/>
      <c r="I2152" s="4">
        <v>99.0</v>
      </c>
      <c r="J2152" s="4" t="s">
        <v>5796</v>
      </c>
      <c r="K2152" s="6">
        <f>+919884832784</f>
        <v>919884832784</v>
      </c>
      <c r="L2152" s="4" t="str">
        <f t="shared" si="1"/>
        <v>muthu2648@gmail.com919884832784</v>
      </c>
      <c r="M2152" s="10" t="s">
        <v>67</v>
      </c>
      <c r="N2152" s="4" t="b">
        <v>0</v>
      </c>
      <c r="O2152" s="4" t="str">
        <f>VLOOKUP(A2152,payment_ids!D:E,2,FALSE)</f>
        <v>card</v>
      </c>
      <c r="P2152" s="4" t="s">
        <v>69</v>
      </c>
      <c r="Q2152" s="4" t="s">
        <v>5797</v>
      </c>
      <c r="R2152" s="4"/>
      <c r="S2152" s="12" t="s">
        <v>5731</v>
      </c>
      <c r="T2152" s="4"/>
      <c r="U2152" s="4"/>
      <c r="V2152" s="11"/>
      <c r="W2152" s="5"/>
      <c r="X2152" s="11"/>
      <c r="Y2152" s="4"/>
      <c r="Z2152" s="5"/>
      <c r="AA2152" s="4"/>
      <c r="AB2152" s="4"/>
      <c r="AC2152" s="4"/>
      <c r="AD2152" s="4"/>
      <c r="AE2152" s="5"/>
      <c r="AF2152" s="5"/>
      <c r="AG2152" s="5"/>
      <c r="AH2152" s="5"/>
      <c r="AI2152" s="5"/>
      <c r="AJ2152" s="5"/>
      <c r="AK2152" s="5"/>
      <c r="AL2152" s="5"/>
    </row>
    <row r="2153">
      <c r="A2153" s="4" t="str">
        <f>VLOOKUP(L2153,payment_ids!C:D,2,FALSE)</f>
        <v>pay_HC6O4k7ZxUr75v</v>
      </c>
      <c r="B2153" s="4"/>
      <c r="C2153" s="4" t="s">
        <v>1727</v>
      </c>
      <c r="D2153" s="4">
        <v>50033.0</v>
      </c>
      <c r="E2153" s="4"/>
      <c r="F2153" s="4">
        <v>1.0</v>
      </c>
      <c r="G2153" s="4">
        <v>99.0</v>
      </c>
      <c r="H2153" s="4"/>
      <c r="I2153" s="4">
        <v>99.0</v>
      </c>
      <c r="J2153" s="4" t="s">
        <v>5798</v>
      </c>
      <c r="K2153" s="6">
        <f>+917506182957</f>
        <v>917506182957</v>
      </c>
      <c r="L2153" s="4" t="str">
        <f t="shared" si="1"/>
        <v>satyasri777@gmail.com917506182957</v>
      </c>
      <c r="M2153" s="10" t="s">
        <v>67</v>
      </c>
      <c r="N2153" s="4" t="b">
        <v>0</v>
      </c>
      <c r="O2153" s="4" t="str">
        <f>VLOOKUP(A2153,payment_ids!D:E,2,FALSE)</f>
        <v>upi</v>
      </c>
      <c r="P2153" s="4" t="s">
        <v>69</v>
      </c>
      <c r="Q2153" s="4" t="s">
        <v>5799</v>
      </c>
      <c r="R2153" s="4"/>
      <c r="S2153" s="12" t="s">
        <v>5731</v>
      </c>
      <c r="T2153" s="4"/>
      <c r="U2153" s="4"/>
      <c r="V2153" s="11"/>
      <c r="W2153" s="5"/>
      <c r="X2153" s="11"/>
      <c r="Y2153" s="4"/>
      <c r="Z2153" s="5"/>
      <c r="AA2153" s="4"/>
      <c r="AB2153" s="4"/>
      <c r="AC2153" s="4"/>
      <c r="AD2153" s="4"/>
      <c r="AE2153" s="5"/>
      <c r="AF2153" s="5"/>
      <c r="AG2153" s="5"/>
      <c r="AH2153" s="5"/>
      <c r="AI2153" s="5"/>
      <c r="AJ2153" s="5"/>
      <c r="AK2153" s="5"/>
      <c r="AL2153" s="5"/>
    </row>
    <row r="2154">
      <c r="A2154" s="4" t="str">
        <f>VLOOKUP(L2154,payment_ids!C:D,2,FALSE)</f>
        <v>pay_HC6sgoVgJdYtLi</v>
      </c>
      <c r="B2154" s="4"/>
      <c r="C2154" s="4" t="s">
        <v>1727</v>
      </c>
      <c r="D2154" s="4">
        <v>50033.0</v>
      </c>
      <c r="E2154" s="4"/>
      <c r="F2154" s="4">
        <v>1.0</v>
      </c>
      <c r="G2154" s="4">
        <v>99.0</v>
      </c>
      <c r="H2154" s="4"/>
      <c r="I2154" s="4">
        <v>99.0</v>
      </c>
      <c r="J2154" s="4" t="s">
        <v>5800</v>
      </c>
      <c r="K2154" s="6">
        <f>+918850229627</f>
        <v>918850229627</v>
      </c>
      <c r="L2154" s="4" t="str">
        <f t="shared" si="1"/>
        <v>smoolya17@gmail.com918850229627</v>
      </c>
      <c r="M2154" s="10" t="s">
        <v>67</v>
      </c>
      <c r="N2154" s="4" t="b">
        <v>0</v>
      </c>
      <c r="O2154" s="4" t="str">
        <f>VLOOKUP(A2154,payment_ids!D:E,2,FALSE)</f>
        <v>upi</v>
      </c>
      <c r="P2154" s="4" t="s">
        <v>69</v>
      </c>
      <c r="Q2154" s="4" t="s">
        <v>5801</v>
      </c>
      <c r="R2154" s="4"/>
      <c r="S2154" s="12" t="s">
        <v>5731</v>
      </c>
      <c r="T2154" s="4"/>
      <c r="U2154" s="4"/>
      <c r="V2154" s="11"/>
      <c r="W2154" s="5"/>
      <c r="X2154" s="11"/>
      <c r="Y2154" s="4"/>
      <c r="Z2154" s="5"/>
      <c r="AA2154" s="4"/>
      <c r="AB2154" s="4"/>
      <c r="AC2154" s="4"/>
      <c r="AD2154" s="4"/>
      <c r="AE2154" s="5"/>
      <c r="AF2154" s="5"/>
      <c r="AG2154" s="5"/>
      <c r="AH2154" s="5"/>
      <c r="AI2154" s="5"/>
      <c r="AJ2154" s="5"/>
      <c r="AK2154" s="5"/>
      <c r="AL2154" s="5"/>
    </row>
    <row r="2155">
      <c r="A2155" s="4" t="str">
        <f>VLOOKUP(L2155,payment_ids!C:D,2,FALSE)</f>
        <v>pay_HC8ZNX77z6tat5</v>
      </c>
      <c r="B2155" s="4"/>
      <c r="C2155" s="4" t="s">
        <v>1727</v>
      </c>
      <c r="D2155" s="4">
        <v>50033.0</v>
      </c>
      <c r="E2155" s="4"/>
      <c r="F2155" s="4">
        <v>1.0</v>
      </c>
      <c r="G2155" s="4">
        <v>99.0</v>
      </c>
      <c r="H2155" s="4"/>
      <c r="I2155" s="4">
        <v>99.0</v>
      </c>
      <c r="J2155" s="4" t="s">
        <v>5802</v>
      </c>
      <c r="K2155" s="6">
        <f>+919515989352</f>
        <v>919515989352</v>
      </c>
      <c r="L2155" s="4" t="str">
        <f t="shared" si="1"/>
        <v>nareshsailu2301@gmail.com919515989352</v>
      </c>
      <c r="M2155" s="10" t="s">
        <v>67</v>
      </c>
      <c r="N2155" s="4" t="b">
        <v>0</v>
      </c>
      <c r="O2155" s="4" t="str">
        <f>VLOOKUP(A2155,payment_ids!D:E,2,FALSE)</f>
        <v>upi</v>
      </c>
      <c r="P2155" s="4" t="s">
        <v>69</v>
      </c>
      <c r="Q2155" s="4" t="s">
        <v>5803</v>
      </c>
      <c r="R2155" s="4"/>
      <c r="S2155" s="12" t="s">
        <v>5731</v>
      </c>
      <c r="T2155" s="4"/>
      <c r="U2155" s="4"/>
      <c r="V2155" s="11"/>
      <c r="W2155" s="5"/>
      <c r="X2155" s="11"/>
      <c r="Y2155" s="4"/>
      <c r="Z2155" s="5"/>
      <c r="AA2155" s="4"/>
      <c r="AB2155" s="4"/>
      <c r="AC2155" s="4"/>
      <c r="AD2155" s="4"/>
      <c r="AE2155" s="5"/>
      <c r="AF2155" s="5"/>
      <c r="AG2155" s="5"/>
      <c r="AH2155" s="5"/>
      <c r="AI2155" s="5"/>
      <c r="AJ2155" s="5"/>
      <c r="AK2155" s="5"/>
      <c r="AL2155" s="5"/>
    </row>
    <row r="2156">
      <c r="A2156" s="4" t="str">
        <f>VLOOKUP(L2156,payment_ids!C:D,2,FALSE)</f>
        <v>pay_HC8zEpbXU7aHMY</v>
      </c>
      <c r="B2156" s="4"/>
      <c r="C2156" s="4" t="s">
        <v>1727</v>
      </c>
      <c r="D2156" s="4">
        <v>50033.0</v>
      </c>
      <c r="E2156" s="4"/>
      <c r="F2156" s="4">
        <v>1.0</v>
      </c>
      <c r="G2156" s="4">
        <v>99.0</v>
      </c>
      <c r="H2156" s="4"/>
      <c r="I2156" s="4">
        <v>99.0</v>
      </c>
      <c r="J2156" s="4" t="s">
        <v>5804</v>
      </c>
      <c r="K2156" s="6">
        <f>+919448697744</f>
        <v>919448697744</v>
      </c>
      <c r="L2156" s="4" t="str">
        <f t="shared" si="1"/>
        <v>sndp110491@gmail.com919448697744</v>
      </c>
      <c r="M2156" s="10" t="s">
        <v>67</v>
      </c>
      <c r="N2156" s="4" t="b">
        <v>0</v>
      </c>
      <c r="O2156" s="4" t="str">
        <f>VLOOKUP(A2156,payment_ids!D:E,2,FALSE)</f>
        <v>upi</v>
      </c>
      <c r="P2156" s="4" t="s">
        <v>69</v>
      </c>
      <c r="Q2156" s="4" t="s">
        <v>5805</v>
      </c>
      <c r="R2156" s="4"/>
      <c r="S2156" s="12" t="s">
        <v>5731</v>
      </c>
      <c r="T2156" s="4"/>
      <c r="U2156" s="4"/>
      <c r="V2156" s="11"/>
      <c r="W2156" s="5"/>
      <c r="X2156" s="11"/>
      <c r="Y2156" s="4"/>
      <c r="Z2156" s="5"/>
      <c r="AA2156" s="4"/>
      <c r="AB2156" s="4"/>
      <c r="AC2156" s="4"/>
      <c r="AD2156" s="4"/>
      <c r="AE2156" s="5"/>
      <c r="AF2156" s="5"/>
      <c r="AG2156" s="5"/>
      <c r="AH2156" s="5"/>
      <c r="AI2156" s="5"/>
      <c r="AJ2156" s="5"/>
      <c r="AK2156" s="5"/>
      <c r="AL2156" s="5"/>
    </row>
    <row r="2157">
      <c r="A2157" s="4" t="str">
        <f>VLOOKUP(L2157,payment_ids!C:D,2,FALSE)</f>
        <v>pay_HC9PfUHOOwIdh7</v>
      </c>
      <c r="B2157" s="4"/>
      <c r="C2157" s="4" t="s">
        <v>1727</v>
      </c>
      <c r="D2157" s="4">
        <v>50033.0</v>
      </c>
      <c r="E2157" s="4"/>
      <c r="F2157" s="4">
        <v>1.0</v>
      </c>
      <c r="G2157" s="4">
        <v>99.0</v>
      </c>
      <c r="H2157" s="4"/>
      <c r="I2157" s="4">
        <v>99.0</v>
      </c>
      <c r="J2157" s="4" t="s">
        <v>5806</v>
      </c>
      <c r="K2157" s="6">
        <f>+917678111688</f>
        <v>917678111688</v>
      </c>
      <c r="L2157" s="4" t="str">
        <f t="shared" si="1"/>
        <v>nakulstar95@gmail.com917678111688</v>
      </c>
      <c r="M2157" s="10" t="s">
        <v>67</v>
      </c>
      <c r="N2157" s="4" t="b">
        <v>0</v>
      </c>
      <c r="O2157" s="4" t="str">
        <f>VLOOKUP(A2157,payment_ids!D:E,2,FALSE)</f>
        <v>upi</v>
      </c>
      <c r="P2157" s="4" t="s">
        <v>69</v>
      </c>
      <c r="Q2157" s="4" t="s">
        <v>5807</v>
      </c>
      <c r="R2157" s="4"/>
      <c r="S2157" s="12" t="s">
        <v>5731</v>
      </c>
      <c r="T2157" s="4"/>
      <c r="U2157" s="4"/>
      <c r="V2157" s="11"/>
      <c r="W2157" s="5"/>
      <c r="X2157" s="11"/>
      <c r="Y2157" s="4"/>
      <c r="Z2157" s="5"/>
      <c r="AA2157" s="4"/>
      <c r="AB2157" s="4"/>
      <c r="AC2157" s="4"/>
      <c r="AD2157" s="4"/>
      <c r="AE2157" s="5"/>
      <c r="AF2157" s="5"/>
      <c r="AG2157" s="5"/>
      <c r="AH2157" s="5"/>
      <c r="AI2157" s="5"/>
      <c r="AJ2157" s="5"/>
      <c r="AK2157" s="5"/>
      <c r="AL2157" s="5"/>
    </row>
    <row r="2158">
      <c r="A2158" s="4" t="str">
        <f>VLOOKUP(L2158,payment_ids!C:D,2,FALSE)</f>
        <v>pay_HByLA8ivUVVdW9</v>
      </c>
      <c r="B2158" s="4"/>
      <c r="C2158" s="4" t="s">
        <v>1727</v>
      </c>
      <c r="D2158" s="4">
        <v>50033.0</v>
      </c>
      <c r="E2158" s="4"/>
      <c r="F2158" s="4">
        <v>1.0</v>
      </c>
      <c r="G2158" s="4">
        <v>99.0</v>
      </c>
      <c r="H2158" s="4"/>
      <c r="I2158" s="4">
        <v>99.0</v>
      </c>
      <c r="J2158" s="4" t="s">
        <v>5808</v>
      </c>
      <c r="K2158" s="6">
        <f>+918553620735</f>
        <v>918553620735</v>
      </c>
      <c r="L2158" s="4" t="str">
        <f t="shared" si="1"/>
        <v>itsanoop.07@gmail.com918553620735</v>
      </c>
      <c r="M2158" s="10" t="s">
        <v>67</v>
      </c>
      <c r="N2158" s="4" t="b">
        <v>0</v>
      </c>
      <c r="O2158" s="4" t="str">
        <f>VLOOKUP(A2158,payment_ids!D:E,2,FALSE)</f>
        <v>upi</v>
      </c>
      <c r="P2158" s="4" t="s">
        <v>69</v>
      </c>
      <c r="Q2158" s="4" t="s">
        <v>5809</v>
      </c>
      <c r="R2158" s="4"/>
      <c r="S2158" s="12" t="s">
        <v>5731</v>
      </c>
      <c r="T2158" s="4"/>
      <c r="U2158" s="4"/>
      <c r="V2158" s="11"/>
      <c r="W2158" s="5"/>
      <c r="X2158" s="11"/>
      <c r="Y2158" s="4"/>
      <c r="Z2158" s="5"/>
      <c r="AA2158" s="4"/>
      <c r="AB2158" s="4"/>
      <c r="AC2158" s="4"/>
      <c r="AD2158" s="4"/>
      <c r="AE2158" s="5"/>
      <c r="AF2158" s="5"/>
      <c r="AG2158" s="5"/>
      <c r="AH2158" s="5"/>
      <c r="AI2158" s="5"/>
      <c r="AJ2158" s="5"/>
      <c r="AK2158" s="5"/>
      <c r="AL2158" s="5"/>
    </row>
    <row r="2159">
      <c r="A2159" s="4" t="str">
        <f>VLOOKUP(L2159,payment_ids!C:D,2,FALSE)</f>
        <v>pay_HCEAC4GOvsujh4</v>
      </c>
      <c r="B2159" s="4"/>
      <c r="C2159" s="4" t="s">
        <v>1727</v>
      </c>
      <c r="D2159" s="4">
        <v>50033.0</v>
      </c>
      <c r="E2159" s="4"/>
      <c r="F2159" s="4">
        <v>1.0</v>
      </c>
      <c r="G2159" s="4">
        <v>99.0</v>
      </c>
      <c r="H2159" s="4"/>
      <c r="I2159" s="4">
        <v>99.0</v>
      </c>
      <c r="J2159" s="4" t="s">
        <v>5810</v>
      </c>
      <c r="K2159" s="6">
        <f>+918454804369</f>
        <v>918454804369</v>
      </c>
      <c r="L2159" s="4" t="str">
        <f t="shared" si="1"/>
        <v>jneha4298@gmail.com918454804369</v>
      </c>
      <c r="M2159" s="10" t="s">
        <v>67</v>
      </c>
      <c r="N2159" s="4" t="b">
        <v>0</v>
      </c>
      <c r="O2159" s="4" t="str">
        <f>VLOOKUP(A2159,payment_ids!D:E,2,FALSE)</f>
        <v>upi</v>
      </c>
      <c r="P2159" s="4" t="s">
        <v>69</v>
      </c>
      <c r="Q2159" s="4" t="s">
        <v>5811</v>
      </c>
      <c r="R2159" s="4"/>
      <c r="S2159" s="12" t="s">
        <v>5731</v>
      </c>
      <c r="T2159" s="4"/>
      <c r="U2159" s="4"/>
      <c r="V2159" s="11"/>
      <c r="W2159" s="5"/>
      <c r="X2159" s="11"/>
      <c r="Y2159" s="4"/>
      <c r="Z2159" s="5"/>
      <c r="AA2159" s="4"/>
      <c r="AB2159" s="4"/>
      <c r="AC2159" s="4"/>
      <c r="AD2159" s="4"/>
      <c r="AE2159" s="5"/>
      <c r="AF2159" s="5"/>
      <c r="AG2159" s="5"/>
      <c r="AH2159" s="5"/>
      <c r="AI2159" s="5"/>
      <c r="AJ2159" s="5"/>
      <c r="AK2159" s="5"/>
      <c r="AL2159" s="5"/>
    </row>
    <row r="2160">
      <c r="A2160" s="4" t="str">
        <f>VLOOKUP(L2160,payment_ids!C:D,2,FALSE)</f>
        <v>pay_HD4v8fJCSH8QR8</v>
      </c>
      <c r="B2160" s="4"/>
      <c r="C2160" s="4" t="s">
        <v>1727</v>
      </c>
      <c r="D2160" s="4">
        <v>50033.0</v>
      </c>
      <c r="E2160" s="4"/>
      <c r="F2160" s="4">
        <v>1.0</v>
      </c>
      <c r="G2160" s="4">
        <v>99.0</v>
      </c>
      <c r="H2160" s="4"/>
      <c r="I2160" s="4">
        <v>99.0</v>
      </c>
      <c r="J2160" s="4" t="s">
        <v>5812</v>
      </c>
      <c r="K2160" s="6">
        <f>+919654014083</f>
        <v>919654014083</v>
      </c>
      <c r="L2160" s="4" t="str">
        <f t="shared" si="1"/>
        <v>sairaa1@gmail.com919654014083</v>
      </c>
      <c r="M2160" s="10" t="s">
        <v>67</v>
      </c>
      <c r="N2160" s="4" t="b">
        <v>0</v>
      </c>
      <c r="O2160" s="4" t="str">
        <f>VLOOKUP(A2160,payment_ids!D:E,2,FALSE)</f>
        <v>upi</v>
      </c>
      <c r="P2160" s="4" t="s">
        <v>69</v>
      </c>
      <c r="Q2160" s="4" t="s">
        <v>5813</v>
      </c>
      <c r="R2160" s="4"/>
      <c r="S2160" s="12" t="s">
        <v>5731</v>
      </c>
      <c r="T2160" s="4"/>
      <c r="U2160" s="5"/>
      <c r="V2160" s="11"/>
      <c r="W2160" s="5"/>
      <c r="X2160" s="11"/>
      <c r="Y2160" s="4"/>
      <c r="Z2160" s="5"/>
      <c r="AA2160" s="5"/>
      <c r="AB2160" s="4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</row>
    <row r="2161">
      <c r="A2161" s="4" t="str">
        <f>VLOOKUP(L2161,payment_ids!C:D,2,FALSE)</f>
        <v>pay_HD5WiDRDxP3rZx</v>
      </c>
      <c r="B2161" s="4"/>
      <c r="C2161" s="4" t="s">
        <v>1727</v>
      </c>
      <c r="D2161" s="4">
        <v>50033.0</v>
      </c>
      <c r="E2161" s="4"/>
      <c r="F2161" s="4">
        <v>1.0</v>
      </c>
      <c r="G2161" s="4">
        <v>99.0</v>
      </c>
      <c r="H2161" s="4"/>
      <c r="I2161" s="4">
        <v>99.0</v>
      </c>
      <c r="J2161" s="4" t="s">
        <v>5814</v>
      </c>
      <c r="K2161" s="6">
        <f>+917020038294</f>
        <v>917020038294</v>
      </c>
      <c r="L2161" s="4" t="str">
        <f t="shared" si="1"/>
        <v>pillai.anil9@gmail.com917020038294</v>
      </c>
      <c r="M2161" s="10" t="s">
        <v>67</v>
      </c>
      <c r="N2161" s="4" t="b">
        <v>0</v>
      </c>
      <c r="O2161" s="4" t="str">
        <f>VLOOKUP(A2161,payment_ids!D:E,2,FALSE)</f>
        <v>upi</v>
      </c>
      <c r="P2161" s="4" t="s">
        <v>69</v>
      </c>
      <c r="Q2161" s="4" t="s">
        <v>5815</v>
      </c>
      <c r="R2161" s="4"/>
      <c r="S2161" s="12" t="s">
        <v>5731</v>
      </c>
      <c r="T2161" s="4"/>
      <c r="U2161" s="4"/>
      <c r="V2161" s="11"/>
      <c r="W2161" s="5"/>
      <c r="X2161" s="11"/>
      <c r="Y2161" s="4"/>
      <c r="Z2161" s="5"/>
      <c r="AA2161" s="4"/>
      <c r="AB2161" s="4"/>
      <c r="AC2161" s="4"/>
      <c r="AD2161" s="4"/>
      <c r="AE2161" s="5"/>
      <c r="AF2161" s="5"/>
      <c r="AG2161" s="5"/>
      <c r="AH2161" s="5"/>
      <c r="AI2161" s="5"/>
      <c r="AJ2161" s="5"/>
      <c r="AK2161" s="5"/>
      <c r="AL2161" s="5"/>
    </row>
    <row r="2162">
      <c r="A2162" s="4" t="str">
        <f>VLOOKUP(L2162,payment_ids!C:D,2,FALSE)</f>
        <v>pay_HD7UCOcvOM4OUI</v>
      </c>
      <c r="B2162" s="4"/>
      <c r="C2162" s="4" t="s">
        <v>1727</v>
      </c>
      <c r="D2162" s="4">
        <v>50033.0</v>
      </c>
      <c r="E2162" s="4"/>
      <c r="F2162" s="4">
        <v>1.0</v>
      </c>
      <c r="G2162" s="4">
        <v>99.0</v>
      </c>
      <c r="H2162" s="4"/>
      <c r="I2162" s="4">
        <v>99.0</v>
      </c>
      <c r="J2162" s="4" t="s">
        <v>5816</v>
      </c>
      <c r="K2162" s="6">
        <f>+917349638927</f>
        <v>917349638927</v>
      </c>
      <c r="L2162" s="4" t="str">
        <f t="shared" si="1"/>
        <v>sharonjose123@icloud.com917349638927</v>
      </c>
      <c r="M2162" s="10" t="s">
        <v>67</v>
      </c>
      <c r="N2162" s="4" t="b">
        <v>0</v>
      </c>
      <c r="O2162" s="4" t="str">
        <f>VLOOKUP(A2162,payment_ids!D:E,2,FALSE)</f>
        <v>upi</v>
      </c>
      <c r="P2162" s="4" t="s">
        <v>69</v>
      </c>
      <c r="Q2162" s="4" t="s">
        <v>5817</v>
      </c>
      <c r="R2162" s="4"/>
      <c r="S2162" s="12" t="s">
        <v>5731</v>
      </c>
      <c r="T2162" s="4"/>
      <c r="U2162" s="4"/>
      <c r="V2162" s="11"/>
      <c r="W2162" s="5"/>
      <c r="X2162" s="11"/>
      <c r="Y2162" s="4"/>
      <c r="Z2162" s="5"/>
      <c r="AA2162" s="4"/>
      <c r="AB2162" s="4"/>
      <c r="AC2162" s="4"/>
      <c r="AD2162" s="4"/>
      <c r="AE2162" s="5"/>
      <c r="AF2162" s="5"/>
      <c r="AG2162" s="5"/>
      <c r="AH2162" s="5"/>
      <c r="AI2162" s="5"/>
      <c r="AJ2162" s="5"/>
      <c r="AK2162" s="5"/>
      <c r="AL2162" s="5"/>
    </row>
    <row r="2163">
      <c r="A2163" s="4" t="str">
        <f>VLOOKUP(L2163,payment_ids!C:D,2,FALSE)</f>
        <v>pay_HDvxKMq6XQuz8D</v>
      </c>
      <c r="B2163" s="4"/>
      <c r="C2163" s="4" t="s">
        <v>1727</v>
      </c>
      <c r="D2163" s="4">
        <v>50033.0</v>
      </c>
      <c r="E2163" s="4"/>
      <c r="F2163" s="4">
        <v>1.0</v>
      </c>
      <c r="G2163" s="4">
        <v>99.0</v>
      </c>
      <c r="H2163" s="4"/>
      <c r="I2163" s="4">
        <v>99.0</v>
      </c>
      <c r="J2163" s="4" t="s">
        <v>5818</v>
      </c>
      <c r="K2163" s="6">
        <f>+918951496116</f>
        <v>918951496116</v>
      </c>
      <c r="L2163" s="4" t="str">
        <f t="shared" si="1"/>
        <v>abhinavchinmai9@yahoo.com918951496116</v>
      </c>
      <c r="M2163" s="10" t="s">
        <v>67</v>
      </c>
      <c r="N2163" s="4" t="b">
        <v>0</v>
      </c>
      <c r="O2163" s="4" t="str">
        <f>VLOOKUP(A2163,payment_ids!D:E,2,FALSE)</f>
        <v>upi</v>
      </c>
      <c r="P2163" s="4" t="s">
        <v>69</v>
      </c>
      <c r="Q2163" s="4" t="s">
        <v>5819</v>
      </c>
      <c r="R2163" s="4"/>
      <c r="S2163" s="12" t="s">
        <v>5731</v>
      </c>
      <c r="T2163" s="4"/>
      <c r="U2163" s="4"/>
      <c r="V2163" s="11"/>
      <c r="W2163" s="5"/>
      <c r="X2163" s="11"/>
      <c r="Y2163" s="4"/>
      <c r="Z2163" s="5"/>
      <c r="AA2163" s="4"/>
      <c r="AB2163" s="4"/>
      <c r="AC2163" s="4"/>
      <c r="AD2163" s="4"/>
      <c r="AE2163" s="5"/>
      <c r="AF2163" s="5"/>
      <c r="AG2163" s="5"/>
      <c r="AH2163" s="5"/>
      <c r="AI2163" s="5"/>
      <c r="AJ2163" s="5"/>
      <c r="AK2163" s="5"/>
      <c r="AL2163" s="5"/>
    </row>
    <row r="2164">
      <c r="A2164" s="4" t="str">
        <f>VLOOKUP(L2164,payment_ids!C:D,2,FALSE)</f>
        <v>pay_HEI0ejPzDWhOid</v>
      </c>
      <c r="B2164" s="4"/>
      <c r="C2164" s="4" t="s">
        <v>1727</v>
      </c>
      <c r="D2164" s="4">
        <v>50033.0</v>
      </c>
      <c r="E2164" s="4"/>
      <c r="F2164" s="4">
        <v>1.0</v>
      </c>
      <c r="G2164" s="4">
        <v>99.0</v>
      </c>
      <c r="H2164" s="4"/>
      <c r="I2164" s="4">
        <v>99.0</v>
      </c>
      <c r="J2164" s="4" t="s">
        <v>5820</v>
      </c>
      <c r="K2164" s="6">
        <f>+919133628608</f>
        <v>919133628608</v>
      </c>
      <c r="L2164" s="4" t="str">
        <f t="shared" si="1"/>
        <v>devasamchandu@gmail.com919133628608</v>
      </c>
      <c r="M2164" s="10" t="s">
        <v>67</v>
      </c>
      <c r="N2164" s="4" t="b">
        <v>0</v>
      </c>
      <c r="O2164" s="4" t="str">
        <f>VLOOKUP(A2164,payment_ids!D:E,2,FALSE)</f>
        <v>upi</v>
      </c>
      <c r="P2164" s="4" t="s">
        <v>69</v>
      </c>
      <c r="Q2164" s="4" t="s">
        <v>5821</v>
      </c>
      <c r="R2164" s="4"/>
      <c r="S2164" s="12" t="s">
        <v>5731</v>
      </c>
      <c r="T2164" s="4"/>
      <c r="U2164" s="4"/>
      <c r="V2164" s="11"/>
      <c r="W2164" s="5"/>
      <c r="X2164" s="11"/>
      <c r="Y2164" s="4"/>
      <c r="Z2164" s="5"/>
      <c r="AA2164" s="4"/>
      <c r="AB2164" s="4"/>
      <c r="AC2164" s="4"/>
      <c r="AD2164" s="4"/>
      <c r="AE2164" s="5"/>
      <c r="AF2164" s="5"/>
      <c r="AG2164" s="5"/>
      <c r="AH2164" s="5"/>
      <c r="AI2164" s="5"/>
      <c r="AJ2164" s="5"/>
      <c r="AK2164" s="5"/>
      <c r="AL2164" s="5"/>
    </row>
    <row r="2165">
      <c r="A2165" s="4" t="str">
        <f>VLOOKUP(L2165,payment_ids!C:D,2,FALSE)</f>
        <v>pay_H8imrtp1OM1Rno</v>
      </c>
      <c r="B2165" s="4"/>
      <c r="C2165" s="4" t="s">
        <v>1727</v>
      </c>
      <c r="D2165" s="4">
        <v>50033.0</v>
      </c>
      <c r="E2165" s="5"/>
      <c r="F2165" s="4">
        <v>3.0</v>
      </c>
      <c r="G2165" s="4">
        <v>299.0</v>
      </c>
      <c r="H2165" s="4"/>
      <c r="I2165" s="4">
        <v>299.0</v>
      </c>
      <c r="J2165" s="4" t="s">
        <v>3856</v>
      </c>
      <c r="K2165" s="5">
        <f>+919968938999</f>
        <v>919968938999</v>
      </c>
      <c r="L2165" s="4" t="str">
        <f t="shared" si="1"/>
        <v>bharat.oberoi.9@gmail.com919968938999</v>
      </c>
      <c r="M2165" s="10" t="s">
        <v>67</v>
      </c>
      <c r="N2165" s="4" t="b">
        <v>0</v>
      </c>
      <c r="O2165" s="4" t="str">
        <f>VLOOKUP(A2165,payment_ids!D:E,2,FALSE)</f>
        <v>card</v>
      </c>
      <c r="P2165" s="4" t="s">
        <v>69</v>
      </c>
      <c r="Q2165" s="11">
        <v>44322.71597222222</v>
      </c>
      <c r="R2165" s="4"/>
      <c r="S2165" s="12" t="s">
        <v>5731</v>
      </c>
      <c r="T2165" s="5"/>
      <c r="U2165" s="4"/>
      <c r="V2165" s="11"/>
      <c r="W2165" s="5"/>
      <c r="X2165" s="11"/>
      <c r="Y2165" s="4"/>
      <c r="Z2165" s="5"/>
      <c r="AA2165" s="4"/>
      <c r="AB2165" s="4"/>
      <c r="AC2165" s="4"/>
      <c r="AD2165" s="4"/>
      <c r="AE2165" s="5"/>
      <c r="AF2165" s="5"/>
      <c r="AG2165" s="5"/>
      <c r="AH2165" s="5"/>
      <c r="AI2165" s="5"/>
      <c r="AJ2165" s="5"/>
      <c r="AK2165" s="5"/>
      <c r="AL2165" s="5"/>
    </row>
    <row r="2166">
      <c r="A2166" s="4" t="str">
        <f>VLOOKUP(L2166,payment_ids!C:D,2,FALSE)</f>
        <v>pay_H7sgiPRbdi52Zn</v>
      </c>
      <c r="B2166" s="4"/>
      <c r="C2166" s="4" t="s">
        <v>5822</v>
      </c>
      <c r="D2166" s="4">
        <v>50054.0</v>
      </c>
      <c r="E2166" s="4"/>
      <c r="F2166" s="4">
        <v>1.0</v>
      </c>
      <c r="G2166" s="4">
        <v>99.0</v>
      </c>
      <c r="H2166" s="4"/>
      <c r="I2166" s="4">
        <v>99.0</v>
      </c>
      <c r="J2166" s="4" t="s">
        <v>5823</v>
      </c>
      <c r="K2166" s="6">
        <f>+919871365510</f>
        <v>919871365510</v>
      </c>
      <c r="L2166" s="4" t="str">
        <f t="shared" si="1"/>
        <v>chugharleen@gmail.com919871365510</v>
      </c>
      <c r="M2166" s="10" t="s">
        <v>67</v>
      </c>
      <c r="N2166" s="4" t="b">
        <v>0</v>
      </c>
      <c r="O2166" s="4" t="str">
        <f>VLOOKUP(A2166,payment_ids!D:E,2,FALSE)</f>
        <v>card</v>
      </c>
      <c r="P2166" s="4" t="s">
        <v>69</v>
      </c>
      <c r="Q2166" s="11">
        <v>44382.69513888889</v>
      </c>
      <c r="R2166" s="4"/>
      <c r="S2166" s="12" t="s">
        <v>5824</v>
      </c>
      <c r="T2166" s="4"/>
      <c r="U2166" s="4"/>
      <c r="V2166" s="11"/>
      <c r="W2166" s="5"/>
      <c r="X2166" s="11"/>
      <c r="Y2166" s="4"/>
      <c r="Z2166" s="5"/>
      <c r="AA2166" s="4"/>
      <c r="AB2166" s="4"/>
      <c r="AC2166" s="4"/>
      <c r="AD2166" s="4"/>
      <c r="AE2166" s="5"/>
      <c r="AF2166" s="5"/>
      <c r="AG2166" s="5"/>
      <c r="AH2166" s="5"/>
      <c r="AI2166" s="5"/>
      <c r="AJ2166" s="5"/>
      <c r="AK2166" s="5"/>
      <c r="AL2166" s="5"/>
    </row>
    <row r="2167">
      <c r="A2167" s="4" t="str">
        <f>VLOOKUP(L2167,payment_ids!C:D,2,FALSE)</f>
        <v>pay_H7xHxJXmQcTy3c</v>
      </c>
      <c r="B2167" s="4"/>
      <c r="C2167" s="4" t="s">
        <v>5822</v>
      </c>
      <c r="D2167" s="4">
        <v>50054.0</v>
      </c>
      <c r="E2167" s="4"/>
      <c r="F2167" s="4">
        <v>1.0</v>
      </c>
      <c r="G2167" s="4">
        <v>99.0</v>
      </c>
      <c r="H2167" s="4"/>
      <c r="I2167" s="4">
        <v>99.0</v>
      </c>
      <c r="J2167" s="4" t="s">
        <v>5825</v>
      </c>
      <c r="K2167" s="6">
        <f>+918627846157</f>
        <v>918627846157</v>
      </c>
      <c r="L2167" s="4" t="str">
        <f t="shared" si="1"/>
        <v>kaushalavantika15@gmail.com918627846157</v>
      </c>
      <c r="M2167" s="10" t="s">
        <v>67</v>
      </c>
      <c r="N2167" s="4" t="b">
        <v>0</v>
      </c>
      <c r="O2167" s="4" t="str">
        <f>VLOOKUP(A2167,payment_ids!D:E,2,FALSE)</f>
        <v>upi</v>
      </c>
      <c r="P2167" s="4" t="s">
        <v>69</v>
      </c>
      <c r="Q2167" s="11">
        <v>44382.88263888889</v>
      </c>
      <c r="R2167" s="4"/>
      <c r="S2167" s="12" t="s">
        <v>5824</v>
      </c>
      <c r="T2167" s="4"/>
      <c r="U2167" s="4"/>
      <c r="V2167" s="11"/>
      <c r="W2167" s="5"/>
      <c r="X2167" s="11"/>
      <c r="Y2167" s="4"/>
      <c r="Z2167" s="5"/>
      <c r="AA2167" s="4"/>
      <c r="AB2167" s="4"/>
      <c r="AC2167" s="4"/>
      <c r="AD2167" s="4"/>
      <c r="AE2167" s="5"/>
      <c r="AF2167" s="5"/>
      <c r="AG2167" s="5"/>
      <c r="AH2167" s="5"/>
      <c r="AI2167" s="5"/>
      <c r="AJ2167" s="5"/>
      <c r="AK2167" s="5"/>
      <c r="AL2167" s="5"/>
    </row>
    <row r="2168">
      <c r="A2168" s="4" t="str">
        <f>VLOOKUP(L2168,payment_ids!C:D,2,FALSE)</f>
        <v>pay_H7yXugOI7LmoYi</v>
      </c>
      <c r="B2168" s="4"/>
      <c r="C2168" s="4" t="s">
        <v>5822</v>
      </c>
      <c r="D2168" s="4">
        <v>50054.0</v>
      </c>
      <c r="E2168" s="4"/>
      <c r="F2168" s="4">
        <v>1.0</v>
      </c>
      <c r="G2168" s="4">
        <v>99.0</v>
      </c>
      <c r="H2168" s="4"/>
      <c r="I2168" s="4">
        <v>99.0</v>
      </c>
      <c r="J2168" s="4" t="s">
        <v>5826</v>
      </c>
      <c r="K2168" s="6">
        <f>+918279464936</f>
        <v>918279464936</v>
      </c>
      <c r="L2168" s="4" t="str">
        <f t="shared" si="1"/>
        <v>manleenk07@gmail.com918279464936</v>
      </c>
      <c r="M2168" s="10" t="s">
        <v>67</v>
      </c>
      <c r="N2168" s="4" t="b">
        <v>0</v>
      </c>
      <c r="O2168" s="4" t="str">
        <f>VLOOKUP(A2168,payment_ids!D:E,2,FALSE)</f>
        <v>upi</v>
      </c>
      <c r="P2168" s="4" t="s">
        <v>69</v>
      </c>
      <c r="Q2168" s="11">
        <v>44382.933333333334</v>
      </c>
      <c r="R2168" s="4"/>
      <c r="S2168" s="12" t="s">
        <v>5824</v>
      </c>
      <c r="T2168" s="4"/>
      <c r="U2168" s="4"/>
      <c r="V2168" s="11"/>
      <c r="W2168" s="5"/>
      <c r="X2168" s="11"/>
      <c r="Y2168" s="4"/>
      <c r="Z2168" s="5"/>
      <c r="AA2168" s="4"/>
      <c r="AB2168" s="4"/>
      <c r="AC2168" s="4"/>
      <c r="AD2168" s="4"/>
      <c r="AE2168" s="5"/>
      <c r="AF2168" s="5"/>
      <c r="AG2168" s="5"/>
      <c r="AH2168" s="5"/>
      <c r="AI2168" s="5"/>
      <c r="AJ2168" s="5"/>
      <c r="AK2168" s="5"/>
      <c r="AL2168" s="5"/>
    </row>
    <row r="2169">
      <c r="A2169" s="4" t="str">
        <f>VLOOKUP(L2169,payment_ids!C:D,2,FALSE)</f>
        <v>pay_H7omCdJz1axFGX</v>
      </c>
      <c r="B2169" s="4"/>
      <c r="C2169" s="4" t="s">
        <v>5822</v>
      </c>
      <c r="D2169" s="4">
        <v>50054.0</v>
      </c>
      <c r="E2169" s="4"/>
      <c r="F2169" s="4">
        <v>1.0</v>
      </c>
      <c r="G2169" s="4">
        <v>349.0</v>
      </c>
      <c r="H2169" s="4"/>
      <c r="I2169" s="4">
        <v>349.0</v>
      </c>
      <c r="J2169" s="4" t="s">
        <v>5827</v>
      </c>
      <c r="K2169" s="6">
        <f>+919980809118</f>
        <v>919980809118</v>
      </c>
      <c r="L2169" s="4" t="str">
        <f t="shared" si="1"/>
        <v>rahuldev_sahu@yahoo.com919980809118</v>
      </c>
      <c r="M2169" s="10" t="s">
        <v>67</v>
      </c>
      <c r="N2169" s="4" t="b">
        <v>0</v>
      </c>
      <c r="O2169" s="4" t="str">
        <f>VLOOKUP(A2169,payment_ids!D:E,2,FALSE)</f>
        <v>card</v>
      </c>
      <c r="P2169" s="4" t="s">
        <v>69</v>
      </c>
      <c r="Q2169" s="11">
        <v>44382.535416666666</v>
      </c>
      <c r="R2169" s="4"/>
      <c r="S2169" s="12" t="s">
        <v>5824</v>
      </c>
      <c r="T2169" s="4"/>
      <c r="U2169" s="4"/>
      <c r="V2169" s="11"/>
      <c r="W2169" s="5"/>
      <c r="X2169" s="11"/>
      <c r="Y2169" s="4"/>
      <c r="Z2169" s="5"/>
      <c r="AA2169" s="4"/>
      <c r="AB2169" s="4"/>
      <c r="AC2169" s="4"/>
      <c r="AD2169" s="4"/>
      <c r="AE2169" s="5"/>
      <c r="AF2169" s="5"/>
      <c r="AG2169" s="5"/>
      <c r="AH2169" s="5"/>
      <c r="AI2169" s="5"/>
      <c r="AJ2169" s="5"/>
      <c r="AK2169" s="5"/>
      <c r="AL2169" s="5"/>
    </row>
    <row r="2170">
      <c r="A2170" s="4" t="str">
        <f>VLOOKUP(L2170,payment_ids!C:D,2,FALSE)</f>
        <v>pay_H8FD20lAXSn4SM</v>
      </c>
      <c r="B2170" s="4"/>
      <c r="C2170" s="4" t="s">
        <v>5822</v>
      </c>
      <c r="D2170" s="4">
        <v>50054.0</v>
      </c>
      <c r="E2170" s="4"/>
      <c r="F2170" s="4">
        <v>6.0</v>
      </c>
      <c r="G2170" s="4">
        <v>349.0</v>
      </c>
      <c r="H2170" s="4"/>
      <c r="I2170" s="4">
        <v>349.0</v>
      </c>
      <c r="J2170" s="4" t="s">
        <v>5828</v>
      </c>
      <c r="K2170" s="6">
        <f>+919346456765</f>
        <v>919346456765</v>
      </c>
      <c r="L2170" s="4" t="str">
        <f t="shared" si="1"/>
        <v>vamsiskrisshnaa@gmail.com919346456765</v>
      </c>
      <c r="M2170" s="10" t="s">
        <v>67</v>
      </c>
      <c r="N2170" s="4" t="b">
        <v>0</v>
      </c>
      <c r="O2170" s="4" t="str">
        <f>VLOOKUP(A2170,payment_ids!D:E,2,FALSE)</f>
        <v>upi</v>
      </c>
      <c r="P2170" s="4" t="s">
        <v>69</v>
      </c>
      <c r="Q2170" s="11">
        <v>44413.61319444444</v>
      </c>
      <c r="R2170" s="4"/>
      <c r="S2170" s="12" t="s">
        <v>5824</v>
      </c>
      <c r="T2170" s="4"/>
      <c r="U2170" s="4"/>
      <c r="V2170" s="11"/>
      <c r="W2170" s="5"/>
      <c r="X2170" s="11"/>
      <c r="Y2170" s="4"/>
      <c r="Z2170" s="5"/>
      <c r="AA2170" s="4"/>
      <c r="AB2170" s="4"/>
      <c r="AC2170" s="4"/>
      <c r="AD2170" s="4"/>
      <c r="AE2170" s="5"/>
      <c r="AF2170" s="5"/>
      <c r="AG2170" s="5"/>
      <c r="AH2170" s="5"/>
      <c r="AI2170" s="5"/>
      <c r="AJ2170" s="5"/>
      <c r="AK2170" s="5"/>
      <c r="AL2170" s="5"/>
    </row>
    <row r="2171">
      <c r="A2171" s="4" t="str">
        <f>VLOOKUP(L2171,payment_ids!C:D,2,FALSE)</f>
        <v>pay_H8G7rnmJZLXbd5</v>
      </c>
      <c r="B2171" s="4"/>
      <c r="C2171" s="4" t="s">
        <v>5822</v>
      </c>
      <c r="D2171" s="4">
        <v>50054.0</v>
      </c>
      <c r="E2171" s="4"/>
      <c r="F2171" s="4">
        <v>1.0</v>
      </c>
      <c r="G2171" s="4">
        <v>99.0</v>
      </c>
      <c r="H2171" s="4"/>
      <c r="I2171" s="4">
        <v>99.0</v>
      </c>
      <c r="J2171" s="4" t="s">
        <v>5829</v>
      </c>
      <c r="K2171" s="6">
        <f>+919767251168</f>
        <v>919767251168</v>
      </c>
      <c r="L2171" s="4" t="str">
        <f t="shared" si="1"/>
        <v>rashmi.s.sadavarte@gmail.com919767251168</v>
      </c>
      <c r="M2171" s="10" t="s">
        <v>67</v>
      </c>
      <c r="N2171" s="4" t="b">
        <v>0</v>
      </c>
      <c r="O2171" s="4" t="str">
        <f>VLOOKUP(A2171,payment_ids!D:E,2,FALSE)</f>
        <v>upi</v>
      </c>
      <c r="P2171" s="4" t="s">
        <v>69</v>
      </c>
      <c r="Q2171" s="11">
        <v>44413.65</v>
      </c>
      <c r="R2171" s="4"/>
      <c r="S2171" s="12" t="s">
        <v>5824</v>
      </c>
      <c r="T2171" s="4"/>
      <c r="U2171" s="5"/>
      <c r="V2171" s="11"/>
      <c r="W2171" s="5"/>
      <c r="X2171" s="11"/>
      <c r="Y2171" s="4"/>
      <c r="Z2171" s="5"/>
      <c r="AA2171" s="5"/>
      <c r="AB2171" s="4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</row>
    <row r="2172">
      <c r="A2172" s="4" t="str">
        <f>VLOOKUP(L2172,payment_ids!C:D,2,FALSE)</f>
        <v>pay_H88PGlxvEwXEFx</v>
      </c>
      <c r="B2172" s="4"/>
      <c r="C2172" s="4" t="s">
        <v>5822</v>
      </c>
      <c r="D2172" s="4">
        <v>50054.0</v>
      </c>
      <c r="E2172" s="4"/>
      <c r="F2172" s="4">
        <v>1.0</v>
      </c>
      <c r="G2172" s="4">
        <v>99.0</v>
      </c>
      <c r="H2172" s="4"/>
      <c r="I2172" s="4">
        <v>99.0</v>
      </c>
      <c r="J2172" s="4" t="s">
        <v>5830</v>
      </c>
      <c r="K2172" s="6">
        <f>+917977507964</f>
        <v>917977507964</v>
      </c>
      <c r="L2172" s="4" t="str">
        <f t="shared" si="1"/>
        <v>kenashah204@gmail.com917977507964</v>
      </c>
      <c r="M2172" s="10" t="s">
        <v>67</v>
      </c>
      <c r="N2172" s="4" t="b">
        <v>0</v>
      </c>
      <c r="O2172" s="4" t="str">
        <f>VLOOKUP(A2172,payment_ids!D:E,2,FALSE)</f>
        <v>upi</v>
      </c>
      <c r="P2172" s="4" t="s">
        <v>69</v>
      </c>
      <c r="Q2172" s="11">
        <v>44413.33541666667</v>
      </c>
      <c r="R2172" s="4"/>
      <c r="S2172" s="12" t="s">
        <v>5824</v>
      </c>
      <c r="T2172" s="4"/>
      <c r="U2172" s="4"/>
      <c r="V2172" s="11"/>
      <c r="W2172" s="5"/>
      <c r="X2172" s="11"/>
      <c r="Y2172" s="4"/>
      <c r="Z2172" s="5"/>
      <c r="AA2172" s="4"/>
      <c r="AB2172" s="4"/>
      <c r="AC2172" s="4"/>
      <c r="AD2172" s="4"/>
      <c r="AE2172" s="5"/>
      <c r="AF2172" s="5"/>
      <c r="AG2172" s="5"/>
      <c r="AH2172" s="5"/>
      <c r="AI2172" s="5"/>
      <c r="AJ2172" s="5"/>
      <c r="AK2172" s="5"/>
      <c r="AL2172" s="5"/>
    </row>
    <row r="2173">
      <c r="A2173" s="4" t="str">
        <f>VLOOKUP(L2173,payment_ids!C:D,2,FALSE)</f>
        <v>pay_H8AT8Mf1gmusQU</v>
      </c>
      <c r="B2173" s="4"/>
      <c r="C2173" s="4" t="s">
        <v>5822</v>
      </c>
      <c r="D2173" s="4">
        <v>50054.0</v>
      </c>
      <c r="E2173" s="4"/>
      <c r="F2173" s="4">
        <v>1.0</v>
      </c>
      <c r="G2173" s="4">
        <v>99.0</v>
      </c>
      <c r="H2173" s="4"/>
      <c r="I2173" s="4">
        <v>99.0</v>
      </c>
      <c r="J2173" s="4" t="s">
        <v>5831</v>
      </c>
      <c r="K2173" s="6">
        <f>+919810038459</f>
        <v>919810038459</v>
      </c>
      <c r="L2173" s="4" t="str">
        <f t="shared" si="1"/>
        <v>rajsaini.kumar@gmail.com919810038459</v>
      </c>
      <c r="M2173" s="10" t="s">
        <v>67</v>
      </c>
      <c r="N2173" s="4" t="b">
        <v>0</v>
      </c>
      <c r="O2173" s="4" t="str">
        <f>VLOOKUP(A2173,payment_ids!D:E,2,FALSE)</f>
        <v>upi</v>
      </c>
      <c r="P2173" s="4" t="s">
        <v>69</v>
      </c>
      <c r="Q2173" s="11">
        <v>44413.42013888889</v>
      </c>
      <c r="R2173" s="4"/>
      <c r="S2173" s="12" t="s">
        <v>5824</v>
      </c>
      <c r="T2173" s="4"/>
      <c r="U2173" s="4"/>
      <c r="V2173" s="11"/>
      <c r="W2173" s="5"/>
      <c r="X2173" s="11"/>
      <c r="Y2173" s="4"/>
      <c r="Z2173" s="5"/>
      <c r="AA2173" s="4"/>
      <c r="AB2173" s="4"/>
      <c r="AC2173" s="4"/>
      <c r="AD2173" s="4"/>
      <c r="AE2173" s="5"/>
      <c r="AF2173" s="5"/>
      <c r="AG2173" s="5"/>
      <c r="AH2173" s="5"/>
      <c r="AI2173" s="5"/>
      <c r="AJ2173" s="5"/>
      <c r="AK2173" s="5"/>
      <c r="AL2173" s="5"/>
    </row>
    <row r="2174">
      <c r="A2174" s="4" t="str">
        <f>VLOOKUP(L2174,payment_ids!C:D,2,FALSE)</f>
        <v>pay_H8cwM3kmEeHzIE</v>
      </c>
      <c r="B2174" s="4"/>
      <c r="C2174" s="4" t="s">
        <v>5822</v>
      </c>
      <c r="D2174" s="4">
        <v>50054.0</v>
      </c>
      <c r="E2174" s="4"/>
      <c r="F2174" s="4">
        <v>1.0</v>
      </c>
      <c r="G2174" s="4">
        <v>99.0</v>
      </c>
      <c r="H2174" s="4"/>
      <c r="I2174" s="4">
        <v>99.0</v>
      </c>
      <c r="J2174" s="4" t="s">
        <v>5832</v>
      </c>
      <c r="K2174" s="6">
        <f>+918860704290</f>
        <v>918860704290</v>
      </c>
      <c r="L2174" s="4" t="str">
        <f t="shared" si="1"/>
        <v>ravi.kapoor2289@gmail.com918860704290</v>
      </c>
      <c r="M2174" s="10" t="s">
        <v>67</v>
      </c>
      <c r="N2174" s="4" t="b">
        <v>0</v>
      </c>
      <c r="O2174" s="4" t="str">
        <f>VLOOKUP(A2174,payment_ids!D:E,2,FALSE)</f>
        <v>upi</v>
      </c>
      <c r="P2174" s="4" t="s">
        <v>69</v>
      </c>
      <c r="Q2174" s="11">
        <v>44444.580555555556</v>
      </c>
      <c r="R2174" s="4"/>
      <c r="S2174" s="12" t="s">
        <v>5824</v>
      </c>
      <c r="T2174" s="4"/>
      <c r="U2174" s="4"/>
      <c r="V2174" s="11"/>
      <c r="W2174" s="5"/>
      <c r="X2174" s="11"/>
      <c r="Y2174" s="4"/>
      <c r="Z2174" s="5"/>
      <c r="AA2174" s="4"/>
      <c r="AB2174" s="4"/>
      <c r="AC2174" s="4"/>
      <c r="AD2174" s="4"/>
      <c r="AE2174" s="5"/>
      <c r="AF2174" s="5"/>
      <c r="AG2174" s="5"/>
      <c r="AH2174" s="5"/>
      <c r="AI2174" s="5"/>
      <c r="AJ2174" s="5"/>
      <c r="AK2174" s="5"/>
      <c r="AL2174" s="5"/>
    </row>
    <row r="2175">
      <c r="A2175" s="4" t="str">
        <f>VLOOKUP(L2175,payment_ids!C:D,2,FALSE)</f>
        <v>pay_H8ghXmKlJzKB6S</v>
      </c>
      <c r="B2175" s="4"/>
      <c r="C2175" s="4" t="s">
        <v>5822</v>
      </c>
      <c r="D2175" s="4">
        <v>50054.0</v>
      </c>
      <c r="E2175" s="4"/>
      <c r="F2175" s="4">
        <v>6.0</v>
      </c>
      <c r="G2175" s="4">
        <v>349.0</v>
      </c>
      <c r="H2175" s="4"/>
      <c r="I2175" s="4">
        <v>349.0</v>
      </c>
      <c r="J2175" s="4" t="s">
        <v>5833</v>
      </c>
      <c r="K2175" s="6">
        <f>+919871014612</f>
        <v>919871014612</v>
      </c>
      <c r="L2175" s="4" t="str">
        <f t="shared" si="1"/>
        <v>joggaasingh@gmail.com919871014612</v>
      </c>
      <c r="M2175" s="10" t="s">
        <v>67</v>
      </c>
      <c r="N2175" s="4" t="b">
        <v>0</v>
      </c>
      <c r="O2175" s="4" t="str">
        <f>VLOOKUP(A2175,payment_ids!D:E,2,FALSE)</f>
        <v>upi</v>
      </c>
      <c r="P2175" s="4" t="s">
        <v>69</v>
      </c>
      <c r="Q2175" s="11">
        <v>44444.73541666667</v>
      </c>
      <c r="R2175" s="4"/>
      <c r="S2175" s="12" t="s">
        <v>5824</v>
      </c>
      <c r="T2175" s="4"/>
      <c r="U2175" s="5"/>
      <c r="V2175" s="11"/>
      <c r="W2175" s="5"/>
      <c r="X2175" s="11"/>
      <c r="Y2175" s="4"/>
      <c r="Z2175" s="5"/>
      <c r="AA2175" s="5"/>
      <c r="AB2175" s="4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</row>
    <row r="2176">
      <c r="A2176" s="4" t="str">
        <f>VLOOKUP(L2176,payment_ids!C:D,2,FALSE)</f>
        <v>pay_H8An4U5m9l9dyL</v>
      </c>
      <c r="B2176" s="4"/>
      <c r="C2176" s="4" t="s">
        <v>5822</v>
      </c>
      <c r="D2176" s="4">
        <v>50054.0</v>
      </c>
      <c r="E2176" s="4"/>
      <c r="F2176" s="4">
        <v>1.0</v>
      </c>
      <c r="G2176" s="4">
        <v>99.0</v>
      </c>
      <c r="H2176" s="4"/>
      <c r="I2176" s="4">
        <v>99.0</v>
      </c>
      <c r="J2176" s="4" t="s">
        <v>4344</v>
      </c>
      <c r="K2176" s="6">
        <f>+919742197987</f>
        <v>919742197987</v>
      </c>
      <c r="L2176" s="4" t="str">
        <f t="shared" si="1"/>
        <v>s.swethadri@gmail.com919742197987</v>
      </c>
      <c r="M2176" s="10" t="s">
        <v>67</v>
      </c>
      <c r="N2176" s="4" t="b">
        <v>0</v>
      </c>
      <c r="O2176" s="4" t="str">
        <f>VLOOKUP(A2176,payment_ids!D:E,2,FALSE)</f>
        <v>upi</v>
      </c>
      <c r="P2176" s="4" t="s">
        <v>69</v>
      </c>
      <c r="Q2176" s="11">
        <v>44444.78402777778</v>
      </c>
      <c r="R2176" s="4"/>
      <c r="S2176" s="12" t="s">
        <v>5824</v>
      </c>
      <c r="T2176" s="4"/>
      <c r="U2176" s="5"/>
      <c r="V2176" s="11"/>
      <c r="W2176" s="5"/>
      <c r="X2176" s="11"/>
      <c r="Y2176" s="4"/>
      <c r="Z2176" s="5"/>
      <c r="AA2176" s="5"/>
      <c r="AB2176" s="4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</row>
    <row r="2177">
      <c r="A2177" s="4" t="str">
        <f>VLOOKUP(L2177,payment_ids!C:D,2,FALSE)</f>
        <v>pay_H8iUznqpQgG5Ys</v>
      </c>
      <c r="B2177" s="4"/>
      <c r="C2177" s="4" t="s">
        <v>5822</v>
      </c>
      <c r="D2177" s="4">
        <v>50054.0</v>
      </c>
      <c r="E2177" s="4"/>
      <c r="F2177" s="4">
        <v>1.0</v>
      </c>
      <c r="G2177" s="4">
        <v>99.0</v>
      </c>
      <c r="H2177" s="4"/>
      <c r="I2177" s="4">
        <v>99.0</v>
      </c>
      <c r="J2177" s="4" t="s">
        <v>5834</v>
      </c>
      <c r="K2177" s="6">
        <f>+919993209318</f>
        <v>919993209318</v>
      </c>
      <c r="L2177" s="4" t="str">
        <f t="shared" si="1"/>
        <v>gaurav.sindhiya@gmail.com919993209318</v>
      </c>
      <c r="M2177" s="10" t="s">
        <v>67</v>
      </c>
      <c r="N2177" s="4" t="b">
        <v>0</v>
      </c>
      <c r="O2177" s="4" t="str">
        <f>VLOOKUP(A2177,payment_ids!D:E,2,FALSE)</f>
        <v>wallet</v>
      </c>
      <c r="P2177" s="4" t="s">
        <v>69</v>
      </c>
      <c r="Q2177" s="11">
        <v>44444.80694444444</v>
      </c>
      <c r="R2177" s="4"/>
      <c r="S2177" s="12" t="s">
        <v>5824</v>
      </c>
      <c r="T2177" s="4"/>
      <c r="U2177" s="4"/>
      <c r="V2177" s="11"/>
      <c r="W2177" s="5"/>
      <c r="X2177" s="11"/>
      <c r="Y2177" s="4"/>
      <c r="Z2177" s="5"/>
      <c r="AA2177" s="4"/>
      <c r="AB2177" s="4"/>
      <c r="AC2177" s="4"/>
      <c r="AD2177" s="4"/>
      <c r="AE2177" s="5"/>
      <c r="AF2177" s="5"/>
      <c r="AG2177" s="5"/>
      <c r="AH2177" s="5"/>
      <c r="AI2177" s="5"/>
      <c r="AJ2177" s="5"/>
      <c r="AK2177" s="5"/>
      <c r="AL2177" s="5"/>
    </row>
    <row r="2178">
      <c r="A2178" s="4" t="str">
        <f>VLOOKUP(L2178,payment_ids!C:D,2,FALSE)</f>
        <v>pay_H8llyW3jP3FPJq</v>
      </c>
      <c r="B2178" s="4"/>
      <c r="C2178" s="4" t="s">
        <v>5822</v>
      </c>
      <c r="D2178" s="4">
        <v>50054.0</v>
      </c>
      <c r="E2178" s="4"/>
      <c r="F2178" s="4">
        <v>6.0</v>
      </c>
      <c r="G2178" s="4">
        <v>349.0</v>
      </c>
      <c r="H2178" s="4"/>
      <c r="I2178" s="4">
        <v>349.0</v>
      </c>
      <c r="J2178" s="4" t="s">
        <v>2647</v>
      </c>
      <c r="K2178" s="6">
        <f>+918454949008</f>
        <v>918454949008</v>
      </c>
      <c r="L2178" s="4" t="str">
        <f t="shared" si="1"/>
        <v>padmaja.sreerangam@gmail.com918454949008</v>
      </c>
      <c r="M2178" s="10" t="s">
        <v>67</v>
      </c>
      <c r="N2178" s="4" t="b">
        <v>0</v>
      </c>
      <c r="O2178" s="4" t="str">
        <f>VLOOKUP(A2178,payment_ids!D:E,2,FALSE)</f>
        <v>card</v>
      </c>
      <c r="P2178" s="4" t="s">
        <v>69</v>
      </c>
      <c r="Q2178" s="11">
        <v>44444.94027777778</v>
      </c>
      <c r="R2178" s="4"/>
      <c r="S2178" s="12" t="s">
        <v>5824</v>
      </c>
      <c r="T2178" s="4"/>
      <c r="U2178" s="4"/>
      <c r="V2178" s="11"/>
      <c r="W2178" s="5"/>
      <c r="X2178" s="11"/>
      <c r="Y2178" s="4"/>
      <c r="Z2178" s="5"/>
      <c r="AA2178" s="4"/>
      <c r="AB2178" s="4"/>
      <c r="AC2178" s="4"/>
      <c r="AD2178" s="4"/>
      <c r="AE2178" s="5"/>
      <c r="AF2178" s="5"/>
      <c r="AG2178" s="5"/>
      <c r="AH2178" s="5"/>
      <c r="AI2178" s="5"/>
      <c r="AJ2178" s="5"/>
      <c r="AK2178" s="5"/>
      <c r="AL2178" s="5"/>
    </row>
    <row r="2179">
      <c r="A2179" s="4" t="str">
        <f>VLOOKUP(L2179,payment_ids!C:D,2,FALSE)</f>
        <v>pay_H8m6rgwsbIIrPi</v>
      </c>
      <c r="B2179" s="4"/>
      <c r="C2179" s="4" t="s">
        <v>5822</v>
      </c>
      <c r="D2179" s="4">
        <v>50054.0</v>
      </c>
      <c r="E2179" s="4"/>
      <c r="F2179" s="4">
        <v>1.0</v>
      </c>
      <c r="G2179" s="4">
        <v>99.0</v>
      </c>
      <c r="H2179" s="4"/>
      <c r="I2179" s="4">
        <v>99.0</v>
      </c>
      <c r="J2179" s="4" t="s">
        <v>5835</v>
      </c>
      <c r="K2179" s="6">
        <f>+918375983569</f>
        <v>918375983569</v>
      </c>
      <c r="L2179" s="4" t="str">
        <f t="shared" si="1"/>
        <v>manjotkaurrathore@gmail.com918375983569</v>
      </c>
      <c r="M2179" s="10" t="s">
        <v>67</v>
      </c>
      <c r="N2179" s="4" t="b">
        <v>0</v>
      </c>
      <c r="O2179" s="4" t="str">
        <f>VLOOKUP(A2179,payment_ids!D:E,2,FALSE)</f>
        <v>card</v>
      </c>
      <c r="P2179" s="4" t="s">
        <v>69</v>
      </c>
      <c r="Q2179" s="11">
        <v>44444.95416666667</v>
      </c>
      <c r="R2179" s="4"/>
      <c r="S2179" s="12" t="s">
        <v>5824</v>
      </c>
      <c r="T2179" s="4"/>
      <c r="U2179" s="4"/>
      <c r="V2179" s="11"/>
      <c r="W2179" s="5"/>
      <c r="X2179" s="11"/>
      <c r="Y2179" s="4"/>
      <c r="Z2179" s="5"/>
      <c r="AA2179" s="4"/>
      <c r="AB2179" s="4"/>
      <c r="AC2179" s="4"/>
      <c r="AD2179" s="4"/>
      <c r="AE2179" s="5"/>
      <c r="AF2179" s="5"/>
      <c r="AG2179" s="5"/>
      <c r="AH2179" s="5"/>
      <c r="AI2179" s="5"/>
      <c r="AJ2179" s="5"/>
      <c r="AK2179" s="5"/>
      <c r="AL2179" s="5"/>
    </row>
    <row r="2180">
      <c r="A2180" s="4" t="str">
        <f>VLOOKUP(L2180,payment_ids!C:D,2,FALSE)</f>
        <v>pay_H8a1s3e2C5sU8X</v>
      </c>
      <c r="B2180" s="4"/>
      <c r="C2180" s="4" t="s">
        <v>5822</v>
      </c>
      <c r="D2180" s="4">
        <v>50054.0</v>
      </c>
      <c r="E2180" s="4"/>
      <c r="F2180" s="4">
        <v>1.0</v>
      </c>
      <c r="G2180" s="4">
        <v>99.0</v>
      </c>
      <c r="H2180" s="4"/>
      <c r="I2180" s="4">
        <v>99.0</v>
      </c>
      <c r="J2180" s="4" t="s">
        <v>5836</v>
      </c>
      <c r="K2180" s="6">
        <f>+918249097433</f>
        <v>918249097433</v>
      </c>
      <c r="L2180" s="4" t="str">
        <f t="shared" si="1"/>
        <v>nirakardas.tu2@gmail.com918249097433</v>
      </c>
      <c r="M2180" s="10" t="s">
        <v>67</v>
      </c>
      <c r="N2180" s="4" t="b">
        <v>0</v>
      </c>
      <c r="O2180" s="4" t="str">
        <f>VLOOKUP(A2180,payment_ids!D:E,2,FALSE)</f>
        <v>upi</v>
      </c>
      <c r="P2180" s="4" t="s">
        <v>69</v>
      </c>
      <c r="Q2180" s="11">
        <v>44444.46319444444</v>
      </c>
      <c r="R2180" s="4"/>
      <c r="S2180" s="12" t="s">
        <v>5824</v>
      </c>
      <c r="T2180" s="4"/>
      <c r="U2180" s="4"/>
      <c r="V2180" s="11"/>
      <c r="W2180" s="5"/>
      <c r="X2180" s="11"/>
      <c r="Y2180" s="4"/>
      <c r="Z2180" s="5"/>
      <c r="AA2180" s="4"/>
      <c r="AB2180" s="4"/>
      <c r="AC2180" s="4"/>
      <c r="AD2180" s="4"/>
      <c r="AE2180" s="5"/>
      <c r="AF2180" s="5"/>
      <c r="AG2180" s="5"/>
      <c r="AH2180" s="5"/>
      <c r="AI2180" s="5"/>
      <c r="AJ2180" s="5"/>
      <c r="AK2180" s="5"/>
      <c r="AL2180" s="5"/>
    </row>
    <row r="2181">
      <c r="A2181" s="4" t="str">
        <f>VLOOKUP(L2181,payment_ids!C:D,2,FALSE)</f>
        <v>pay_H8arvLrk1GC739</v>
      </c>
      <c r="B2181" s="4"/>
      <c r="C2181" s="4" t="s">
        <v>5822</v>
      </c>
      <c r="D2181" s="4">
        <v>50054.0</v>
      </c>
      <c r="E2181" s="4"/>
      <c r="F2181" s="4">
        <v>1.0</v>
      </c>
      <c r="G2181" s="4">
        <v>99.0</v>
      </c>
      <c r="H2181" s="4"/>
      <c r="I2181" s="4">
        <v>99.0</v>
      </c>
      <c r="J2181" s="4" t="s">
        <v>5837</v>
      </c>
      <c r="K2181" s="6">
        <f>+919075491730</f>
        <v>919075491730</v>
      </c>
      <c r="L2181" s="4" t="str">
        <f t="shared" si="1"/>
        <v>vneha416@gmail.com919075491730</v>
      </c>
      <c r="M2181" s="10" t="s">
        <v>67</v>
      </c>
      <c r="N2181" s="4" t="b">
        <v>0</v>
      </c>
      <c r="O2181" s="4" t="str">
        <f>VLOOKUP(A2181,payment_ids!D:E,2,FALSE)</f>
        <v>upi</v>
      </c>
      <c r="P2181" s="4" t="s">
        <v>69</v>
      </c>
      <c r="Q2181" s="11">
        <v>44444.495833333334</v>
      </c>
      <c r="R2181" s="4"/>
      <c r="S2181" s="12" t="s">
        <v>5824</v>
      </c>
      <c r="T2181" s="4"/>
      <c r="U2181" s="4"/>
      <c r="V2181" s="11"/>
      <c r="W2181" s="5"/>
      <c r="X2181" s="11"/>
      <c r="Y2181" s="4"/>
      <c r="Z2181" s="5"/>
      <c r="AA2181" s="4"/>
      <c r="AB2181" s="4"/>
      <c r="AC2181" s="4"/>
      <c r="AD2181" s="4"/>
      <c r="AE2181" s="5"/>
      <c r="AF2181" s="5"/>
      <c r="AG2181" s="5"/>
      <c r="AH2181" s="5"/>
      <c r="AI2181" s="5"/>
      <c r="AJ2181" s="5"/>
      <c r="AK2181" s="5"/>
      <c r="AL2181" s="5"/>
    </row>
    <row r="2182">
      <c r="A2182" s="4" t="str">
        <f>VLOOKUP(L2182,payment_ids!C:D,2,FALSE)</f>
        <v>pay_H91YauearkIfP2</v>
      </c>
      <c r="B2182" s="4"/>
      <c r="C2182" s="4" t="s">
        <v>5822</v>
      </c>
      <c r="D2182" s="4">
        <v>50054.0</v>
      </c>
      <c r="E2182" s="4"/>
      <c r="F2182" s="4">
        <v>1.0</v>
      </c>
      <c r="G2182" s="4">
        <v>99.0</v>
      </c>
      <c r="H2182" s="4"/>
      <c r="I2182" s="4">
        <v>99.0</v>
      </c>
      <c r="J2182" s="4" t="s">
        <v>5838</v>
      </c>
      <c r="K2182" s="6">
        <f>+919595852995</f>
        <v>919595852995</v>
      </c>
      <c r="L2182" s="4" t="str">
        <f t="shared" si="1"/>
        <v>anandagrawql073@gmail.com919595852995</v>
      </c>
      <c r="M2182" s="10" t="s">
        <v>67</v>
      </c>
      <c r="N2182" s="4" t="b">
        <v>0</v>
      </c>
      <c r="O2182" s="4" t="str">
        <f>VLOOKUP(A2182,payment_ids!D:E,2,FALSE)</f>
        <v>upi</v>
      </c>
      <c r="P2182" s="4" t="s">
        <v>69</v>
      </c>
      <c r="Q2182" s="11">
        <v>44474.583333333336</v>
      </c>
      <c r="R2182" s="4"/>
      <c r="S2182" s="12" t="s">
        <v>5824</v>
      </c>
      <c r="T2182" s="4"/>
      <c r="U2182" s="4"/>
      <c r="V2182" s="11"/>
      <c r="W2182" s="5"/>
      <c r="X2182" s="11"/>
      <c r="Y2182" s="4"/>
      <c r="Z2182" s="5"/>
      <c r="AA2182" s="4"/>
      <c r="AB2182" s="4"/>
      <c r="AC2182" s="4"/>
      <c r="AD2182" s="4"/>
      <c r="AE2182" s="5"/>
      <c r="AF2182" s="5"/>
      <c r="AG2182" s="5"/>
      <c r="AH2182" s="5"/>
      <c r="AI2182" s="5"/>
      <c r="AJ2182" s="5"/>
      <c r="AK2182" s="5"/>
      <c r="AL2182" s="5"/>
    </row>
    <row r="2183">
      <c r="A2183" s="4" t="str">
        <f>VLOOKUP(L2183,payment_ids!C:D,2,FALSE)</f>
        <v>pay_H90sq3bXHG0r59</v>
      </c>
      <c r="B2183" s="4"/>
      <c r="C2183" s="4" t="s">
        <v>5822</v>
      </c>
      <c r="D2183" s="4">
        <v>50054.0</v>
      </c>
      <c r="E2183" s="4"/>
      <c r="F2183" s="4">
        <v>3.0</v>
      </c>
      <c r="G2183" s="4">
        <v>199.0</v>
      </c>
      <c r="H2183" s="4"/>
      <c r="I2183" s="4">
        <v>199.0</v>
      </c>
      <c r="J2183" s="4" t="s">
        <v>5839</v>
      </c>
      <c r="K2183" s="6">
        <f>+918424938300</f>
        <v>918424938300</v>
      </c>
      <c r="L2183" s="4" t="str">
        <f t="shared" si="1"/>
        <v>kamleshganguly1@gmail.com918424938300</v>
      </c>
      <c r="M2183" s="10" t="s">
        <v>67</v>
      </c>
      <c r="N2183" s="4" t="b">
        <v>0</v>
      </c>
      <c r="O2183" s="4" t="str">
        <f>VLOOKUP(A2183,payment_ids!D:E,2,FALSE)</f>
        <v>card</v>
      </c>
      <c r="P2183" s="4" t="s">
        <v>69</v>
      </c>
      <c r="Q2183" s="11">
        <v>44474.586805555555</v>
      </c>
      <c r="R2183" s="4"/>
      <c r="S2183" s="12" t="s">
        <v>5824</v>
      </c>
      <c r="T2183" s="4"/>
      <c r="U2183" s="4"/>
      <c r="V2183" s="11"/>
      <c r="W2183" s="5"/>
      <c r="X2183" s="11"/>
      <c r="Y2183" s="4"/>
      <c r="Z2183" s="5"/>
      <c r="AA2183" s="4"/>
      <c r="AB2183" s="4"/>
      <c r="AC2183" s="4"/>
      <c r="AD2183" s="4"/>
      <c r="AE2183" s="5"/>
      <c r="AF2183" s="5"/>
      <c r="AG2183" s="5"/>
      <c r="AH2183" s="5"/>
      <c r="AI2183" s="5"/>
      <c r="AJ2183" s="5"/>
      <c r="AK2183" s="5"/>
      <c r="AL2183" s="5"/>
    </row>
    <row r="2184">
      <c r="A2184" s="4" t="str">
        <f>VLOOKUP(L2184,payment_ids!C:D,2,FALSE)</f>
        <v>pay_H8veNj6OxaT5Lw</v>
      </c>
      <c r="B2184" s="4"/>
      <c r="C2184" s="4" t="s">
        <v>5822</v>
      </c>
      <c r="D2184" s="4">
        <v>50054.0</v>
      </c>
      <c r="E2184" s="4"/>
      <c r="F2184" s="4">
        <v>3.0</v>
      </c>
      <c r="G2184" s="4">
        <v>199.0</v>
      </c>
      <c r="H2184" s="4"/>
      <c r="I2184" s="4">
        <v>199.0</v>
      </c>
      <c r="J2184" s="4" t="s">
        <v>5840</v>
      </c>
      <c r="K2184" s="6">
        <f>+917753070876</f>
        <v>917753070876</v>
      </c>
      <c r="L2184" s="4" t="str">
        <f t="shared" si="1"/>
        <v>leo.utkarsh.pandey@gmail.com917753070876</v>
      </c>
      <c r="M2184" s="10" t="s">
        <v>67</v>
      </c>
      <c r="N2184" s="4" t="b">
        <v>0</v>
      </c>
      <c r="O2184" s="4" t="str">
        <f>VLOOKUP(A2184,payment_ids!D:E,2,FALSE)</f>
        <v>upi</v>
      </c>
      <c r="P2184" s="4" t="s">
        <v>69</v>
      </c>
      <c r="Q2184" s="11">
        <v>44474.34305555555</v>
      </c>
      <c r="R2184" s="4"/>
      <c r="S2184" s="12" t="s">
        <v>5824</v>
      </c>
      <c r="T2184" s="4"/>
      <c r="U2184" s="4"/>
      <c r="V2184" s="11"/>
      <c r="W2184" s="5"/>
      <c r="X2184" s="11"/>
      <c r="Y2184" s="4"/>
      <c r="Z2184" s="5"/>
      <c r="AA2184" s="4"/>
      <c r="AB2184" s="4"/>
      <c r="AC2184" s="4"/>
      <c r="AD2184" s="4"/>
      <c r="AE2184" s="5"/>
      <c r="AF2184" s="5"/>
      <c r="AG2184" s="5"/>
      <c r="AH2184" s="5"/>
      <c r="AI2184" s="5"/>
      <c r="AJ2184" s="5"/>
      <c r="AK2184" s="5"/>
      <c r="AL2184" s="5"/>
    </row>
    <row r="2185">
      <c r="A2185" s="4" t="str">
        <f>VLOOKUP(L2185,payment_ids!C:D,2,FALSE)</f>
        <v>pay_H8zW2N7UwsDguG</v>
      </c>
      <c r="B2185" s="4"/>
      <c r="C2185" s="4" t="s">
        <v>5822</v>
      </c>
      <c r="D2185" s="4">
        <v>50054.0</v>
      </c>
      <c r="E2185" s="4"/>
      <c r="F2185" s="4">
        <v>1.0</v>
      </c>
      <c r="G2185" s="4">
        <v>99.0</v>
      </c>
      <c r="H2185" s="4"/>
      <c r="I2185" s="4">
        <v>99.0</v>
      </c>
      <c r="J2185" s="4" t="s">
        <v>4369</v>
      </c>
      <c r="K2185" s="6">
        <f>+919899824290</f>
        <v>919899824290</v>
      </c>
      <c r="L2185" s="4" t="str">
        <f t="shared" si="1"/>
        <v>divya.batraconnect@gmail.com919899824290</v>
      </c>
      <c r="M2185" s="10" t="s">
        <v>67</v>
      </c>
      <c r="N2185" s="4" t="b">
        <v>0</v>
      </c>
      <c r="O2185" s="4" t="str">
        <f>VLOOKUP(A2185,payment_ids!D:E,2,FALSE)</f>
        <v>upi</v>
      </c>
      <c r="P2185" s="4" t="s">
        <v>69</v>
      </c>
      <c r="Q2185" s="11">
        <v>44474.50069444445</v>
      </c>
      <c r="R2185" s="4"/>
      <c r="S2185" s="12" t="s">
        <v>5824</v>
      </c>
      <c r="T2185" s="4"/>
      <c r="U2185" s="4"/>
      <c r="V2185" s="11"/>
      <c r="W2185" s="5"/>
      <c r="X2185" s="11"/>
      <c r="Y2185" s="4"/>
      <c r="Z2185" s="5"/>
      <c r="AA2185" s="4"/>
      <c r="AB2185" s="4"/>
      <c r="AC2185" s="4"/>
      <c r="AD2185" s="4"/>
      <c r="AE2185" s="5"/>
      <c r="AF2185" s="5"/>
      <c r="AG2185" s="5"/>
      <c r="AH2185" s="5"/>
      <c r="AI2185" s="5"/>
      <c r="AJ2185" s="5"/>
      <c r="AK2185" s="5"/>
      <c r="AL2185" s="5"/>
    </row>
    <row r="2186">
      <c r="A2186" s="4" t="str">
        <f>VLOOKUP(L2186,payment_ids!C:D,2,FALSE)</f>
        <v>pay_H8zbrRmpbwLJlJ</v>
      </c>
      <c r="B2186" s="4"/>
      <c r="C2186" s="4" t="s">
        <v>5822</v>
      </c>
      <c r="D2186" s="4">
        <v>50054.0</v>
      </c>
      <c r="E2186" s="4"/>
      <c r="F2186" s="4">
        <v>1.0</v>
      </c>
      <c r="G2186" s="4">
        <v>99.0</v>
      </c>
      <c r="H2186" s="4"/>
      <c r="I2186" s="4">
        <v>99.0</v>
      </c>
      <c r="J2186" s="4" t="s">
        <v>5841</v>
      </c>
      <c r="K2186" s="6">
        <f>+919575409311</f>
        <v>919575409311</v>
      </c>
      <c r="L2186" s="4" t="str">
        <f t="shared" si="1"/>
        <v>shruti.dmt@gmail.com919575409311</v>
      </c>
      <c r="M2186" s="10" t="s">
        <v>67</v>
      </c>
      <c r="N2186" s="4" t="b">
        <v>0</v>
      </c>
      <c r="O2186" s="4" t="str">
        <f>VLOOKUP(A2186,payment_ids!D:E,2,FALSE)</f>
        <v>upi</v>
      </c>
      <c r="P2186" s="4" t="s">
        <v>69</v>
      </c>
      <c r="Q2186" s="11">
        <v>44474.504166666666</v>
      </c>
      <c r="R2186" s="4"/>
      <c r="S2186" s="12" t="s">
        <v>5824</v>
      </c>
      <c r="T2186" s="4"/>
      <c r="U2186" s="4"/>
      <c r="V2186" s="11"/>
      <c r="W2186" s="5"/>
      <c r="X2186" s="11"/>
      <c r="Y2186" s="4"/>
      <c r="Z2186" s="5"/>
      <c r="AA2186" s="4"/>
      <c r="AB2186" s="4"/>
      <c r="AC2186" s="4"/>
      <c r="AD2186" s="4"/>
      <c r="AE2186" s="5"/>
      <c r="AF2186" s="5"/>
      <c r="AG2186" s="5"/>
      <c r="AH2186" s="5"/>
      <c r="AI2186" s="5"/>
      <c r="AJ2186" s="5"/>
      <c r="AK2186" s="5"/>
      <c r="AL2186" s="5"/>
    </row>
    <row r="2187">
      <c r="A2187" s="4" t="str">
        <f>VLOOKUP(L2187,payment_ids!C:D,2,FALSE)</f>
        <v>pay_H9X9ohSWFlOcKS</v>
      </c>
      <c r="B2187" s="4"/>
      <c r="C2187" s="4" t="s">
        <v>5822</v>
      </c>
      <c r="D2187" s="4">
        <v>50054.0</v>
      </c>
      <c r="E2187" s="4"/>
      <c r="F2187" s="4">
        <v>3.0</v>
      </c>
      <c r="G2187" s="4">
        <v>199.0</v>
      </c>
      <c r="H2187" s="4"/>
      <c r="I2187" s="4">
        <v>199.0</v>
      </c>
      <c r="J2187" s="4" t="s">
        <v>5056</v>
      </c>
      <c r="K2187" s="6">
        <f>+919872897180</f>
        <v>919872897180</v>
      </c>
      <c r="L2187" s="4" t="str">
        <f t="shared" si="1"/>
        <v>nishj456@gmail.com919872897180</v>
      </c>
      <c r="M2187" s="10" t="s">
        <v>67</v>
      </c>
      <c r="N2187" s="4" t="b">
        <v>0</v>
      </c>
      <c r="O2187" s="4" t="str">
        <f>VLOOKUP(A2187,payment_ids!D:E,2,FALSE)</f>
        <v>card</v>
      </c>
      <c r="P2187" s="4" t="s">
        <v>69</v>
      </c>
      <c r="Q2187" s="11">
        <v>44505.87222222222</v>
      </c>
      <c r="R2187" s="4"/>
      <c r="S2187" s="12" t="s">
        <v>5824</v>
      </c>
      <c r="T2187" s="4"/>
      <c r="U2187" s="4"/>
      <c r="V2187" s="11"/>
      <c r="W2187" s="5"/>
      <c r="X2187" s="11"/>
      <c r="Y2187" s="4"/>
      <c r="Z2187" s="5"/>
      <c r="AA2187" s="4"/>
      <c r="AB2187" s="4"/>
      <c r="AC2187" s="4"/>
      <c r="AD2187" s="4"/>
      <c r="AE2187" s="5"/>
      <c r="AF2187" s="5"/>
      <c r="AG2187" s="5"/>
      <c r="AH2187" s="5"/>
      <c r="AI2187" s="5"/>
      <c r="AJ2187" s="5"/>
      <c r="AK2187" s="5"/>
      <c r="AL2187" s="5"/>
    </row>
    <row r="2188">
      <c r="A2188" s="4" t="str">
        <f>VLOOKUP(L2188,payment_ids!C:D,2,FALSE)</f>
        <v>pay_HB0xZ8FTaVtw4I</v>
      </c>
      <c r="B2188" s="4"/>
      <c r="C2188" s="4" t="s">
        <v>5822</v>
      </c>
      <c r="D2188" s="4">
        <v>50054.0</v>
      </c>
      <c r="E2188" s="4"/>
      <c r="F2188" s="4">
        <v>3.0</v>
      </c>
      <c r="G2188" s="4">
        <v>199.0</v>
      </c>
      <c r="H2188" s="4"/>
      <c r="I2188" s="4">
        <v>199.0</v>
      </c>
      <c r="J2188" s="4" t="s">
        <v>5842</v>
      </c>
      <c r="K2188" s="6">
        <f>+919818604766</f>
        <v>919818604766</v>
      </c>
      <c r="L2188" s="4" t="str">
        <f t="shared" si="1"/>
        <v>juunejapreiti@gmail.com919818604766</v>
      </c>
      <c r="M2188" s="10" t="s">
        <v>67</v>
      </c>
      <c r="N2188" s="4" t="b">
        <v>0</v>
      </c>
      <c r="O2188" s="4" t="str">
        <f>VLOOKUP(A2188,payment_ids!D:E,2,FALSE)</f>
        <v>card</v>
      </c>
      <c r="P2188" s="4" t="s">
        <v>69</v>
      </c>
      <c r="Q2188" s="4" t="s">
        <v>2716</v>
      </c>
      <c r="R2188" s="4"/>
      <c r="S2188" s="12" t="s">
        <v>5824</v>
      </c>
      <c r="T2188" s="4"/>
      <c r="U2188" s="4"/>
      <c r="V2188" s="11"/>
      <c r="W2188" s="5"/>
      <c r="X2188" s="11"/>
      <c r="Y2188" s="4"/>
      <c r="Z2188" s="5"/>
      <c r="AA2188" s="4"/>
      <c r="AB2188" s="4"/>
      <c r="AC2188" s="4"/>
      <c r="AD2188" s="4"/>
      <c r="AE2188" s="5"/>
      <c r="AF2188" s="5"/>
      <c r="AG2188" s="5"/>
      <c r="AH2188" s="5"/>
      <c r="AI2188" s="5"/>
      <c r="AJ2188" s="5"/>
      <c r="AK2188" s="5"/>
      <c r="AL2188" s="5"/>
    </row>
    <row r="2189">
      <c r="A2189" s="4" t="str">
        <f>VLOOKUP(L2189,payment_ids!C:D,2,FALSE)</f>
        <v>pay_HB2Nw9Ii58z4I8</v>
      </c>
      <c r="B2189" s="4"/>
      <c r="C2189" s="4" t="s">
        <v>5822</v>
      </c>
      <c r="D2189" s="4">
        <v>50054.0</v>
      </c>
      <c r="E2189" s="4"/>
      <c r="F2189" s="4">
        <v>1.0</v>
      </c>
      <c r="G2189" s="4">
        <v>99.0</v>
      </c>
      <c r="H2189" s="4"/>
      <c r="I2189" s="4">
        <v>99.0</v>
      </c>
      <c r="J2189" s="4" t="s">
        <v>5843</v>
      </c>
      <c r="K2189" s="6">
        <f>+919971389859</f>
        <v>919971389859</v>
      </c>
      <c r="L2189" s="4" t="str">
        <f t="shared" si="1"/>
        <v>sachinnbhallla@hotmail.com919971389859</v>
      </c>
      <c r="M2189" s="10" t="s">
        <v>67</v>
      </c>
      <c r="N2189" s="4" t="b">
        <v>0</v>
      </c>
      <c r="O2189" s="4" t="str">
        <f>VLOOKUP(A2189,payment_ids!D:E,2,FALSE)</f>
        <v>upi</v>
      </c>
      <c r="P2189" s="4" t="s">
        <v>69</v>
      </c>
      <c r="Q2189" s="4" t="s">
        <v>5844</v>
      </c>
      <c r="R2189" s="4"/>
      <c r="S2189" s="12" t="s">
        <v>5824</v>
      </c>
      <c r="T2189" s="4"/>
      <c r="U2189" s="4"/>
      <c r="V2189" s="11"/>
      <c r="W2189" s="5"/>
      <c r="X2189" s="11"/>
      <c r="Y2189" s="4"/>
      <c r="Z2189" s="5"/>
      <c r="AA2189" s="4"/>
      <c r="AB2189" s="4"/>
      <c r="AC2189" s="4"/>
      <c r="AD2189" s="4"/>
      <c r="AE2189" s="5"/>
      <c r="AF2189" s="5"/>
      <c r="AG2189" s="5"/>
      <c r="AH2189" s="5"/>
      <c r="AI2189" s="5"/>
      <c r="AJ2189" s="5"/>
      <c r="AK2189" s="5"/>
      <c r="AL2189" s="5"/>
    </row>
    <row r="2190">
      <c r="A2190" s="4" t="str">
        <f>VLOOKUP(L2190,payment_ids!C:D,2,FALSE)</f>
        <v>pay_HBNwCGOXamWBHr</v>
      </c>
      <c r="B2190" s="4"/>
      <c r="C2190" s="4" t="s">
        <v>5822</v>
      </c>
      <c r="D2190" s="4">
        <v>50054.0</v>
      </c>
      <c r="E2190" s="4"/>
      <c r="F2190" s="4">
        <v>1.0</v>
      </c>
      <c r="G2190" s="4">
        <v>99.0</v>
      </c>
      <c r="H2190" s="4"/>
      <c r="I2190" s="4">
        <v>99.0</v>
      </c>
      <c r="J2190" s="4" t="s">
        <v>5845</v>
      </c>
      <c r="K2190" s="6">
        <f>+919987090322</f>
        <v>919987090322</v>
      </c>
      <c r="L2190" s="4" t="str">
        <f t="shared" si="1"/>
        <v>apekshamishra999@gmail.com919987090322</v>
      </c>
      <c r="M2190" s="10" t="s">
        <v>67</v>
      </c>
      <c r="N2190" s="4" t="b">
        <v>0</v>
      </c>
      <c r="O2190" s="4" t="str">
        <f>VLOOKUP(A2190,payment_ids!D:E,2,FALSE)</f>
        <v>card</v>
      </c>
      <c r="P2190" s="4" t="s">
        <v>69</v>
      </c>
      <c r="Q2190" s="4" t="s">
        <v>5846</v>
      </c>
      <c r="R2190" s="4"/>
      <c r="S2190" s="12" t="s">
        <v>5824</v>
      </c>
      <c r="T2190" s="4"/>
      <c r="U2190" s="4"/>
      <c r="V2190" s="11"/>
      <c r="W2190" s="5"/>
      <c r="X2190" s="11"/>
      <c r="Y2190" s="4"/>
      <c r="Z2190" s="5"/>
      <c r="AA2190" s="4"/>
      <c r="AB2190" s="4"/>
      <c r="AC2190" s="4"/>
      <c r="AD2190" s="4"/>
      <c r="AE2190" s="5"/>
      <c r="AF2190" s="5"/>
      <c r="AG2190" s="5"/>
      <c r="AH2190" s="5"/>
      <c r="AI2190" s="5"/>
      <c r="AJ2190" s="5"/>
      <c r="AK2190" s="5"/>
      <c r="AL2190" s="5"/>
    </row>
    <row r="2191">
      <c r="A2191" s="4" t="str">
        <f>VLOOKUP(L2191,payment_ids!C:D,2,FALSE)</f>
        <v>pay_HBWvZmQjJXy9q0</v>
      </c>
      <c r="B2191" s="4"/>
      <c r="C2191" s="4" t="s">
        <v>5822</v>
      </c>
      <c r="D2191" s="4">
        <v>50054.0</v>
      </c>
      <c r="E2191" s="4"/>
      <c r="F2191" s="4">
        <v>6.0</v>
      </c>
      <c r="G2191" s="4">
        <v>349.0</v>
      </c>
      <c r="H2191" s="4"/>
      <c r="I2191" s="4">
        <v>349.0</v>
      </c>
      <c r="J2191" s="4" t="s">
        <v>5847</v>
      </c>
      <c r="K2191" s="6">
        <f>+919986777072</f>
        <v>919986777072</v>
      </c>
      <c r="L2191" s="4" t="str">
        <f t="shared" si="1"/>
        <v>akmuralee2@gmail.com919986777072</v>
      </c>
      <c r="M2191" s="10" t="s">
        <v>67</v>
      </c>
      <c r="N2191" s="4" t="b">
        <v>0</v>
      </c>
      <c r="O2191" s="4" t="str">
        <f>VLOOKUP(A2191,payment_ids!D:E,2,FALSE)</f>
        <v>upi</v>
      </c>
      <c r="P2191" s="4" t="s">
        <v>69</v>
      </c>
      <c r="Q2191" s="4" t="s">
        <v>5771</v>
      </c>
      <c r="R2191" s="4"/>
      <c r="S2191" s="12" t="s">
        <v>5824</v>
      </c>
      <c r="T2191" s="4"/>
      <c r="U2191" s="4"/>
      <c r="V2191" s="11"/>
      <c r="W2191" s="5"/>
      <c r="X2191" s="11"/>
      <c r="Y2191" s="4"/>
      <c r="Z2191" s="5"/>
      <c r="AA2191" s="4"/>
      <c r="AB2191" s="4"/>
      <c r="AC2191" s="4"/>
      <c r="AD2191" s="4"/>
      <c r="AE2191" s="5"/>
      <c r="AF2191" s="5"/>
      <c r="AG2191" s="5"/>
      <c r="AH2191" s="5"/>
      <c r="AI2191" s="5"/>
      <c r="AJ2191" s="5"/>
      <c r="AK2191" s="5"/>
      <c r="AL2191" s="5"/>
    </row>
    <row r="2192">
      <c r="A2192" s="4" t="str">
        <f>VLOOKUP(L2192,payment_ids!C:D,2,FALSE)</f>
        <v>pay_HBX66sb5mWTh3J</v>
      </c>
      <c r="B2192" s="4"/>
      <c r="C2192" s="4" t="s">
        <v>5822</v>
      </c>
      <c r="D2192" s="4">
        <v>50054.0</v>
      </c>
      <c r="E2192" s="4"/>
      <c r="F2192" s="4">
        <v>3.0</v>
      </c>
      <c r="G2192" s="4">
        <v>199.0</v>
      </c>
      <c r="H2192" s="4"/>
      <c r="I2192" s="4">
        <v>199.0</v>
      </c>
      <c r="J2192" s="4" t="s">
        <v>5848</v>
      </c>
      <c r="K2192" s="6">
        <f>+919106662610</f>
        <v>919106662610</v>
      </c>
      <c r="L2192" s="4" t="str">
        <f t="shared" si="1"/>
        <v>rashvas@gmail.com919106662610</v>
      </c>
      <c r="M2192" s="10" t="s">
        <v>67</v>
      </c>
      <c r="N2192" s="4" t="b">
        <v>0</v>
      </c>
      <c r="O2192" s="4" t="str">
        <f>VLOOKUP(A2192,payment_ids!D:E,2,FALSE)</f>
        <v>upi</v>
      </c>
      <c r="P2192" s="4" t="s">
        <v>69</v>
      </c>
      <c r="Q2192" s="4" t="s">
        <v>5849</v>
      </c>
      <c r="R2192" s="4"/>
      <c r="S2192" s="12" t="s">
        <v>5824</v>
      </c>
      <c r="T2192" s="4"/>
      <c r="U2192" s="4"/>
      <c r="V2192" s="11"/>
      <c r="W2192" s="5"/>
      <c r="X2192" s="11"/>
      <c r="Y2192" s="4"/>
      <c r="Z2192" s="5"/>
      <c r="AA2192" s="4"/>
      <c r="AB2192" s="4"/>
      <c r="AC2192" s="4"/>
      <c r="AD2192" s="4"/>
      <c r="AE2192" s="5"/>
      <c r="AF2192" s="5"/>
      <c r="AG2192" s="5"/>
      <c r="AH2192" s="5"/>
      <c r="AI2192" s="5"/>
      <c r="AJ2192" s="5"/>
      <c r="AK2192" s="5"/>
      <c r="AL2192" s="5"/>
    </row>
    <row r="2193">
      <c r="A2193" s="4" t="str">
        <f>VLOOKUP(L2193,payment_ids!C:D,2,FALSE)</f>
        <v>pay_HBnq7LMHAQhoQo</v>
      </c>
      <c r="B2193" s="4"/>
      <c r="C2193" s="4" t="s">
        <v>5822</v>
      </c>
      <c r="D2193" s="4">
        <v>50054.0</v>
      </c>
      <c r="E2193" s="4"/>
      <c r="F2193" s="4">
        <v>6.0</v>
      </c>
      <c r="G2193" s="4">
        <v>349.0</v>
      </c>
      <c r="H2193" s="4"/>
      <c r="I2193" s="4">
        <v>349.0</v>
      </c>
      <c r="J2193" s="4" t="s">
        <v>5850</v>
      </c>
      <c r="K2193" s="6">
        <f>+918806611556</f>
        <v>918806611556</v>
      </c>
      <c r="L2193" s="4" t="str">
        <f t="shared" si="1"/>
        <v>rohit.kapoor@gmail.com918806611556</v>
      </c>
      <c r="M2193" s="10" t="s">
        <v>67</v>
      </c>
      <c r="N2193" s="4" t="b">
        <v>0</v>
      </c>
      <c r="O2193" s="4" t="str">
        <f>VLOOKUP(A2193,payment_ids!D:E,2,FALSE)</f>
        <v>upi</v>
      </c>
      <c r="P2193" s="4" t="s">
        <v>69</v>
      </c>
      <c r="Q2193" s="4" t="s">
        <v>5851</v>
      </c>
      <c r="R2193" s="4"/>
      <c r="S2193" s="12" t="s">
        <v>5824</v>
      </c>
      <c r="T2193" s="4"/>
      <c r="U2193" s="4"/>
      <c r="V2193" s="11"/>
      <c r="W2193" s="5"/>
      <c r="X2193" s="11"/>
      <c r="Y2193" s="4"/>
      <c r="Z2193" s="5"/>
      <c r="AA2193" s="4"/>
      <c r="AB2193" s="4"/>
      <c r="AC2193" s="4"/>
      <c r="AD2193" s="4"/>
      <c r="AE2193" s="5"/>
      <c r="AF2193" s="5"/>
      <c r="AG2193" s="5"/>
      <c r="AH2193" s="5"/>
      <c r="AI2193" s="5"/>
      <c r="AJ2193" s="5"/>
      <c r="AK2193" s="5"/>
      <c r="AL2193" s="5"/>
    </row>
    <row r="2194">
      <c r="A2194" s="4" t="str">
        <f>VLOOKUP(L2194,payment_ids!C:D,2,FALSE)</f>
        <v>pay_HBoUie2gigwoNU</v>
      </c>
      <c r="B2194" s="4"/>
      <c r="C2194" s="4" t="s">
        <v>5822</v>
      </c>
      <c r="D2194" s="4">
        <v>50054.0</v>
      </c>
      <c r="E2194" s="4"/>
      <c r="F2194" s="4">
        <v>3.0</v>
      </c>
      <c r="G2194" s="4">
        <v>199.0</v>
      </c>
      <c r="H2194" s="4"/>
      <c r="I2194" s="4">
        <v>199.0</v>
      </c>
      <c r="J2194" s="4" t="s">
        <v>5852</v>
      </c>
      <c r="K2194" s="6">
        <f>+917980951261</f>
        <v>917980951261</v>
      </c>
      <c r="L2194" s="4" t="str">
        <f t="shared" si="1"/>
        <v>biswas.pratibha2411@gmail.com917980951261</v>
      </c>
      <c r="M2194" s="10" t="s">
        <v>67</v>
      </c>
      <c r="N2194" s="4" t="b">
        <v>0</v>
      </c>
      <c r="O2194" s="4" t="str">
        <f>VLOOKUP(A2194,payment_ids!D:E,2,FALSE)</f>
        <v>upi</v>
      </c>
      <c r="P2194" s="4" t="s">
        <v>69</v>
      </c>
      <c r="Q2194" s="4" t="s">
        <v>5853</v>
      </c>
      <c r="R2194" s="4"/>
      <c r="S2194" s="12" t="s">
        <v>5824</v>
      </c>
      <c r="T2194" s="4"/>
      <c r="U2194" s="4"/>
      <c r="V2194" s="11"/>
      <c r="W2194" s="5"/>
      <c r="X2194" s="11"/>
      <c r="Y2194" s="4"/>
      <c r="Z2194" s="5"/>
      <c r="AA2194" s="4"/>
      <c r="AB2194" s="4"/>
      <c r="AC2194" s="4"/>
      <c r="AD2194" s="4"/>
      <c r="AE2194" s="5"/>
      <c r="AF2194" s="5"/>
      <c r="AG2194" s="5"/>
      <c r="AH2194" s="5"/>
      <c r="AI2194" s="5"/>
      <c r="AJ2194" s="5"/>
      <c r="AK2194" s="5"/>
      <c r="AL2194" s="5"/>
    </row>
    <row r="2195">
      <c r="A2195" s="4" t="str">
        <f>VLOOKUP(L2195,payment_ids!C:D,2,FALSE)</f>
        <v>pay_HBjMv45rmvMOfA</v>
      </c>
      <c r="B2195" s="4"/>
      <c r="C2195" s="4" t="s">
        <v>5822</v>
      </c>
      <c r="D2195" s="4">
        <v>50054.0</v>
      </c>
      <c r="E2195" s="4"/>
      <c r="F2195" s="4">
        <v>1.0</v>
      </c>
      <c r="G2195" s="4">
        <v>99.0</v>
      </c>
      <c r="H2195" s="4"/>
      <c r="I2195" s="4">
        <v>99.0</v>
      </c>
      <c r="J2195" s="4" t="s">
        <v>5854</v>
      </c>
      <c r="K2195" s="6">
        <f>+918897543735</f>
        <v>918897543735</v>
      </c>
      <c r="L2195" s="4" t="str">
        <f t="shared" si="1"/>
        <v>docgalrama@gmail.com918897543735</v>
      </c>
      <c r="M2195" s="10" t="s">
        <v>67</v>
      </c>
      <c r="N2195" s="4" t="b">
        <v>0</v>
      </c>
      <c r="O2195" s="4" t="str">
        <f>VLOOKUP(A2195,payment_ids!D:E,2,FALSE)</f>
        <v>upi</v>
      </c>
      <c r="P2195" s="4" t="s">
        <v>69</v>
      </c>
      <c r="Q2195" s="4" t="s">
        <v>5855</v>
      </c>
      <c r="R2195" s="4"/>
      <c r="S2195" s="12" t="s">
        <v>5824</v>
      </c>
      <c r="T2195" s="4"/>
      <c r="U2195" s="4"/>
      <c r="V2195" s="11"/>
      <c r="W2195" s="5"/>
      <c r="X2195" s="11"/>
      <c r="Y2195" s="4"/>
      <c r="Z2195" s="5"/>
      <c r="AA2195" s="4"/>
      <c r="AB2195" s="4"/>
      <c r="AC2195" s="4"/>
      <c r="AD2195" s="4"/>
      <c r="AE2195" s="5"/>
      <c r="AF2195" s="5"/>
      <c r="AG2195" s="5"/>
      <c r="AH2195" s="5"/>
      <c r="AI2195" s="5"/>
      <c r="AJ2195" s="5"/>
      <c r="AK2195" s="5"/>
      <c r="AL2195" s="5"/>
    </row>
    <row r="2196">
      <c r="A2196" s="4" t="str">
        <f>VLOOKUP(L2196,payment_ids!C:D,2,FALSE)</f>
        <v>pay_HBw7t1maNqhTbA</v>
      </c>
      <c r="B2196" s="4"/>
      <c r="C2196" s="4" t="s">
        <v>5822</v>
      </c>
      <c r="D2196" s="4">
        <v>50054.0</v>
      </c>
      <c r="E2196" s="4"/>
      <c r="F2196" s="4">
        <v>1.0</v>
      </c>
      <c r="G2196" s="4">
        <v>99.0</v>
      </c>
      <c r="H2196" s="4"/>
      <c r="I2196" s="4">
        <v>99.0</v>
      </c>
      <c r="J2196" s="4" t="s">
        <v>5856</v>
      </c>
      <c r="K2196" s="6">
        <f>+918504891130</f>
        <v>918504891130</v>
      </c>
      <c r="L2196" s="4" t="str">
        <f t="shared" si="1"/>
        <v>anjiip3004@gmail.com918504891130</v>
      </c>
      <c r="M2196" s="10" t="s">
        <v>67</v>
      </c>
      <c r="N2196" s="4" t="b">
        <v>0</v>
      </c>
      <c r="O2196" s="4" t="str">
        <f>VLOOKUP(A2196,payment_ids!D:E,2,FALSE)</f>
        <v>upi</v>
      </c>
      <c r="P2196" s="4" t="s">
        <v>69</v>
      </c>
      <c r="Q2196" s="4" t="s">
        <v>5857</v>
      </c>
      <c r="R2196" s="4"/>
      <c r="S2196" s="12" t="s">
        <v>5824</v>
      </c>
      <c r="T2196" s="4"/>
      <c r="U2196" s="5"/>
      <c r="V2196" s="11"/>
      <c r="W2196" s="5"/>
      <c r="X2196" s="11"/>
      <c r="Y2196" s="4"/>
      <c r="Z2196" s="5"/>
      <c r="AA2196" s="5"/>
      <c r="AB2196" s="4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</row>
    <row r="2197">
      <c r="A2197" s="4" t="str">
        <f>VLOOKUP(L2197,payment_ids!C:D,2,FALSE)</f>
        <v>pay_HCBPkGECXCmSuL</v>
      </c>
      <c r="B2197" s="4"/>
      <c r="C2197" s="4" t="s">
        <v>5822</v>
      </c>
      <c r="D2197" s="4">
        <v>50054.0</v>
      </c>
      <c r="E2197" s="4"/>
      <c r="F2197" s="4">
        <v>3.0</v>
      </c>
      <c r="G2197" s="4">
        <v>199.0</v>
      </c>
      <c r="H2197" s="4"/>
      <c r="I2197" s="4">
        <v>199.0</v>
      </c>
      <c r="J2197" s="4" t="s">
        <v>5858</v>
      </c>
      <c r="K2197" s="6">
        <f>+919567976696</f>
        <v>919567976696</v>
      </c>
      <c r="L2197" s="4" t="str">
        <f t="shared" si="1"/>
        <v>ajith191@gmail.com919567976696</v>
      </c>
      <c r="M2197" s="10" t="s">
        <v>67</v>
      </c>
      <c r="N2197" s="4" t="b">
        <v>0</v>
      </c>
      <c r="O2197" s="4" t="str">
        <f>VLOOKUP(A2197,payment_ids!D:E,2,FALSE)</f>
        <v>upi</v>
      </c>
      <c r="P2197" s="4" t="s">
        <v>69</v>
      </c>
      <c r="Q2197" s="4" t="s">
        <v>5859</v>
      </c>
      <c r="R2197" s="4"/>
      <c r="S2197" s="12" t="s">
        <v>5824</v>
      </c>
      <c r="T2197" s="4"/>
      <c r="U2197" s="4"/>
      <c r="V2197" s="11"/>
      <c r="W2197" s="5"/>
      <c r="X2197" s="11"/>
      <c r="Y2197" s="4"/>
      <c r="Z2197" s="5"/>
      <c r="AA2197" s="4"/>
      <c r="AB2197" s="4"/>
      <c r="AC2197" s="4"/>
      <c r="AD2197" s="4"/>
      <c r="AE2197" s="5"/>
      <c r="AF2197" s="5"/>
      <c r="AG2197" s="5"/>
      <c r="AH2197" s="5"/>
      <c r="AI2197" s="5"/>
      <c r="AJ2197" s="5"/>
      <c r="AK2197" s="5"/>
      <c r="AL2197" s="5"/>
    </row>
    <row r="2198">
      <c r="A2198" s="4" t="str">
        <f>VLOOKUP(L2198,payment_ids!C:D,2,FALSE)</f>
        <v>pay_HC7l5yNWffeclK</v>
      </c>
      <c r="B2198" s="4"/>
      <c r="C2198" s="4" t="s">
        <v>5822</v>
      </c>
      <c r="D2198" s="4">
        <v>50054.0</v>
      </c>
      <c r="E2198" s="4"/>
      <c r="F2198" s="4">
        <v>6.0</v>
      </c>
      <c r="G2198" s="4">
        <v>349.0</v>
      </c>
      <c r="H2198" s="4"/>
      <c r="I2198" s="4">
        <v>349.0</v>
      </c>
      <c r="J2198" s="4" t="s">
        <v>5860</v>
      </c>
      <c r="K2198" s="6">
        <f>+919000775707</f>
        <v>919000775707</v>
      </c>
      <c r="L2198" s="4" t="str">
        <f t="shared" si="1"/>
        <v>ubasanthi@gmail.com919000775707</v>
      </c>
      <c r="M2198" s="10" t="s">
        <v>67</v>
      </c>
      <c r="N2198" s="4" t="b">
        <v>0</v>
      </c>
      <c r="O2198" s="4" t="str">
        <f>VLOOKUP(A2198,payment_ids!D:E,2,FALSE)</f>
        <v>upi</v>
      </c>
      <c r="P2198" s="4" t="s">
        <v>69</v>
      </c>
      <c r="Q2198" s="4" t="s">
        <v>5861</v>
      </c>
      <c r="R2198" s="4"/>
      <c r="S2198" s="12" t="s">
        <v>5824</v>
      </c>
      <c r="T2198" s="4"/>
      <c r="U2198" s="4"/>
      <c r="V2198" s="11"/>
      <c r="W2198" s="5"/>
      <c r="X2198" s="11"/>
      <c r="Y2198" s="4"/>
      <c r="Z2198" s="5"/>
      <c r="AA2198" s="4"/>
      <c r="AB2198" s="4"/>
      <c r="AC2198" s="4"/>
      <c r="AD2198" s="4"/>
      <c r="AE2198" s="5"/>
      <c r="AF2198" s="5"/>
      <c r="AG2198" s="5"/>
      <c r="AH2198" s="5"/>
      <c r="AI2198" s="5"/>
      <c r="AJ2198" s="5"/>
      <c r="AK2198" s="5"/>
      <c r="AL2198" s="5"/>
    </row>
    <row r="2199">
      <c r="A2199" s="4" t="str">
        <f>VLOOKUP(L2199,payment_ids!C:D,2,FALSE)</f>
        <v>pay_HCDtwy0wVALCu5</v>
      </c>
      <c r="B2199" s="4"/>
      <c r="C2199" s="4" t="s">
        <v>5822</v>
      </c>
      <c r="D2199" s="4">
        <v>50054.0</v>
      </c>
      <c r="E2199" s="4"/>
      <c r="F2199" s="4">
        <v>1.0</v>
      </c>
      <c r="G2199" s="4">
        <v>99.0</v>
      </c>
      <c r="H2199" s="4"/>
      <c r="I2199" s="4">
        <v>99.0</v>
      </c>
      <c r="J2199" s="4" t="s">
        <v>5862</v>
      </c>
      <c r="K2199" s="6">
        <f>+917905958635</f>
        <v>917905958635</v>
      </c>
      <c r="L2199" s="4" t="str">
        <f t="shared" si="1"/>
        <v>kumar.sushil.sushil625@gmail.com917905958635</v>
      </c>
      <c r="M2199" s="10" t="s">
        <v>67</v>
      </c>
      <c r="N2199" s="4" t="b">
        <v>0</v>
      </c>
      <c r="O2199" s="4" t="str">
        <f>VLOOKUP(A2199,payment_ids!D:E,2,FALSE)</f>
        <v>upi</v>
      </c>
      <c r="P2199" s="4" t="s">
        <v>69</v>
      </c>
      <c r="Q2199" s="4" t="s">
        <v>5863</v>
      </c>
      <c r="R2199" s="4"/>
      <c r="S2199" s="12" t="s">
        <v>5824</v>
      </c>
      <c r="T2199" s="4"/>
      <c r="U2199" s="4"/>
      <c r="V2199" s="11"/>
      <c r="W2199" s="5"/>
      <c r="X2199" s="11"/>
      <c r="Y2199" s="4"/>
      <c r="Z2199" s="5"/>
      <c r="AA2199" s="4"/>
      <c r="AB2199" s="4"/>
      <c r="AC2199" s="4"/>
      <c r="AD2199" s="4"/>
      <c r="AE2199" s="5"/>
      <c r="AF2199" s="5"/>
      <c r="AG2199" s="5"/>
      <c r="AH2199" s="5"/>
      <c r="AI2199" s="5"/>
      <c r="AJ2199" s="5"/>
      <c r="AK2199" s="5"/>
      <c r="AL2199" s="5"/>
    </row>
    <row r="2200">
      <c r="A2200" s="4" t="str">
        <f>VLOOKUP(L2200,payment_ids!C:D,2,FALSE)</f>
        <v>pay_HCrHUxaYdZUx7u</v>
      </c>
      <c r="B2200" s="4"/>
      <c r="C2200" s="4" t="s">
        <v>5822</v>
      </c>
      <c r="D2200" s="4">
        <v>50054.0</v>
      </c>
      <c r="E2200" s="4"/>
      <c r="F2200" s="4">
        <v>1.0</v>
      </c>
      <c r="G2200" s="4">
        <v>99.0</v>
      </c>
      <c r="H2200" s="4"/>
      <c r="I2200" s="4">
        <v>99.0</v>
      </c>
      <c r="J2200" s="4" t="s">
        <v>5864</v>
      </c>
      <c r="K2200" s="6">
        <f>+919845018723</f>
        <v>919845018723</v>
      </c>
      <c r="L2200" s="4" t="str">
        <f t="shared" si="1"/>
        <v>rashmisumanth@gmail.com919845018723</v>
      </c>
      <c r="M2200" s="10" t="s">
        <v>67</v>
      </c>
      <c r="N2200" s="4" t="b">
        <v>0</v>
      </c>
      <c r="O2200" s="4" t="str">
        <f>VLOOKUP(A2200,payment_ids!D:E,2,FALSE)</f>
        <v>upi</v>
      </c>
      <c r="P2200" s="4" t="s">
        <v>69</v>
      </c>
      <c r="Q2200" s="4" t="s">
        <v>5865</v>
      </c>
      <c r="R2200" s="4"/>
      <c r="S2200" s="12" t="s">
        <v>5824</v>
      </c>
      <c r="T2200" s="4"/>
      <c r="U2200" s="4"/>
      <c r="V2200" s="11"/>
      <c r="W2200" s="5"/>
      <c r="X2200" s="11"/>
      <c r="Y2200" s="4"/>
      <c r="Z2200" s="5"/>
      <c r="AA2200" s="4"/>
      <c r="AB2200" s="4"/>
      <c r="AC2200" s="4"/>
      <c r="AD2200" s="4"/>
      <c r="AE2200" s="5"/>
      <c r="AF2200" s="5"/>
      <c r="AG2200" s="5"/>
      <c r="AH2200" s="5"/>
      <c r="AI2200" s="5"/>
      <c r="AJ2200" s="5"/>
      <c r="AK2200" s="5"/>
      <c r="AL2200" s="5"/>
    </row>
    <row r="2201">
      <c r="A2201" s="4" t="str">
        <f>VLOOKUP(L2201,payment_ids!C:D,2,FALSE)</f>
        <v>pay_HD7XElyCRQncSy</v>
      </c>
      <c r="B2201" s="4"/>
      <c r="C2201" s="4" t="s">
        <v>5822</v>
      </c>
      <c r="D2201" s="4">
        <v>50054.0</v>
      </c>
      <c r="E2201" s="4"/>
      <c r="F2201" s="4">
        <v>1.0</v>
      </c>
      <c r="G2201" s="4">
        <v>99.0</v>
      </c>
      <c r="H2201" s="4"/>
      <c r="I2201" s="4">
        <v>99.0</v>
      </c>
      <c r="J2201" s="4" t="s">
        <v>5866</v>
      </c>
      <c r="K2201" s="6">
        <f>+919899065855</f>
        <v>919899065855</v>
      </c>
      <c r="L2201" s="4" t="str">
        <f t="shared" si="1"/>
        <v>sanskritipv97@gmail.com919899065855</v>
      </c>
      <c r="M2201" s="10" t="s">
        <v>67</v>
      </c>
      <c r="N2201" s="4" t="b">
        <v>0</v>
      </c>
      <c r="O2201" s="4" t="str">
        <f>VLOOKUP(A2201,payment_ids!D:E,2,FALSE)</f>
        <v>upi</v>
      </c>
      <c r="P2201" s="4" t="s">
        <v>69</v>
      </c>
      <c r="Q2201" s="4" t="s">
        <v>5867</v>
      </c>
      <c r="R2201" s="4"/>
      <c r="S2201" s="12" t="s">
        <v>5824</v>
      </c>
      <c r="T2201" s="4"/>
      <c r="U2201" s="4"/>
      <c r="V2201" s="11"/>
      <c r="W2201" s="5"/>
      <c r="X2201" s="11"/>
      <c r="Y2201" s="4"/>
      <c r="Z2201" s="5"/>
      <c r="AA2201" s="4"/>
      <c r="AB2201" s="4"/>
      <c r="AC2201" s="4"/>
      <c r="AD2201" s="4"/>
      <c r="AE2201" s="5"/>
      <c r="AF2201" s="5"/>
      <c r="AG2201" s="5"/>
      <c r="AH2201" s="5"/>
      <c r="AI2201" s="5"/>
      <c r="AJ2201" s="5"/>
      <c r="AK2201" s="5"/>
      <c r="AL2201" s="5"/>
    </row>
    <row r="2202">
      <c r="A2202" s="4" t="str">
        <f>VLOOKUP(L2202,payment_ids!C:D,2,FALSE)</f>
        <v>pay_HDMZTHjA79Rmwt</v>
      </c>
      <c r="B2202" s="4"/>
      <c r="C2202" s="4" t="s">
        <v>5822</v>
      </c>
      <c r="D2202" s="4">
        <v>50054.0</v>
      </c>
      <c r="E2202" s="4"/>
      <c r="F2202" s="4">
        <v>1.0</v>
      </c>
      <c r="G2202" s="4">
        <v>99.0</v>
      </c>
      <c r="H2202" s="4"/>
      <c r="I2202" s="4">
        <v>99.0</v>
      </c>
      <c r="J2202" s="4" t="s">
        <v>5868</v>
      </c>
      <c r="K2202" s="6">
        <f>+918095899670</f>
        <v>918095899670</v>
      </c>
      <c r="L2202" s="4" t="str">
        <f t="shared" si="1"/>
        <v>harshanagpal@live.com918095899670</v>
      </c>
      <c r="M2202" s="10" t="s">
        <v>67</v>
      </c>
      <c r="N2202" s="4" t="b">
        <v>0</v>
      </c>
      <c r="O2202" s="4" t="str">
        <f>VLOOKUP(A2202,payment_ids!D:E,2,FALSE)</f>
        <v>upi</v>
      </c>
      <c r="P2202" s="4" t="s">
        <v>69</v>
      </c>
      <c r="Q2202" s="4" t="s">
        <v>5869</v>
      </c>
      <c r="R2202" s="4"/>
      <c r="S2202" s="12" t="s">
        <v>5824</v>
      </c>
      <c r="T2202" s="4"/>
      <c r="U2202" s="4"/>
      <c r="V2202" s="11"/>
      <c r="W2202" s="5"/>
      <c r="X2202" s="11"/>
      <c r="Y2202" s="4"/>
      <c r="Z2202" s="5"/>
      <c r="AA2202" s="4"/>
      <c r="AB2202" s="4"/>
      <c r="AC2202" s="4"/>
      <c r="AD2202" s="4"/>
      <c r="AE2202" s="5"/>
      <c r="AF2202" s="5"/>
      <c r="AG2202" s="5"/>
      <c r="AH2202" s="5"/>
      <c r="AI2202" s="5"/>
      <c r="AJ2202" s="5"/>
      <c r="AK2202" s="5"/>
      <c r="AL2202" s="5"/>
    </row>
    <row r="2203">
      <c r="A2203" s="4" t="str">
        <f>VLOOKUP(L2203,payment_ids!C:D,2,FALSE)</f>
        <v>pay_HDk7VTk2jN4vps</v>
      </c>
      <c r="B2203" s="4"/>
      <c r="C2203" s="4" t="s">
        <v>5822</v>
      </c>
      <c r="D2203" s="4">
        <v>50054.0</v>
      </c>
      <c r="E2203" s="4"/>
      <c r="F2203" s="4">
        <v>3.0</v>
      </c>
      <c r="G2203" s="4">
        <v>199.0</v>
      </c>
      <c r="H2203" s="4"/>
      <c r="I2203" s="4">
        <v>199.0</v>
      </c>
      <c r="J2203" s="4" t="s">
        <v>5870</v>
      </c>
      <c r="K2203" s="6">
        <f>+918057140627</f>
        <v>918057140627</v>
      </c>
      <c r="L2203" s="4" t="str">
        <f t="shared" si="1"/>
        <v>pankaj.25929@gmail.com918057140627</v>
      </c>
      <c r="M2203" s="10" t="s">
        <v>67</v>
      </c>
      <c r="N2203" s="4" t="b">
        <v>0</v>
      </c>
      <c r="O2203" s="4" t="str">
        <f>VLOOKUP(A2203,payment_ids!D:E,2,FALSE)</f>
        <v>netbanking</v>
      </c>
      <c r="P2203" s="4" t="s">
        <v>69</v>
      </c>
      <c r="Q2203" s="4" t="s">
        <v>5871</v>
      </c>
      <c r="R2203" s="4"/>
      <c r="S2203" s="12" t="s">
        <v>5824</v>
      </c>
      <c r="T2203" s="4"/>
      <c r="U2203" s="4"/>
      <c r="V2203" s="11"/>
      <c r="W2203" s="5"/>
      <c r="X2203" s="11"/>
      <c r="Y2203" s="4"/>
      <c r="Z2203" s="5"/>
      <c r="AA2203" s="4"/>
      <c r="AB2203" s="4"/>
      <c r="AC2203" s="4"/>
      <c r="AD2203" s="4"/>
      <c r="AE2203" s="5"/>
      <c r="AF2203" s="5"/>
      <c r="AG2203" s="5"/>
      <c r="AH2203" s="5"/>
      <c r="AI2203" s="5"/>
      <c r="AJ2203" s="5"/>
      <c r="AK2203" s="5"/>
      <c r="AL2203" s="5"/>
    </row>
    <row r="2204">
      <c r="A2204" s="4" t="str">
        <f>VLOOKUP(L2204,payment_ids!C:D,2,FALSE)</f>
        <v>pay_HDudLpyj2tkBY7</v>
      </c>
      <c r="B2204" s="4"/>
      <c r="C2204" s="4" t="s">
        <v>5822</v>
      </c>
      <c r="D2204" s="4">
        <v>50054.0</v>
      </c>
      <c r="E2204" s="4"/>
      <c r="F2204" s="4">
        <v>6.0</v>
      </c>
      <c r="G2204" s="4">
        <v>349.0</v>
      </c>
      <c r="H2204" s="4"/>
      <c r="I2204" s="4">
        <v>349.0</v>
      </c>
      <c r="J2204" s="4" t="s">
        <v>5872</v>
      </c>
      <c r="K2204" s="6">
        <f>+919711397307</f>
        <v>919711397307</v>
      </c>
      <c r="L2204" s="4" t="str">
        <f t="shared" si="1"/>
        <v>leenaahuja.edt@gmail.com919711397307</v>
      </c>
      <c r="M2204" s="10" t="s">
        <v>67</v>
      </c>
      <c r="N2204" s="4" t="b">
        <v>0</v>
      </c>
      <c r="O2204" s="4" t="str">
        <f>VLOOKUP(A2204,payment_ids!D:E,2,FALSE)</f>
        <v>upi</v>
      </c>
      <c r="P2204" s="4" t="s">
        <v>69</v>
      </c>
      <c r="Q2204" s="4" t="s">
        <v>4450</v>
      </c>
      <c r="R2204" s="4"/>
      <c r="S2204" s="12" t="s">
        <v>5824</v>
      </c>
      <c r="T2204" s="4"/>
      <c r="U2204" s="4"/>
      <c r="V2204" s="11"/>
      <c r="W2204" s="5"/>
      <c r="X2204" s="11"/>
      <c r="Y2204" s="4"/>
      <c r="Z2204" s="5"/>
      <c r="AA2204" s="4"/>
      <c r="AB2204" s="4"/>
      <c r="AC2204" s="4"/>
      <c r="AD2204" s="4"/>
      <c r="AE2204" s="5"/>
      <c r="AF2204" s="5"/>
      <c r="AG2204" s="5"/>
      <c r="AH2204" s="5"/>
      <c r="AI2204" s="5"/>
      <c r="AJ2204" s="5"/>
      <c r="AK2204" s="5"/>
      <c r="AL2204" s="5"/>
    </row>
    <row r="2205">
      <c r="A2205" s="4" t="str">
        <f>VLOOKUP(L2205,payment_ids!C:D,2,FALSE)</f>
        <v>pay_HFLQQotkTEv3R1</v>
      </c>
      <c r="B2205" s="4"/>
      <c r="C2205" s="4" t="s">
        <v>5822</v>
      </c>
      <c r="D2205" s="4">
        <v>50054.0</v>
      </c>
      <c r="E2205" s="5"/>
      <c r="F2205" s="4">
        <v>3.0</v>
      </c>
      <c r="G2205" s="4">
        <v>199.0</v>
      </c>
      <c r="H2205" s="4"/>
      <c r="I2205" s="4">
        <v>199.0</v>
      </c>
      <c r="J2205" s="4" t="s">
        <v>5873</v>
      </c>
      <c r="K2205" s="5">
        <f>+917008668475</f>
        <v>917008668475</v>
      </c>
      <c r="L2205" s="4" t="str">
        <f t="shared" si="1"/>
        <v>padhy.chittaranjan06@gmail.com917008668475</v>
      </c>
      <c r="M2205" s="10" t="s">
        <v>67</v>
      </c>
      <c r="N2205" s="4" t="b">
        <v>0</v>
      </c>
      <c r="O2205" s="4" t="str">
        <f>VLOOKUP(A2205,payment_ids!D:E,2,FALSE)</f>
        <v>upi</v>
      </c>
      <c r="P2205" s="4" t="s">
        <v>69</v>
      </c>
      <c r="Q2205" s="4" t="s">
        <v>5874</v>
      </c>
      <c r="R2205" s="4"/>
      <c r="S2205" s="12" t="s">
        <v>5824</v>
      </c>
      <c r="T2205" s="5"/>
      <c r="U2205" s="4"/>
      <c r="V2205" s="11"/>
      <c r="W2205" s="5"/>
      <c r="X2205" s="11"/>
      <c r="Y2205" s="4"/>
      <c r="Z2205" s="5"/>
      <c r="AA2205" s="4"/>
      <c r="AB2205" s="4"/>
      <c r="AC2205" s="4"/>
      <c r="AD2205" s="4"/>
      <c r="AE2205" s="5"/>
      <c r="AF2205" s="5"/>
      <c r="AG2205" s="5"/>
      <c r="AH2205" s="5"/>
      <c r="AI2205" s="5"/>
      <c r="AJ2205" s="5"/>
      <c r="AK2205" s="5"/>
      <c r="AL2205" s="5"/>
    </row>
    <row r="2206">
      <c r="A2206" s="4" t="str">
        <f>VLOOKUP(L2206,payment_ids!C:D,2,FALSE)</f>
        <v>pay_HFUobr1kpOxwxa</v>
      </c>
      <c r="B2206" s="4"/>
      <c r="C2206" s="4" t="s">
        <v>5822</v>
      </c>
      <c r="D2206" s="4">
        <v>50054.0</v>
      </c>
      <c r="E2206" s="5"/>
      <c r="F2206" s="4">
        <v>1.0</v>
      </c>
      <c r="G2206" s="4">
        <v>99.0</v>
      </c>
      <c r="H2206" s="4"/>
      <c r="I2206" s="4">
        <v>99.0</v>
      </c>
      <c r="J2206" s="4" t="s">
        <v>5875</v>
      </c>
      <c r="K2206" s="5">
        <f>+918806440077</f>
        <v>918806440077</v>
      </c>
      <c r="L2206" s="4" t="str">
        <f t="shared" si="1"/>
        <v>myplaanet99@gmail.com918806440077</v>
      </c>
      <c r="M2206" s="10" t="s">
        <v>67</v>
      </c>
      <c r="N2206" s="4" t="b">
        <v>0</v>
      </c>
      <c r="O2206" s="4" t="str">
        <f>VLOOKUP(A2206,payment_ids!D:E,2,FALSE)</f>
        <v>upi</v>
      </c>
      <c r="P2206" s="4" t="s">
        <v>69</v>
      </c>
      <c r="Q2206" s="4" t="s">
        <v>5876</v>
      </c>
      <c r="R2206" s="4"/>
      <c r="S2206" s="12" t="s">
        <v>5824</v>
      </c>
      <c r="T2206" s="5"/>
      <c r="U2206" s="5"/>
      <c r="V2206" s="11"/>
      <c r="W2206" s="5"/>
      <c r="X2206" s="11"/>
      <c r="Y2206" s="4"/>
      <c r="Z2206" s="5"/>
      <c r="AA2206" s="5"/>
      <c r="AB2206" s="4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</row>
    <row r="2207">
      <c r="A2207" s="4" t="str">
        <f>VLOOKUP(L2207,payment_ids!C:D,2,FALSE)</f>
        <v>pay_HFoWNmgXhHt4JJ</v>
      </c>
      <c r="B2207" s="4"/>
      <c r="C2207" s="4" t="s">
        <v>5822</v>
      </c>
      <c r="D2207" s="4">
        <v>50054.0</v>
      </c>
      <c r="E2207" s="5"/>
      <c r="F2207" s="4">
        <v>1.0</v>
      </c>
      <c r="G2207" s="4">
        <v>99.0</v>
      </c>
      <c r="H2207" s="4"/>
      <c r="I2207" s="4">
        <v>99.0</v>
      </c>
      <c r="J2207" s="4" t="s">
        <v>5877</v>
      </c>
      <c r="K2207" s="5">
        <f>+919773821896</f>
        <v>919773821896</v>
      </c>
      <c r="L2207" s="4" t="str">
        <f t="shared" si="1"/>
        <v>krishansandheip@gmail.com919773821896</v>
      </c>
      <c r="M2207" s="10" t="s">
        <v>67</v>
      </c>
      <c r="N2207" s="4" t="b">
        <v>0</v>
      </c>
      <c r="O2207" s="4" t="str">
        <f>VLOOKUP(A2207,payment_ids!D:E,2,FALSE)</f>
        <v>upi</v>
      </c>
      <c r="P2207" s="4" t="s">
        <v>69</v>
      </c>
      <c r="Q2207" s="4" t="s">
        <v>5878</v>
      </c>
      <c r="R2207" s="4"/>
      <c r="S2207" s="12" t="s">
        <v>5824</v>
      </c>
      <c r="T2207" s="5"/>
      <c r="U2207" s="5"/>
      <c r="V2207" s="11"/>
      <c r="W2207" s="5"/>
      <c r="X2207" s="11"/>
      <c r="Y2207" s="4"/>
      <c r="Z2207" s="5"/>
      <c r="AA2207" s="5"/>
      <c r="AB2207" s="4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</row>
    <row r="2208">
      <c r="A2208" s="4" t="str">
        <f>VLOOKUP(L2208,payment_ids!C:D,2,FALSE)</f>
        <v>pay_HFpTdHWzt4e2gK</v>
      </c>
      <c r="B2208" s="4"/>
      <c r="C2208" s="4" t="s">
        <v>5822</v>
      </c>
      <c r="D2208" s="4">
        <v>50054.0</v>
      </c>
      <c r="E2208" s="5"/>
      <c r="F2208" s="4">
        <v>1.0</v>
      </c>
      <c r="G2208" s="4">
        <v>99.0</v>
      </c>
      <c r="H2208" s="4"/>
      <c r="I2208" s="4">
        <v>99.0</v>
      </c>
      <c r="J2208" s="4" t="s">
        <v>5879</v>
      </c>
      <c r="K2208" s="5">
        <f>+919971333164</f>
        <v>919971333164</v>
      </c>
      <c r="L2208" s="4" t="str">
        <f t="shared" si="1"/>
        <v>sssharma27387@gmail.com919971333164</v>
      </c>
      <c r="M2208" s="10" t="s">
        <v>67</v>
      </c>
      <c r="N2208" s="4" t="b">
        <v>0</v>
      </c>
      <c r="O2208" s="4" t="str">
        <f>VLOOKUP(A2208,payment_ids!D:E,2,FALSE)</f>
        <v>upi</v>
      </c>
      <c r="P2208" s="4" t="s">
        <v>69</v>
      </c>
      <c r="Q2208" s="4" t="s">
        <v>5880</v>
      </c>
      <c r="R2208" s="4"/>
      <c r="S2208" s="12" t="s">
        <v>5824</v>
      </c>
      <c r="T2208" s="5"/>
      <c r="U2208" s="4"/>
      <c r="V2208" s="11"/>
      <c r="W2208" s="5"/>
      <c r="X2208" s="11"/>
      <c r="Y2208" s="4"/>
      <c r="Z2208" s="5"/>
      <c r="AA2208" s="4"/>
      <c r="AB2208" s="4"/>
      <c r="AC2208" s="4"/>
      <c r="AD2208" s="4"/>
      <c r="AE2208" s="5"/>
      <c r="AF2208" s="5"/>
      <c r="AG2208" s="5"/>
      <c r="AH2208" s="5"/>
      <c r="AI2208" s="5"/>
      <c r="AJ2208" s="5"/>
      <c r="AK2208" s="5"/>
      <c r="AL2208" s="5"/>
    </row>
    <row r="2209">
      <c r="A2209" s="4" t="str">
        <f>VLOOKUP(L2209,payment_ids!C:D,2,FALSE)</f>
        <v>pay_HG29LZSI1qLrkx</v>
      </c>
      <c r="B2209" s="4"/>
      <c r="C2209" s="4" t="s">
        <v>5822</v>
      </c>
      <c r="D2209" s="4">
        <v>50054.0</v>
      </c>
      <c r="E2209" s="5"/>
      <c r="F2209" s="4">
        <v>3.0</v>
      </c>
      <c r="G2209" s="4">
        <v>199.0</v>
      </c>
      <c r="H2209" s="4"/>
      <c r="I2209" s="4">
        <v>199.0</v>
      </c>
      <c r="J2209" s="4" t="s">
        <v>5881</v>
      </c>
      <c r="K2209" s="5">
        <f>+917722931052</f>
        <v>917722931052</v>
      </c>
      <c r="L2209" s="4" t="str">
        <f t="shared" si="1"/>
        <v>shabnam1104alam@gmail.com917722931052</v>
      </c>
      <c r="M2209" s="10" t="s">
        <v>67</v>
      </c>
      <c r="N2209" s="4" t="b">
        <v>0</v>
      </c>
      <c r="O2209" s="4" t="str">
        <f>VLOOKUP(A2209,payment_ids!D:E,2,FALSE)</f>
        <v>upi</v>
      </c>
      <c r="P2209" s="4" t="s">
        <v>69</v>
      </c>
      <c r="Q2209" s="4" t="s">
        <v>5882</v>
      </c>
      <c r="R2209" s="4"/>
      <c r="S2209" s="12" t="s">
        <v>5824</v>
      </c>
      <c r="T2209" s="5"/>
      <c r="U2209" s="4"/>
      <c r="V2209" s="11"/>
      <c r="W2209" s="5"/>
      <c r="X2209" s="11"/>
      <c r="Y2209" s="4"/>
      <c r="Z2209" s="5"/>
      <c r="AA2209" s="4"/>
      <c r="AB2209" s="4"/>
      <c r="AC2209" s="4"/>
      <c r="AD2209" s="4"/>
      <c r="AE2209" s="5"/>
      <c r="AF2209" s="5"/>
      <c r="AG2209" s="5"/>
      <c r="AH2209" s="5"/>
      <c r="AI2209" s="5"/>
      <c r="AJ2209" s="5"/>
      <c r="AK2209" s="5"/>
      <c r="AL2209" s="5"/>
    </row>
    <row r="2210">
      <c r="A2210" s="4" t="str">
        <f>VLOOKUP(L2210,payment_ids!C:D,2,FALSE)</f>
        <v>pay_HGBkZ8MMtALqXw</v>
      </c>
      <c r="B2210" s="4"/>
      <c r="C2210" s="4" t="s">
        <v>5822</v>
      </c>
      <c r="D2210" s="4">
        <v>50054.0</v>
      </c>
      <c r="E2210" s="5"/>
      <c r="F2210" s="4">
        <v>1.0</v>
      </c>
      <c r="G2210" s="4">
        <v>99.0</v>
      </c>
      <c r="H2210" s="4"/>
      <c r="I2210" s="4">
        <v>99.0</v>
      </c>
      <c r="J2210" s="4" t="s">
        <v>5883</v>
      </c>
      <c r="K2210" s="5">
        <f>+919810316963</f>
        <v>919810316963</v>
      </c>
      <c r="L2210" s="4" t="str">
        <f t="shared" si="1"/>
        <v>tanejaanju18@gmail.com919810316963</v>
      </c>
      <c r="M2210" s="10" t="s">
        <v>67</v>
      </c>
      <c r="N2210" s="4" t="b">
        <v>0</v>
      </c>
      <c r="O2210" s="4" t="str">
        <f>VLOOKUP(A2210,payment_ids!D:E,2,FALSE)</f>
        <v>upi</v>
      </c>
      <c r="P2210" s="4" t="s">
        <v>69</v>
      </c>
      <c r="Q2210" s="4" t="s">
        <v>5884</v>
      </c>
      <c r="R2210" s="4"/>
      <c r="S2210" s="12" t="s">
        <v>5824</v>
      </c>
      <c r="T2210" s="5"/>
      <c r="U2210" s="4"/>
      <c r="V2210" s="11"/>
      <c r="W2210" s="5"/>
      <c r="X2210" s="11"/>
      <c r="Y2210" s="4"/>
      <c r="Z2210" s="5"/>
      <c r="AA2210" s="4"/>
      <c r="AB2210" s="4"/>
      <c r="AC2210" s="4"/>
      <c r="AD2210" s="4"/>
      <c r="AE2210" s="5"/>
      <c r="AF2210" s="5"/>
      <c r="AG2210" s="5"/>
      <c r="AH2210" s="5"/>
      <c r="AI2210" s="5"/>
      <c r="AJ2210" s="5"/>
      <c r="AK2210" s="5"/>
      <c r="AL2210" s="5"/>
    </row>
    <row r="2211">
      <c r="A2211" s="4" t="str">
        <f>VLOOKUP(L2211,payment_ids!C:D,2,FALSE)</f>
        <v>pay_HGEnNlzd4wnR0R</v>
      </c>
      <c r="B2211" s="4"/>
      <c r="C2211" s="4" t="s">
        <v>5822</v>
      </c>
      <c r="D2211" s="4">
        <v>50054.0</v>
      </c>
      <c r="E2211" s="5"/>
      <c r="F2211" s="4">
        <v>1.0</v>
      </c>
      <c r="G2211" s="4">
        <v>99.0</v>
      </c>
      <c r="H2211" s="4"/>
      <c r="I2211" s="4">
        <v>99.0</v>
      </c>
      <c r="J2211" s="4" t="s">
        <v>5885</v>
      </c>
      <c r="K2211" s="5">
        <f>+918861433275</f>
        <v>918861433275</v>
      </c>
      <c r="L2211" s="4" t="str">
        <f t="shared" si="1"/>
        <v>tarotwithsonnyaa@gmail.com918861433275</v>
      </c>
      <c r="M2211" s="10" t="s">
        <v>67</v>
      </c>
      <c r="N2211" s="4" t="b">
        <v>0</v>
      </c>
      <c r="O2211" s="4" t="str">
        <f>VLOOKUP(A2211,payment_ids!D:E,2,FALSE)</f>
        <v>upi</v>
      </c>
      <c r="P2211" s="4" t="s">
        <v>69</v>
      </c>
      <c r="Q2211" s="4" t="s">
        <v>5886</v>
      </c>
      <c r="R2211" s="4"/>
      <c r="S2211" s="12" t="s">
        <v>5824</v>
      </c>
      <c r="T2211" s="5"/>
      <c r="U2211" s="4"/>
      <c r="V2211" s="11"/>
      <c r="W2211" s="5"/>
      <c r="X2211" s="11"/>
      <c r="Y2211" s="4"/>
      <c r="Z2211" s="5"/>
      <c r="AA2211" s="4"/>
      <c r="AB2211" s="4"/>
      <c r="AC2211" s="4"/>
      <c r="AD2211" s="4"/>
      <c r="AE2211" s="5"/>
      <c r="AF2211" s="5"/>
      <c r="AG2211" s="5"/>
      <c r="AH2211" s="5"/>
      <c r="AI2211" s="5"/>
      <c r="AJ2211" s="5"/>
      <c r="AK2211" s="5"/>
      <c r="AL2211" s="5"/>
    </row>
    <row r="2212">
      <c r="A2212" s="4" t="str">
        <f>VLOOKUP(L2212,payment_ids!C:D,2,FALSE)</f>
        <v>pay_HGW7RUv8st9ZQF</v>
      </c>
      <c r="B2212" s="4"/>
      <c r="C2212" s="4" t="s">
        <v>5822</v>
      </c>
      <c r="D2212" s="4">
        <v>50054.0</v>
      </c>
      <c r="E2212" s="5"/>
      <c r="F2212" s="4">
        <v>6.0</v>
      </c>
      <c r="G2212" s="4">
        <v>349.0</v>
      </c>
      <c r="H2212" s="4"/>
      <c r="I2212" s="4">
        <v>349.0</v>
      </c>
      <c r="J2212" s="4" t="s">
        <v>5887</v>
      </c>
      <c r="K2212" s="5">
        <f>+919850884696</f>
        <v>919850884696</v>
      </c>
      <c r="L2212" s="4" t="str">
        <f t="shared" si="1"/>
        <v>purnimaverma68@yahoo.in919850884696</v>
      </c>
      <c r="M2212" s="10" t="s">
        <v>67</v>
      </c>
      <c r="N2212" s="4" t="b">
        <v>0</v>
      </c>
      <c r="O2212" s="4" t="str">
        <f>VLOOKUP(A2212,payment_ids!D:E,2,FALSE)</f>
        <v>upi</v>
      </c>
      <c r="P2212" s="4" t="s">
        <v>69</v>
      </c>
      <c r="Q2212" s="4" t="s">
        <v>5888</v>
      </c>
      <c r="R2212" s="4"/>
      <c r="S2212" s="12" t="s">
        <v>5824</v>
      </c>
      <c r="T2212" s="5"/>
      <c r="U2212" s="4"/>
      <c r="V2212" s="11"/>
      <c r="W2212" s="5"/>
      <c r="X2212" s="11"/>
      <c r="Y2212" s="4"/>
      <c r="Z2212" s="5"/>
      <c r="AA2212" s="4"/>
      <c r="AB2212" s="4"/>
      <c r="AC2212" s="4"/>
      <c r="AD2212" s="4"/>
      <c r="AE2212" s="5"/>
      <c r="AF2212" s="5"/>
      <c r="AG2212" s="5"/>
      <c r="AH2212" s="5"/>
      <c r="AI2212" s="5"/>
      <c r="AJ2212" s="5"/>
      <c r="AK2212" s="5"/>
      <c r="AL2212" s="5"/>
    </row>
    <row r="2213">
      <c r="A2213" s="4" t="str">
        <f>VLOOKUP(L2213,payment_ids!C:D,2,FALSE)</f>
        <v>pay_HGYtXsfdacl3au</v>
      </c>
      <c r="B2213" s="4"/>
      <c r="C2213" s="4" t="s">
        <v>5822</v>
      </c>
      <c r="D2213" s="4">
        <v>50054.0</v>
      </c>
      <c r="E2213" s="5"/>
      <c r="F2213" s="4">
        <v>6.0</v>
      </c>
      <c r="G2213" s="4">
        <v>349.0</v>
      </c>
      <c r="H2213" s="4"/>
      <c r="I2213" s="4">
        <v>349.0</v>
      </c>
      <c r="J2213" s="4" t="s">
        <v>5889</v>
      </c>
      <c r="K2213" s="5">
        <f>+919742951234</f>
        <v>919742951234</v>
      </c>
      <c r="L2213" s="4" t="str">
        <f t="shared" si="1"/>
        <v>mohankv0904@gmail.com919742951234</v>
      </c>
      <c r="M2213" s="10" t="s">
        <v>67</v>
      </c>
      <c r="N2213" s="4" t="b">
        <v>0</v>
      </c>
      <c r="O2213" s="4" t="str">
        <f>VLOOKUP(A2213,payment_ids!D:E,2,FALSE)</f>
        <v>card</v>
      </c>
      <c r="P2213" s="4" t="s">
        <v>69</v>
      </c>
      <c r="Q2213" s="4" t="s">
        <v>5890</v>
      </c>
      <c r="R2213" s="4"/>
      <c r="S2213" s="12" t="s">
        <v>5824</v>
      </c>
      <c r="T2213" s="5"/>
      <c r="U2213" s="4"/>
      <c r="V2213" s="11"/>
      <c r="W2213" s="5"/>
      <c r="X2213" s="11"/>
      <c r="Y2213" s="4"/>
      <c r="Z2213" s="5"/>
      <c r="AA2213" s="4"/>
      <c r="AB2213" s="4"/>
      <c r="AC2213" s="4"/>
      <c r="AD2213" s="4"/>
      <c r="AE2213" s="5"/>
      <c r="AF2213" s="5"/>
      <c r="AG2213" s="5"/>
      <c r="AH2213" s="5"/>
      <c r="AI2213" s="5"/>
      <c r="AJ2213" s="5"/>
      <c r="AK2213" s="5"/>
      <c r="AL2213" s="5"/>
    </row>
    <row r="2214">
      <c r="A2214" s="4" t="str">
        <f>VLOOKUP(L2214,payment_ids!C:D,2,FALSE)</f>
        <v>pay_HGdNLmkv1S8LmZ</v>
      </c>
      <c r="B2214" s="4"/>
      <c r="C2214" s="4" t="s">
        <v>5822</v>
      </c>
      <c r="D2214" s="4">
        <v>50054.0</v>
      </c>
      <c r="E2214" s="5"/>
      <c r="F2214" s="4">
        <v>6.0</v>
      </c>
      <c r="G2214" s="4">
        <v>349.0</v>
      </c>
      <c r="H2214" s="4"/>
      <c r="I2214" s="4">
        <v>349.0</v>
      </c>
      <c r="J2214" s="4" t="s">
        <v>5891</v>
      </c>
      <c r="K2214" s="5">
        <f>+917304442700</f>
        <v>917304442700</v>
      </c>
      <c r="L2214" s="4" t="str">
        <f t="shared" si="1"/>
        <v>yedrahul@gmail.com917304442700</v>
      </c>
      <c r="M2214" s="10" t="s">
        <v>67</v>
      </c>
      <c r="N2214" s="4" t="b">
        <v>0</v>
      </c>
      <c r="O2214" s="4" t="str">
        <f>VLOOKUP(A2214,payment_ids!D:E,2,FALSE)</f>
        <v>upi</v>
      </c>
      <c r="P2214" s="4" t="s">
        <v>69</v>
      </c>
      <c r="Q2214" s="4" t="s">
        <v>5892</v>
      </c>
      <c r="R2214" s="4"/>
      <c r="S2214" s="12" t="s">
        <v>5824</v>
      </c>
      <c r="T2214" s="5"/>
      <c r="U2214" s="4"/>
      <c r="V2214" s="11"/>
      <c r="W2214" s="5"/>
      <c r="X2214" s="11"/>
      <c r="Y2214" s="4"/>
      <c r="Z2214" s="5"/>
      <c r="AA2214" s="4"/>
      <c r="AB2214" s="4"/>
      <c r="AC2214" s="4"/>
      <c r="AD2214" s="4"/>
      <c r="AE2214" s="5"/>
      <c r="AF2214" s="5"/>
      <c r="AG2214" s="5"/>
      <c r="AH2214" s="5"/>
      <c r="AI2214" s="5"/>
      <c r="AJ2214" s="5"/>
      <c r="AK2214" s="5"/>
      <c r="AL2214" s="5"/>
    </row>
    <row r="2215">
      <c r="A2215" s="4" t="str">
        <f>VLOOKUP(L2215,payment_ids!C:D,2,FALSE)</f>
        <v>pay_HGiGLakukNYCvh</v>
      </c>
      <c r="B2215" s="4"/>
      <c r="C2215" s="4" t="s">
        <v>5822</v>
      </c>
      <c r="D2215" s="4">
        <v>50054.0</v>
      </c>
      <c r="E2215" s="5"/>
      <c r="F2215" s="4">
        <v>1.0</v>
      </c>
      <c r="G2215" s="4">
        <v>99.0</v>
      </c>
      <c r="H2215" s="4"/>
      <c r="I2215" s="4">
        <v>99.0</v>
      </c>
      <c r="J2215" s="4" t="s">
        <v>5893</v>
      </c>
      <c r="K2215" s="5">
        <f>+919970959118</f>
        <v>919970959118</v>
      </c>
      <c r="L2215" s="4" t="str">
        <f t="shared" si="1"/>
        <v>vinodrameshpaliwal@gmail.com919970959118</v>
      </c>
      <c r="M2215" s="10" t="s">
        <v>67</v>
      </c>
      <c r="N2215" s="4" t="b">
        <v>0</v>
      </c>
      <c r="O2215" s="4" t="str">
        <f>VLOOKUP(A2215,payment_ids!D:E,2,FALSE)</f>
        <v>wallet</v>
      </c>
      <c r="P2215" s="4" t="s">
        <v>69</v>
      </c>
      <c r="Q2215" s="4" t="s">
        <v>5894</v>
      </c>
      <c r="R2215" s="4"/>
      <c r="S2215" s="12" t="s">
        <v>5824</v>
      </c>
      <c r="T2215" s="5"/>
      <c r="U2215" s="4"/>
      <c r="V2215" s="11"/>
      <c r="W2215" s="5"/>
      <c r="X2215" s="11"/>
      <c r="Y2215" s="4"/>
      <c r="Z2215" s="5"/>
      <c r="AA2215" s="4"/>
      <c r="AB2215" s="4"/>
      <c r="AC2215" s="4"/>
      <c r="AD2215" s="4"/>
      <c r="AE2215" s="5"/>
      <c r="AF2215" s="5"/>
      <c r="AG2215" s="5"/>
      <c r="AH2215" s="5"/>
      <c r="AI2215" s="5"/>
      <c r="AJ2215" s="5"/>
      <c r="AK2215" s="5"/>
      <c r="AL2215" s="5"/>
    </row>
    <row r="2216">
      <c r="A2216" s="4" t="str">
        <f>VLOOKUP(L2216,payment_ids!C:D,2,FALSE)</f>
        <v>pay_HGqUqpK3UQE2rj</v>
      </c>
      <c r="B2216" s="4"/>
      <c r="C2216" s="4" t="s">
        <v>5822</v>
      </c>
      <c r="D2216" s="4">
        <v>50054.0</v>
      </c>
      <c r="E2216" s="5"/>
      <c r="F2216" s="4">
        <v>3.0</v>
      </c>
      <c r="G2216" s="4">
        <v>199.0</v>
      </c>
      <c r="H2216" s="4"/>
      <c r="I2216" s="4">
        <v>199.0</v>
      </c>
      <c r="J2216" s="4" t="s">
        <v>5895</v>
      </c>
      <c r="K2216" s="5">
        <f>+917036380507</f>
        <v>917036380507</v>
      </c>
      <c r="L2216" s="4" t="str">
        <f t="shared" si="1"/>
        <v>umarani2004@gmail.com917036380507</v>
      </c>
      <c r="M2216" s="10" t="s">
        <v>67</v>
      </c>
      <c r="N2216" s="4" t="b">
        <v>0</v>
      </c>
      <c r="O2216" s="4" t="str">
        <f>VLOOKUP(A2216,payment_ids!D:E,2,FALSE)</f>
        <v>upi</v>
      </c>
      <c r="P2216" s="4" t="s">
        <v>69</v>
      </c>
      <c r="Q2216" s="4" t="s">
        <v>5896</v>
      </c>
      <c r="R2216" s="4"/>
      <c r="S2216" s="12" t="s">
        <v>5824</v>
      </c>
      <c r="T2216" s="5"/>
      <c r="U2216" s="5"/>
      <c r="V2216" s="11"/>
      <c r="W2216" s="5"/>
      <c r="X2216" s="11"/>
      <c r="Y2216" s="4"/>
      <c r="Z2216" s="5"/>
      <c r="AA2216" s="5"/>
      <c r="AB2216" s="4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</row>
    <row r="2217">
      <c r="A2217" s="4" t="str">
        <f>VLOOKUP(L2217,payment_ids!C:D,2,FALSE)</f>
        <v>pay_HGssEhhmAhegaO</v>
      </c>
      <c r="B2217" s="4"/>
      <c r="C2217" s="4" t="s">
        <v>5822</v>
      </c>
      <c r="D2217" s="4">
        <v>50054.0</v>
      </c>
      <c r="E2217" s="5"/>
      <c r="F2217" s="4">
        <v>1.0</v>
      </c>
      <c r="G2217" s="4">
        <v>99.0</v>
      </c>
      <c r="H2217" s="4"/>
      <c r="I2217" s="4">
        <v>99.0</v>
      </c>
      <c r="J2217" s="4" t="s">
        <v>5897</v>
      </c>
      <c r="K2217" s="5">
        <f>+918010468705</f>
        <v>918010468705</v>
      </c>
      <c r="L2217" s="4" t="str">
        <f t="shared" si="1"/>
        <v>tarotanjalli@gmail.com918010468705</v>
      </c>
      <c r="M2217" s="10" t="s">
        <v>67</v>
      </c>
      <c r="N2217" s="4" t="b">
        <v>0</v>
      </c>
      <c r="O2217" s="4" t="str">
        <f>VLOOKUP(A2217,payment_ids!D:E,2,FALSE)</f>
        <v>upi</v>
      </c>
      <c r="P2217" s="4" t="s">
        <v>69</v>
      </c>
      <c r="Q2217" s="4" t="s">
        <v>5898</v>
      </c>
      <c r="R2217" s="4"/>
      <c r="S2217" s="12" t="s">
        <v>5824</v>
      </c>
      <c r="T2217" s="5"/>
      <c r="U2217" s="4"/>
      <c r="V2217" s="11"/>
      <c r="W2217" s="5"/>
      <c r="X2217" s="11"/>
      <c r="Y2217" s="4"/>
      <c r="Z2217" s="5"/>
      <c r="AA2217" s="4"/>
      <c r="AB2217" s="4"/>
      <c r="AC2217" s="4"/>
      <c r="AD2217" s="4"/>
      <c r="AE2217" s="5"/>
      <c r="AF2217" s="5"/>
      <c r="AG2217" s="5"/>
      <c r="AH2217" s="5"/>
      <c r="AI2217" s="5"/>
      <c r="AJ2217" s="5"/>
      <c r="AK2217" s="5"/>
      <c r="AL2217" s="5"/>
    </row>
    <row r="2218">
      <c r="A2218" s="4" t="str">
        <f>VLOOKUP(L2218,payment_ids!C:D,2,FALSE)</f>
        <v>pay_HGwZGpeG42QrMy</v>
      </c>
      <c r="B2218" s="4"/>
      <c r="C2218" s="4" t="s">
        <v>5822</v>
      </c>
      <c r="D2218" s="4">
        <v>50054.0</v>
      </c>
      <c r="E2218" s="5"/>
      <c r="F2218" s="4">
        <v>3.0</v>
      </c>
      <c r="G2218" s="4">
        <v>199.0</v>
      </c>
      <c r="H2218" s="4"/>
      <c r="I2218" s="4">
        <v>199.0</v>
      </c>
      <c r="J2218" s="4" t="s">
        <v>5899</v>
      </c>
      <c r="K2218" s="5">
        <f>+919871843457</f>
        <v>919871843457</v>
      </c>
      <c r="L2218" s="4" t="str">
        <f t="shared" si="1"/>
        <v>anshu123h@gmail.com919871843457</v>
      </c>
      <c r="M2218" s="10" t="s">
        <v>67</v>
      </c>
      <c r="N2218" s="4" t="b">
        <v>0</v>
      </c>
      <c r="O2218" s="4" t="str">
        <f>VLOOKUP(A2218,payment_ids!D:E,2,FALSE)</f>
        <v>upi</v>
      </c>
      <c r="P2218" s="4" t="s">
        <v>69</v>
      </c>
      <c r="Q2218" s="4" t="s">
        <v>3468</v>
      </c>
      <c r="R2218" s="4"/>
      <c r="S2218" s="12" t="s">
        <v>5824</v>
      </c>
      <c r="T2218" s="5"/>
      <c r="U2218" s="5"/>
      <c r="V2218" s="11"/>
      <c r="W2218" s="5"/>
      <c r="X2218" s="11"/>
      <c r="Y2218" s="4"/>
      <c r="Z2218" s="5"/>
      <c r="AA2218" s="5"/>
      <c r="AB2218" s="4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</row>
    <row r="2219">
      <c r="A2219" s="4" t="str">
        <f>VLOOKUP(L2219,payment_ids!C:D,2,FALSE)</f>
        <v>pay_HH0H0yIxNPtvtH</v>
      </c>
      <c r="B2219" s="4"/>
      <c r="C2219" s="4" t="s">
        <v>5822</v>
      </c>
      <c r="D2219" s="4">
        <v>50054.0</v>
      </c>
      <c r="E2219" s="5"/>
      <c r="F2219" s="4">
        <v>3.0</v>
      </c>
      <c r="G2219" s="4">
        <v>199.0</v>
      </c>
      <c r="H2219" s="4"/>
      <c r="I2219" s="4">
        <v>199.0</v>
      </c>
      <c r="J2219" s="4" t="s">
        <v>5900</v>
      </c>
      <c r="K2219" s="5">
        <f>+919819986002</f>
        <v>919819986002</v>
      </c>
      <c r="L2219" s="4" t="str">
        <f t="shared" si="1"/>
        <v>banerjeelipi121@gmail.com919819986002</v>
      </c>
      <c r="M2219" s="10" t="s">
        <v>67</v>
      </c>
      <c r="N2219" s="4" t="b">
        <v>0</v>
      </c>
      <c r="O2219" s="4" t="str">
        <f>VLOOKUP(A2219,payment_ids!D:E,2,FALSE)</f>
        <v>upi</v>
      </c>
      <c r="P2219" s="4" t="s">
        <v>69</v>
      </c>
      <c r="Q2219" s="4" t="s">
        <v>5901</v>
      </c>
      <c r="R2219" s="4"/>
      <c r="S2219" s="12" t="s">
        <v>5824</v>
      </c>
      <c r="T2219" s="5"/>
      <c r="U2219" s="4"/>
      <c r="V2219" s="11"/>
      <c r="W2219" s="5"/>
      <c r="X2219" s="11"/>
      <c r="Y2219" s="4"/>
      <c r="Z2219" s="5"/>
      <c r="AA2219" s="4"/>
      <c r="AB2219" s="4"/>
      <c r="AC2219" s="4"/>
      <c r="AD2219" s="4"/>
      <c r="AE2219" s="5"/>
      <c r="AF2219" s="5"/>
      <c r="AG2219" s="5"/>
      <c r="AH2219" s="5"/>
      <c r="AI2219" s="5"/>
      <c r="AJ2219" s="5"/>
      <c r="AK2219" s="5"/>
      <c r="AL2219" s="5"/>
    </row>
    <row r="2220">
      <c r="A2220" s="4" t="str">
        <f>VLOOKUP(L2220,payment_ids!C:D,2,FALSE)</f>
        <v>pay_HH5VnpBuQUCGIR</v>
      </c>
      <c r="B2220" s="4"/>
      <c r="C2220" s="4" t="s">
        <v>5822</v>
      </c>
      <c r="D2220" s="4">
        <v>50054.0</v>
      </c>
      <c r="E2220" s="5"/>
      <c r="F2220" s="4">
        <v>1.0</v>
      </c>
      <c r="G2220" s="4">
        <v>99.0</v>
      </c>
      <c r="H2220" s="4"/>
      <c r="I2220" s="4">
        <v>99.0</v>
      </c>
      <c r="J2220" s="4" t="s">
        <v>5902</v>
      </c>
      <c r="K2220" s="5">
        <f>+917506779872</f>
        <v>917506779872</v>
      </c>
      <c r="L2220" s="4" t="str">
        <f t="shared" si="1"/>
        <v>rohitkhandelwal21@gmail.com917506779872</v>
      </c>
      <c r="M2220" s="10" t="s">
        <v>67</v>
      </c>
      <c r="N2220" s="4" t="b">
        <v>0</v>
      </c>
      <c r="O2220" s="4" t="str">
        <f>VLOOKUP(A2220,payment_ids!D:E,2,FALSE)</f>
        <v>upi</v>
      </c>
      <c r="P2220" s="4" t="s">
        <v>69</v>
      </c>
      <c r="Q2220" s="4" t="s">
        <v>5903</v>
      </c>
      <c r="R2220" s="4"/>
      <c r="S2220" s="12" t="s">
        <v>5824</v>
      </c>
      <c r="T2220" s="5"/>
      <c r="U2220" s="5"/>
      <c r="V2220" s="11"/>
      <c r="W2220" s="5"/>
      <c r="X2220" s="11"/>
      <c r="Y2220" s="4"/>
      <c r="Z2220" s="5"/>
      <c r="AA2220" s="5"/>
      <c r="AB2220" s="4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</row>
    <row r="2221">
      <c r="A2221" s="4" t="str">
        <f>VLOOKUP(L2221,payment_ids!C:D,2,FALSE)</f>
        <v>pay_HH5uYVDFO2vlIC</v>
      </c>
      <c r="B2221" s="4"/>
      <c r="C2221" s="4" t="s">
        <v>5822</v>
      </c>
      <c r="D2221" s="4">
        <v>50054.0</v>
      </c>
      <c r="E2221" s="5"/>
      <c r="F2221" s="4">
        <v>1.0</v>
      </c>
      <c r="G2221" s="4">
        <v>99.0</v>
      </c>
      <c r="H2221" s="4"/>
      <c r="I2221" s="4">
        <v>99.0</v>
      </c>
      <c r="J2221" s="4" t="s">
        <v>5904</v>
      </c>
      <c r="K2221" s="5">
        <f>+919641503353</f>
        <v>919641503353</v>
      </c>
      <c r="L2221" s="4" t="str">
        <f t="shared" si="1"/>
        <v>aritriyabanerjee62@gmail.com919641503353</v>
      </c>
      <c r="M2221" s="10" t="s">
        <v>67</v>
      </c>
      <c r="N2221" s="4" t="b">
        <v>0</v>
      </c>
      <c r="O2221" s="4" t="str">
        <f>VLOOKUP(A2221,payment_ids!D:E,2,FALSE)</f>
        <v>upi</v>
      </c>
      <c r="P2221" s="4" t="s">
        <v>69</v>
      </c>
      <c r="Q2221" s="4" t="s">
        <v>5905</v>
      </c>
      <c r="R2221" s="4"/>
      <c r="S2221" s="12" t="s">
        <v>5824</v>
      </c>
      <c r="T2221" s="5"/>
      <c r="U2221" s="5"/>
      <c r="V2221" s="11"/>
      <c r="W2221" s="5"/>
      <c r="X2221" s="11"/>
      <c r="Y2221" s="4"/>
      <c r="Z2221" s="5"/>
      <c r="AA2221" s="5"/>
      <c r="AB2221" s="4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</row>
    <row r="2222">
      <c r="A2222" s="4" t="str">
        <f>VLOOKUP(L2222,payment_ids!C:D,2,FALSE)</f>
        <v>pay_HHEcKHCfAOMTp4</v>
      </c>
      <c r="B2222" s="4"/>
      <c r="C2222" s="4" t="s">
        <v>5822</v>
      </c>
      <c r="D2222" s="4">
        <v>50054.0</v>
      </c>
      <c r="E2222" s="5"/>
      <c r="F2222" s="4">
        <v>1.0</v>
      </c>
      <c r="G2222" s="4">
        <v>99.0</v>
      </c>
      <c r="H2222" s="4"/>
      <c r="I2222" s="4">
        <v>99.0</v>
      </c>
      <c r="J2222" s="4" t="s">
        <v>5906</v>
      </c>
      <c r="K2222" s="5">
        <f>+919840188430</f>
        <v>919840188430</v>
      </c>
      <c r="L2222" s="4" t="str">
        <f t="shared" si="1"/>
        <v>mantrayatra@gmail.com919840188430</v>
      </c>
      <c r="M2222" s="10" t="s">
        <v>67</v>
      </c>
      <c r="N2222" s="4" t="b">
        <v>0</v>
      </c>
      <c r="O2222" s="4" t="str">
        <f>VLOOKUP(A2222,payment_ids!D:E,2,FALSE)</f>
        <v>card</v>
      </c>
      <c r="P2222" s="4" t="s">
        <v>69</v>
      </c>
      <c r="Q2222" s="4" t="s">
        <v>5907</v>
      </c>
      <c r="R2222" s="4"/>
      <c r="S2222" s="12" t="s">
        <v>5824</v>
      </c>
      <c r="T2222" s="5"/>
      <c r="U2222" s="5"/>
      <c r="V2222" s="11"/>
      <c r="W2222" s="5"/>
      <c r="X2222" s="11"/>
      <c r="Y2222" s="4"/>
      <c r="Z2222" s="5"/>
      <c r="AA2222" s="5"/>
      <c r="AB2222" s="4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</row>
    <row r="2223">
      <c r="A2223" s="4" t="str">
        <f>VLOOKUP(L2223,payment_ids!C:D,2,FALSE)</f>
        <v>pay_HHJJRuXSzsqQsE</v>
      </c>
      <c r="B2223" s="4"/>
      <c r="C2223" s="4" t="s">
        <v>5822</v>
      </c>
      <c r="D2223" s="4">
        <v>50054.0</v>
      </c>
      <c r="E2223" s="5"/>
      <c r="F2223" s="4">
        <v>1.0</v>
      </c>
      <c r="G2223" s="4">
        <v>99.0</v>
      </c>
      <c r="H2223" s="4"/>
      <c r="I2223" s="4">
        <v>99.0</v>
      </c>
      <c r="J2223" s="4" t="s">
        <v>5908</v>
      </c>
      <c r="K2223" s="5">
        <f>+919582829303</f>
        <v>919582829303</v>
      </c>
      <c r="L2223" s="4" t="str">
        <f t="shared" si="1"/>
        <v>vijaynareshs272@gmail.com919582829303</v>
      </c>
      <c r="M2223" s="10" t="s">
        <v>67</v>
      </c>
      <c r="N2223" s="4" t="b">
        <v>0</v>
      </c>
      <c r="O2223" s="4" t="str">
        <f>VLOOKUP(A2223,payment_ids!D:E,2,FALSE)</f>
        <v>upi</v>
      </c>
      <c r="P2223" s="4" t="s">
        <v>69</v>
      </c>
      <c r="Q2223" s="4" t="s">
        <v>5909</v>
      </c>
      <c r="R2223" s="4"/>
      <c r="S2223" s="12" t="s">
        <v>5824</v>
      </c>
      <c r="T2223" s="5"/>
      <c r="U2223" s="4"/>
      <c r="V2223" s="11"/>
      <c r="W2223" s="5"/>
      <c r="X2223" s="11"/>
      <c r="Y2223" s="4"/>
      <c r="Z2223" s="5"/>
      <c r="AA2223" s="4"/>
      <c r="AB2223" s="4"/>
      <c r="AC2223" s="4"/>
      <c r="AD2223" s="4"/>
      <c r="AE2223" s="5"/>
      <c r="AF2223" s="5"/>
      <c r="AG2223" s="5"/>
      <c r="AH2223" s="5"/>
      <c r="AI2223" s="5"/>
      <c r="AJ2223" s="5"/>
      <c r="AK2223" s="5"/>
      <c r="AL2223" s="5"/>
    </row>
    <row r="2224">
      <c r="A2224" s="4" t="str">
        <f>VLOOKUP(L2224,payment_ids!C:D,2,FALSE)</f>
        <v>pay_HHRJWY4mMvm3aR</v>
      </c>
      <c r="B2224" s="4"/>
      <c r="C2224" s="4" t="s">
        <v>5822</v>
      </c>
      <c r="D2224" s="4">
        <v>50054.0</v>
      </c>
      <c r="E2224" s="5"/>
      <c r="F2224" s="4">
        <v>1.0</v>
      </c>
      <c r="G2224" s="4">
        <v>99.0</v>
      </c>
      <c r="H2224" s="4"/>
      <c r="I2224" s="4">
        <v>99.0</v>
      </c>
      <c r="J2224" s="4" t="s">
        <v>5910</v>
      </c>
      <c r="K2224" s="5">
        <f>+918606421106</f>
        <v>918606421106</v>
      </c>
      <c r="L2224" s="4" t="str">
        <f t="shared" si="1"/>
        <v>kumars1979@rediffmail.com918606421106</v>
      </c>
      <c r="M2224" s="10" t="s">
        <v>67</v>
      </c>
      <c r="N2224" s="4" t="b">
        <v>0</v>
      </c>
      <c r="O2224" s="4" t="str">
        <f>VLOOKUP(A2224,payment_ids!D:E,2,FALSE)</f>
        <v>upi</v>
      </c>
      <c r="P2224" s="4" t="s">
        <v>69</v>
      </c>
      <c r="Q2224" s="4" t="s">
        <v>5911</v>
      </c>
      <c r="R2224" s="4"/>
      <c r="S2224" s="12" t="s">
        <v>5824</v>
      </c>
      <c r="T2224" s="5"/>
      <c r="U2224" s="4"/>
      <c r="V2224" s="11"/>
      <c r="W2224" s="5"/>
      <c r="X2224" s="11"/>
      <c r="Y2224" s="4"/>
      <c r="Z2224" s="5"/>
      <c r="AA2224" s="4"/>
      <c r="AB2224" s="4"/>
      <c r="AC2224" s="4"/>
      <c r="AD2224" s="4"/>
      <c r="AE2224" s="5"/>
      <c r="AF2224" s="5"/>
      <c r="AG2224" s="5"/>
      <c r="AH2224" s="5"/>
      <c r="AI2224" s="5"/>
      <c r="AJ2224" s="5"/>
      <c r="AK2224" s="5"/>
      <c r="AL2224" s="5"/>
    </row>
    <row r="2225">
      <c r="A2225" s="4" t="str">
        <f>VLOOKUP(L2225,payment_ids!C:D,2,FALSE)</f>
        <v>pay_HHTFNa1ob84DcW</v>
      </c>
      <c r="B2225" s="4"/>
      <c r="C2225" s="4" t="s">
        <v>5822</v>
      </c>
      <c r="D2225" s="4">
        <v>50054.0</v>
      </c>
      <c r="E2225" s="5"/>
      <c r="F2225" s="4">
        <v>1.0</v>
      </c>
      <c r="G2225" s="4">
        <v>99.0</v>
      </c>
      <c r="H2225" s="4"/>
      <c r="I2225" s="4">
        <v>99.0</v>
      </c>
      <c r="J2225" s="4" t="s">
        <v>5912</v>
      </c>
      <c r="K2225" s="5">
        <f>+919500002131</f>
        <v>919500002131</v>
      </c>
      <c r="L2225" s="4" t="str">
        <f t="shared" si="1"/>
        <v>thirupathy.saravanaraju@gmail.com919500002131</v>
      </c>
      <c r="M2225" s="10" t="s">
        <v>67</v>
      </c>
      <c r="N2225" s="4" t="b">
        <v>0</v>
      </c>
      <c r="O2225" s="4" t="str">
        <f>VLOOKUP(A2225,payment_ids!D:E,2,FALSE)</f>
        <v>upi</v>
      </c>
      <c r="P2225" s="4" t="s">
        <v>69</v>
      </c>
      <c r="Q2225" s="4" t="s">
        <v>5913</v>
      </c>
      <c r="R2225" s="4"/>
      <c r="S2225" s="12" t="s">
        <v>5824</v>
      </c>
      <c r="T2225" s="5"/>
      <c r="U2225" s="5"/>
      <c r="V2225" s="11"/>
      <c r="W2225" s="5"/>
      <c r="X2225" s="11"/>
      <c r="Y2225" s="4"/>
      <c r="Z2225" s="5"/>
      <c r="AA2225" s="5"/>
      <c r="AB2225" s="4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</row>
    <row r="2226">
      <c r="A2226" s="4" t="str">
        <f>VLOOKUP(L2226,payment_ids!C:D,2,FALSE)</f>
        <v>pay_HHeIINQbvYIXUl</v>
      </c>
      <c r="B2226" s="4"/>
      <c r="C2226" s="4" t="s">
        <v>5822</v>
      </c>
      <c r="D2226" s="4">
        <v>50054.0</v>
      </c>
      <c r="E2226" s="5"/>
      <c r="F2226" s="4">
        <v>1.0</v>
      </c>
      <c r="G2226" s="4">
        <v>99.0</v>
      </c>
      <c r="H2226" s="4"/>
      <c r="I2226" s="4">
        <v>99.0</v>
      </c>
      <c r="J2226" s="4" t="s">
        <v>5914</v>
      </c>
      <c r="K2226" s="5">
        <f>+919958019752</f>
        <v>919958019752</v>
      </c>
      <c r="L2226" s="4" t="str">
        <f t="shared" si="1"/>
        <v>monicahira29@yahoo.com919958019752</v>
      </c>
      <c r="M2226" s="10" t="s">
        <v>67</v>
      </c>
      <c r="N2226" s="4" t="b">
        <v>0</v>
      </c>
      <c r="O2226" s="4" t="str">
        <f>VLOOKUP(A2226,payment_ids!D:E,2,FALSE)</f>
        <v>card</v>
      </c>
      <c r="P2226" s="4" t="s">
        <v>69</v>
      </c>
      <c r="Q2226" s="11">
        <v>44202.379166666666</v>
      </c>
      <c r="R2226" s="4"/>
      <c r="S2226" s="12" t="s">
        <v>5824</v>
      </c>
      <c r="T2226" s="5"/>
      <c r="U2226" s="4"/>
      <c r="V2226" s="11"/>
      <c r="W2226" s="5"/>
      <c r="X2226" s="11"/>
      <c r="Y2226" s="4"/>
      <c r="Z2226" s="5"/>
      <c r="AA2226" s="4"/>
      <c r="AB2226" s="4"/>
      <c r="AC2226" s="4"/>
      <c r="AD2226" s="4"/>
      <c r="AE2226" s="5"/>
      <c r="AF2226" s="5"/>
      <c r="AG2226" s="5"/>
      <c r="AH2226" s="5"/>
      <c r="AI2226" s="5"/>
      <c r="AJ2226" s="5"/>
      <c r="AK2226" s="5"/>
      <c r="AL2226" s="5"/>
    </row>
    <row r="2227">
      <c r="A2227" s="4" t="str">
        <f>VLOOKUP(L2227,payment_ids!C:D,2,FALSE)</f>
        <v>pay_HI0s8W8YXEvVTz</v>
      </c>
      <c r="B2227" s="4"/>
      <c r="C2227" s="4" t="s">
        <v>5822</v>
      </c>
      <c r="D2227" s="4">
        <v>50054.0</v>
      </c>
      <c r="E2227" s="5"/>
      <c r="F2227" s="4">
        <v>6.0</v>
      </c>
      <c r="G2227" s="4">
        <v>349.0</v>
      </c>
      <c r="H2227" s="4"/>
      <c r="I2227" s="4">
        <v>349.0</v>
      </c>
      <c r="J2227" s="4" t="s">
        <v>5915</v>
      </c>
      <c r="K2227" s="5">
        <f>+919075382534</f>
        <v>919075382534</v>
      </c>
      <c r="L2227" s="4" t="str">
        <f t="shared" si="1"/>
        <v>blackhamelizabeth@gmail.com919075382534</v>
      </c>
      <c r="M2227" s="10" t="s">
        <v>67</v>
      </c>
      <c r="N2227" s="4" t="b">
        <v>0</v>
      </c>
      <c r="O2227" s="4" t="str">
        <f>VLOOKUP(A2227,payment_ids!D:E,2,FALSE)</f>
        <v>netbanking</v>
      </c>
      <c r="P2227" s="4" t="s">
        <v>69</v>
      </c>
      <c r="Q2227" s="11">
        <v>44233.299305555556</v>
      </c>
      <c r="R2227" s="4"/>
      <c r="S2227" s="12" t="s">
        <v>5824</v>
      </c>
      <c r="T2227" s="5"/>
      <c r="U2227" s="5"/>
      <c r="V2227" s="11"/>
      <c r="W2227" s="5"/>
      <c r="X2227" s="11"/>
      <c r="Y2227" s="4"/>
      <c r="Z2227" s="5"/>
      <c r="AA2227" s="5"/>
      <c r="AB2227" s="4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</row>
    <row r="2228">
      <c r="A2228" s="4" t="str">
        <f>VLOOKUP(L2228,payment_ids!C:D,2,FALSE)</f>
        <v>pay_HI7q3AT03myws5</v>
      </c>
      <c r="B2228" s="4"/>
      <c r="C2228" s="4" t="s">
        <v>5822</v>
      </c>
      <c r="D2228" s="4">
        <v>50054.0</v>
      </c>
      <c r="E2228" s="5"/>
      <c r="F2228" s="4">
        <v>1.0</v>
      </c>
      <c r="G2228" s="4">
        <v>99.0</v>
      </c>
      <c r="H2228" s="4"/>
      <c r="I2228" s="4">
        <v>99.0</v>
      </c>
      <c r="J2228" s="4" t="s">
        <v>5916</v>
      </c>
      <c r="K2228" s="5">
        <f>+919747905797</f>
        <v>919747905797</v>
      </c>
      <c r="L2228" s="4" t="str">
        <f t="shared" si="1"/>
        <v>rajan.karthik7@gmail.com919747905797</v>
      </c>
      <c r="M2228" s="10" t="s">
        <v>67</v>
      </c>
      <c r="N2228" s="4" t="b">
        <v>0</v>
      </c>
      <c r="O2228" s="4" t="str">
        <f>VLOOKUP(A2228,payment_ids!D:E,2,FALSE)</f>
        <v>upi</v>
      </c>
      <c r="P2228" s="4" t="s">
        <v>69</v>
      </c>
      <c r="Q2228" s="11">
        <v>44233.584027777775</v>
      </c>
      <c r="R2228" s="4"/>
      <c r="S2228" s="12" t="s">
        <v>5824</v>
      </c>
      <c r="T2228" s="5"/>
      <c r="U2228" s="4"/>
      <c r="V2228" s="11"/>
      <c r="W2228" s="5"/>
      <c r="X2228" s="11"/>
      <c r="Y2228" s="4"/>
      <c r="Z2228" s="5"/>
      <c r="AA2228" s="4"/>
      <c r="AB2228" s="4"/>
      <c r="AC2228" s="4"/>
      <c r="AD2228" s="4"/>
      <c r="AE2228" s="5"/>
      <c r="AF2228" s="5"/>
      <c r="AG2228" s="5"/>
      <c r="AH2228" s="5"/>
      <c r="AI2228" s="5"/>
      <c r="AJ2228" s="5"/>
      <c r="AK2228" s="5"/>
      <c r="AL2228" s="5"/>
    </row>
    <row r="2229">
      <c r="A2229" s="4" t="str">
        <f>VLOOKUP(L2229,payment_ids!C:D,2,FALSE)</f>
        <v>pay_HIUdSceBMhcOg5</v>
      </c>
      <c r="B2229" s="4"/>
      <c r="C2229" s="4" t="s">
        <v>5822</v>
      </c>
      <c r="D2229" s="4">
        <v>50054.0</v>
      </c>
      <c r="E2229" s="5"/>
      <c r="F2229" s="4">
        <v>1.0</v>
      </c>
      <c r="G2229" s="4">
        <v>99.0</v>
      </c>
      <c r="H2229" s="4"/>
      <c r="I2229" s="4">
        <v>99.0</v>
      </c>
      <c r="J2229" s="4" t="s">
        <v>5917</v>
      </c>
      <c r="K2229" s="5">
        <f>+919673100939</f>
        <v>919673100939</v>
      </c>
      <c r="L2229" s="4" t="str">
        <f t="shared" si="1"/>
        <v>rajpurohotpooja20@gmail.com919673100939</v>
      </c>
      <c r="M2229" s="10" t="s">
        <v>67</v>
      </c>
      <c r="N2229" s="4" t="b">
        <v>0</v>
      </c>
      <c r="O2229" s="4" t="str">
        <f>VLOOKUP(A2229,payment_ids!D:E,2,FALSE)</f>
        <v>upi</v>
      </c>
      <c r="P2229" s="4" t="s">
        <v>69</v>
      </c>
      <c r="Q2229" s="11">
        <v>44261.5125</v>
      </c>
      <c r="R2229" s="4"/>
      <c r="S2229" s="12" t="s">
        <v>5824</v>
      </c>
      <c r="T2229" s="5"/>
      <c r="U2229" s="4"/>
      <c r="V2229" s="11"/>
      <c r="W2229" s="5"/>
      <c r="X2229" s="11"/>
      <c r="Y2229" s="4"/>
      <c r="Z2229" s="5"/>
      <c r="AA2229" s="4"/>
      <c r="AB2229" s="4"/>
      <c r="AC2229" s="4"/>
      <c r="AD2229" s="4"/>
      <c r="AE2229" s="5"/>
      <c r="AF2229" s="5"/>
      <c r="AG2229" s="5"/>
      <c r="AH2229" s="5"/>
      <c r="AI2229" s="5"/>
      <c r="AJ2229" s="5"/>
      <c r="AK2229" s="5"/>
      <c r="AL2229" s="5"/>
    </row>
    <row r="2230">
      <c r="A2230" s="4" t="str">
        <f>VLOOKUP(L2230,payment_ids!C:D,2,FALSE)</f>
        <v>pay_HIZgUFdGSr9KL0</v>
      </c>
      <c r="B2230" s="4"/>
      <c r="C2230" s="4" t="s">
        <v>5822</v>
      </c>
      <c r="D2230" s="4">
        <v>50054.0</v>
      </c>
      <c r="E2230" s="5"/>
      <c r="F2230" s="4">
        <v>3.0</v>
      </c>
      <c r="G2230" s="4">
        <v>199.0</v>
      </c>
      <c r="H2230" s="4"/>
      <c r="I2230" s="4">
        <v>199.0</v>
      </c>
      <c r="J2230" s="4" t="s">
        <v>5918</v>
      </c>
      <c r="K2230" s="5">
        <f>+919893043063</f>
        <v>919893043063</v>
      </c>
      <c r="L2230" s="4" t="str">
        <f t="shared" si="1"/>
        <v>suparna22277@gmail.com919893043063</v>
      </c>
      <c r="M2230" s="10" t="s">
        <v>67</v>
      </c>
      <c r="N2230" s="4" t="b">
        <v>0</v>
      </c>
      <c r="O2230" s="4" t="str">
        <f>VLOOKUP(A2230,payment_ids!D:E,2,FALSE)</f>
        <v>wallet</v>
      </c>
      <c r="P2230" s="4" t="s">
        <v>69</v>
      </c>
      <c r="Q2230" s="11">
        <v>44261.720138888886</v>
      </c>
      <c r="R2230" s="4"/>
      <c r="S2230" s="12" t="s">
        <v>5824</v>
      </c>
      <c r="T2230" s="5"/>
      <c r="U2230" s="4"/>
      <c r="V2230" s="11"/>
      <c r="W2230" s="5"/>
      <c r="X2230" s="11"/>
      <c r="Y2230" s="4"/>
      <c r="Z2230" s="5"/>
      <c r="AA2230" s="4"/>
      <c r="AB2230" s="4"/>
      <c r="AC2230" s="4"/>
      <c r="AD2230" s="4"/>
      <c r="AE2230" s="5"/>
      <c r="AF2230" s="5"/>
      <c r="AG2230" s="5"/>
      <c r="AH2230" s="5"/>
      <c r="AI2230" s="5"/>
      <c r="AJ2230" s="5"/>
      <c r="AK2230" s="5"/>
      <c r="AL2230" s="5"/>
    </row>
    <row r="2231">
      <c r="A2231" s="4" t="str">
        <f>VLOOKUP(L2231,payment_ids!C:D,2,FALSE)</f>
        <v>pay_HInGM0UY9Zmu1j</v>
      </c>
      <c r="B2231" s="4"/>
      <c r="C2231" s="4" t="s">
        <v>5822</v>
      </c>
      <c r="D2231" s="4">
        <v>50054.0</v>
      </c>
      <c r="E2231" s="5"/>
      <c r="F2231" s="4">
        <v>3.0</v>
      </c>
      <c r="G2231" s="4">
        <v>199.0</v>
      </c>
      <c r="H2231" s="4"/>
      <c r="I2231" s="4">
        <v>199.0</v>
      </c>
      <c r="J2231" s="4" t="s">
        <v>5919</v>
      </c>
      <c r="K2231" s="5">
        <f>+918249097433</f>
        <v>918249097433</v>
      </c>
      <c r="L2231" s="4" t="str">
        <f t="shared" si="1"/>
        <v>nirakardas.tutu@gmail.com918249097433</v>
      </c>
      <c r="M2231" s="10" t="s">
        <v>67</v>
      </c>
      <c r="N2231" s="4" t="b">
        <v>0</v>
      </c>
      <c r="O2231" s="4" t="str">
        <f>VLOOKUP(A2231,payment_ids!D:E,2,FALSE)</f>
        <v>wallet</v>
      </c>
      <c r="P2231" s="4" t="s">
        <v>69</v>
      </c>
      <c r="Q2231" s="11">
        <v>44292.27361111111</v>
      </c>
      <c r="R2231" s="4"/>
      <c r="S2231" s="12" t="s">
        <v>5824</v>
      </c>
      <c r="T2231" s="5"/>
      <c r="U2231" s="4"/>
      <c r="V2231" s="11"/>
      <c r="W2231" s="5"/>
      <c r="X2231" s="11"/>
      <c r="Y2231" s="4"/>
      <c r="Z2231" s="5"/>
      <c r="AA2231" s="4"/>
      <c r="AB2231" s="4"/>
      <c r="AC2231" s="4"/>
      <c r="AD2231" s="4"/>
      <c r="AE2231" s="5"/>
      <c r="AF2231" s="5"/>
      <c r="AG2231" s="5"/>
      <c r="AH2231" s="5"/>
      <c r="AI2231" s="5"/>
      <c r="AJ2231" s="5"/>
      <c r="AK2231" s="5"/>
      <c r="AL2231" s="5"/>
    </row>
    <row r="2232">
      <c r="A2232" s="4" t="str">
        <f>VLOOKUP(L2232,payment_ids!C:D,2,FALSE)</f>
        <v>pay_H8iUznqpQgG5Ys</v>
      </c>
      <c r="B2232" s="4"/>
      <c r="C2232" s="4" t="s">
        <v>5822</v>
      </c>
      <c r="D2232" s="4">
        <v>50054.0</v>
      </c>
      <c r="E2232" s="5"/>
      <c r="F2232" s="4">
        <v>1.0</v>
      </c>
      <c r="G2232" s="4">
        <v>99.0</v>
      </c>
      <c r="H2232" s="4"/>
      <c r="I2232" s="4">
        <v>99.0</v>
      </c>
      <c r="J2232" s="4" t="s">
        <v>5834</v>
      </c>
      <c r="K2232" s="5">
        <f>+919993209318</f>
        <v>919993209318</v>
      </c>
      <c r="L2232" s="4" t="str">
        <f t="shared" si="1"/>
        <v>gaurav.sindhiya@gmail.com919993209318</v>
      </c>
      <c r="M2232" s="10" t="s">
        <v>67</v>
      </c>
      <c r="N2232" s="4" t="b">
        <v>0</v>
      </c>
      <c r="O2232" s="4" t="str">
        <f>VLOOKUP(A2232,payment_ids!D:E,2,FALSE)</f>
        <v>wallet</v>
      </c>
      <c r="P2232" s="4" t="s">
        <v>69</v>
      </c>
      <c r="Q2232" s="11">
        <v>44292.36041666667</v>
      </c>
      <c r="R2232" s="4"/>
      <c r="S2232" s="12" t="s">
        <v>5824</v>
      </c>
      <c r="T2232" s="5"/>
      <c r="U2232" s="5"/>
      <c r="V2232" s="11"/>
      <c r="W2232" s="5"/>
      <c r="X2232" s="11"/>
      <c r="Y2232" s="4"/>
      <c r="Z2232" s="5"/>
      <c r="AA2232" s="5"/>
      <c r="AB2232" s="4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</row>
    <row r="2233">
      <c r="A2233" s="4" t="str">
        <f>VLOOKUP(L2233,payment_ids!C:D,2,FALSE)</f>
        <v>pay_HJFG3s7Nu7yMvi</v>
      </c>
      <c r="B2233" s="4"/>
      <c r="C2233" s="4" t="s">
        <v>5822</v>
      </c>
      <c r="D2233" s="4">
        <v>50054.0</v>
      </c>
      <c r="E2233" s="5"/>
      <c r="F2233" s="4">
        <v>1.0</v>
      </c>
      <c r="G2233" s="4">
        <v>99.0</v>
      </c>
      <c r="H2233" s="4"/>
      <c r="I2233" s="4">
        <v>99.0</v>
      </c>
      <c r="J2233" s="4" t="s">
        <v>5920</v>
      </c>
      <c r="K2233" s="5">
        <f>+919836212221</f>
        <v>919836212221</v>
      </c>
      <c r="L2233" s="4" t="str">
        <f t="shared" si="1"/>
        <v>srijoni.s@gmail.com919836212221</v>
      </c>
      <c r="M2233" s="10" t="s">
        <v>67</v>
      </c>
      <c r="N2233" s="4" t="b">
        <v>0</v>
      </c>
      <c r="O2233" s="4" t="str">
        <f>VLOOKUP(A2233,payment_ids!D:E,2,FALSE)</f>
        <v>upi</v>
      </c>
      <c r="P2233" s="4" t="s">
        <v>69</v>
      </c>
      <c r="Q2233" s="11">
        <v>44322.41527777778</v>
      </c>
      <c r="R2233" s="4"/>
      <c r="S2233" s="12" t="s">
        <v>5921</v>
      </c>
      <c r="T2233" s="5"/>
      <c r="U2233" s="4"/>
      <c r="V2233" s="11"/>
      <c r="W2233" s="5"/>
      <c r="X2233" s="11"/>
      <c r="Y2233" s="4"/>
      <c r="Z2233" s="5"/>
      <c r="AA2233" s="4"/>
      <c r="AB2233" s="4"/>
      <c r="AC2233" s="4"/>
      <c r="AD2233" s="4"/>
      <c r="AE2233" s="5"/>
      <c r="AF2233" s="5"/>
      <c r="AG2233" s="5"/>
      <c r="AH2233" s="5"/>
      <c r="AI2233" s="5"/>
      <c r="AJ2233" s="5"/>
      <c r="AK2233" s="5"/>
      <c r="AL2233" s="5"/>
    </row>
    <row r="2234">
      <c r="A2234" s="4" t="str">
        <f>VLOOKUP(L2234,payment_ids!C:D,2,FALSE)</f>
        <v>pay_H8m6rgwsbIIrPi</v>
      </c>
      <c r="B2234" s="4"/>
      <c r="C2234" s="4" t="s">
        <v>5822</v>
      </c>
      <c r="D2234" s="4">
        <v>50054.0</v>
      </c>
      <c r="E2234" s="5"/>
      <c r="F2234" s="4">
        <v>1.0</v>
      </c>
      <c r="G2234" s="4">
        <v>99.0</v>
      </c>
      <c r="H2234" s="4"/>
      <c r="I2234" s="4">
        <v>99.0</v>
      </c>
      <c r="J2234" s="4" t="s">
        <v>5835</v>
      </c>
      <c r="K2234" s="5">
        <f>+918375983569</f>
        <v>918375983569</v>
      </c>
      <c r="L2234" s="4" t="str">
        <f t="shared" si="1"/>
        <v>manjotkaurrathore@gmail.com918375983569</v>
      </c>
      <c r="M2234" s="10" t="s">
        <v>67</v>
      </c>
      <c r="N2234" s="4" t="b">
        <v>0</v>
      </c>
      <c r="O2234" s="4" t="str">
        <f>VLOOKUP(A2234,payment_ids!D:E,2,FALSE)</f>
        <v>card</v>
      </c>
      <c r="P2234" s="4" t="s">
        <v>69</v>
      </c>
      <c r="Q2234" s="11">
        <v>44322.506944444445</v>
      </c>
      <c r="R2234" s="4"/>
      <c r="S2234" s="12" t="s">
        <v>5824</v>
      </c>
      <c r="T2234" s="5"/>
      <c r="U2234" s="4"/>
      <c r="V2234" s="11"/>
      <c r="W2234" s="5"/>
      <c r="X2234" s="11"/>
      <c r="Y2234" s="4"/>
      <c r="Z2234" s="5"/>
      <c r="AA2234" s="4"/>
      <c r="AB2234" s="4"/>
      <c r="AC2234" s="4"/>
      <c r="AD2234" s="4"/>
      <c r="AE2234" s="5"/>
      <c r="AF2234" s="5"/>
      <c r="AG2234" s="5"/>
      <c r="AH2234" s="5"/>
      <c r="AI2234" s="5"/>
      <c r="AJ2234" s="5"/>
      <c r="AK2234" s="5"/>
      <c r="AL2234" s="5"/>
    </row>
    <row r="2235">
      <c r="A2235" s="4" t="str">
        <f>VLOOKUP(L2235,payment_ids!C:D,2,FALSE)</f>
        <v>pay_HJheQHNSeghjtl</v>
      </c>
      <c r="B2235" s="4"/>
      <c r="C2235" s="4" t="s">
        <v>5822</v>
      </c>
      <c r="D2235" s="4">
        <v>50054.0</v>
      </c>
      <c r="E2235" s="5"/>
      <c r="F2235" s="4">
        <v>1.0</v>
      </c>
      <c r="G2235" s="4">
        <v>99.0</v>
      </c>
      <c r="H2235" s="4"/>
      <c r="I2235" s="4">
        <v>99.0</v>
      </c>
      <c r="J2235" s="4" t="s">
        <v>5922</v>
      </c>
      <c r="K2235" s="5">
        <f>+919899978563</f>
        <v>919899978563</v>
      </c>
      <c r="L2235" s="4" t="str">
        <f t="shared" si="1"/>
        <v>nehayushi1424@gmail.com919899978563</v>
      </c>
      <c r="M2235" s="10" t="s">
        <v>67</v>
      </c>
      <c r="N2235" s="4" t="b">
        <v>0</v>
      </c>
      <c r="O2235" s="4" t="str">
        <f>VLOOKUP(A2235,payment_ids!D:E,2,FALSE)</f>
        <v>upi</v>
      </c>
      <c r="P2235" s="4" t="s">
        <v>69</v>
      </c>
      <c r="Q2235" s="11">
        <v>44353.57152777778</v>
      </c>
      <c r="R2235" s="4"/>
      <c r="S2235" s="12" t="s">
        <v>5824</v>
      </c>
      <c r="T2235" s="5"/>
      <c r="U2235" s="4"/>
      <c r="V2235" s="11"/>
      <c r="W2235" s="5"/>
      <c r="X2235" s="11"/>
      <c r="Y2235" s="4"/>
      <c r="Z2235" s="5"/>
      <c r="AA2235" s="4"/>
      <c r="AB2235" s="4"/>
      <c r="AC2235" s="4"/>
      <c r="AD2235" s="4"/>
      <c r="AE2235" s="5"/>
      <c r="AF2235" s="5"/>
      <c r="AG2235" s="5"/>
      <c r="AH2235" s="5"/>
      <c r="AI2235" s="5"/>
      <c r="AJ2235" s="5"/>
      <c r="AK2235" s="5"/>
      <c r="AL2235" s="5"/>
    </row>
    <row r="2236">
      <c r="A2236" s="4" t="str">
        <f>VLOOKUP(L2236,payment_ids!C:D,2,FALSE)</f>
        <v>pay_HJj6nIZzP6ovLe</v>
      </c>
      <c r="B2236" s="4"/>
      <c r="C2236" s="4" t="s">
        <v>5822</v>
      </c>
      <c r="D2236" s="4">
        <v>50054.0</v>
      </c>
      <c r="E2236" s="5"/>
      <c r="F2236" s="4">
        <v>1.0</v>
      </c>
      <c r="G2236" s="4">
        <v>99.0</v>
      </c>
      <c r="H2236" s="4"/>
      <c r="I2236" s="4">
        <v>99.0</v>
      </c>
      <c r="J2236" s="4" t="s">
        <v>2075</v>
      </c>
      <c r="K2236" s="5">
        <f>+918130226858</f>
        <v>918130226858</v>
      </c>
      <c r="L2236" s="4" t="str">
        <f t="shared" si="1"/>
        <v>sahibasodhi5217@gmail.com918130226858</v>
      </c>
      <c r="M2236" s="10" t="s">
        <v>67</v>
      </c>
      <c r="N2236" s="4" t="b">
        <v>0</v>
      </c>
      <c r="O2236" s="4" t="str">
        <f>VLOOKUP(A2236,payment_ids!D:E,2,FALSE)</f>
        <v>upi</v>
      </c>
      <c r="P2236" s="4" t="s">
        <v>69</v>
      </c>
      <c r="Q2236" s="11">
        <v>44353.62986111111</v>
      </c>
      <c r="R2236" s="4"/>
      <c r="S2236" s="12" t="s">
        <v>5921</v>
      </c>
      <c r="T2236" s="5"/>
      <c r="U2236" s="4"/>
      <c r="V2236" s="11"/>
      <c r="W2236" s="5"/>
      <c r="X2236" s="11"/>
      <c r="Y2236" s="4"/>
      <c r="Z2236" s="5"/>
      <c r="AA2236" s="4"/>
      <c r="AB2236" s="4"/>
      <c r="AC2236" s="4"/>
      <c r="AD2236" s="4"/>
      <c r="AE2236" s="5"/>
      <c r="AF2236" s="5"/>
      <c r="AG2236" s="5"/>
      <c r="AH2236" s="5"/>
      <c r="AI2236" s="5"/>
      <c r="AJ2236" s="5"/>
      <c r="AK2236" s="5"/>
      <c r="AL2236" s="5"/>
    </row>
    <row r="2237">
      <c r="A2237" s="4" t="str">
        <f>VLOOKUP(L2237,payment_ids!C:D,2,FALSE)</f>
        <v>pay_HK0LYIjJZeZwjf</v>
      </c>
      <c r="B2237" s="4"/>
      <c r="C2237" s="4" t="s">
        <v>5822</v>
      </c>
      <c r="D2237" s="4">
        <v>50054.0</v>
      </c>
      <c r="E2237" s="5"/>
      <c r="F2237" s="4">
        <v>1.0</v>
      </c>
      <c r="G2237" s="4">
        <v>99.0</v>
      </c>
      <c r="H2237" s="4"/>
      <c r="I2237" s="4">
        <v>99.0</v>
      </c>
      <c r="J2237" s="4" t="s">
        <v>5923</v>
      </c>
      <c r="K2237" s="5">
        <f>+919861879919</f>
        <v>919861879919</v>
      </c>
      <c r="L2237" s="4" t="str">
        <f t="shared" si="1"/>
        <v>sarojssahu@gmail.com919861879919</v>
      </c>
      <c r="M2237" s="10" t="s">
        <v>67</v>
      </c>
      <c r="N2237" s="4" t="b">
        <v>0</v>
      </c>
      <c r="O2237" s="4" t="str">
        <f>VLOOKUP(A2237,payment_ids!D:E,2,FALSE)</f>
        <v>upi</v>
      </c>
      <c r="P2237" s="4" t="s">
        <v>69</v>
      </c>
      <c r="Q2237" s="11">
        <v>44383.33263888889</v>
      </c>
      <c r="R2237" s="4"/>
      <c r="S2237" s="12" t="s">
        <v>5824</v>
      </c>
      <c r="T2237" s="5"/>
      <c r="U2237" s="5"/>
      <c r="V2237" s="11"/>
      <c r="W2237" s="5"/>
      <c r="X2237" s="11"/>
      <c r="Y2237" s="4"/>
      <c r="Z2237" s="5"/>
      <c r="AA2237" s="5"/>
      <c r="AB2237" s="4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</row>
    <row r="2238">
      <c r="A2238" s="4" t="str">
        <f>VLOOKUP(L2238,payment_ids!C:D,2,FALSE)</f>
        <v>pay_HK4DbYcjOnKZFl</v>
      </c>
      <c r="B2238" s="4"/>
      <c r="C2238" s="4" t="s">
        <v>5822</v>
      </c>
      <c r="D2238" s="4">
        <v>50054.0</v>
      </c>
      <c r="E2238" s="5"/>
      <c r="F2238" s="4">
        <v>1.0</v>
      </c>
      <c r="G2238" s="4">
        <v>99.0</v>
      </c>
      <c r="H2238" s="4"/>
      <c r="I2238" s="4">
        <v>99.0</v>
      </c>
      <c r="J2238" s="4" t="s">
        <v>5924</v>
      </c>
      <c r="K2238" s="5">
        <f>+919849338076</f>
        <v>919849338076</v>
      </c>
      <c r="L2238" s="4" t="str">
        <f t="shared" si="1"/>
        <v>bhartiyaashok59@gmail.com919849338076</v>
      </c>
      <c r="M2238" s="10" t="s">
        <v>67</v>
      </c>
      <c r="N2238" s="4" t="b">
        <v>0</v>
      </c>
      <c r="O2238" s="4" t="str">
        <f>VLOOKUP(A2238,payment_ids!D:E,2,FALSE)</f>
        <v>wallet</v>
      </c>
      <c r="P2238" s="4" t="s">
        <v>69</v>
      </c>
      <c r="Q2238" s="11">
        <v>44383.495833333334</v>
      </c>
      <c r="R2238" s="4"/>
      <c r="S2238" s="12" t="s">
        <v>5921</v>
      </c>
      <c r="T2238" s="5"/>
      <c r="U2238" s="4"/>
      <c r="V2238" s="11"/>
      <c r="W2238" s="5"/>
      <c r="X2238" s="11"/>
      <c r="Y2238" s="4"/>
      <c r="Z2238" s="5"/>
      <c r="AA2238" s="4"/>
      <c r="AB2238" s="4"/>
      <c r="AC2238" s="4"/>
      <c r="AD2238" s="4"/>
      <c r="AE2238" s="5"/>
      <c r="AF2238" s="5"/>
      <c r="AG2238" s="5"/>
      <c r="AH2238" s="5"/>
      <c r="AI2238" s="5"/>
      <c r="AJ2238" s="5"/>
      <c r="AK2238" s="5"/>
      <c r="AL2238" s="5"/>
    </row>
    <row r="2239">
      <c r="A2239" s="4" t="str">
        <f>VLOOKUP(L2239,payment_ids!C:D,2,FALSE)</f>
        <v>pay_HKBQCN26qRTM5M</v>
      </c>
      <c r="B2239" s="4"/>
      <c r="C2239" s="4" t="s">
        <v>5822</v>
      </c>
      <c r="D2239" s="4">
        <v>50054.0</v>
      </c>
      <c r="E2239" s="5"/>
      <c r="F2239" s="4">
        <v>1.0</v>
      </c>
      <c r="G2239" s="4">
        <v>99.0</v>
      </c>
      <c r="H2239" s="4"/>
      <c r="I2239" s="4">
        <v>99.0</v>
      </c>
      <c r="J2239" s="4" t="s">
        <v>5925</v>
      </c>
      <c r="K2239" s="5">
        <f>+918722390555</f>
        <v>918722390555</v>
      </c>
      <c r="L2239" s="4" t="str">
        <f t="shared" si="1"/>
        <v>saxenaaditya2001@gmail.com918722390555</v>
      </c>
      <c r="M2239" s="10" t="s">
        <v>67</v>
      </c>
      <c r="N2239" s="4" t="b">
        <v>0</v>
      </c>
      <c r="O2239" s="4" t="str">
        <f>VLOOKUP(A2239,payment_ids!D:E,2,FALSE)</f>
        <v>netbanking</v>
      </c>
      <c r="P2239" s="4" t="s">
        <v>69</v>
      </c>
      <c r="Q2239" s="11">
        <v>44383.78611111111</v>
      </c>
      <c r="R2239" s="4"/>
      <c r="S2239" s="12" t="s">
        <v>5921</v>
      </c>
      <c r="T2239" s="5"/>
      <c r="U2239" s="4"/>
      <c r="V2239" s="11"/>
      <c r="W2239" s="5"/>
      <c r="X2239" s="11"/>
      <c r="Y2239" s="4"/>
      <c r="Z2239" s="5"/>
      <c r="AA2239" s="4"/>
      <c r="AB2239" s="4"/>
      <c r="AC2239" s="4"/>
      <c r="AD2239" s="4"/>
      <c r="AE2239" s="5"/>
      <c r="AF2239" s="5"/>
      <c r="AG2239" s="5"/>
      <c r="AH2239" s="5"/>
      <c r="AI2239" s="5"/>
      <c r="AJ2239" s="5"/>
      <c r="AK2239" s="5"/>
      <c r="AL2239" s="5"/>
    </row>
    <row r="2240">
      <c r="A2240" s="4" t="str">
        <f>VLOOKUP(L2240,payment_ids!C:D,2,FALSE)</f>
        <v>pay_HKDstFHsA4tp0H</v>
      </c>
      <c r="B2240" s="4"/>
      <c r="C2240" s="4" t="s">
        <v>5822</v>
      </c>
      <c r="D2240" s="4">
        <v>50054.0</v>
      </c>
      <c r="E2240" s="5"/>
      <c r="F2240" s="4">
        <v>1.0</v>
      </c>
      <c r="G2240" s="4">
        <v>99.0</v>
      </c>
      <c r="H2240" s="4"/>
      <c r="I2240" s="4">
        <v>99.0</v>
      </c>
      <c r="J2240" s="4" t="s">
        <v>5926</v>
      </c>
      <c r="K2240" s="5">
        <f>+918968902833</f>
        <v>918968902833</v>
      </c>
      <c r="L2240" s="4" t="str">
        <f t="shared" si="1"/>
        <v>mukesh_billa@rediffmail.com918968902833</v>
      </c>
      <c r="M2240" s="10" t="s">
        <v>67</v>
      </c>
      <c r="N2240" s="4" t="b">
        <v>0</v>
      </c>
      <c r="O2240" s="4" t="str">
        <f>VLOOKUP(A2240,payment_ids!D:E,2,FALSE)</f>
        <v>upi</v>
      </c>
      <c r="P2240" s="4" t="s">
        <v>69</v>
      </c>
      <c r="Q2240" s="11">
        <v>44383.88402777778</v>
      </c>
      <c r="R2240" s="4"/>
      <c r="S2240" s="12" t="s">
        <v>5824</v>
      </c>
      <c r="T2240" s="5"/>
      <c r="U2240" s="4"/>
      <c r="V2240" s="11"/>
      <c r="W2240" s="5"/>
      <c r="X2240" s="11"/>
      <c r="Y2240" s="4"/>
      <c r="Z2240" s="5"/>
      <c r="AA2240" s="4"/>
      <c r="AB2240" s="4"/>
      <c r="AC2240" s="4"/>
      <c r="AD2240" s="4"/>
      <c r="AE2240" s="5"/>
      <c r="AF2240" s="5"/>
      <c r="AG2240" s="5"/>
      <c r="AH2240" s="5"/>
      <c r="AI2240" s="5"/>
      <c r="AJ2240" s="5"/>
      <c r="AK2240" s="5"/>
      <c r="AL2240" s="5"/>
    </row>
    <row r="2241">
      <c r="A2241" s="4" t="str">
        <f>VLOOKUP(L2241,payment_ids!C:D,2,FALSE)</f>
        <v>pay_HKV6IwoBCMAEL2</v>
      </c>
      <c r="B2241" s="4"/>
      <c r="C2241" s="4" t="s">
        <v>5822</v>
      </c>
      <c r="D2241" s="4">
        <v>50054.0</v>
      </c>
      <c r="E2241" s="5"/>
      <c r="F2241" s="4">
        <v>3.0</v>
      </c>
      <c r="G2241" s="4">
        <v>199.0</v>
      </c>
      <c r="H2241" s="4"/>
      <c r="I2241" s="4">
        <v>199.0</v>
      </c>
      <c r="J2241" s="4" t="s">
        <v>5927</v>
      </c>
      <c r="K2241" s="5">
        <f>+919049249508</f>
        <v>919049249508</v>
      </c>
      <c r="L2241" s="4" t="str">
        <f t="shared" si="1"/>
        <v>arpitalade25@gmail.com919049249508</v>
      </c>
      <c r="M2241" s="10" t="s">
        <v>67</v>
      </c>
      <c r="N2241" s="4" t="b">
        <v>0</v>
      </c>
      <c r="O2241" s="4" t="str">
        <f>VLOOKUP(A2241,payment_ids!D:E,2,FALSE)</f>
        <v>upi</v>
      </c>
      <c r="P2241" s="4" t="s">
        <v>69</v>
      </c>
      <c r="Q2241" s="11">
        <v>44414.58541666667</v>
      </c>
      <c r="R2241" s="4"/>
      <c r="S2241" s="12" t="s">
        <v>5824</v>
      </c>
      <c r="T2241" s="5"/>
      <c r="U2241" s="4"/>
      <c r="V2241" s="11"/>
      <c r="W2241" s="5"/>
      <c r="X2241" s="11"/>
      <c r="Y2241" s="4"/>
      <c r="Z2241" s="5"/>
      <c r="AA2241" s="4"/>
      <c r="AB2241" s="4"/>
      <c r="AC2241" s="4"/>
      <c r="AD2241" s="4"/>
      <c r="AE2241" s="5"/>
      <c r="AF2241" s="5"/>
      <c r="AG2241" s="5"/>
      <c r="AH2241" s="5"/>
      <c r="AI2241" s="5"/>
      <c r="AJ2241" s="5"/>
      <c r="AK2241" s="5"/>
      <c r="AL2241" s="5"/>
    </row>
    <row r="2242">
      <c r="A2242" s="4" t="str">
        <f>VLOOKUP(L2242,payment_ids!C:D,2,FALSE)</f>
        <v>pay_HKV4niEqKtmwf9</v>
      </c>
      <c r="B2242" s="4"/>
      <c r="C2242" s="4" t="s">
        <v>5822</v>
      </c>
      <c r="D2242" s="4">
        <v>50054.0</v>
      </c>
      <c r="E2242" s="5"/>
      <c r="F2242" s="4">
        <v>1.0</v>
      </c>
      <c r="G2242" s="4">
        <v>99.0</v>
      </c>
      <c r="H2242" s="4"/>
      <c r="I2242" s="4">
        <v>99.0</v>
      </c>
      <c r="J2242" s="4" t="s">
        <v>5928</v>
      </c>
      <c r="K2242" s="5">
        <f>+919137073565</f>
        <v>919137073565</v>
      </c>
      <c r="L2242" s="4" t="str">
        <f t="shared" si="1"/>
        <v>manoharchohan@ymail.com919137073565</v>
      </c>
      <c r="M2242" s="10" t="s">
        <v>67</v>
      </c>
      <c r="N2242" s="4" t="b">
        <v>0</v>
      </c>
      <c r="O2242" s="4" t="str">
        <f>VLOOKUP(A2242,payment_ids!D:E,2,FALSE)</f>
        <v>upi</v>
      </c>
      <c r="P2242" s="4" t="s">
        <v>69</v>
      </c>
      <c r="Q2242" s="11">
        <v>44414.586805555555</v>
      </c>
      <c r="R2242" s="4"/>
      <c r="S2242" s="12" t="s">
        <v>5824</v>
      </c>
      <c r="T2242" s="5"/>
      <c r="U2242" s="4"/>
      <c r="V2242" s="11"/>
      <c r="W2242" s="5"/>
      <c r="X2242" s="11"/>
      <c r="Y2242" s="4"/>
      <c r="Z2242" s="5"/>
      <c r="AA2242" s="4"/>
      <c r="AB2242" s="4"/>
      <c r="AC2242" s="4"/>
      <c r="AD2242" s="4"/>
      <c r="AE2242" s="5"/>
      <c r="AF2242" s="5"/>
      <c r="AG2242" s="5"/>
      <c r="AH2242" s="5"/>
      <c r="AI2242" s="5"/>
      <c r="AJ2242" s="5"/>
      <c r="AK2242" s="5"/>
      <c r="AL2242" s="5"/>
    </row>
    <row r="2243">
      <c r="A2243" s="4" t="str">
        <f>VLOOKUP(L2243,payment_ids!C:D,2,FALSE)</f>
        <v>pay_HKa8Y5aNgJ3XyI</v>
      </c>
      <c r="B2243" s="4"/>
      <c r="C2243" s="4" t="s">
        <v>5822</v>
      </c>
      <c r="D2243" s="4">
        <v>50054.0</v>
      </c>
      <c r="E2243" s="5"/>
      <c r="F2243" s="4">
        <v>1.0</v>
      </c>
      <c r="G2243" s="4">
        <v>99.0</v>
      </c>
      <c r="H2243" s="4"/>
      <c r="I2243" s="4">
        <v>99.0</v>
      </c>
      <c r="J2243" s="4" t="s">
        <v>5929</v>
      </c>
      <c r="K2243" s="5">
        <f>+919414328532</f>
        <v>919414328532</v>
      </c>
      <c r="L2243" s="4" t="str">
        <f t="shared" si="1"/>
        <v>adhm2524@gmail.com919414328532</v>
      </c>
      <c r="M2243" s="10" t="s">
        <v>67</v>
      </c>
      <c r="N2243" s="4" t="b">
        <v>0</v>
      </c>
      <c r="O2243" s="4" t="str">
        <f>VLOOKUP(A2243,payment_ids!D:E,2,FALSE)</f>
        <v>wallet</v>
      </c>
      <c r="P2243" s="4" t="s">
        <v>69</v>
      </c>
      <c r="Q2243" s="11">
        <v>44414.84097222222</v>
      </c>
      <c r="R2243" s="4"/>
      <c r="S2243" s="12" t="s">
        <v>5921</v>
      </c>
      <c r="T2243" s="4" t="s">
        <v>2444</v>
      </c>
      <c r="U2243" s="4"/>
      <c r="V2243" s="11"/>
      <c r="W2243" s="5"/>
      <c r="X2243" s="11"/>
      <c r="Y2243" s="4"/>
      <c r="Z2243" s="5"/>
      <c r="AA2243" s="4"/>
      <c r="AB2243" s="4"/>
      <c r="AC2243" s="4"/>
      <c r="AD2243" s="4"/>
      <c r="AE2243" s="5"/>
      <c r="AF2243" s="5"/>
      <c r="AG2243" s="5"/>
      <c r="AH2243" s="5"/>
      <c r="AI2243" s="5"/>
      <c r="AJ2243" s="5"/>
      <c r="AK2243" s="5"/>
      <c r="AL2243" s="5"/>
    </row>
    <row r="2244">
      <c r="A2244" s="4" t="str">
        <f>VLOOKUP(L2244,payment_ids!C:D,2,FALSE)</f>
        <v>pay_HKpCAzCqJ45gd9</v>
      </c>
      <c r="B2244" s="4"/>
      <c r="C2244" s="4" t="s">
        <v>5822</v>
      </c>
      <c r="D2244" s="4">
        <v>50054.0</v>
      </c>
      <c r="E2244" s="5"/>
      <c r="F2244" s="4">
        <v>6.0</v>
      </c>
      <c r="G2244" s="4">
        <v>349.0</v>
      </c>
      <c r="H2244" s="4"/>
      <c r="I2244" s="4">
        <v>349.0</v>
      </c>
      <c r="J2244" s="4" t="s">
        <v>5930</v>
      </c>
      <c r="K2244" s="5">
        <f>+919822334266</f>
        <v>919822334266</v>
      </c>
      <c r="L2244" s="4" t="str">
        <f t="shared" si="1"/>
        <v>tejaswini.nimbalkar@gmail.com919822334266</v>
      </c>
      <c r="M2244" s="10" t="s">
        <v>67</v>
      </c>
      <c r="N2244" s="4" t="b">
        <v>0</v>
      </c>
      <c r="O2244" s="4" t="str">
        <f>VLOOKUP(A2244,payment_ids!D:E,2,FALSE)</f>
        <v>card</v>
      </c>
      <c r="P2244" s="4" t="s">
        <v>69</v>
      </c>
      <c r="Q2244" s="11">
        <v>44445.404861111114</v>
      </c>
      <c r="R2244" s="4"/>
      <c r="S2244" s="12" t="s">
        <v>5824</v>
      </c>
      <c r="T2244" s="4" t="s">
        <v>2444</v>
      </c>
      <c r="U2244" s="4"/>
      <c r="V2244" s="11"/>
      <c r="W2244" s="5"/>
      <c r="X2244" s="11"/>
      <c r="Y2244" s="4"/>
      <c r="Z2244" s="5"/>
      <c r="AA2244" s="4"/>
      <c r="AB2244" s="4"/>
      <c r="AC2244" s="4"/>
      <c r="AD2244" s="4"/>
      <c r="AE2244" s="5"/>
      <c r="AF2244" s="5"/>
      <c r="AG2244" s="5"/>
      <c r="AH2244" s="5"/>
      <c r="AI2244" s="5"/>
      <c r="AJ2244" s="5"/>
      <c r="AK2244" s="5"/>
      <c r="AL2244" s="5"/>
    </row>
    <row r="2245">
      <c r="A2245" s="4" t="str">
        <f>VLOOKUP(L2245,payment_ids!C:D,2,FALSE)</f>
        <v>pay_HKqA5BvrtYbU4t</v>
      </c>
      <c r="B2245" s="4"/>
      <c r="C2245" s="4" t="s">
        <v>5822</v>
      </c>
      <c r="D2245" s="4">
        <v>50054.0</v>
      </c>
      <c r="E2245" s="5"/>
      <c r="F2245" s="4">
        <v>3.0</v>
      </c>
      <c r="G2245" s="4">
        <v>199.0</v>
      </c>
      <c r="H2245" s="4"/>
      <c r="I2245" s="4">
        <v>199.0</v>
      </c>
      <c r="J2245" s="4" t="s">
        <v>5931</v>
      </c>
      <c r="K2245" s="5">
        <f>+919717924468</f>
        <v>919717924468</v>
      </c>
      <c r="L2245" s="4" t="str">
        <f t="shared" si="1"/>
        <v>surabhi.kapsime@gmail.com919717924468</v>
      </c>
      <c r="M2245" s="10" t="s">
        <v>67</v>
      </c>
      <c r="N2245" s="4" t="b">
        <v>0</v>
      </c>
      <c r="O2245" s="4" t="str">
        <f>VLOOKUP(A2245,payment_ids!D:E,2,FALSE)</f>
        <v>upi</v>
      </c>
      <c r="P2245" s="4" t="s">
        <v>69</v>
      </c>
      <c r="Q2245" s="11">
        <v>44445.444444444445</v>
      </c>
      <c r="R2245" s="4"/>
      <c r="S2245" s="12" t="s">
        <v>5824</v>
      </c>
      <c r="T2245" s="4" t="s">
        <v>2444</v>
      </c>
      <c r="U2245" s="4"/>
      <c r="V2245" s="11"/>
      <c r="W2245" s="5"/>
      <c r="X2245" s="11"/>
      <c r="Y2245" s="4"/>
      <c r="Z2245" s="5"/>
      <c r="AA2245" s="4"/>
      <c r="AB2245" s="4"/>
      <c r="AC2245" s="4"/>
      <c r="AD2245" s="4"/>
      <c r="AE2245" s="5"/>
      <c r="AF2245" s="5"/>
      <c r="AG2245" s="5"/>
      <c r="AH2245" s="5"/>
      <c r="AI2245" s="5"/>
      <c r="AJ2245" s="5"/>
      <c r="AK2245" s="5"/>
      <c r="AL2245" s="5"/>
    </row>
    <row r="2246">
      <c r="A2246" s="4" t="str">
        <f>VLOOKUP(L2246,payment_ids!C:D,2,FALSE)</f>
        <v>pay_HL2F5EOleCDqd7</v>
      </c>
      <c r="B2246" s="4"/>
      <c r="C2246" s="4" t="s">
        <v>5822</v>
      </c>
      <c r="D2246" s="4">
        <v>50054.0</v>
      </c>
      <c r="E2246" s="5"/>
      <c r="F2246" s="4">
        <v>3.0</v>
      </c>
      <c r="G2246" s="4">
        <v>199.0</v>
      </c>
      <c r="H2246" s="4"/>
      <c r="I2246" s="4">
        <v>199.0</v>
      </c>
      <c r="J2246" s="4" t="s">
        <v>5932</v>
      </c>
      <c r="K2246" s="5">
        <f>+919115731291</f>
        <v>919115731291</v>
      </c>
      <c r="L2246" s="4" t="str">
        <f t="shared" si="1"/>
        <v>shreemahalakshmi9@gmail.com919115731291</v>
      </c>
      <c r="M2246" s="10" t="s">
        <v>67</v>
      </c>
      <c r="N2246" s="4" t="b">
        <v>0</v>
      </c>
      <c r="O2246" s="4" t="str">
        <f>VLOOKUP(A2246,payment_ids!D:E,2,FALSE)</f>
        <v>upi</v>
      </c>
      <c r="P2246" s="4" t="s">
        <v>69</v>
      </c>
      <c r="Q2246" s="11">
        <v>44445.93680555555</v>
      </c>
      <c r="R2246" s="4"/>
      <c r="S2246" s="12" t="s">
        <v>5921</v>
      </c>
      <c r="T2246" s="4" t="s">
        <v>2444</v>
      </c>
      <c r="U2246" s="4"/>
      <c r="V2246" s="11"/>
      <c r="W2246" s="5"/>
      <c r="X2246" s="11"/>
      <c r="Y2246" s="4"/>
      <c r="Z2246" s="5"/>
      <c r="AA2246" s="4"/>
      <c r="AB2246" s="4"/>
      <c r="AC2246" s="4"/>
      <c r="AD2246" s="4"/>
      <c r="AE2246" s="5"/>
      <c r="AF2246" s="5"/>
      <c r="AG2246" s="5"/>
      <c r="AH2246" s="5"/>
      <c r="AI2246" s="5"/>
      <c r="AJ2246" s="5"/>
      <c r="AK2246" s="5"/>
      <c r="AL2246" s="5"/>
    </row>
    <row r="2247">
      <c r="A2247" s="4" t="str">
        <f>VLOOKUP(L2247,payment_ids!C:D,2,FALSE)</f>
        <v>pay_HL80Q8ItA09Ygg</v>
      </c>
      <c r="B2247" s="4"/>
      <c r="C2247" s="4" t="s">
        <v>5822</v>
      </c>
      <c r="D2247" s="4">
        <v>50054.0</v>
      </c>
      <c r="E2247" s="5"/>
      <c r="F2247" s="4">
        <v>3.0</v>
      </c>
      <c r="G2247" s="4">
        <v>199.0</v>
      </c>
      <c r="H2247" s="4"/>
      <c r="I2247" s="4">
        <v>199.0</v>
      </c>
      <c r="J2247" s="4" t="s">
        <v>5933</v>
      </c>
      <c r="K2247" s="5">
        <f>+919892951909</f>
        <v>919892951909</v>
      </c>
      <c r="L2247" s="4" t="str">
        <f t="shared" si="1"/>
        <v>rupalibarai6@gmail.com919892951909</v>
      </c>
      <c r="M2247" s="10" t="s">
        <v>67</v>
      </c>
      <c r="N2247" s="4" t="b">
        <v>0</v>
      </c>
      <c r="O2247" s="4" t="str">
        <f>VLOOKUP(A2247,payment_ids!D:E,2,FALSE)</f>
        <v>upi</v>
      </c>
      <c r="P2247" s="4" t="s">
        <v>69</v>
      </c>
      <c r="Q2247" s="11">
        <v>44475.17291666667</v>
      </c>
      <c r="R2247" s="4"/>
      <c r="S2247" s="12" t="s">
        <v>5824</v>
      </c>
      <c r="T2247" s="4" t="s">
        <v>2444</v>
      </c>
      <c r="U2247" s="5"/>
      <c r="V2247" s="11"/>
      <c r="W2247" s="5"/>
      <c r="X2247" s="11"/>
      <c r="Y2247" s="4"/>
      <c r="Z2247" s="5"/>
      <c r="AA2247" s="5"/>
      <c r="AB2247" s="4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</row>
    <row r="2248">
      <c r="A2248" s="4" t="str">
        <f>VLOOKUP(L2248,payment_ids!C:D,2,FALSE)</f>
        <v>pay_HLJkTL5stEVWuD</v>
      </c>
      <c r="B2248" s="4"/>
      <c r="C2248" s="4" t="s">
        <v>5822</v>
      </c>
      <c r="D2248" s="4">
        <v>50054.0</v>
      </c>
      <c r="E2248" s="5"/>
      <c r="F2248" s="4">
        <v>1.0</v>
      </c>
      <c r="G2248" s="4">
        <v>99.0</v>
      </c>
      <c r="H2248" s="4"/>
      <c r="I2248" s="4">
        <v>99.0</v>
      </c>
      <c r="J2248" s="4" t="s">
        <v>5934</v>
      </c>
      <c r="K2248" s="5">
        <f>+919049999609</f>
        <v>919049999609</v>
      </c>
      <c r="L2248" s="4" t="str">
        <f t="shared" si="1"/>
        <v>ashishkuril81@gmail.com919049999609</v>
      </c>
      <c r="M2248" s="10" t="s">
        <v>67</v>
      </c>
      <c r="N2248" s="4" t="b">
        <v>0</v>
      </c>
      <c r="O2248" s="4" t="str">
        <f>VLOOKUP(A2248,payment_ids!D:E,2,FALSE)</f>
        <v>netbanking</v>
      </c>
      <c r="P2248" s="4" t="s">
        <v>69</v>
      </c>
      <c r="Q2248" s="11">
        <v>44475.65069444444</v>
      </c>
      <c r="R2248" s="4"/>
      <c r="S2248" s="12" t="s">
        <v>5824</v>
      </c>
      <c r="T2248" s="4" t="s">
        <v>2444</v>
      </c>
      <c r="U2248" s="4"/>
      <c r="V2248" s="11"/>
      <c r="W2248" s="5"/>
      <c r="X2248" s="11"/>
      <c r="Y2248" s="4"/>
      <c r="Z2248" s="5"/>
      <c r="AA2248" s="4"/>
      <c r="AB2248" s="4"/>
      <c r="AC2248" s="4"/>
      <c r="AD2248" s="4"/>
      <c r="AE2248" s="5"/>
      <c r="AF2248" s="5"/>
      <c r="AG2248" s="5"/>
      <c r="AH2248" s="5"/>
      <c r="AI2248" s="5"/>
      <c r="AJ2248" s="5"/>
      <c r="AK2248" s="5"/>
      <c r="AL2248" s="5"/>
    </row>
    <row r="2249">
      <c r="A2249" s="4" t="str">
        <f>VLOOKUP(L2249,payment_ids!C:D,2,FALSE)</f>
        <v>pay_HLdPyWWLZHwLYs</v>
      </c>
      <c r="B2249" s="4"/>
      <c r="C2249" s="4" t="s">
        <v>5822</v>
      </c>
      <c r="D2249" s="4">
        <v>50054.0</v>
      </c>
      <c r="E2249" s="5"/>
      <c r="F2249" s="4">
        <v>3.0</v>
      </c>
      <c r="G2249" s="4">
        <v>199.0</v>
      </c>
      <c r="H2249" s="4"/>
      <c r="I2249" s="4">
        <v>199.0</v>
      </c>
      <c r="J2249" s="4" t="s">
        <v>5935</v>
      </c>
      <c r="K2249" s="5">
        <f>+919573000477</f>
        <v>919573000477</v>
      </c>
      <c r="L2249" s="4" t="str">
        <f t="shared" si="1"/>
        <v>kalyanidevi0369@gmail.com919573000477</v>
      </c>
      <c r="M2249" s="10" t="s">
        <v>67</v>
      </c>
      <c r="N2249" s="4" t="b">
        <v>0</v>
      </c>
      <c r="O2249" s="4" t="str">
        <f>VLOOKUP(A2249,payment_ids!D:E,2,FALSE)</f>
        <v>upi</v>
      </c>
      <c r="P2249" s="4" t="s">
        <v>69</v>
      </c>
      <c r="Q2249" s="11">
        <v>44506.45277777778</v>
      </c>
      <c r="R2249" s="4"/>
      <c r="S2249" s="12" t="s">
        <v>5824</v>
      </c>
      <c r="T2249" s="4" t="s">
        <v>2444</v>
      </c>
      <c r="U2249" s="4"/>
      <c r="V2249" s="11"/>
      <c r="W2249" s="5"/>
      <c r="X2249" s="11"/>
      <c r="Y2249" s="4"/>
      <c r="Z2249" s="5"/>
      <c r="AA2249" s="4"/>
      <c r="AB2249" s="4"/>
      <c r="AC2249" s="4"/>
      <c r="AD2249" s="4"/>
      <c r="AE2249" s="5"/>
      <c r="AF2249" s="5"/>
      <c r="AG2249" s="5"/>
      <c r="AH2249" s="5"/>
      <c r="AI2249" s="5"/>
      <c r="AJ2249" s="5"/>
      <c r="AK2249" s="5"/>
      <c r="AL2249" s="5"/>
    </row>
    <row r="2250">
      <c r="A2250" s="4" t="str">
        <f>VLOOKUP(L2250,payment_ids!C:D,2,FALSE)</f>
        <v>pay_HLggRUovpfMYFi</v>
      </c>
      <c r="B2250" s="4"/>
      <c r="C2250" s="4" t="s">
        <v>5822</v>
      </c>
      <c r="D2250" s="4">
        <v>50054.0</v>
      </c>
      <c r="E2250" s="5"/>
      <c r="F2250" s="4">
        <v>1.0</v>
      </c>
      <c r="G2250" s="4">
        <v>99.0</v>
      </c>
      <c r="H2250" s="4"/>
      <c r="I2250" s="4">
        <v>99.0</v>
      </c>
      <c r="J2250" s="4" t="s">
        <v>5936</v>
      </c>
      <c r="K2250" s="5">
        <f>+919375375303</f>
        <v>919375375303</v>
      </c>
      <c r="L2250" s="4" t="str">
        <f t="shared" si="1"/>
        <v>punitm77@gmail.com919375375303</v>
      </c>
      <c r="M2250" s="10" t="s">
        <v>67</v>
      </c>
      <c r="N2250" s="4" t="b">
        <v>0</v>
      </c>
      <c r="O2250" s="4" t="str">
        <f>VLOOKUP(A2250,payment_ids!D:E,2,FALSE)</f>
        <v>upi</v>
      </c>
      <c r="P2250" s="4" t="s">
        <v>69</v>
      </c>
      <c r="Q2250" s="11">
        <v>44506.58472222222</v>
      </c>
      <c r="R2250" s="4"/>
      <c r="S2250" s="12" t="s">
        <v>5824</v>
      </c>
      <c r="T2250" s="4" t="s">
        <v>2444</v>
      </c>
      <c r="U2250" s="4"/>
      <c r="V2250" s="11"/>
      <c r="W2250" s="5"/>
      <c r="X2250" s="11"/>
      <c r="Y2250" s="4"/>
      <c r="Z2250" s="5"/>
      <c r="AA2250" s="4"/>
      <c r="AB2250" s="4"/>
      <c r="AC2250" s="4"/>
      <c r="AD2250" s="4"/>
      <c r="AE2250" s="5"/>
      <c r="AF2250" s="5"/>
      <c r="AG2250" s="5"/>
      <c r="AH2250" s="5"/>
      <c r="AI2250" s="5"/>
      <c r="AJ2250" s="5"/>
      <c r="AK2250" s="5"/>
      <c r="AL2250" s="5"/>
    </row>
    <row r="2251">
      <c r="A2251" s="4" t="str">
        <f>VLOOKUP(L2251,payment_ids!C:D,2,FALSE)</f>
        <v>pay_HLmWryXUmI9y41</v>
      </c>
      <c r="B2251" s="4"/>
      <c r="C2251" s="4" t="s">
        <v>5822</v>
      </c>
      <c r="D2251" s="4">
        <v>50054.0</v>
      </c>
      <c r="E2251" s="5"/>
      <c r="F2251" s="4">
        <v>1.0</v>
      </c>
      <c r="G2251" s="4">
        <v>99.0</v>
      </c>
      <c r="H2251" s="4"/>
      <c r="I2251" s="4">
        <v>99.0</v>
      </c>
      <c r="J2251" s="4" t="s">
        <v>5937</v>
      </c>
      <c r="K2251" s="5">
        <f>+919616260864</f>
        <v>919616260864</v>
      </c>
      <c r="L2251" s="4" t="str">
        <f t="shared" si="1"/>
        <v>h.mishra.250391@gmail.com919616260864</v>
      </c>
      <c r="M2251" s="10" t="s">
        <v>67</v>
      </c>
      <c r="N2251" s="4" t="b">
        <v>0</v>
      </c>
      <c r="O2251" s="4" t="str">
        <f>VLOOKUP(A2251,payment_ids!D:E,2,FALSE)</f>
        <v>upi</v>
      </c>
      <c r="P2251" s="4" t="s">
        <v>69</v>
      </c>
      <c r="Q2251" s="11">
        <v>44506.822916666664</v>
      </c>
      <c r="R2251" s="4"/>
      <c r="S2251" s="12" t="s">
        <v>5824</v>
      </c>
      <c r="T2251" s="4" t="s">
        <v>2444</v>
      </c>
      <c r="U2251" s="4"/>
      <c r="V2251" s="11"/>
      <c r="W2251" s="5"/>
      <c r="X2251" s="11"/>
      <c r="Y2251" s="4"/>
      <c r="Z2251" s="5"/>
      <c r="AA2251" s="4"/>
      <c r="AB2251" s="4"/>
      <c r="AC2251" s="4"/>
      <c r="AD2251" s="4"/>
      <c r="AE2251" s="5"/>
      <c r="AF2251" s="5"/>
      <c r="AG2251" s="5"/>
      <c r="AH2251" s="5"/>
      <c r="AI2251" s="5"/>
      <c r="AJ2251" s="5"/>
      <c r="AK2251" s="5"/>
      <c r="AL2251" s="5"/>
    </row>
    <row r="2252">
      <c r="A2252" s="4" t="str">
        <f>VLOOKUP(L2252,payment_ids!C:D,2,FALSE)</f>
        <v>pay_HME2dYJMNSAjJO</v>
      </c>
      <c r="B2252" s="4"/>
      <c r="C2252" s="4" t="s">
        <v>5822</v>
      </c>
      <c r="D2252" s="4">
        <v>50054.0</v>
      </c>
      <c r="E2252" s="5"/>
      <c r="F2252" s="4">
        <v>3.0</v>
      </c>
      <c r="G2252" s="4">
        <v>199.0</v>
      </c>
      <c r="H2252" s="4"/>
      <c r="I2252" s="4">
        <v>199.0</v>
      </c>
      <c r="J2252" s="4" t="s">
        <v>5938</v>
      </c>
      <c r="K2252" s="5">
        <f>+918087723261</f>
        <v>918087723261</v>
      </c>
      <c r="L2252" s="4" t="str">
        <f t="shared" si="1"/>
        <v>umesh.me01@gmail.com918087723261</v>
      </c>
      <c r="M2252" s="10" t="s">
        <v>67</v>
      </c>
      <c r="N2252" s="4" t="b">
        <v>0</v>
      </c>
      <c r="O2252" s="4" t="str">
        <f>VLOOKUP(A2252,payment_ids!D:E,2,FALSE)</f>
        <v>upi</v>
      </c>
      <c r="P2252" s="4" t="s">
        <v>69</v>
      </c>
      <c r="Q2252" s="11">
        <v>44536.94652777778</v>
      </c>
      <c r="R2252" s="4"/>
      <c r="S2252" s="12" t="s">
        <v>5824</v>
      </c>
      <c r="T2252" s="4" t="s">
        <v>2444</v>
      </c>
      <c r="U2252" s="4"/>
      <c r="V2252" s="11"/>
      <c r="W2252" s="5"/>
      <c r="X2252" s="11"/>
      <c r="Y2252" s="4"/>
      <c r="Z2252" s="5"/>
      <c r="AA2252" s="4"/>
      <c r="AB2252" s="4"/>
      <c r="AC2252" s="4"/>
      <c r="AD2252" s="4"/>
      <c r="AE2252" s="5"/>
      <c r="AF2252" s="5"/>
      <c r="AG2252" s="5"/>
      <c r="AH2252" s="5"/>
      <c r="AI2252" s="5"/>
      <c r="AJ2252" s="5"/>
      <c r="AK2252" s="5"/>
      <c r="AL2252" s="5"/>
    </row>
    <row r="2253">
      <c r="A2253" s="4" t="str">
        <f>VLOOKUP(L2253,payment_ids!C:D,2,FALSE)</f>
        <v>pay_HCDtwy0wVALCu5</v>
      </c>
      <c r="B2253" s="4"/>
      <c r="C2253" s="4" t="s">
        <v>5822</v>
      </c>
      <c r="D2253" s="4">
        <v>50054.0</v>
      </c>
      <c r="E2253" s="5"/>
      <c r="F2253" s="4">
        <v>3.0</v>
      </c>
      <c r="G2253" s="4">
        <v>199.0</v>
      </c>
      <c r="H2253" s="4"/>
      <c r="I2253" s="4">
        <v>199.0</v>
      </c>
      <c r="J2253" s="4" t="s">
        <v>5862</v>
      </c>
      <c r="K2253" s="5">
        <f>+917905958635</f>
        <v>917905958635</v>
      </c>
      <c r="L2253" s="4" t="str">
        <f t="shared" si="1"/>
        <v>kumar.sushil.sushil625@gmail.com917905958635</v>
      </c>
      <c r="M2253" s="10" t="s">
        <v>67</v>
      </c>
      <c r="N2253" s="4" t="b">
        <v>0</v>
      </c>
      <c r="O2253" s="4" t="str">
        <f>VLOOKUP(A2253,payment_ids!D:E,2,FALSE)</f>
        <v>upi</v>
      </c>
      <c r="P2253" s="4" t="s">
        <v>69</v>
      </c>
      <c r="Q2253" s="4" t="s">
        <v>5939</v>
      </c>
      <c r="R2253" s="4"/>
      <c r="S2253" s="12" t="s">
        <v>5824</v>
      </c>
      <c r="T2253" s="4" t="s">
        <v>2444</v>
      </c>
      <c r="U2253" s="4"/>
      <c r="V2253" s="11"/>
      <c r="W2253" s="5"/>
      <c r="X2253" s="11"/>
      <c r="Y2253" s="4"/>
      <c r="Z2253" s="5"/>
      <c r="AA2253" s="4"/>
      <c r="AB2253" s="4"/>
      <c r="AC2253" s="4"/>
      <c r="AD2253" s="4"/>
      <c r="AE2253" s="5"/>
      <c r="AF2253" s="5"/>
      <c r="AG2253" s="5"/>
      <c r="AH2253" s="5"/>
      <c r="AI2253" s="5"/>
      <c r="AJ2253" s="5"/>
      <c r="AK2253" s="5"/>
      <c r="AL2253" s="5"/>
    </row>
    <row r="2254">
      <c r="A2254" s="4" t="str">
        <f>VLOOKUP(L2254,payment_ids!C:D,2,FALSE)</f>
        <v>pay_HMQO2KHBWiH0TL</v>
      </c>
      <c r="B2254" s="4"/>
      <c r="C2254" s="4" t="s">
        <v>5822</v>
      </c>
      <c r="D2254" s="4">
        <v>50054.0</v>
      </c>
      <c r="E2254" s="5"/>
      <c r="F2254" s="4">
        <v>6.0</v>
      </c>
      <c r="G2254" s="4">
        <v>349.0</v>
      </c>
      <c r="H2254" s="4"/>
      <c r="I2254" s="4">
        <v>349.0</v>
      </c>
      <c r="J2254" s="4" t="s">
        <v>5940</v>
      </c>
      <c r="K2254" s="5">
        <f>+917456810810</f>
        <v>917456810810</v>
      </c>
      <c r="L2254" s="4" t="str">
        <f t="shared" si="1"/>
        <v>ajohn.amit123@gmail.com917456810810</v>
      </c>
      <c r="M2254" s="10" t="s">
        <v>67</v>
      </c>
      <c r="N2254" s="4" t="b">
        <v>0</v>
      </c>
      <c r="O2254" s="4" t="str">
        <f>VLOOKUP(A2254,payment_ids!D:E,2,FALSE)</f>
        <v>upi</v>
      </c>
      <c r="P2254" s="4" t="s">
        <v>69</v>
      </c>
      <c r="Q2254" s="4" t="s">
        <v>5941</v>
      </c>
      <c r="R2254" s="4"/>
      <c r="S2254" s="12" t="s">
        <v>5824</v>
      </c>
      <c r="T2254" s="4" t="s">
        <v>2444</v>
      </c>
      <c r="U2254" s="4"/>
      <c r="V2254" s="11"/>
      <c r="W2254" s="5"/>
      <c r="X2254" s="11"/>
      <c r="Y2254" s="4"/>
      <c r="Z2254" s="5"/>
      <c r="AA2254" s="4"/>
      <c r="AB2254" s="4"/>
      <c r="AC2254" s="4"/>
      <c r="AD2254" s="4"/>
      <c r="AE2254" s="5"/>
      <c r="AF2254" s="5"/>
      <c r="AG2254" s="5"/>
      <c r="AH2254" s="5"/>
      <c r="AI2254" s="5"/>
      <c r="AJ2254" s="5"/>
      <c r="AK2254" s="5"/>
      <c r="AL2254" s="5"/>
    </row>
    <row r="2255">
      <c r="A2255" s="4" t="str">
        <f>VLOOKUP(L2255,payment_ids!C:D,2,FALSE)</f>
        <v>pay_HMYLqZBpdItLkY</v>
      </c>
      <c r="B2255" s="4"/>
      <c r="C2255" s="4" t="s">
        <v>5822</v>
      </c>
      <c r="D2255" s="4">
        <v>50054.0</v>
      </c>
      <c r="E2255" s="5"/>
      <c r="F2255" s="4">
        <v>3.0</v>
      </c>
      <c r="G2255" s="4">
        <v>199.0</v>
      </c>
      <c r="H2255" s="4"/>
      <c r="I2255" s="4">
        <v>199.0</v>
      </c>
      <c r="J2255" s="4" t="s">
        <v>5942</v>
      </c>
      <c r="K2255" s="5">
        <f>+919820577642</f>
        <v>919820577642</v>
      </c>
      <c r="L2255" s="4" t="str">
        <f t="shared" si="1"/>
        <v>aarti.dalal9@gmail.com919820577642</v>
      </c>
      <c r="M2255" s="10" t="s">
        <v>67</v>
      </c>
      <c r="N2255" s="4" t="b">
        <v>0</v>
      </c>
      <c r="O2255" s="4" t="str">
        <f>VLOOKUP(A2255,payment_ids!D:E,2,FALSE)</f>
        <v>upi</v>
      </c>
      <c r="P2255" s="4" t="s">
        <v>69</v>
      </c>
      <c r="Q2255" s="4" t="s">
        <v>5943</v>
      </c>
      <c r="R2255" s="4"/>
      <c r="S2255" s="12" t="s">
        <v>5824</v>
      </c>
      <c r="T2255" s="4" t="s">
        <v>2444</v>
      </c>
      <c r="U2255" s="4"/>
      <c r="V2255" s="11"/>
      <c r="W2255" s="5"/>
      <c r="X2255" s="11"/>
      <c r="Y2255" s="4"/>
      <c r="Z2255" s="5"/>
      <c r="AA2255" s="4"/>
      <c r="AB2255" s="4"/>
      <c r="AC2255" s="4"/>
      <c r="AD2255" s="4"/>
      <c r="AE2255" s="5"/>
      <c r="AF2255" s="5"/>
      <c r="AG2255" s="5"/>
      <c r="AH2255" s="5"/>
      <c r="AI2255" s="5"/>
      <c r="AJ2255" s="5"/>
      <c r="AK2255" s="5"/>
      <c r="AL2255" s="5"/>
    </row>
    <row r="2256">
      <c r="A2256" s="4" t="str">
        <f>VLOOKUP(L2256,payment_ids!C:D,2,FALSE)</f>
        <v>pay_HM5QhSFy6IqgcN</v>
      </c>
      <c r="B2256" s="4"/>
      <c r="C2256" s="4" t="s">
        <v>5822</v>
      </c>
      <c r="D2256" s="4">
        <v>50054.0</v>
      </c>
      <c r="E2256" s="5"/>
      <c r="F2256" s="4">
        <v>3.0</v>
      </c>
      <c r="G2256" s="4">
        <v>199.0</v>
      </c>
      <c r="H2256" s="4"/>
      <c r="I2256" s="4">
        <v>199.0</v>
      </c>
      <c r="J2256" s="4" t="s">
        <v>5944</v>
      </c>
      <c r="K2256" s="5">
        <f>+919476172172</f>
        <v>919476172172</v>
      </c>
      <c r="L2256" s="4" t="str">
        <f t="shared" si="1"/>
        <v>shouvikmandal177@gmail.com919476172172</v>
      </c>
      <c r="M2256" s="10" t="s">
        <v>67</v>
      </c>
      <c r="N2256" s="4" t="b">
        <v>0</v>
      </c>
      <c r="O2256" s="4" t="str">
        <f>VLOOKUP(A2256,payment_ids!D:E,2,FALSE)</f>
        <v>wallet</v>
      </c>
      <c r="P2256" s="4" t="s">
        <v>69</v>
      </c>
      <c r="Q2256" s="4" t="s">
        <v>5945</v>
      </c>
      <c r="R2256" s="4"/>
      <c r="S2256" s="12" t="s">
        <v>5824</v>
      </c>
      <c r="T2256" s="4" t="s">
        <v>2444</v>
      </c>
      <c r="U2256" s="4"/>
      <c r="V2256" s="11"/>
      <c r="W2256" s="5"/>
      <c r="X2256" s="11"/>
      <c r="Y2256" s="4"/>
      <c r="Z2256" s="5"/>
      <c r="AA2256" s="4"/>
      <c r="AB2256" s="4"/>
      <c r="AC2256" s="4"/>
      <c r="AD2256" s="4"/>
      <c r="AE2256" s="5"/>
      <c r="AF2256" s="5"/>
      <c r="AG2256" s="5"/>
      <c r="AH2256" s="5"/>
      <c r="AI2256" s="5"/>
      <c r="AJ2256" s="5"/>
      <c r="AK2256" s="5"/>
      <c r="AL2256" s="5"/>
    </row>
    <row r="2257">
      <c r="A2257" s="4" t="str">
        <f>VLOOKUP(L2257,payment_ids!C:D,2,FALSE)</f>
        <v>pay_HGp4AdVO1rOoqO</v>
      </c>
      <c r="B2257" s="4"/>
      <c r="C2257" s="4" t="s">
        <v>5822</v>
      </c>
      <c r="D2257" s="4">
        <v>50054.0</v>
      </c>
      <c r="E2257" s="5"/>
      <c r="F2257" s="4">
        <v>6.0</v>
      </c>
      <c r="G2257" s="4">
        <v>349.0</v>
      </c>
      <c r="H2257" s="4"/>
      <c r="I2257" s="4">
        <v>349.0</v>
      </c>
      <c r="J2257" s="4" t="s">
        <v>5946</v>
      </c>
      <c r="K2257" s="5">
        <f>+919810394776</f>
        <v>919810394776</v>
      </c>
      <c r="L2257" s="4" t="str">
        <f t="shared" si="1"/>
        <v>rparasher@hotmail.com919810394776</v>
      </c>
      <c r="M2257" s="10" t="s">
        <v>67</v>
      </c>
      <c r="N2257" s="4" t="b">
        <v>0</v>
      </c>
      <c r="O2257" s="4" t="str">
        <f>VLOOKUP(A2257,payment_ids!D:E,2,FALSE)</f>
        <v>wallet</v>
      </c>
      <c r="P2257" s="4" t="s">
        <v>69</v>
      </c>
      <c r="Q2257" s="4" t="s">
        <v>5947</v>
      </c>
      <c r="R2257" s="4"/>
      <c r="S2257" s="12" t="s">
        <v>5921</v>
      </c>
      <c r="T2257" s="4" t="s">
        <v>2444</v>
      </c>
      <c r="U2257" s="4"/>
      <c r="V2257" s="11"/>
      <c r="W2257" s="5"/>
      <c r="X2257" s="11"/>
      <c r="Y2257" s="4"/>
      <c r="Z2257" s="5"/>
      <c r="AA2257" s="4"/>
      <c r="AB2257" s="4"/>
      <c r="AC2257" s="4"/>
      <c r="AD2257" s="4"/>
      <c r="AE2257" s="5"/>
      <c r="AF2257" s="5"/>
      <c r="AG2257" s="5"/>
      <c r="AH2257" s="5"/>
      <c r="AI2257" s="5"/>
      <c r="AJ2257" s="5"/>
      <c r="AK2257" s="5"/>
      <c r="AL2257" s="5"/>
    </row>
    <row r="2258">
      <c r="A2258" s="4" t="str">
        <f>VLOOKUP(L2258,payment_ids!C:D,2,FALSE)</f>
        <v>pay_HMtlwTilpI7zco</v>
      </c>
      <c r="B2258" s="4"/>
      <c r="C2258" s="4" t="s">
        <v>5822</v>
      </c>
      <c r="D2258" s="4">
        <v>50054.0</v>
      </c>
      <c r="E2258" s="5"/>
      <c r="F2258" s="4">
        <v>1.0</v>
      </c>
      <c r="G2258" s="4">
        <v>99.0</v>
      </c>
      <c r="H2258" s="4"/>
      <c r="I2258" s="4">
        <v>99.0</v>
      </c>
      <c r="J2258" s="4" t="s">
        <v>5948</v>
      </c>
      <c r="K2258" s="5">
        <f>+919988882382</f>
        <v>919988882382</v>
      </c>
      <c r="L2258" s="4" t="str">
        <f t="shared" si="1"/>
        <v>deeptitoor28@gmail.com919988882382</v>
      </c>
      <c r="M2258" s="10" t="s">
        <v>67</v>
      </c>
      <c r="N2258" s="4" t="b">
        <v>0</v>
      </c>
      <c r="O2258" s="4" t="str">
        <f>VLOOKUP(A2258,payment_ids!D:E,2,FALSE)</f>
        <v>upi</v>
      </c>
      <c r="P2258" s="4" t="s">
        <v>69</v>
      </c>
      <c r="Q2258" s="4" t="s">
        <v>5949</v>
      </c>
      <c r="R2258" s="4"/>
      <c r="S2258" s="12" t="s">
        <v>5824</v>
      </c>
      <c r="T2258" s="4" t="s">
        <v>2444</v>
      </c>
      <c r="U2258" s="4"/>
      <c r="V2258" s="11"/>
      <c r="W2258" s="5"/>
      <c r="X2258" s="11"/>
      <c r="Y2258" s="4"/>
      <c r="Z2258" s="5"/>
      <c r="AA2258" s="4"/>
      <c r="AB2258" s="4"/>
      <c r="AC2258" s="4"/>
      <c r="AD2258" s="4"/>
      <c r="AE2258" s="5"/>
      <c r="AF2258" s="5"/>
      <c r="AG2258" s="5"/>
      <c r="AH2258" s="5"/>
      <c r="AI2258" s="5"/>
      <c r="AJ2258" s="5"/>
      <c r="AK2258" s="5"/>
      <c r="AL2258" s="5"/>
    </row>
    <row r="2259">
      <c r="A2259" s="4" t="str">
        <f>VLOOKUP(L2259,payment_ids!C:D,2,FALSE)</f>
        <v>pay_HN2mzJh0u6v68o</v>
      </c>
      <c r="B2259" s="4"/>
      <c r="C2259" s="4" t="s">
        <v>5822</v>
      </c>
      <c r="D2259" s="4">
        <v>50054.0</v>
      </c>
      <c r="E2259" s="5"/>
      <c r="F2259" s="4">
        <v>1.0</v>
      </c>
      <c r="G2259" s="4">
        <v>99.0</v>
      </c>
      <c r="H2259" s="4"/>
      <c r="I2259" s="4">
        <v>99.0</v>
      </c>
      <c r="J2259" s="4" t="s">
        <v>5950</v>
      </c>
      <c r="K2259" s="5">
        <f>+919886693396</f>
        <v>919886693396</v>
      </c>
      <c r="L2259" s="4" t="str">
        <f t="shared" si="1"/>
        <v>gunjal.savitri@gmail.com919886693396</v>
      </c>
      <c r="M2259" s="10" t="s">
        <v>67</v>
      </c>
      <c r="N2259" s="4" t="b">
        <v>0</v>
      </c>
      <c r="O2259" s="4" t="str">
        <f>VLOOKUP(A2259,payment_ids!D:E,2,FALSE)</f>
        <v>upi</v>
      </c>
      <c r="P2259" s="4" t="s">
        <v>69</v>
      </c>
      <c r="Q2259" s="4" t="s">
        <v>5951</v>
      </c>
      <c r="R2259" s="4"/>
      <c r="S2259" s="12" t="s">
        <v>5921</v>
      </c>
      <c r="T2259" s="4" t="s">
        <v>2444</v>
      </c>
      <c r="U2259" s="4"/>
      <c r="V2259" s="11"/>
      <c r="W2259" s="5"/>
      <c r="X2259" s="11"/>
      <c r="Y2259" s="4"/>
      <c r="Z2259" s="5"/>
      <c r="AA2259" s="4"/>
      <c r="AB2259" s="4"/>
      <c r="AC2259" s="4"/>
      <c r="AD2259" s="4"/>
      <c r="AE2259" s="5"/>
      <c r="AF2259" s="5"/>
      <c r="AG2259" s="5"/>
      <c r="AH2259" s="5"/>
      <c r="AI2259" s="5"/>
      <c r="AJ2259" s="5"/>
      <c r="AK2259" s="5"/>
      <c r="AL2259" s="5"/>
    </row>
    <row r="2260">
      <c r="A2260" s="4" t="str">
        <f>VLOOKUP(L2260,payment_ids!C:D,2,FALSE)</f>
        <v>pay_HMAdepup3JRSMS</v>
      </c>
      <c r="B2260" s="4"/>
      <c r="C2260" s="4" t="s">
        <v>5822</v>
      </c>
      <c r="D2260" s="4">
        <v>50054.0</v>
      </c>
      <c r="E2260" s="5"/>
      <c r="F2260" s="4">
        <v>6.0</v>
      </c>
      <c r="G2260" s="4">
        <v>349.0</v>
      </c>
      <c r="H2260" s="4"/>
      <c r="I2260" s="4">
        <v>349.0</v>
      </c>
      <c r="J2260" s="4" t="s">
        <v>5952</v>
      </c>
      <c r="K2260" s="5">
        <f>+918218695021</f>
        <v>918218695021</v>
      </c>
      <c r="L2260" s="4" t="str">
        <f t="shared" si="1"/>
        <v>arnabdebroy48@gmail.com918218695021</v>
      </c>
      <c r="M2260" s="10" t="s">
        <v>67</v>
      </c>
      <c r="N2260" s="4" t="b">
        <v>0</v>
      </c>
      <c r="O2260" s="4" t="str">
        <f>VLOOKUP(A2260,payment_ids!D:E,2,FALSE)</f>
        <v>card</v>
      </c>
      <c r="P2260" s="4" t="s">
        <v>69</v>
      </c>
      <c r="Q2260" s="4" t="s">
        <v>5953</v>
      </c>
      <c r="R2260" s="4"/>
      <c r="S2260" s="12" t="s">
        <v>5921</v>
      </c>
      <c r="T2260" s="4" t="s">
        <v>2444</v>
      </c>
      <c r="U2260" s="4"/>
      <c r="V2260" s="11"/>
      <c r="W2260" s="5"/>
      <c r="X2260" s="11"/>
      <c r="Y2260" s="4"/>
      <c r="Z2260" s="5"/>
      <c r="AA2260" s="4"/>
      <c r="AB2260" s="4"/>
      <c r="AC2260" s="4"/>
      <c r="AD2260" s="4"/>
      <c r="AE2260" s="5"/>
      <c r="AF2260" s="5"/>
      <c r="AG2260" s="5"/>
      <c r="AH2260" s="5"/>
      <c r="AI2260" s="5"/>
      <c r="AJ2260" s="5"/>
      <c r="AK2260" s="5"/>
      <c r="AL2260" s="5"/>
    </row>
    <row r="2261">
      <c r="A2261" s="4" t="str">
        <f>VLOOKUP(L2261,payment_ids!C:D,2,FALSE)</f>
        <v>pay_HNRiwwPzoehNkz</v>
      </c>
      <c r="B2261" s="4"/>
      <c r="C2261" s="4" t="s">
        <v>5822</v>
      </c>
      <c r="D2261" s="4">
        <v>50054.0</v>
      </c>
      <c r="E2261" s="5"/>
      <c r="F2261" s="4">
        <v>1.0</v>
      </c>
      <c r="G2261" s="4">
        <v>99.0</v>
      </c>
      <c r="H2261" s="4"/>
      <c r="I2261" s="4">
        <v>99.0</v>
      </c>
      <c r="J2261" s="4" t="s">
        <v>5954</v>
      </c>
      <c r="K2261" s="5">
        <f>+918630906324</f>
        <v>918630906324</v>
      </c>
      <c r="L2261" s="4" t="str">
        <f t="shared" si="1"/>
        <v>prashantmats@ymail.com918630906324</v>
      </c>
      <c r="M2261" s="10" t="s">
        <v>67</v>
      </c>
      <c r="N2261" s="4" t="b">
        <v>0</v>
      </c>
      <c r="O2261" s="4" t="str">
        <f>VLOOKUP(A2261,payment_ids!D:E,2,FALSE)</f>
        <v>upi</v>
      </c>
      <c r="P2261" s="4" t="s">
        <v>69</v>
      </c>
      <c r="Q2261" s="4" t="s">
        <v>5955</v>
      </c>
      <c r="R2261" s="4"/>
      <c r="S2261" s="12" t="s">
        <v>5824</v>
      </c>
      <c r="T2261" s="4" t="s">
        <v>2444</v>
      </c>
      <c r="U2261" s="4"/>
      <c r="V2261" s="11"/>
      <c r="W2261" s="5"/>
      <c r="X2261" s="11"/>
      <c r="Y2261" s="4"/>
      <c r="Z2261" s="5"/>
      <c r="AA2261" s="4"/>
      <c r="AB2261" s="4"/>
      <c r="AC2261" s="4"/>
      <c r="AD2261" s="4"/>
      <c r="AE2261" s="5"/>
      <c r="AF2261" s="5"/>
      <c r="AG2261" s="5"/>
      <c r="AH2261" s="5"/>
      <c r="AI2261" s="5"/>
      <c r="AJ2261" s="5"/>
      <c r="AK2261" s="5"/>
      <c r="AL2261" s="5"/>
    </row>
    <row r="2262">
      <c r="A2262" s="4" t="str">
        <f>VLOOKUP(L2262,payment_ids!C:D,2,FALSE)</f>
        <v>pay_H7kU4FTX9EwZjV</v>
      </c>
      <c r="B2262" s="4"/>
      <c r="C2262" s="4" t="s">
        <v>5956</v>
      </c>
      <c r="D2262" s="4">
        <v>50041.0</v>
      </c>
      <c r="E2262" s="4"/>
      <c r="F2262" s="4">
        <v>3.0</v>
      </c>
      <c r="G2262" s="4">
        <v>399.0</v>
      </c>
      <c r="H2262" s="4"/>
      <c r="I2262" s="4">
        <v>399.0</v>
      </c>
      <c r="J2262" s="4" t="s">
        <v>5957</v>
      </c>
      <c r="K2262" s="6">
        <f>+919652934444</f>
        <v>919652934444</v>
      </c>
      <c r="L2262" s="4" t="str">
        <f t="shared" si="1"/>
        <v>irprerna@gmail.com919652934444</v>
      </c>
      <c r="M2262" s="10" t="s">
        <v>67</v>
      </c>
      <c r="N2262" s="4" t="b">
        <v>0</v>
      </c>
      <c r="O2262" s="4" t="str">
        <f>VLOOKUP(A2262,payment_ids!D:E,2,FALSE)</f>
        <v>upi</v>
      </c>
      <c r="P2262" s="4" t="s">
        <v>69</v>
      </c>
      <c r="Q2262" s="11">
        <v>44382.36041666667</v>
      </c>
      <c r="R2262" s="4"/>
      <c r="S2262" s="12" t="s">
        <v>5958</v>
      </c>
      <c r="T2262" s="4"/>
      <c r="U2262" s="4"/>
      <c r="V2262" s="11"/>
      <c r="W2262" s="5"/>
      <c r="X2262" s="11"/>
      <c r="Y2262" s="4"/>
      <c r="Z2262" s="5"/>
      <c r="AA2262" s="4"/>
      <c r="AB2262" s="4"/>
      <c r="AC2262" s="4"/>
      <c r="AD2262" s="4"/>
      <c r="AE2262" s="5"/>
      <c r="AF2262" s="5"/>
      <c r="AG2262" s="5"/>
      <c r="AH2262" s="5"/>
      <c r="AI2262" s="5"/>
      <c r="AJ2262" s="5"/>
      <c r="AK2262" s="5"/>
      <c r="AL2262" s="5"/>
    </row>
    <row r="2263">
      <c r="A2263" s="4" t="str">
        <f>VLOOKUP(L2263,payment_ids!C:D,2,FALSE)</f>
        <v>pay_H8DPSa3SOBx2TG</v>
      </c>
      <c r="B2263" s="4"/>
      <c r="C2263" s="4" t="s">
        <v>5956</v>
      </c>
      <c r="D2263" s="4">
        <v>50041.0</v>
      </c>
      <c r="E2263" s="4"/>
      <c r="F2263" s="4">
        <v>3.0</v>
      </c>
      <c r="G2263" s="4">
        <v>399.0</v>
      </c>
      <c r="H2263" s="4"/>
      <c r="I2263" s="4">
        <v>399.0</v>
      </c>
      <c r="J2263" s="4" t="s">
        <v>5959</v>
      </c>
      <c r="K2263" s="6">
        <f>+919879959719</f>
        <v>919879959719</v>
      </c>
      <c r="L2263" s="4" t="str">
        <f t="shared" si="1"/>
        <v>staruchika@gmail.com919879959719</v>
      </c>
      <c r="M2263" s="10" t="s">
        <v>67</v>
      </c>
      <c r="N2263" s="4" t="b">
        <v>0</v>
      </c>
      <c r="O2263" s="4" t="str">
        <f>VLOOKUP(A2263,payment_ids!D:E,2,FALSE)</f>
        <v>card</v>
      </c>
      <c r="P2263" s="4" t="s">
        <v>69</v>
      </c>
      <c r="Q2263" s="11">
        <v>44413.53958333333</v>
      </c>
      <c r="R2263" s="4"/>
      <c r="S2263" s="12" t="s">
        <v>5958</v>
      </c>
      <c r="T2263" s="4"/>
      <c r="U2263" s="5"/>
      <c r="V2263" s="11"/>
      <c r="W2263" s="5"/>
      <c r="X2263" s="11"/>
      <c r="Y2263" s="4"/>
      <c r="Z2263" s="5"/>
      <c r="AA2263" s="5"/>
      <c r="AB2263" s="4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</row>
    <row r="2264">
      <c r="A2264" s="4" t="str">
        <f>VLOOKUP(L2264,payment_ids!C:D,2,FALSE)</f>
        <v>pay_H8mAzKriWuxKRh</v>
      </c>
      <c r="B2264" s="4"/>
      <c r="C2264" s="4" t="s">
        <v>5956</v>
      </c>
      <c r="D2264" s="4">
        <v>50041.0</v>
      </c>
      <c r="E2264" s="4"/>
      <c r="F2264" s="4">
        <v>3.0</v>
      </c>
      <c r="G2264" s="4">
        <v>399.0</v>
      </c>
      <c r="H2264" s="4"/>
      <c r="I2264" s="4">
        <v>399.0</v>
      </c>
      <c r="J2264" s="4" t="s">
        <v>5960</v>
      </c>
      <c r="K2264" s="6">
        <f>+919999058863</f>
        <v>919999058863</v>
      </c>
      <c r="L2264" s="4" t="str">
        <f t="shared" si="1"/>
        <v>preeti2910@gmail.com919999058863</v>
      </c>
      <c r="M2264" s="10" t="s">
        <v>67</v>
      </c>
      <c r="N2264" s="4" t="b">
        <v>0</v>
      </c>
      <c r="O2264" s="4" t="str">
        <f>VLOOKUP(A2264,payment_ids!D:E,2,FALSE)</f>
        <v>card</v>
      </c>
      <c r="P2264" s="4" t="s">
        <v>69</v>
      </c>
      <c r="Q2264" s="11">
        <v>44444.95625</v>
      </c>
      <c r="R2264" s="4"/>
      <c r="S2264" s="12" t="s">
        <v>5958</v>
      </c>
      <c r="T2264" s="4"/>
      <c r="U2264" s="4"/>
      <c r="V2264" s="11"/>
      <c r="W2264" s="5"/>
      <c r="X2264" s="11"/>
      <c r="Y2264" s="4"/>
      <c r="Z2264" s="5"/>
      <c r="AA2264" s="4"/>
      <c r="AB2264" s="4"/>
      <c r="AC2264" s="4"/>
      <c r="AD2264" s="4"/>
      <c r="AE2264" s="5"/>
      <c r="AF2264" s="5"/>
      <c r="AG2264" s="5"/>
      <c r="AH2264" s="5"/>
      <c r="AI2264" s="5"/>
      <c r="AJ2264" s="5"/>
      <c r="AK2264" s="5"/>
      <c r="AL2264" s="5"/>
    </row>
    <row r="2265">
      <c r="A2265" s="4" t="str">
        <f>VLOOKUP(L2265,payment_ids!C:D,2,FALSE)</f>
        <v>pay_H8wr2M7I2NH6qQ</v>
      </c>
      <c r="B2265" s="4"/>
      <c r="C2265" s="4" t="s">
        <v>5956</v>
      </c>
      <c r="D2265" s="4">
        <v>50041.0</v>
      </c>
      <c r="E2265" s="4"/>
      <c r="F2265" s="4">
        <v>6.0</v>
      </c>
      <c r="G2265" s="4">
        <v>999.0</v>
      </c>
      <c r="H2265" s="4"/>
      <c r="I2265" s="4">
        <v>999.0</v>
      </c>
      <c r="J2265" s="4" t="s">
        <v>5961</v>
      </c>
      <c r="K2265" s="6">
        <f>+919930406174</f>
        <v>919930406174</v>
      </c>
      <c r="L2265" s="4" t="str">
        <f t="shared" si="1"/>
        <v>nidhiscatering@gmail.com919930406174</v>
      </c>
      <c r="M2265" s="10" t="s">
        <v>67</v>
      </c>
      <c r="N2265" s="4" t="b">
        <v>0</v>
      </c>
      <c r="O2265" s="4" t="str">
        <f>VLOOKUP(A2265,payment_ids!D:E,2,FALSE)</f>
        <v>card</v>
      </c>
      <c r="P2265" s="4" t="s">
        <v>69</v>
      </c>
      <c r="Q2265" s="11">
        <v>44474.39236111111</v>
      </c>
      <c r="R2265" s="4"/>
      <c r="S2265" s="12" t="s">
        <v>5958</v>
      </c>
      <c r="T2265" s="4"/>
      <c r="U2265" s="4"/>
      <c r="V2265" s="11"/>
      <c r="W2265" s="5"/>
      <c r="X2265" s="11"/>
      <c r="Y2265" s="4"/>
      <c r="Z2265" s="5"/>
      <c r="AA2265" s="4"/>
      <c r="AB2265" s="4"/>
      <c r="AC2265" s="4"/>
      <c r="AD2265" s="4"/>
      <c r="AE2265" s="5"/>
      <c r="AF2265" s="5"/>
      <c r="AG2265" s="5"/>
      <c r="AH2265" s="5"/>
      <c r="AI2265" s="5"/>
      <c r="AJ2265" s="5"/>
      <c r="AK2265" s="5"/>
      <c r="AL2265" s="5"/>
    </row>
    <row r="2266">
      <c r="A2266" s="4" t="str">
        <f>VLOOKUP(L2266,payment_ids!C:D,2,FALSE)</f>
        <v>pay_HBKQLcy2FSIEem</v>
      </c>
      <c r="B2266" s="4"/>
      <c r="C2266" s="4" t="s">
        <v>5956</v>
      </c>
      <c r="D2266" s="4">
        <v>50041.0</v>
      </c>
      <c r="E2266" s="4"/>
      <c r="F2266" s="4">
        <v>3.0</v>
      </c>
      <c r="G2266" s="4">
        <v>399.0</v>
      </c>
      <c r="H2266" s="4"/>
      <c r="I2266" s="4">
        <v>399.0</v>
      </c>
      <c r="J2266" s="4" t="s">
        <v>5962</v>
      </c>
      <c r="K2266" s="6">
        <f>+917675978917</f>
        <v>917675978917</v>
      </c>
      <c r="L2266" s="4" t="str">
        <f t="shared" si="1"/>
        <v>k.thapaswi@gmail.com917675978917</v>
      </c>
      <c r="M2266" s="10" t="s">
        <v>67</v>
      </c>
      <c r="N2266" s="4" t="b">
        <v>0</v>
      </c>
      <c r="O2266" s="4" t="str">
        <f>VLOOKUP(A2266,payment_ids!D:E,2,FALSE)</f>
        <v>card</v>
      </c>
      <c r="P2266" s="4" t="s">
        <v>69</v>
      </c>
      <c r="Q2266" s="4" t="s">
        <v>5963</v>
      </c>
      <c r="R2266" s="4"/>
      <c r="S2266" s="12" t="s">
        <v>5958</v>
      </c>
      <c r="T2266" s="4"/>
      <c r="U2266" s="4"/>
      <c r="V2266" s="11"/>
      <c r="W2266" s="5"/>
      <c r="X2266" s="11"/>
      <c r="Y2266" s="4"/>
      <c r="Z2266" s="5"/>
      <c r="AA2266" s="4"/>
      <c r="AB2266" s="4"/>
      <c r="AC2266" s="4"/>
      <c r="AD2266" s="4"/>
      <c r="AE2266" s="5"/>
      <c r="AF2266" s="5"/>
      <c r="AG2266" s="5"/>
      <c r="AH2266" s="5"/>
      <c r="AI2266" s="5"/>
      <c r="AJ2266" s="5"/>
      <c r="AK2266" s="5"/>
      <c r="AL2266" s="5"/>
    </row>
    <row r="2267">
      <c r="A2267" s="4" t="str">
        <f>VLOOKUP(L2267,payment_ids!C:D,2,FALSE)</f>
        <v>pay_HBQYr7RUlREr2s</v>
      </c>
      <c r="B2267" s="4"/>
      <c r="C2267" s="4" t="s">
        <v>5956</v>
      </c>
      <c r="D2267" s="4">
        <v>50041.0</v>
      </c>
      <c r="E2267" s="4"/>
      <c r="F2267" s="4">
        <v>3.0</v>
      </c>
      <c r="G2267" s="4">
        <v>399.0</v>
      </c>
      <c r="H2267" s="4"/>
      <c r="I2267" s="4">
        <v>399.0</v>
      </c>
      <c r="J2267" s="4" t="s">
        <v>5964</v>
      </c>
      <c r="K2267" s="6">
        <f>+919008073399</f>
        <v>919008073399</v>
      </c>
      <c r="L2267" s="4" t="str">
        <f t="shared" si="1"/>
        <v>dr.rangolitripathi@gmail.com919008073399</v>
      </c>
      <c r="M2267" s="10" t="s">
        <v>67</v>
      </c>
      <c r="N2267" s="4" t="b">
        <v>0</v>
      </c>
      <c r="O2267" s="4" t="str">
        <f>VLOOKUP(A2267,payment_ids!D:E,2,FALSE)</f>
        <v>wallet</v>
      </c>
      <c r="P2267" s="4" t="s">
        <v>69</v>
      </c>
      <c r="Q2267" s="4" t="s">
        <v>5965</v>
      </c>
      <c r="R2267" s="4"/>
      <c r="S2267" s="12" t="s">
        <v>5958</v>
      </c>
      <c r="T2267" s="4"/>
      <c r="U2267" s="5"/>
      <c r="V2267" s="11"/>
      <c r="W2267" s="5"/>
      <c r="X2267" s="11"/>
      <c r="Y2267" s="4"/>
      <c r="Z2267" s="5"/>
      <c r="AA2267" s="5"/>
      <c r="AB2267" s="4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</row>
    <row r="2268">
      <c r="A2268" s="4" t="str">
        <f>VLOOKUP(L2268,payment_ids!C:D,2,FALSE)</f>
        <v>pay_HE9Ez8a7tgTlc5</v>
      </c>
      <c r="B2268" s="4"/>
      <c r="C2268" s="4" t="s">
        <v>5956</v>
      </c>
      <c r="D2268" s="4">
        <v>50041.0</v>
      </c>
      <c r="E2268" s="4"/>
      <c r="F2268" s="4">
        <v>3.0</v>
      </c>
      <c r="G2268" s="4">
        <v>399.0</v>
      </c>
      <c r="H2268" s="4"/>
      <c r="I2268" s="4">
        <v>399.0</v>
      </c>
      <c r="J2268" s="4" t="s">
        <v>5966</v>
      </c>
      <c r="K2268" s="6">
        <f>+918800397880</f>
        <v>918800397880</v>
      </c>
      <c r="L2268" s="4" t="str">
        <f t="shared" si="1"/>
        <v>sacredherbs.info@gmail.com918800397880</v>
      </c>
      <c r="M2268" s="10" t="s">
        <v>67</v>
      </c>
      <c r="N2268" s="4" t="b">
        <v>0</v>
      </c>
      <c r="O2268" s="4" t="str">
        <f>VLOOKUP(A2268,payment_ids!D:E,2,FALSE)</f>
        <v>upi</v>
      </c>
      <c r="P2268" s="4" t="s">
        <v>69</v>
      </c>
      <c r="Q2268" s="4" t="s">
        <v>5967</v>
      </c>
      <c r="R2268" s="4"/>
      <c r="S2268" s="12" t="s">
        <v>5958</v>
      </c>
      <c r="T2268" s="4"/>
      <c r="U2268" s="4"/>
      <c r="V2268" s="11"/>
      <c r="W2268" s="5"/>
      <c r="X2268" s="11"/>
      <c r="Y2268" s="4"/>
      <c r="Z2268" s="5"/>
      <c r="AA2268" s="4"/>
      <c r="AB2268" s="4"/>
      <c r="AC2268" s="4"/>
      <c r="AD2268" s="4"/>
      <c r="AE2268" s="5"/>
      <c r="AF2268" s="5"/>
      <c r="AG2268" s="5"/>
      <c r="AH2268" s="5"/>
      <c r="AI2268" s="5"/>
      <c r="AJ2268" s="5"/>
      <c r="AK2268" s="5"/>
      <c r="AL2268" s="5"/>
    </row>
    <row r="2269">
      <c r="A2269" s="4" t="str">
        <f>VLOOKUP(L2269,payment_ids!C:D,2,FALSE)</f>
        <v>pay_HFt5xCcIP8bQpK</v>
      </c>
      <c r="B2269" s="4"/>
      <c r="C2269" s="4" t="s">
        <v>5956</v>
      </c>
      <c r="D2269" s="4">
        <v>50041.0</v>
      </c>
      <c r="E2269" s="5"/>
      <c r="F2269" s="4">
        <v>3.0</v>
      </c>
      <c r="G2269" s="4">
        <v>399.0</v>
      </c>
      <c r="H2269" s="4"/>
      <c r="I2269" s="4">
        <v>399.0</v>
      </c>
      <c r="J2269" s="4" t="s">
        <v>5968</v>
      </c>
      <c r="K2269" s="5">
        <f>+919324385988</f>
        <v>919324385988</v>
      </c>
      <c r="L2269" s="4" t="str">
        <f t="shared" si="1"/>
        <v>gayatrissingh@gmail.com919324385988</v>
      </c>
      <c r="M2269" s="10" t="s">
        <v>67</v>
      </c>
      <c r="N2269" s="4" t="b">
        <v>0</v>
      </c>
      <c r="O2269" s="4" t="str">
        <f>VLOOKUP(A2269,payment_ids!D:E,2,FALSE)</f>
        <v>netbanking</v>
      </c>
      <c r="P2269" s="4" t="s">
        <v>69</v>
      </c>
      <c r="Q2269" s="4" t="s">
        <v>5969</v>
      </c>
      <c r="R2269" s="4"/>
      <c r="S2269" s="12" t="s">
        <v>5958</v>
      </c>
      <c r="T2269" s="5"/>
      <c r="U2269" s="4"/>
      <c r="V2269" s="11"/>
      <c r="W2269" s="5"/>
      <c r="X2269" s="11"/>
      <c r="Y2269" s="4"/>
      <c r="Z2269" s="5"/>
      <c r="AA2269" s="4"/>
      <c r="AB2269" s="4"/>
      <c r="AC2269" s="4"/>
      <c r="AD2269" s="4"/>
      <c r="AE2269" s="5"/>
      <c r="AF2269" s="5"/>
      <c r="AG2269" s="5"/>
      <c r="AH2269" s="5"/>
      <c r="AI2269" s="5"/>
      <c r="AJ2269" s="5"/>
      <c r="AK2269" s="5"/>
      <c r="AL2269" s="5"/>
    </row>
    <row r="2270">
      <c r="A2270" s="4" t="str">
        <f>VLOOKUP(L2270,payment_ids!C:D,2,FALSE)</f>
        <v>pay_HG6Vn7kAJ8dJkR</v>
      </c>
      <c r="B2270" s="4"/>
      <c r="C2270" s="4" t="s">
        <v>5956</v>
      </c>
      <c r="D2270" s="4">
        <v>50041.0</v>
      </c>
      <c r="E2270" s="5"/>
      <c r="F2270" s="4">
        <v>3.0</v>
      </c>
      <c r="G2270" s="4">
        <v>399.0</v>
      </c>
      <c r="H2270" s="4"/>
      <c r="I2270" s="4">
        <v>399.0</v>
      </c>
      <c r="J2270" s="4" t="s">
        <v>2020</v>
      </c>
      <c r="K2270" s="5">
        <f>+919820274748</f>
        <v>919820274748</v>
      </c>
      <c r="L2270" s="4" t="str">
        <f t="shared" si="1"/>
        <v>hey.foundation11@gmail.com919820274748</v>
      </c>
      <c r="M2270" s="10" t="s">
        <v>67</v>
      </c>
      <c r="N2270" s="4" t="b">
        <v>0</v>
      </c>
      <c r="O2270" s="4" t="str">
        <f>VLOOKUP(A2270,payment_ids!D:E,2,FALSE)</f>
        <v>upi</v>
      </c>
      <c r="P2270" s="4" t="s">
        <v>69</v>
      </c>
      <c r="Q2270" s="4" t="s">
        <v>5970</v>
      </c>
      <c r="R2270" s="4"/>
      <c r="S2270" s="12" t="s">
        <v>5958</v>
      </c>
      <c r="T2270" s="5"/>
      <c r="U2270" s="4"/>
      <c r="V2270" s="11"/>
      <c r="W2270" s="5"/>
      <c r="X2270" s="11"/>
      <c r="Y2270" s="4"/>
      <c r="Z2270" s="5"/>
      <c r="AA2270" s="4"/>
      <c r="AB2270" s="4"/>
      <c r="AC2270" s="4"/>
      <c r="AD2270" s="4"/>
      <c r="AE2270" s="5"/>
      <c r="AF2270" s="5"/>
      <c r="AG2270" s="5"/>
      <c r="AH2270" s="5"/>
      <c r="AI2270" s="5"/>
      <c r="AJ2270" s="5"/>
      <c r="AK2270" s="5"/>
      <c r="AL2270" s="5"/>
    </row>
    <row r="2271">
      <c r="A2271" s="4" t="str">
        <f>VLOOKUP(L2271,payment_ids!C:D,2,FALSE)</f>
        <v>pay_HIU9mRY686H3eX</v>
      </c>
      <c r="B2271" s="4"/>
      <c r="C2271" s="4" t="s">
        <v>5956</v>
      </c>
      <c r="D2271" s="4">
        <v>50041.0</v>
      </c>
      <c r="E2271" s="5"/>
      <c r="F2271" s="4">
        <v>3.0</v>
      </c>
      <c r="G2271" s="4">
        <v>399.0</v>
      </c>
      <c r="H2271" s="4"/>
      <c r="I2271" s="4">
        <v>399.0</v>
      </c>
      <c r="J2271" s="4" t="s">
        <v>5971</v>
      </c>
      <c r="K2271" s="5">
        <f>+919930146203</f>
        <v>919930146203</v>
      </c>
      <c r="L2271" s="4" t="str">
        <f t="shared" si="1"/>
        <v>pallavi.tauro@gmail.com919930146203</v>
      </c>
      <c r="M2271" s="10" t="s">
        <v>67</v>
      </c>
      <c r="N2271" s="4" t="b">
        <v>0</v>
      </c>
      <c r="O2271" s="4" t="str">
        <f>VLOOKUP(A2271,payment_ids!D:E,2,FALSE)</f>
        <v>card</v>
      </c>
      <c r="P2271" s="4" t="s">
        <v>69</v>
      </c>
      <c r="Q2271" s="11">
        <v>44261.493055555555</v>
      </c>
      <c r="R2271" s="4"/>
      <c r="S2271" s="12" t="s">
        <v>5958</v>
      </c>
      <c r="T2271" s="5"/>
      <c r="U2271" s="4"/>
      <c r="V2271" s="11"/>
      <c r="W2271" s="5"/>
      <c r="X2271" s="11"/>
      <c r="Y2271" s="4"/>
      <c r="Z2271" s="5"/>
      <c r="AA2271" s="5"/>
      <c r="AB2271" s="4"/>
      <c r="AC2271" s="4"/>
      <c r="AD2271" s="4"/>
      <c r="AE2271" s="5"/>
      <c r="AF2271" s="5"/>
      <c r="AG2271" s="5"/>
      <c r="AH2271" s="5"/>
      <c r="AI2271" s="5"/>
      <c r="AJ2271" s="5"/>
      <c r="AK2271" s="5"/>
      <c r="AL2271" s="5"/>
    </row>
    <row r="2272">
      <c r="A2272" s="4" t="str">
        <f>VLOOKUP(L2272,payment_ids!C:D,2,FALSE)</f>
        <v>pay_HK5kt0tWfZiRug</v>
      </c>
      <c r="B2272" s="4"/>
      <c r="C2272" s="4" t="s">
        <v>5956</v>
      </c>
      <c r="D2272" s="4">
        <v>50041.0</v>
      </c>
      <c r="E2272" s="4" t="s">
        <v>5972</v>
      </c>
      <c r="F2272" s="4">
        <v>12.0</v>
      </c>
      <c r="G2272" s="4">
        <v>399.0</v>
      </c>
      <c r="H2272" s="4"/>
      <c r="I2272" s="4">
        <v>399.0</v>
      </c>
      <c r="J2272" s="4" t="s">
        <v>2109</v>
      </c>
      <c r="K2272" s="5">
        <f>+919833928818</f>
        <v>919833928818</v>
      </c>
      <c r="L2272" s="4" t="str">
        <f t="shared" si="1"/>
        <v>lamyarassiwala@gmail.com919833928818</v>
      </c>
      <c r="M2272" s="10" t="s">
        <v>67</v>
      </c>
      <c r="N2272" s="4" t="b">
        <v>0</v>
      </c>
      <c r="O2272" s="4" t="str">
        <f>VLOOKUP(A2272,payment_ids!D:E,2,FALSE)</f>
        <v>upi</v>
      </c>
      <c r="P2272" s="4" t="s">
        <v>69</v>
      </c>
      <c r="Q2272" s="11">
        <v>44383.5625</v>
      </c>
      <c r="R2272" s="4"/>
      <c r="S2272" s="12" t="s">
        <v>5958</v>
      </c>
      <c r="T2272" s="5"/>
      <c r="U2272" s="4"/>
      <c r="V2272" s="11"/>
      <c r="W2272" s="5"/>
      <c r="X2272" s="11"/>
      <c r="Y2272" s="4"/>
      <c r="Z2272" s="5"/>
      <c r="AA2272" s="4"/>
      <c r="AB2272" s="4"/>
      <c r="AC2272" s="4"/>
      <c r="AD2272" s="4"/>
      <c r="AE2272" s="5"/>
      <c r="AF2272" s="5"/>
      <c r="AG2272" s="5"/>
      <c r="AH2272" s="5"/>
      <c r="AI2272" s="5"/>
      <c r="AJ2272" s="5"/>
      <c r="AK2272" s="5"/>
      <c r="AL2272" s="5"/>
    </row>
    <row r="2273">
      <c r="A2273" s="4" t="str">
        <f>VLOOKUP(L2273,payment_ids!C:D,2,FALSE)</f>
        <v>pay_H7m0n5RFBTHd4j</v>
      </c>
      <c r="B2273" s="4"/>
      <c r="C2273" s="4" t="s">
        <v>1104</v>
      </c>
      <c r="D2273" s="4">
        <v>49993.0</v>
      </c>
      <c r="E2273" s="4"/>
      <c r="F2273" s="4">
        <v>1.0</v>
      </c>
      <c r="G2273" s="4">
        <v>199.0</v>
      </c>
      <c r="H2273" s="4"/>
      <c r="I2273" s="4">
        <v>199.0</v>
      </c>
      <c r="J2273" s="4" t="s">
        <v>5973</v>
      </c>
      <c r="K2273" s="6">
        <f>+918610733174</f>
        <v>918610733174</v>
      </c>
      <c r="L2273" s="4" t="str">
        <f t="shared" si="1"/>
        <v>vickiejerry94@gmail.com918610733174</v>
      </c>
      <c r="M2273" s="10" t="s">
        <v>67</v>
      </c>
      <c r="N2273" s="4" t="b">
        <v>0</v>
      </c>
      <c r="O2273" s="4" t="str">
        <f>VLOOKUP(A2273,payment_ids!D:E,2,FALSE)</f>
        <v>card</v>
      </c>
      <c r="P2273" s="4" t="s">
        <v>69</v>
      </c>
      <c r="Q2273" s="11">
        <v>44382.42361111111</v>
      </c>
      <c r="R2273" s="4"/>
      <c r="S2273" s="12" t="s">
        <v>5974</v>
      </c>
      <c r="T2273" s="4"/>
      <c r="U2273" s="4"/>
      <c r="V2273" s="11"/>
      <c r="W2273" s="5"/>
      <c r="X2273" s="11"/>
      <c r="Y2273" s="4"/>
      <c r="Z2273" s="5"/>
      <c r="AA2273" s="4"/>
      <c r="AB2273" s="4"/>
      <c r="AC2273" s="4"/>
      <c r="AD2273" s="4"/>
      <c r="AE2273" s="5"/>
      <c r="AF2273" s="5"/>
      <c r="AG2273" s="5"/>
      <c r="AH2273" s="5"/>
      <c r="AI2273" s="5"/>
      <c r="AJ2273" s="5"/>
      <c r="AK2273" s="5"/>
      <c r="AL2273" s="5"/>
    </row>
    <row r="2274">
      <c r="A2274" s="4" t="str">
        <f>VLOOKUP(L2274,payment_ids!C:D,2,FALSE)</f>
        <v>pay_H8GWORw5RvydvR</v>
      </c>
      <c r="B2274" s="4"/>
      <c r="C2274" s="4" t="s">
        <v>1104</v>
      </c>
      <c r="D2274" s="4">
        <v>49993.0</v>
      </c>
      <c r="E2274" s="4"/>
      <c r="F2274" s="4">
        <v>1.0</v>
      </c>
      <c r="G2274" s="4">
        <v>199.0</v>
      </c>
      <c r="H2274" s="4"/>
      <c r="I2274" s="4">
        <v>199.0</v>
      </c>
      <c r="J2274" s="4" t="s">
        <v>5975</v>
      </c>
      <c r="K2274" s="6">
        <f>+919582683029</f>
        <v>919582683029</v>
      </c>
      <c r="L2274" s="4" t="str">
        <f t="shared" si="1"/>
        <v>iddishapandey@gmail.com919582683029</v>
      </c>
      <c r="M2274" s="10" t="s">
        <v>67</v>
      </c>
      <c r="N2274" s="4" t="b">
        <v>0</v>
      </c>
      <c r="O2274" s="4" t="str">
        <f>VLOOKUP(A2274,payment_ids!D:E,2,FALSE)</f>
        <v>upi</v>
      </c>
      <c r="P2274" s="4" t="s">
        <v>69</v>
      </c>
      <c r="Q2274" s="11">
        <v>44413.665972222225</v>
      </c>
      <c r="R2274" s="4"/>
      <c r="S2274" s="12" t="s">
        <v>5974</v>
      </c>
      <c r="T2274" s="4"/>
      <c r="U2274" s="4"/>
      <c r="V2274" s="11"/>
      <c r="W2274" s="5"/>
      <c r="X2274" s="11"/>
      <c r="Y2274" s="4"/>
      <c r="Z2274" s="5"/>
      <c r="AA2274" s="4"/>
      <c r="AB2274" s="4"/>
      <c r="AC2274" s="4"/>
      <c r="AD2274" s="4"/>
      <c r="AE2274" s="5"/>
      <c r="AF2274" s="5"/>
      <c r="AG2274" s="5"/>
      <c r="AH2274" s="5"/>
      <c r="AI2274" s="5"/>
      <c r="AJ2274" s="5"/>
      <c r="AK2274" s="5"/>
      <c r="AL2274" s="5"/>
    </row>
    <row r="2275">
      <c r="A2275" s="4" t="str">
        <f>VLOOKUP(L2275,payment_ids!C:D,2,FALSE)</f>
        <v>pay_H8GrqA6dIz2fiZ</v>
      </c>
      <c r="B2275" s="4"/>
      <c r="C2275" s="4" t="s">
        <v>1104</v>
      </c>
      <c r="D2275" s="4">
        <v>49993.0</v>
      </c>
      <c r="E2275" s="4"/>
      <c r="F2275" s="4">
        <v>1.0</v>
      </c>
      <c r="G2275" s="4">
        <v>199.0</v>
      </c>
      <c r="H2275" s="4"/>
      <c r="I2275" s="4">
        <v>199.0</v>
      </c>
      <c r="J2275" s="4" t="s">
        <v>5976</v>
      </c>
      <c r="K2275" s="6">
        <f>+919711468915</f>
        <v>919711468915</v>
      </c>
      <c r="L2275" s="4" t="str">
        <f t="shared" si="1"/>
        <v>rahulchadha80@yahoo.com919711468915</v>
      </c>
      <c r="M2275" s="10" t="s">
        <v>67</v>
      </c>
      <c r="N2275" s="4" t="b">
        <v>0</v>
      </c>
      <c r="O2275" s="4" t="str">
        <f>VLOOKUP(A2275,payment_ids!D:E,2,FALSE)</f>
        <v>upi</v>
      </c>
      <c r="P2275" s="4" t="s">
        <v>69</v>
      </c>
      <c r="Q2275" s="11">
        <v>44413.680555555555</v>
      </c>
      <c r="R2275" s="4"/>
      <c r="S2275" s="12" t="s">
        <v>5974</v>
      </c>
      <c r="T2275" s="4"/>
      <c r="U2275" s="4"/>
      <c r="V2275" s="11"/>
      <c r="W2275" s="5"/>
      <c r="X2275" s="11"/>
      <c r="Y2275" s="4"/>
      <c r="Z2275" s="5"/>
      <c r="AA2275" s="4"/>
      <c r="AB2275" s="4"/>
      <c r="AC2275" s="4"/>
      <c r="AD2275" s="4"/>
      <c r="AE2275" s="5"/>
      <c r="AF2275" s="5"/>
      <c r="AG2275" s="5"/>
      <c r="AH2275" s="5"/>
      <c r="AI2275" s="5"/>
      <c r="AJ2275" s="5"/>
      <c r="AK2275" s="5"/>
      <c r="AL2275" s="5"/>
    </row>
    <row r="2276">
      <c r="A2276" s="4" t="str">
        <f>VLOOKUP(L2276,payment_ids!C:D,2,FALSE)</f>
        <v>pay_H8d2CYGkXLOBIS</v>
      </c>
      <c r="B2276" s="4"/>
      <c r="C2276" s="4" t="s">
        <v>1104</v>
      </c>
      <c r="D2276" s="4">
        <v>49993.0</v>
      </c>
      <c r="E2276" s="4"/>
      <c r="F2276" s="4">
        <v>1.0</v>
      </c>
      <c r="G2276" s="4">
        <v>199.0</v>
      </c>
      <c r="H2276" s="4"/>
      <c r="I2276" s="4">
        <v>199.0</v>
      </c>
      <c r="J2276" s="4" t="s">
        <v>5977</v>
      </c>
      <c r="K2276" s="6">
        <f>+919223161718</f>
        <v>919223161718</v>
      </c>
      <c r="L2276" s="4" t="str">
        <f t="shared" si="1"/>
        <v>suhaswpanchal@gmail.com919223161718</v>
      </c>
      <c r="M2276" s="10" t="s">
        <v>67</v>
      </c>
      <c r="N2276" s="4" t="b">
        <v>0</v>
      </c>
      <c r="O2276" s="4" t="str">
        <f>VLOOKUP(A2276,payment_ids!D:E,2,FALSE)</f>
        <v>upi</v>
      </c>
      <c r="P2276" s="4" t="s">
        <v>69</v>
      </c>
      <c r="Q2276" s="11">
        <v>44444.584027777775</v>
      </c>
      <c r="R2276" s="4"/>
      <c r="S2276" s="12" t="s">
        <v>5974</v>
      </c>
      <c r="T2276" s="4"/>
      <c r="U2276" s="4"/>
      <c r="V2276" s="11"/>
      <c r="W2276" s="5"/>
      <c r="X2276" s="11"/>
      <c r="Y2276" s="4"/>
      <c r="Z2276" s="5"/>
      <c r="AA2276" s="4"/>
      <c r="AB2276" s="4"/>
      <c r="AC2276" s="4"/>
      <c r="AD2276" s="4"/>
      <c r="AE2276" s="5"/>
      <c r="AF2276" s="5"/>
      <c r="AG2276" s="5"/>
      <c r="AH2276" s="5"/>
      <c r="AI2276" s="5"/>
      <c r="AJ2276" s="5"/>
      <c r="AK2276" s="5"/>
      <c r="AL2276" s="5"/>
    </row>
    <row r="2277">
      <c r="A2277" s="4" t="str">
        <f>VLOOKUP(L2277,payment_ids!C:D,2,FALSE)</f>
        <v>pay_H91WcZs7kqtx0m</v>
      </c>
      <c r="B2277" s="4"/>
      <c r="C2277" s="4" t="s">
        <v>1104</v>
      </c>
      <c r="D2277" s="4">
        <v>49993.0</v>
      </c>
      <c r="E2277" s="4"/>
      <c r="F2277" s="4">
        <v>1.0</v>
      </c>
      <c r="G2277" s="4">
        <v>199.0</v>
      </c>
      <c r="H2277" s="4"/>
      <c r="I2277" s="4">
        <v>199.0</v>
      </c>
      <c r="J2277" s="4" t="s">
        <v>5978</v>
      </c>
      <c r="K2277" s="6">
        <f>+919094235480</f>
        <v>919094235480</v>
      </c>
      <c r="L2277" s="4" t="str">
        <f t="shared" si="1"/>
        <v>aashy909@gmail.com919094235480</v>
      </c>
      <c r="M2277" s="10" t="s">
        <v>67</v>
      </c>
      <c r="N2277" s="4" t="b">
        <v>0</v>
      </c>
      <c r="O2277" s="4" t="str">
        <f>VLOOKUP(A2277,payment_ids!D:E,2,FALSE)</f>
        <v>upi</v>
      </c>
      <c r="P2277" s="4" t="s">
        <v>69</v>
      </c>
      <c r="Q2277" s="11">
        <v>44474.58263888889</v>
      </c>
      <c r="R2277" s="4"/>
      <c r="S2277" s="12" t="s">
        <v>5974</v>
      </c>
      <c r="T2277" s="4"/>
      <c r="U2277" s="4"/>
      <c r="V2277" s="11"/>
      <c r="W2277" s="5"/>
      <c r="X2277" s="11"/>
      <c r="Y2277" s="4"/>
      <c r="Z2277" s="5"/>
      <c r="AA2277" s="4"/>
      <c r="AB2277" s="4"/>
      <c r="AC2277" s="4"/>
      <c r="AD2277" s="4"/>
      <c r="AE2277" s="5"/>
      <c r="AF2277" s="5"/>
      <c r="AG2277" s="5"/>
      <c r="AH2277" s="5"/>
      <c r="AI2277" s="5"/>
      <c r="AJ2277" s="5"/>
      <c r="AK2277" s="5"/>
      <c r="AL2277" s="5"/>
    </row>
    <row r="2278">
      <c r="A2278" s="4" t="str">
        <f>VLOOKUP(L2278,payment_ids!C:D,2,FALSE)</f>
        <v>pay_H933cvNmPwjvL5</v>
      </c>
      <c r="B2278" s="4"/>
      <c r="C2278" s="4" t="s">
        <v>1104</v>
      </c>
      <c r="D2278" s="4">
        <v>49993.0</v>
      </c>
      <c r="E2278" s="4"/>
      <c r="F2278" s="4">
        <v>1.0</v>
      </c>
      <c r="G2278" s="4">
        <v>199.0</v>
      </c>
      <c r="H2278" s="4"/>
      <c r="I2278" s="4">
        <v>199.0</v>
      </c>
      <c r="J2278" s="4" t="s">
        <v>5979</v>
      </c>
      <c r="K2278" s="6">
        <f>+919980180634</f>
        <v>919980180634</v>
      </c>
      <c r="L2278" s="4" t="str">
        <f t="shared" si="1"/>
        <v>nagarra_1982@yahoo.com919980180634</v>
      </c>
      <c r="M2278" s="10" t="s">
        <v>67</v>
      </c>
      <c r="N2278" s="4" t="b">
        <v>0</v>
      </c>
      <c r="O2278" s="4" t="str">
        <f>VLOOKUP(A2278,payment_ids!D:E,2,FALSE)</f>
        <v>upi</v>
      </c>
      <c r="P2278" s="4" t="s">
        <v>69</v>
      </c>
      <c r="Q2278" s="11">
        <v>44474.64513888889</v>
      </c>
      <c r="R2278" s="4"/>
      <c r="S2278" s="12" t="s">
        <v>5974</v>
      </c>
      <c r="T2278" s="4"/>
      <c r="U2278" s="4"/>
      <c r="V2278" s="11"/>
      <c r="W2278" s="5"/>
      <c r="X2278" s="11"/>
      <c r="Y2278" s="4"/>
      <c r="Z2278" s="5"/>
      <c r="AA2278" s="4"/>
      <c r="AB2278" s="4"/>
      <c r="AC2278" s="4"/>
      <c r="AD2278" s="4"/>
      <c r="AE2278" s="5"/>
      <c r="AF2278" s="5"/>
      <c r="AG2278" s="5"/>
      <c r="AH2278" s="5"/>
      <c r="AI2278" s="5"/>
      <c r="AJ2278" s="5"/>
      <c r="AK2278" s="5"/>
      <c r="AL2278" s="5"/>
    </row>
    <row r="2279">
      <c r="A2279" s="4" t="str">
        <f>VLOOKUP(L2279,payment_ids!C:D,2,FALSE)</f>
        <v>pay_HMoXVQkXWYvhM3</v>
      </c>
      <c r="B2279" s="4"/>
      <c r="C2279" s="4" t="s">
        <v>1104</v>
      </c>
      <c r="D2279" s="4">
        <v>49993.0</v>
      </c>
      <c r="E2279" s="5"/>
      <c r="F2279" s="4">
        <v>1.0</v>
      </c>
      <c r="G2279" s="4">
        <v>199.0</v>
      </c>
      <c r="H2279" s="4"/>
      <c r="I2279" s="4">
        <v>199.0</v>
      </c>
      <c r="J2279" s="4" t="s">
        <v>5980</v>
      </c>
      <c r="K2279" s="5">
        <f>+918884543295</f>
        <v>918884543295</v>
      </c>
      <c r="L2279" s="4" t="str">
        <f t="shared" si="1"/>
        <v>mpa983484@gmail.com918884543295</v>
      </c>
      <c r="M2279" s="10" t="s">
        <v>67</v>
      </c>
      <c r="N2279" s="4" t="b">
        <v>0</v>
      </c>
      <c r="O2279" s="4" t="str">
        <f>VLOOKUP(A2279,payment_ids!D:E,2,FALSE)</f>
        <v>upi</v>
      </c>
      <c r="P2279" s="4" t="s">
        <v>69</v>
      </c>
      <c r="Q2279" s="4" t="s">
        <v>5981</v>
      </c>
      <c r="R2279" s="4"/>
      <c r="S2279" s="12" t="s">
        <v>5974</v>
      </c>
      <c r="T2279" s="4" t="s">
        <v>2444</v>
      </c>
      <c r="U2279" s="4"/>
      <c r="V2279" s="11"/>
      <c r="W2279" s="5"/>
      <c r="X2279" s="11"/>
      <c r="Y2279" s="4"/>
      <c r="Z2279" s="5"/>
      <c r="AA2279" s="4"/>
      <c r="AB2279" s="4"/>
      <c r="AC2279" s="4"/>
      <c r="AD2279" s="4"/>
      <c r="AE2279" s="5"/>
      <c r="AF2279" s="5"/>
      <c r="AG2279" s="5"/>
      <c r="AH2279" s="5"/>
      <c r="AI2279" s="5"/>
      <c r="AJ2279" s="5"/>
      <c r="AK2279" s="5"/>
      <c r="AL2279" s="5"/>
    </row>
    <row r="2280">
      <c r="A2280" s="4" t="str">
        <f>VLOOKUP(L2280,payment_ids!C:D,2,FALSE)</f>
        <v>pay_HMqHWeMjN5IeFt</v>
      </c>
      <c r="B2280" s="4"/>
      <c r="C2280" s="4" t="s">
        <v>1104</v>
      </c>
      <c r="D2280" s="4">
        <v>49993.0</v>
      </c>
      <c r="E2280" s="5"/>
      <c r="F2280" s="4">
        <v>1.0</v>
      </c>
      <c r="G2280" s="4">
        <v>199.0</v>
      </c>
      <c r="H2280" s="4"/>
      <c r="I2280" s="4">
        <v>199.0</v>
      </c>
      <c r="J2280" s="4" t="s">
        <v>5982</v>
      </c>
      <c r="K2280" s="5">
        <f>+919886495459</f>
        <v>919886495459</v>
      </c>
      <c r="L2280" s="4" t="str">
        <f t="shared" si="1"/>
        <v>romidreamzone@gmail.com919886495459</v>
      </c>
      <c r="M2280" s="10" t="s">
        <v>67</v>
      </c>
      <c r="N2280" s="4" t="b">
        <v>0</v>
      </c>
      <c r="O2280" s="4" t="str">
        <f>VLOOKUP(A2280,payment_ids!D:E,2,FALSE)</f>
        <v>card</v>
      </c>
      <c r="P2280" s="4" t="s">
        <v>69</v>
      </c>
      <c r="Q2280" s="4" t="s">
        <v>5983</v>
      </c>
      <c r="R2280" s="4"/>
      <c r="S2280" s="12" t="s">
        <v>5974</v>
      </c>
      <c r="T2280" s="4" t="s">
        <v>2444</v>
      </c>
      <c r="U2280" s="4"/>
      <c r="V2280" s="11"/>
      <c r="W2280" s="5"/>
      <c r="X2280" s="11"/>
      <c r="Y2280" s="4"/>
      <c r="Z2280" s="5"/>
      <c r="AA2280" s="4"/>
      <c r="AB2280" s="4"/>
      <c r="AC2280" s="4"/>
      <c r="AD2280" s="4"/>
      <c r="AE2280" s="5"/>
      <c r="AF2280" s="5"/>
      <c r="AG2280" s="5"/>
      <c r="AH2280" s="5"/>
      <c r="AI2280" s="5"/>
      <c r="AJ2280" s="5"/>
      <c r="AK2280" s="5"/>
      <c r="AL2280" s="5"/>
    </row>
    <row r="2281">
      <c r="A2281" s="4" t="str">
        <f>VLOOKUP(L2281,payment_ids!C:D,2,FALSE)</f>
        <v>pay_HDFeKrIgZaNcG3</v>
      </c>
      <c r="B2281" s="4"/>
      <c r="C2281" s="4" t="s">
        <v>5984</v>
      </c>
      <c r="D2281" s="4">
        <v>50076.0</v>
      </c>
      <c r="E2281" s="4"/>
      <c r="F2281" s="4">
        <v>1.0</v>
      </c>
      <c r="G2281" s="4">
        <v>99.0</v>
      </c>
      <c r="H2281" s="4"/>
      <c r="I2281" s="4">
        <v>99.0</v>
      </c>
      <c r="J2281" s="4" t="s">
        <v>5985</v>
      </c>
      <c r="K2281" s="6">
        <f>+919962886963</f>
        <v>919962886963</v>
      </c>
      <c r="L2281" s="4" t="str">
        <f t="shared" si="1"/>
        <v>jpadmalochni@gmail.com919962886963</v>
      </c>
      <c r="M2281" s="10" t="s">
        <v>67</v>
      </c>
      <c r="N2281" s="4" t="b">
        <v>0</v>
      </c>
      <c r="O2281" s="4" t="str">
        <f>VLOOKUP(A2281,payment_ids!D:E,2,FALSE)</f>
        <v>upi</v>
      </c>
      <c r="P2281" s="4" t="s">
        <v>69</v>
      </c>
      <c r="Q2281" s="4" t="s">
        <v>5986</v>
      </c>
      <c r="R2281" s="4"/>
      <c r="S2281" s="12" t="s">
        <v>5987</v>
      </c>
      <c r="T2281" s="4"/>
      <c r="U2281" s="5"/>
      <c r="V2281" s="11"/>
      <c r="W2281" s="5"/>
      <c r="X2281" s="11"/>
      <c r="Y2281" s="4"/>
      <c r="Z2281" s="5"/>
      <c r="AA2281" s="5"/>
      <c r="AB2281" s="4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</row>
    <row r="2282">
      <c r="A2282" s="4" t="str">
        <f>VLOOKUP(L2282,payment_ids!C:D,2,FALSE)</f>
        <v>pay_HDHOjXN5SdXXlT</v>
      </c>
      <c r="B2282" s="4"/>
      <c r="C2282" s="4" t="s">
        <v>5984</v>
      </c>
      <c r="D2282" s="4">
        <v>50076.0</v>
      </c>
      <c r="E2282" s="4"/>
      <c r="F2282" s="4">
        <v>1.0</v>
      </c>
      <c r="G2282" s="4">
        <v>99.0</v>
      </c>
      <c r="H2282" s="4"/>
      <c r="I2282" s="4">
        <v>99.0</v>
      </c>
      <c r="J2282" s="4" t="s">
        <v>5988</v>
      </c>
      <c r="K2282" s="6">
        <f>+917975350286</f>
        <v>917975350286</v>
      </c>
      <c r="L2282" s="4" t="str">
        <f t="shared" si="1"/>
        <v>vijaykumardesai93@gmail.com917975350286</v>
      </c>
      <c r="M2282" s="10" t="s">
        <v>67</v>
      </c>
      <c r="N2282" s="4" t="b">
        <v>0</v>
      </c>
      <c r="O2282" s="4" t="str">
        <f>VLOOKUP(A2282,payment_ids!D:E,2,FALSE)</f>
        <v>upi</v>
      </c>
      <c r="P2282" s="4" t="s">
        <v>69</v>
      </c>
      <c r="Q2282" s="4" t="s">
        <v>5989</v>
      </c>
      <c r="R2282" s="4"/>
      <c r="S2282" s="12" t="s">
        <v>5987</v>
      </c>
      <c r="T2282" s="4"/>
      <c r="U2282" s="4"/>
      <c r="V2282" s="11"/>
      <c r="W2282" s="5"/>
      <c r="X2282" s="11"/>
      <c r="Y2282" s="4"/>
      <c r="Z2282" s="5"/>
      <c r="AA2282" s="4"/>
      <c r="AB2282" s="4"/>
      <c r="AC2282" s="4"/>
      <c r="AD2282" s="4"/>
      <c r="AE2282" s="5"/>
      <c r="AF2282" s="5"/>
      <c r="AG2282" s="5"/>
      <c r="AH2282" s="5"/>
      <c r="AI2282" s="5"/>
      <c r="AJ2282" s="5"/>
      <c r="AK2282" s="5"/>
      <c r="AL2282" s="5"/>
    </row>
    <row r="2283">
      <c r="A2283" s="4" t="str">
        <f>VLOOKUP(L2283,payment_ids!C:D,2,FALSE)</f>
        <v>pay_HDIk5fjPcSDFmO</v>
      </c>
      <c r="B2283" s="4"/>
      <c r="C2283" s="4" t="s">
        <v>5984</v>
      </c>
      <c r="D2283" s="4">
        <v>50076.0</v>
      </c>
      <c r="E2283" s="4"/>
      <c r="F2283" s="4">
        <v>1.0</v>
      </c>
      <c r="G2283" s="4">
        <v>99.0</v>
      </c>
      <c r="H2283" s="4"/>
      <c r="I2283" s="4">
        <v>99.0</v>
      </c>
      <c r="J2283" s="4" t="s">
        <v>5990</v>
      </c>
      <c r="K2283" s="6">
        <f>+916382958196</f>
        <v>916382958196</v>
      </c>
      <c r="L2283" s="4" t="str">
        <f t="shared" si="1"/>
        <v>kksaravanan07@gmail.com916382958196</v>
      </c>
      <c r="M2283" s="10" t="s">
        <v>67</v>
      </c>
      <c r="N2283" s="4" t="b">
        <v>0</v>
      </c>
      <c r="O2283" s="4" t="str">
        <f>VLOOKUP(A2283,payment_ids!D:E,2,FALSE)</f>
        <v>upi</v>
      </c>
      <c r="P2283" s="4" t="s">
        <v>69</v>
      </c>
      <c r="Q2283" s="4" t="s">
        <v>5991</v>
      </c>
      <c r="R2283" s="4"/>
      <c r="S2283" s="12" t="s">
        <v>5987</v>
      </c>
      <c r="T2283" s="4"/>
      <c r="U2283" s="5"/>
      <c r="V2283" s="11"/>
      <c r="W2283" s="5"/>
      <c r="X2283" s="11"/>
      <c r="Y2283" s="4"/>
      <c r="Z2283" s="5"/>
      <c r="AA2283" s="5"/>
      <c r="AB2283" s="4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</row>
    <row r="2284">
      <c r="A2284" s="4" t="str">
        <f>VLOOKUP(L2284,payment_ids!C:D,2,FALSE)</f>
        <v>pay_HDJVh5I5xrdFm3</v>
      </c>
      <c r="B2284" s="4"/>
      <c r="C2284" s="4" t="s">
        <v>5984</v>
      </c>
      <c r="D2284" s="4">
        <v>50076.0</v>
      </c>
      <c r="E2284" s="4"/>
      <c r="F2284" s="4">
        <v>1.0</v>
      </c>
      <c r="G2284" s="4">
        <v>99.0</v>
      </c>
      <c r="H2284" s="4"/>
      <c r="I2284" s="4">
        <v>99.0</v>
      </c>
      <c r="J2284" s="4" t="s">
        <v>5992</v>
      </c>
      <c r="K2284" s="6">
        <f>+917738876901</f>
        <v>917738876901</v>
      </c>
      <c r="L2284" s="4" t="str">
        <f t="shared" si="1"/>
        <v>kafilur2000@gmail.com917738876901</v>
      </c>
      <c r="M2284" s="10" t="s">
        <v>67</v>
      </c>
      <c r="N2284" s="4" t="b">
        <v>0</v>
      </c>
      <c r="O2284" s="4" t="str">
        <f>VLOOKUP(A2284,payment_ids!D:E,2,FALSE)</f>
        <v>upi</v>
      </c>
      <c r="P2284" s="4" t="s">
        <v>69</v>
      </c>
      <c r="Q2284" s="4" t="s">
        <v>5993</v>
      </c>
      <c r="R2284" s="4"/>
      <c r="S2284" s="12" t="s">
        <v>5987</v>
      </c>
      <c r="T2284" s="4"/>
      <c r="U2284" s="4"/>
      <c r="V2284" s="11"/>
      <c r="W2284" s="5"/>
      <c r="X2284" s="11"/>
      <c r="Y2284" s="4"/>
      <c r="Z2284" s="5"/>
      <c r="AA2284" s="4"/>
      <c r="AB2284" s="4"/>
      <c r="AC2284" s="4"/>
      <c r="AD2284" s="4"/>
      <c r="AE2284" s="5"/>
      <c r="AF2284" s="5"/>
      <c r="AG2284" s="5"/>
      <c r="AH2284" s="5"/>
      <c r="AI2284" s="5"/>
      <c r="AJ2284" s="5"/>
      <c r="AK2284" s="5"/>
      <c r="AL2284" s="5"/>
    </row>
    <row r="2285">
      <c r="A2285" s="4" t="str">
        <f>VLOOKUP(L2285,payment_ids!C:D,2,FALSE)</f>
        <v>pay_HDM4EKGkvYWoDS</v>
      </c>
      <c r="B2285" s="4"/>
      <c r="C2285" s="4" t="s">
        <v>5984</v>
      </c>
      <c r="D2285" s="4">
        <v>50076.0</v>
      </c>
      <c r="E2285" s="4"/>
      <c r="F2285" s="4">
        <v>1.0</v>
      </c>
      <c r="G2285" s="4">
        <v>99.0</v>
      </c>
      <c r="H2285" s="4"/>
      <c r="I2285" s="4">
        <v>99.0</v>
      </c>
      <c r="J2285" s="4" t="s">
        <v>5994</v>
      </c>
      <c r="K2285" s="6">
        <f>+918075796676</f>
        <v>918075796676</v>
      </c>
      <c r="L2285" s="4" t="str">
        <f t="shared" si="1"/>
        <v>woundedangel786@gmail.com918075796676</v>
      </c>
      <c r="M2285" s="10" t="s">
        <v>67</v>
      </c>
      <c r="N2285" s="4" t="b">
        <v>0</v>
      </c>
      <c r="O2285" s="4" t="str">
        <f>VLOOKUP(A2285,payment_ids!D:E,2,FALSE)</f>
        <v>upi</v>
      </c>
      <c r="P2285" s="4" t="s">
        <v>69</v>
      </c>
      <c r="Q2285" s="4" t="s">
        <v>5995</v>
      </c>
      <c r="R2285" s="4"/>
      <c r="S2285" s="12" t="s">
        <v>5987</v>
      </c>
      <c r="T2285" s="4"/>
      <c r="U2285" s="4"/>
      <c r="V2285" s="11"/>
      <c r="W2285" s="5"/>
      <c r="X2285" s="11"/>
      <c r="Y2285" s="4"/>
      <c r="Z2285" s="5"/>
      <c r="AA2285" s="4"/>
      <c r="AB2285" s="4"/>
      <c r="AC2285" s="4"/>
      <c r="AD2285" s="4"/>
      <c r="AE2285" s="5"/>
      <c r="AF2285" s="5"/>
      <c r="AG2285" s="5"/>
      <c r="AH2285" s="5"/>
      <c r="AI2285" s="5"/>
      <c r="AJ2285" s="5"/>
      <c r="AK2285" s="5"/>
      <c r="AL2285" s="5"/>
    </row>
    <row r="2286">
      <c r="A2286" s="4" t="str">
        <f>VLOOKUP(L2286,payment_ids!C:D,2,FALSE)</f>
        <v>pay_HDNwYN2e0mplQF</v>
      </c>
      <c r="B2286" s="4"/>
      <c r="C2286" s="4" t="s">
        <v>5984</v>
      </c>
      <c r="D2286" s="4">
        <v>50076.0</v>
      </c>
      <c r="E2286" s="4"/>
      <c r="F2286" s="4">
        <v>1.0</v>
      </c>
      <c r="G2286" s="4">
        <v>99.0</v>
      </c>
      <c r="H2286" s="4"/>
      <c r="I2286" s="4">
        <v>99.0</v>
      </c>
      <c r="J2286" s="4" t="s">
        <v>5996</v>
      </c>
      <c r="K2286" s="6">
        <f>+918589896283</f>
        <v>918589896283</v>
      </c>
      <c r="L2286" s="4" t="str">
        <f t="shared" si="1"/>
        <v>anzilpoolakkachalil@gmail.com918589896283</v>
      </c>
      <c r="M2286" s="10" t="s">
        <v>67</v>
      </c>
      <c r="N2286" s="4" t="b">
        <v>0</v>
      </c>
      <c r="O2286" s="4" t="str">
        <f>VLOOKUP(A2286,payment_ids!D:E,2,FALSE)</f>
        <v>upi</v>
      </c>
      <c r="P2286" s="4" t="s">
        <v>69</v>
      </c>
      <c r="Q2286" s="4" t="s">
        <v>5997</v>
      </c>
      <c r="R2286" s="4"/>
      <c r="S2286" s="12" t="s">
        <v>5987</v>
      </c>
      <c r="T2286" s="4"/>
      <c r="U2286" s="4"/>
      <c r="V2286" s="11"/>
      <c r="W2286" s="5"/>
      <c r="X2286" s="11"/>
      <c r="Y2286" s="4"/>
      <c r="Z2286" s="5"/>
      <c r="AA2286" s="4"/>
      <c r="AB2286" s="4"/>
      <c r="AC2286" s="4"/>
      <c r="AD2286" s="4"/>
      <c r="AE2286" s="5"/>
      <c r="AF2286" s="5"/>
      <c r="AG2286" s="5"/>
      <c r="AH2286" s="5"/>
      <c r="AI2286" s="5"/>
      <c r="AJ2286" s="5"/>
      <c r="AK2286" s="5"/>
      <c r="AL2286" s="5"/>
    </row>
    <row r="2287">
      <c r="A2287" s="4" t="str">
        <f>VLOOKUP(L2287,payment_ids!C:D,2,FALSE)</f>
        <v>pay_HDOhoqnHNzmys3</v>
      </c>
      <c r="B2287" s="4"/>
      <c r="C2287" s="4" t="s">
        <v>5984</v>
      </c>
      <c r="D2287" s="4">
        <v>50076.0</v>
      </c>
      <c r="E2287" s="4"/>
      <c r="F2287" s="4">
        <v>1.0</v>
      </c>
      <c r="G2287" s="4">
        <v>99.0</v>
      </c>
      <c r="H2287" s="4"/>
      <c r="I2287" s="4">
        <v>99.0</v>
      </c>
      <c r="J2287" s="4" t="s">
        <v>5060</v>
      </c>
      <c r="K2287" s="6">
        <f>+919483347663</f>
        <v>919483347663</v>
      </c>
      <c r="L2287" s="4" t="str">
        <f t="shared" si="1"/>
        <v>mamathahc410@gmail.com919483347663</v>
      </c>
      <c r="M2287" s="10" t="s">
        <v>67</v>
      </c>
      <c r="N2287" s="4" t="b">
        <v>0</v>
      </c>
      <c r="O2287" s="4" t="str">
        <f>VLOOKUP(A2287,payment_ids!D:E,2,FALSE)</f>
        <v>card</v>
      </c>
      <c r="P2287" s="4" t="s">
        <v>69</v>
      </c>
      <c r="Q2287" s="4" t="s">
        <v>5998</v>
      </c>
      <c r="R2287" s="4"/>
      <c r="S2287" s="12" t="s">
        <v>5987</v>
      </c>
      <c r="T2287" s="4"/>
      <c r="U2287" s="4"/>
      <c r="V2287" s="11"/>
      <c r="W2287" s="5"/>
      <c r="X2287" s="11"/>
      <c r="Y2287" s="4"/>
      <c r="Z2287" s="5"/>
      <c r="AA2287" s="4"/>
      <c r="AB2287" s="4"/>
      <c r="AC2287" s="4"/>
      <c r="AD2287" s="4"/>
      <c r="AE2287" s="5"/>
      <c r="AF2287" s="5"/>
      <c r="AG2287" s="5"/>
      <c r="AH2287" s="5"/>
      <c r="AI2287" s="5"/>
      <c r="AJ2287" s="5"/>
      <c r="AK2287" s="5"/>
      <c r="AL2287" s="5"/>
    </row>
    <row r="2288">
      <c r="A2288" s="4" t="str">
        <f>VLOOKUP(L2288,payment_ids!C:D,2,FALSE)</f>
        <v>pay_HDSHGh64PibQed</v>
      </c>
      <c r="B2288" s="4"/>
      <c r="C2288" s="4" t="s">
        <v>5984</v>
      </c>
      <c r="D2288" s="4">
        <v>50076.0</v>
      </c>
      <c r="E2288" s="4"/>
      <c r="F2288" s="4">
        <v>1.0</v>
      </c>
      <c r="G2288" s="4">
        <v>99.0</v>
      </c>
      <c r="H2288" s="4"/>
      <c r="I2288" s="4">
        <v>99.0</v>
      </c>
      <c r="J2288" s="4" t="s">
        <v>5999</v>
      </c>
      <c r="K2288" s="6">
        <f>+918015778075</f>
        <v>918015778075</v>
      </c>
      <c r="L2288" s="4" t="str">
        <f t="shared" si="1"/>
        <v>janamca1996@gmail.com918015778075</v>
      </c>
      <c r="M2288" s="10" t="s">
        <v>67</v>
      </c>
      <c r="N2288" s="4" t="b">
        <v>0</v>
      </c>
      <c r="O2288" s="4" t="str">
        <f>VLOOKUP(A2288,payment_ids!D:E,2,FALSE)</f>
        <v>upi</v>
      </c>
      <c r="P2288" s="4" t="s">
        <v>69</v>
      </c>
      <c r="Q2288" s="4" t="s">
        <v>6000</v>
      </c>
      <c r="R2288" s="4"/>
      <c r="S2288" s="12" t="s">
        <v>5987</v>
      </c>
      <c r="T2288" s="4"/>
      <c r="U2288" s="4"/>
      <c r="V2288" s="11"/>
      <c r="W2288" s="5"/>
      <c r="X2288" s="11"/>
      <c r="Y2288" s="4"/>
      <c r="Z2288" s="5"/>
      <c r="AA2288" s="4"/>
      <c r="AB2288" s="4"/>
      <c r="AC2288" s="4"/>
      <c r="AD2288" s="4"/>
      <c r="AE2288" s="5"/>
      <c r="AF2288" s="5"/>
      <c r="AG2288" s="5"/>
      <c r="AH2288" s="5"/>
      <c r="AI2288" s="5"/>
      <c r="AJ2288" s="5"/>
      <c r="AK2288" s="5"/>
      <c r="AL2288" s="5"/>
    </row>
    <row r="2289">
      <c r="A2289" s="4" t="str">
        <f>VLOOKUP(L2289,payment_ids!C:D,2,FALSE)</f>
        <v>pay_HDihxkl9HXxlDA</v>
      </c>
      <c r="B2289" s="4"/>
      <c r="C2289" s="4" t="s">
        <v>5984</v>
      </c>
      <c r="D2289" s="4">
        <v>50076.0</v>
      </c>
      <c r="E2289" s="4"/>
      <c r="F2289" s="4">
        <v>3.0</v>
      </c>
      <c r="G2289" s="4">
        <v>199.0</v>
      </c>
      <c r="H2289" s="4"/>
      <c r="I2289" s="4">
        <v>199.0</v>
      </c>
      <c r="J2289" s="4" t="s">
        <v>6001</v>
      </c>
      <c r="K2289" s="6">
        <f>+917209881512</f>
        <v>917209881512</v>
      </c>
      <c r="L2289" s="4" t="str">
        <f t="shared" si="1"/>
        <v>prupak73@gmail.com917209881512</v>
      </c>
      <c r="M2289" s="10" t="s">
        <v>67</v>
      </c>
      <c r="N2289" s="4" t="b">
        <v>0</v>
      </c>
      <c r="O2289" s="4" t="str">
        <f>VLOOKUP(A2289,payment_ids!D:E,2,FALSE)</f>
        <v>upi</v>
      </c>
      <c r="P2289" s="4" t="s">
        <v>69</v>
      </c>
      <c r="Q2289" s="4" t="s">
        <v>4446</v>
      </c>
      <c r="R2289" s="4"/>
      <c r="S2289" s="12" t="s">
        <v>5987</v>
      </c>
      <c r="T2289" s="4"/>
      <c r="U2289" s="4"/>
      <c r="V2289" s="11"/>
      <c r="W2289" s="5"/>
      <c r="X2289" s="11"/>
      <c r="Y2289" s="4"/>
      <c r="Z2289" s="5"/>
      <c r="AA2289" s="4"/>
      <c r="AB2289" s="4"/>
      <c r="AC2289" s="4"/>
      <c r="AD2289" s="4"/>
      <c r="AE2289" s="5"/>
      <c r="AF2289" s="5"/>
      <c r="AG2289" s="5"/>
      <c r="AH2289" s="5"/>
      <c r="AI2289" s="5"/>
      <c r="AJ2289" s="5"/>
      <c r="AK2289" s="5"/>
      <c r="AL2289" s="5"/>
    </row>
    <row r="2290">
      <c r="A2290" s="4" t="str">
        <f>VLOOKUP(L2290,payment_ids!C:D,2,FALSE)</f>
        <v>pay_HDknl7pfjiKsgK</v>
      </c>
      <c r="B2290" s="4"/>
      <c r="C2290" s="4" t="s">
        <v>5984</v>
      </c>
      <c r="D2290" s="4">
        <v>50076.0</v>
      </c>
      <c r="E2290" s="4"/>
      <c r="F2290" s="4">
        <v>1.0</v>
      </c>
      <c r="G2290" s="4">
        <v>99.0</v>
      </c>
      <c r="H2290" s="4"/>
      <c r="I2290" s="4">
        <v>99.0</v>
      </c>
      <c r="J2290" s="4" t="s">
        <v>6002</v>
      </c>
      <c r="K2290" s="6">
        <f>+917409337787</f>
        <v>917409337787</v>
      </c>
      <c r="L2290" s="4" t="str">
        <f t="shared" si="1"/>
        <v>anup9tot@gmail.com917409337787</v>
      </c>
      <c r="M2290" s="10" t="s">
        <v>67</v>
      </c>
      <c r="N2290" s="4" t="b">
        <v>0</v>
      </c>
      <c r="O2290" s="4" t="str">
        <f>VLOOKUP(A2290,payment_ids!D:E,2,FALSE)</f>
        <v>upi</v>
      </c>
      <c r="P2290" s="4" t="s">
        <v>69</v>
      </c>
      <c r="Q2290" s="4" t="s">
        <v>6003</v>
      </c>
      <c r="R2290" s="4"/>
      <c r="S2290" s="12" t="s">
        <v>5987</v>
      </c>
      <c r="T2290" s="4"/>
      <c r="U2290" s="4"/>
      <c r="V2290" s="11"/>
      <c r="W2290" s="5"/>
      <c r="X2290" s="11"/>
      <c r="Y2290" s="4"/>
      <c r="Z2290" s="5"/>
      <c r="AA2290" s="4"/>
      <c r="AB2290" s="4"/>
      <c r="AC2290" s="4"/>
      <c r="AD2290" s="4"/>
      <c r="AE2290" s="5"/>
      <c r="AF2290" s="5"/>
      <c r="AG2290" s="5"/>
      <c r="AH2290" s="5"/>
      <c r="AI2290" s="5"/>
      <c r="AJ2290" s="5"/>
      <c r="AK2290" s="5"/>
      <c r="AL2290" s="5"/>
    </row>
    <row r="2291">
      <c r="A2291" s="4" t="str">
        <f>VLOOKUP(L2291,payment_ids!C:D,2,FALSE)</f>
        <v>pay_HDkv8hG2iK9Tic</v>
      </c>
      <c r="B2291" s="4"/>
      <c r="C2291" s="4" t="s">
        <v>5984</v>
      </c>
      <c r="D2291" s="4">
        <v>50076.0</v>
      </c>
      <c r="E2291" s="4"/>
      <c r="F2291" s="4">
        <v>1.0</v>
      </c>
      <c r="G2291" s="4">
        <v>99.0</v>
      </c>
      <c r="H2291" s="4"/>
      <c r="I2291" s="4">
        <v>99.0</v>
      </c>
      <c r="J2291" s="4" t="s">
        <v>6004</v>
      </c>
      <c r="K2291" s="6">
        <f>+917544077784</f>
        <v>917544077784</v>
      </c>
      <c r="L2291" s="4" t="str">
        <f t="shared" si="1"/>
        <v>ravimahatoslg@gmail.com917544077784</v>
      </c>
      <c r="M2291" s="10" t="s">
        <v>67</v>
      </c>
      <c r="N2291" s="4" t="b">
        <v>0</v>
      </c>
      <c r="O2291" s="4" t="str">
        <f>VLOOKUP(A2291,payment_ids!D:E,2,FALSE)</f>
        <v>upi</v>
      </c>
      <c r="P2291" s="4" t="s">
        <v>69</v>
      </c>
      <c r="Q2291" s="4" t="s">
        <v>6005</v>
      </c>
      <c r="R2291" s="4"/>
      <c r="S2291" s="12" t="s">
        <v>5987</v>
      </c>
      <c r="T2291" s="4"/>
      <c r="U2291" s="4"/>
      <c r="V2291" s="11"/>
      <c r="W2291" s="5"/>
      <c r="X2291" s="11"/>
      <c r="Y2291" s="4"/>
      <c r="Z2291" s="5"/>
      <c r="AA2291" s="4"/>
      <c r="AB2291" s="4"/>
      <c r="AC2291" s="4"/>
      <c r="AD2291" s="4"/>
      <c r="AE2291" s="5"/>
      <c r="AF2291" s="5"/>
      <c r="AG2291" s="5"/>
      <c r="AH2291" s="5"/>
      <c r="AI2291" s="5"/>
      <c r="AJ2291" s="5"/>
      <c r="AK2291" s="5"/>
      <c r="AL2291" s="5"/>
    </row>
    <row r="2292">
      <c r="A2292" s="4" t="str">
        <f>VLOOKUP(L2292,payment_ids!C:D,2,FALSE)</f>
        <v>pay_HDlSu2LeQorHZj</v>
      </c>
      <c r="B2292" s="4"/>
      <c r="C2292" s="4" t="s">
        <v>5984</v>
      </c>
      <c r="D2292" s="4">
        <v>50076.0</v>
      </c>
      <c r="E2292" s="4"/>
      <c r="F2292" s="4">
        <v>1.0</v>
      </c>
      <c r="G2292" s="4">
        <v>99.0</v>
      </c>
      <c r="H2292" s="4"/>
      <c r="I2292" s="4">
        <v>99.0</v>
      </c>
      <c r="J2292" s="4" t="s">
        <v>6006</v>
      </c>
      <c r="K2292" s="6">
        <f>+918476914344</f>
        <v>918476914344</v>
      </c>
      <c r="L2292" s="4" t="str">
        <f t="shared" si="1"/>
        <v>abhiwait16@gmail.com918476914344</v>
      </c>
      <c r="M2292" s="10" t="s">
        <v>67</v>
      </c>
      <c r="N2292" s="4" t="b">
        <v>0</v>
      </c>
      <c r="O2292" s="4" t="str">
        <f>VLOOKUP(A2292,payment_ids!D:E,2,FALSE)</f>
        <v>upi</v>
      </c>
      <c r="P2292" s="4" t="s">
        <v>69</v>
      </c>
      <c r="Q2292" s="4" t="s">
        <v>6007</v>
      </c>
      <c r="R2292" s="4"/>
      <c r="S2292" s="12" t="s">
        <v>5987</v>
      </c>
      <c r="T2292" s="4"/>
      <c r="U2292" s="5"/>
      <c r="V2292" s="11"/>
      <c r="W2292" s="5"/>
      <c r="X2292" s="11"/>
      <c r="Y2292" s="4"/>
      <c r="Z2292" s="5"/>
      <c r="AA2292" s="5"/>
      <c r="AB2292" s="4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</row>
    <row r="2293">
      <c r="A2293" s="4" t="str">
        <f>VLOOKUP(L2293,payment_ids!C:D,2,FALSE)</f>
        <v>pay_HDnWAGaK4o7TEZ</v>
      </c>
      <c r="B2293" s="4"/>
      <c r="C2293" s="4" t="s">
        <v>5984</v>
      </c>
      <c r="D2293" s="4">
        <v>50076.0</v>
      </c>
      <c r="E2293" s="4"/>
      <c r="F2293" s="4">
        <v>1.0</v>
      </c>
      <c r="G2293" s="4">
        <v>99.0</v>
      </c>
      <c r="H2293" s="4"/>
      <c r="I2293" s="4">
        <v>99.0</v>
      </c>
      <c r="J2293" s="4" t="s">
        <v>6008</v>
      </c>
      <c r="K2293" s="6">
        <f>+919633051142</f>
        <v>919633051142</v>
      </c>
      <c r="L2293" s="4" t="str">
        <f t="shared" si="1"/>
        <v>ajaynkkrishna@gmaik.com919633051142</v>
      </c>
      <c r="M2293" s="10" t="s">
        <v>67</v>
      </c>
      <c r="N2293" s="4" t="b">
        <v>0</v>
      </c>
      <c r="O2293" s="4" t="str">
        <f>VLOOKUP(A2293,payment_ids!D:E,2,FALSE)</f>
        <v>upi</v>
      </c>
      <c r="P2293" s="4" t="s">
        <v>69</v>
      </c>
      <c r="Q2293" s="4" t="s">
        <v>6009</v>
      </c>
      <c r="R2293" s="4"/>
      <c r="S2293" s="12" t="s">
        <v>5987</v>
      </c>
      <c r="T2293" s="4"/>
      <c r="U2293" s="4"/>
      <c r="V2293" s="11"/>
      <c r="W2293" s="5"/>
      <c r="X2293" s="11"/>
      <c r="Y2293" s="4"/>
      <c r="Z2293" s="5"/>
      <c r="AA2293" s="4"/>
      <c r="AB2293" s="4"/>
      <c r="AC2293" s="4"/>
      <c r="AD2293" s="4"/>
      <c r="AE2293" s="5"/>
      <c r="AF2293" s="5"/>
      <c r="AG2293" s="5"/>
      <c r="AH2293" s="5"/>
      <c r="AI2293" s="5"/>
      <c r="AJ2293" s="5"/>
      <c r="AK2293" s="5"/>
      <c r="AL2293" s="5"/>
    </row>
    <row r="2294">
      <c r="A2294" s="4" t="str">
        <f>VLOOKUP(L2294,payment_ids!C:D,2,FALSE)</f>
        <v>pay_HDppiRwly4qgGA</v>
      </c>
      <c r="B2294" s="4"/>
      <c r="C2294" s="4" t="s">
        <v>5984</v>
      </c>
      <c r="D2294" s="4">
        <v>50076.0</v>
      </c>
      <c r="E2294" s="4"/>
      <c r="F2294" s="4">
        <v>1.0</v>
      </c>
      <c r="G2294" s="4">
        <v>99.0</v>
      </c>
      <c r="H2294" s="4"/>
      <c r="I2294" s="4">
        <v>99.0</v>
      </c>
      <c r="J2294" s="4" t="s">
        <v>6010</v>
      </c>
      <c r="K2294" s="6">
        <f>+917745837929</f>
        <v>917745837929</v>
      </c>
      <c r="L2294" s="4" t="str">
        <f t="shared" si="1"/>
        <v>30jadhavshivani@gmail.com917745837929</v>
      </c>
      <c r="M2294" s="10" t="s">
        <v>67</v>
      </c>
      <c r="N2294" s="4" t="b">
        <v>0</v>
      </c>
      <c r="O2294" s="4" t="str">
        <f>VLOOKUP(A2294,payment_ids!D:E,2,FALSE)</f>
        <v>card</v>
      </c>
      <c r="P2294" s="4" t="s">
        <v>69</v>
      </c>
      <c r="Q2294" s="4" t="s">
        <v>6011</v>
      </c>
      <c r="R2294" s="4"/>
      <c r="S2294" s="12" t="s">
        <v>5987</v>
      </c>
      <c r="T2294" s="4"/>
      <c r="U2294" s="5"/>
      <c r="V2294" s="11"/>
      <c r="W2294" s="5"/>
      <c r="X2294" s="11"/>
      <c r="Y2294" s="4"/>
      <c r="Z2294" s="5"/>
      <c r="AA2294" s="5"/>
      <c r="AB2294" s="4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</row>
    <row r="2295">
      <c r="A2295" s="4" t="str">
        <f>VLOOKUP(L2295,payment_ids!C:D,2,FALSE)</f>
        <v>pay_HDqlIsU9r1AjgO</v>
      </c>
      <c r="B2295" s="4"/>
      <c r="C2295" s="4" t="s">
        <v>5984</v>
      </c>
      <c r="D2295" s="4">
        <v>50076.0</v>
      </c>
      <c r="E2295" s="4"/>
      <c r="F2295" s="4">
        <v>1.0</v>
      </c>
      <c r="G2295" s="4">
        <v>99.0</v>
      </c>
      <c r="H2295" s="4"/>
      <c r="I2295" s="4">
        <v>99.0</v>
      </c>
      <c r="J2295" s="4" t="s">
        <v>6012</v>
      </c>
      <c r="K2295" s="6">
        <f>+919003961117</f>
        <v>919003961117</v>
      </c>
      <c r="L2295" s="4" t="str">
        <f t="shared" si="1"/>
        <v>m.eyebelleyebell1996k@gmail.com919003961117</v>
      </c>
      <c r="M2295" s="10" t="s">
        <v>67</v>
      </c>
      <c r="N2295" s="4" t="b">
        <v>0</v>
      </c>
      <c r="O2295" s="4" t="str">
        <f>VLOOKUP(A2295,payment_ids!D:E,2,FALSE)</f>
        <v>upi</v>
      </c>
      <c r="P2295" s="4" t="s">
        <v>69</v>
      </c>
      <c r="Q2295" s="4" t="s">
        <v>6013</v>
      </c>
      <c r="R2295" s="4"/>
      <c r="S2295" s="12" t="s">
        <v>5987</v>
      </c>
      <c r="T2295" s="4"/>
      <c r="U2295" s="4"/>
      <c r="V2295" s="11"/>
      <c r="W2295" s="5"/>
      <c r="X2295" s="11"/>
      <c r="Y2295" s="4"/>
      <c r="Z2295" s="5"/>
      <c r="AA2295" s="4"/>
      <c r="AB2295" s="4"/>
      <c r="AC2295" s="4"/>
      <c r="AD2295" s="4"/>
      <c r="AE2295" s="5"/>
      <c r="AF2295" s="5"/>
      <c r="AG2295" s="5"/>
      <c r="AH2295" s="5"/>
      <c r="AI2295" s="5"/>
      <c r="AJ2295" s="5"/>
      <c r="AK2295" s="5"/>
      <c r="AL2295" s="5"/>
    </row>
    <row r="2296">
      <c r="A2296" s="4" t="str">
        <f>VLOOKUP(L2296,payment_ids!C:D,2,FALSE)</f>
        <v>pay_HDwPGGsoE2NISj</v>
      </c>
      <c r="B2296" s="4"/>
      <c r="C2296" s="4" t="s">
        <v>5984</v>
      </c>
      <c r="D2296" s="4">
        <v>50076.0</v>
      </c>
      <c r="E2296" s="4"/>
      <c r="F2296" s="4">
        <v>1.0</v>
      </c>
      <c r="G2296" s="4">
        <v>99.0</v>
      </c>
      <c r="H2296" s="4"/>
      <c r="I2296" s="4">
        <v>99.0</v>
      </c>
      <c r="J2296" s="4" t="s">
        <v>6014</v>
      </c>
      <c r="K2296" s="6">
        <f>+916206128016</f>
        <v>916206128016</v>
      </c>
      <c r="L2296" s="4" t="str">
        <f t="shared" si="1"/>
        <v>pradhanbiplab.543@gmail.com916206128016</v>
      </c>
      <c r="M2296" s="10" t="s">
        <v>67</v>
      </c>
      <c r="N2296" s="4" t="b">
        <v>0</v>
      </c>
      <c r="O2296" s="4" t="str">
        <f>VLOOKUP(A2296,payment_ids!D:E,2,FALSE)</f>
        <v>upi</v>
      </c>
      <c r="P2296" s="4" t="s">
        <v>69</v>
      </c>
      <c r="Q2296" s="4" t="s">
        <v>6015</v>
      </c>
      <c r="R2296" s="4"/>
      <c r="S2296" s="12" t="s">
        <v>5987</v>
      </c>
      <c r="T2296" s="4"/>
      <c r="U2296" s="4"/>
      <c r="V2296" s="11"/>
      <c r="W2296" s="5"/>
      <c r="X2296" s="11"/>
      <c r="Y2296" s="4"/>
      <c r="Z2296" s="5"/>
      <c r="AA2296" s="4"/>
      <c r="AB2296" s="4"/>
      <c r="AC2296" s="4"/>
      <c r="AD2296" s="4"/>
      <c r="AE2296" s="5"/>
      <c r="AF2296" s="5"/>
      <c r="AG2296" s="5"/>
      <c r="AH2296" s="5"/>
      <c r="AI2296" s="5"/>
      <c r="AJ2296" s="5"/>
      <c r="AK2296" s="5"/>
      <c r="AL2296" s="5"/>
    </row>
    <row r="2297">
      <c r="A2297" s="4" t="str">
        <f>VLOOKUP(L2297,payment_ids!C:D,2,FALSE)</f>
        <v>pay_HDwi1IejQdZYZs</v>
      </c>
      <c r="B2297" s="4"/>
      <c r="C2297" s="4" t="s">
        <v>5984</v>
      </c>
      <c r="D2297" s="4">
        <v>50076.0</v>
      </c>
      <c r="E2297" s="4"/>
      <c r="F2297" s="4">
        <v>1.0</v>
      </c>
      <c r="G2297" s="4">
        <v>99.0</v>
      </c>
      <c r="H2297" s="4"/>
      <c r="I2297" s="4">
        <v>99.0</v>
      </c>
      <c r="J2297" s="4" t="s">
        <v>6016</v>
      </c>
      <c r="K2297" s="6">
        <f>+918709071685</f>
        <v>918709071685</v>
      </c>
      <c r="L2297" s="4" t="str">
        <f t="shared" si="1"/>
        <v>gautambudh529@gmail.com918709071685</v>
      </c>
      <c r="M2297" s="10" t="s">
        <v>67</v>
      </c>
      <c r="N2297" s="4" t="b">
        <v>0</v>
      </c>
      <c r="O2297" s="4" t="str">
        <f>VLOOKUP(A2297,payment_ids!D:E,2,FALSE)</f>
        <v>upi</v>
      </c>
      <c r="P2297" s="4" t="s">
        <v>69</v>
      </c>
      <c r="Q2297" s="4" t="s">
        <v>6017</v>
      </c>
      <c r="R2297" s="4"/>
      <c r="S2297" s="12" t="s">
        <v>5987</v>
      </c>
      <c r="T2297" s="4"/>
      <c r="U2297" s="4"/>
      <c r="V2297" s="11"/>
      <c r="W2297" s="5"/>
      <c r="X2297" s="11"/>
      <c r="Y2297" s="4"/>
      <c r="Z2297" s="5"/>
      <c r="AA2297" s="4"/>
      <c r="AB2297" s="4"/>
      <c r="AC2297" s="4"/>
      <c r="AD2297" s="4"/>
      <c r="AE2297" s="5"/>
      <c r="AF2297" s="5"/>
      <c r="AG2297" s="5"/>
      <c r="AH2297" s="5"/>
      <c r="AI2297" s="5"/>
      <c r="AJ2297" s="5"/>
      <c r="AK2297" s="5"/>
      <c r="AL2297" s="5"/>
    </row>
    <row r="2298">
      <c r="A2298" s="4" t="str">
        <f>VLOOKUP(L2298,payment_ids!C:D,2,FALSE)</f>
        <v>pay_HE4PmXzW80uKGL</v>
      </c>
      <c r="B2298" s="4"/>
      <c r="C2298" s="4" t="s">
        <v>5984</v>
      </c>
      <c r="D2298" s="4">
        <v>50076.0</v>
      </c>
      <c r="E2298" s="4"/>
      <c r="F2298" s="4">
        <v>1.0</v>
      </c>
      <c r="G2298" s="4">
        <v>99.0</v>
      </c>
      <c r="H2298" s="4"/>
      <c r="I2298" s="4">
        <v>99.0</v>
      </c>
      <c r="J2298" s="4" t="s">
        <v>6018</v>
      </c>
      <c r="K2298" s="6">
        <f>+919510951497</f>
        <v>919510951497</v>
      </c>
      <c r="L2298" s="4" t="str">
        <f t="shared" si="1"/>
        <v>www.yashvadiya9510@gmail.com919510951497</v>
      </c>
      <c r="M2298" s="10" t="s">
        <v>67</v>
      </c>
      <c r="N2298" s="4" t="b">
        <v>0</v>
      </c>
      <c r="O2298" s="4" t="str">
        <f>VLOOKUP(A2298,payment_ids!D:E,2,FALSE)</f>
        <v>upi</v>
      </c>
      <c r="P2298" s="4" t="s">
        <v>69</v>
      </c>
      <c r="Q2298" s="4" t="s">
        <v>6019</v>
      </c>
      <c r="R2298" s="4"/>
      <c r="S2298" s="12" t="s">
        <v>5987</v>
      </c>
      <c r="T2298" s="4"/>
      <c r="U2298" s="4"/>
      <c r="V2298" s="11"/>
      <c r="W2298" s="5"/>
      <c r="X2298" s="11"/>
      <c r="Y2298" s="4"/>
      <c r="Z2298" s="5"/>
      <c r="AA2298" s="4"/>
      <c r="AB2298" s="4"/>
      <c r="AC2298" s="4"/>
      <c r="AD2298" s="4"/>
      <c r="AE2298" s="5"/>
      <c r="AF2298" s="5"/>
      <c r="AG2298" s="5"/>
      <c r="AH2298" s="5"/>
      <c r="AI2298" s="5"/>
      <c r="AJ2298" s="5"/>
      <c r="AK2298" s="5"/>
      <c r="AL2298" s="5"/>
    </row>
    <row r="2299">
      <c r="A2299" s="4" t="str">
        <f>VLOOKUP(L2299,payment_ids!C:D,2,FALSE)</f>
        <v>pay_HE66jlvlqTLk6I</v>
      </c>
      <c r="B2299" s="4"/>
      <c r="C2299" s="4" t="s">
        <v>5984</v>
      </c>
      <c r="D2299" s="4">
        <v>50076.0</v>
      </c>
      <c r="E2299" s="4"/>
      <c r="F2299" s="4">
        <v>1.0</v>
      </c>
      <c r="G2299" s="4">
        <v>99.0</v>
      </c>
      <c r="H2299" s="4"/>
      <c r="I2299" s="4">
        <v>99.0</v>
      </c>
      <c r="J2299" s="4" t="s">
        <v>6020</v>
      </c>
      <c r="K2299" s="6">
        <f>+918780265642</f>
        <v>918780265642</v>
      </c>
      <c r="L2299" s="4" t="str">
        <f t="shared" si="1"/>
        <v>sagarmisal3185@gmail.com918780265642</v>
      </c>
      <c r="M2299" s="10" t="s">
        <v>67</v>
      </c>
      <c r="N2299" s="4" t="b">
        <v>0</v>
      </c>
      <c r="O2299" s="4" t="str">
        <f>VLOOKUP(A2299,payment_ids!D:E,2,FALSE)</f>
        <v>upi</v>
      </c>
      <c r="P2299" s="4" t="s">
        <v>69</v>
      </c>
      <c r="Q2299" s="4" t="s">
        <v>6021</v>
      </c>
      <c r="R2299" s="4"/>
      <c r="S2299" s="12" t="s">
        <v>5987</v>
      </c>
      <c r="T2299" s="4"/>
      <c r="U2299" s="4"/>
      <c r="V2299" s="11"/>
      <c r="W2299" s="5"/>
      <c r="X2299" s="11"/>
      <c r="Y2299" s="4"/>
      <c r="Z2299" s="5"/>
      <c r="AA2299" s="4"/>
      <c r="AB2299" s="4"/>
      <c r="AC2299" s="4"/>
      <c r="AD2299" s="4"/>
      <c r="AE2299" s="5"/>
      <c r="AF2299" s="5"/>
      <c r="AG2299" s="5"/>
      <c r="AH2299" s="5"/>
      <c r="AI2299" s="5"/>
      <c r="AJ2299" s="5"/>
      <c r="AK2299" s="5"/>
      <c r="AL2299" s="5"/>
    </row>
    <row r="2300">
      <c r="A2300" s="4" t="str">
        <f>VLOOKUP(L2300,payment_ids!C:D,2,FALSE)</f>
        <v>pay_HE6xcihhHLHNeZ</v>
      </c>
      <c r="B2300" s="4"/>
      <c r="C2300" s="4" t="s">
        <v>5984</v>
      </c>
      <c r="D2300" s="4">
        <v>50076.0</v>
      </c>
      <c r="E2300" s="4"/>
      <c r="F2300" s="4">
        <v>1.0</v>
      </c>
      <c r="G2300" s="4">
        <v>99.0</v>
      </c>
      <c r="H2300" s="4"/>
      <c r="I2300" s="4">
        <v>99.0</v>
      </c>
      <c r="J2300" s="4" t="s">
        <v>6022</v>
      </c>
      <c r="K2300" s="6">
        <f>+919336305896</f>
        <v>919336305896</v>
      </c>
      <c r="L2300" s="4" t="str">
        <f t="shared" si="1"/>
        <v>rairohitsr@gmail.com919336305896</v>
      </c>
      <c r="M2300" s="10" t="s">
        <v>67</v>
      </c>
      <c r="N2300" s="4" t="b">
        <v>0</v>
      </c>
      <c r="O2300" s="4" t="str">
        <f>VLOOKUP(A2300,payment_ids!D:E,2,FALSE)</f>
        <v>upi</v>
      </c>
      <c r="P2300" s="4" t="s">
        <v>69</v>
      </c>
      <c r="Q2300" s="4" t="s">
        <v>6023</v>
      </c>
      <c r="R2300" s="4"/>
      <c r="S2300" s="12" t="s">
        <v>5987</v>
      </c>
      <c r="T2300" s="4"/>
      <c r="U2300" s="5"/>
      <c r="V2300" s="11"/>
      <c r="W2300" s="5"/>
      <c r="X2300" s="11"/>
      <c r="Y2300" s="4"/>
      <c r="Z2300" s="5"/>
      <c r="AA2300" s="5"/>
      <c r="AB2300" s="4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</row>
    <row r="2301">
      <c r="A2301" s="4" t="str">
        <f>VLOOKUP(L2301,payment_ids!C:D,2,FALSE)</f>
        <v>pay_HE7FIogVxNd8mn</v>
      </c>
      <c r="B2301" s="4"/>
      <c r="C2301" s="4" t="s">
        <v>5984</v>
      </c>
      <c r="D2301" s="4">
        <v>50076.0</v>
      </c>
      <c r="E2301" s="4"/>
      <c r="F2301" s="4">
        <v>1.0</v>
      </c>
      <c r="G2301" s="4">
        <v>99.0</v>
      </c>
      <c r="H2301" s="4"/>
      <c r="I2301" s="4">
        <v>99.0</v>
      </c>
      <c r="J2301" s="4" t="s">
        <v>6024</v>
      </c>
      <c r="K2301" s="6">
        <f>+917654551089</f>
        <v>917654551089</v>
      </c>
      <c r="L2301" s="4" t="str">
        <f t="shared" si="1"/>
        <v>rakes.lveo@gmail.com917654551089</v>
      </c>
      <c r="M2301" s="10" t="s">
        <v>67</v>
      </c>
      <c r="N2301" s="4" t="b">
        <v>0</v>
      </c>
      <c r="O2301" s="4" t="str">
        <f>VLOOKUP(A2301,payment_ids!D:E,2,FALSE)</f>
        <v>upi</v>
      </c>
      <c r="P2301" s="4" t="s">
        <v>69</v>
      </c>
      <c r="Q2301" s="4" t="s">
        <v>5228</v>
      </c>
      <c r="R2301" s="4"/>
      <c r="S2301" s="12" t="s">
        <v>5987</v>
      </c>
      <c r="T2301" s="4"/>
      <c r="U2301" s="5"/>
      <c r="V2301" s="11"/>
      <c r="W2301" s="5"/>
      <c r="X2301" s="11"/>
      <c r="Y2301" s="4"/>
      <c r="Z2301" s="5"/>
      <c r="AA2301" s="5"/>
      <c r="AB2301" s="4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</row>
    <row r="2302">
      <c r="A2302" s="4" t="str">
        <f>VLOOKUP(L2302,payment_ids!C:D,2,FALSE)</f>
        <v>pay_HE7iOypswZo4nC</v>
      </c>
      <c r="B2302" s="4"/>
      <c r="C2302" s="4" t="s">
        <v>5984</v>
      </c>
      <c r="D2302" s="4">
        <v>50076.0</v>
      </c>
      <c r="E2302" s="4"/>
      <c r="F2302" s="4">
        <v>1.0</v>
      </c>
      <c r="G2302" s="4">
        <v>99.0</v>
      </c>
      <c r="H2302" s="4"/>
      <c r="I2302" s="4">
        <v>99.0</v>
      </c>
      <c r="J2302" s="4" t="s">
        <v>6025</v>
      </c>
      <c r="K2302" s="6">
        <f>+918957352184</f>
        <v>918957352184</v>
      </c>
      <c r="L2302" s="4" t="str">
        <f t="shared" si="1"/>
        <v>omprakash17798@gmail.com918957352184</v>
      </c>
      <c r="M2302" s="10" t="s">
        <v>67</v>
      </c>
      <c r="N2302" s="4" t="b">
        <v>0</v>
      </c>
      <c r="O2302" s="4" t="str">
        <f>VLOOKUP(A2302,payment_ids!D:E,2,FALSE)</f>
        <v>upi</v>
      </c>
      <c r="P2302" s="4" t="s">
        <v>69</v>
      </c>
      <c r="Q2302" s="4" t="s">
        <v>6026</v>
      </c>
      <c r="R2302" s="4"/>
      <c r="S2302" s="12" t="s">
        <v>5987</v>
      </c>
      <c r="T2302" s="4"/>
      <c r="U2302" s="4"/>
      <c r="V2302" s="11"/>
      <c r="W2302" s="5"/>
      <c r="X2302" s="11"/>
      <c r="Y2302" s="4"/>
      <c r="Z2302" s="5"/>
      <c r="AA2302" s="4"/>
      <c r="AB2302" s="4"/>
      <c r="AC2302" s="4"/>
      <c r="AD2302" s="4"/>
      <c r="AE2302" s="5"/>
      <c r="AF2302" s="5"/>
      <c r="AG2302" s="5"/>
      <c r="AH2302" s="5"/>
      <c r="AI2302" s="5"/>
      <c r="AJ2302" s="5"/>
      <c r="AK2302" s="5"/>
      <c r="AL2302" s="5"/>
    </row>
    <row r="2303">
      <c r="A2303" s="4" t="str">
        <f>VLOOKUP(L2303,payment_ids!C:D,2,FALSE)</f>
        <v>pay_HE7tqZNsZKNK1N</v>
      </c>
      <c r="B2303" s="4"/>
      <c r="C2303" s="4" t="s">
        <v>5984</v>
      </c>
      <c r="D2303" s="4">
        <v>50076.0</v>
      </c>
      <c r="E2303" s="4"/>
      <c r="F2303" s="4">
        <v>3.0</v>
      </c>
      <c r="G2303" s="4">
        <v>199.0</v>
      </c>
      <c r="H2303" s="4"/>
      <c r="I2303" s="4">
        <v>199.0</v>
      </c>
      <c r="J2303" s="4" t="s">
        <v>6027</v>
      </c>
      <c r="K2303" s="6">
        <f>+917060526430</f>
        <v>917060526430</v>
      </c>
      <c r="L2303" s="4" t="str">
        <f t="shared" si="1"/>
        <v>kartik1222005@gmail.com917060526430</v>
      </c>
      <c r="M2303" s="10" t="s">
        <v>67</v>
      </c>
      <c r="N2303" s="4" t="b">
        <v>0</v>
      </c>
      <c r="O2303" s="4" t="str">
        <f>VLOOKUP(A2303,payment_ids!D:E,2,FALSE)</f>
        <v>upi</v>
      </c>
      <c r="P2303" s="4" t="s">
        <v>69</v>
      </c>
      <c r="Q2303" s="4" t="s">
        <v>6028</v>
      </c>
      <c r="R2303" s="4"/>
      <c r="S2303" s="12" t="s">
        <v>5987</v>
      </c>
      <c r="T2303" s="4"/>
      <c r="U2303" s="4"/>
      <c r="V2303" s="11"/>
      <c r="W2303" s="5"/>
      <c r="X2303" s="11"/>
      <c r="Y2303" s="4"/>
      <c r="Z2303" s="5"/>
      <c r="AA2303" s="4"/>
      <c r="AB2303" s="4"/>
      <c r="AC2303" s="4"/>
      <c r="AD2303" s="4"/>
      <c r="AE2303" s="5"/>
      <c r="AF2303" s="5"/>
      <c r="AG2303" s="5"/>
      <c r="AH2303" s="5"/>
      <c r="AI2303" s="5"/>
      <c r="AJ2303" s="5"/>
      <c r="AK2303" s="5"/>
      <c r="AL2303" s="5"/>
    </row>
    <row r="2304">
      <c r="A2304" s="4" t="str">
        <f>VLOOKUP(L2304,payment_ids!C:D,2,FALSE)</f>
        <v>pay_HE8bgbgDyv2xve</v>
      </c>
      <c r="B2304" s="4"/>
      <c r="C2304" s="4" t="s">
        <v>5984</v>
      </c>
      <c r="D2304" s="4">
        <v>50076.0</v>
      </c>
      <c r="E2304" s="4"/>
      <c r="F2304" s="4">
        <v>1.0</v>
      </c>
      <c r="G2304" s="4">
        <v>99.0</v>
      </c>
      <c r="H2304" s="4"/>
      <c r="I2304" s="4">
        <v>99.0</v>
      </c>
      <c r="J2304" s="4" t="s">
        <v>6029</v>
      </c>
      <c r="K2304" s="6">
        <f>+917355258010</f>
        <v>917355258010</v>
      </c>
      <c r="L2304" s="4" t="str">
        <f t="shared" si="1"/>
        <v>arvindrkt1234@gmail.com917355258010</v>
      </c>
      <c r="M2304" s="10" t="s">
        <v>67</v>
      </c>
      <c r="N2304" s="4" t="b">
        <v>0</v>
      </c>
      <c r="O2304" s="4" t="str">
        <f>VLOOKUP(A2304,payment_ids!D:E,2,FALSE)</f>
        <v>upi</v>
      </c>
      <c r="P2304" s="4" t="s">
        <v>69</v>
      </c>
      <c r="Q2304" s="4" t="s">
        <v>6030</v>
      </c>
      <c r="R2304" s="4"/>
      <c r="S2304" s="12" t="s">
        <v>5987</v>
      </c>
      <c r="T2304" s="4"/>
      <c r="U2304" s="5"/>
      <c r="V2304" s="11"/>
      <c r="W2304" s="5"/>
      <c r="X2304" s="11"/>
      <c r="Y2304" s="4"/>
      <c r="Z2304" s="5"/>
      <c r="AA2304" s="5"/>
      <c r="AB2304" s="4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</row>
    <row r="2305">
      <c r="A2305" s="4" t="str">
        <f>VLOOKUP(L2305,payment_ids!C:D,2,FALSE)</f>
        <v>pay_HEDnMKbKFl8Pm5</v>
      </c>
      <c r="B2305" s="4"/>
      <c r="C2305" s="4" t="s">
        <v>5984</v>
      </c>
      <c r="D2305" s="4">
        <v>50076.0</v>
      </c>
      <c r="E2305" s="4"/>
      <c r="F2305" s="4">
        <v>1.0</v>
      </c>
      <c r="G2305" s="4">
        <v>99.0</v>
      </c>
      <c r="H2305" s="4"/>
      <c r="I2305" s="4">
        <v>99.0</v>
      </c>
      <c r="J2305" s="4" t="s">
        <v>6031</v>
      </c>
      <c r="K2305" s="6">
        <f>+917731886811</f>
        <v>917731886811</v>
      </c>
      <c r="L2305" s="4" t="str">
        <f t="shared" si="1"/>
        <v>subramanyamk4554@gmail.com917731886811</v>
      </c>
      <c r="M2305" s="10" t="s">
        <v>67</v>
      </c>
      <c r="N2305" s="4" t="b">
        <v>0</v>
      </c>
      <c r="O2305" s="4" t="str">
        <f>VLOOKUP(A2305,payment_ids!D:E,2,FALSE)</f>
        <v>upi</v>
      </c>
      <c r="P2305" s="4" t="s">
        <v>69</v>
      </c>
      <c r="Q2305" s="4" t="s">
        <v>6032</v>
      </c>
      <c r="R2305" s="4"/>
      <c r="S2305" s="12" t="s">
        <v>5987</v>
      </c>
      <c r="T2305" s="4"/>
      <c r="U2305" s="4"/>
      <c r="V2305" s="11"/>
      <c r="W2305" s="5"/>
      <c r="X2305" s="11"/>
      <c r="Y2305" s="4"/>
      <c r="Z2305" s="5"/>
      <c r="AA2305" s="4"/>
      <c r="AB2305" s="4"/>
      <c r="AC2305" s="4"/>
      <c r="AD2305" s="4"/>
      <c r="AE2305" s="5"/>
      <c r="AF2305" s="5"/>
      <c r="AG2305" s="5"/>
      <c r="AH2305" s="5"/>
      <c r="AI2305" s="5"/>
      <c r="AJ2305" s="5"/>
      <c r="AK2305" s="5"/>
      <c r="AL2305" s="5"/>
    </row>
    <row r="2306">
      <c r="A2306" s="4" t="str">
        <f>VLOOKUP(L2306,payment_ids!C:D,2,FALSE)</f>
        <v>pay_HEFn3u2B5ETYCP</v>
      </c>
      <c r="B2306" s="4"/>
      <c r="C2306" s="4" t="s">
        <v>5984</v>
      </c>
      <c r="D2306" s="4">
        <v>50076.0</v>
      </c>
      <c r="E2306" s="4"/>
      <c r="F2306" s="4">
        <v>1.0</v>
      </c>
      <c r="G2306" s="4">
        <v>99.0</v>
      </c>
      <c r="H2306" s="4"/>
      <c r="I2306" s="4">
        <v>99.0</v>
      </c>
      <c r="J2306" s="4" t="s">
        <v>6033</v>
      </c>
      <c r="K2306" s="6">
        <f>+917015476230</f>
        <v>917015476230</v>
      </c>
      <c r="L2306" s="4" t="str">
        <f t="shared" si="1"/>
        <v>grvonline11@gmail.com917015476230</v>
      </c>
      <c r="M2306" s="10" t="s">
        <v>67</v>
      </c>
      <c r="N2306" s="4" t="b">
        <v>0</v>
      </c>
      <c r="O2306" s="4" t="str">
        <f>VLOOKUP(A2306,payment_ids!D:E,2,FALSE)</f>
        <v>card</v>
      </c>
      <c r="P2306" s="4" t="s">
        <v>69</v>
      </c>
      <c r="Q2306" s="4" t="s">
        <v>6034</v>
      </c>
      <c r="R2306" s="4"/>
      <c r="S2306" s="12" t="s">
        <v>5987</v>
      </c>
      <c r="T2306" s="4"/>
      <c r="U2306" s="4"/>
      <c r="V2306" s="11"/>
      <c r="W2306" s="5"/>
      <c r="X2306" s="11"/>
      <c r="Y2306" s="4"/>
      <c r="Z2306" s="5"/>
      <c r="AA2306" s="4"/>
      <c r="AB2306" s="4"/>
      <c r="AC2306" s="4"/>
      <c r="AD2306" s="4"/>
      <c r="AE2306" s="5"/>
      <c r="AF2306" s="5"/>
      <c r="AG2306" s="5"/>
      <c r="AH2306" s="5"/>
      <c r="AI2306" s="5"/>
      <c r="AJ2306" s="5"/>
      <c r="AK2306" s="5"/>
      <c r="AL2306" s="5"/>
    </row>
    <row r="2307">
      <c r="A2307" s="4" t="str">
        <f>VLOOKUP(L2307,payment_ids!C:D,2,FALSE)</f>
        <v>pay_HEGOZNNgIDVKIL</v>
      </c>
      <c r="B2307" s="4"/>
      <c r="C2307" s="4" t="s">
        <v>5984</v>
      </c>
      <c r="D2307" s="4">
        <v>50076.0</v>
      </c>
      <c r="E2307" s="4"/>
      <c r="F2307" s="4">
        <v>1.0</v>
      </c>
      <c r="G2307" s="4">
        <v>99.0</v>
      </c>
      <c r="H2307" s="4"/>
      <c r="I2307" s="4">
        <v>99.0</v>
      </c>
      <c r="J2307" s="4" t="s">
        <v>6035</v>
      </c>
      <c r="K2307" s="6">
        <f>+919560638763</f>
        <v>919560638763</v>
      </c>
      <c r="L2307" s="4" t="str">
        <f t="shared" si="1"/>
        <v>aryaji30@gmail.com919560638763</v>
      </c>
      <c r="M2307" s="10" t="s">
        <v>67</v>
      </c>
      <c r="N2307" s="4" t="b">
        <v>0</v>
      </c>
      <c r="O2307" s="4" t="str">
        <f>VLOOKUP(A2307,payment_ids!D:E,2,FALSE)</f>
        <v>upi</v>
      </c>
      <c r="P2307" s="4" t="s">
        <v>69</v>
      </c>
      <c r="Q2307" s="4" t="s">
        <v>6036</v>
      </c>
      <c r="R2307" s="4"/>
      <c r="S2307" s="12" t="s">
        <v>5987</v>
      </c>
      <c r="T2307" s="4"/>
      <c r="U2307" s="4"/>
      <c r="V2307" s="11"/>
      <c r="W2307" s="5"/>
      <c r="X2307" s="11"/>
      <c r="Y2307" s="4"/>
      <c r="Z2307" s="5"/>
      <c r="AA2307" s="4"/>
      <c r="AB2307" s="4"/>
      <c r="AC2307" s="4"/>
      <c r="AD2307" s="4"/>
      <c r="AE2307" s="5"/>
      <c r="AF2307" s="5"/>
      <c r="AG2307" s="5"/>
      <c r="AH2307" s="5"/>
      <c r="AI2307" s="5"/>
      <c r="AJ2307" s="5"/>
      <c r="AK2307" s="5"/>
      <c r="AL2307" s="5"/>
    </row>
    <row r="2308">
      <c r="A2308" s="4" t="str">
        <f>VLOOKUP(L2308,payment_ids!C:D,2,FALSE)</f>
        <v>pay_HEHG5As2eQySO3</v>
      </c>
      <c r="B2308" s="4"/>
      <c r="C2308" s="4" t="s">
        <v>5984</v>
      </c>
      <c r="D2308" s="4">
        <v>50076.0</v>
      </c>
      <c r="E2308" s="4"/>
      <c r="F2308" s="4">
        <v>1.0</v>
      </c>
      <c r="G2308" s="4">
        <v>99.0</v>
      </c>
      <c r="H2308" s="4"/>
      <c r="I2308" s="4">
        <v>99.0</v>
      </c>
      <c r="J2308" s="4" t="s">
        <v>6037</v>
      </c>
      <c r="K2308" s="6">
        <f>+919156645656</f>
        <v>919156645656</v>
      </c>
      <c r="L2308" s="4" t="str">
        <f t="shared" si="1"/>
        <v>ramanss124@gmail.com919156645656</v>
      </c>
      <c r="M2308" s="10" t="s">
        <v>67</v>
      </c>
      <c r="N2308" s="4" t="b">
        <v>0</v>
      </c>
      <c r="O2308" s="4" t="str">
        <f>VLOOKUP(A2308,payment_ids!D:E,2,FALSE)</f>
        <v>upi</v>
      </c>
      <c r="P2308" s="4" t="s">
        <v>69</v>
      </c>
      <c r="Q2308" s="4" t="s">
        <v>6038</v>
      </c>
      <c r="R2308" s="4"/>
      <c r="S2308" s="12" t="s">
        <v>5987</v>
      </c>
      <c r="T2308" s="4"/>
      <c r="U2308" s="4"/>
      <c r="V2308" s="11"/>
      <c r="W2308" s="5"/>
      <c r="X2308" s="11"/>
      <c r="Y2308" s="4"/>
      <c r="Z2308" s="5"/>
      <c r="AA2308" s="4"/>
      <c r="AB2308" s="4"/>
      <c r="AC2308" s="4"/>
      <c r="AD2308" s="4"/>
      <c r="AE2308" s="5"/>
      <c r="AF2308" s="5"/>
      <c r="AG2308" s="5"/>
      <c r="AH2308" s="5"/>
      <c r="AI2308" s="5"/>
      <c r="AJ2308" s="5"/>
      <c r="AK2308" s="5"/>
      <c r="AL2308" s="5"/>
    </row>
    <row r="2309">
      <c r="A2309" s="4" t="str">
        <f>VLOOKUP(L2309,payment_ids!C:D,2,FALSE)</f>
        <v>pay_HEHQYpPxiG9Z8H</v>
      </c>
      <c r="B2309" s="4"/>
      <c r="C2309" s="4" t="s">
        <v>5984</v>
      </c>
      <c r="D2309" s="4">
        <v>50076.0</v>
      </c>
      <c r="E2309" s="4"/>
      <c r="F2309" s="4">
        <v>1.0</v>
      </c>
      <c r="G2309" s="4">
        <v>99.0</v>
      </c>
      <c r="H2309" s="4"/>
      <c r="I2309" s="4">
        <v>99.0</v>
      </c>
      <c r="J2309" s="4" t="s">
        <v>6039</v>
      </c>
      <c r="K2309" s="6">
        <f>+919910734382</f>
        <v>919910734382</v>
      </c>
      <c r="L2309" s="4" t="str">
        <f t="shared" si="1"/>
        <v>mansijain0603@gmail.com919910734382</v>
      </c>
      <c r="M2309" s="10" t="s">
        <v>67</v>
      </c>
      <c r="N2309" s="4" t="b">
        <v>0</v>
      </c>
      <c r="O2309" s="4" t="str">
        <f>VLOOKUP(A2309,payment_ids!D:E,2,FALSE)</f>
        <v>card</v>
      </c>
      <c r="P2309" s="4" t="s">
        <v>69</v>
      </c>
      <c r="Q2309" s="4" t="s">
        <v>6040</v>
      </c>
      <c r="R2309" s="4"/>
      <c r="S2309" s="12" t="s">
        <v>5987</v>
      </c>
      <c r="T2309" s="4"/>
      <c r="U2309" s="4"/>
      <c r="V2309" s="11"/>
      <c r="W2309" s="5"/>
      <c r="X2309" s="11"/>
      <c r="Y2309" s="4"/>
      <c r="Z2309" s="5"/>
      <c r="AA2309" s="4"/>
      <c r="AB2309" s="4"/>
      <c r="AC2309" s="4"/>
      <c r="AD2309" s="4"/>
      <c r="AE2309" s="5"/>
      <c r="AF2309" s="5"/>
      <c r="AG2309" s="5"/>
      <c r="AH2309" s="5"/>
      <c r="AI2309" s="5"/>
      <c r="AJ2309" s="5"/>
      <c r="AK2309" s="5"/>
      <c r="AL2309" s="5"/>
    </row>
    <row r="2310">
      <c r="A2310" s="4" t="str">
        <f>VLOOKUP(L2310,payment_ids!C:D,2,FALSE)</f>
        <v>pay_HEI2aHt573GG3W</v>
      </c>
      <c r="B2310" s="4"/>
      <c r="C2310" s="4" t="s">
        <v>5984</v>
      </c>
      <c r="D2310" s="4">
        <v>50076.0</v>
      </c>
      <c r="E2310" s="4"/>
      <c r="F2310" s="4">
        <v>3.0</v>
      </c>
      <c r="G2310" s="4">
        <v>199.0</v>
      </c>
      <c r="H2310" s="4"/>
      <c r="I2310" s="4">
        <v>199.0</v>
      </c>
      <c r="J2310" s="4" t="s">
        <v>6041</v>
      </c>
      <c r="K2310" s="6">
        <f>+919097748054</f>
        <v>919097748054</v>
      </c>
      <c r="L2310" s="4" t="str">
        <f t="shared" si="1"/>
        <v>shubhamprajapati326@gmail.com919097748054</v>
      </c>
      <c r="M2310" s="10" t="s">
        <v>67</v>
      </c>
      <c r="N2310" s="4" t="b">
        <v>0</v>
      </c>
      <c r="O2310" s="4" t="str">
        <f>VLOOKUP(A2310,payment_ids!D:E,2,FALSE)</f>
        <v>upi</v>
      </c>
      <c r="P2310" s="4" t="s">
        <v>69</v>
      </c>
      <c r="Q2310" s="4" t="s">
        <v>6042</v>
      </c>
      <c r="R2310" s="4"/>
      <c r="S2310" s="12" t="s">
        <v>5987</v>
      </c>
      <c r="T2310" s="4"/>
      <c r="U2310" s="4"/>
      <c r="V2310" s="11"/>
      <c r="W2310" s="5"/>
      <c r="X2310" s="11"/>
      <c r="Y2310" s="4"/>
      <c r="Z2310" s="5"/>
      <c r="AA2310" s="4"/>
      <c r="AB2310" s="4"/>
      <c r="AC2310" s="4"/>
      <c r="AD2310" s="4"/>
      <c r="AE2310" s="5"/>
      <c r="AF2310" s="5"/>
      <c r="AG2310" s="5"/>
      <c r="AH2310" s="5"/>
      <c r="AI2310" s="5"/>
      <c r="AJ2310" s="5"/>
      <c r="AK2310" s="5"/>
      <c r="AL2310" s="5"/>
    </row>
    <row r="2311">
      <c r="A2311" s="4" t="str">
        <f>VLOOKUP(L2311,payment_ids!C:D,2,FALSE)</f>
        <v>pay_HEJuHHxqqCIfrX</v>
      </c>
      <c r="B2311" s="4"/>
      <c r="C2311" s="4" t="s">
        <v>5984</v>
      </c>
      <c r="D2311" s="4">
        <v>50076.0</v>
      </c>
      <c r="E2311" s="4"/>
      <c r="F2311" s="4">
        <v>1.0</v>
      </c>
      <c r="G2311" s="4">
        <v>99.0</v>
      </c>
      <c r="H2311" s="4"/>
      <c r="I2311" s="4">
        <v>99.0</v>
      </c>
      <c r="J2311" s="4" t="s">
        <v>6043</v>
      </c>
      <c r="K2311" s="6">
        <f>+919119376499</f>
        <v>919119376499</v>
      </c>
      <c r="L2311" s="4" t="str">
        <f t="shared" si="1"/>
        <v>mahipalsingh9830@gmail.com919119376499</v>
      </c>
      <c r="M2311" s="10" t="s">
        <v>67</v>
      </c>
      <c r="N2311" s="4" t="b">
        <v>0</v>
      </c>
      <c r="O2311" s="4" t="str">
        <f>VLOOKUP(A2311,payment_ids!D:E,2,FALSE)</f>
        <v>upi</v>
      </c>
      <c r="P2311" s="4" t="s">
        <v>69</v>
      </c>
      <c r="Q2311" s="4" t="s">
        <v>6044</v>
      </c>
      <c r="R2311" s="4"/>
      <c r="S2311" s="12" t="s">
        <v>5987</v>
      </c>
      <c r="T2311" s="4"/>
      <c r="U2311" s="4"/>
      <c r="V2311" s="11"/>
      <c r="W2311" s="5"/>
      <c r="X2311" s="11"/>
      <c r="Y2311" s="4"/>
      <c r="Z2311" s="5"/>
      <c r="AA2311" s="4"/>
      <c r="AB2311" s="4"/>
      <c r="AC2311" s="4"/>
      <c r="AD2311" s="4"/>
      <c r="AE2311" s="5"/>
      <c r="AF2311" s="5"/>
      <c r="AG2311" s="5"/>
      <c r="AH2311" s="5"/>
      <c r="AI2311" s="5"/>
      <c r="AJ2311" s="5"/>
      <c r="AK2311" s="5"/>
      <c r="AL2311" s="5"/>
    </row>
    <row r="2312">
      <c r="A2312" s="4" t="str">
        <f>VLOOKUP(L2312,payment_ids!C:D,2,FALSE)</f>
        <v>pay_HEMKcdGTkHtGOw</v>
      </c>
      <c r="B2312" s="4"/>
      <c r="C2312" s="4" t="s">
        <v>5984</v>
      </c>
      <c r="D2312" s="4">
        <v>50076.0</v>
      </c>
      <c r="E2312" s="4"/>
      <c r="F2312" s="4">
        <v>1.0</v>
      </c>
      <c r="G2312" s="4">
        <v>99.0</v>
      </c>
      <c r="H2312" s="4"/>
      <c r="I2312" s="4">
        <v>99.0</v>
      </c>
      <c r="J2312" s="4" t="s">
        <v>6045</v>
      </c>
      <c r="K2312" s="6">
        <f>+918426030952</f>
        <v>918426030952</v>
      </c>
      <c r="L2312" s="4" t="str">
        <f t="shared" si="1"/>
        <v>kjeet9545@gmail.com918426030952</v>
      </c>
      <c r="M2312" s="10" t="s">
        <v>67</v>
      </c>
      <c r="N2312" s="4" t="b">
        <v>0</v>
      </c>
      <c r="O2312" s="4" t="str">
        <f>VLOOKUP(A2312,payment_ids!D:E,2,FALSE)</f>
        <v>upi</v>
      </c>
      <c r="P2312" s="4" t="s">
        <v>69</v>
      </c>
      <c r="Q2312" s="4" t="s">
        <v>6046</v>
      </c>
      <c r="R2312" s="4"/>
      <c r="S2312" s="12" t="s">
        <v>5987</v>
      </c>
      <c r="T2312" s="4"/>
      <c r="U2312" s="4"/>
      <c r="V2312" s="11"/>
      <c r="W2312" s="5"/>
      <c r="X2312" s="11"/>
      <c r="Y2312" s="4"/>
      <c r="Z2312" s="5"/>
      <c r="AA2312" s="4"/>
      <c r="AB2312" s="4"/>
      <c r="AC2312" s="4"/>
      <c r="AD2312" s="4"/>
      <c r="AE2312" s="5"/>
      <c r="AF2312" s="5"/>
      <c r="AG2312" s="5"/>
      <c r="AH2312" s="5"/>
      <c r="AI2312" s="5"/>
      <c r="AJ2312" s="5"/>
      <c r="AK2312" s="5"/>
      <c r="AL2312" s="5"/>
    </row>
    <row r="2313">
      <c r="A2313" s="4" t="str">
        <f>VLOOKUP(L2313,payment_ids!C:D,2,FALSE)</f>
        <v>pay_HDHAczS0X6B3s9</v>
      </c>
      <c r="B2313" s="4"/>
      <c r="C2313" s="4" t="s">
        <v>5984</v>
      </c>
      <c r="D2313" s="4">
        <v>50076.0</v>
      </c>
      <c r="E2313" s="4"/>
      <c r="F2313" s="4">
        <v>1.0</v>
      </c>
      <c r="G2313" s="4">
        <v>99.0</v>
      </c>
      <c r="H2313" s="4"/>
      <c r="I2313" s="4">
        <v>99.0</v>
      </c>
      <c r="J2313" s="4" t="s">
        <v>6047</v>
      </c>
      <c r="K2313" s="6">
        <f>+916392061126</f>
        <v>916392061126</v>
      </c>
      <c r="L2313" s="4" t="str">
        <f t="shared" si="1"/>
        <v>merajshekh79@gmail.com916392061126</v>
      </c>
      <c r="M2313" s="10" t="s">
        <v>67</v>
      </c>
      <c r="N2313" s="4" t="b">
        <v>0</v>
      </c>
      <c r="O2313" s="4" t="str">
        <f>VLOOKUP(A2313,payment_ids!D:E,2,FALSE)</f>
        <v>card</v>
      </c>
      <c r="P2313" s="4" t="s">
        <v>69</v>
      </c>
      <c r="Q2313" s="4" t="s">
        <v>6048</v>
      </c>
      <c r="R2313" s="4"/>
      <c r="S2313" s="12" t="s">
        <v>5987</v>
      </c>
      <c r="T2313" s="4"/>
      <c r="U2313" s="4"/>
      <c r="V2313" s="11"/>
      <c r="W2313" s="5"/>
      <c r="X2313" s="11"/>
      <c r="Y2313" s="4"/>
      <c r="Z2313" s="5"/>
      <c r="AA2313" s="4"/>
      <c r="AB2313" s="4"/>
      <c r="AC2313" s="4"/>
      <c r="AD2313" s="4"/>
      <c r="AE2313" s="5"/>
      <c r="AF2313" s="5"/>
      <c r="AG2313" s="5"/>
      <c r="AH2313" s="5"/>
      <c r="AI2313" s="5"/>
      <c r="AJ2313" s="5"/>
      <c r="AK2313" s="5"/>
      <c r="AL2313" s="5"/>
    </row>
    <row r="2314">
      <c r="A2314" s="4" t="str">
        <f>VLOOKUP(L2314,payment_ids!C:D,2,FALSE)</f>
        <v>pay_HEStdpo1DqUqIT</v>
      </c>
      <c r="B2314" s="4"/>
      <c r="C2314" s="4" t="s">
        <v>5984</v>
      </c>
      <c r="D2314" s="4">
        <v>50076.0</v>
      </c>
      <c r="E2314" s="4"/>
      <c r="F2314" s="4">
        <v>1.0</v>
      </c>
      <c r="G2314" s="4">
        <v>99.0</v>
      </c>
      <c r="H2314" s="4"/>
      <c r="I2314" s="4">
        <v>99.0</v>
      </c>
      <c r="J2314" s="4" t="s">
        <v>6049</v>
      </c>
      <c r="K2314" s="6">
        <f>+918148004816</f>
        <v>918148004816</v>
      </c>
      <c r="L2314" s="4" t="str">
        <f t="shared" si="1"/>
        <v>santhakumarss7@gmail.com918148004816</v>
      </c>
      <c r="M2314" s="10" t="s">
        <v>67</v>
      </c>
      <c r="N2314" s="4" t="b">
        <v>0</v>
      </c>
      <c r="O2314" s="4" t="str">
        <f>VLOOKUP(A2314,payment_ids!D:E,2,FALSE)</f>
        <v>upi</v>
      </c>
      <c r="P2314" s="4" t="s">
        <v>69</v>
      </c>
      <c r="Q2314" s="4" t="s">
        <v>6050</v>
      </c>
      <c r="R2314" s="4"/>
      <c r="S2314" s="12" t="s">
        <v>5987</v>
      </c>
      <c r="T2314" s="4"/>
      <c r="U2314" s="5"/>
      <c r="V2314" s="11"/>
      <c r="W2314" s="5"/>
      <c r="X2314" s="11"/>
      <c r="Y2314" s="4"/>
      <c r="Z2314" s="5"/>
      <c r="AA2314" s="5"/>
      <c r="AB2314" s="4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</row>
    <row r="2315">
      <c r="A2315" s="4" t="str">
        <f>VLOOKUP(L2315,payment_ids!C:D,2,FALSE)</f>
        <v>pay_HETCa1yNZFulGx</v>
      </c>
      <c r="B2315" s="4"/>
      <c r="C2315" s="4" t="s">
        <v>5984</v>
      </c>
      <c r="D2315" s="4">
        <v>50076.0</v>
      </c>
      <c r="E2315" s="4"/>
      <c r="F2315" s="4">
        <v>1.0</v>
      </c>
      <c r="G2315" s="4">
        <v>99.0</v>
      </c>
      <c r="H2315" s="4"/>
      <c r="I2315" s="4">
        <v>99.0</v>
      </c>
      <c r="J2315" s="4" t="s">
        <v>6051</v>
      </c>
      <c r="K2315" s="6">
        <f>+917860262811</f>
        <v>917860262811</v>
      </c>
      <c r="L2315" s="4" t="str">
        <f t="shared" si="1"/>
        <v>mohdeqarar@gmail.com917860262811</v>
      </c>
      <c r="M2315" s="10" t="s">
        <v>67</v>
      </c>
      <c r="N2315" s="4" t="b">
        <v>0</v>
      </c>
      <c r="O2315" s="4" t="str">
        <f>VLOOKUP(A2315,payment_ids!D:E,2,FALSE)</f>
        <v>upi</v>
      </c>
      <c r="P2315" s="4" t="s">
        <v>69</v>
      </c>
      <c r="Q2315" s="4" t="s">
        <v>6052</v>
      </c>
      <c r="R2315" s="4"/>
      <c r="S2315" s="12" t="s">
        <v>5987</v>
      </c>
      <c r="T2315" s="4"/>
      <c r="U2315" s="4"/>
      <c r="V2315" s="11"/>
      <c r="W2315" s="5"/>
      <c r="X2315" s="11"/>
      <c r="Y2315" s="4"/>
      <c r="Z2315" s="5"/>
      <c r="AA2315" s="4"/>
      <c r="AB2315" s="4"/>
      <c r="AC2315" s="4"/>
      <c r="AD2315" s="4"/>
      <c r="AE2315" s="5"/>
      <c r="AF2315" s="5"/>
      <c r="AG2315" s="5"/>
      <c r="AH2315" s="5"/>
      <c r="AI2315" s="5"/>
      <c r="AJ2315" s="5"/>
      <c r="AK2315" s="5"/>
      <c r="AL2315" s="5"/>
    </row>
    <row r="2316">
      <c r="A2316" s="4" t="str">
        <f>VLOOKUP(L2316,payment_ids!C:D,2,FALSE)</f>
        <v>pay_HETInGAHMkJCFW</v>
      </c>
      <c r="B2316" s="4"/>
      <c r="C2316" s="4" t="s">
        <v>5984</v>
      </c>
      <c r="D2316" s="4">
        <v>50076.0</v>
      </c>
      <c r="E2316" s="4"/>
      <c r="F2316" s="4">
        <v>1.0</v>
      </c>
      <c r="G2316" s="4">
        <v>99.0</v>
      </c>
      <c r="H2316" s="4"/>
      <c r="I2316" s="4">
        <v>99.0</v>
      </c>
      <c r="J2316" s="4" t="s">
        <v>6053</v>
      </c>
      <c r="K2316" s="6">
        <f>+919052493406</f>
        <v>919052493406</v>
      </c>
      <c r="L2316" s="4" t="str">
        <f t="shared" si="1"/>
        <v>johnnysatish@gmail.com919052493406</v>
      </c>
      <c r="M2316" s="10" t="s">
        <v>67</v>
      </c>
      <c r="N2316" s="4" t="b">
        <v>0</v>
      </c>
      <c r="O2316" s="4" t="str">
        <f>VLOOKUP(A2316,payment_ids!D:E,2,FALSE)</f>
        <v>upi</v>
      </c>
      <c r="P2316" s="4" t="s">
        <v>69</v>
      </c>
      <c r="Q2316" s="4" t="s">
        <v>6054</v>
      </c>
      <c r="R2316" s="4"/>
      <c r="S2316" s="12" t="s">
        <v>5987</v>
      </c>
      <c r="T2316" s="4"/>
      <c r="U2316" s="4"/>
      <c r="V2316" s="11"/>
      <c r="W2316" s="5"/>
      <c r="X2316" s="11"/>
      <c r="Y2316" s="4"/>
      <c r="Z2316" s="5"/>
      <c r="AA2316" s="4"/>
      <c r="AB2316" s="4"/>
      <c r="AC2316" s="4"/>
      <c r="AD2316" s="4"/>
      <c r="AE2316" s="5"/>
      <c r="AF2316" s="5"/>
      <c r="AG2316" s="5"/>
      <c r="AH2316" s="5"/>
      <c r="AI2316" s="5"/>
      <c r="AJ2316" s="5"/>
      <c r="AK2316" s="5"/>
      <c r="AL2316" s="5"/>
    </row>
    <row r="2317">
      <c r="A2317" s="4" t="str">
        <f>VLOOKUP(L2317,payment_ids!C:D,2,FALSE)</f>
        <v>pay_HEThXkDEiN0i94</v>
      </c>
      <c r="B2317" s="4"/>
      <c r="C2317" s="4" t="s">
        <v>5984</v>
      </c>
      <c r="D2317" s="4">
        <v>50076.0</v>
      </c>
      <c r="E2317" s="4"/>
      <c r="F2317" s="4">
        <v>1.0</v>
      </c>
      <c r="G2317" s="4">
        <v>99.0</v>
      </c>
      <c r="H2317" s="4"/>
      <c r="I2317" s="4">
        <v>99.0</v>
      </c>
      <c r="J2317" s="4" t="s">
        <v>6055</v>
      </c>
      <c r="K2317" s="6">
        <f>+918008486810</f>
        <v>918008486810</v>
      </c>
      <c r="L2317" s="4" t="str">
        <f t="shared" si="1"/>
        <v>chittetisaikiranlucky.1997@gmail.com918008486810</v>
      </c>
      <c r="M2317" s="10" t="s">
        <v>67</v>
      </c>
      <c r="N2317" s="4" t="b">
        <v>0</v>
      </c>
      <c r="O2317" s="4" t="str">
        <f>VLOOKUP(A2317,payment_ids!D:E,2,FALSE)</f>
        <v>upi</v>
      </c>
      <c r="P2317" s="4" t="s">
        <v>69</v>
      </c>
      <c r="Q2317" s="4" t="s">
        <v>6056</v>
      </c>
      <c r="R2317" s="4"/>
      <c r="S2317" s="12" t="s">
        <v>5987</v>
      </c>
      <c r="T2317" s="4"/>
      <c r="U2317" s="4"/>
      <c r="V2317" s="11"/>
      <c r="W2317" s="5"/>
      <c r="X2317" s="11"/>
      <c r="Y2317" s="4"/>
      <c r="Z2317" s="5"/>
      <c r="AA2317" s="4"/>
      <c r="AB2317" s="4"/>
      <c r="AC2317" s="4"/>
      <c r="AD2317" s="4"/>
      <c r="AE2317" s="5"/>
      <c r="AF2317" s="5"/>
      <c r="AG2317" s="5"/>
      <c r="AH2317" s="5"/>
      <c r="AI2317" s="5"/>
      <c r="AJ2317" s="5"/>
      <c r="AK2317" s="5"/>
      <c r="AL2317" s="5"/>
    </row>
    <row r="2318">
      <c r="A2318" s="4" t="str">
        <f>VLOOKUP(L2318,payment_ids!C:D,2,FALSE)</f>
        <v>pay_HEUEfggRrlrnfc</v>
      </c>
      <c r="B2318" s="4"/>
      <c r="C2318" s="4" t="s">
        <v>5984</v>
      </c>
      <c r="D2318" s="4">
        <v>50076.0</v>
      </c>
      <c r="E2318" s="4"/>
      <c r="F2318" s="4">
        <v>1.0</v>
      </c>
      <c r="G2318" s="4">
        <v>99.0</v>
      </c>
      <c r="H2318" s="4"/>
      <c r="I2318" s="4">
        <v>99.0</v>
      </c>
      <c r="J2318" s="4" t="s">
        <v>6057</v>
      </c>
      <c r="K2318" s="6">
        <f>+919284944635</f>
        <v>919284944635</v>
      </c>
      <c r="L2318" s="4" t="str">
        <f t="shared" si="1"/>
        <v>akashkulkarni81@gmail.com919284944635</v>
      </c>
      <c r="M2318" s="10" t="s">
        <v>67</v>
      </c>
      <c r="N2318" s="4" t="b">
        <v>0</v>
      </c>
      <c r="O2318" s="4" t="str">
        <f>VLOOKUP(A2318,payment_ids!D:E,2,FALSE)</f>
        <v>upi</v>
      </c>
      <c r="P2318" s="4" t="s">
        <v>69</v>
      </c>
      <c r="Q2318" s="4" t="s">
        <v>6058</v>
      </c>
      <c r="R2318" s="4"/>
      <c r="S2318" s="12" t="s">
        <v>5987</v>
      </c>
      <c r="T2318" s="4"/>
      <c r="U2318" s="4"/>
      <c r="V2318" s="11"/>
      <c r="W2318" s="5"/>
      <c r="X2318" s="11"/>
      <c r="Y2318" s="4"/>
      <c r="Z2318" s="5"/>
      <c r="AA2318" s="4"/>
      <c r="AB2318" s="4"/>
      <c r="AC2318" s="4"/>
      <c r="AD2318" s="4"/>
      <c r="AE2318" s="5"/>
      <c r="AF2318" s="5"/>
      <c r="AG2318" s="5"/>
      <c r="AH2318" s="5"/>
      <c r="AI2318" s="5"/>
      <c r="AJ2318" s="5"/>
      <c r="AK2318" s="5"/>
      <c r="AL2318" s="5"/>
    </row>
    <row r="2319">
      <c r="A2319" s="4" t="str">
        <f>VLOOKUP(L2319,payment_ids!C:D,2,FALSE)</f>
        <v>pay_HEUG1zDUiYuLSD</v>
      </c>
      <c r="B2319" s="4"/>
      <c r="C2319" s="4" t="s">
        <v>5984</v>
      </c>
      <c r="D2319" s="4">
        <v>50076.0</v>
      </c>
      <c r="E2319" s="4"/>
      <c r="F2319" s="4">
        <v>1.0</v>
      </c>
      <c r="G2319" s="4">
        <v>99.0</v>
      </c>
      <c r="H2319" s="4"/>
      <c r="I2319" s="4">
        <v>99.0</v>
      </c>
      <c r="J2319" s="4" t="s">
        <v>6059</v>
      </c>
      <c r="K2319" s="6">
        <f>+919766991923</f>
        <v>919766991923</v>
      </c>
      <c r="L2319" s="4" t="str">
        <f t="shared" si="1"/>
        <v>jaywant9766@gmail.com919766991923</v>
      </c>
      <c r="M2319" s="10" t="s">
        <v>67</v>
      </c>
      <c r="N2319" s="4" t="b">
        <v>0</v>
      </c>
      <c r="O2319" s="4" t="str">
        <f>VLOOKUP(A2319,payment_ids!D:E,2,FALSE)</f>
        <v>card</v>
      </c>
      <c r="P2319" s="4" t="s">
        <v>69</v>
      </c>
      <c r="Q2319" s="4" t="s">
        <v>6060</v>
      </c>
      <c r="R2319" s="4"/>
      <c r="S2319" s="12" t="s">
        <v>5987</v>
      </c>
      <c r="T2319" s="4"/>
      <c r="U2319" s="4"/>
      <c r="V2319" s="11"/>
      <c r="W2319" s="5"/>
      <c r="X2319" s="11"/>
      <c r="Y2319" s="4"/>
      <c r="Z2319" s="5"/>
      <c r="AA2319" s="4"/>
      <c r="AB2319" s="4"/>
      <c r="AC2319" s="4"/>
      <c r="AD2319" s="4"/>
      <c r="AE2319" s="5"/>
      <c r="AF2319" s="5"/>
      <c r="AG2319" s="5"/>
      <c r="AH2319" s="5"/>
      <c r="AI2319" s="5"/>
      <c r="AJ2319" s="5"/>
      <c r="AK2319" s="5"/>
      <c r="AL2319" s="5"/>
    </row>
    <row r="2320">
      <c r="A2320" s="4" t="str">
        <f>VLOOKUP(L2320,payment_ids!C:D,2,FALSE)</f>
        <v>pay_HEUWC4TYeAlsM5</v>
      </c>
      <c r="B2320" s="4"/>
      <c r="C2320" s="4" t="s">
        <v>5984</v>
      </c>
      <c r="D2320" s="4">
        <v>50076.0</v>
      </c>
      <c r="E2320" s="4"/>
      <c r="F2320" s="4">
        <v>1.0</v>
      </c>
      <c r="G2320" s="4">
        <v>99.0</v>
      </c>
      <c r="H2320" s="4"/>
      <c r="I2320" s="4">
        <v>99.0</v>
      </c>
      <c r="J2320" s="4" t="s">
        <v>6061</v>
      </c>
      <c r="K2320" s="6">
        <f>+919789435537</f>
        <v>919789435537</v>
      </c>
      <c r="L2320" s="4" t="str">
        <f t="shared" si="1"/>
        <v>prakash.avcce@gmail.com919789435537</v>
      </c>
      <c r="M2320" s="10" t="s">
        <v>67</v>
      </c>
      <c r="N2320" s="4" t="b">
        <v>0</v>
      </c>
      <c r="O2320" s="4" t="str">
        <f>VLOOKUP(A2320,payment_ids!D:E,2,FALSE)</f>
        <v>upi</v>
      </c>
      <c r="P2320" s="4" t="s">
        <v>69</v>
      </c>
      <c r="Q2320" s="4" t="s">
        <v>6062</v>
      </c>
      <c r="R2320" s="4"/>
      <c r="S2320" s="12" t="s">
        <v>5987</v>
      </c>
      <c r="T2320" s="4"/>
      <c r="U2320" s="5"/>
      <c r="V2320" s="11"/>
      <c r="W2320" s="5"/>
      <c r="X2320" s="11"/>
      <c r="Y2320" s="4"/>
      <c r="Z2320" s="5"/>
      <c r="AA2320" s="5"/>
      <c r="AB2320" s="4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</row>
    <row r="2321">
      <c r="A2321" s="4" t="str">
        <f>VLOOKUP(L2321,payment_ids!C:D,2,FALSE)</f>
        <v>pay_HEVGsImRNCFEq1</v>
      </c>
      <c r="B2321" s="4"/>
      <c r="C2321" s="4" t="s">
        <v>5984</v>
      </c>
      <c r="D2321" s="4">
        <v>50076.0</v>
      </c>
      <c r="E2321" s="4"/>
      <c r="F2321" s="4">
        <v>1.0</v>
      </c>
      <c r="G2321" s="4">
        <v>99.0</v>
      </c>
      <c r="H2321" s="4"/>
      <c r="I2321" s="4">
        <v>99.0</v>
      </c>
      <c r="J2321" s="4" t="s">
        <v>6063</v>
      </c>
      <c r="K2321" s="6">
        <f>+917010197344</f>
        <v>917010197344</v>
      </c>
      <c r="L2321" s="4" t="str">
        <f t="shared" si="1"/>
        <v>kkannan436@gmail.com917010197344</v>
      </c>
      <c r="M2321" s="10" t="s">
        <v>67</v>
      </c>
      <c r="N2321" s="4" t="b">
        <v>0</v>
      </c>
      <c r="O2321" s="4" t="str">
        <f>VLOOKUP(A2321,payment_ids!D:E,2,FALSE)</f>
        <v>upi</v>
      </c>
      <c r="P2321" s="4" t="s">
        <v>69</v>
      </c>
      <c r="Q2321" s="4" t="s">
        <v>6064</v>
      </c>
      <c r="R2321" s="4"/>
      <c r="S2321" s="12" t="s">
        <v>5987</v>
      </c>
      <c r="T2321" s="4"/>
      <c r="U2321" s="4"/>
      <c r="V2321" s="11"/>
      <c r="W2321" s="5"/>
      <c r="X2321" s="11"/>
      <c r="Y2321" s="4"/>
      <c r="Z2321" s="5"/>
      <c r="AA2321" s="4"/>
      <c r="AB2321" s="4"/>
      <c r="AC2321" s="4"/>
      <c r="AD2321" s="4"/>
      <c r="AE2321" s="5"/>
      <c r="AF2321" s="5"/>
      <c r="AG2321" s="5"/>
      <c r="AH2321" s="5"/>
      <c r="AI2321" s="5"/>
      <c r="AJ2321" s="5"/>
      <c r="AK2321" s="5"/>
      <c r="AL2321" s="5"/>
    </row>
    <row r="2322">
      <c r="A2322" s="4" t="str">
        <f>VLOOKUP(L2322,payment_ids!C:D,2,FALSE)</f>
        <v>pay_HEX813SamODFx8</v>
      </c>
      <c r="B2322" s="4"/>
      <c r="C2322" s="4" t="s">
        <v>5984</v>
      </c>
      <c r="D2322" s="4">
        <v>50076.0</v>
      </c>
      <c r="E2322" s="4"/>
      <c r="F2322" s="4">
        <v>1.0</v>
      </c>
      <c r="G2322" s="4">
        <v>99.0</v>
      </c>
      <c r="H2322" s="4"/>
      <c r="I2322" s="4">
        <v>99.0</v>
      </c>
      <c r="J2322" s="4" t="s">
        <v>6065</v>
      </c>
      <c r="K2322" s="6">
        <f>+919992380251</f>
        <v>919992380251</v>
      </c>
      <c r="L2322" s="4" t="str">
        <f t="shared" si="1"/>
        <v>mohits.cs31@gmail.com919992380251</v>
      </c>
      <c r="M2322" s="10" t="s">
        <v>67</v>
      </c>
      <c r="N2322" s="4" t="b">
        <v>0</v>
      </c>
      <c r="O2322" s="4" t="str">
        <f>VLOOKUP(A2322,payment_ids!D:E,2,FALSE)</f>
        <v>upi</v>
      </c>
      <c r="P2322" s="4" t="s">
        <v>69</v>
      </c>
      <c r="Q2322" s="4" t="s">
        <v>3231</v>
      </c>
      <c r="R2322" s="4"/>
      <c r="S2322" s="12" t="s">
        <v>5987</v>
      </c>
      <c r="T2322" s="4"/>
      <c r="U2322" s="4"/>
      <c r="V2322" s="11"/>
      <c r="W2322" s="5"/>
      <c r="X2322" s="11"/>
      <c r="Y2322" s="4"/>
      <c r="Z2322" s="5"/>
      <c r="AA2322" s="4"/>
      <c r="AB2322" s="4"/>
      <c r="AC2322" s="4"/>
      <c r="AD2322" s="4"/>
      <c r="AE2322" s="5"/>
      <c r="AF2322" s="5"/>
      <c r="AG2322" s="5"/>
      <c r="AH2322" s="5"/>
      <c r="AI2322" s="5"/>
      <c r="AJ2322" s="5"/>
      <c r="AK2322" s="5"/>
      <c r="AL2322" s="5"/>
    </row>
    <row r="2323">
      <c r="A2323" s="4" t="str">
        <f>VLOOKUP(L2323,payment_ids!C:D,2,FALSE)</f>
        <v>pay_HEZjMh0to1x5pJ</v>
      </c>
      <c r="B2323" s="4"/>
      <c r="C2323" s="4" t="s">
        <v>5984</v>
      </c>
      <c r="D2323" s="4">
        <v>50076.0</v>
      </c>
      <c r="E2323" s="4"/>
      <c r="F2323" s="4">
        <v>1.0</v>
      </c>
      <c r="G2323" s="4">
        <v>99.0</v>
      </c>
      <c r="H2323" s="4"/>
      <c r="I2323" s="4">
        <v>99.0</v>
      </c>
      <c r="J2323" s="4" t="s">
        <v>6066</v>
      </c>
      <c r="K2323" s="6">
        <f>+918179797827</f>
        <v>918179797827</v>
      </c>
      <c r="L2323" s="4" t="str">
        <f t="shared" si="1"/>
        <v>udaykiranreddy444@gmail.com918179797827</v>
      </c>
      <c r="M2323" s="10" t="s">
        <v>67</v>
      </c>
      <c r="N2323" s="4" t="b">
        <v>0</v>
      </c>
      <c r="O2323" s="4" t="str">
        <f>VLOOKUP(A2323,payment_ids!D:E,2,FALSE)</f>
        <v>wallet</v>
      </c>
      <c r="P2323" s="4" t="s">
        <v>69</v>
      </c>
      <c r="Q2323" s="4" t="s">
        <v>6067</v>
      </c>
      <c r="R2323" s="4"/>
      <c r="S2323" s="12" t="s">
        <v>5987</v>
      </c>
      <c r="T2323" s="4"/>
      <c r="U2323" s="5"/>
      <c r="V2323" s="11"/>
      <c r="W2323" s="5"/>
      <c r="X2323" s="11"/>
      <c r="Y2323" s="4"/>
      <c r="Z2323" s="5"/>
      <c r="AA2323" s="5"/>
      <c r="AB2323" s="4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</row>
    <row r="2324">
      <c r="A2324" s="4" t="str">
        <f>VLOOKUP(L2324,payment_ids!C:D,2,FALSE)</f>
        <v>pay_HEbNhMWlhAtnjo</v>
      </c>
      <c r="B2324" s="4"/>
      <c r="C2324" s="4" t="s">
        <v>5984</v>
      </c>
      <c r="D2324" s="4">
        <v>50076.0</v>
      </c>
      <c r="E2324" s="4"/>
      <c r="F2324" s="4">
        <v>1.0</v>
      </c>
      <c r="G2324" s="4">
        <v>99.0</v>
      </c>
      <c r="H2324" s="4"/>
      <c r="I2324" s="4">
        <v>99.0</v>
      </c>
      <c r="J2324" s="4" t="s">
        <v>6068</v>
      </c>
      <c r="K2324" s="6">
        <f>+919049006233</f>
        <v>919049006233</v>
      </c>
      <c r="L2324" s="4" t="str">
        <f t="shared" si="1"/>
        <v>beleyogesh2@gmail.com919049006233</v>
      </c>
      <c r="M2324" s="10" t="s">
        <v>67</v>
      </c>
      <c r="N2324" s="4" t="b">
        <v>0</v>
      </c>
      <c r="O2324" s="4" t="str">
        <f>VLOOKUP(A2324,payment_ids!D:E,2,FALSE)</f>
        <v>upi</v>
      </c>
      <c r="P2324" s="4" t="s">
        <v>69</v>
      </c>
      <c r="Q2324" s="4" t="s">
        <v>5242</v>
      </c>
      <c r="R2324" s="4"/>
      <c r="S2324" s="12" t="s">
        <v>5987</v>
      </c>
      <c r="T2324" s="4"/>
      <c r="U2324" s="5"/>
      <c r="V2324" s="11"/>
      <c r="W2324" s="5"/>
      <c r="X2324" s="11"/>
      <c r="Y2324" s="4"/>
      <c r="Z2324" s="5"/>
      <c r="AA2324" s="5"/>
      <c r="AB2324" s="4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</row>
    <row r="2325">
      <c r="A2325" s="4" t="str">
        <f>VLOOKUP(L2325,payment_ids!C:D,2,FALSE)</f>
        <v>pay_HEcGT1wWEh37i7</v>
      </c>
      <c r="B2325" s="4"/>
      <c r="C2325" s="4" t="s">
        <v>5984</v>
      </c>
      <c r="D2325" s="4">
        <v>50076.0</v>
      </c>
      <c r="E2325" s="4"/>
      <c r="F2325" s="4">
        <v>1.0</v>
      </c>
      <c r="G2325" s="4">
        <v>99.0</v>
      </c>
      <c r="H2325" s="4"/>
      <c r="I2325" s="4">
        <v>99.0</v>
      </c>
      <c r="J2325" s="4" t="s">
        <v>6069</v>
      </c>
      <c r="K2325" s="6">
        <f>+919813751391</f>
        <v>919813751391</v>
      </c>
      <c r="L2325" s="4" t="str">
        <f t="shared" si="1"/>
        <v>avibastta@gmail.com919813751391</v>
      </c>
      <c r="M2325" s="10" t="s">
        <v>67</v>
      </c>
      <c r="N2325" s="4" t="b">
        <v>0</v>
      </c>
      <c r="O2325" s="4" t="str">
        <f>VLOOKUP(A2325,payment_ids!D:E,2,FALSE)</f>
        <v>upi</v>
      </c>
      <c r="P2325" s="4" t="s">
        <v>69</v>
      </c>
      <c r="Q2325" s="4" t="s">
        <v>6070</v>
      </c>
      <c r="R2325" s="4"/>
      <c r="S2325" s="12" t="s">
        <v>5987</v>
      </c>
      <c r="T2325" s="4"/>
      <c r="U2325" s="4"/>
      <c r="V2325" s="11"/>
      <c r="W2325" s="5"/>
      <c r="X2325" s="11"/>
      <c r="Y2325" s="4"/>
      <c r="Z2325" s="5"/>
      <c r="AA2325" s="4"/>
      <c r="AB2325" s="4"/>
      <c r="AC2325" s="4"/>
      <c r="AD2325" s="4"/>
      <c r="AE2325" s="5"/>
      <c r="AF2325" s="5"/>
      <c r="AG2325" s="5"/>
      <c r="AH2325" s="5"/>
      <c r="AI2325" s="5"/>
      <c r="AJ2325" s="5"/>
      <c r="AK2325" s="5"/>
      <c r="AL2325" s="5"/>
    </row>
    <row r="2326">
      <c r="A2326" s="4" t="str">
        <f>VLOOKUP(L2326,payment_ids!C:D,2,FALSE)</f>
        <v>pay_HEd5p5w4H0tXSa</v>
      </c>
      <c r="B2326" s="4"/>
      <c r="C2326" s="4" t="s">
        <v>5984</v>
      </c>
      <c r="D2326" s="4">
        <v>50076.0</v>
      </c>
      <c r="E2326" s="4"/>
      <c r="F2326" s="4">
        <v>1.0</v>
      </c>
      <c r="G2326" s="4">
        <v>99.0</v>
      </c>
      <c r="H2326" s="4"/>
      <c r="I2326" s="4">
        <v>99.0</v>
      </c>
      <c r="J2326" s="4" t="s">
        <v>6071</v>
      </c>
      <c r="K2326" s="6">
        <f>+918794064972</f>
        <v>918794064972</v>
      </c>
      <c r="L2326" s="4" t="str">
        <f t="shared" si="1"/>
        <v>geetanyigang19@gmail.com918794064972</v>
      </c>
      <c r="M2326" s="10" t="s">
        <v>67</v>
      </c>
      <c r="N2326" s="4" t="b">
        <v>0</v>
      </c>
      <c r="O2326" s="4" t="str">
        <f>VLOOKUP(A2326,payment_ids!D:E,2,FALSE)</f>
        <v>upi</v>
      </c>
      <c r="P2326" s="4" t="s">
        <v>69</v>
      </c>
      <c r="Q2326" s="4" t="s">
        <v>6072</v>
      </c>
      <c r="R2326" s="4"/>
      <c r="S2326" s="12" t="s">
        <v>5987</v>
      </c>
      <c r="T2326" s="4"/>
      <c r="U2326" s="5"/>
      <c r="V2326" s="11"/>
      <c r="W2326" s="5"/>
      <c r="X2326" s="11"/>
      <c r="Y2326" s="4"/>
      <c r="Z2326" s="5"/>
      <c r="AA2326" s="5"/>
      <c r="AB2326" s="4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</row>
    <row r="2327">
      <c r="A2327" s="4" t="str">
        <f>VLOOKUP(L2327,payment_ids!C:D,2,FALSE)</f>
        <v>pay_HEV7ypylDxYimh</v>
      </c>
      <c r="B2327" s="4"/>
      <c r="C2327" s="4" t="s">
        <v>5984</v>
      </c>
      <c r="D2327" s="4">
        <v>50076.0</v>
      </c>
      <c r="E2327" s="4"/>
      <c r="F2327" s="4">
        <v>1.0</v>
      </c>
      <c r="G2327" s="4">
        <v>99.0</v>
      </c>
      <c r="H2327" s="4"/>
      <c r="I2327" s="4">
        <v>99.0</v>
      </c>
      <c r="J2327" s="4" t="s">
        <v>6073</v>
      </c>
      <c r="K2327" s="6">
        <f>+919004743500</f>
        <v>919004743500</v>
      </c>
      <c r="L2327" s="4" t="str">
        <f t="shared" si="1"/>
        <v>priyampathare@gmail.com919004743500</v>
      </c>
      <c r="M2327" s="10" t="s">
        <v>67</v>
      </c>
      <c r="N2327" s="4" t="b">
        <v>0</v>
      </c>
      <c r="O2327" s="4" t="str">
        <f>VLOOKUP(A2327,payment_ids!D:E,2,FALSE)</f>
        <v>upi</v>
      </c>
      <c r="P2327" s="4" t="s">
        <v>69</v>
      </c>
      <c r="Q2327" s="4" t="s">
        <v>6074</v>
      </c>
      <c r="R2327" s="4"/>
      <c r="S2327" s="12" t="s">
        <v>5987</v>
      </c>
      <c r="T2327" s="4"/>
      <c r="U2327" s="4"/>
      <c r="V2327" s="11"/>
      <c r="W2327" s="5"/>
      <c r="X2327" s="11"/>
      <c r="Y2327" s="4"/>
      <c r="Z2327" s="5"/>
      <c r="AA2327" s="4"/>
      <c r="AB2327" s="4"/>
      <c r="AC2327" s="4"/>
      <c r="AD2327" s="4"/>
      <c r="AE2327" s="5"/>
      <c r="AF2327" s="5"/>
      <c r="AG2327" s="5"/>
      <c r="AH2327" s="5"/>
      <c r="AI2327" s="5"/>
      <c r="AJ2327" s="5"/>
      <c r="AK2327" s="5"/>
      <c r="AL2327" s="5"/>
    </row>
    <row r="2328">
      <c r="A2328" s="4" t="str">
        <f>VLOOKUP(L2328,payment_ids!C:D,2,FALSE)</f>
        <v>pay_HEdP32gU5tpXas</v>
      </c>
      <c r="B2328" s="4"/>
      <c r="C2328" s="4" t="s">
        <v>5984</v>
      </c>
      <c r="D2328" s="4">
        <v>50076.0</v>
      </c>
      <c r="E2328" s="4"/>
      <c r="F2328" s="4">
        <v>1.0</v>
      </c>
      <c r="G2328" s="4">
        <v>99.0</v>
      </c>
      <c r="H2328" s="4"/>
      <c r="I2328" s="4">
        <v>99.0</v>
      </c>
      <c r="J2328" s="4" t="s">
        <v>6075</v>
      </c>
      <c r="K2328" s="6">
        <f>+919100273646</f>
        <v>919100273646</v>
      </c>
      <c r="L2328" s="4" t="str">
        <f t="shared" si="1"/>
        <v>galipallipooja@gmail.com919100273646</v>
      </c>
      <c r="M2328" s="10" t="s">
        <v>67</v>
      </c>
      <c r="N2328" s="4" t="b">
        <v>0</v>
      </c>
      <c r="O2328" s="4" t="str">
        <f>VLOOKUP(A2328,payment_ids!D:E,2,FALSE)</f>
        <v>upi</v>
      </c>
      <c r="P2328" s="4" t="s">
        <v>69</v>
      </c>
      <c r="Q2328" s="4" t="s">
        <v>6076</v>
      </c>
      <c r="R2328" s="4"/>
      <c r="S2328" s="12" t="s">
        <v>5987</v>
      </c>
      <c r="T2328" s="4"/>
      <c r="U2328" s="4"/>
      <c r="V2328" s="11"/>
      <c r="W2328" s="5"/>
      <c r="X2328" s="11"/>
      <c r="Y2328" s="4"/>
      <c r="Z2328" s="5"/>
      <c r="AA2328" s="4"/>
      <c r="AB2328" s="4"/>
      <c r="AC2328" s="4"/>
      <c r="AD2328" s="4"/>
      <c r="AE2328" s="5"/>
      <c r="AF2328" s="5"/>
      <c r="AG2328" s="5"/>
      <c r="AH2328" s="5"/>
      <c r="AI2328" s="5"/>
      <c r="AJ2328" s="5"/>
      <c r="AK2328" s="5"/>
      <c r="AL2328" s="5"/>
    </row>
    <row r="2329">
      <c r="A2329" s="4" t="str">
        <f>VLOOKUP(L2329,payment_ids!C:D,2,FALSE)</f>
        <v>pay_HEesMztuvM6cJL</v>
      </c>
      <c r="B2329" s="4"/>
      <c r="C2329" s="4" t="s">
        <v>5984</v>
      </c>
      <c r="D2329" s="4">
        <v>50076.0</v>
      </c>
      <c r="E2329" s="4"/>
      <c r="F2329" s="4">
        <v>1.0</v>
      </c>
      <c r="G2329" s="4">
        <v>99.0</v>
      </c>
      <c r="H2329" s="4"/>
      <c r="I2329" s="4">
        <v>99.0</v>
      </c>
      <c r="J2329" s="4" t="s">
        <v>3465</v>
      </c>
      <c r="K2329" s="6">
        <f>+918882330659</f>
        <v>918882330659</v>
      </c>
      <c r="L2329" s="4" t="str">
        <f t="shared" si="1"/>
        <v>jyotsna077@gmail.com918882330659</v>
      </c>
      <c r="M2329" s="10" t="s">
        <v>67</v>
      </c>
      <c r="N2329" s="4" t="b">
        <v>0</v>
      </c>
      <c r="O2329" s="4" t="str">
        <f>VLOOKUP(A2329,payment_ids!D:E,2,FALSE)</f>
        <v>upi</v>
      </c>
      <c r="P2329" s="4" t="s">
        <v>69</v>
      </c>
      <c r="Q2329" s="4" t="s">
        <v>6077</v>
      </c>
      <c r="R2329" s="4"/>
      <c r="S2329" s="12" t="s">
        <v>5987</v>
      </c>
      <c r="T2329" s="4"/>
      <c r="U2329" s="4"/>
      <c r="V2329" s="11"/>
      <c r="W2329" s="5"/>
      <c r="X2329" s="11"/>
      <c r="Y2329" s="4"/>
      <c r="Z2329" s="5"/>
      <c r="AA2329" s="4"/>
      <c r="AB2329" s="4"/>
      <c r="AC2329" s="4"/>
      <c r="AD2329" s="4"/>
      <c r="AE2329" s="5"/>
      <c r="AF2329" s="5"/>
      <c r="AG2329" s="5"/>
      <c r="AH2329" s="5"/>
      <c r="AI2329" s="5"/>
      <c r="AJ2329" s="5"/>
      <c r="AK2329" s="5"/>
      <c r="AL2329" s="5"/>
    </row>
    <row r="2330">
      <c r="A2330" s="4" t="str">
        <f>VLOOKUP(L2330,payment_ids!C:D,2,FALSE)</f>
        <v>pay_HEexxYOr0asQO8</v>
      </c>
      <c r="B2330" s="4"/>
      <c r="C2330" s="4" t="s">
        <v>5984</v>
      </c>
      <c r="D2330" s="4">
        <v>50076.0</v>
      </c>
      <c r="E2330" s="4"/>
      <c r="F2330" s="4">
        <v>1.0</v>
      </c>
      <c r="G2330" s="4">
        <v>99.0</v>
      </c>
      <c r="H2330" s="4"/>
      <c r="I2330" s="4">
        <v>99.0</v>
      </c>
      <c r="J2330" s="4" t="s">
        <v>6078</v>
      </c>
      <c r="K2330" s="6">
        <f>+919340582989</f>
        <v>919340582989</v>
      </c>
      <c r="L2330" s="4" t="str">
        <f t="shared" si="1"/>
        <v>gprsjapati@gmail.com919340582989</v>
      </c>
      <c r="M2330" s="10" t="s">
        <v>67</v>
      </c>
      <c r="N2330" s="4" t="b">
        <v>0</v>
      </c>
      <c r="O2330" s="4" t="str">
        <f>VLOOKUP(A2330,payment_ids!D:E,2,FALSE)</f>
        <v>wallet</v>
      </c>
      <c r="P2330" s="4" t="s">
        <v>69</v>
      </c>
      <c r="Q2330" s="4" t="s">
        <v>6079</v>
      </c>
      <c r="R2330" s="4"/>
      <c r="S2330" s="12" t="s">
        <v>5987</v>
      </c>
      <c r="T2330" s="4"/>
      <c r="U2330" s="5"/>
      <c r="V2330" s="11"/>
      <c r="W2330" s="5"/>
      <c r="X2330" s="11"/>
      <c r="Y2330" s="4"/>
      <c r="Z2330" s="5"/>
      <c r="AA2330" s="5"/>
      <c r="AB2330" s="4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</row>
    <row r="2331">
      <c r="A2331" s="4" t="str">
        <f>VLOOKUP(L2331,payment_ids!C:D,2,FALSE)</f>
        <v>pay_HEfYteNaIoYRXS</v>
      </c>
      <c r="B2331" s="4"/>
      <c r="C2331" s="4" t="s">
        <v>5984</v>
      </c>
      <c r="D2331" s="4">
        <v>50076.0</v>
      </c>
      <c r="E2331" s="4"/>
      <c r="F2331" s="4">
        <v>1.0</v>
      </c>
      <c r="G2331" s="4">
        <v>99.0</v>
      </c>
      <c r="H2331" s="4"/>
      <c r="I2331" s="4">
        <v>99.0</v>
      </c>
      <c r="J2331" s="4" t="s">
        <v>6080</v>
      </c>
      <c r="K2331" s="6">
        <f>+917745014565</f>
        <v>917745014565</v>
      </c>
      <c r="L2331" s="4" t="str">
        <f t="shared" si="1"/>
        <v>jogdandshubham2@gmail.com917745014565</v>
      </c>
      <c r="M2331" s="10" t="s">
        <v>67</v>
      </c>
      <c r="N2331" s="4" t="b">
        <v>0</v>
      </c>
      <c r="O2331" s="4" t="str">
        <f>VLOOKUP(A2331,payment_ids!D:E,2,FALSE)</f>
        <v>upi</v>
      </c>
      <c r="P2331" s="4" t="s">
        <v>69</v>
      </c>
      <c r="Q2331" s="4" t="s">
        <v>6081</v>
      </c>
      <c r="R2331" s="4"/>
      <c r="S2331" s="12" t="s">
        <v>5987</v>
      </c>
      <c r="T2331" s="4"/>
      <c r="U2331" s="5"/>
      <c r="V2331" s="11"/>
      <c r="W2331" s="5"/>
      <c r="X2331" s="11"/>
      <c r="Y2331" s="4"/>
      <c r="Z2331" s="5"/>
      <c r="AA2331" s="5"/>
      <c r="AB2331" s="4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</row>
    <row r="2332">
      <c r="A2332" s="4" t="str">
        <f>VLOOKUP(L2332,payment_ids!C:D,2,FALSE)</f>
        <v>pay_HEvZB2dqzYNxh1</v>
      </c>
      <c r="B2332" s="4"/>
      <c r="C2332" s="4" t="s">
        <v>5984</v>
      </c>
      <c r="D2332" s="4">
        <v>50076.0</v>
      </c>
      <c r="E2332" s="4"/>
      <c r="F2332" s="4">
        <v>1.0</v>
      </c>
      <c r="G2332" s="4">
        <v>199.0</v>
      </c>
      <c r="H2332" s="4"/>
      <c r="I2332" s="4">
        <v>199.0</v>
      </c>
      <c r="J2332" s="4" t="s">
        <v>6082</v>
      </c>
      <c r="K2332" s="6">
        <f>+919113393763</f>
        <v>919113393763</v>
      </c>
      <c r="L2332" s="4" t="str">
        <f t="shared" si="1"/>
        <v>pallavikumariseyp@gmail.com919113393763</v>
      </c>
      <c r="M2332" s="10" t="s">
        <v>67</v>
      </c>
      <c r="N2332" s="4" t="b">
        <v>0</v>
      </c>
      <c r="O2332" s="4" t="str">
        <f>VLOOKUP(A2332,payment_ids!D:E,2,FALSE)</f>
        <v>upi</v>
      </c>
      <c r="P2332" s="4" t="s">
        <v>69</v>
      </c>
      <c r="Q2332" s="4" t="s">
        <v>6083</v>
      </c>
      <c r="R2332" s="4"/>
      <c r="S2332" s="12" t="s">
        <v>5987</v>
      </c>
      <c r="T2332" s="4"/>
      <c r="U2332" s="4"/>
      <c r="V2332" s="11"/>
      <c r="W2332" s="5"/>
      <c r="X2332" s="11"/>
      <c r="Y2332" s="4"/>
      <c r="Z2332" s="5"/>
      <c r="AA2332" s="4"/>
      <c r="AB2332" s="4"/>
      <c r="AC2332" s="4"/>
      <c r="AD2332" s="4"/>
      <c r="AE2332" s="5"/>
      <c r="AF2332" s="5"/>
      <c r="AG2332" s="5"/>
      <c r="AH2332" s="5"/>
      <c r="AI2332" s="5"/>
      <c r="AJ2332" s="5"/>
      <c r="AK2332" s="5"/>
      <c r="AL2332" s="5"/>
    </row>
    <row r="2333">
      <c r="A2333" s="4" t="str">
        <f>VLOOKUP(L2333,payment_ids!C:D,2,FALSE)</f>
        <v>pay_HExIALenVJUutR</v>
      </c>
      <c r="B2333" s="4"/>
      <c r="C2333" s="4" t="s">
        <v>5984</v>
      </c>
      <c r="D2333" s="4">
        <v>50076.0</v>
      </c>
      <c r="E2333" s="4"/>
      <c r="F2333" s="4">
        <v>1.0</v>
      </c>
      <c r="G2333" s="4">
        <v>199.0</v>
      </c>
      <c r="H2333" s="4"/>
      <c r="I2333" s="4">
        <v>199.0</v>
      </c>
      <c r="J2333" s="4" t="s">
        <v>6084</v>
      </c>
      <c r="K2333" s="6">
        <f>+917838228073</f>
        <v>917838228073</v>
      </c>
      <c r="L2333" s="4" t="str">
        <f t="shared" si="1"/>
        <v>yasminpacrucha2019@gmail.com917838228073</v>
      </c>
      <c r="M2333" s="10" t="s">
        <v>67</v>
      </c>
      <c r="N2333" s="4" t="b">
        <v>0</v>
      </c>
      <c r="O2333" s="4" t="str">
        <f>VLOOKUP(A2333,payment_ids!D:E,2,FALSE)</f>
        <v>card</v>
      </c>
      <c r="P2333" s="4" t="s">
        <v>69</v>
      </c>
      <c r="Q2333" s="4" t="s">
        <v>6085</v>
      </c>
      <c r="R2333" s="4"/>
      <c r="S2333" s="12" t="s">
        <v>5987</v>
      </c>
      <c r="T2333" s="4"/>
      <c r="U2333" s="5"/>
      <c r="V2333" s="11"/>
      <c r="W2333" s="5"/>
      <c r="X2333" s="11"/>
      <c r="Y2333" s="4"/>
      <c r="Z2333" s="5"/>
      <c r="AA2333" s="5"/>
      <c r="AB2333" s="4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</row>
    <row r="2334">
      <c r="A2334" s="4" t="str">
        <f>VLOOKUP(L2334,payment_ids!C:D,2,FALSE)</f>
        <v>pay_HF2JmSH4wM43S7</v>
      </c>
      <c r="B2334" s="4"/>
      <c r="C2334" s="4" t="s">
        <v>5984</v>
      </c>
      <c r="D2334" s="4">
        <v>50076.0</v>
      </c>
      <c r="E2334" s="4"/>
      <c r="F2334" s="4">
        <v>1.0</v>
      </c>
      <c r="G2334" s="4">
        <v>199.0</v>
      </c>
      <c r="H2334" s="4"/>
      <c r="I2334" s="4">
        <v>199.0</v>
      </c>
      <c r="J2334" s="4" t="s">
        <v>6086</v>
      </c>
      <c r="K2334" s="6">
        <f>+916261266973</f>
        <v>916261266973</v>
      </c>
      <c r="L2334" s="4" t="str">
        <f t="shared" si="1"/>
        <v>sk2400879@gmail.com916261266973</v>
      </c>
      <c r="M2334" s="10" t="s">
        <v>67</v>
      </c>
      <c r="N2334" s="4" t="b">
        <v>0</v>
      </c>
      <c r="O2334" s="4" t="str">
        <f>VLOOKUP(A2334,payment_ids!D:E,2,FALSE)</f>
        <v>card</v>
      </c>
      <c r="P2334" s="4" t="s">
        <v>69</v>
      </c>
      <c r="Q2334" s="4" t="s">
        <v>6087</v>
      </c>
      <c r="R2334" s="4"/>
      <c r="S2334" s="12" t="s">
        <v>5987</v>
      </c>
      <c r="T2334" s="4"/>
      <c r="U2334" s="4"/>
      <c r="V2334" s="11"/>
      <c r="W2334" s="5"/>
      <c r="X2334" s="11"/>
      <c r="Y2334" s="4"/>
      <c r="Z2334" s="5"/>
      <c r="AA2334" s="4"/>
      <c r="AB2334" s="4"/>
      <c r="AC2334" s="4"/>
      <c r="AD2334" s="4"/>
      <c r="AE2334" s="5"/>
      <c r="AF2334" s="5"/>
      <c r="AG2334" s="5"/>
      <c r="AH2334" s="5"/>
      <c r="AI2334" s="5"/>
      <c r="AJ2334" s="5"/>
      <c r="AK2334" s="5"/>
      <c r="AL2334" s="5"/>
    </row>
    <row r="2335">
      <c r="A2335" s="4" t="str">
        <f>VLOOKUP(L2335,payment_ids!C:D,2,FALSE)</f>
        <v>pay_HFJZ7Nccr9vZSS</v>
      </c>
      <c r="B2335" s="4"/>
      <c r="C2335" s="4" t="s">
        <v>5984</v>
      </c>
      <c r="D2335" s="4">
        <v>50076.0</v>
      </c>
      <c r="E2335" s="5"/>
      <c r="F2335" s="4">
        <v>1.0</v>
      </c>
      <c r="G2335" s="4">
        <v>199.0</v>
      </c>
      <c r="H2335" s="4"/>
      <c r="I2335" s="4">
        <v>199.0</v>
      </c>
      <c r="J2335" s="4" t="s">
        <v>6088</v>
      </c>
      <c r="K2335" s="5">
        <f>+919881138851</f>
        <v>919881138851</v>
      </c>
      <c r="L2335" s="4" t="str">
        <f t="shared" si="1"/>
        <v>akshaybhagwat2721@gmail.com919881138851</v>
      </c>
      <c r="M2335" s="10" t="s">
        <v>67</v>
      </c>
      <c r="N2335" s="4" t="b">
        <v>0</v>
      </c>
      <c r="O2335" s="4" t="str">
        <f>VLOOKUP(A2335,payment_ids!D:E,2,FALSE)</f>
        <v>card</v>
      </c>
      <c r="P2335" s="4" t="s">
        <v>69</v>
      </c>
      <c r="Q2335" s="4" t="s">
        <v>6089</v>
      </c>
      <c r="R2335" s="4"/>
      <c r="S2335" s="12" t="s">
        <v>5987</v>
      </c>
      <c r="T2335" s="5"/>
      <c r="U2335" s="5"/>
      <c r="V2335" s="11"/>
      <c r="W2335" s="5"/>
      <c r="X2335" s="11"/>
      <c r="Y2335" s="4"/>
      <c r="Z2335" s="5"/>
      <c r="AA2335" s="5"/>
      <c r="AB2335" s="4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</row>
    <row r="2336">
      <c r="A2336" s="4" t="str">
        <f>VLOOKUP(L2336,payment_ids!C:D,2,FALSE)</f>
        <v>pay_HFTgxV6viKwbOG</v>
      </c>
      <c r="B2336" s="4"/>
      <c r="C2336" s="4" t="s">
        <v>5984</v>
      </c>
      <c r="D2336" s="4">
        <v>50076.0</v>
      </c>
      <c r="E2336" s="5"/>
      <c r="F2336" s="4">
        <v>1.0</v>
      </c>
      <c r="G2336" s="4">
        <v>199.0</v>
      </c>
      <c r="H2336" s="4"/>
      <c r="I2336" s="4">
        <v>199.0</v>
      </c>
      <c r="J2336" s="4" t="s">
        <v>6090</v>
      </c>
      <c r="K2336" s="5">
        <f>+919711100886</f>
        <v>919711100886</v>
      </c>
      <c r="L2336" s="4" t="str">
        <f t="shared" si="1"/>
        <v>kavitatanwer93@gmail.com919711100886</v>
      </c>
      <c r="M2336" s="10" t="s">
        <v>67</v>
      </c>
      <c r="N2336" s="4" t="b">
        <v>0</v>
      </c>
      <c r="O2336" s="4" t="str">
        <f>VLOOKUP(A2336,payment_ids!D:E,2,FALSE)</f>
        <v>card</v>
      </c>
      <c r="P2336" s="4" t="s">
        <v>69</v>
      </c>
      <c r="Q2336" s="4" t="s">
        <v>6091</v>
      </c>
      <c r="R2336" s="4"/>
      <c r="S2336" s="12" t="s">
        <v>5987</v>
      </c>
      <c r="T2336" s="5"/>
      <c r="U2336" s="5"/>
      <c r="V2336" s="11"/>
      <c r="W2336" s="5"/>
      <c r="X2336" s="11"/>
      <c r="Y2336" s="4"/>
      <c r="Z2336" s="5"/>
      <c r="AA2336" s="5"/>
      <c r="AB2336" s="4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</row>
    <row r="2337">
      <c r="A2337" s="4" t="str">
        <f>VLOOKUP(L2337,payment_ids!C:D,2,FALSE)</f>
        <v>pay_HFfoQRVXuUuLcq</v>
      </c>
      <c r="B2337" s="4"/>
      <c r="C2337" s="4" t="s">
        <v>5984</v>
      </c>
      <c r="D2337" s="4">
        <v>50076.0</v>
      </c>
      <c r="E2337" s="5"/>
      <c r="F2337" s="4">
        <v>1.0</v>
      </c>
      <c r="G2337" s="4">
        <v>199.0</v>
      </c>
      <c r="H2337" s="4"/>
      <c r="I2337" s="4">
        <v>199.0</v>
      </c>
      <c r="J2337" s="4" t="s">
        <v>6092</v>
      </c>
      <c r="K2337" s="5">
        <f>+917262046145</f>
        <v>917262046145</v>
      </c>
      <c r="L2337" s="4" t="str">
        <f t="shared" si="1"/>
        <v>shilpatagade6@gmail.com917262046145</v>
      </c>
      <c r="M2337" s="10" t="s">
        <v>67</v>
      </c>
      <c r="N2337" s="4" t="b">
        <v>0</v>
      </c>
      <c r="O2337" s="4" t="str">
        <f>VLOOKUP(A2337,payment_ids!D:E,2,FALSE)</f>
        <v>upi</v>
      </c>
      <c r="P2337" s="4" t="s">
        <v>69</v>
      </c>
      <c r="Q2337" s="4" t="s">
        <v>6093</v>
      </c>
      <c r="R2337" s="4"/>
      <c r="S2337" s="12" t="s">
        <v>5987</v>
      </c>
      <c r="T2337" s="5"/>
      <c r="U2337" s="5"/>
      <c r="V2337" s="11"/>
      <c r="W2337" s="5"/>
      <c r="X2337" s="11"/>
      <c r="Y2337" s="4"/>
      <c r="Z2337" s="5"/>
      <c r="AA2337" s="5"/>
      <c r="AB2337" s="4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</row>
    <row r="2338">
      <c r="A2338" s="4" t="str">
        <f>VLOOKUP(L2338,payment_ids!C:D,2,FALSE)</f>
        <v>pay_HFoDSfoXcdGjTx</v>
      </c>
      <c r="B2338" s="4"/>
      <c r="C2338" s="4" t="s">
        <v>5984</v>
      </c>
      <c r="D2338" s="4">
        <v>50076.0</v>
      </c>
      <c r="E2338" s="5"/>
      <c r="F2338" s="4">
        <v>3.0</v>
      </c>
      <c r="G2338" s="4">
        <v>349.0</v>
      </c>
      <c r="H2338" s="4"/>
      <c r="I2338" s="4">
        <v>349.0</v>
      </c>
      <c r="J2338" s="4" t="s">
        <v>6094</v>
      </c>
      <c r="K2338" s="5">
        <f>+917978954112</f>
        <v>917978954112</v>
      </c>
      <c r="L2338" s="4" t="str">
        <f t="shared" si="1"/>
        <v>riconpatel1997@gmail.com917978954112</v>
      </c>
      <c r="M2338" s="10" t="s">
        <v>67</v>
      </c>
      <c r="N2338" s="4" t="b">
        <v>0</v>
      </c>
      <c r="O2338" s="4" t="str">
        <f>VLOOKUP(A2338,payment_ids!D:E,2,FALSE)</f>
        <v>upi</v>
      </c>
      <c r="P2338" s="4" t="s">
        <v>69</v>
      </c>
      <c r="Q2338" s="4" t="s">
        <v>6095</v>
      </c>
      <c r="R2338" s="4"/>
      <c r="S2338" s="12" t="s">
        <v>5987</v>
      </c>
      <c r="T2338" s="5"/>
      <c r="U2338" s="4"/>
      <c r="V2338" s="11"/>
      <c r="W2338" s="5"/>
      <c r="X2338" s="11"/>
      <c r="Y2338" s="4"/>
      <c r="Z2338" s="5"/>
      <c r="AA2338" s="4"/>
      <c r="AB2338" s="4"/>
      <c r="AC2338" s="4"/>
      <c r="AD2338" s="4"/>
      <c r="AE2338" s="5"/>
      <c r="AF2338" s="5"/>
      <c r="AG2338" s="5"/>
      <c r="AH2338" s="5"/>
      <c r="AI2338" s="5"/>
      <c r="AJ2338" s="5"/>
      <c r="AK2338" s="5"/>
      <c r="AL2338" s="5"/>
    </row>
    <row r="2339">
      <c r="A2339" s="4" t="str">
        <f>VLOOKUP(L2339,payment_ids!C:D,2,FALSE)</f>
        <v>pay_HFqqXxtj9Iie8H</v>
      </c>
      <c r="B2339" s="4"/>
      <c r="C2339" s="4" t="s">
        <v>5984</v>
      </c>
      <c r="D2339" s="4">
        <v>50076.0</v>
      </c>
      <c r="E2339" s="5"/>
      <c r="F2339" s="4">
        <v>1.0</v>
      </c>
      <c r="G2339" s="4">
        <v>199.0</v>
      </c>
      <c r="H2339" s="4"/>
      <c r="I2339" s="4">
        <v>199.0</v>
      </c>
      <c r="J2339" s="4" t="s">
        <v>6096</v>
      </c>
      <c r="K2339" s="5">
        <f>+918800214022</f>
        <v>918800214022</v>
      </c>
      <c r="L2339" s="4" t="str">
        <f t="shared" si="1"/>
        <v>himanshu99310@gmail.com918800214022</v>
      </c>
      <c r="M2339" s="10" t="s">
        <v>67</v>
      </c>
      <c r="N2339" s="4" t="b">
        <v>0</v>
      </c>
      <c r="O2339" s="4" t="str">
        <f>VLOOKUP(A2339,payment_ids!D:E,2,FALSE)</f>
        <v>wallet</v>
      </c>
      <c r="P2339" s="4" t="s">
        <v>69</v>
      </c>
      <c r="Q2339" s="4" t="s">
        <v>4148</v>
      </c>
      <c r="R2339" s="4"/>
      <c r="S2339" s="12" t="s">
        <v>5987</v>
      </c>
      <c r="T2339" s="5"/>
      <c r="U2339" s="4"/>
      <c r="V2339" s="11"/>
      <c r="W2339" s="5"/>
      <c r="X2339" s="11"/>
      <c r="Y2339" s="4"/>
      <c r="Z2339" s="5"/>
      <c r="AA2339" s="4"/>
      <c r="AB2339" s="4"/>
      <c r="AC2339" s="4"/>
      <c r="AD2339" s="4"/>
      <c r="AE2339" s="5"/>
      <c r="AF2339" s="5"/>
      <c r="AG2339" s="5"/>
      <c r="AH2339" s="5"/>
      <c r="AI2339" s="5"/>
      <c r="AJ2339" s="5"/>
      <c r="AK2339" s="5"/>
      <c r="AL2339" s="5"/>
    </row>
    <row r="2340">
      <c r="A2340" s="4" t="str">
        <f>VLOOKUP(L2340,payment_ids!C:D,2,FALSE)</f>
        <v>pay_HFrSufYshpsII2</v>
      </c>
      <c r="B2340" s="4"/>
      <c r="C2340" s="4" t="s">
        <v>5984</v>
      </c>
      <c r="D2340" s="4">
        <v>50076.0</v>
      </c>
      <c r="E2340" s="5"/>
      <c r="F2340" s="4">
        <v>1.0</v>
      </c>
      <c r="G2340" s="4">
        <v>199.0</v>
      </c>
      <c r="H2340" s="4"/>
      <c r="I2340" s="4">
        <v>199.0</v>
      </c>
      <c r="J2340" s="4" t="s">
        <v>6097</v>
      </c>
      <c r="K2340" s="5">
        <f>+918188988110</f>
        <v>918188988110</v>
      </c>
      <c r="L2340" s="4" t="str">
        <f t="shared" si="1"/>
        <v>vinaysoni447yahoo@gmail.com918188988110</v>
      </c>
      <c r="M2340" s="10" t="s">
        <v>67</v>
      </c>
      <c r="N2340" s="4" t="b">
        <v>0</v>
      </c>
      <c r="O2340" s="4" t="str">
        <f>VLOOKUP(A2340,payment_ids!D:E,2,FALSE)</f>
        <v>card</v>
      </c>
      <c r="P2340" s="4" t="s">
        <v>69</v>
      </c>
      <c r="Q2340" s="4" t="s">
        <v>6098</v>
      </c>
      <c r="R2340" s="4"/>
      <c r="S2340" s="12" t="s">
        <v>5987</v>
      </c>
      <c r="T2340" s="5"/>
      <c r="U2340" s="4"/>
      <c r="V2340" s="11"/>
      <c r="W2340" s="5"/>
      <c r="X2340" s="11"/>
      <c r="Y2340" s="4"/>
      <c r="Z2340" s="5"/>
      <c r="AA2340" s="4"/>
      <c r="AB2340" s="4"/>
      <c r="AC2340" s="4"/>
      <c r="AD2340" s="4"/>
      <c r="AE2340" s="5"/>
      <c r="AF2340" s="5"/>
      <c r="AG2340" s="5"/>
      <c r="AH2340" s="5"/>
      <c r="AI2340" s="5"/>
      <c r="AJ2340" s="5"/>
      <c r="AK2340" s="5"/>
      <c r="AL2340" s="5"/>
    </row>
    <row r="2341">
      <c r="A2341" s="4" t="str">
        <f>VLOOKUP(L2341,payment_ids!C:D,2,FALSE)</f>
        <v>pay_HG3G9GFTgNT55H</v>
      </c>
      <c r="B2341" s="4"/>
      <c r="C2341" s="4" t="s">
        <v>5984</v>
      </c>
      <c r="D2341" s="4">
        <v>50076.0</v>
      </c>
      <c r="E2341" s="5"/>
      <c r="F2341" s="4">
        <v>1.0</v>
      </c>
      <c r="G2341" s="4">
        <v>199.0</v>
      </c>
      <c r="H2341" s="4"/>
      <c r="I2341" s="4">
        <v>199.0</v>
      </c>
      <c r="J2341" s="4" t="s">
        <v>6099</v>
      </c>
      <c r="K2341" s="5">
        <f>+919739100777</f>
        <v>919739100777</v>
      </c>
      <c r="L2341" s="4" t="str">
        <f t="shared" si="1"/>
        <v>arjunraju1176@gmail.com919739100777</v>
      </c>
      <c r="M2341" s="10" t="s">
        <v>67</v>
      </c>
      <c r="N2341" s="4" t="b">
        <v>0</v>
      </c>
      <c r="O2341" s="4" t="str">
        <f>VLOOKUP(A2341,payment_ids!D:E,2,FALSE)</f>
        <v>upi</v>
      </c>
      <c r="P2341" s="4" t="s">
        <v>69</v>
      </c>
      <c r="Q2341" s="4" t="s">
        <v>6100</v>
      </c>
      <c r="R2341" s="4"/>
      <c r="S2341" s="12" t="s">
        <v>5987</v>
      </c>
      <c r="T2341" s="5"/>
      <c r="U2341" s="4"/>
      <c r="V2341" s="11"/>
      <c r="W2341" s="5"/>
      <c r="X2341" s="11"/>
      <c r="Y2341" s="4"/>
      <c r="Z2341" s="5"/>
      <c r="AA2341" s="4"/>
      <c r="AB2341" s="4"/>
      <c r="AC2341" s="4"/>
      <c r="AD2341" s="4"/>
      <c r="AE2341" s="5"/>
      <c r="AF2341" s="5"/>
      <c r="AG2341" s="5"/>
      <c r="AH2341" s="5"/>
      <c r="AI2341" s="5"/>
      <c r="AJ2341" s="5"/>
      <c r="AK2341" s="5"/>
      <c r="AL2341" s="5"/>
    </row>
    <row r="2342">
      <c r="A2342" s="4" t="str">
        <f>VLOOKUP(L2342,payment_ids!C:D,2,FALSE)</f>
        <v>pay_HG3jcGPSFDXCGw</v>
      </c>
      <c r="B2342" s="4"/>
      <c r="C2342" s="4" t="s">
        <v>5984</v>
      </c>
      <c r="D2342" s="4">
        <v>50076.0</v>
      </c>
      <c r="E2342" s="5"/>
      <c r="F2342" s="4">
        <v>3.0</v>
      </c>
      <c r="G2342" s="4">
        <v>349.0</v>
      </c>
      <c r="H2342" s="4"/>
      <c r="I2342" s="4">
        <v>349.0</v>
      </c>
      <c r="J2342" s="4" t="s">
        <v>6101</v>
      </c>
      <c r="K2342" s="5">
        <f>+917338704181</f>
        <v>917338704181</v>
      </c>
      <c r="L2342" s="4" t="str">
        <f t="shared" si="1"/>
        <v>durgadd3203@gmail.com917338704181</v>
      </c>
      <c r="M2342" s="10" t="s">
        <v>67</v>
      </c>
      <c r="N2342" s="4" t="b">
        <v>0</v>
      </c>
      <c r="O2342" s="4" t="str">
        <f>VLOOKUP(A2342,payment_ids!D:E,2,FALSE)</f>
        <v>upi</v>
      </c>
      <c r="P2342" s="4" t="s">
        <v>69</v>
      </c>
      <c r="Q2342" s="4" t="s">
        <v>6102</v>
      </c>
      <c r="R2342" s="4"/>
      <c r="S2342" s="12" t="s">
        <v>5987</v>
      </c>
      <c r="T2342" s="5"/>
      <c r="U2342" s="4"/>
      <c r="V2342" s="11"/>
      <c r="W2342" s="5"/>
      <c r="X2342" s="11"/>
      <c r="Y2342" s="4"/>
      <c r="Z2342" s="5"/>
      <c r="AA2342" s="4"/>
      <c r="AB2342" s="4"/>
      <c r="AC2342" s="4"/>
      <c r="AD2342" s="4"/>
      <c r="AE2342" s="5"/>
      <c r="AF2342" s="5"/>
      <c r="AG2342" s="5"/>
      <c r="AH2342" s="5"/>
      <c r="AI2342" s="5"/>
      <c r="AJ2342" s="5"/>
      <c r="AK2342" s="5"/>
      <c r="AL2342" s="5"/>
    </row>
    <row r="2343">
      <c r="A2343" s="4" t="str">
        <f>VLOOKUP(L2343,payment_ids!C:D,2,FALSE)</f>
        <v>pay_HG7m79RCQeUP10</v>
      </c>
      <c r="B2343" s="4"/>
      <c r="C2343" s="4" t="s">
        <v>5984</v>
      </c>
      <c r="D2343" s="4">
        <v>50076.0</v>
      </c>
      <c r="E2343" s="5"/>
      <c r="F2343" s="4">
        <v>6.0</v>
      </c>
      <c r="G2343" s="4">
        <v>599.0</v>
      </c>
      <c r="H2343" s="4"/>
      <c r="I2343" s="4">
        <v>599.0</v>
      </c>
      <c r="J2343" s="4" t="s">
        <v>6103</v>
      </c>
      <c r="K2343" s="5">
        <f>+917731072489</f>
        <v>917731072489</v>
      </c>
      <c r="L2343" s="4" t="str">
        <f t="shared" si="1"/>
        <v>srkprasadvarma@gmail.com917731072489</v>
      </c>
      <c r="M2343" s="10" t="s">
        <v>67</v>
      </c>
      <c r="N2343" s="4" t="b">
        <v>0</v>
      </c>
      <c r="O2343" s="4" t="str">
        <f>VLOOKUP(A2343,payment_ids!D:E,2,FALSE)</f>
        <v>upi</v>
      </c>
      <c r="P2343" s="4" t="s">
        <v>69</v>
      </c>
      <c r="Q2343" s="4" t="s">
        <v>6104</v>
      </c>
      <c r="R2343" s="4"/>
      <c r="S2343" s="12" t="s">
        <v>5987</v>
      </c>
      <c r="T2343" s="5"/>
      <c r="U2343" s="5"/>
      <c r="V2343" s="11"/>
      <c r="W2343" s="5"/>
      <c r="X2343" s="11"/>
      <c r="Y2343" s="4"/>
      <c r="Z2343" s="5"/>
      <c r="AA2343" s="5"/>
      <c r="AB2343" s="4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</row>
    <row r="2344">
      <c r="A2344" s="4" t="str">
        <f>VLOOKUP(L2344,payment_ids!C:D,2,FALSE)</f>
        <v>pay_HGRgFwRCVEyC2Y</v>
      </c>
      <c r="B2344" s="4"/>
      <c r="C2344" s="4" t="s">
        <v>5984</v>
      </c>
      <c r="D2344" s="4">
        <v>50076.0</v>
      </c>
      <c r="E2344" s="5"/>
      <c r="F2344" s="4">
        <v>1.0</v>
      </c>
      <c r="G2344" s="4">
        <v>199.0</v>
      </c>
      <c r="H2344" s="4"/>
      <c r="I2344" s="4">
        <v>199.0</v>
      </c>
      <c r="J2344" s="4" t="s">
        <v>6105</v>
      </c>
      <c r="K2344" s="5">
        <f>+917073084502</f>
        <v>917073084502</v>
      </c>
      <c r="L2344" s="4" t="str">
        <f t="shared" si="1"/>
        <v>nitesh382singh@gmail.com917073084502</v>
      </c>
      <c r="M2344" s="10" t="s">
        <v>67</v>
      </c>
      <c r="N2344" s="4" t="b">
        <v>0</v>
      </c>
      <c r="O2344" s="4" t="str">
        <f>VLOOKUP(A2344,payment_ids!D:E,2,FALSE)</f>
        <v>upi</v>
      </c>
      <c r="P2344" s="4" t="s">
        <v>69</v>
      </c>
      <c r="Q2344" s="4" t="s">
        <v>6106</v>
      </c>
      <c r="R2344" s="4"/>
      <c r="S2344" s="12" t="s">
        <v>5987</v>
      </c>
      <c r="T2344" s="5"/>
      <c r="U2344" s="4"/>
      <c r="V2344" s="11"/>
      <c r="W2344" s="5"/>
      <c r="X2344" s="11"/>
      <c r="Y2344" s="4"/>
      <c r="Z2344" s="5"/>
      <c r="AA2344" s="4"/>
      <c r="AB2344" s="4"/>
      <c r="AC2344" s="4"/>
      <c r="AD2344" s="4"/>
      <c r="AE2344" s="5"/>
      <c r="AF2344" s="5"/>
      <c r="AG2344" s="5"/>
      <c r="AH2344" s="5"/>
      <c r="AI2344" s="5"/>
      <c r="AJ2344" s="5"/>
      <c r="AK2344" s="5"/>
      <c r="AL2344" s="5"/>
    </row>
    <row r="2345">
      <c r="A2345" s="4" t="str">
        <f>VLOOKUP(L2345,payment_ids!C:D,2,FALSE)</f>
        <v>pay_HGaDi8joHF6ChX</v>
      </c>
      <c r="B2345" s="4"/>
      <c r="C2345" s="4" t="s">
        <v>5984</v>
      </c>
      <c r="D2345" s="4">
        <v>50076.0</v>
      </c>
      <c r="E2345" s="5"/>
      <c r="F2345" s="4">
        <v>1.0</v>
      </c>
      <c r="G2345" s="4">
        <v>199.0</v>
      </c>
      <c r="H2345" s="4"/>
      <c r="I2345" s="4">
        <v>199.0</v>
      </c>
      <c r="J2345" s="4" t="s">
        <v>6107</v>
      </c>
      <c r="K2345" s="5">
        <f>+919235348369</f>
        <v>919235348369</v>
      </c>
      <c r="L2345" s="4" t="str">
        <f t="shared" si="1"/>
        <v>surbhisingh2476@gmail.com919235348369</v>
      </c>
      <c r="M2345" s="10" t="s">
        <v>67</v>
      </c>
      <c r="N2345" s="4" t="b">
        <v>0</v>
      </c>
      <c r="O2345" s="4" t="str">
        <f>VLOOKUP(A2345,payment_ids!D:E,2,FALSE)</f>
        <v>card</v>
      </c>
      <c r="P2345" s="4" t="s">
        <v>69</v>
      </c>
      <c r="Q2345" s="4" t="s">
        <v>6108</v>
      </c>
      <c r="R2345" s="4"/>
      <c r="S2345" s="12" t="s">
        <v>5987</v>
      </c>
      <c r="T2345" s="5"/>
      <c r="U2345" s="5"/>
      <c r="V2345" s="11"/>
      <c r="W2345" s="5"/>
      <c r="X2345" s="11"/>
      <c r="Y2345" s="4"/>
      <c r="Z2345" s="5"/>
      <c r="AA2345" s="5"/>
      <c r="AB2345" s="4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</row>
    <row r="2346">
      <c r="A2346" s="4" t="str">
        <f>VLOOKUP(L2346,payment_ids!C:D,2,FALSE)</f>
        <v>pay_HGcPq3ZPqNxTxj</v>
      </c>
      <c r="B2346" s="4"/>
      <c r="C2346" s="4" t="s">
        <v>5984</v>
      </c>
      <c r="D2346" s="4">
        <v>50076.0</v>
      </c>
      <c r="E2346" s="5"/>
      <c r="F2346" s="4">
        <v>1.0</v>
      </c>
      <c r="G2346" s="4">
        <v>199.0</v>
      </c>
      <c r="H2346" s="4"/>
      <c r="I2346" s="4">
        <v>199.0</v>
      </c>
      <c r="J2346" s="4" t="s">
        <v>6109</v>
      </c>
      <c r="K2346" s="5">
        <f>+917293554843</f>
        <v>917293554843</v>
      </c>
      <c r="L2346" s="4" t="str">
        <f t="shared" si="1"/>
        <v>dittyprathyusham@gmail.com917293554843</v>
      </c>
      <c r="M2346" s="10" t="s">
        <v>67</v>
      </c>
      <c r="N2346" s="4" t="b">
        <v>0</v>
      </c>
      <c r="O2346" s="4" t="str">
        <f>VLOOKUP(A2346,payment_ids!D:E,2,FALSE)</f>
        <v>netbanking</v>
      </c>
      <c r="P2346" s="4" t="s">
        <v>69</v>
      </c>
      <c r="Q2346" s="4" t="s">
        <v>6110</v>
      </c>
      <c r="R2346" s="4"/>
      <c r="S2346" s="12" t="s">
        <v>5987</v>
      </c>
      <c r="T2346" s="5"/>
      <c r="U2346" s="4"/>
      <c r="V2346" s="11"/>
      <c r="W2346" s="5"/>
      <c r="X2346" s="11"/>
      <c r="Y2346" s="4"/>
      <c r="Z2346" s="5"/>
      <c r="AA2346" s="4"/>
      <c r="AB2346" s="4"/>
      <c r="AC2346" s="4"/>
      <c r="AD2346" s="4"/>
      <c r="AE2346" s="5"/>
      <c r="AF2346" s="5"/>
      <c r="AG2346" s="5"/>
      <c r="AH2346" s="5"/>
      <c r="AI2346" s="5"/>
      <c r="AJ2346" s="5"/>
      <c r="AK2346" s="5"/>
      <c r="AL2346" s="5"/>
    </row>
    <row r="2347">
      <c r="A2347" s="4" t="str">
        <f>VLOOKUP(L2347,payment_ids!C:D,2,FALSE)</f>
        <v>pay_HGdt9O05QQU0Sy</v>
      </c>
      <c r="B2347" s="4"/>
      <c r="C2347" s="4" t="s">
        <v>5984</v>
      </c>
      <c r="D2347" s="4">
        <v>50076.0</v>
      </c>
      <c r="E2347" s="5"/>
      <c r="F2347" s="4">
        <v>1.0</v>
      </c>
      <c r="G2347" s="4">
        <v>199.0</v>
      </c>
      <c r="H2347" s="4"/>
      <c r="I2347" s="4">
        <v>199.0</v>
      </c>
      <c r="J2347" s="4" t="s">
        <v>6111</v>
      </c>
      <c r="K2347" s="5">
        <f>+917838047901</f>
        <v>917838047901</v>
      </c>
      <c r="L2347" s="4" t="str">
        <f t="shared" si="1"/>
        <v>iasbhaeya@gmail.com917838047901</v>
      </c>
      <c r="M2347" s="10" t="s">
        <v>67</v>
      </c>
      <c r="N2347" s="4" t="b">
        <v>0</v>
      </c>
      <c r="O2347" s="4" t="str">
        <f>VLOOKUP(A2347,payment_ids!D:E,2,FALSE)</f>
        <v>upi</v>
      </c>
      <c r="P2347" s="4" t="s">
        <v>69</v>
      </c>
      <c r="Q2347" s="4" t="s">
        <v>6112</v>
      </c>
      <c r="R2347" s="4"/>
      <c r="S2347" s="12" t="s">
        <v>5987</v>
      </c>
      <c r="T2347" s="5"/>
      <c r="U2347" s="4"/>
      <c r="V2347" s="11"/>
      <c r="W2347" s="5"/>
      <c r="X2347" s="11"/>
      <c r="Y2347" s="4"/>
      <c r="Z2347" s="5"/>
      <c r="AA2347" s="4"/>
      <c r="AB2347" s="4"/>
      <c r="AC2347" s="4"/>
      <c r="AD2347" s="4"/>
      <c r="AE2347" s="5"/>
      <c r="AF2347" s="5"/>
      <c r="AG2347" s="5"/>
      <c r="AH2347" s="5"/>
      <c r="AI2347" s="5"/>
      <c r="AJ2347" s="5"/>
      <c r="AK2347" s="5"/>
      <c r="AL2347" s="5"/>
    </row>
    <row r="2348">
      <c r="A2348" s="4" t="str">
        <f>VLOOKUP(L2348,payment_ids!C:D,2,FALSE)</f>
        <v>pay_HGfDwUZG27rFfW</v>
      </c>
      <c r="B2348" s="4"/>
      <c r="C2348" s="4" t="s">
        <v>5984</v>
      </c>
      <c r="D2348" s="4">
        <v>50076.0</v>
      </c>
      <c r="E2348" s="5"/>
      <c r="F2348" s="4">
        <v>3.0</v>
      </c>
      <c r="G2348" s="4">
        <v>349.0</v>
      </c>
      <c r="H2348" s="4"/>
      <c r="I2348" s="4">
        <v>349.0</v>
      </c>
      <c r="J2348" s="4" t="s">
        <v>6113</v>
      </c>
      <c r="K2348" s="5">
        <f>+919340567767</f>
        <v>919340567767</v>
      </c>
      <c r="L2348" s="4" t="str">
        <f t="shared" si="1"/>
        <v>reena7dominic@gmail.com919340567767</v>
      </c>
      <c r="M2348" s="10" t="s">
        <v>67</v>
      </c>
      <c r="N2348" s="4" t="b">
        <v>0</v>
      </c>
      <c r="O2348" s="4" t="str">
        <f>VLOOKUP(A2348,payment_ids!D:E,2,FALSE)</f>
        <v>wallet</v>
      </c>
      <c r="P2348" s="4" t="s">
        <v>69</v>
      </c>
      <c r="Q2348" s="4" t="s">
        <v>6114</v>
      </c>
      <c r="R2348" s="4"/>
      <c r="S2348" s="12" t="s">
        <v>5987</v>
      </c>
      <c r="T2348" s="5"/>
      <c r="U2348" s="4"/>
      <c r="V2348" s="11"/>
      <c r="W2348" s="5"/>
      <c r="X2348" s="11"/>
      <c r="Y2348" s="4"/>
      <c r="Z2348" s="5"/>
      <c r="AA2348" s="4"/>
      <c r="AB2348" s="4"/>
      <c r="AC2348" s="4"/>
      <c r="AD2348" s="4"/>
      <c r="AE2348" s="5"/>
      <c r="AF2348" s="5"/>
      <c r="AG2348" s="5"/>
      <c r="AH2348" s="5"/>
      <c r="AI2348" s="5"/>
      <c r="AJ2348" s="5"/>
      <c r="AK2348" s="5"/>
      <c r="AL2348" s="5"/>
    </row>
    <row r="2349">
      <c r="A2349" s="4" t="str">
        <f>VLOOKUP(L2349,payment_ids!C:D,2,FALSE)</f>
        <v>pay_HGrOpwqOYtM9xs</v>
      </c>
      <c r="B2349" s="4"/>
      <c r="C2349" s="4" t="s">
        <v>5984</v>
      </c>
      <c r="D2349" s="4">
        <v>50076.0</v>
      </c>
      <c r="E2349" s="5"/>
      <c r="F2349" s="4">
        <v>1.0</v>
      </c>
      <c r="G2349" s="4">
        <v>199.0</v>
      </c>
      <c r="H2349" s="4"/>
      <c r="I2349" s="4">
        <v>199.0</v>
      </c>
      <c r="J2349" s="4" t="s">
        <v>6115</v>
      </c>
      <c r="K2349" s="5">
        <f>+919176295567</f>
        <v>919176295567</v>
      </c>
      <c r="L2349" s="4" t="str">
        <f t="shared" si="1"/>
        <v>hardikkumar1001@gmail.com919176295567</v>
      </c>
      <c r="M2349" s="10" t="s">
        <v>67</v>
      </c>
      <c r="N2349" s="4" t="b">
        <v>0</v>
      </c>
      <c r="O2349" s="4" t="str">
        <f>VLOOKUP(A2349,payment_ids!D:E,2,FALSE)</f>
        <v>card</v>
      </c>
      <c r="P2349" s="4" t="s">
        <v>69</v>
      </c>
      <c r="Q2349" s="4" t="s">
        <v>4165</v>
      </c>
      <c r="R2349" s="4"/>
      <c r="S2349" s="12" t="s">
        <v>5987</v>
      </c>
      <c r="T2349" s="5"/>
      <c r="U2349" s="4"/>
      <c r="V2349" s="11"/>
      <c r="W2349" s="5"/>
      <c r="X2349" s="11"/>
      <c r="Y2349" s="4"/>
      <c r="Z2349" s="5"/>
      <c r="AA2349" s="4"/>
      <c r="AB2349" s="4"/>
      <c r="AC2349" s="4"/>
      <c r="AD2349" s="4"/>
      <c r="AE2349" s="5"/>
      <c r="AF2349" s="5"/>
      <c r="AG2349" s="5"/>
      <c r="AH2349" s="5"/>
      <c r="AI2349" s="5"/>
      <c r="AJ2349" s="5"/>
      <c r="AK2349" s="5"/>
      <c r="AL2349" s="5"/>
    </row>
    <row r="2350">
      <c r="A2350" s="4" t="str">
        <f>VLOOKUP(L2350,payment_ids!C:D,2,FALSE)</f>
        <v>pay_HGuUVNqpHEZ1fI</v>
      </c>
      <c r="B2350" s="4"/>
      <c r="C2350" s="4" t="s">
        <v>5984</v>
      </c>
      <c r="D2350" s="4">
        <v>50076.0</v>
      </c>
      <c r="E2350" s="5"/>
      <c r="F2350" s="4">
        <v>1.0</v>
      </c>
      <c r="G2350" s="4">
        <v>199.0</v>
      </c>
      <c r="H2350" s="4"/>
      <c r="I2350" s="4">
        <v>199.0</v>
      </c>
      <c r="J2350" s="4" t="s">
        <v>6116</v>
      </c>
      <c r="K2350" s="5">
        <f>+918801885031</f>
        <v>918801885031</v>
      </c>
      <c r="L2350" s="4" t="str">
        <f t="shared" si="1"/>
        <v>amary0520@gmail.com918801885031</v>
      </c>
      <c r="M2350" s="10" t="s">
        <v>67</v>
      </c>
      <c r="N2350" s="4" t="b">
        <v>0</v>
      </c>
      <c r="O2350" s="4" t="str">
        <f>VLOOKUP(A2350,payment_ids!D:E,2,FALSE)</f>
        <v>wallet</v>
      </c>
      <c r="P2350" s="4" t="s">
        <v>69</v>
      </c>
      <c r="Q2350" s="4" t="s">
        <v>6117</v>
      </c>
      <c r="R2350" s="4"/>
      <c r="S2350" s="12" t="s">
        <v>5987</v>
      </c>
      <c r="T2350" s="5"/>
      <c r="U2350" s="4"/>
      <c r="V2350" s="11"/>
      <c r="W2350" s="5"/>
      <c r="X2350" s="11"/>
      <c r="Y2350" s="4"/>
      <c r="Z2350" s="5"/>
      <c r="AA2350" s="4"/>
      <c r="AB2350" s="4"/>
      <c r="AC2350" s="4"/>
      <c r="AD2350" s="4"/>
      <c r="AE2350" s="5"/>
      <c r="AF2350" s="5"/>
      <c r="AG2350" s="5"/>
      <c r="AH2350" s="5"/>
      <c r="AI2350" s="5"/>
      <c r="AJ2350" s="5"/>
      <c r="AK2350" s="5"/>
      <c r="AL2350" s="5"/>
    </row>
    <row r="2351">
      <c r="A2351" s="4" t="str">
        <f>VLOOKUP(L2351,payment_ids!C:D,2,FALSE)</f>
        <v>pay_HGxRZ3uyhbBcdM</v>
      </c>
      <c r="B2351" s="4"/>
      <c r="C2351" s="4" t="s">
        <v>5984</v>
      </c>
      <c r="D2351" s="4">
        <v>50076.0</v>
      </c>
      <c r="E2351" s="5"/>
      <c r="F2351" s="4">
        <v>1.0</v>
      </c>
      <c r="G2351" s="4">
        <v>199.0</v>
      </c>
      <c r="H2351" s="4"/>
      <c r="I2351" s="4">
        <v>199.0</v>
      </c>
      <c r="J2351" s="4" t="s">
        <v>6118</v>
      </c>
      <c r="K2351" s="5">
        <f>+919891551800</f>
        <v>919891551800</v>
      </c>
      <c r="L2351" s="4" t="str">
        <f t="shared" si="1"/>
        <v>vikaspandey0714@gmail.com919891551800</v>
      </c>
      <c r="M2351" s="10" t="s">
        <v>67</v>
      </c>
      <c r="N2351" s="4" t="b">
        <v>0</v>
      </c>
      <c r="O2351" s="4" t="str">
        <f>VLOOKUP(A2351,payment_ids!D:E,2,FALSE)</f>
        <v>upi</v>
      </c>
      <c r="P2351" s="4" t="s">
        <v>69</v>
      </c>
      <c r="Q2351" s="4" t="s">
        <v>6119</v>
      </c>
      <c r="R2351" s="4"/>
      <c r="S2351" s="12" t="s">
        <v>5987</v>
      </c>
      <c r="T2351" s="5"/>
      <c r="U2351" s="5"/>
      <c r="V2351" s="11"/>
      <c r="W2351" s="5"/>
      <c r="X2351" s="11"/>
      <c r="Y2351" s="4"/>
      <c r="Z2351" s="5"/>
      <c r="AA2351" s="5"/>
      <c r="AB2351" s="4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</row>
    <row r="2352">
      <c r="A2352" s="4" t="str">
        <f>VLOOKUP(L2352,payment_ids!C:D,2,FALSE)</f>
        <v>pay_HGzd6JxL1MI2VF</v>
      </c>
      <c r="B2352" s="4"/>
      <c r="C2352" s="4" t="s">
        <v>5984</v>
      </c>
      <c r="D2352" s="4">
        <v>50076.0</v>
      </c>
      <c r="E2352" s="5"/>
      <c r="F2352" s="4">
        <v>1.0</v>
      </c>
      <c r="G2352" s="4">
        <v>199.0</v>
      </c>
      <c r="H2352" s="4"/>
      <c r="I2352" s="4">
        <v>199.0</v>
      </c>
      <c r="J2352" s="4" t="s">
        <v>6120</v>
      </c>
      <c r="K2352" s="5">
        <f>+917798674777</f>
        <v>917798674777</v>
      </c>
      <c r="L2352" s="4" t="str">
        <f t="shared" si="1"/>
        <v>fm.gaikwad7@gmail.com917798674777</v>
      </c>
      <c r="M2352" s="10" t="s">
        <v>67</v>
      </c>
      <c r="N2352" s="4" t="b">
        <v>0</v>
      </c>
      <c r="O2352" s="4" t="str">
        <f>VLOOKUP(A2352,payment_ids!D:E,2,FALSE)</f>
        <v>upi</v>
      </c>
      <c r="P2352" s="4" t="s">
        <v>69</v>
      </c>
      <c r="Q2352" s="4" t="s">
        <v>6121</v>
      </c>
      <c r="R2352" s="4"/>
      <c r="S2352" s="12" t="s">
        <v>5987</v>
      </c>
      <c r="T2352" s="5"/>
      <c r="U2352" s="4"/>
      <c r="V2352" s="11"/>
      <c r="W2352" s="5"/>
      <c r="X2352" s="11"/>
      <c r="Y2352" s="4"/>
      <c r="Z2352" s="5"/>
      <c r="AA2352" s="4"/>
      <c r="AB2352" s="4"/>
      <c r="AC2352" s="4"/>
      <c r="AD2352" s="4"/>
      <c r="AE2352" s="5"/>
      <c r="AF2352" s="5"/>
      <c r="AG2352" s="5"/>
      <c r="AH2352" s="5"/>
      <c r="AI2352" s="5"/>
      <c r="AJ2352" s="5"/>
      <c r="AK2352" s="5"/>
      <c r="AL2352" s="5"/>
    </row>
    <row r="2353">
      <c r="A2353" s="4" t="str">
        <f>VLOOKUP(L2353,payment_ids!C:D,2,FALSE)</f>
        <v>pay_HH0aex0RwXj2hG</v>
      </c>
      <c r="B2353" s="4"/>
      <c r="C2353" s="4" t="s">
        <v>5984</v>
      </c>
      <c r="D2353" s="4">
        <v>50076.0</v>
      </c>
      <c r="E2353" s="5"/>
      <c r="F2353" s="4">
        <v>1.0</v>
      </c>
      <c r="G2353" s="4">
        <v>199.0</v>
      </c>
      <c r="H2353" s="4"/>
      <c r="I2353" s="4">
        <v>199.0</v>
      </c>
      <c r="J2353" s="4" t="s">
        <v>6122</v>
      </c>
      <c r="K2353" s="5">
        <f>+919129198401</f>
        <v>919129198401</v>
      </c>
      <c r="L2353" s="4" t="str">
        <f t="shared" si="1"/>
        <v>sama.zafarrizvi91@gmail.com919129198401</v>
      </c>
      <c r="M2353" s="10" t="s">
        <v>67</v>
      </c>
      <c r="N2353" s="4" t="b">
        <v>0</v>
      </c>
      <c r="O2353" s="4" t="str">
        <f>VLOOKUP(A2353,payment_ids!D:E,2,FALSE)</f>
        <v>upi</v>
      </c>
      <c r="P2353" s="4" t="s">
        <v>69</v>
      </c>
      <c r="Q2353" s="4" t="s">
        <v>3125</v>
      </c>
      <c r="R2353" s="4"/>
      <c r="S2353" s="12" t="s">
        <v>5987</v>
      </c>
      <c r="T2353" s="5"/>
      <c r="U2353" s="4"/>
      <c r="V2353" s="11"/>
      <c r="W2353" s="5"/>
      <c r="X2353" s="11"/>
      <c r="Y2353" s="4"/>
      <c r="Z2353" s="5"/>
      <c r="AA2353" s="4"/>
      <c r="AB2353" s="4"/>
      <c r="AC2353" s="4"/>
      <c r="AD2353" s="4"/>
      <c r="AE2353" s="5"/>
      <c r="AF2353" s="5"/>
      <c r="AG2353" s="5"/>
      <c r="AH2353" s="5"/>
      <c r="AI2353" s="5"/>
      <c r="AJ2353" s="5"/>
      <c r="AK2353" s="5"/>
      <c r="AL2353" s="5"/>
    </row>
    <row r="2354">
      <c r="A2354" s="4" t="str">
        <f>VLOOKUP(L2354,payment_ids!C:D,2,FALSE)</f>
        <v>pay_HH1PlitcATaUkq</v>
      </c>
      <c r="B2354" s="4"/>
      <c r="C2354" s="4" t="s">
        <v>5984</v>
      </c>
      <c r="D2354" s="4">
        <v>50076.0</v>
      </c>
      <c r="E2354" s="5"/>
      <c r="F2354" s="4">
        <v>1.0</v>
      </c>
      <c r="G2354" s="4">
        <v>199.0</v>
      </c>
      <c r="H2354" s="4"/>
      <c r="I2354" s="4">
        <v>199.0</v>
      </c>
      <c r="J2354" s="4" t="s">
        <v>6123</v>
      </c>
      <c r="K2354" s="5">
        <f>+919767163150</f>
        <v>919767163150</v>
      </c>
      <c r="L2354" s="4" t="str">
        <f t="shared" si="1"/>
        <v>yash.sanjay.raghuwanshi@gmail.com919767163150</v>
      </c>
      <c r="M2354" s="10" t="s">
        <v>67</v>
      </c>
      <c r="N2354" s="4" t="b">
        <v>0</v>
      </c>
      <c r="O2354" s="4" t="str">
        <f>VLOOKUP(A2354,payment_ids!D:E,2,FALSE)</f>
        <v>upi</v>
      </c>
      <c r="P2354" s="4" t="s">
        <v>69</v>
      </c>
      <c r="Q2354" s="4" t="s">
        <v>6124</v>
      </c>
      <c r="R2354" s="4"/>
      <c r="S2354" s="12" t="s">
        <v>5987</v>
      </c>
      <c r="T2354" s="5"/>
      <c r="U2354" s="4"/>
      <c r="V2354" s="11"/>
      <c r="W2354" s="5"/>
      <c r="X2354" s="11"/>
      <c r="Y2354" s="4"/>
      <c r="Z2354" s="5"/>
      <c r="AA2354" s="4"/>
      <c r="AB2354" s="4"/>
      <c r="AC2354" s="4"/>
      <c r="AD2354" s="4"/>
      <c r="AE2354" s="5"/>
      <c r="AF2354" s="5"/>
      <c r="AG2354" s="5"/>
      <c r="AH2354" s="5"/>
      <c r="AI2354" s="5"/>
      <c r="AJ2354" s="5"/>
      <c r="AK2354" s="5"/>
      <c r="AL2354" s="5"/>
    </row>
    <row r="2355">
      <c r="A2355" s="4" t="str">
        <f>VLOOKUP(L2355,payment_ids!C:D,2,FALSE)</f>
        <v>pay_HH5maGfwKIVuLt</v>
      </c>
      <c r="B2355" s="4"/>
      <c r="C2355" s="4" t="s">
        <v>5984</v>
      </c>
      <c r="D2355" s="4">
        <v>50076.0</v>
      </c>
      <c r="E2355" s="5"/>
      <c r="F2355" s="4">
        <v>3.0</v>
      </c>
      <c r="G2355" s="4">
        <v>349.0</v>
      </c>
      <c r="H2355" s="4"/>
      <c r="I2355" s="4">
        <v>349.0</v>
      </c>
      <c r="J2355" s="4" t="s">
        <v>6125</v>
      </c>
      <c r="K2355" s="5">
        <f>+917012771763</f>
        <v>917012771763</v>
      </c>
      <c r="L2355" s="4" t="str">
        <f t="shared" si="1"/>
        <v>pavan.p.sai@gmail.com917012771763</v>
      </c>
      <c r="M2355" s="10" t="s">
        <v>67</v>
      </c>
      <c r="N2355" s="4" t="b">
        <v>0</v>
      </c>
      <c r="O2355" s="4" t="str">
        <f>VLOOKUP(A2355,payment_ids!D:E,2,FALSE)</f>
        <v>upi</v>
      </c>
      <c r="P2355" s="4" t="s">
        <v>69</v>
      </c>
      <c r="Q2355" s="4" t="s">
        <v>6126</v>
      </c>
      <c r="R2355" s="4"/>
      <c r="S2355" s="12" t="s">
        <v>5987</v>
      </c>
      <c r="T2355" s="5"/>
      <c r="U2355" s="4"/>
      <c r="V2355" s="11"/>
      <c r="W2355" s="5"/>
      <c r="X2355" s="11"/>
      <c r="Y2355" s="4"/>
      <c r="Z2355" s="5"/>
      <c r="AA2355" s="4"/>
      <c r="AB2355" s="4"/>
      <c r="AC2355" s="4"/>
      <c r="AD2355" s="4"/>
      <c r="AE2355" s="5"/>
      <c r="AF2355" s="5"/>
      <c r="AG2355" s="5"/>
      <c r="AH2355" s="5"/>
      <c r="AI2355" s="5"/>
      <c r="AJ2355" s="5"/>
      <c r="AK2355" s="5"/>
      <c r="AL2355" s="5"/>
    </row>
    <row r="2356">
      <c r="A2356" s="4" t="str">
        <f>VLOOKUP(L2356,payment_ids!C:D,2,FALSE)</f>
        <v>pay_HH7ICRNRTRaykR</v>
      </c>
      <c r="B2356" s="4"/>
      <c r="C2356" s="4" t="s">
        <v>5984</v>
      </c>
      <c r="D2356" s="4">
        <v>50076.0</v>
      </c>
      <c r="E2356" s="5"/>
      <c r="F2356" s="4">
        <v>1.0</v>
      </c>
      <c r="G2356" s="4">
        <v>199.0</v>
      </c>
      <c r="H2356" s="4"/>
      <c r="I2356" s="4">
        <v>199.0</v>
      </c>
      <c r="J2356" s="4" t="s">
        <v>6127</v>
      </c>
      <c r="K2356" s="5">
        <f>+919867587387</f>
        <v>919867587387</v>
      </c>
      <c r="L2356" s="4" t="str">
        <f t="shared" si="1"/>
        <v>darpanjoshi263@gmail.com919867587387</v>
      </c>
      <c r="M2356" s="10" t="s">
        <v>67</v>
      </c>
      <c r="N2356" s="4" t="b">
        <v>0</v>
      </c>
      <c r="O2356" s="4" t="str">
        <f>VLOOKUP(A2356,payment_ids!D:E,2,FALSE)</f>
        <v>upi</v>
      </c>
      <c r="P2356" s="4" t="s">
        <v>69</v>
      </c>
      <c r="Q2356" s="4" t="s">
        <v>6128</v>
      </c>
      <c r="R2356" s="4"/>
      <c r="S2356" s="12" t="s">
        <v>5987</v>
      </c>
      <c r="T2356" s="5"/>
      <c r="U2356" s="4"/>
      <c r="V2356" s="11"/>
      <c r="W2356" s="5"/>
      <c r="X2356" s="11"/>
      <c r="Y2356" s="4"/>
      <c r="Z2356" s="5"/>
      <c r="AA2356" s="4"/>
      <c r="AB2356" s="4"/>
      <c r="AC2356" s="4"/>
      <c r="AD2356" s="4"/>
      <c r="AE2356" s="5"/>
      <c r="AF2356" s="5"/>
      <c r="AG2356" s="5"/>
      <c r="AH2356" s="5"/>
      <c r="AI2356" s="5"/>
      <c r="AJ2356" s="5"/>
      <c r="AK2356" s="5"/>
      <c r="AL2356" s="5"/>
    </row>
    <row r="2357">
      <c r="A2357" s="4" t="str">
        <f>VLOOKUP(L2357,payment_ids!C:D,2,FALSE)</f>
        <v>pay_H8jdHi3JzsqJSb</v>
      </c>
      <c r="B2357" s="4"/>
      <c r="C2357" s="4" t="s">
        <v>5984</v>
      </c>
      <c r="D2357" s="4">
        <v>50076.0</v>
      </c>
      <c r="E2357" s="5"/>
      <c r="F2357" s="4">
        <v>1.0</v>
      </c>
      <c r="G2357" s="4">
        <v>199.0</v>
      </c>
      <c r="H2357" s="4"/>
      <c r="I2357" s="4">
        <v>199.0</v>
      </c>
      <c r="J2357" s="4" t="s">
        <v>431</v>
      </c>
      <c r="K2357" s="5">
        <f>+919912636113</f>
        <v>919912636113</v>
      </c>
      <c r="L2357" s="4" t="str">
        <f t="shared" si="1"/>
        <v>lakshmimadeti23@gmail.com919912636113</v>
      </c>
      <c r="M2357" s="10" t="s">
        <v>67</v>
      </c>
      <c r="N2357" s="4" t="b">
        <v>0</v>
      </c>
      <c r="O2357" s="4" t="str">
        <f>VLOOKUP(A2357,payment_ids!D:E,2,FALSE)</f>
        <v>upi</v>
      </c>
      <c r="P2357" s="4" t="s">
        <v>69</v>
      </c>
      <c r="Q2357" s="4" t="s">
        <v>6129</v>
      </c>
      <c r="R2357" s="4"/>
      <c r="S2357" s="12" t="s">
        <v>5987</v>
      </c>
      <c r="T2357" s="5"/>
      <c r="U2357" s="4"/>
      <c r="V2357" s="11"/>
      <c r="W2357" s="5"/>
      <c r="X2357" s="11"/>
      <c r="Y2357" s="4"/>
      <c r="Z2357" s="5"/>
      <c r="AA2357" s="4"/>
      <c r="AB2357" s="4"/>
      <c r="AC2357" s="4"/>
      <c r="AD2357" s="4"/>
      <c r="AE2357" s="5"/>
      <c r="AF2357" s="5"/>
      <c r="AG2357" s="5"/>
      <c r="AH2357" s="5"/>
      <c r="AI2357" s="5"/>
      <c r="AJ2357" s="5"/>
      <c r="AK2357" s="5"/>
      <c r="AL2357" s="5"/>
    </row>
    <row r="2358">
      <c r="A2358" s="4" t="str">
        <f>VLOOKUP(L2358,payment_ids!C:D,2,FALSE)</f>
        <v>pay_HGYhC1GGUQUCVY</v>
      </c>
      <c r="B2358" s="4"/>
      <c r="C2358" s="4" t="s">
        <v>5984</v>
      </c>
      <c r="D2358" s="4">
        <v>50076.0</v>
      </c>
      <c r="E2358" s="5"/>
      <c r="F2358" s="4">
        <v>1.0</v>
      </c>
      <c r="G2358" s="4">
        <v>199.0</v>
      </c>
      <c r="H2358" s="4"/>
      <c r="I2358" s="4">
        <v>199.0</v>
      </c>
      <c r="J2358" s="4" t="s">
        <v>6130</v>
      </c>
      <c r="K2358" s="5">
        <f>+919566909115</f>
        <v>919566909115</v>
      </c>
      <c r="L2358" s="4" t="str">
        <f t="shared" si="1"/>
        <v>prasannasg2691@gmail.com919566909115</v>
      </c>
      <c r="M2358" s="10" t="s">
        <v>67</v>
      </c>
      <c r="N2358" s="4" t="b">
        <v>0</v>
      </c>
      <c r="O2358" s="4" t="str">
        <f>VLOOKUP(A2358,payment_ids!D:E,2,FALSE)</f>
        <v>card</v>
      </c>
      <c r="P2358" s="4" t="s">
        <v>69</v>
      </c>
      <c r="Q2358" s="4" t="s">
        <v>6131</v>
      </c>
      <c r="R2358" s="4"/>
      <c r="S2358" s="12" t="s">
        <v>5987</v>
      </c>
      <c r="T2358" s="5"/>
      <c r="U2358" s="5"/>
      <c r="V2358" s="11"/>
      <c r="W2358" s="5"/>
      <c r="X2358" s="11"/>
      <c r="Y2358" s="4"/>
      <c r="Z2358" s="5"/>
      <c r="AA2358" s="5"/>
      <c r="AB2358" s="4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</row>
    <row r="2359">
      <c r="A2359" s="4" t="str">
        <f>VLOOKUP(L2359,payment_ids!C:D,2,FALSE)</f>
        <v>pay_HHFmZKRL24o6lG</v>
      </c>
      <c r="B2359" s="4"/>
      <c r="C2359" s="4" t="s">
        <v>5984</v>
      </c>
      <c r="D2359" s="4">
        <v>50076.0</v>
      </c>
      <c r="E2359" s="5"/>
      <c r="F2359" s="4">
        <v>1.0</v>
      </c>
      <c r="G2359" s="4">
        <v>199.0</v>
      </c>
      <c r="H2359" s="4"/>
      <c r="I2359" s="4">
        <v>199.0</v>
      </c>
      <c r="J2359" s="4" t="s">
        <v>6132</v>
      </c>
      <c r="K2359" s="5">
        <f>+919327210002</f>
        <v>919327210002</v>
      </c>
      <c r="L2359" s="4" t="str">
        <f t="shared" si="1"/>
        <v>rtdodhiawala@gmail.com919327210002</v>
      </c>
      <c r="M2359" s="10" t="s">
        <v>67</v>
      </c>
      <c r="N2359" s="4" t="b">
        <v>0</v>
      </c>
      <c r="O2359" s="4" t="str">
        <f>VLOOKUP(A2359,payment_ids!D:E,2,FALSE)</f>
        <v>card</v>
      </c>
      <c r="P2359" s="4" t="s">
        <v>69</v>
      </c>
      <c r="Q2359" s="4" t="s">
        <v>6133</v>
      </c>
      <c r="R2359" s="4"/>
      <c r="S2359" s="12" t="s">
        <v>5987</v>
      </c>
      <c r="T2359" s="5"/>
      <c r="U2359" s="4"/>
      <c r="V2359" s="11"/>
      <c r="W2359" s="5"/>
      <c r="X2359" s="11"/>
      <c r="Y2359" s="4"/>
      <c r="Z2359" s="5"/>
      <c r="AA2359" s="4"/>
      <c r="AB2359" s="4"/>
      <c r="AC2359" s="4"/>
      <c r="AD2359" s="4"/>
      <c r="AE2359" s="5"/>
      <c r="AF2359" s="5"/>
      <c r="AG2359" s="5"/>
      <c r="AH2359" s="5"/>
      <c r="AI2359" s="5"/>
      <c r="AJ2359" s="5"/>
      <c r="AK2359" s="5"/>
      <c r="AL2359" s="5"/>
    </row>
    <row r="2360">
      <c r="A2360" s="4" t="str">
        <f>VLOOKUP(L2360,payment_ids!C:D,2,FALSE)</f>
        <v>pay_HHGzj8YffbtC2Y</v>
      </c>
      <c r="B2360" s="4"/>
      <c r="C2360" s="4" t="s">
        <v>5984</v>
      </c>
      <c r="D2360" s="4">
        <v>50076.0</v>
      </c>
      <c r="E2360" s="5"/>
      <c r="F2360" s="4">
        <v>1.0</v>
      </c>
      <c r="G2360" s="4">
        <v>199.0</v>
      </c>
      <c r="H2360" s="4"/>
      <c r="I2360" s="4">
        <v>199.0</v>
      </c>
      <c r="J2360" s="4" t="s">
        <v>6134</v>
      </c>
      <c r="K2360" s="5">
        <f>+919811848470</f>
        <v>919811848470</v>
      </c>
      <c r="L2360" s="4" t="str">
        <f t="shared" si="1"/>
        <v>shrutigupta2912@gmail.com919811848470</v>
      </c>
      <c r="M2360" s="10" t="s">
        <v>67</v>
      </c>
      <c r="N2360" s="4" t="b">
        <v>0</v>
      </c>
      <c r="O2360" s="4" t="str">
        <f>VLOOKUP(A2360,payment_ids!D:E,2,FALSE)</f>
        <v>wallet</v>
      </c>
      <c r="P2360" s="4" t="s">
        <v>69</v>
      </c>
      <c r="Q2360" s="4" t="s">
        <v>6135</v>
      </c>
      <c r="R2360" s="4"/>
      <c r="S2360" s="12" t="s">
        <v>5987</v>
      </c>
      <c r="T2360" s="5"/>
      <c r="U2360" s="5"/>
      <c r="V2360" s="11"/>
      <c r="W2360" s="5"/>
      <c r="X2360" s="11"/>
      <c r="Y2360" s="4"/>
      <c r="Z2360" s="5"/>
      <c r="AA2360" s="5"/>
      <c r="AB2360" s="4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</row>
    <row r="2361">
      <c r="A2361" s="4" t="str">
        <f>VLOOKUP(L2361,payment_ids!C:D,2,FALSE)</f>
        <v>pay_HHRArJ4nzzBPmT</v>
      </c>
      <c r="B2361" s="4"/>
      <c r="C2361" s="4" t="s">
        <v>5984</v>
      </c>
      <c r="D2361" s="4">
        <v>50076.0</v>
      </c>
      <c r="E2361" s="5"/>
      <c r="F2361" s="4">
        <v>1.0</v>
      </c>
      <c r="G2361" s="4">
        <v>199.0</v>
      </c>
      <c r="H2361" s="4"/>
      <c r="I2361" s="4">
        <v>199.0</v>
      </c>
      <c r="J2361" s="4" t="s">
        <v>6136</v>
      </c>
      <c r="K2361" s="5">
        <f>+919899808957</f>
        <v>919899808957</v>
      </c>
      <c r="L2361" s="4" t="str">
        <f t="shared" si="1"/>
        <v>mannu.mk37@gmail.com919899808957</v>
      </c>
      <c r="M2361" s="10" t="s">
        <v>67</v>
      </c>
      <c r="N2361" s="4" t="b">
        <v>0</v>
      </c>
      <c r="O2361" s="4" t="str">
        <f>VLOOKUP(A2361,payment_ids!D:E,2,FALSE)</f>
        <v>upi</v>
      </c>
      <c r="P2361" s="4" t="s">
        <v>69</v>
      </c>
      <c r="Q2361" s="4" t="s">
        <v>6137</v>
      </c>
      <c r="R2361" s="4"/>
      <c r="S2361" s="12" t="s">
        <v>5987</v>
      </c>
      <c r="T2361" s="5"/>
      <c r="U2361" s="4"/>
      <c r="V2361" s="11"/>
      <c r="W2361" s="5"/>
      <c r="X2361" s="11"/>
      <c r="Y2361" s="4"/>
      <c r="Z2361" s="5"/>
      <c r="AA2361" s="4"/>
      <c r="AB2361" s="4"/>
      <c r="AC2361" s="4"/>
      <c r="AD2361" s="4"/>
      <c r="AE2361" s="5"/>
      <c r="AF2361" s="5"/>
      <c r="AG2361" s="5"/>
      <c r="AH2361" s="5"/>
      <c r="AI2361" s="5"/>
      <c r="AJ2361" s="5"/>
      <c r="AK2361" s="5"/>
      <c r="AL2361" s="5"/>
    </row>
    <row r="2362">
      <c r="A2362" s="4" t="str">
        <f>VLOOKUP(L2362,payment_ids!C:D,2,FALSE)</f>
        <v>pay_HHVqNidjio2MbZ</v>
      </c>
      <c r="B2362" s="4"/>
      <c r="C2362" s="4" t="s">
        <v>5984</v>
      </c>
      <c r="D2362" s="4">
        <v>50076.0</v>
      </c>
      <c r="E2362" s="5"/>
      <c r="F2362" s="4">
        <v>1.0</v>
      </c>
      <c r="G2362" s="4">
        <v>199.0</v>
      </c>
      <c r="H2362" s="4"/>
      <c r="I2362" s="4">
        <v>199.0</v>
      </c>
      <c r="J2362" s="4" t="s">
        <v>6138</v>
      </c>
      <c r="K2362" s="5">
        <f>+917097515477</f>
        <v>917097515477</v>
      </c>
      <c r="L2362" s="4" t="str">
        <f t="shared" si="1"/>
        <v>sabeenfatima1805@gmail.com917097515477</v>
      </c>
      <c r="M2362" s="10" t="s">
        <v>67</v>
      </c>
      <c r="N2362" s="4" t="b">
        <v>0</v>
      </c>
      <c r="O2362" s="4" t="str">
        <f>VLOOKUP(A2362,payment_ids!D:E,2,FALSE)</f>
        <v>upi</v>
      </c>
      <c r="P2362" s="4" t="s">
        <v>69</v>
      </c>
      <c r="Q2362" s="11">
        <v>44202.03472222222</v>
      </c>
      <c r="R2362" s="4"/>
      <c r="S2362" s="12" t="s">
        <v>5987</v>
      </c>
      <c r="T2362" s="5"/>
      <c r="U2362" s="4"/>
      <c r="V2362" s="11"/>
      <c r="W2362" s="5"/>
      <c r="X2362" s="11"/>
      <c r="Y2362" s="4"/>
      <c r="Z2362" s="5"/>
      <c r="AA2362" s="4"/>
      <c r="AB2362" s="4"/>
      <c r="AC2362" s="4"/>
      <c r="AD2362" s="4"/>
      <c r="AE2362" s="5"/>
      <c r="AF2362" s="5"/>
      <c r="AG2362" s="5"/>
      <c r="AH2362" s="5"/>
      <c r="AI2362" s="5"/>
      <c r="AJ2362" s="5"/>
      <c r="AK2362" s="5"/>
      <c r="AL2362" s="5"/>
    </row>
    <row r="2363">
      <c r="A2363" s="4" t="str">
        <f>VLOOKUP(L2363,payment_ids!C:D,2,FALSE)</f>
        <v>pay_HHboH5CARB37EP</v>
      </c>
      <c r="B2363" s="4"/>
      <c r="C2363" s="4" t="s">
        <v>5984</v>
      </c>
      <c r="D2363" s="4">
        <v>50076.0</v>
      </c>
      <c r="E2363" s="5"/>
      <c r="F2363" s="4">
        <v>1.0</v>
      </c>
      <c r="G2363" s="4">
        <v>199.0</v>
      </c>
      <c r="H2363" s="4"/>
      <c r="I2363" s="4">
        <v>199.0</v>
      </c>
      <c r="J2363" s="4" t="s">
        <v>6139</v>
      </c>
      <c r="K2363" s="5">
        <f>+918630094952</f>
        <v>918630094952</v>
      </c>
      <c r="L2363" s="4" t="str">
        <f t="shared" si="1"/>
        <v>100tusharanand@gmail.com918630094952</v>
      </c>
      <c r="M2363" s="10" t="s">
        <v>67</v>
      </c>
      <c r="N2363" s="4" t="b">
        <v>0</v>
      </c>
      <c r="O2363" s="4" t="str">
        <f>VLOOKUP(A2363,payment_ids!D:E,2,FALSE)</f>
        <v>upi</v>
      </c>
      <c r="P2363" s="4" t="s">
        <v>69</v>
      </c>
      <c r="Q2363" s="11">
        <v>44202.28125</v>
      </c>
      <c r="R2363" s="4"/>
      <c r="S2363" s="12" t="s">
        <v>5987</v>
      </c>
      <c r="T2363" s="5"/>
      <c r="U2363" s="4"/>
      <c r="V2363" s="11"/>
      <c r="W2363" s="5"/>
      <c r="X2363" s="11"/>
      <c r="Y2363" s="4"/>
      <c r="Z2363" s="5"/>
      <c r="AA2363" s="4"/>
      <c r="AB2363" s="4"/>
      <c r="AC2363" s="4"/>
      <c r="AD2363" s="4"/>
      <c r="AE2363" s="5"/>
      <c r="AF2363" s="5"/>
      <c r="AG2363" s="5"/>
      <c r="AH2363" s="5"/>
      <c r="AI2363" s="5"/>
      <c r="AJ2363" s="5"/>
      <c r="AK2363" s="5"/>
      <c r="AL2363" s="5"/>
    </row>
    <row r="2364">
      <c r="A2364" s="4" t="str">
        <f>VLOOKUP(L2364,payment_ids!C:D,2,FALSE)</f>
        <v>pay_HHf002yvBLBsC6</v>
      </c>
      <c r="B2364" s="4"/>
      <c r="C2364" s="4" t="s">
        <v>5984</v>
      </c>
      <c r="D2364" s="4">
        <v>50076.0</v>
      </c>
      <c r="E2364" s="5"/>
      <c r="F2364" s="4">
        <v>1.0</v>
      </c>
      <c r="G2364" s="4">
        <v>199.0</v>
      </c>
      <c r="H2364" s="4"/>
      <c r="I2364" s="4">
        <v>199.0</v>
      </c>
      <c r="J2364" s="4" t="s">
        <v>6140</v>
      </c>
      <c r="K2364" s="5">
        <f>+919007981333</f>
        <v>919007981333</v>
      </c>
      <c r="L2364" s="4" t="str">
        <f t="shared" si="1"/>
        <v>mushrifk76@gmail.com919007981333</v>
      </c>
      <c r="M2364" s="10" t="s">
        <v>67</v>
      </c>
      <c r="N2364" s="4" t="b">
        <v>0</v>
      </c>
      <c r="O2364" s="4" t="str">
        <f>VLOOKUP(A2364,payment_ids!D:E,2,FALSE)</f>
        <v>upi</v>
      </c>
      <c r="P2364" s="4" t="s">
        <v>69</v>
      </c>
      <c r="Q2364" s="11">
        <v>44202.40833333333</v>
      </c>
      <c r="R2364" s="4"/>
      <c r="S2364" s="12" t="s">
        <v>5987</v>
      </c>
      <c r="T2364" s="5"/>
      <c r="U2364" s="4"/>
      <c r="V2364" s="11"/>
      <c r="W2364" s="5"/>
      <c r="X2364" s="11"/>
      <c r="Y2364" s="4"/>
      <c r="Z2364" s="5"/>
      <c r="AA2364" s="4"/>
      <c r="AB2364" s="4"/>
      <c r="AC2364" s="4"/>
      <c r="AD2364" s="4"/>
      <c r="AE2364" s="5"/>
      <c r="AF2364" s="5"/>
      <c r="AG2364" s="5"/>
      <c r="AH2364" s="5"/>
      <c r="AI2364" s="5"/>
      <c r="AJ2364" s="5"/>
      <c r="AK2364" s="5"/>
      <c r="AL2364" s="5"/>
    </row>
    <row r="2365">
      <c r="A2365" s="4" t="str">
        <f>VLOOKUP(L2365,payment_ids!C:D,2,FALSE)</f>
        <v>pay_HHkcZCkyyBBCjm</v>
      </c>
      <c r="B2365" s="4"/>
      <c r="C2365" s="4" t="s">
        <v>5984</v>
      </c>
      <c r="D2365" s="4">
        <v>50076.0</v>
      </c>
      <c r="E2365" s="5"/>
      <c r="F2365" s="4">
        <v>1.0</v>
      </c>
      <c r="G2365" s="4">
        <v>199.0</v>
      </c>
      <c r="H2365" s="4"/>
      <c r="I2365" s="4">
        <v>199.0</v>
      </c>
      <c r="J2365" s="4" t="s">
        <v>6141</v>
      </c>
      <c r="K2365" s="5">
        <f>+919632661017</f>
        <v>919632661017</v>
      </c>
      <c r="L2365" s="4" t="str">
        <f t="shared" si="1"/>
        <v>jagadhishmcom@gmail.com919632661017</v>
      </c>
      <c r="M2365" s="10" t="s">
        <v>67</v>
      </c>
      <c r="N2365" s="4" t="b">
        <v>0</v>
      </c>
      <c r="O2365" s="4" t="str">
        <f>VLOOKUP(A2365,payment_ids!D:E,2,FALSE)</f>
        <v>upi</v>
      </c>
      <c r="P2365" s="4" t="s">
        <v>69</v>
      </c>
      <c r="Q2365" s="11">
        <v>44202.63680555556</v>
      </c>
      <c r="R2365" s="4"/>
      <c r="S2365" s="12" t="s">
        <v>5987</v>
      </c>
      <c r="T2365" s="5"/>
      <c r="U2365" s="4"/>
      <c r="V2365" s="11"/>
      <c r="W2365" s="5"/>
      <c r="X2365" s="11"/>
      <c r="Y2365" s="4"/>
      <c r="Z2365" s="5"/>
      <c r="AA2365" s="4"/>
      <c r="AB2365" s="4"/>
      <c r="AC2365" s="4"/>
      <c r="AD2365" s="4"/>
      <c r="AE2365" s="5"/>
      <c r="AF2365" s="5"/>
      <c r="AG2365" s="5"/>
      <c r="AH2365" s="5"/>
      <c r="AI2365" s="5"/>
      <c r="AJ2365" s="5"/>
      <c r="AK2365" s="5"/>
      <c r="AL2365" s="5"/>
    </row>
    <row r="2366">
      <c r="A2366" s="4" t="str">
        <f>VLOOKUP(L2366,payment_ids!C:D,2,FALSE)</f>
        <v>pay_HHtcnAqPnFLWBS</v>
      </c>
      <c r="B2366" s="4"/>
      <c r="C2366" s="4" t="s">
        <v>5984</v>
      </c>
      <c r="D2366" s="4">
        <v>50076.0</v>
      </c>
      <c r="E2366" s="5"/>
      <c r="F2366" s="4">
        <v>1.0</v>
      </c>
      <c r="G2366" s="4">
        <v>199.0</v>
      </c>
      <c r="H2366" s="4"/>
      <c r="I2366" s="4">
        <v>199.0</v>
      </c>
      <c r="J2366" s="4" t="s">
        <v>6142</v>
      </c>
      <c r="K2366" s="5">
        <f>+919940966439</f>
        <v>919940966439</v>
      </c>
      <c r="L2366" s="4" t="str">
        <f t="shared" si="1"/>
        <v>anandvis@live.com919940966439</v>
      </c>
      <c r="M2366" s="10" t="s">
        <v>67</v>
      </c>
      <c r="N2366" s="4" t="b">
        <v>0</v>
      </c>
      <c r="O2366" s="4" t="str">
        <f>VLOOKUP(A2366,payment_ids!D:E,2,FALSE)</f>
        <v>upi</v>
      </c>
      <c r="P2366" s="4" t="s">
        <v>69</v>
      </c>
      <c r="Q2366" s="11">
        <v>44233.004166666666</v>
      </c>
      <c r="R2366" s="4"/>
      <c r="S2366" s="12" t="s">
        <v>5987</v>
      </c>
      <c r="T2366" s="5"/>
      <c r="U2366" s="4"/>
      <c r="V2366" s="11"/>
      <c r="W2366" s="5"/>
      <c r="X2366" s="11"/>
      <c r="Y2366" s="4"/>
      <c r="Z2366" s="5"/>
      <c r="AA2366" s="4"/>
      <c r="AB2366" s="4"/>
      <c r="AC2366" s="4"/>
      <c r="AD2366" s="4"/>
      <c r="AE2366" s="5"/>
      <c r="AF2366" s="5"/>
      <c r="AG2366" s="5"/>
      <c r="AH2366" s="5"/>
      <c r="AI2366" s="5"/>
      <c r="AJ2366" s="5"/>
      <c r="AK2366" s="5"/>
      <c r="AL2366" s="5"/>
    </row>
    <row r="2367">
      <c r="A2367" s="4" t="str">
        <f>VLOOKUP(L2367,payment_ids!C:D,2,FALSE)</f>
        <v>pay_HHzvF0gzMRIOQA</v>
      </c>
      <c r="B2367" s="4"/>
      <c r="C2367" s="4" t="s">
        <v>5984</v>
      </c>
      <c r="D2367" s="4">
        <v>50076.0</v>
      </c>
      <c r="E2367" s="5"/>
      <c r="F2367" s="4">
        <v>1.0</v>
      </c>
      <c r="G2367" s="4">
        <v>199.0</v>
      </c>
      <c r="H2367" s="4"/>
      <c r="I2367" s="4">
        <v>199.0</v>
      </c>
      <c r="J2367" s="4" t="s">
        <v>6143</v>
      </c>
      <c r="K2367" s="5">
        <f>+919738382026</f>
        <v>919738382026</v>
      </c>
      <c r="L2367" s="4" t="str">
        <f t="shared" si="1"/>
        <v>gr8arvind44999@gmail.com919738382026</v>
      </c>
      <c r="M2367" s="10" t="s">
        <v>67</v>
      </c>
      <c r="N2367" s="4" t="b">
        <v>0</v>
      </c>
      <c r="O2367" s="4" t="str">
        <f>VLOOKUP(A2367,payment_ids!D:E,2,FALSE)</f>
        <v>upi</v>
      </c>
      <c r="P2367" s="4" t="s">
        <v>69</v>
      </c>
      <c r="Q2367" s="11">
        <v>44233.26111111111</v>
      </c>
      <c r="R2367" s="4"/>
      <c r="S2367" s="12" t="s">
        <v>5987</v>
      </c>
      <c r="T2367" s="5"/>
      <c r="U2367" s="4"/>
      <c r="V2367" s="11"/>
      <c r="W2367" s="5"/>
      <c r="X2367" s="11"/>
      <c r="Y2367" s="4"/>
      <c r="Z2367" s="5"/>
      <c r="AA2367" s="4"/>
      <c r="AB2367" s="4"/>
      <c r="AC2367" s="4"/>
      <c r="AD2367" s="4"/>
      <c r="AE2367" s="5"/>
      <c r="AF2367" s="5"/>
      <c r="AG2367" s="5"/>
      <c r="AH2367" s="5"/>
      <c r="AI2367" s="5"/>
      <c r="AJ2367" s="5"/>
      <c r="AK2367" s="5"/>
      <c r="AL2367" s="5"/>
    </row>
    <row r="2368">
      <c r="A2368" s="4" t="str">
        <f>VLOOKUP(L2368,payment_ids!C:D,2,FALSE)</f>
        <v>pay_HI3kYycB1rSZZ2</v>
      </c>
      <c r="B2368" s="4"/>
      <c r="C2368" s="4" t="s">
        <v>5984</v>
      </c>
      <c r="D2368" s="4">
        <v>50076.0</v>
      </c>
      <c r="E2368" s="5"/>
      <c r="F2368" s="4">
        <v>1.0</v>
      </c>
      <c r="G2368" s="4">
        <v>199.0</v>
      </c>
      <c r="H2368" s="4"/>
      <c r="I2368" s="4">
        <v>199.0</v>
      </c>
      <c r="J2368" s="4" t="s">
        <v>6144</v>
      </c>
      <c r="K2368" s="5">
        <f>+919950709710</f>
        <v>919950709710</v>
      </c>
      <c r="L2368" s="4" t="str">
        <f t="shared" si="1"/>
        <v>drsachinsharma1234.ss@gmail.com919950709710</v>
      </c>
      <c r="M2368" s="10" t="s">
        <v>67</v>
      </c>
      <c r="N2368" s="4" t="b">
        <v>0</v>
      </c>
      <c r="O2368" s="4" t="str">
        <f>VLOOKUP(A2368,payment_ids!D:E,2,FALSE)</f>
        <v>upi</v>
      </c>
      <c r="P2368" s="4" t="s">
        <v>69</v>
      </c>
      <c r="Q2368" s="11">
        <v>44233.416666666664</v>
      </c>
      <c r="R2368" s="4"/>
      <c r="S2368" s="12" t="s">
        <v>5987</v>
      </c>
      <c r="T2368" s="5"/>
      <c r="U2368" s="4"/>
      <c r="V2368" s="11"/>
      <c r="W2368" s="5"/>
      <c r="X2368" s="11"/>
      <c r="Y2368" s="4"/>
      <c r="Z2368" s="5"/>
      <c r="AA2368" s="4"/>
      <c r="AB2368" s="4"/>
      <c r="AC2368" s="4"/>
      <c r="AD2368" s="4"/>
      <c r="AE2368" s="5"/>
      <c r="AF2368" s="5"/>
      <c r="AG2368" s="5"/>
      <c r="AH2368" s="5"/>
      <c r="AI2368" s="5"/>
      <c r="AJ2368" s="5"/>
      <c r="AK2368" s="5"/>
      <c r="AL2368" s="5"/>
    </row>
    <row r="2369">
      <c r="A2369" s="4" t="str">
        <f>VLOOKUP(L2369,payment_ids!C:D,2,FALSE)</f>
        <v>pay_HI4Fz4wSbnK9j9</v>
      </c>
      <c r="B2369" s="4"/>
      <c r="C2369" s="4" t="s">
        <v>5984</v>
      </c>
      <c r="D2369" s="4">
        <v>50076.0</v>
      </c>
      <c r="E2369" s="5"/>
      <c r="F2369" s="4">
        <v>1.0</v>
      </c>
      <c r="G2369" s="4">
        <v>199.0</v>
      </c>
      <c r="H2369" s="4"/>
      <c r="I2369" s="4">
        <v>199.0</v>
      </c>
      <c r="J2369" s="4" t="s">
        <v>6145</v>
      </c>
      <c r="K2369" s="5">
        <f>+919636838795</f>
        <v>919636838795</v>
      </c>
      <c r="L2369" s="4" t="str">
        <f t="shared" si="1"/>
        <v>dheerendrapalsinghjadon9889@gamil.com919636838795</v>
      </c>
      <c r="M2369" s="10" t="s">
        <v>67</v>
      </c>
      <c r="N2369" s="4" t="b">
        <v>0</v>
      </c>
      <c r="O2369" s="4" t="str">
        <f>VLOOKUP(A2369,payment_ids!D:E,2,FALSE)</f>
        <v>card</v>
      </c>
      <c r="P2369" s="4" t="s">
        <v>69</v>
      </c>
      <c r="Q2369" s="11">
        <v>44233.441666666666</v>
      </c>
      <c r="R2369" s="4"/>
      <c r="S2369" s="12" t="s">
        <v>5987</v>
      </c>
      <c r="T2369" s="5"/>
      <c r="U2369" s="4"/>
      <c r="V2369" s="11"/>
      <c r="W2369" s="5"/>
      <c r="X2369" s="4"/>
      <c r="Y2369" s="4"/>
      <c r="Z2369" s="5"/>
      <c r="AA2369" s="4"/>
      <c r="AB2369" s="4"/>
      <c r="AC2369" s="4"/>
      <c r="AD2369" s="4"/>
      <c r="AE2369" s="5"/>
      <c r="AF2369" s="5"/>
      <c r="AG2369" s="5"/>
      <c r="AH2369" s="5"/>
      <c r="AI2369" s="5"/>
      <c r="AJ2369" s="5"/>
      <c r="AK2369" s="5"/>
      <c r="AL2369" s="5"/>
    </row>
    <row r="2370">
      <c r="A2370" s="4" t="str">
        <f>VLOOKUP(L2370,payment_ids!C:D,2,FALSE)</f>
        <v>pay_HI6BOR0ivIjuoP</v>
      </c>
      <c r="B2370" s="4"/>
      <c r="C2370" s="4" t="s">
        <v>5984</v>
      </c>
      <c r="D2370" s="4">
        <v>50076.0</v>
      </c>
      <c r="E2370" s="5"/>
      <c r="F2370" s="4">
        <v>6.0</v>
      </c>
      <c r="G2370" s="4">
        <v>599.0</v>
      </c>
      <c r="H2370" s="4"/>
      <c r="I2370" s="4">
        <v>599.0</v>
      </c>
      <c r="J2370" s="4" t="s">
        <v>6146</v>
      </c>
      <c r="K2370" s="5">
        <f>+918240531651</f>
        <v>918240531651</v>
      </c>
      <c r="L2370" s="4" t="str">
        <f t="shared" si="1"/>
        <v>2021arijitdeb@gmail.com918240531651</v>
      </c>
      <c r="M2370" s="10" t="s">
        <v>67</v>
      </c>
      <c r="N2370" s="4" t="b">
        <v>0</v>
      </c>
      <c r="O2370" s="4" t="str">
        <f>VLOOKUP(A2370,payment_ids!D:E,2,FALSE)</f>
        <v>card</v>
      </c>
      <c r="P2370" s="4" t="s">
        <v>69</v>
      </c>
      <c r="Q2370" s="11">
        <v>44233.51597222222</v>
      </c>
      <c r="R2370" s="4"/>
      <c r="S2370" s="12" t="s">
        <v>5987</v>
      </c>
      <c r="T2370" s="5"/>
      <c r="U2370" s="4"/>
      <c r="V2370" s="11"/>
      <c r="W2370" s="5"/>
      <c r="X2370" s="4"/>
      <c r="Y2370" s="4"/>
      <c r="Z2370" s="5"/>
      <c r="AA2370" s="4"/>
      <c r="AB2370" s="4"/>
      <c r="AC2370" s="4"/>
      <c r="AD2370" s="4"/>
      <c r="AE2370" s="5"/>
      <c r="AF2370" s="5"/>
      <c r="AG2370" s="5"/>
      <c r="AH2370" s="5"/>
      <c r="AI2370" s="5"/>
      <c r="AJ2370" s="5"/>
      <c r="AK2370" s="5"/>
      <c r="AL2370" s="5"/>
    </row>
    <row r="2371">
      <c r="A2371" s="4" t="str">
        <f>VLOOKUP(L2371,payment_ids!C:D,2,FALSE)</f>
        <v>pay_HI7aLcInU7z7B7</v>
      </c>
      <c r="B2371" s="4"/>
      <c r="C2371" s="4" t="s">
        <v>5984</v>
      </c>
      <c r="D2371" s="4">
        <v>50076.0</v>
      </c>
      <c r="E2371" s="5"/>
      <c r="F2371" s="4">
        <v>1.0</v>
      </c>
      <c r="G2371" s="4">
        <v>199.0</v>
      </c>
      <c r="H2371" s="4"/>
      <c r="I2371" s="4">
        <v>199.0</v>
      </c>
      <c r="J2371" s="4" t="s">
        <v>6147</v>
      </c>
      <c r="K2371" s="5">
        <f>+918755953014</f>
        <v>918755953014</v>
      </c>
      <c r="L2371" s="4" t="str">
        <f t="shared" si="1"/>
        <v>harshchawla905@gmail.com918755953014</v>
      </c>
      <c r="M2371" s="10" t="s">
        <v>67</v>
      </c>
      <c r="N2371" s="4" t="b">
        <v>0</v>
      </c>
      <c r="O2371" s="4" t="str">
        <f>VLOOKUP(A2371,payment_ids!D:E,2,FALSE)</f>
        <v>upi</v>
      </c>
      <c r="P2371" s="4" t="s">
        <v>69</v>
      </c>
      <c r="Q2371" s="11">
        <v>44233.572916666664</v>
      </c>
      <c r="R2371" s="4"/>
      <c r="S2371" s="12" t="s">
        <v>5987</v>
      </c>
      <c r="T2371" s="5"/>
      <c r="U2371" s="4"/>
      <c r="V2371" s="11"/>
      <c r="W2371" s="5"/>
      <c r="X2371" s="4"/>
      <c r="Y2371" s="4"/>
      <c r="Z2371" s="5"/>
      <c r="AA2371" s="5"/>
      <c r="AB2371" s="4"/>
      <c r="AC2371" s="4"/>
      <c r="AD2371" s="4"/>
      <c r="AE2371" s="5"/>
      <c r="AF2371" s="5"/>
      <c r="AG2371" s="5"/>
      <c r="AH2371" s="5"/>
      <c r="AI2371" s="5"/>
      <c r="AJ2371" s="5"/>
      <c r="AK2371" s="5"/>
      <c r="AL2371" s="5"/>
    </row>
    <row r="2372">
      <c r="A2372" s="4" t="str">
        <f>VLOOKUP(L2372,payment_ids!C:D,2,FALSE)</f>
        <v>pay_HIAcBh5VCthhrC</v>
      </c>
      <c r="B2372" s="4"/>
      <c r="C2372" s="4" t="s">
        <v>5984</v>
      </c>
      <c r="D2372" s="4">
        <v>50076.0</v>
      </c>
      <c r="E2372" s="5"/>
      <c r="F2372" s="4">
        <v>1.0</v>
      </c>
      <c r="G2372" s="4">
        <v>199.0</v>
      </c>
      <c r="H2372" s="4"/>
      <c r="I2372" s="4">
        <v>199.0</v>
      </c>
      <c r="J2372" s="4" t="s">
        <v>6148</v>
      </c>
      <c r="K2372" s="5">
        <f>+918284983011</f>
        <v>918284983011</v>
      </c>
      <c r="L2372" s="4" t="str">
        <f t="shared" si="1"/>
        <v>bashambuniharika33@gmail.com918284983011</v>
      </c>
      <c r="M2372" s="10" t="s">
        <v>67</v>
      </c>
      <c r="N2372" s="4" t="b">
        <v>0</v>
      </c>
      <c r="O2372" s="4" t="str">
        <f>VLOOKUP(A2372,payment_ids!D:E,2,FALSE)</f>
        <v>upi</v>
      </c>
      <c r="P2372" s="4" t="s">
        <v>69</v>
      </c>
      <c r="Q2372" s="11">
        <v>44233.69652777778</v>
      </c>
      <c r="R2372" s="4"/>
      <c r="S2372" s="12" t="s">
        <v>5987</v>
      </c>
      <c r="T2372" s="5"/>
      <c r="U2372" s="4"/>
      <c r="V2372" s="11"/>
      <c r="W2372" s="5"/>
      <c r="X2372" s="4"/>
      <c r="Y2372" s="4"/>
      <c r="Z2372" s="5"/>
      <c r="AA2372" s="4"/>
      <c r="AB2372" s="4"/>
      <c r="AC2372" s="4"/>
      <c r="AD2372" s="4"/>
      <c r="AE2372" s="5"/>
      <c r="AF2372" s="5"/>
      <c r="AG2372" s="5"/>
      <c r="AH2372" s="5"/>
      <c r="AI2372" s="5"/>
      <c r="AJ2372" s="5"/>
      <c r="AK2372" s="5"/>
      <c r="AL2372" s="5"/>
    </row>
    <row r="2373">
      <c r="A2373" s="4" t="str">
        <f>VLOOKUP(L2373,payment_ids!C:D,2,FALSE)</f>
        <v>pay_HIAopsQu5L70Xv</v>
      </c>
      <c r="B2373" s="4"/>
      <c r="C2373" s="4" t="s">
        <v>5984</v>
      </c>
      <c r="D2373" s="4">
        <v>50076.0</v>
      </c>
      <c r="E2373" s="5"/>
      <c r="F2373" s="4">
        <v>1.0</v>
      </c>
      <c r="G2373" s="4">
        <v>199.0</v>
      </c>
      <c r="H2373" s="4"/>
      <c r="I2373" s="4">
        <v>199.0</v>
      </c>
      <c r="J2373" s="4" t="s">
        <v>6149</v>
      </c>
      <c r="K2373" s="5">
        <f>+918085507013</f>
        <v>918085507013</v>
      </c>
      <c r="L2373" s="4" t="str">
        <f t="shared" si="1"/>
        <v>uttamy07@gmail.com918085507013</v>
      </c>
      <c r="M2373" s="10" t="s">
        <v>67</v>
      </c>
      <c r="N2373" s="4" t="b">
        <v>0</v>
      </c>
      <c r="O2373" s="4" t="str">
        <f>VLOOKUP(A2373,payment_ids!D:E,2,FALSE)</f>
        <v>upi</v>
      </c>
      <c r="P2373" s="4" t="s">
        <v>69</v>
      </c>
      <c r="Q2373" s="11">
        <v>44233.70486111111</v>
      </c>
      <c r="R2373" s="4"/>
      <c r="S2373" s="12" t="s">
        <v>5987</v>
      </c>
      <c r="T2373" s="5"/>
      <c r="U2373" s="5"/>
      <c r="V2373" s="4"/>
      <c r="W2373" s="5"/>
      <c r="X2373" s="4"/>
      <c r="Y2373" s="4"/>
      <c r="Z2373" s="5"/>
      <c r="AA2373" s="5"/>
      <c r="AB2373" s="4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</row>
    <row r="2374">
      <c r="A2374" s="4" t="str">
        <f>VLOOKUP(L2374,payment_ids!C:D,2,FALSE)</f>
        <v>pay_HIDF4llQLYDGYb</v>
      </c>
      <c r="B2374" s="4"/>
      <c r="C2374" s="4" t="s">
        <v>5984</v>
      </c>
      <c r="D2374" s="4">
        <v>50076.0</v>
      </c>
      <c r="E2374" s="5"/>
      <c r="F2374" s="4">
        <v>1.0</v>
      </c>
      <c r="G2374" s="4">
        <v>199.0</v>
      </c>
      <c r="H2374" s="4"/>
      <c r="I2374" s="4">
        <v>199.0</v>
      </c>
      <c r="J2374" s="4" t="s">
        <v>6150</v>
      </c>
      <c r="K2374" s="5">
        <f>+918408895719</f>
        <v>918408895719</v>
      </c>
      <c r="L2374" s="4" t="str">
        <f t="shared" si="1"/>
        <v>a.p.hankare@gmail.com918408895719</v>
      </c>
      <c r="M2374" s="10" t="s">
        <v>67</v>
      </c>
      <c r="N2374" s="4" t="b">
        <v>0</v>
      </c>
      <c r="O2374" s="4" t="str">
        <f>VLOOKUP(A2374,payment_ids!D:E,2,FALSE)</f>
        <v>upi</v>
      </c>
      <c r="P2374" s="4" t="s">
        <v>69</v>
      </c>
      <c r="Q2374" s="11">
        <v>44233.80416666667</v>
      </c>
      <c r="R2374" s="4"/>
      <c r="S2374" s="12" t="s">
        <v>5987</v>
      </c>
      <c r="T2374" s="5"/>
      <c r="U2374" s="4"/>
      <c r="V2374" s="4"/>
      <c r="W2374" s="5"/>
      <c r="X2374" s="4"/>
      <c r="Y2374" s="4"/>
      <c r="Z2374" s="5"/>
      <c r="AA2374" s="4"/>
      <c r="AB2374" s="4"/>
      <c r="AC2374" s="4"/>
      <c r="AD2374" s="4"/>
      <c r="AE2374" s="5"/>
      <c r="AF2374" s="5"/>
      <c r="AG2374" s="5"/>
      <c r="AH2374" s="5"/>
      <c r="AI2374" s="5"/>
      <c r="AJ2374" s="5"/>
      <c r="AK2374" s="5"/>
      <c r="AL2374" s="5"/>
    </row>
    <row r="2375">
      <c r="A2375" s="4" t="str">
        <f>VLOOKUP(L2375,payment_ids!C:D,2,FALSE)</f>
        <v>pay_HKwfym1UJQDd0A</v>
      </c>
      <c r="B2375" s="4"/>
      <c r="C2375" s="4" t="s">
        <v>5984</v>
      </c>
      <c r="D2375" s="4">
        <v>50076.0</v>
      </c>
      <c r="E2375" s="5"/>
      <c r="F2375" s="4">
        <v>1.0</v>
      </c>
      <c r="G2375" s="4">
        <v>199.0</v>
      </c>
      <c r="H2375" s="4"/>
      <c r="I2375" s="4">
        <v>199.0</v>
      </c>
      <c r="J2375" s="4" t="s">
        <v>6151</v>
      </c>
      <c r="K2375" s="5">
        <f>+918860625333</f>
        <v>918860625333</v>
      </c>
      <c r="L2375" s="4" t="str">
        <f t="shared" si="1"/>
        <v>anupam.niift@gmail.com918860625333</v>
      </c>
      <c r="M2375" s="10" t="s">
        <v>67</v>
      </c>
      <c r="N2375" s="4" t="b">
        <v>0</v>
      </c>
      <c r="O2375" s="4" t="str">
        <f>VLOOKUP(A2375,payment_ids!D:E,2,FALSE)</f>
        <v>upi</v>
      </c>
      <c r="P2375" s="4" t="s">
        <v>69</v>
      </c>
      <c r="Q2375" s="11">
        <v>44445.70972222222</v>
      </c>
      <c r="R2375" s="4"/>
      <c r="S2375" s="12" t="s">
        <v>6152</v>
      </c>
      <c r="T2375" s="4" t="s">
        <v>2444</v>
      </c>
      <c r="U2375" s="4"/>
      <c r="V2375" s="4"/>
      <c r="W2375" s="5"/>
      <c r="X2375" s="4"/>
      <c r="Y2375" s="4"/>
      <c r="Z2375" s="5"/>
      <c r="AA2375" s="4"/>
      <c r="AB2375" s="4"/>
      <c r="AC2375" s="4"/>
      <c r="AD2375" s="4"/>
      <c r="AE2375" s="5"/>
      <c r="AF2375" s="5"/>
      <c r="AG2375" s="5"/>
      <c r="AH2375" s="5"/>
      <c r="AI2375" s="5"/>
      <c r="AJ2375" s="5"/>
      <c r="AK2375" s="5"/>
      <c r="AL2375" s="5"/>
    </row>
    <row r="2376">
      <c r="A2376" s="4" t="str">
        <f>VLOOKUP(L2376,payment_ids!C:D,2,FALSE)</f>
        <v>pay_HDkv8hG2iK9Tic</v>
      </c>
      <c r="B2376" s="4"/>
      <c r="C2376" s="4" t="s">
        <v>5984</v>
      </c>
      <c r="D2376" s="4">
        <v>50076.0</v>
      </c>
      <c r="E2376" s="5"/>
      <c r="F2376" s="4">
        <v>1.0</v>
      </c>
      <c r="G2376" s="4">
        <v>299.0</v>
      </c>
      <c r="H2376" s="4"/>
      <c r="I2376" s="4">
        <v>299.0</v>
      </c>
      <c r="J2376" s="4" t="s">
        <v>6004</v>
      </c>
      <c r="K2376" s="5">
        <f>+917544077784</f>
        <v>917544077784</v>
      </c>
      <c r="L2376" s="4" t="str">
        <f t="shared" si="1"/>
        <v>ravimahatoslg@gmail.com917544077784</v>
      </c>
      <c r="M2376" s="10" t="s">
        <v>67</v>
      </c>
      <c r="N2376" s="4" t="b">
        <v>0</v>
      </c>
      <c r="O2376" s="4" t="str">
        <f>VLOOKUP(A2376,payment_ids!D:E,2,FALSE)</f>
        <v>upi</v>
      </c>
      <c r="P2376" s="4" t="s">
        <v>69</v>
      </c>
      <c r="Q2376" s="4" t="s">
        <v>6153</v>
      </c>
      <c r="R2376" s="4"/>
      <c r="S2376" s="12" t="s">
        <v>5987</v>
      </c>
      <c r="T2376" s="4" t="s">
        <v>2444</v>
      </c>
      <c r="U2376" s="4"/>
      <c r="V2376" s="4"/>
      <c r="W2376" s="5"/>
      <c r="X2376" s="4"/>
      <c r="Y2376" s="4"/>
      <c r="Z2376" s="5"/>
      <c r="AA2376" s="4"/>
      <c r="AB2376" s="4"/>
      <c r="AC2376" s="4"/>
      <c r="AD2376" s="4"/>
      <c r="AE2376" s="5"/>
      <c r="AF2376" s="5"/>
      <c r="AG2376" s="5"/>
      <c r="AH2376" s="5"/>
      <c r="AI2376" s="5"/>
      <c r="AJ2376" s="5"/>
      <c r="AK2376" s="5"/>
      <c r="AL2376" s="5"/>
    </row>
    <row r="2377">
      <c r="A2377" s="4" t="str">
        <f>VLOOKUP(L2377,payment_ids!C:D,2,FALSE)</f>
        <v>pay_HCxHMdicK6Lsre</v>
      </c>
      <c r="B2377" s="4"/>
      <c r="C2377" s="4" t="s">
        <v>2150</v>
      </c>
      <c r="D2377" s="4">
        <v>49978.0</v>
      </c>
      <c r="E2377" s="4"/>
      <c r="F2377" s="4">
        <v>6.0</v>
      </c>
      <c r="G2377" s="4">
        <v>299.0</v>
      </c>
      <c r="H2377" s="4"/>
      <c r="I2377" s="4">
        <v>299.0</v>
      </c>
      <c r="J2377" s="4" t="s">
        <v>6154</v>
      </c>
      <c r="K2377" s="6">
        <f>+919810052053</f>
        <v>919810052053</v>
      </c>
      <c r="L2377" s="4" t="str">
        <f t="shared" si="1"/>
        <v>prashant.khattry@gmail.com919810052053</v>
      </c>
      <c r="M2377" s="10" t="s">
        <v>67</v>
      </c>
      <c r="N2377" s="4" t="b">
        <v>0</v>
      </c>
      <c r="O2377" s="4" t="str">
        <f>VLOOKUP(A2377,payment_ids!D:E,2,FALSE)</f>
        <v>upi</v>
      </c>
      <c r="P2377" s="4" t="s">
        <v>69</v>
      </c>
      <c r="Q2377" s="4" t="s">
        <v>6155</v>
      </c>
      <c r="R2377" s="4"/>
      <c r="S2377" s="12" t="s">
        <v>6156</v>
      </c>
      <c r="T2377" s="4"/>
      <c r="U2377" s="5"/>
      <c r="V2377" s="4"/>
      <c r="W2377" s="5"/>
      <c r="X2377" s="4"/>
      <c r="Y2377" s="4"/>
      <c r="Z2377" s="5"/>
      <c r="AA2377" s="5"/>
      <c r="AB2377" s="4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</row>
    <row r="2378">
      <c r="A2378" s="4" t="str">
        <f>VLOOKUP(L2378,payment_ids!C:D,2,FALSE)</f>
        <v>pay_HGdJgB7AEPpKPt</v>
      </c>
      <c r="B2378" s="4"/>
      <c r="C2378" s="4" t="s">
        <v>2150</v>
      </c>
      <c r="D2378" s="4">
        <v>49978.0</v>
      </c>
      <c r="E2378" s="5"/>
      <c r="F2378" s="4">
        <v>3.0</v>
      </c>
      <c r="G2378" s="4">
        <v>199.0</v>
      </c>
      <c r="H2378" s="4"/>
      <c r="I2378" s="4">
        <v>199.0</v>
      </c>
      <c r="J2378" s="4" t="s">
        <v>6157</v>
      </c>
      <c r="K2378" s="5">
        <f>+919025113111</f>
        <v>919025113111</v>
      </c>
      <c r="L2378" s="4" t="str">
        <f t="shared" si="1"/>
        <v>trinath.ranjan@gmail.com919025113111</v>
      </c>
      <c r="M2378" s="10" t="s">
        <v>67</v>
      </c>
      <c r="N2378" s="4" t="b">
        <v>0</v>
      </c>
      <c r="O2378" s="4" t="str">
        <f>VLOOKUP(A2378,payment_ids!D:E,2,FALSE)</f>
        <v>card</v>
      </c>
      <c r="P2378" s="4" t="s">
        <v>69</v>
      </c>
      <c r="Q2378" s="4" t="s">
        <v>6158</v>
      </c>
      <c r="R2378" s="4"/>
      <c r="S2378" s="12" t="s">
        <v>6156</v>
      </c>
      <c r="T2378" s="5"/>
      <c r="U2378" s="4"/>
      <c r="V2378" s="4"/>
      <c r="W2378" s="5"/>
      <c r="X2378" s="4"/>
      <c r="Y2378" s="4"/>
      <c r="Z2378" s="5"/>
      <c r="AA2378" s="4"/>
      <c r="AB2378" s="4"/>
      <c r="AC2378" s="4"/>
      <c r="AD2378" s="4"/>
      <c r="AE2378" s="5"/>
      <c r="AF2378" s="5"/>
      <c r="AG2378" s="5"/>
      <c r="AH2378" s="5"/>
      <c r="AI2378" s="5"/>
      <c r="AJ2378" s="5"/>
      <c r="AK2378" s="5"/>
      <c r="AL2378" s="5"/>
    </row>
    <row r="2379">
      <c r="A2379" s="4" t="str">
        <f>VLOOKUP(L2379,payment_ids!C:D,2,FALSE)</f>
        <v>pay_HGfmwVX1Nka8oA</v>
      </c>
      <c r="B2379" s="4"/>
      <c r="C2379" s="4" t="s">
        <v>2150</v>
      </c>
      <c r="D2379" s="4">
        <v>49978.0</v>
      </c>
      <c r="E2379" s="5"/>
      <c r="F2379" s="4">
        <v>1.0</v>
      </c>
      <c r="G2379" s="4">
        <v>99.0</v>
      </c>
      <c r="H2379" s="4"/>
      <c r="I2379" s="4">
        <v>99.0</v>
      </c>
      <c r="J2379" s="4" t="s">
        <v>6159</v>
      </c>
      <c r="K2379" s="5">
        <f>+919654004621</f>
        <v>919654004621</v>
      </c>
      <c r="L2379" s="4" t="str">
        <f t="shared" si="1"/>
        <v>csvivarthdosar@gmail.com919654004621</v>
      </c>
      <c r="M2379" s="10" t="s">
        <v>67</v>
      </c>
      <c r="N2379" s="4" t="b">
        <v>0</v>
      </c>
      <c r="O2379" s="4" t="str">
        <f>VLOOKUP(A2379,payment_ids!D:E,2,FALSE)</f>
        <v>netbanking</v>
      </c>
      <c r="P2379" s="4" t="s">
        <v>69</v>
      </c>
      <c r="Q2379" s="4" t="s">
        <v>6160</v>
      </c>
      <c r="R2379" s="4"/>
      <c r="S2379" s="12" t="s">
        <v>6156</v>
      </c>
      <c r="T2379" s="5"/>
      <c r="U2379" s="4"/>
      <c r="V2379" s="4"/>
      <c r="W2379" s="5"/>
      <c r="X2379" s="4"/>
      <c r="Y2379" s="4"/>
      <c r="Z2379" s="5"/>
      <c r="AA2379" s="4"/>
      <c r="AB2379" s="4"/>
      <c r="AC2379" s="4"/>
      <c r="AD2379" s="4"/>
      <c r="AE2379" s="5"/>
      <c r="AF2379" s="5"/>
      <c r="AG2379" s="5"/>
      <c r="AH2379" s="5"/>
      <c r="AI2379" s="5"/>
      <c r="AJ2379" s="5"/>
      <c r="AK2379" s="5"/>
      <c r="AL2379" s="5"/>
    </row>
    <row r="2380">
      <c r="A2380" s="4" t="str">
        <f>VLOOKUP(L2380,payment_ids!C:D,2,FALSE)</f>
        <v>pay_HGsDn4vL6chLUT</v>
      </c>
      <c r="B2380" s="4"/>
      <c r="C2380" s="4" t="s">
        <v>2150</v>
      </c>
      <c r="D2380" s="4">
        <v>49978.0</v>
      </c>
      <c r="E2380" s="5"/>
      <c r="F2380" s="4">
        <v>1.0</v>
      </c>
      <c r="G2380" s="4">
        <v>99.0</v>
      </c>
      <c r="H2380" s="4"/>
      <c r="I2380" s="4">
        <v>99.0</v>
      </c>
      <c r="J2380" s="4" t="s">
        <v>6161</v>
      </c>
      <c r="K2380" s="5">
        <f>+919997271499</f>
        <v>919997271499</v>
      </c>
      <c r="L2380" s="4" t="str">
        <f t="shared" si="1"/>
        <v>akshdeeprke@gmail.com919997271499</v>
      </c>
      <c r="M2380" s="10" t="s">
        <v>67</v>
      </c>
      <c r="N2380" s="4" t="b">
        <v>0</v>
      </c>
      <c r="O2380" s="4" t="str">
        <f>VLOOKUP(A2380,payment_ids!D:E,2,FALSE)</f>
        <v>upi</v>
      </c>
      <c r="P2380" s="4" t="s">
        <v>69</v>
      </c>
      <c r="Q2380" s="4" t="s">
        <v>6162</v>
      </c>
      <c r="R2380" s="4"/>
      <c r="S2380" s="12" t="s">
        <v>6156</v>
      </c>
      <c r="T2380" s="5"/>
      <c r="U2380" s="5"/>
      <c r="V2380" s="4"/>
      <c r="W2380" s="5"/>
      <c r="X2380" s="4"/>
      <c r="Y2380" s="4"/>
      <c r="Z2380" s="5"/>
      <c r="AA2380" s="5"/>
      <c r="AB2380" s="4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</row>
    <row r="2381">
      <c r="A2381" s="4" t="str">
        <f>VLOOKUP(L2381,payment_ids!C:D,2,FALSE)</f>
        <v>pay_HGtiTXJuiUsZL0</v>
      </c>
      <c r="B2381" s="4"/>
      <c r="C2381" s="4" t="s">
        <v>2150</v>
      </c>
      <c r="D2381" s="4">
        <v>49978.0</v>
      </c>
      <c r="E2381" s="5"/>
      <c r="F2381" s="4">
        <v>1.0</v>
      </c>
      <c r="G2381" s="4">
        <v>99.0</v>
      </c>
      <c r="H2381" s="4"/>
      <c r="I2381" s="4">
        <v>99.0</v>
      </c>
      <c r="J2381" s="4" t="s">
        <v>6163</v>
      </c>
      <c r="K2381" s="5">
        <f>+919810608604</f>
        <v>919810608604</v>
      </c>
      <c r="L2381" s="4" t="str">
        <f t="shared" si="1"/>
        <v>djain0315@gmail.com919810608604</v>
      </c>
      <c r="M2381" s="10" t="s">
        <v>67</v>
      </c>
      <c r="N2381" s="4" t="b">
        <v>0</v>
      </c>
      <c r="O2381" s="4" t="str">
        <f>VLOOKUP(A2381,payment_ids!D:E,2,FALSE)</f>
        <v>card</v>
      </c>
      <c r="P2381" s="4" t="s">
        <v>69</v>
      </c>
      <c r="Q2381" s="4" t="s">
        <v>6164</v>
      </c>
      <c r="R2381" s="4"/>
      <c r="S2381" s="12" t="s">
        <v>6156</v>
      </c>
      <c r="T2381" s="5"/>
      <c r="U2381" s="4"/>
      <c r="V2381" s="4"/>
      <c r="W2381" s="5"/>
      <c r="X2381" s="4"/>
      <c r="Y2381" s="4"/>
      <c r="Z2381" s="5"/>
      <c r="AA2381" s="4"/>
      <c r="AB2381" s="4"/>
      <c r="AC2381" s="4"/>
      <c r="AD2381" s="4"/>
      <c r="AE2381" s="5"/>
      <c r="AF2381" s="5"/>
      <c r="AG2381" s="5"/>
      <c r="AH2381" s="5"/>
      <c r="AI2381" s="5"/>
      <c r="AJ2381" s="5"/>
      <c r="AK2381" s="5"/>
      <c r="AL2381" s="5"/>
    </row>
    <row r="2382">
      <c r="A2382" s="4" t="str">
        <f>VLOOKUP(L2382,payment_ids!C:D,2,FALSE)</f>
        <v>pay_HH0hPwhQVXFGND</v>
      </c>
      <c r="B2382" s="4"/>
      <c r="C2382" s="4" t="s">
        <v>2150</v>
      </c>
      <c r="D2382" s="4">
        <v>49978.0</v>
      </c>
      <c r="E2382" s="5"/>
      <c r="F2382" s="4">
        <v>6.0</v>
      </c>
      <c r="G2382" s="4">
        <v>299.0</v>
      </c>
      <c r="H2382" s="4"/>
      <c r="I2382" s="4">
        <v>299.0</v>
      </c>
      <c r="J2382" s="4" t="s">
        <v>6165</v>
      </c>
      <c r="K2382" s="5">
        <f>+918698304666</f>
        <v>918698304666</v>
      </c>
      <c r="L2382" s="4" t="str">
        <f t="shared" si="1"/>
        <v>vivikt@gmail.com918698304666</v>
      </c>
      <c r="M2382" s="10" t="s">
        <v>67</v>
      </c>
      <c r="N2382" s="4" t="b">
        <v>0</v>
      </c>
      <c r="O2382" s="4" t="str">
        <f>VLOOKUP(A2382,payment_ids!D:E,2,FALSE)</f>
        <v>upi</v>
      </c>
      <c r="P2382" s="4" t="s">
        <v>69</v>
      </c>
      <c r="Q2382" s="4" t="s">
        <v>6166</v>
      </c>
      <c r="R2382" s="4"/>
      <c r="S2382" s="12" t="s">
        <v>6156</v>
      </c>
      <c r="T2382" s="5"/>
      <c r="U2382" s="4"/>
      <c r="V2382" s="4"/>
      <c r="W2382" s="5"/>
      <c r="X2382" s="4"/>
      <c r="Y2382" s="4"/>
      <c r="Z2382" s="5"/>
      <c r="AA2382" s="4"/>
      <c r="AB2382" s="4"/>
      <c r="AC2382" s="4"/>
      <c r="AD2382" s="4"/>
      <c r="AE2382" s="5"/>
      <c r="AF2382" s="5"/>
      <c r="AG2382" s="5"/>
      <c r="AH2382" s="5"/>
      <c r="AI2382" s="5"/>
      <c r="AJ2382" s="5"/>
      <c r="AK2382" s="5"/>
      <c r="AL2382" s="5"/>
    </row>
    <row r="2383">
      <c r="A2383" s="4" t="str">
        <f>VLOOKUP(L2383,payment_ids!C:D,2,FALSE)</f>
        <v>pay_HHMddPB8BlmR3I</v>
      </c>
      <c r="B2383" s="4"/>
      <c r="C2383" s="4" t="s">
        <v>2150</v>
      </c>
      <c r="D2383" s="4">
        <v>49978.0</v>
      </c>
      <c r="E2383" s="5"/>
      <c r="F2383" s="4">
        <v>1.0</v>
      </c>
      <c r="G2383" s="4">
        <v>99.0</v>
      </c>
      <c r="H2383" s="4"/>
      <c r="I2383" s="4">
        <v>99.0</v>
      </c>
      <c r="J2383" s="4" t="s">
        <v>6167</v>
      </c>
      <c r="K2383" s="5">
        <f>+919583947116</f>
        <v>919583947116</v>
      </c>
      <c r="L2383" s="4" t="str">
        <f t="shared" si="1"/>
        <v>sandeeppanda2166@gmail.com919583947116</v>
      </c>
      <c r="M2383" s="10" t="s">
        <v>67</v>
      </c>
      <c r="N2383" s="4" t="b">
        <v>0</v>
      </c>
      <c r="O2383" s="4" t="str">
        <f>VLOOKUP(A2383,payment_ids!D:E,2,FALSE)</f>
        <v>upi</v>
      </c>
      <c r="P2383" s="4" t="s">
        <v>69</v>
      </c>
      <c r="Q2383" s="4" t="s">
        <v>6168</v>
      </c>
      <c r="R2383" s="4"/>
      <c r="S2383" s="12" t="s">
        <v>6156</v>
      </c>
      <c r="T2383" s="5"/>
      <c r="U2383" s="4"/>
      <c r="V2383" s="4"/>
      <c r="W2383" s="5"/>
      <c r="X2383" s="4"/>
      <c r="Y2383" s="4"/>
      <c r="Z2383" s="5"/>
      <c r="AA2383" s="4"/>
      <c r="AB2383" s="4"/>
      <c r="AC2383" s="4"/>
      <c r="AD2383" s="4"/>
      <c r="AE2383" s="5"/>
      <c r="AF2383" s="5"/>
      <c r="AG2383" s="5"/>
      <c r="AH2383" s="5"/>
      <c r="AI2383" s="5"/>
      <c r="AJ2383" s="5"/>
      <c r="AK2383" s="5"/>
      <c r="AL2383" s="5"/>
    </row>
    <row r="2384">
      <c r="A2384" s="4" t="str">
        <f>VLOOKUP(L2384,payment_ids!C:D,2,FALSE)</f>
        <v>pay_HHdVUb2StAzj06</v>
      </c>
      <c r="B2384" s="4"/>
      <c r="C2384" s="4" t="s">
        <v>2150</v>
      </c>
      <c r="D2384" s="4">
        <v>49978.0</v>
      </c>
      <c r="E2384" s="5"/>
      <c r="F2384" s="4">
        <v>1.0</v>
      </c>
      <c r="G2384" s="4">
        <v>99.0</v>
      </c>
      <c r="H2384" s="4"/>
      <c r="I2384" s="4">
        <v>99.0</v>
      </c>
      <c r="J2384" s="4" t="s">
        <v>6169</v>
      </c>
      <c r="K2384" s="5">
        <f>+919818021789</f>
        <v>919818021789</v>
      </c>
      <c r="L2384" s="4" t="str">
        <f t="shared" si="1"/>
        <v>dr_amarendra@rediffmail.com919818021789</v>
      </c>
      <c r="M2384" s="10" t="s">
        <v>67</v>
      </c>
      <c r="N2384" s="4" t="b">
        <v>0</v>
      </c>
      <c r="O2384" s="4" t="str">
        <f>VLOOKUP(A2384,payment_ids!D:E,2,FALSE)</f>
        <v>upi</v>
      </c>
      <c r="P2384" s="4" t="s">
        <v>69</v>
      </c>
      <c r="Q2384" s="11">
        <v>44202.34722222222</v>
      </c>
      <c r="R2384" s="4"/>
      <c r="S2384" s="12" t="s">
        <v>6156</v>
      </c>
      <c r="T2384" s="5"/>
      <c r="U2384" s="4"/>
      <c r="V2384" s="4"/>
      <c r="W2384" s="5"/>
      <c r="X2384" s="4"/>
      <c r="Y2384" s="4"/>
      <c r="Z2384" s="5"/>
      <c r="AA2384" s="4"/>
      <c r="AB2384" s="4"/>
      <c r="AC2384" s="4"/>
      <c r="AD2384" s="4"/>
      <c r="AE2384" s="5"/>
      <c r="AF2384" s="5"/>
      <c r="AG2384" s="5"/>
      <c r="AH2384" s="5"/>
      <c r="AI2384" s="5"/>
      <c r="AJ2384" s="5"/>
      <c r="AK2384" s="5"/>
      <c r="AL2384" s="5"/>
    </row>
    <row r="2385">
      <c r="A2385" s="4" t="str">
        <f>VLOOKUP(L2385,payment_ids!C:D,2,FALSE)</f>
        <v>pay_HJOfyyY2M0Wb9j</v>
      </c>
      <c r="B2385" s="4"/>
      <c r="C2385" s="4" t="s">
        <v>2150</v>
      </c>
      <c r="D2385" s="4">
        <v>49978.0</v>
      </c>
      <c r="E2385" s="5"/>
      <c r="F2385" s="4">
        <v>1.0</v>
      </c>
      <c r="G2385" s="4">
        <v>99.0</v>
      </c>
      <c r="H2385" s="4"/>
      <c r="I2385" s="4">
        <v>99.0</v>
      </c>
      <c r="J2385" s="4" t="s">
        <v>2151</v>
      </c>
      <c r="K2385" s="5">
        <f t="shared" ref="K2385:K2386" si="12">+918247716036</f>
        <v>918247716036</v>
      </c>
      <c r="L2385" s="4" t="str">
        <f t="shared" si="1"/>
        <v>bchaneelkumar@gmail.com918247716036</v>
      </c>
      <c r="M2385" s="10" t="s">
        <v>67</v>
      </c>
      <c r="N2385" s="4" t="b">
        <v>0</v>
      </c>
      <c r="O2385" s="4" t="str">
        <f>VLOOKUP(A2385,payment_ids!D:E,2,FALSE)</f>
        <v>wallet</v>
      </c>
      <c r="P2385" s="4" t="s">
        <v>69</v>
      </c>
      <c r="Q2385" s="11">
        <v>44322.79722222222</v>
      </c>
      <c r="R2385" s="4"/>
      <c r="S2385" s="12" t="s">
        <v>6170</v>
      </c>
      <c r="T2385" s="5"/>
      <c r="U2385" s="5"/>
      <c r="V2385" s="4"/>
      <c r="W2385" s="5"/>
      <c r="X2385" s="4"/>
      <c r="Y2385" s="4"/>
      <c r="Z2385" s="5"/>
      <c r="AA2385" s="5"/>
      <c r="AB2385" s="4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</row>
    <row r="2386">
      <c r="A2386" s="4" t="str">
        <f>VLOOKUP(L2386,payment_ids!C:D,2,FALSE)</f>
        <v>pay_HJOfyyY2M0Wb9j</v>
      </c>
      <c r="B2386" s="4"/>
      <c r="C2386" s="4" t="s">
        <v>2150</v>
      </c>
      <c r="D2386" s="4">
        <v>49978.0</v>
      </c>
      <c r="E2386" s="5"/>
      <c r="F2386" s="4">
        <v>6.0</v>
      </c>
      <c r="G2386" s="4">
        <v>299.0</v>
      </c>
      <c r="H2386" s="4"/>
      <c r="I2386" s="4">
        <v>299.0</v>
      </c>
      <c r="J2386" s="4" t="s">
        <v>2151</v>
      </c>
      <c r="K2386" s="5">
        <f t="shared" si="12"/>
        <v>918247716036</v>
      </c>
      <c r="L2386" s="4" t="str">
        <f t="shared" si="1"/>
        <v>bchaneelkumar@gmail.com918247716036</v>
      </c>
      <c r="M2386" s="10" t="s">
        <v>67</v>
      </c>
      <c r="N2386" s="4" t="b">
        <v>0</v>
      </c>
      <c r="O2386" s="4" t="str">
        <f>VLOOKUP(A2386,payment_ids!D:E,2,FALSE)</f>
        <v>wallet</v>
      </c>
      <c r="P2386" s="4" t="s">
        <v>69</v>
      </c>
      <c r="Q2386" s="11">
        <v>44383.802083333336</v>
      </c>
      <c r="R2386" s="4"/>
      <c r="S2386" s="12" t="s">
        <v>6170</v>
      </c>
      <c r="T2386" s="5"/>
      <c r="U2386" s="4"/>
      <c r="V2386" s="4"/>
      <c r="W2386" s="5"/>
      <c r="X2386" s="4"/>
      <c r="Y2386" s="4"/>
      <c r="Z2386" s="5"/>
      <c r="AA2386" s="5"/>
      <c r="AB2386" s="4"/>
      <c r="AC2386" s="4"/>
      <c r="AD2386" s="4"/>
      <c r="AE2386" s="5"/>
      <c r="AF2386" s="5"/>
      <c r="AG2386" s="5"/>
      <c r="AH2386" s="5"/>
      <c r="AI2386" s="5"/>
      <c r="AJ2386" s="5"/>
      <c r="AK2386" s="5"/>
      <c r="AL2386" s="5"/>
    </row>
    <row r="2387">
      <c r="A2387" s="4" t="str">
        <f>VLOOKUP(L2387,payment_ids!C:D,2,FALSE)</f>
        <v>pay_HOsHmdJWsi8V69</v>
      </c>
      <c r="B2387" s="4"/>
      <c r="C2387" s="4" t="s">
        <v>2150</v>
      </c>
      <c r="D2387" s="4">
        <v>49978.0</v>
      </c>
      <c r="E2387" s="5"/>
      <c r="F2387" s="4">
        <v>6.0</v>
      </c>
      <c r="G2387" s="4">
        <v>299.0</v>
      </c>
      <c r="H2387" s="4"/>
      <c r="I2387" s="4">
        <v>299.0</v>
      </c>
      <c r="J2387" s="4" t="s">
        <v>6171</v>
      </c>
      <c r="K2387" s="5">
        <f>+919654019881</f>
        <v>919654019881</v>
      </c>
      <c r="L2387" s="4" t="str">
        <f t="shared" si="1"/>
        <v>anjali.gaba@gmail.com919654019881</v>
      </c>
      <c r="M2387" s="10" t="s">
        <v>67</v>
      </c>
      <c r="N2387" s="4" t="b">
        <v>0</v>
      </c>
      <c r="O2387" s="4" t="str">
        <f>VLOOKUP(A2387,payment_ids!D:E,2,FALSE)</f>
        <v>card</v>
      </c>
      <c r="P2387" s="4" t="s">
        <v>69</v>
      </c>
      <c r="Q2387" s="4" t="s">
        <v>6172</v>
      </c>
      <c r="R2387" s="4"/>
      <c r="S2387" s="12" t="s">
        <v>6156</v>
      </c>
      <c r="T2387" s="4" t="s">
        <v>2444</v>
      </c>
      <c r="U2387" s="4"/>
      <c r="V2387" s="4"/>
      <c r="W2387" s="5"/>
      <c r="X2387" s="4"/>
      <c r="Y2387" s="4"/>
      <c r="Z2387" s="5"/>
      <c r="AA2387" s="4"/>
      <c r="AB2387" s="4"/>
      <c r="AC2387" s="4"/>
      <c r="AD2387" s="4"/>
      <c r="AE2387" s="5"/>
      <c r="AF2387" s="5"/>
      <c r="AG2387" s="5"/>
      <c r="AH2387" s="5"/>
      <c r="AI2387" s="5"/>
      <c r="AJ2387" s="5"/>
      <c r="AK2387" s="5"/>
      <c r="AL2387" s="5"/>
    </row>
    <row r="2388">
      <c r="A2388" s="4" t="str">
        <f>VLOOKUP(L2388,payment_ids!C:D,2,FALSE)</f>
        <v>pay_H8ASBm3J8WiPu1</v>
      </c>
      <c r="B2388" s="4"/>
      <c r="C2388" s="4" t="s">
        <v>1582</v>
      </c>
      <c r="D2388" s="4">
        <v>50048.0</v>
      </c>
      <c r="E2388" s="4"/>
      <c r="F2388" s="4">
        <v>3.0</v>
      </c>
      <c r="G2388" s="4">
        <v>999.0</v>
      </c>
      <c r="H2388" s="4"/>
      <c r="I2388" s="4">
        <v>999.0</v>
      </c>
      <c r="J2388" s="4" t="s">
        <v>6173</v>
      </c>
      <c r="K2388" s="6">
        <f>+919860450668</f>
        <v>919860450668</v>
      </c>
      <c r="L2388" s="4" t="str">
        <f t="shared" si="1"/>
        <v>mansun1507@gmail.com919860450668</v>
      </c>
      <c r="M2388" s="10" t="s">
        <v>67</v>
      </c>
      <c r="N2388" s="4" t="b">
        <v>0</v>
      </c>
      <c r="O2388" s="4" t="str">
        <f>VLOOKUP(A2388,payment_ids!D:E,2,FALSE)</f>
        <v>upi</v>
      </c>
      <c r="P2388" s="4" t="s">
        <v>69</v>
      </c>
      <c r="Q2388" s="11">
        <v>44413.419444444444</v>
      </c>
      <c r="R2388" s="4"/>
      <c r="S2388" s="12" t="s">
        <v>6174</v>
      </c>
      <c r="T2388" s="4"/>
      <c r="U2388" s="4"/>
      <c r="V2388" s="4"/>
      <c r="W2388" s="5"/>
      <c r="X2388" s="4"/>
      <c r="Y2388" s="4"/>
      <c r="Z2388" s="5"/>
      <c r="AA2388" s="4"/>
      <c r="AB2388" s="4"/>
      <c r="AC2388" s="4"/>
      <c r="AD2388" s="4"/>
      <c r="AE2388" s="5"/>
      <c r="AF2388" s="5"/>
      <c r="AG2388" s="5"/>
      <c r="AH2388" s="5"/>
      <c r="AI2388" s="5"/>
      <c r="AJ2388" s="5"/>
      <c r="AK2388" s="5"/>
      <c r="AL2388" s="5"/>
    </row>
    <row r="2389">
      <c r="A2389" s="4" t="str">
        <f>VLOOKUP(L2389,payment_ids!C:D,2,FALSE)</f>
        <v>pay_HGwC1FmsAeQs15</v>
      </c>
      <c r="B2389" s="4"/>
      <c r="C2389" s="4" t="s">
        <v>1582</v>
      </c>
      <c r="D2389" s="4">
        <v>50048.0</v>
      </c>
      <c r="E2389" s="4" t="s">
        <v>6175</v>
      </c>
      <c r="F2389" s="4">
        <v>3.0</v>
      </c>
      <c r="G2389" s="4">
        <v>599.0</v>
      </c>
      <c r="H2389" s="4"/>
      <c r="I2389" s="4">
        <v>599.0</v>
      </c>
      <c r="J2389" s="4" t="s">
        <v>6176</v>
      </c>
      <c r="K2389" s="5">
        <f>+919819101704</f>
        <v>919819101704</v>
      </c>
      <c r="L2389" s="4" t="str">
        <f t="shared" si="1"/>
        <v>chriselle.dsouza@gmail.com919819101704</v>
      </c>
      <c r="M2389" s="10" t="s">
        <v>67</v>
      </c>
      <c r="N2389" s="4" t="b">
        <v>0</v>
      </c>
      <c r="O2389" s="4" t="str">
        <f>VLOOKUP(A2389,payment_ids!D:E,2,FALSE)</f>
        <v>upi</v>
      </c>
      <c r="P2389" s="4" t="s">
        <v>69</v>
      </c>
      <c r="Q2389" s="4" t="s">
        <v>6177</v>
      </c>
      <c r="R2389" s="4"/>
      <c r="S2389" s="12" t="s">
        <v>6174</v>
      </c>
      <c r="T2389" s="5"/>
      <c r="U2389" s="4"/>
      <c r="V2389" s="4"/>
      <c r="W2389" s="5"/>
      <c r="X2389" s="4"/>
      <c r="Y2389" s="4"/>
      <c r="Z2389" s="5"/>
      <c r="AA2389" s="4"/>
      <c r="AB2389" s="4"/>
      <c r="AC2389" s="4"/>
      <c r="AD2389" s="4"/>
      <c r="AE2389" s="5"/>
      <c r="AF2389" s="5"/>
      <c r="AG2389" s="5"/>
      <c r="AH2389" s="5"/>
      <c r="AI2389" s="5"/>
      <c r="AJ2389" s="5"/>
      <c r="AK2389" s="5"/>
      <c r="AL2389" s="5"/>
    </row>
    <row r="2390">
      <c r="A2390" s="4" t="str">
        <f>VLOOKUP(L2390,payment_ids!C:D,2,FALSE)</f>
        <v>pay_HIfxz1OGhfWxtX</v>
      </c>
      <c r="B2390" s="4"/>
      <c r="C2390" s="4" t="s">
        <v>1582</v>
      </c>
      <c r="D2390" s="4">
        <v>50048.0</v>
      </c>
      <c r="E2390" s="4" t="s">
        <v>6175</v>
      </c>
      <c r="F2390" s="4">
        <v>1.0</v>
      </c>
      <c r="G2390" s="4">
        <v>299.0</v>
      </c>
      <c r="H2390" s="4"/>
      <c r="I2390" s="4">
        <v>299.0</v>
      </c>
      <c r="J2390" s="4" t="s">
        <v>6178</v>
      </c>
      <c r="K2390" s="5">
        <f>+919987808183</f>
        <v>919987808183</v>
      </c>
      <c r="L2390" s="4" t="str">
        <f t="shared" si="1"/>
        <v>preeti.janwasia@gmail.com919987808183</v>
      </c>
      <c r="M2390" s="10" t="s">
        <v>67</v>
      </c>
      <c r="N2390" s="4" t="b">
        <v>0</v>
      </c>
      <c r="O2390" s="4" t="str">
        <f>VLOOKUP(A2390,payment_ids!D:E,2,FALSE)</f>
        <v>upi</v>
      </c>
      <c r="P2390" s="4" t="s">
        <v>69</v>
      </c>
      <c r="Q2390" s="11">
        <v>44261.97430555556</v>
      </c>
      <c r="R2390" s="4"/>
      <c r="S2390" s="12" t="s">
        <v>6179</v>
      </c>
      <c r="T2390" s="5"/>
      <c r="U2390" s="4"/>
      <c r="V2390" s="4"/>
      <c r="W2390" s="5"/>
      <c r="X2390" s="4"/>
      <c r="Y2390" s="4"/>
      <c r="Z2390" s="5"/>
      <c r="AA2390" s="4"/>
      <c r="AB2390" s="4"/>
      <c r="AC2390" s="4"/>
      <c r="AD2390" s="4"/>
      <c r="AE2390" s="5"/>
      <c r="AF2390" s="5"/>
      <c r="AG2390" s="5"/>
      <c r="AH2390" s="5"/>
      <c r="AI2390" s="5"/>
      <c r="AJ2390" s="5"/>
      <c r="AK2390" s="5"/>
      <c r="AL2390" s="5"/>
    </row>
    <row r="2391">
      <c r="A2391" s="4" t="str">
        <f>VLOOKUP(L2391,payment_ids!C:D,2,FALSE)</f>
        <v>pay_HJI3gHgWXx2B6o</v>
      </c>
      <c r="B2391" s="4"/>
      <c r="C2391" s="4" t="s">
        <v>1582</v>
      </c>
      <c r="D2391" s="4">
        <v>50048.0</v>
      </c>
      <c r="E2391" s="4" t="s">
        <v>6175</v>
      </c>
      <c r="F2391" s="4">
        <v>3.0</v>
      </c>
      <c r="G2391" s="4">
        <v>599.0</v>
      </c>
      <c r="H2391" s="4"/>
      <c r="I2391" s="4">
        <v>599.0</v>
      </c>
      <c r="J2391" s="4" t="s">
        <v>6180</v>
      </c>
      <c r="K2391" s="5">
        <f>+919820684252</f>
        <v>919820684252</v>
      </c>
      <c r="L2391" s="4" t="str">
        <f t="shared" si="1"/>
        <v>shubharambhces@gmail.com919820684252</v>
      </c>
      <c r="M2391" s="10" t="s">
        <v>67</v>
      </c>
      <c r="N2391" s="4" t="b">
        <v>0</v>
      </c>
      <c r="O2391" s="4" t="str">
        <f>VLOOKUP(A2391,payment_ids!D:E,2,FALSE)</f>
        <v>upi</v>
      </c>
      <c r="P2391" s="4" t="s">
        <v>69</v>
      </c>
      <c r="Q2391" s="11">
        <v>44322.527083333334</v>
      </c>
      <c r="R2391" s="4"/>
      <c r="S2391" s="12" t="s">
        <v>6179</v>
      </c>
      <c r="T2391" s="5"/>
      <c r="U2391" s="4"/>
      <c r="V2391" s="4"/>
      <c r="W2391" s="5"/>
      <c r="X2391" s="4"/>
      <c r="Y2391" s="4"/>
      <c r="Z2391" s="5"/>
      <c r="AA2391" s="4"/>
      <c r="AB2391" s="4"/>
      <c r="AC2391" s="4"/>
      <c r="AD2391" s="4"/>
      <c r="AE2391" s="5"/>
      <c r="AF2391" s="5"/>
      <c r="AG2391" s="5"/>
      <c r="AH2391" s="5"/>
      <c r="AI2391" s="5"/>
      <c r="AJ2391" s="5"/>
      <c r="AK2391" s="5"/>
      <c r="AL2391" s="5"/>
    </row>
    <row r="2392">
      <c r="A2392" s="4" t="str">
        <f>VLOOKUP(L2392,payment_ids!C:D,2,FALSE)</f>
        <v>pay_HO65WBjR3vVMWh</v>
      </c>
      <c r="B2392" s="4"/>
      <c r="C2392" s="4" t="s">
        <v>1582</v>
      </c>
      <c r="D2392" s="4">
        <v>50048.0</v>
      </c>
      <c r="E2392" s="4" t="s">
        <v>6175</v>
      </c>
      <c r="F2392" s="4">
        <v>1.0</v>
      </c>
      <c r="G2392" s="4">
        <v>299.0</v>
      </c>
      <c r="H2392" s="4"/>
      <c r="I2392" s="4">
        <v>299.0</v>
      </c>
      <c r="J2392" s="4" t="s">
        <v>6181</v>
      </c>
      <c r="K2392" s="5">
        <f>+918801111139</f>
        <v>918801111139</v>
      </c>
      <c r="L2392" s="4" t="str">
        <f t="shared" si="1"/>
        <v>rajeshillpa25@gmail.com918801111139</v>
      </c>
      <c r="M2392" s="10" t="s">
        <v>67</v>
      </c>
      <c r="N2392" s="4" t="b">
        <v>0</v>
      </c>
      <c r="O2392" s="4" t="str">
        <f>VLOOKUP(A2392,payment_ids!D:E,2,FALSE)</f>
        <v>card</v>
      </c>
      <c r="P2392" s="4" t="s">
        <v>69</v>
      </c>
      <c r="Q2392" s="4" t="s">
        <v>6182</v>
      </c>
      <c r="R2392" s="4"/>
      <c r="S2392" s="12" t="s">
        <v>6174</v>
      </c>
      <c r="T2392" s="4" t="s">
        <v>2444</v>
      </c>
      <c r="U2392" s="4"/>
      <c r="V2392" s="4"/>
      <c r="W2392" s="5"/>
      <c r="X2392" s="4"/>
      <c r="Y2392" s="4"/>
      <c r="Z2392" s="5"/>
      <c r="AA2392" s="4"/>
      <c r="AB2392" s="4"/>
      <c r="AC2392" s="4"/>
      <c r="AD2392" s="4"/>
      <c r="AE2392" s="5"/>
      <c r="AF2392" s="5"/>
      <c r="AG2392" s="5"/>
      <c r="AH2392" s="5"/>
      <c r="AI2392" s="5"/>
      <c r="AJ2392" s="5"/>
      <c r="AK2392" s="5"/>
      <c r="AL2392" s="5"/>
    </row>
    <row r="2393">
      <c r="A2393" s="4" t="str">
        <f>VLOOKUP(L2393,payment_ids!C:D,2,FALSE)</f>
        <v>pay_HPnp5sCiw5n7J2</v>
      </c>
      <c r="B2393" s="4"/>
      <c r="C2393" s="4" t="s">
        <v>1582</v>
      </c>
      <c r="D2393" s="4">
        <v>50048.0</v>
      </c>
      <c r="E2393" s="4" t="s">
        <v>6175</v>
      </c>
      <c r="F2393" s="4">
        <v>3.0</v>
      </c>
      <c r="G2393" s="4">
        <v>599.0</v>
      </c>
      <c r="H2393" s="4"/>
      <c r="I2393" s="4">
        <v>599.0</v>
      </c>
      <c r="J2393" s="4" t="s">
        <v>6183</v>
      </c>
      <c r="K2393" s="5">
        <f>+918169758076</f>
        <v>918169758076</v>
      </c>
      <c r="L2393" s="4" t="str">
        <f t="shared" si="1"/>
        <v>sepals.antara@gmail.com918169758076</v>
      </c>
      <c r="M2393" s="10" t="s">
        <v>67</v>
      </c>
      <c r="N2393" s="4" t="b">
        <v>0</v>
      </c>
      <c r="O2393" s="4" t="str">
        <f>VLOOKUP(A2393,payment_ids!D:E,2,FALSE)</f>
        <v>upi</v>
      </c>
      <c r="P2393" s="4" t="s">
        <v>69</v>
      </c>
      <c r="Q2393" s="4" t="s">
        <v>6184</v>
      </c>
      <c r="R2393" s="4"/>
      <c r="S2393" s="12" t="s">
        <v>6179</v>
      </c>
      <c r="T2393" s="4" t="s">
        <v>2444</v>
      </c>
      <c r="U2393" s="4"/>
      <c r="V2393" s="4"/>
      <c r="W2393" s="5"/>
      <c r="X2393" s="4"/>
      <c r="Y2393" s="4"/>
      <c r="Z2393" s="5"/>
      <c r="AA2393" s="4"/>
      <c r="AB2393" s="4"/>
      <c r="AC2393" s="4"/>
      <c r="AD2393" s="4"/>
      <c r="AE2393" s="5"/>
      <c r="AF2393" s="5"/>
      <c r="AG2393" s="5"/>
      <c r="AH2393" s="5"/>
      <c r="AI2393" s="5"/>
      <c r="AJ2393" s="5"/>
      <c r="AK2393" s="5"/>
      <c r="AL2393" s="5"/>
    </row>
    <row r="2394">
      <c r="A2394" s="4" t="str">
        <f>VLOOKUP(L2394,payment_ids!C:D,2,FALSE)</f>
        <v>pay_H6LyhFlnZPet4L</v>
      </c>
      <c r="B2394" s="4"/>
      <c r="C2394" s="4" t="s">
        <v>1016</v>
      </c>
      <c r="D2394" s="4">
        <v>49899.0</v>
      </c>
      <c r="E2394" s="4"/>
      <c r="F2394" s="4">
        <v>1.0</v>
      </c>
      <c r="G2394" s="4">
        <v>99.0</v>
      </c>
      <c r="H2394" s="4"/>
      <c r="I2394" s="4">
        <v>99.0</v>
      </c>
      <c r="J2394" s="4" t="s">
        <v>6185</v>
      </c>
      <c r="K2394" s="6">
        <f>+917566220220</f>
        <v>917566220220</v>
      </c>
      <c r="L2394" s="4" t="str">
        <f t="shared" si="1"/>
        <v>manasgarg28@gmail.com917566220220</v>
      </c>
      <c r="M2394" s="10" t="s">
        <v>67</v>
      </c>
      <c r="N2394" s="4" t="b">
        <v>0</v>
      </c>
      <c r="O2394" s="4" t="str">
        <f>VLOOKUP(A2394,payment_ids!D:E,2,FALSE)</f>
        <v>upi</v>
      </c>
      <c r="P2394" s="4" t="s">
        <v>69</v>
      </c>
      <c r="Q2394" s="11">
        <v>44260.83472222222</v>
      </c>
      <c r="R2394" s="4"/>
      <c r="S2394" s="12" t="s">
        <v>6186</v>
      </c>
      <c r="T2394" s="4"/>
      <c r="U2394" s="4"/>
      <c r="V2394" s="4"/>
      <c r="W2394" s="5"/>
      <c r="X2394" s="4"/>
      <c r="Y2394" s="4"/>
      <c r="Z2394" s="5"/>
      <c r="AA2394" s="4"/>
      <c r="AB2394" s="4"/>
      <c r="AC2394" s="4"/>
      <c r="AD2394" s="4"/>
      <c r="AE2394" s="5"/>
      <c r="AF2394" s="5"/>
      <c r="AG2394" s="5"/>
      <c r="AH2394" s="5"/>
      <c r="AI2394" s="5"/>
      <c r="AJ2394" s="5"/>
      <c r="AK2394" s="5"/>
      <c r="AL2394" s="5"/>
    </row>
    <row r="2395">
      <c r="A2395" s="4" t="str">
        <f>VLOOKUP(L2395,payment_ids!C:D,2,FALSE)</f>
        <v>pay_HBSHjYa6WSP2de</v>
      </c>
      <c r="B2395" s="4"/>
      <c r="C2395" s="4" t="s">
        <v>1016</v>
      </c>
      <c r="D2395" s="4">
        <v>49899.0</v>
      </c>
      <c r="E2395" s="4"/>
      <c r="F2395" s="4">
        <v>6.0</v>
      </c>
      <c r="G2395" s="4">
        <v>249.0</v>
      </c>
      <c r="H2395" s="4"/>
      <c r="I2395" s="4">
        <v>249.0</v>
      </c>
      <c r="J2395" s="4" t="s">
        <v>6187</v>
      </c>
      <c r="K2395" s="6">
        <f>+919886573200</f>
        <v>919886573200</v>
      </c>
      <c r="L2395" s="4" t="str">
        <f t="shared" si="1"/>
        <v>geeks_techies@yahoo.com919886573200</v>
      </c>
      <c r="M2395" s="10" t="s">
        <v>67</v>
      </c>
      <c r="N2395" s="4" t="b">
        <v>0</v>
      </c>
      <c r="O2395" s="4" t="str">
        <f>VLOOKUP(A2395,payment_ids!D:E,2,FALSE)</f>
        <v>card</v>
      </c>
      <c r="P2395" s="4" t="s">
        <v>69</v>
      </c>
      <c r="Q2395" s="4" t="s">
        <v>4426</v>
      </c>
      <c r="R2395" s="4"/>
      <c r="S2395" s="12" t="s">
        <v>6186</v>
      </c>
      <c r="T2395" s="4"/>
      <c r="U2395" s="4"/>
      <c r="V2395" s="4"/>
      <c r="W2395" s="5"/>
      <c r="X2395" s="4"/>
      <c r="Y2395" s="4"/>
      <c r="Z2395" s="5"/>
      <c r="AA2395" s="4"/>
      <c r="AB2395" s="4"/>
      <c r="AC2395" s="4"/>
      <c r="AD2395" s="4"/>
      <c r="AE2395" s="5"/>
      <c r="AF2395" s="5"/>
      <c r="AG2395" s="5"/>
      <c r="AH2395" s="5"/>
      <c r="AI2395" s="5"/>
      <c r="AJ2395" s="5"/>
      <c r="AK2395" s="5"/>
      <c r="AL2395" s="5"/>
    </row>
    <row r="2396">
      <c r="A2396" s="4" t="str">
        <f>VLOOKUP(L2396,payment_ids!C:D,2,FALSE)</f>
        <v>pay_HBSiCuFMhy8us4</v>
      </c>
      <c r="B2396" s="4"/>
      <c r="C2396" s="4" t="s">
        <v>1016</v>
      </c>
      <c r="D2396" s="4">
        <v>49899.0</v>
      </c>
      <c r="E2396" s="4"/>
      <c r="F2396" s="4">
        <v>1.0</v>
      </c>
      <c r="G2396" s="4">
        <v>99.0</v>
      </c>
      <c r="H2396" s="4"/>
      <c r="I2396" s="4">
        <v>99.0</v>
      </c>
      <c r="J2396" s="4" t="s">
        <v>6188</v>
      </c>
      <c r="K2396" s="6">
        <f>+919002860215</f>
        <v>919002860215</v>
      </c>
      <c r="L2396" s="4" t="str">
        <f t="shared" si="1"/>
        <v>talukdar.soumen25@gmail.com919002860215</v>
      </c>
      <c r="M2396" s="10" t="s">
        <v>67</v>
      </c>
      <c r="N2396" s="4" t="b">
        <v>0</v>
      </c>
      <c r="O2396" s="4" t="str">
        <f>VLOOKUP(A2396,payment_ids!D:E,2,FALSE)</f>
        <v>upi</v>
      </c>
      <c r="P2396" s="4" t="s">
        <v>69</v>
      </c>
      <c r="Q2396" s="4" t="s">
        <v>6189</v>
      </c>
      <c r="R2396" s="4"/>
      <c r="S2396" s="12" t="s">
        <v>6186</v>
      </c>
      <c r="T2396" s="4"/>
      <c r="U2396" s="4"/>
      <c r="V2396" s="4"/>
      <c r="W2396" s="5"/>
      <c r="X2396" s="4"/>
      <c r="Y2396" s="4"/>
      <c r="Z2396" s="5"/>
      <c r="AA2396" s="4"/>
      <c r="AB2396" s="4"/>
      <c r="AC2396" s="4"/>
      <c r="AD2396" s="4"/>
      <c r="AE2396" s="5"/>
      <c r="AF2396" s="5"/>
      <c r="AG2396" s="5"/>
      <c r="AH2396" s="5"/>
      <c r="AI2396" s="5"/>
      <c r="AJ2396" s="5"/>
      <c r="AK2396" s="5"/>
      <c r="AL2396" s="5"/>
    </row>
    <row r="2397">
      <c r="A2397" s="4" t="str">
        <f>VLOOKUP(L2397,payment_ids!C:D,2,FALSE)</f>
        <v>pay_HBLKoi0MgfUqwC</v>
      </c>
      <c r="B2397" s="4"/>
      <c r="C2397" s="4" t="s">
        <v>1016</v>
      </c>
      <c r="D2397" s="4">
        <v>49899.0</v>
      </c>
      <c r="E2397" s="4"/>
      <c r="F2397" s="4">
        <v>6.0</v>
      </c>
      <c r="G2397" s="4">
        <v>249.0</v>
      </c>
      <c r="H2397" s="4"/>
      <c r="I2397" s="4">
        <v>249.0</v>
      </c>
      <c r="J2397" s="4" t="s">
        <v>6190</v>
      </c>
      <c r="K2397" s="6">
        <f>+919899327756</f>
        <v>919899327756</v>
      </c>
      <c r="L2397" s="4" t="str">
        <f t="shared" si="1"/>
        <v>samraat.018@gmail.com919899327756</v>
      </c>
      <c r="M2397" s="10" t="s">
        <v>67</v>
      </c>
      <c r="N2397" s="4" t="b">
        <v>0</v>
      </c>
      <c r="O2397" s="4" t="str">
        <f>VLOOKUP(A2397,payment_ids!D:E,2,FALSE)</f>
        <v>card</v>
      </c>
      <c r="P2397" s="4" t="s">
        <v>69</v>
      </c>
      <c r="Q2397" s="4" t="s">
        <v>6191</v>
      </c>
      <c r="R2397" s="4"/>
      <c r="S2397" s="12" t="s">
        <v>6186</v>
      </c>
      <c r="T2397" s="4"/>
      <c r="U2397" s="4"/>
      <c r="V2397" s="4"/>
      <c r="W2397" s="5"/>
      <c r="X2397" s="4"/>
      <c r="Y2397" s="4"/>
      <c r="Z2397" s="5"/>
      <c r="AA2397" s="4"/>
      <c r="AB2397" s="4"/>
      <c r="AC2397" s="4"/>
      <c r="AD2397" s="4"/>
      <c r="AE2397" s="5"/>
      <c r="AF2397" s="5"/>
      <c r="AG2397" s="5"/>
      <c r="AH2397" s="5"/>
      <c r="AI2397" s="5"/>
      <c r="AJ2397" s="5"/>
      <c r="AK2397" s="5"/>
      <c r="AL2397" s="5"/>
    </row>
    <row r="2398">
      <c r="A2398" s="4" t="str">
        <f>VLOOKUP(L2398,payment_ids!C:D,2,FALSE)</f>
        <v>pay_HICfP8pbpsixop</v>
      </c>
      <c r="B2398" s="4"/>
      <c r="C2398" s="4" t="s">
        <v>1016</v>
      </c>
      <c r="D2398" s="4">
        <v>49899.0</v>
      </c>
      <c r="E2398" s="5"/>
      <c r="F2398" s="4">
        <v>3.0</v>
      </c>
      <c r="G2398" s="4">
        <v>299.0</v>
      </c>
      <c r="H2398" s="4"/>
      <c r="I2398" s="4">
        <v>299.0</v>
      </c>
      <c r="J2398" s="4" t="s">
        <v>6192</v>
      </c>
      <c r="K2398" s="5">
        <f>+917978584688</f>
        <v>917978584688</v>
      </c>
      <c r="L2398" s="4" t="str">
        <f t="shared" si="1"/>
        <v>shubhasree.sarkar3103@gmail.com917978584688</v>
      </c>
      <c r="M2398" s="10" t="s">
        <v>67</v>
      </c>
      <c r="N2398" s="4" t="b">
        <v>0</v>
      </c>
      <c r="O2398" s="4" t="str">
        <f>VLOOKUP(A2398,payment_ids!D:E,2,FALSE)</f>
        <v>wallet</v>
      </c>
      <c r="P2398" s="4" t="s">
        <v>69</v>
      </c>
      <c r="Q2398" s="11">
        <v>44233.78194444445</v>
      </c>
      <c r="R2398" s="4"/>
      <c r="S2398" s="12" t="s">
        <v>6186</v>
      </c>
      <c r="T2398" s="5"/>
      <c r="U2398" s="4"/>
      <c r="V2398" s="4"/>
      <c r="W2398" s="5"/>
      <c r="X2398" s="4"/>
      <c r="Y2398" s="4"/>
      <c r="Z2398" s="5"/>
      <c r="AA2398" s="4"/>
      <c r="AB2398" s="4"/>
      <c r="AC2398" s="4"/>
      <c r="AD2398" s="4"/>
      <c r="AE2398" s="5"/>
      <c r="AF2398" s="5"/>
      <c r="AG2398" s="5"/>
      <c r="AH2398" s="5"/>
      <c r="AI2398" s="5"/>
      <c r="AJ2398" s="5"/>
      <c r="AK2398" s="5"/>
      <c r="AL2398" s="5"/>
    </row>
    <row r="2399">
      <c r="A2399" s="4" t="str">
        <f>VLOOKUP(L2399,payment_ids!C:D,2,FALSE)</f>
        <v>pay_HNOqPzoQoyMl07</v>
      </c>
      <c r="B2399" s="4"/>
      <c r="C2399" s="4" t="s">
        <v>1016</v>
      </c>
      <c r="D2399" s="4">
        <v>49899.0</v>
      </c>
      <c r="E2399" s="5"/>
      <c r="F2399" s="4">
        <v>6.0</v>
      </c>
      <c r="G2399" s="4">
        <v>499.0</v>
      </c>
      <c r="H2399" s="4"/>
      <c r="I2399" s="4">
        <v>499.0</v>
      </c>
      <c r="J2399" s="4" t="s">
        <v>6193</v>
      </c>
      <c r="K2399" s="5">
        <f>+918919315110</f>
        <v>918919315110</v>
      </c>
      <c r="L2399" s="4" t="str">
        <f t="shared" si="1"/>
        <v>shashankkodati@gmail.com918919315110</v>
      </c>
      <c r="M2399" s="10" t="s">
        <v>67</v>
      </c>
      <c r="N2399" s="4" t="b">
        <v>0</v>
      </c>
      <c r="O2399" s="4" t="str">
        <f>VLOOKUP(A2399,payment_ids!D:E,2,FALSE)</f>
        <v>wallet</v>
      </c>
      <c r="P2399" s="4" t="s">
        <v>69</v>
      </c>
      <c r="Q2399" s="4" t="s">
        <v>6194</v>
      </c>
      <c r="R2399" s="4"/>
      <c r="S2399" s="12" t="s">
        <v>6186</v>
      </c>
      <c r="T2399" s="4" t="s">
        <v>2444</v>
      </c>
      <c r="U2399" s="4"/>
      <c r="V2399" s="4"/>
      <c r="W2399" s="5"/>
      <c r="X2399" s="4"/>
      <c r="Y2399" s="4"/>
      <c r="Z2399" s="5"/>
      <c r="AA2399" s="4"/>
      <c r="AB2399" s="4"/>
      <c r="AC2399" s="4"/>
      <c r="AD2399" s="4"/>
      <c r="AE2399" s="5"/>
      <c r="AF2399" s="5"/>
      <c r="AG2399" s="5"/>
      <c r="AH2399" s="5"/>
      <c r="AI2399" s="5"/>
      <c r="AJ2399" s="5"/>
      <c r="AK2399" s="5"/>
      <c r="AL2399" s="5"/>
    </row>
    <row r="2400">
      <c r="A2400" s="4" t="str">
        <f>VLOOKUP(L2400,payment_ids!C:D,2,FALSE)</f>
        <v>pay_HHhd9djWgCXQvK</v>
      </c>
      <c r="B2400" s="4"/>
      <c r="C2400" s="4" t="s">
        <v>6195</v>
      </c>
      <c r="D2400" s="4">
        <v>50092.0</v>
      </c>
      <c r="E2400" s="5"/>
      <c r="F2400" s="4">
        <v>1.0</v>
      </c>
      <c r="G2400" s="4">
        <v>249.0</v>
      </c>
      <c r="H2400" s="4"/>
      <c r="I2400" s="4">
        <v>249.0</v>
      </c>
      <c r="J2400" s="4" t="s">
        <v>6196</v>
      </c>
      <c r="K2400" s="5">
        <f>+917588057407</f>
        <v>917588057407</v>
      </c>
      <c r="L2400" s="4" t="str">
        <f t="shared" si="1"/>
        <v>sunitagutte407@gmail.com917588057407</v>
      </c>
      <c r="M2400" s="10" t="s">
        <v>67</v>
      </c>
      <c r="N2400" s="4" t="b">
        <v>0</v>
      </c>
      <c r="O2400" s="4" t="str">
        <f>VLOOKUP(A2400,payment_ids!D:E,2,FALSE)</f>
        <v>upi</v>
      </c>
      <c r="P2400" s="4" t="s">
        <v>69</v>
      </c>
      <c r="Q2400" s="11">
        <v>44202.51527777778</v>
      </c>
      <c r="R2400" s="4"/>
      <c r="S2400" s="12" t="s">
        <v>6197</v>
      </c>
      <c r="T2400" s="5"/>
      <c r="U2400" s="4"/>
      <c r="V2400" s="4"/>
      <c r="W2400" s="5"/>
      <c r="X2400" s="4"/>
      <c r="Y2400" s="4"/>
      <c r="Z2400" s="5"/>
      <c r="AA2400" s="4"/>
      <c r="AB2400" s="4"/>
      <c r="AC2400" s="4"/>
      <c r="AD2400" s="4"/>
      <c r="AE2400" s="5"/>
      <c r="AF2400" s="5"/>
      <c r="AG2400" s="5"/>
      <c r="AH2400" s="5"/>
      <c r="AI2400" s="5"/>
      <c r="AJ2400" s="5"/>
      <c r="AK2400" s="5"/>
      <c r="AL2400" s="5"/>
    </row>
    <row r="2401">
      <c r="A2401" s="4" t="str">
        <f>VLOOKUP(L2401,payment_ids!C:D,2,FALSE)</f>
        <v>pay_H9RBbrNWhXOHiE</v>
      </c>
      <c r="B2401" s="4"/>
      <c r="C2401" s="4" t="s">
        <v>6198</v>
      </c>
      <c r="D2401" s="4">
        <v>49835.0</v>
      </c>
      <c r="E2401" s="4"/>
      <c r="F2401" s="4">
        <v>3.0</v>
      </c>
      <c r="G2401" s="4">
        <v>99.0</v>
      </c>
      <c r="H2401" s="4"/>
      <c r="I2401" s="4">
        <v>99.0</v>
      </c>
      <c r="J2401" s="4" t="s">
        <v>6199</v>
      </c>
      <c r="K2401" s="6">
        <f>+917002416110</f>
        <v>917002416110</v>
      </c>
      <c r="L2401" s="4" t="str">
        <f t="shared" si="1"/>
        <v>shashwat.kothari1@gmail.com917002416110</v>
      </c>
      <c r="M2401" s="10" t="s">
        <v>67</v>
      </c>
      <c r="N2401" s="4" t="b">
        <v>0</v>
      </c>
      <c r="O2401" s="4" t="str">
        <f>VLOOKUP(A2401,payment_ids!D:E,2,FALSE)</f>
        <v>upi</v>
      </c>
      <c r="P2401" s="4" t="s">
        <v>69</v>
      </c>
      <c r="Q2401" s="11">
        <v>44505.631944444445</v>
      </c>
      <c r="R2401" s="4"/>
      <c r="S2401" s="12" t="s">
        <v>3888</v>
      </c>
      <c r="T2401" s="4"/>
      <c r="U2401" s="4"/>
      <c r="V2401" s="4"/>
      <c r="W2401" s="5"/>
      <c r="X2401" s="4"/>
      <c r="Y2401" s="4"/>
      <c r="Z2401" s="5"/>
      <c r="AA2401" s="4"/>
      <c r="AB2401" s="4"/>
      <c r="AC2401" s="4"/>
      <c r="AD2401" s="4"/>
      <c r="AE2401" s="5"/>
      <c r="AF2401" s="5"/>
      <c r="AG2401" s="5"/>
      <c r="AH2401" s="5"/>
      <c r="AI2401" s="5"/>
      <c r="AJ2401" s="5"/>
      <c r="AK2401" s="5"/>
      <c r="AL2401" s="5"/>
    </row>
    <row r="2402">
      <c r="A2402" s="4" t="str">
        <f>VLOOKUP(L2402,payment_ids!C:D,2,FALSE)</f>
        <v>pay_HAkWTh97xgSNmt</v>
      </c>
      <c r="B2402" s="4"/>
      <c r="C2402" s="4" t="s">
        <v>6198</v>
      </c>
      <c r="D2402" s="4">
        <v>49835.0</v>
      </c>
      <c r="E2402" s="4"/>
      <c r="F2402" s="4">
        <v>3.0</v>
      </c>
      <c r="G2402" s="4">
        <v>99.0</v>
      </c>
      <c r="H2402" s="4"/>
      <c r="I2402" s="4">
        <v>99.0</v>
      </c>
      <c r="J2402" s="4" t="s">
        <v>6200</v>
      </c>
      <c r="K2402" s="6">
        <f>+919742453575</f>
        <v>919742453575</v>
      </c>
      <c r="L2402" s="4" t="str">
        <f t="shared" si="1"/>
        <v>charanraj862@gmail.com919742453575</v>
      </c>
      <c r="M2402" s="10" t="s">
        <v>67</v>
      </c>
      <c r="N2402" s="4" t="b">
        <v>0</v>
      </c>
      <c r="O2402" s="4" t="str">
        <f>VLOOKUP(A2402,payment_ids!D:E,2,FALSE)</f>
        <v>upi</v>
      </c>
      <c r="P2402" s="4" t="s">
        <v>69</v>
      </c>
      <c r="Q2402" s="4" t="s">
        <v>6201</v>
      </c>
      <c r="R2402" s="4"/>
      <c r="S2402" s="12" t="s">
        <v>3888</v>
      </c>
      <c r="T2402" s="4"/>
      <c r="U2402" s="4"/>
      <c r="V2402" s="4"/>
      <c r="W2402" s="5"/>
      <c r="X2402" s="4"/>
      <c r="Y2402" s="4"/>
      <c r="Z2402" s="5"/>
      <c r="AA2402" s="4"/>
      <c r="AB2402" s="4"/>
      <c r="AC2402" s="4"/>
      <c r="AD2402" s="4"/>
      <c r="AE2402" s="5"/>
      <c r="AF2402" s="5"/>
      <c r="AG2402" s="5"/>
      <c r="AH2402" s="5"/>
      <c r="AI2402" s="5"/>
      <c r="AJ2402" s="5"/>
      <c r="AK2402" s="5"/>
      <c r="AL2402" s="5"/>
    </row>
    <row r="2403">
      <c r="A2403" s="4" t="str">
        <f>VLOOKUP(L2403,payment_ids!C:D,2,FALSE)</f>
        <v>pay_HB5LnYP4fHvSDv</v>
      </c>
      <c r="B2403" s="4"/>
      <c r="C2403" s="4" t="s">
        <v>6198</v>
      </c>
      <c r="D2403" s="4">
        <v>49835.0</v>
      </c>
      <c r="E2403" s="4"/>
      <c r="F2403" s="4">
        <v>3.0</v>
      </c>
      <c r="G2403" s="4">
        <v>99.0</v>
      </c>
      <c r="H2403" s="4"/>
      <c r="I2403" s="4">
        <v>99.0</v>
      </c>
      <c r="J2403" s="4" t="s">
        <v>6202</v>
      </c>
      <c r="K2403" s="6">
        <f>+919810386533</f>
        <v>919810386533</v>
      </c>
      <c r="L2403" s="4" t="str">
        <f t="shared" si="1"/>
        <v>rahulguha.business@gmail.com919810386533</v>
      </c>
      <c r="M2403" s="10" t="s">
        <v>67</v>
      </c>
      <c r="N2403" s="4" t="b">
        <v>0</v>
      </c>
      <c r="O2403" s="4" t="str">
        <f>VLOOKUP(A2403,payment_ids!D:E,2,FALSE)</f>
        <v>upi</v>
      </c>
      <c r="P2403" s="4" t="s">
        <v>69</v>
      </c>
      <c r="Q2403" s="4" t="s">
        <v>6203</v>
      </c>
      <c r="R2403" s="4"/>
      <c r="S2403" s="12" t="s">
        <v>3888</v>
      </c>
      <c r="T2403" s="4"/>
      <c r="U2403" s="4"/>
      <c r="V2403" s="4"/>
      <c r="W2403" s="5"/>
      <c r="X2403" s="4"/>
      <c r="Y2403" s="4"/>
      <c r="Z2403" s="5"/>
      <c r="AA2403" s="4"/>
      <c r="AB2403" s="4"/>
      <c r="AC2403" s="4"/>
      <c r="AD2403" s="4"/>
      <c r="AE2403" s="5"/>
      <c r="AF2403" s="5"/>
      <c r="AG2403" s="5"/>
      <c r="AH2403" s="5"/>
      <c r="AI2403" s="5"/>
      <c r="AJ2403" s="5"/>
      <c r="AK2403" s="5"/>
      <c r="AL2403" s="5"/>
    </row>
    <row r="2404">
      <c r="A2404" s="4" t="str">
        <f>VLOOKUP(L2404,payment_ids!C:D,2,FALSE)</f>
        <v>pay_HAw5ohpXLMFCHv</v>
      </c>
      <c r="B2404" s="4"/>
      <c r="C2404" s="4" t="s">
        <v>6198</v>
      </c>
      <c r="D2404" s="4">
        <v>49835.0</v>
      </c>
      <c r="E2404" s="4"/>
      <c r="F2404" s="4">
        <v>3.0</v>
      </c>
      <c r="G2404" s="4">
        <v>99.0</v>
      </c>
      <c r="H2404" s="4"/>
      <c r="I2404" s="4">
        <v>99.0</v>
      </c>
      <c r="J2404" s="4" t="s">
        <v>6204</v>
      </c>
      <c r="K2404" s="6">
        <f>+916260676070</f>
        <v>916260676070</v>
      </c>
      <c r="L2404" s="4" t="str">
        <f t="shared" si="1"/>
        <v>shivendwivedi1236@gmail.com916260676070</v>
      </c>
      <c r="M2404" s="10" t="s">
        <v>67</v>
      </c>
      <c r="N2404" s="4" t="b">
        <v>0</v>
      </c>
      <c r="O2404" s="4" t="str">
        <f>VLOOKUP(A2404,payment_ids!D:E,2,FALSE)</f>
        <v>upi</v>
      </c>
      <c r="P2404" s="4" t="s">
        <v>69</v>
      </c>
      <c r="Q2404" s="4" t="s">
        <v>6205</v>
      </c>
      <c r="R2404" s="4"/>
      <c r="S2404" s="12" t="s">
        <v>3888</v>
      </c>
      <c r="T2404" s="4"/>
      <c r="U2404" s="4"/>
      <c r="V2404" s="4"/>
      <c r="W2404" s="5"/>
      <c r="X2404" s="4"/>
      <c r="Y2404" s="4"/>
      <c r="Z2404" s="5"/>
      <c r="AA2404" s="4"/>
      <c r="AB2404" s="4"/>
      <c r="AC2404" s="4"/>
      <c r="AD2404" s="4"/>
      <c r="AE2404" s="5"/>
      <c r="AF2404" s="5"/>
      <c r="AG2404" s="5"/>
      <c r="AH2404" s="5"/>
      <c r="AI2404" s="5"/>
      <c r="AJ2404" s="5"/>
      <c r="AK2404" s="5"/>
      <c r="AL2404" s="5"/>
    </row>
    <row r="2405">
      <c r="A2405" s="4" t="str">
        <f>VLOOKUP(L2405,payment_ids!C:D,2,FALSE)</f>
        <v>pay_HBQ088hajxAy4W</v>
      </c>
      <c r="B2405" s="4"/>
      <c r="C2405" s="4" t="s">
        <v>6198</v>
      </c>
      <c r="D2405" s="4">
        <v>49835.0</v>
      </c>
      <c r="E2405" s="4"/>
      <c r="F2405" s="4">
        <v>3.0</v>
      </c>
      <c r="G2405" s="4">
        <v>99.0</v>
      </c>
      <c r="H2405" s="4"/>
      <c r="I2405" s="4">
        <v>99.0</v>
      </c>
      <c r="J2405" s="4" t="s">
        <v>6206</v>
      </c>
      <c r="K2405" s="6">
        <f>+919972039931</f>
        <v>919972039931</v>
      </c>
      <c r="L2405" s="4" t="str">
        <f t="shared" si="1"/>
        <v>rahul.h.desai@outlook.com919972039931</v>
      </c>
      <c r="M2405" s="10" t="s">
        <v>67</v>
      </c>
      <c r="N2405" s="4" t="b">
        <v>0</v>
      </c>
      <c r="O2405" s="4" t="str">
        <f>VLOOKUP(A2405,payment_ids!D:E,2,FALSE)</f>
        <v>upi</v>
      </c>
      <c r="P2405" s="4" t="s">
        <v>69</v>
      </c>
      <c r="Q2405" s="4" t="s">
        <v>6207</v>
      </c>
      <c r="R2405" s="4"/>
      <c r="S2405" s="12" t="s">
        <v>3888</v>
      </c>
      <c r="T2405" s="4"/>
      <c r="U2405" s="4"/>
      <c r="V2405" s="4"/>
      <c r="W2405" s="5"/>
      <c r="X2405" s="4"/>
      <c r="Y2405" s="4"/>
      <c r="Z2405" s="5"/>
      <c r="AA2405" s="4"/>
      <c r="AB2405" s="4"/>
      <c r="AC2405" s="4"/>
      <c r="AD2405" s="4"/>
      <c r="AE2405" s="5"/>
      <c r="AF2405" s="5"/>
      <c r="AG2405" s="5"/>
      <c r="AH2405" s="5"/>
      <c r="AI2405" s="5"/>
      <c r="AJ2405" s="5"/>
      <c r="AK2405" s="5"/>
      <c r="AL2405" s="5"/>
    </row>
    <row r="2406">
      <c r="A2406" s="4" t="str">
        <f>VLOOKUP(L2406,payment_ids!C:D,2,FALSE)</f>
        <v>pay_HBR4x2B9RjSwIg</v>
      </c>
      <c r="B2406" s="4"/>
      <c r="C2406" s="4" t="s">
        <v>6198</v>
      </c>
      <c r="D2406" s="4">
        <v>49835.0</v>
      </c>
      <c r="E2406" s="4"/>
      <c r="F2406" s="4">
        <v>3.0</v>
      </c>
      <c r="G2406" s="4">
        <v>99.0</v>
      </c>
      <c r="H2406" s="4"/>
      <c r="I2406" s="4">
        <v>99.0</v>
      </c>
      <c r="J2406" s="4" t="s">
        <v>6208</v>
      </c>
      <c r="K2406" s="6">
        <f>+919029362879</f>
        <v>919029362879</v>
      </c>
      <c r="L2406" s="4" t="str">
        <f t="shared" si="1"/>
        <v>harshmodipersonal@gmail.com919029362879</v>
      </c>
      <c r="M2406" s="10" t="s">
        <v>67</v>
      </c>
      <c r="N2406" s="4" t="b">
        <v>0</v>
      </c>
      <c r="O2406" s="4" t="str">
        <f>VLOOKUP(A2406,payment_ids!D:E,2,FALSE)</f>
        <v>upi</v>
      </c>
      <c r="P2406" s="4" t="s">
        <v>69</v>
      </c>
      <c r="Q2406" s="4" t="s">
        <v>6209</v>
      </c>
      <c r="R2406" s="4"/>
      <c r="S2406" s="12" t="s">
        <v>3888</v>
      </c>
      <c r="T2406" s="4"/>
      <c r="U2406" s="4"/>
      <c r="V2406" s="4"/>
      <c r="W2406" s="5"/>
      <c r="X2406" s="4"/>
      <c r="Y2406" s="4"/>
      <c r="Z2406" s="5"/>
      <c r="AA2406" s="4"/>
      <c r="AB2406" s="4"/>
      <c r="AC2406" s="4"/>
      <c r="AD2406" s="4"/>
      <c r="AE2406" s="5"/>
      <c r="AF2406" s="5"/>
      <c r="AG2406" s="5"/>
      <c r="AH2406" s="5"/>
      <c r="AI2406" s="5"/>
      <c r="AJ2406" s="5"/>
      <c r="AK2406" s="5"/>
      <c r="AL2406" s="5"/>
    </row>
    <row r="2407">
      <c r="A2407" s="4" t="str">
        <f>VLOOKUP(L2407,payment_ids!C:D,2,FALSE)</f>
        <v>pay_HBRmhQCuYMayrb</v>
      </c>
      <c r="B2407" s="4"/>
      <c r="C2407" s="4" t="s">
        <v>6198</v>
      </c>
      <c r="D2407" s="4">
        <v>49835.0</v>
      </c>
      <c r="E2407" s="4"/>
      <c r="F2407" s="4">
        <v>3.0</v>
      </c>
      <c r="G2407" s="4">
        <v>99.0</v>
      </c>
      <c r="H2407" s="4"/>
      <c r="I2407" s="4">
        <v>99.0</v>
      </c>
      <c r="J2407" s="4" t="s">
        <v>6210</v>
      </c>
      <c r="K2407" s="6">
        <f>+919952820016</f>
        <v>919952820016</v>
      </c>
      <c r="L2407" s="4" t="str">
        <f t="shared" si="1"/>
        <v>ppalannijaikumar@gmail.com919952820016</v>
      </c>
      <c r="M2407" s="10" t="s">
        <v>67</v>
      </c>
      <c r="N2407" s="4" t="b">
        <v>0</v>
      </c>
      <c r="O2407" s="4" t="str">
        <f>VLOOKUP(A2407,payment_ids!D:E,2,FALSE)</f>
        <v>card</v>
      </c>
      <c r="P2407" s="4" t="s">
        <v>69</v>
      </c>
      <c r="Q2407" s="4" t="s">
        <v>6211</v>
      </c>
      <c r="R2407" s="4"/>
      <c r="S2407" s="12" t="s">
        <v>3888</v>
      </c>
      <c r="T2407" s="4"/>
      <c r="U2407" s="4"/>
      <c r="V2407" s="4"/>
      <c r="W2407" s="5"/>
      <c r="X2407" s="4"/>
      <c r="Y2407" s="4"/>
      <c r="Z2407" s="5"/>
      <c r="AA2407" s="4"/>
      <c r="AB2407" s="4"/>
      <c r="AC2407" s="4"/>
      <c r="AD2407" s="4"/>
      <c r="AE2407" s="5"/>
      <c r="AF2407" s="5"/>
      <c r="AG2407" s="5"/>
      <c r="AH2407" s="5"/>
      <c r="AI2407" s="5"/>
      <c r="AJ2407" s="5"/>
      <c r="AK2407" s="5"/>
      <c r="AL2407" s="5"/>
    </row>
    <row r="2408">
      <c r="A2408" s="4" t="str">
        <f>VLOOKUP(L2408,payment_ids!C:D,2,FALSE)</f>
        <v>pay_HBt1VB57Y0oxJ5</v>
      </c>
      <c r="B2408" s="4"/>
      <c r="C2408" s="4" t="s">
        <v>6198</v>
      </c>
      <c r="D2408" s="4">
        <v>49835.0</v>
      </c>
      <c r="E2408" s="4"/>
      <c r="F2408" s="4">
        <v>3.0</v>
      </c>
      <c r="G2408" s="4">
        <v>99.0</v>
      </c>
      <c r="H2408" s="4"/>
      <c r="I2408" s="4">
        <v>99.0</v>
      </c>
      <c r="J2408" s="4" t="s">
        <v>6212</v>
      </c>
      <c r="K2408" s="6">
        <f>+917019924818</f>
        <v>917019924818</v>
      </c>
      <c r="L2408" s="4" t="str">
        <f t="shared" si="1"/>
        <v>dilipv31896@gmail.com917019924818</v>
      </c>
      <c r="M2408" s="10" t="s">
        <v>67</v>
      </c>
      <c r="N2408" s="4" t="b">
        <v>0</v>
      </c>
      <c r="O2408" s="4" t="str">
        <f>VLOOKUP(A2408,payment_ids!D:E,2,FALSE)</f>
        <v>upi</v>
      </c>
      <c r="P2408" s="4" t="s">
        <v>69</v>
      </c>
      <c r="Q2408" s="4" t="s">
        <v>6213</v>
      </c>
      <c r="R2408" s="4"/>
      <c r="S2408" s="12" t="s">
        <v>3888</v>
      </c>
      <c r="T2408" s="4"/>
      <c r="U2408" s="4"/>
      <c r="V2408" s="4"/>
      <c r="W2408" s="5"/>
      <c r="X2408" s="4"/>
      <c r="Y2408" s="4"/>
      <c r="Z2408" s="5"/>
      <c r="AA2408" s="4"/>
      <c r="AB2408" s="4"/>
      <c r="AC2408" s="4"/>
      <c r="AD2408" s="4"/>
      <c r="AE2408" s="5"/>
      <c r="AF2408" s="5"/>
      <c r="AG2408" s="5"/>
      <c r="AH2408" s="5"/>
      <c r="AI2408" s="5"/>
      <c r="AJ2408" s="5"/>
      <c r="AK2408" s="5"/>
      <c r="AL2408" s="5"/>
    </row>
    <row r="2409">
      <c r="A2409" s="4" t="str">
        <f>VLOOKUP(L2409,payment_ids!C:D,2,FALSE)</f>
        <v>pay_HC58Rq9h2gVv0O</v>
      </c>
      <c r="B2409" s="4"/>
      <c r="C2409" s="4" t="s">
        <v>6198</v>
      </c>
      <c r="D2409" s="4">
        <v>49835.0</v>
      </c>
      <c r="E2409" s="4"/>
      <c r="F2409" s="4">
        <v>3.0</v>
      </c>
      <c r="G2409" s="4">
        <v>99.0</v>
      </c>
      <c r="H2409" s="4"/>
      <c r="I2409" s="4">
        <v>99.0</v>
      </c>
      <c r="J2409" s="4" t="s">
        <v>1607</v>
      </c>
      <c r="K2409" s="6">
        <f>+919811238689</f>
        <v>919811238689</v>
      </c>
      <c r="L2409" s="4" t="str">
        <f t="shared" si="1"/>
        <v>amitsingh.select@gmail.com919811238689</v>
      </c>
      <c r="M2409" s="10" t="s">
        <v>67</v>
      </c>
      <c r="N2409" s="4" t="b">
        <v>0</v>
      </c>
      <c r="O2409" s="4" t="str">
        <f>VLOOKUP(A2409,payment_ids!D:E,2,FALSE)</f>
        <v>upi</v>
      </c>
      <c r="P2409" s="4" t="s">
        <v>69</v>
      </c>
      <c r="Q2409" s="4" t="s">
        <v>6214</v>
      </c>
      <c r="R2409" s="4"/>
      <c r="S2409" s="12" t="s">
        <v>3888</v>
      </c>
      <c r="T2409" s="4"/>
      <c r="U2409" s="4"/>
      <c r="V2409" s="4"/>
      <c r="W2409" s="5"/>
      <c r="X2409" s="4"/>
      <c r="Y2409" s="4"/>
      <c r="Z2409" s="5"/>
      <c r="AA2409" s="4"/>
      <c r="AB2409" s="4"/>
      <c r="AC2409" s="4"/>
      <c r="AD2409" s="4"/>
      <c r="AE2409" s="5"/>
      <c r="AF2409" s="5"/>
      <c r="AG2409" s="5"/>
      <c r="AH2409" s="5"/>
      <c r="AI2409" s="5"/>
      <c r="AJ2409" s="5"/>
      <c r="AK2409" s="5"/>
      <c r="AL2409" s="5"/>
    </row>
    <row r="2410">
      <c r="A2410" s="4" t="str">
        <f>VLOOKUP(L2410,payment_ids!C:D,2,FALSE)</f>
        <v>pay_HCDbpBcHsCDqSp</v>
      </c>
      <c r="B2410" s="4"/>
      <c r="C2410" s="4" t="s">
        <v>6198</v>
      </c>
      <c r="D2410" s="4">
        <v>49835.0</v>
      </c>
      <c r="E2410" s="4"/>
      <c r="F2410" s="4">
        <v>3.0</v>
      </c>
      <c r="G2410" s="4">
        <v>99.0</v>
      </c>
      <c r="H2410" s="4"/>
      <c r="I2410" s="4">
        <v>99.0</v>
      </c>
      <c r="J2410" s="4" t="s">
        <v>6215</v>
      </c>
      <c r="K2410" s="6">
        <f>+917741972081</f>
        <v>917741972081</v>
      </c>
      <c r="L2410" s="4" t="str">
        <f t="shared" si="1"/>
        <v>obedkbenjamin.ob@gmail.com917741972081</v>
      </c>
      <c r="M2410" s="10" t="s">
        <v>67</v>
      </c>
      <c r="N2410" s="4" t="b">
        <v>0</v>
      </c>
      <c r="O2410" s="4" t="str">
        <f>VLOOKUP(A2410,payment_ids!D:E,2,FALSE)</f>
        <v>card</v>
      </c>
      <c r="P2410" s="4" t="s">
        <v>69</v>
      </c>
      <c r="Q2410" s="4" t="s">
        <v>6216</v>
      </c>
      <c r="R2410" s="4"/>
      <c r="S2410" s="12" t="s">
        <v>3888</v>
      </c>
      <c r="T2410" s="4"/>
      <c r="U2410" s="4"/>
      <c r="V2410" s="4"/>
      <c r="W2410" s="5"/>
      <c r="X2410" s="4"/>
      <c r="Y2410" s="4"/>
      <c r="Z2410" s="5"/>
      <c r="AA2410" s="4"/>
      <c r="AB2410" s="4"/>
      <c r="AC2410" s="4"/>
      <c r="AD2410" s="4"/>
      <c r="AE2410" s="5"/>
      <c r="AF2410" s="5"/>
      <c r="AG2410" s="5"/>
      <c r="AH2410" s="5"/>
      <c r="AI2410" s="5"/>
      <c r="AJ2410" s="5"/>
      <c r="AK2410" s="5"/>
      <c r="AL2410" s="5"/>
    </row>
    <row r="2411">
      <c r="A2411" s="4" t="str">
        <f>VLOOKUP(L2411,payment_ids!C:D,2,FALSE)</f>
        <v>pay_H7uI4YYhVf3JxU</v>
      </c>
      <c r="B2411" s="4"/>
      <c r="C2411" s="4" t="s">
        <v>6217</v>
      </c>
      <c r="D2411" s="4">
        <v>50046.0</v>
      </c>
      <c r="E2411" s="4"/>
      <c r="F2411" s="4">
        <v>1.0</v>
      </c>
      <c r="G2411" s="4">
        <v>99.0</v>
      </c>
      <c r="H2411" s="4"/>
      <c r="I2411" s="4">
        <v>99.0</v>
      </c>
      <c r="J2411" s="4" t="s">
        <v>6218</v>
      </c>
      <c r="K2411" s="6">
        <f>+919560256001</f>
        <v>919560256001</v>
      </c>
      <c r="L2411" s="4" t="str">
        <f t="shared" si="1"/>
        <v>preeti.manchanda74@gmail.com919560256001</v>
      </c>
      <c r="M2411" s="10" t="s">
        <v>67</v>
      </c>
      <c r="N2411" s="4" t="b">
        <v>0</v>
      </c>
      <c r="O2411" s="4" t="str">
        <f>VLOOKUP(A2411,payment_ids!D:E,2,FALSE)</f>
        <v>upi</v>
      </c>
      <c r="P2411" s="4" t="s">
        <v>69</v>
      </c>
      <c r="Q2411" s="11">
        <v>44382.760416666664</v>
      </c>
      <c r="R2411" s="4"/>
      <c r="S2411" s="12" t="s">
        <v>6219</v>
      </c>
      <c r="T2411" s="4"/>
      <c r="U2411" s="4"/>
      <c r="V2411" s="4"/>
      <c r="W2411" s="5"/>
      <c r="X2411" s="4"/>
      <c r="Y2411" s="4"/>
      <c r="Z2411" s="5"/>
      <c r="AA2411" s="4"/>
      <c r="AB2411" s="4"/>
      <c r="AC2411" s="4"/>
      <c r="AD2411" s="4"/>
      <c r="AE2411" s="5"/>
      <c r="AF2411" s="5"/>
      <c r="AG2411" s="5"/>
      <c r="AH2411" s="5"/>
      <c r="AI2411" s="5"/>
      <c r="AJ2411" s="5"/>
      <c r="AK2411" s="5"/>
      <c r="AL2411" s="5"/>
    </row>
    <row r="2412">
      <c r="A2412" s="4" t="str">
        <f>VLOOKUP(L2412,payment_ids!C:D,2,FALSE)</f>
        <v>pay_H7o9QQoSyRCsa5</v>
      </c>
      <c r="B2412" s="4"/>
      <c r="C2412" s="4" t="s">
        <v>6217</v>
      </c>
      <c r="D2412" s="4">
        <v>50046.0</v>
      </c>
      <c r="E2412" s="4"/>
      <c r="F2412" s="4">
        <v>1.0</v>
      </c>
      <c r="G2412" s="4">
        <v>99.0</v>
      </c>
      <c r="H2412" s="4"/>
      <c r="I2412" s="4">
        <v>99.0</v>
      </c>
      <c r="J2412" s="4" t="s">
        <v>6220</v>
      </c>
      <c r="K2412" s="6">
        <f>+918208377191</f>
        <v>918208377191</v>
      </c>
      <c r="L2412" s="4" t="str">
        <f t="shared" si="1"/>
        <v>aparnaahir@yahoo.com918208377191</v>
      </c>
      <c r="M2412" s="10" t="s">
        <v>67</v>
      </c>
      <c r="N2412" s="4" t="b">
        <v>0</v>
      </c>
      <c r="O2412" s="4" t="str">
        <f>VLOOKUP(A2412,payment_ids!D:E,2,FALSE)</f>
        <v>upi</v>
      </c>
      <c r="P2412" s="4" t="s">
        <v>69</v>
      </c>
      <c r="Q2412" s="11">
        <v>44382.51111111111</v>
      </c>
      <c r="R2412" s="4"/>
      <c r="S2412" s="12" t="s">
        <v>6219</v>
      </c>
      <c r="T2412" s="4"/>
      <c r="U2412" s="4"/>
      <c r="V2412" s="4"/>
      <c r="W2412" s="5"/>
      <c r="X2412" s="4"/>
      <c r="Y2412" s="4"/>
      <c r="Z2412" s="5"/>
      <c r="AA2412" s="4"/>
      <c r="AB2412" s="4"/>
      <c r="AC2412" s="4"/>
      <c r="AD2412" s="4"/>
      <c r="AE2412" s="5"/>
      <c r="AF2412" s="5"/>
      <c r="AG2412" s="5"/>
      <c r="AH2412" s="5"/>
      <c r="AI2412" s="5"/>
      <c r="AJ2412" s="5"/>
      <c r="AK2412" s="5"/>
      <c r="AL2412" s="5"/>
    </row>
    <row r="2413">
      <c r="A2413" s="4" t="str">
        <f>VLOOKUP(L2413,payment_ids!C:D,2,FALSE)</f>
        <v>pay_H8k2qERpMIkRZa</v>
      </c>
      <c r="B2413" s="4"/>
      <c r="C2413" s="4" t="s">
        <v>6217</v>
      </c>
      <c r="D2413" s="4">
        <v>50046.0</v>
      </c>
      <c r="E2413" s="4"/>
      <c r="F2413" s="4">
        <v>6.0</v>
      </c>
      <c r="G2413" s="4">
        <v>349.0</v>
      </c>
      <c r="H2413" s="4"/>
      <c r="I2413" s="4">
        <v>349.0</v>
      </c>
      <c r="J2413" s="4" t="s">
        <v>4292</v>
      </c>
      <c r="K2413" s="6">
        <f>+919953295925</f>
        <v>919953295925</v>
      </c>
      <c r="L2413" s="4" t="str">
        <f t="shared" si="1"/>
        <v>sanya.sabharwal@gmail.com919953295925</v>
      </c>
      <c r="M2413" s="10" t="s">
        <v>67</v>
      </c>
      <c r="N2413" s="4" t="b">
        <v>0</v>
      </c>
      <c r="O2413" s="4" t="str">
        <f>VLOOKUP(A2413,payment_ids!D:E,2,FALSE)</f>
        <v>upi</v>
      </c>
      <c r="P2413" s="4" t="s">
        <v>69</v>
      </c>
      <c r="Q2413" s="11">
        <v>44444.87013888889</v>
      </c>
      <c r="R2413" s="4"/>
      <c r="S2413" s="12" t="s">
        <v>6219</v>
      </c>
      <c r="T2413" s="4"/>
      <c r="U2413" s="4"/>
      <c r="V2413" s="4"/>
      <c r="W2413" s="5"/>
      <c r="X2413" s="4"/>
      <c r="Y2413" s="4"/>
      <c r="Z2413" s="5"/>
      <c r="AA2413" s="4"/>
      <c r="AB2413" s="4"/>
      <c r="AC2413" s="4"/>
      <c r="AD2413" s="4"/>
      <c r="AE2413" s="5"/>
      <c r="AF2413" s="5"/>
      <c r="AG2413" s="5"/>
      <c r="AH2413" s="5"/>
      <c r="AI2413" s="5"/>
      <c r="AJ2413" s="5"/>
      <c r="AK2413" s="5"/>
      <c r="AL2413" s="5"/>
    </row>
    <row r="2414">
      <c r="A2414" s="4" t="str">
        <f>VLOOKUP(L2414,payment_ids!C:D,2,FALSE)</f>
        <v>pay_H8kBQLFhTmVAB4</v>
      </c>
      <c r="B2414" s="4"/>
      <c r="C2414" s="4" t="s">
        <v>6217</v>
      </c>
      <c r="D2414" s="4">
        <v>50046.0</v>
      </c>
      <c r="E2414" s="4"/>
      <c r="F2414" s="4">
        <v>1.0</v>
      </c>
      <c r="G2414" s="4">
        <v>99.0</v>
      </c>
      <c r="H2414" s="4"/>
      <c r="I2414" s="4">
        <v>99.0</v>
      </c>
      <c r="J2414" s="4" t="s">
        <v>4739</v>
      </c>
      <c r="K2414" s="6">
        <f>+919756031125</f>
        <v>919756031125</v>
      </c>
      <c r="L2414" s="4" t="str">
        <f t="shared" si="1"/>
        <v>singhsangeet120@gmail.com919756031125</v>
      </c>
      <c r="M2414" s="10" t="s">
        <v>67</v>
      </c>
      <c r="N2414" s="4" t="b">
        <v>0</v>
      </c>
      <c r="O2414" s="4" t="str">
        <f>VLOOKUP(A2414,payment_ids!D:E,2,FALSE)</f>
        <v>upi</v>
      </c>
      <c r="P2414" s="4" t="s">
        <v>69</v>
      </c>
      <c r="Q2414" s="11">
        <v>44444.87569444445</v>
      </c>
      <c r="R2414" s="4"/>
      <c r="S2414" s="12" t="s">
        <v>6219</v>
      </c>
      <c r="T2414" s="4"/>
      <c r="U2414" s="4"/>
      <c r="V2414" s="4"/>
      <c r="W2414" s="5"/>
      <c r="X2414" s="4"/>
      <c r="Y2414" s="4"/>
      <c r="Z2414" s="5"/>
      <c r="AA2414" s="4"/>
      <c r="AB2414" s="4"/>
      <c r="AC2414" s="4"/>
      <c r="AD2414" s="4"/>
      <c r="AE2414" s="5"/>
      <c r="AF2414" s="5"/>
      <c r="AG2414" s="5"/>
      <c r="AH2414" s="5"/>
      <c r="AI2414" s="5"/>
      <c r="AJ2414" s="5"/>
      <c r="AK2414" s="5"/>
      <c r="AL2414" s="5"/>
    </row>
    <row r="2415">
      <c r="A2415" s="4" t="str">
        <f>VLOOKUP(L2415,payment_ids!C:D,2,FALSE)</f>
        <v>pay_H8arz2BX2tAUnN</v>
      </c>
      <c r="B2415" s="4"/>
      <c r="C2415" s="4" t="s">
        <v>6217</v>
      </c>
      <c r="D2415" s="4">
        <v>50046.0</v>
      </c>
      <c r="E2415" s="4"/>
      <c r="F2415" s="4">
        <v>3.0</v>
      </c>
      <c r="G2415" s="4">
        <v>199.0</v>
      </c>
      <c r="H2415" s="4"/>
      <c r="I2415" s="4">
        <v>199.0</v>
      </c>
      <c r="J2415" s="4" t="s">
        <v>6221</v>
      </c>
      <c r="K2415" s="6">
        <f>+919844982111</f>
        <v>919844982111</v>
      </c>
      <c r="L2415" s="4" t="str">
        <f t="shared" si="1"/>
        <v>nagnishanth94@gmail.com919844982111</v>
      </c>
      <c r="M2415" s="10" t="s">
        <v>67</v>
      </c>
      <c r="N2415" s="4" t="b">
        <v>0</v>
      </c>
      <c r="O2415" s="4" t="str">
        <f>VLOOKUP(A2415,payment_ids!D:E,2,FALSE)</f>
        <v>upi</v>
      </c>
      <c r="P2415" s="4" t="s">
        <v>69</v>
      </c>
      <c r="Q2415" s="11">
        <v>44444.495833333334</v>
      </c>
      <c r="R2415" s="4"/>
      <c r="S2415" s="12" t="s">
        <v>6219</v>
      </c>
      <c r="T2415" s="4"/>
      <c r="U2415" s="4"/>
      <c r="V2415" s="4"/>
      <c r="W2415" s="5"/>
      <c r="X2415" s="4"/>
      <c r="Y2415" s="4"/>
      <c r="Z2415" s="5"/>
      <c r="AA2415" s="4"/>
      <c r="AB2415" s="4"/>
      <c r="AC2415" s="4"/>
      <c r="AD2415" s="4"/>
      <c r="AE2415" s="5"/>
      <c r="AF2415" s="5"/>
      <c r="AG2415" s="5"/>
      <c r="AH2415" s="5"/>
      <c r="AI2415" s="5"/>
      <c r="AJ2415" s="5"/>
      <c r="AK2415" s="5"/>
      <c r="AL2415" s="5"/>
    </row>
    <row r="2416">
      <c r="A2416" s="4" t="str">
        <f>VLOOKUP(L2416,payment_ids!C:D,2,FALSE)</f>
        <v>pay_H938684ZVXI648</v>
      </c>
      <c r="B2416" s="4"/>
      <c r="C2416" s="4" t="s">
        <v>6217</v>
      </c>
      <c r="D2416" s="4">
        <v>50046.0</v>
      </c>
      <c r="E2416" s="4"/>
      <c r="F2416" s="4">
        <v>1.0</v>
      </c>
      <c r="G2416" s="4">
        <v>99.0</v>
      </c>
      <c r="H2416" s="4"/>
      <c r="I2416" s="4">
        <v>99.0</v>
      </c>
      <c r="J2416" s="4" t="s">
        <v>6222</v>
      </c>
      <c r="K2416" s="6">
        <f>+919449692235</f>
        <v>919449692235</v>
      </c>
      <c r="L2416" s="4" t="str">
        <f t="shared" si="1"/>
        <v>santhosh8975@gmail.com919449692235</v>
      </c>
      <c r="M2416" s="10" t="s">
        <v>67</v>
      </c>
      <c r="N2416" s="4" t="b">
        <v>0</v>
      </c>
      <c r="O2416" s="4" t="str">
        <f>VLOOKUP(A2416,payment_ids!D:E,2,FALSE)</f>
        <v>upi</v>
      </c>
      <c r="P2416" s="4" t="s">
        <v>69</v>
      </c>
      <c r="Q2416" s="11">
        <v>44474.64722222222</v>
      </c>
      <c r="R2416" s="4"/>
      <c r="S2416" s="12" t="s">
        <v>6219</v>
      </c>
      <c r="T2416" s="4"/>
      <c r="U2416" s="4"/>
      <c r="V2416" s="4"/>
      <c r="W2416" s="5"/>
      <c r="X2416" s="4"/>
      <c r="Y2416" s="4"/>
      <c r="Z2416" s="5"/>
      <c r="AA2416" s="4"/>
      <c r="AB2416" s="4"/>
      <c r="AC2416" s="4"/>
      <c r="AD2416" s="4"/>
      <c r="AE2416" s="5"/>
      <c r="AF2416" s="5"/>
      <c r="AG2416" s="5"/>
      <c r="AH2416" s="5"/>
      <c r="AI2416" s="5"/>
      <c r="AJ2416" s="5"/>
      <c r="AK2416" s="5"/>
      <c r="AL2416" s="5"/>
    </row>
    <row r="2417">
      <c r="A2417" s="4" t="str">
        <f>VLOOKUP(L2417,payment_ids!C:D,2,FALSE)</f>
        <v>pay_H95dNnfgNiefse</v>
      </c>
      <c r="B2417" s="4"/>
      <c r="C2417" s="4" t="s">
        <v>6217</v>
      </c>
      <c r="D2417" s="4">
        <v>50046.0</v>
      </c>
      <c r="E2417" s="4"/>
      <c r="F2417" s="4">
        <v>3.0</v>
      </c>
      <c r="G2417" s="4">
        <v>199.0</v>
      </c>
      <c r="H2417" s="4"/>
      <c r="I2417" s="4">
        <v>199.0</v>
      </c>
      <c r="J2417" s="4" t="s">
        <v>6223</v>
      </c>
      <c r="K2417" s="6">
        <f>+917278662309</f>
        <v>917278662309</v>
      </c>
      <c r="L2417" s="4" t="str">
        <f t="shared" si="1"/>
        <v>trinaghosh30@yahoo.co.in917278662309</v>
      </c>
      <c r="M2417" s="10" t="s">
        <v>67</v>
      </c>
      <c r="N2417" s="4" t="b">
        <v>0</v>
      </c>
      <c r="O2417" s="4" t="str">
        <f>VLOOKUP(A2417,payment_ids!D:E,2,FALSE)</f>
        <v>upi</v>
      </c>
      <c r="P2417" s="4" t="s">
        <v>69</v>
      </c>
      <c r="Q2417" s="11">
        <v>44474.74930555555</v>
      </c>
      <c r="R2417" s="4"/>
      <c r="S2417" s="12" t="s">
        <v>6219</v>
      </c>
      <c r="T2417" s="4"/>
      <c r="U2417" s="4"/>
      <c r="V2417" s="4"/>
      <c r="W2417" s="5"/>
      <c r="X2417" s="4"/>
      <c r="Y2417" s="4"/>
      <c r="Z2417" s="5"/>
      <c r="AA2417" s="4"/>
      <c r="AB2417" s="4"/>
      <c r="AC2417" s="4"/>
      <c r="AD2417" s="4"/>
      <c r="AE2417" s="5"/>
      <c r="AF2417" s="5"/>
      <c r="AG2417" s="5"/>
      <c r="AH2417" s="5"/>
      <c r="AI2417" s="5"/>
      <c r="AJ2417" s="5"/>
      <c r="AK2417" s="5"/>
      <c r="AL2417" s="5"/>
    </row>
    <row r="2418">
      <c r="A2418" s="4" t="str">
        <f>VLOOKUP(L2418,payment_ids!C:D,2,FALSE)</f>
        <v>pay_HBalIiVU94dWdH</v>
      </c>
      <c r="B2418" s="4"/>
      <c r="C2418" s="4" t="s">
        <v>6217</v>
      </c>
      <c r="D2418" s="4">
        <v>50046.0</v>
      </c>
      <c r="E2418" s="4"/>
      <c r="F2418" s="4">
        <v>1.0</v>
      </c>
      <c r="G2418" s="4">
        <v>99.0</v>
      </c>
      <c r="H2418" s="4"/>
      <c r="I2418" s="4">
        <v>99.0</v>
      </c>
      <c r="J2418" s="4" t="s">
        <v>6224</v>
      </c>
      <c r="K2418" s="6">
        <f>+919552525348</f>
        <v>919552525348</v>
      </c>
      <c r="L2418" s="4" t="str">
        <f t="shared" si="1"/>
        <v>tabhijit99@gmail.com919552525348</v>
      </c>
      <c r="M2418" s="10" t="s">
        <v>67</v>
      </c>
      <c r="N2418" s="4" t="b">
        <v>0</v>
      </c>
      <c r="O2418" s="4" t="str">
        <f>VLOOKUP(A2418,payment_ids!D:E,2,FALSE)</f>
        <v>card</v>
      </c>
      <c r="P2418" s="4" t="s">
        <v>69</v>
      </c>
      <c r="Q2418" s="4" t="s">
        <v>6225</v>
      </c>
      <c r="R2418" s="4"/>
      <c r="S2418" s="12" t="s">
        <v>6219</v>
      </c>
      <c r="T2418" s="4"/>
      <c r="U2418" s="4"/>
      <c r="V2418" s="4"/>
      <c r="W2418" s="5"/>
      <c r="X2418" s="4"/>
      <c r="Y2418" s="4"/>
      <c r="Z2418" s="5"/>
      <c r="AA2418" s="4"/>
      <c r="AB2418" s="4"/>
      <c r="AC2418" s="4"/>
      <c r="AD2418" s="4"/>
      <c r="AE2418" s="5"/>
      <c r="AF2418" s="5"/>
      <c r="AG2418" s="5"/>
      <c r="AH2418" s="5"/>
      <c r="AI2418" s="5"/>
      <c r="AJ2418" s="5"/>
      <c r="AK2418" s="5"/>
      <c r="AL2418" s="5"/>
    </row>
    <row r="2419">
      <c r="A2419" s="4" t="str">
        <f>VLOOKUP(L2419,payment_ids!C:D,2,FALSE)</f>
        <v>pay_HBwmVH3nF91tmj</v>
      </c>
      <c r="B2419" s="4"/>
      <c r="C2419" s="4" t="s">
        <v>6217</v>
      </c>
      <c r="D2419" s="4">
        <v>50046.0</v>
      </c>
      <c r="E2419" s="4"/>
      <c r="F2419" s="4">
        <v>1.0</v>
      </c>
      <c r="G2419" s="4">
        <v>99.0</v>
      </c>
      <c r="H2419" s="4"/>
      <c r="I2419" s="4">
        <v>99.0</v>
      </c>
      <c r="J2419" s="4" t="s">
        <v>6226</v>
      </c>
      <c r="K2419" s="6">
        <f>+917744007007</f>
        <v>917744007007</v>
      </c>
      <c r="L2419" s="4" t="str">
        <f t="shared" si="1"/>
        <v>nikket@nikket.net917744007007</v>
      </c>
      <c r="M2419" s="10" t="s">
        <v>67</v>
      </c>
      <c r="N2419" s="4" t="b">
        <v>0</v>
      </c>
      <c r="O2419" s="4" t="str">
        <f>VLOOKUP(A2419,payment_ids!D:E,2,FALSE)</f>
        <v>upi</v>
      </c>
      <c r="P2419" s="4" t="s">
        <v>69</v>
      </c>
      <c r="Q2419" s="4" t="s">
        <v>6227</v>
      </c>
      <c r="R2419" s="4"/>
      <c r="S2419" s="12" t="s">
        <v>6219</v>
      </c>
      <c r="T2419" s="4"/>
      <c r="U2419" s="4"/>
      <c r="V2419" s="4"/>
      <c r="W2419" s="5"/>
      <c r="X2419" s="4"/>
      <c r="Y2419" s="4"/>
      <c r="Z2419" s="5"/>
      <c r="AA2419" s="4"/>
      <c r="AB2419" s="4"/>
      <c r="AC2419" s="4"/>
      <c r="AD2419" s="4"/>
      <c r="AE2419" s="5"/>
      <c r="AF2419" s="5"/>
      <c r="AG2419" s="5"/>
      <c r="AH2419" s="5"/>
      <c r="AI2419" s="5"/>
      <c r="AJ2419" s="5"/>
      <c r="AK2419" s="5"/>
      <c r="AL2419" s="5"/>
    </row>
    <row r="2420">
      <c r="A2420" s="4" t="str">
        <f>VLOOKUP(L2420,payment_ids!C:D,2,FALSE)</f>
        <v>pay_HBkfj5oUxjybyb</v>
      </c>
      <c r="B2420" s="4"/>
      <c r="C2420" s="4" t="s">
        <v>6217</v>
      </c>
      <c r="D2420" s="4">
        <v>50046.0</v>
      </c>
      <c r="E2420" s="4"/>
      <c r="F2420" s="4">
        <v>1.0</v>
      </c>
      <c r="G2420" s="4">
        <v>99.0</v>
      </c>
      <c r="H2420" s="4"/>
      <c r="I2420" s="4">
        <v>99.0</v>
      </c>
      <c r="J2420" s="4" t="s">
        <v>6228</v>
      </c>
      <c r="K2420" s="6">
        <f>+919916965352</f>
        <v>919916965352</v>
      </c>
      <c r="L2420" s="4" t="str">
        <f t="shared" si="1"/>
        <v>avinash24490@gmail.com919916965352</v>
      </c>
      <c r="M2420" s="10" t="s">
        <v>67</v>
      </c>
      <c r="N2420" s="4" t="b">
        <v>0</v>
      </c>
      <c r="O2420" s="4" t="str">
        <f>VLOOKUP(A2420,payment_ids!D:E,2,FALSE)</f>
        <v>card</v>
      </c>
      <c r="P2420" s="4" t="s">
        <v>69</v>
      </c>
      <c r="Q2420" s="4" t="s">
        <v>6229</v>
      </c>
      <c r="R2420" s="4"/>
      <c r="S2420" s="12" t="s">
        <v>6219</v>
      </c>
      <c r="T2420" s="4"/>
      <c r="U2420" s="4"/>
      <c r="V2420" s="4"/>
      <c r="W2420" s="5"/>
      <c r="X2420" s="4"/>
      <c r="Y2420" s="4"/>
      <c r="Z2420" s="5"/>
      <c r="AA2420" s="4"/>
      <c r="AB2420" s="4"/>
      <c r="AC2420" s="4"/>
      <c r="AD2420" s="4"/>
      <c r="AE2420" s="5"/>
      <c r="AF2420" s="5"/>
      <c r="AG2420" s="5"/>
      <c r="AH2420" s="5"/>
      <c r="AI2420" s="5"/>
      <c r="AJ2420" s="5"/>
      <c r="AK2420" s="5"/>
      <c r="AL2420" s="5"/>
    </row>
    <row r="2421">
      <c r="A2421" s="4" t="str">
        <f>VLOOKUP(L2421,payment_ids!C:D,2,FALSE)</f>
        <v>pay_HBlSAp5hAYnPPM</v>
      </c>
      <c r="B2421" s="4"/>
      <c r="C2421" s="4" t="s">
        <v>6217</v>
      </c>
      <c r="D2421" s="4">
        <v>50046.0</v>
      </c>
      <c r="E2421" s="4"/>
      <c r="F2421" s="4">
        <v>1.0</v>
      </c>
      <c r="G2421" s="4">
        <v>99.0</v>
      </c>
      <c r="H2421" s="4"/>
      <c r="I2421" s="4">
        <v>99.0</v>
      </c>
      <c r="J2421" s="4" t="s">
        <v>6230</v>
      </c>
      <c r="K2421" s="6">
        <f>+919945678119</f>
        <v>919945678119</v>
      </c>
      <c r="L2421" s="4" t="str">
        <f t="shared" si="1"/>
        <v>kuldeep.es@gmail.com919945678119</v>
      </c>
      <c r="M2421" s="10" t="s">
        <v>67</v>
      </c>
      <c r="N2421" s="4" t="b">
        <v>0</v>
      </c>
      <c r="O2421" s="4" t="str">
        <f>VLOOKUP(A2421,payment_ids!D:E,2,FALSE)</f>
        <v>upi</v>
      </c>
      <c r="P2421" s="4" t="s">
        <v>69</v>
      </c>
      <c r="Q2421" s="4" t="s">
        <v>6231</v>
      </c>
      <c r="R2421" s="4"/>
      <c r="S2421" s="12" t="s">
        <v>6219</v>
      </c>
      <c r="T2421" s="4"/>
      <c r="U2421" s="4"/>
      <c r="V2421" s="4"/>
      <c r="W2421" s="5"/>
      <c r="X2421" s="4"/>
      <c r="Y2421" s="4"/>
      <c r="Z2421" s="5"/>
      <c r="AA2421" s="4"/>
      <c r="AB2421" s="4"/>
      <c r="AC2421" s="4"/>
      <c r="AD2421" s="4"/>
      <c r="AE2421" s="5"/>
      <c r="AF2421" s="5"/>
      <c r="AG2421" s="5"/>
      <c r="AH2421" s="5"/>
      <c r="AI2421" s="5"/>
      <c r="AJ2421" s="5"/>
      <c r="AK2421" s="5"/>
      <c r="AL2421" s="5"/>
    </row>
    <row r="2422">
      <c r="A2422" s="4" t="str">
        <f>VLOOKUP(L2422,payment_ids!C:D,2,FALSE)</f>
        <v>pay_HCr4hMFF50hZHo</v>
      </c>
      <c r="B2422" s="4"/>
      <c r="C2422" s="4" t="s">
        <v>6217</v>
      </c>
      <c r="D2422" s="4">
        <v>50046.0</v>
      </c>
      <c r="E2422" s="4"/>
      <c r="F2422" s="4">
        <v>1.0</v>
      </c>
      <c r="G2422" s="4">
        <v>99.0</v>
      </c>
      <c r="H2422" s="4"/>
      <c r="I2422" s="4">
        <v>99.0</v>
      </c>
      <c r="J2422" s="4" t="s">
        <v>6232</v>
      </c>
      <c r="K2422" s="6">
        <f>+918660259300</f>
        <v>918660259300</v>
      </c>
      <c r="L2422" s="4" t="str">
        <f t="shared" si="1"/>
        <v>nagarjunsk8@gmail.com918660259300</v>
      </c>
      <c r="M2422" s="10" t="s">
        <v>67</v>
      </c>
      <c r="N2422" s="4" t="b">
        <v>0</v>
      </c>
      <c r="O2422" s="4" t="str">
        <f>VLOOKUP(A2422,payment_ids!D:E,2,FALSE)</f>
        <v>upi</v>
      </c>
      <c r="P2422" s="4" t="s">
        <v>69</v>
      </c>
      <c r="Q2422" s="4" t="s">
        <v>6233</v>
      </c>
      <c r="R2422" s="4"/>
      <c r="S2422" s="12" t="s">
        <v>6219</v>
      </c>
      <c r="T2422" s="4"/>
      <c r="U2422" s="4"/>
      <c r="V2422" s="4"/>
      <c r="W2422" s="5"/>
      <c r="X2422" s="4"/>
      <c r="Y2422" s="4"/>
      <c r="Z2422" s="5"/>
      <c r="AA2422" s="4"/>
      <c r="AB2422" s="4"/>
      <c r="AC2422" s="4"/>
      <c r="AD2422" s="4"/>
      <c r="AE2422" s="5"/>
      <c r="AF2422" s="5"/>
      <c r="AG2422" s="5"/>
      <c r="AH2422" s="5"/>
      <c r="AI2422" s="5"/>
      <c r="AJ2422" s="5"/>
      <c r="AK2422" s="5"/>
      <c r="AL2422" s="5"/>
    </row>
    <row r="2423">
      <c r="A2423" s="4" t="str">
        <f>VLOOKUP(L2423,payment_ids!C:D,2,FALSE)</f>
        <v>pay_HD3BG0TWAnA8jO</v>
      </c>
      <c r="B2423" s="4"/>
      <c r="C2423" s="4" t="s">
        <v>6217</v>
      </c>
      <c r="D2423" s="4">
        <v>50046.0</v>
      </c>
      <c r="E2423" s="4"/>
      <c r="F2423" s="4">
        <v>1.0</v>
      </c>
      <c r="G2423" s="4">
        <v>99.0</v>
      </c>
      <c r="H2423" s="4"/>
      <c r="I2423" s="4">
        <v>99.0</v>
      </c>
      <c r="J2423" s="4" t="s">
        <v>3654</v>
      </c>
      <c r="K2423" s="6">
        <f>+918981287494</f>
        <v>918981287494</v>
      </c>
      <c r="L2423" s="4" t="str">
        <f t="shared" si="1"/>
        <v>rahul.prasad59336@gmail.com918981287494</v>
      </c>
      <c r="M2423" s="10" t="s">
        <v>67</v>
      </c>
      <c r="N2423" s="4" t="b">
        <v>0</v>
      </c>
      <c r="O2423" s="4" t="str">
        <f>VLOOKUP(A2423,payment_ids!D:E,2,FALSE)</f>
        <v>upi</v>
      </c>
      <c r="P2423" s="4" t="s">
        <v>69</v>
      </c>
      <c r="Q2423" s="4" t="s">
        <v>6234</v>
      </c>
      <c r="R2423" s="4"/>
      <c r="S2423" s="12" t="s">
        <v>6219</v>
      </c>
      <c r="T2423" s="4"/>
      <c r="U2423" s="4"/>
      <c r="V2423" s="4"/>
      <c r="W2423" s="5"/>
      <c r="X2423" s="4"/>
      <c r="Y2423" s="4"/>
      <c r="Z2423" s="5"/>
      <c r="AA2423" s="4"/>
      <c r="AB2423" s="4"/>
      <c r="AC2423" s="4"/>
      <c r="AD2423" s="4"/>
      <c r="AE2423" s="5"/>
      <c r="AF2423" s="5"/>
      <c r="AG2423" s="5"/>
      <c r="AH2423" s="5"/>
      <c r="AI2423" s="5"/>
      <c r="AJ2423" s="5"/>
      <c r="AK2423" s="5"/>
      <c r="AL2423" s="5"/>
    </row>
    <row r="2424">
      <c r="A2424" s="4" t="str">
        <f>VLOOKUP(L2424,payment_ids!C:D,2,FALSE)</f>
        <v>pay_HEHhy54iccuvWQ</v>
      </c>
      <c r="B2424" s="4"/>
      <c r="C2424" s="4" t="s">
        <v>6217</v>
      </c>
      <c r="D2424" s="4">
        <v>50046.0</v>
      </c>
      <c r="E2424" s="4"/>
      <c r="F2424" s="4">
        <v>1.0</v>
      </c>
      <c r="G2424" s="4">
        <v>99.0</v>
      </c>
      <c r="H2424" s="4"/>
      <c r="I2424" s="4">
        <v>99.0</v>
      </c>
      <c r="J2424" s="4" t="s">
        <v>6235</v>
      </c>
      <c r="K2424" s="6">
        <f>+919873822436</f>
        <v>919873822436</v>
      </c>
      <c r="L2424" s="4" t="str">
        <f t="shared" si="1"/>
        <v>aryanmjha@gmail.com919873822436</v>
      </c>
      <c r="M2424" s="10" t="s">
        <v>67</v>
      </c>
      <c r="N2424" s="4" t="b">
        <v>0</v>
      </c>
      <c r="O2424" s="4" t="str">
        <f>VLOOKUP(A2424,payment_ids!D:E,2,FALSE)</f>
        <v>upi</v>
      </c>
      <c r="P2424" s="4" t="s">
        <v>69</v>
      </c>
      <c r="Q2424" s="4" t="s">
        <v>6236</v>
      </c>
      <c r="R2424" s="4"/>
      <c r="S2424" s="12" t="s">
        <v>6219</v>
      </c>
      <c r="T2424" s="4"/>
      <c r="U2424" s="4"/>
      <c r="V2424" s="4"/>
      <c r="W2424" s="5"/>
      <c r="X2424" s="4"/>
      <c r="Y2424" s="4"/>
      <c r="Z2424" s="5"/>
      <c r="AA2424" s="4"/>
      <c r="AB2424" s="4"/>
      <c r="AC2424" s="4"/>
      <c r="AD2424" s="4"/>
      <c r="AE2424" s="5"/>
      <c r="AF2424" s="5"/>
      <c r="AG2424" s="5"/>
      <c r="AH2424" s="5"/>
      <c r="AI2424" s="5"/>
      <c r="AJ2424" s="5"/>
      <c r="AK2424" s="5"/>
      <c r="AL2424" s="5"/>
    </row>
    <row r="2425">
      <c r="A2425" s="4" t="str">
        <f>VLOOKUP(L2425,payment_ids!C:D,2,FALSE)</f>
        <v>pay_HEZ08IgGb55qLE</v>
      </c>
      <c r="B2425" s="4"/>
      <c r="C2425" s="4" t="s">
        <v>6217</v>
      </c>
      <c r="D2425" s="4">
        <v>50046.0</v>
      </c>
      <c r="E2425" s="4"/>
      <c r="F2425" s="4">
        <v>1.0</v>
      </c>
      <c r="G2425" s="4">
        <v>99.0</v>
      </c>
      <c r="H2425" s="4"/>
      <c r="I2425" s="4">
        <v>99.0</v>
      </c>
      <c r="J2425" s="4" t="s">
        <v>6237</v>
      </c>
      <c r="K2425" s="6">
        <f>+919997915135</f>
        <v>919997915135</v>
      </c>
      <c r="L2425" s="4" t="str">
        <f t="shared" si="1"/>
        <v>vanshmanglani01@gmail.com919997915135</v>
      </c>
      <c r="M2425" s="10" t="s">
        <v>67</v>
      </c>
      <c r="N2425" s="4" t="b">
        <v>0</v>
      </c>
      <c r="O2425" s="4" t="str">
        <f>VLOOKUP(A2425,payment_ids!D:E,2,FALSE)</f>
        <v>upi</v>
      </c>
      <c r="P2425" s="4" t="s">
        <v>69</v>
      </c>
      <c r="Q2425" s="4" t="s">
        <v>6238</v>
      </c>
      <c r="R2425" s="4"/>
      <c r="S2425" s="12" t="s">
        <v>6219</v>
      </c>
      <c r="T2425" s="4"/>
      <c r="U2425" s="4"/>
      <c r="V2425" s="4"/>
      <c r="W2425" s="5"/>
      <c r="X2425" s="4"/>
      <c r="Y2425" s="4"/>
      <c r="Z2425" s="5"/>
      <c r="AA2425" s="4"/>
      <c r="AB2425" s="4"/>
      <c r="AC2425" s="4"/>
      <c r="AD2425" s="4"/>
      <c r="AE2425" s="5"/>
      <c r="AF2425" s="5"/>
      <c r="AG2425" s="5"/>
      <c r="AH2425" s="5"/>
      <c r="AI2425" s="5"/>
      <c r="AJ2425" s="5"/>
      <c r="AK2425" s="5"/>
      <c r="AL2425" s="5"/>
    </row>
    <row r="2426">
      <c r="A2426" s="4" t="str">
        <f>VLOOKUP(L2426,payment_ids!C:D,2,FALSE)</f>
        <v>pay_HF5tS1fPAlmqH4</v>
      </c>
      <c r="B2426" s="4"/>
      <c r="C2426" s="4" t="s">
        <v>6217</v>
      </c>
      <c r="D2426" s="4">
        <v>50046.0</v>
      </c>
      <c r="E2426" s="4"/>
      <c r="F2426" s="4">
        <v>1.0</v>
      </c>
      <c r="G2426" s="4">
        <v>99.0</v>
      </c>
      <c r="H2426" s="4"/>
      <c r="I2426" s="4">
        <v>99.0</v>
      </c>
      <c r="J2426" s="4" t="s">
        <v>6239</v>
      </c>
      <c r="K2426" s="6">
        <f>+917014351653</f>
        <v>917014351653</v>
      </c>
      <c r="L2426" s="4" t="str">
        <f t="shared" si="1"/>
        <v>rachitsharma48@gmail.com917014351653</v>
      </c>
      <c r="M2426" s="10" t="s">
        <v>67</v>
      </c>
      <c r="N2426" s="4" t="b">
        <v>0</v>
      </c>
      <c r="O2426" s="4" t="str">
        <f>VLOOKUP(A2426,payment_ids!D:E,2,FALSE)</f>
        <v>upi</v>
      </c>
      <c r="P2426" s="4" t="s">
        <v>69</v>
      </c>
      <c r="Q2426" s="4" t="s">
        <v>6240</v>
      </c>
      <c r="R2426" s="4"/>
      <c r="S2426" s="12" t="s">
        <v>6219</v>
      </c>
      <c r="T2426" s="4"/>
      <c r="U2426" s="4"/>
      <c r="V2426" s="4"/>
      <c r="W2426" s="5"/>
      <c r="X2426" s="4"/>
      <c r="Y2426" s="4"/>
      <c r="Z2426" s="5"/>
      <c r="AA2426" s="4"/>
      <c r="AB2426" s="4"/>
      <c r="AC2426" s="4"/>
      <c r="AD2426" s="4"/>
      <c r="AE2426" s="5"/>
      <c r="AF2426" s="5"/>
      <c r="AG2426" s="5"/>
      <c r="AH2426" s="5"/>
      <c r="AI2426" s="5"/>
      <c r="AJ2426" s="5"/>
      <c r="AK2426" s="5"/>
      <c r="AL2426" s="5"/>
    </row>
    <row r="2427">
      <c r="A2427" s="4" t="str">
        <f>VLOOKUP(L2427,payment_ids!C:D,2,FALSE)</f>
        <v>pay_HG6FSwNtbpsQAY</v>
      </c>
      <c r="B2427" s="4"/>
      <c r="C2427" s="4" t="s">
        <v>6217</v>
      </c>
      <c r="D2427" s="4">
        <v>50046.0</v>
      </c>
      <c r="E2427" s="5"/>
      <c r="F2427" s="4">
        <v>1.0</v>
      </c>
      <c r="G2427" s="4">
        <v>99.0</v>
      </c>
      <c r="H2427" s="4"/>
      <c r="I2427" s="4">
        <v>99.0</v>
      </c>
      <c r="J2427" s="4" t="s">
        <v>6241</v>
      </c>
      <c r="K2427" s="5">
        <f>+918374457957</f>
        <v>918374457957</v>
      </c>
      <c r="L2427" s="4" t="str">
        <f t="shared" si="1"/>
        <v>rmkirankumar@gmail.com918374457957</v>
      </c>
      <c r="M2427" s="10" t="s">
        <v>67</v>
      </c>
      <c r="N2427" s="4" t="b">
        <v>0</v>
      </c>
      <c r="O2427" s="4" t="str">
        <f>VLOOKUP(A2427,payment_ids!D:E,2,FALSE)</f>
        <v>upi</v>
      </c>
      <c r="P2427" s="4" t="s">
        <v>69</v>
      </c>
      <c r="Q2427" s="4" t="s">
        <v>6242</v>
      </c>
      <c r="R2427" s="4"/>
      <c r="S2427" s="12" t="s">
        <v>6219</v>
      </c>
      <c r="T2427" s="5"/>
      <c r="U2427" s="4"/>
      <c r="V2427" s="4"/>
      <c r="W2427" s="5"/>
      <c r="X2427" s="4"/>
      <c r="Y2427" s="4"/>
      <c r="Z2427" s="5"/>
      <c r="AA2427" s="4"/>
      <c r="AB2427" s="4"/>
      <c r="AC2427" s="4"/>
      <c r="AD2427" s="4"/>
      <c r="AE2427" s="5"/>
      <c r="AF2427" s="5"/>
      <c r="AG2427" s="5"/>
      <c r="AH2427" s="5"/>
      <c r="AI2427" s="5"/>
      <c r="AJ2427" s="5"/>
      <c r="AK2427" s="5"/>
      <c r="AL2427" s="5"/>
    </row>
    <row r="2428">
      <c r="A2428" s="4" t="str">
        <f>VLOOKUP(L2428,payment_ids!C:D,2,FALSE)</f>
        <v>pay_HGF0BnjSqJiNm5</v>
      </c>
      <c r="B2428" s="4"/>
      <c r="C2428" s="4" t="s">
        <v>6217</v>
      </c>
      <c r="D2428" s="4">
        <v>50046.0</v>
      </c>
      <c r="E2428" s="5"/>
      <c r="F2428" s="4">
        <v>3.0</v>
      </c>
      <c r="G2428" s="4">
        <v>199.0</v>
      </c>
      <c r="H2428" s="4"/>
      <c r="I2428" s="4">
        <v>199.0</v>
      </c>
      <c r="J2428" s="4" t="s">
        <v>6243</v>
      </c>
      <c r="K2428" s="5">
        <f>+919730472789</f>
        <v>919730472789</v>
      </c>
      <c r="L2428" s="4" t="str">
        <f t="shared" si="1"/>
        <v>lalitkchordiya@gmail.com919730472789</v>
      </c>
      <c r="M2428" s="10" t="s">
        <v>67</v>
      </c>
      <c r="N2428" s="4" t="b">
        <v>0</v>
      </c>
      <c r="O2428" s="4" t="str">
        <f>VLOOKUP(A2428,payment_ids!D:E,2,FALSE)</f>
        <v>upi</v>
      </c>
      <c r="P2428" s="4" t="s">
        <v>69</v>
      </c>
      <c r="Q2428" s="4" t="s">
        <v>6244</v>
      </c>
      <c r="R2428" s="4"/>
      <c r="S2428" s="12" t="s">
        <v>6219</v>
      </c>
      <c r="T2428" s="5"/>
      <c r="U2428" s="4"/>
      <c r="V2428" s="4"/>
      <c r="W2428" s="5"/>
      <c r="X2428" s="4"/>
      <c r="Y2428" s="4"/>
      <c r="Z2428" s="5"/>
      <c r="AA2428" s="4"/>
      <c r="AB2428" s="4"/>
      <c r="AC2428" s="4"/>
      <c r="AD2428" s="4"/>
      <c r="AE2428" s="5"/>
      <c r="AF2428" s="5"/>
      <c r="AG2428" s="5"/>
      <c r="AH2428" s="5"/>
      <c r="AI2428" s="5"/>
      <c r="AJ2428" s="5"/>
      <c r="AK2428" s="5"/>
      <c r="AL2428" s="5"/>
    </row>
    <row r="2429">
      <c r="A2429" s="4" t="str">
        <f>VLOOKUP(L2429,payment_ids!C:D,2,FALSE)</f>
        <v>pay_HIeKcrHaQ6RZDV</v>
      </c>
      <c r="B2429" s="4"/>
      <c r="C2429" s="4" t="s">
        <v>6217</v>
      </c>
      <c r="D2429" s="4">
        <v>50046.0</v>
      </c>
      <c r="E2429" s="5"/>
      <c r="F2429" s="4">
        <v>1.0</v>
      </c>
      <c r="G2429" s="4">
        <v>99.0</v>
      </c>
      <c r="H2429" s="4"/>
      <c r="I2429" s="4">
        <v>99.0</v>
      </c>
      <c r="J2429" s="4" t="s">
        <v>6245</v>
      </c>
      <c r="K2429" s="5">
        <f>+919966884366</f>
        <v>919966884366</v>
      </c>
      <c r="L2429" s="4" t="str">
        <f t="shared" si="1"/>
        <v>bunnykartik@gmail.com919966884366</v>
      </c>
      <c r="M2429" s="10" t="s">
        <v>67</v>
      </c>
      <c r="N2429" s="4" t="b">
        <v>0</v>
      </c>
      <c r="O2429" s="4" t="str">
        <f>VLOOKUP(A2429,payment_ids!D:E,2,FALSE)</f>
        <v>upi</v>
      </c>
      <c r="P2429" s="4" t="s">
        <v>69</v>
      </c>
      <c r="Q2429" s="11">
        <v>44261.90833333333</v>
      </c>
      <c r="R2429" s="4"/>
      <c r="S2429" s="12" t="s">
        <v>6219</v>
      </c>
      <c r="T2429" s="5"/>
      <c r="U2429" s="4"/>
      <c r="V2429" s="4"/>
      <c r="W2429" s="5"/>
      <c r="X2429" s="4"/>
      <c r="Y2429" s="4"/>
      <c r="Z2429" s="5"/>
      <c r="AA2429" s="4"/>
      <c r="AB2429" s="4"/>
      <c r="AC2429" s="4"/>
      <c r="AD2429" s="4"/>
      <c r="AE2429" s="5"/>
      <c r="AF2429" s="5"/>
      <c r="AG2429" s="5"/>
      <c r="AH2429" s="5"/>
      <c r="AI2429" s="5"/>
      <c r="AJ2429" s="5"/>
      <c r="AK2429" s="5"/>
      <c r="AL2429" s="5"/>
    </row>
    <row r="2430">
      <c r="A2430" s="4" t="str">
        <f>VLOOKUP(L2430,payment_ids!C:D,2,FALSE)</f>
        <v>pay_HCr4hMFF50hZHo</v>
      </c>
      <c r="B2430" s="4"/>
      <c r="C2430" s="4" t="s">
        <v>6217</v>
      </c>
      <c r="D2430" s="4">
        <v>50046.0</v>
      </c>
      <c r="E2430" s="5"/>
      <c r="F2430" s="4">
        <v>6.0</v>
      </c>
      <c r="G2430" s="4">
        <v>349.0</v>
      </c>
      <c r="H2430" s="4"/>
      <c r="I2430" s="4">
        <v>349.0</v>
      </c>
      <c r="J2430" s="4" t="s">
        <v>6232</v>
      </c>
      <c r="K2430" s="5">
        <f>+918660259300</f>
        <v>918660259300</v>
      </c>
      <c r="L2430" s="4" t="str">
        <f t="shared" si="1"/>
        <v>nagarjunsk8@gmail.com918660259300</v>
      </c>
      <c r="M2430" s="10" t="s">
        <v>67</v>
      </c>
      <c r="N2430" s="4" t="b">
        <v>0</v>
      </c>
      <c r="O2430" s="4" t="str">
        <f>VLOOKUP(A2430,payment_ids!D:E,2,FALSE)</f>
        <v>upi</v>
      </c>
      <c r="P2430" s="4" t="s">
        <v>69</v>
      </c>
      <c r="Q2430" s="11">
        <v>44383.78611111111</v>
      </c>
      <c r="R2430" s="4"/>
      <c r="S2430" s="12" t="s">
        <v>6219</v>
      </c>
      <c r="T2430" s="5"/>
      <c r="U2430" s="4"/>
      <c r="V2430" s="4"/>
      <c r="W2430" s="5"/>
      <c r="X2430" s="4"/>
      <c r="Y2430" s="4"/>
      <c r="Z2430" s="5"/>
      <c r="AA2430" s="4"/>
      <c r="AB2430" s="4"/>
      <c r="AC2430" s="4"/>
      <c r="AD2430" s="4"/>
      <c r="AE2430" s="5"/>
      <c r="AF2430" s="5"/>
      <c r="AG2430" s="5"/>
      <c r="AH2430" s="5"/>
      <c r="AI2430" s="5"/>
      <c r="AJ2430" s="5"/>
      <c r="AK2430" s="5"/>
      <c r="AL2430" s="5"/>
    </row>
    <row r="2431">
      <c r="A2431" s="4" t="str">
        <f>VLOOKUP(L2431,payment_ids!C:D,2,FALSE)</f>
        <v>pay_H938684ZVXI648</v>
      </c>
      <c r="B2431" s="4"/>
      <c r="C2431" s="4" t="s">
        <v>6217</v>
      </c>
      <c r="D2431" s="4">
        <v>50046.0</v>
      </c>
      <c r="E2431" s="5"/>
      <c r="F2431" s="4">
        <v>3.0</v>
      </c>
      <c r="G2431" s="4">
        <v>199.0</v>
      </c>
      <c r="H2431" s="4"/>
      <c r="I2431" s="4">
        <v>199.0</v>
      </c>
      <c r="J2431" s="4" t="s">
        <v>6222</v>
      </c>
      <c r="K2431" s="5">
        <f>+919449692235</f>
        <v>919449692235</v>
      </c>
      <c r="L2431" s="4" t="str">
        <f t="shared" si="1"/>
        <v>santhosh8975@gmail.com919449692235</v>
      </c>
      <c r="M2431" s="10" t="s">
        <v>67</v>
      </c>
      <c r="N2431" s="4" t="b">
        <v>0</v>
      </c>
      <c r="O2431" s="4" t="str">
        <f>VLOOKUP(A2431,payment_ids!D:E,2,FALSE)</f>
        <v>upi</v>
      </c>
      <c r="P2431" s="4" t="s">
        <v>69</v>
      </c>
      <c r="Q2431" s="11">
        <v>44414.53194444445</v>
      </c>
      <c r="R2431" s="4"/>
      <c r="S2431" s="12" t="s">
        <v>6219</v>
      </c>
      <c r="T2431" s="5"/>
      <c r="U2431" s="4"/>
      <c r="V2431" s="4"/>
      <c r="W2431" s="5"/>
      <c r="X2431" s="4"/>
      <c r="Y2431" s="4"/>
      <c r="Z2431" s="5"/>
      <c r="AA2431" s="4"/>
      <c r="AB2431" s="4"/>
      <c r="AC2431" s="4"/>
      <c r="AD2431" s="4"/>
      <c r="AE2431" s="5"/>
      <c r="AF2431" s="5"/>
      <c r="AG2431" s="5"/>
      <c r="AH2431" s="5"/>
      <c r="AI2431" s="5"/>
      <c r="AJ2431" s="5"/>
      <c r="AK2431" s="5"/>
      <c r="AL2431" s="5"/>
    </row>
    <row r="2432">
      <c r="A2432" s="4" t="str">
        <f>VLOOKUP(L2432,payment_ids!C:D,2,FALSE)</f>
        <v>pay_HMU0mGz0WfIHc0</v>
      </c>
      <c r="B2432" s="4"/>
      <c r="C2432" s="4" t="s">
        <v>6217</v>
      </c>
      <c r="D2432" s="4">
        <v>50046.0</v>
      </c>
      <c r="E2432" s="5"/>
      <c r="F2432" s="4">
        <v>3.0</v>
      </c>
      <c r="G2432" s="4">
        <v>199.0</v>
      </c>
      <c r="H2432" s="4"/>
      <c r="I2432" s="4">
        <v>199.0</v>
      </c>
      <c r="J2432" s="4" t="s">
        <v>6246</v>
      </c>
      <c r="K2432" s="5">
        <f>+917741853402</f>
        <v>917741853402</v>
      </c>
      <c r="L2432" s="4" t="str">
        <f t="shared" si="1"/>
        <v>atulpandit233@gmail.com917741853402</v>
      </c>
      <c r="M2432" s="10" t="s">
        <v>67</v>
      </c>
      <c r="N2432" s="4" t="b">
        <v>0</v>
      </c>
      <c r="O2432" s="4" t="str">
        <f>VLOOKUP(A2432,payment_ids!D:E,2,FALSE)</f>
        <v>wallet</v>
      </c>
      <c r="P2432" s="4" t="s">
        <v>69</v>
      </c>
      <c r="Q2432" s="4" t="s">
        <v>6247</v>
      </c>
      <c r="R2432" s="4"/>
      <c r="S2432" s="12" t="s">
        <v>6219</v>
      </c>
      <c r="T2432" s="4" t="s">
        <v>2444</v>
      </c>
      <c r="U2432" s="4"/>
      <c r="V2432" s="4"/>
      <c r="W2432" s="5"/>
      <c r="X2432" s="4"/>
      <c r="Y2432" s="4"/>
      <c r="Z2432" s="5"/>
      <c r="AA2432" s="4"/>
      <c r="AB2432" s="4"/>
      <c r="AC2432" s="4"/>
      <c r="AD2432" s="4"/>
      <c r="AE2432" s="5"/>
      <c r="AF2432" s="5"/>
      <c r="AG2432" s="5"/>
      <c r="AH2432" s="5"/>
      <c r="AI2432" s="5"/>
      <c r="AJ2432" s="5"/>
      <c r="AK2432" s="5"/>
      <c r="AL2432" s="5"/>
    </row>
    <row r="2433">
      <c r="A2433" s="4" t="str">
        <f>VLOOKUP(L2433,payment_ids!C:D,2,FALSE)</f>
        <v>pay_HCrNBRV2URkTeu</v>
      </c>
      <c r="B2433" s="4"/>
      <c r="C2433" s="4" t="s">
        <v>6217</v>
      </c>
      <c r="D2433" s="4">
        <v>50046.0</v>
      </c>
      <c r="E2433" s="5"/>
      <c r="F2433" s="4">
        <v>6.0</v>
      </c>
      <c r="G2433" s="4">
        <v>349.0</v>
      </c>
      <c r="H2433" s="4"/>
      <c r="I2433" s="4">
        <v>349.0</v>
      </c>
      <c r="J2433" s="4" t="s">
        <v>2844</v>
      </c>
      <c r="K2433" s="5">
        <f>+917093081109</f>
        <v>917093081109</v>
      </c>
      <c r="L2433" s="4" t="str">
        <f t="shared" si="1"/>
        <v>scarysai@gmail.com917093081109</v>
      </c>
      <c r="M2433" s="10" t="s">
        <v>67</v>
      </c>
      <c r="N2433" s="4" t="b">
        <v>0</v>
      </c>
      <c r="O2433" s="4" t="str">
        <f>VLOOKUP(A2433,payment_ids!D:E,2,FALSE)</f>
        <v>netbanking</v>
      </c>
      <c r="P2433" s="4" t="s">
        <v>69</v>
      </c>
      <c r="Q2433" s="4" t="s">
        <v>6248</v>
      </c>
      <c r="R2433" s="4"/>
      <c r="S2433" s="12" t="s">
        <v>6219</v>
      </c>
      <c r="T2433" s="4" t="s">
        <v>2444</v>
      </c>
      <c r="U2433" s="4"/>
      <c r="V2433" s="4"/>
      <c r="W2433" s="5"/>
      <c r="X2433" s="4"/>
      <c r="Y2433" s="4"/>
      <c r="Z2433" s="5"/>
      <c r="AA2433" s="4"/>
      <c r="AB2433" s="4"/>
      <c r="AC2433" s="4"/>
      <c r="AD2433" s="4"/>
      <c r="AE2433" s="5"/>
      <c r="AF2433" s="5"/>
      <c r="AG2433" s="5"/>
      <c r="AH2433" s="5"/>
      <c r="AI2433" s="5"/>
      <c r="AJ2433" s="5"/>
      <c r="AK2433" s="5"/>
      <c r="AL2433" s="5"/>
    </row>
    <row r="2434">
      <c r="A2434" s="4" t="str">
        <f>VLOOKUP(L2434,payment_ids!C:D,2,FALSE)</f>
        <v>pay_HBkfj5oUxjybyb</v>
      </c>
      <c r="B2434" s="4"/>
      <c r="C2434" s="4" t="s">
        <v>6217</v>
      </c>
      <c r="D2434" s="4">
        <v>50046.0</v>
      </c>
      <c r="E2434" s="5"/>
      <c r="F2434" s="4">
        <v>1.0</v>
      </c>
      <c r="G2434" s="4">
        <v>99.0</v>
      </c>
      <c r="H2434" s="4"/>
      <c r="I2434" s="4">
        <v>99.0</v>
      </c>
      <c r="J2434" s="4" t="s">
        <v>6228</v>
      </c>
      <c r="K2434" s="5">
        <f>+919916965352</f>
        <v>919916965352</v>
      </c>
      <c r="L2434" s="4" t="str">
        <f t="shared" si="1"/>
        <v>avinash24490@gmail.com919916965352</v>
      </c>
      <c r="M2434" s="10" t="s">
        <v>67</v>
      </c>
      <c r="N2434" s="4" t="b">
        <v>0</v>
      </c>
      <c r="O2434" s="4" t="str">
        <f>VLOOKUP(A2434,payment_ids!D:E,2,FALSE)</f>
        <v>card</v>
      </c>
      <c r="P2434" s="4" t="s">
        <v>69</v>
      </c>
      <c r="Q2434" s="4" t="s">
        <v>6249</v>
      </c>
      <c r="R2434" s="4"/>
      <c r="S2434" s="12" t="s">
        <v>6219</v>
      </c>
      <c r="T2434" s="4" t="s">
        <v>2444</v>
      </c>
      <c r="U2434" s="4"/>
      <c r="V2434" s="4"/>
      <c r="W2434" s="5"/>
      <c r="X2434" s="4"/>
      <c r="Y2434" s="4"/>
      <c r="Z2434" s="5"/>
      <c r="AA2434" s="4"/>
      <c r="AB2434" s="4"/>
      <c r="AC2434" s="4"/>
      <c r="AD2434" s="4"/>
      <c r="AE2434" s="5"/>
      <c r="AF2434" s="5"/>
      <c r="AG2434" s="5"/>
      <c r="AH2434" s="5"/>
      <c r="AI2434" s="5"/>
      <c r="AJ2434" s="5"/>
      <c r="AK2434" s="5"/>
      <c r="AL2434" s="5"/>
    </row>
    <row r="2435">
      <c r="A2435" s="4" t="str">
        <f>VLOOKUP(L2435,payment_ids!C:D,2,FALSE)</f>
        <v>pay_H8LHeKjcBfSIKL</v>
      </c>
      <c r="B2435" s="4"/>
      <c r="C2435" s="4" t="s">
        <v>6250</v>
      </c>
      <c r="D2435" s="4">
        <v>49998.0</v>
      </c>
      <c r="E2435" s="4"/>
      <c r="F2435" s="4">
        <v>1.0</v>
      </c>
      <c r="G2435" s="4">
        <v>99.0</v>
      </c>
      <c r="H2435" s="4"/>
      <c r="I2435" s="4">
        <v>99.0</v>
      </c>
      <c r="J2435" s="4" t="s">
        <v>6251</v>
      </c>
      <c r="K2435" s="6">
        <f>+919516735835</f>
        <v>919516735835</v>
      </c>
      <c r="L2435" s="4" t="str">
        <f t="shared" si="1"/>
        <v>yshiv3040@gmail.com919516735835</v>
      </c>
      <c r="M2435" s="10" t="s">
        <v>67</v>
      </c>
      <c r="N2435" s="4" t="b">
        <v>0</v>
      </c>
      <c r="O2435" s="4" t="str">
        <f>VLOOKUP(A2435,payment_ids!D:E,2,FALSE)</f>
        <v>upi</v>
      </c>
      <c r="P2435" s="4" t="s">
        <v>69</v>
      </c>
      <c r="Q2435" s="11">
        <v>44413.86041666667</v>
      </c>
      <c r="R2435" s="4"/>
      <c r="S2435" s="12" t="s">
        <v>6252</v>
      </c>
      <c r="T2435" s="4"/>
      <c r="U2435" s="4"/>
      <c r="V2435" s="4"/>
      <c r="W2435" s="5"/>
      <c r="X2435" s="4"/>
      <c r="Y2435" s="4"/>
      <c r="Z2435" s="5"/>
      <c r="AA2435" s="4"/>
      <c r="AB2435" s="4"/>
      <c r="AC2435" s="4"/>
      <c r="AD2435" s="4"/>
      <c r="AE2435" s="5"/>
      <c r="AF2435" s="5"/>
      <c r="AG2435" s="5"/>
      <c r="AH2435" s="5"/>
      <c r="AI2435" s="5"/>
      <c r="AJ2435" s="5"/>
      <c r="AK2435" s="5"/>
      <c r="AL2435" s="5"/>
    </row>
    <row r="2436">
      <c r="A2436" s="4" t="str">
        <f>VLOOKUP(L2436,payment_ids!C:D,2,FALSE)</f>
        <v>pay_H8h7Z0hESE86Nv</v>
      </c>
      <c r="B2436" s="4"/>
      <c r="C2436" s="4" t="s">
        <v>6250</v>
      </c>
      <c r="D2436" s="4">
        <v>49998.0</v>
      </c>
      <c r="E2436" s="4"/>
      <c r="F2436" s="4">
        <v>1.0</v>
      </c>
      <c r="G2436" s="4">
        <v>99.0</v>
      </c>
      <c r="H2436" s="4"/>
      <c r="I2436" s="4">
        <v>99.0</v>
      </c>
      <c r="J2436" s="4" t="s">
        <v>6253</v>
      </c>
      <c r="K2436" s="6">
        <f>+919713435860</f>
        <v>919713435860</v>
      </c>
      <c r="L2436" s="4" t="str">
        <f t="shared" si="1"/>
        <v>kratirajak971@gmail.com919713435860</v>
      </c>
      <c r="M2436" s="10" t="s">
        <v>67</v>
      </c>
      <c r="N2436" s="4" t="b">
        <v>0</v>
      </c>
      <c r="O2436" s="4" t="str">
        <f>VLOOKUP(A2436,payment_ids!D:E,2,FALSE)</f>
        <v>upi</v>
      </c>
      <c r="P2436" s="4" t="s">
        <v>69</v>
      </c>
      <c r="Q2436" s="11">
        <v>44444.75069444445</v>
      </c>
      <c r="R2436" s="4"/>
      <c r="S2436" s="12" t="s">
        <v>6252</v>
      </c>
      <c r="T2436" s="4"/>
      <c r="U2436" s="4"/>
      <c r="V2436" s="4"/>
      <c r="W2436" s="5"/>
      <c r="X2436" s="4"/>
      <c r="Y2436" s="4"/>
      <c r="Z2436" s="5"/>
      <c r="AA2436" s="4"/>
      <c r="AB2436" s="4"/>
      <c r="AC2436" s="4"/>
      <c r="AD2436" s="4"/>
      <c r="AE2436" s="5"/>
      <c r="AF2436" s="5"/>
      <c r="AG2436" s="5"/>
      <c r="AH2436" s="5"/>
      <c r="AI2436" s="5"/>
      <c r="AJ2436" s="5"/>
      <c r="AK2436" s="5"/>
      <c r="AL2436" s="5"/>
    </row>
    <row r="2437">
      <c r="A2437" s="4" t="str">
        <f>VLOOKUP(L2437,payment_ids!C:D,2,FALSE)</f>
        <v>pay_H8WgZbfhTb655n</v>
      </c>
      <c r="B2437" s="4"/>
      <c r="C2437" s="4" t="s">
        <v>6250</v>
      </c>
      <c r="D2437" s="4">
        <v>49998.0</v>
      </c>
      <c r="E2437" s="4"/>
      <c r="F2437" s="4">
        <v>1.0</v>
      </c>
      <c r="G2437" s="4">
        <v>99.0</v>
      </c>
      <c r="H2437" s="4"/>
      <c r="I2437" s="4">
        <v>99.0</v>
      </c>
      <c r="J2437" s="4" t="s">
        <v>6254</v>
      </c>
      <c r="K2437" s="6">
        <f>+918669123501</f>
        <v>918669123501</v>
      </c>
      <c r="L2437" s="4" t="str">
        <f t="shared" si="1"/>
        <v>naman0035@gmail.com918669123501</v>
      </c>
      <c r="M2437" s="10" t="s">
        <v>67</v>
      </c>
      <c r="N2437" s="4" t="b">
        <v>0</v>
      </c>
      <c r="O2437" s="4" t="str">
        <f>VLOOKUP(A2437,payment_ids!D:E,2,FALSE)</f>
        <v>upi</v>
      </c>
      <c r="P2437" s="4" t="s">
        <v>69</v>
      </c>
      <c r="Q2437" s="11">
        <v>44444.325</v>
      </c>
      <c r="R2437" s="4"/>
      <c r="S2437" s="12" t="s">
        <v>6252</v>
      </c>
      <c r="T2437" s="4"/>
      <c r="U2437" s="4"/>
      <c r="V2437" s="4"/>
      <c r="W2437" s="5"/>
      <c r="X2437" s="4"/>
      <c r="Y2437" s="4"/>
      <c r="Z2437" s="5"/>
      <c r="AA2437" s="4"/>
      <c r="AB2437" s="4"/>
      <c r="AC2437" s="4"/>
      <c r="AD2437" s="4"/>
      <c r="AE2437" s="5"/>
      <c r="AF2437" s="5"/>
      <c r="AG2437" s="5"/>
      <c r="AH2437" s="5"/>
      <c r="AI2437" s="5"/>
      <c r="AJ2437" s="5"/>
      <c r="AK2437" s="5"/>
      <c r="AL2437" s="5"/>
    </row>
    <row r="2438">
      <c r="A2438" s="4" t="str">
        <f>VLOOKUP(L2438,payment_ids!C:D,2,FALSE)</f>
        <v>pay_H97t467qVM8339</v>
      </c>
      <c r="B2438" s="4"/>
      <c r="C2438" s="4" t="s">
        <v>6250</v>
      </c>
      <c r="D2438" s="4">
        <v>49998.0</v>
      </c>
      <c r="E2438" s="4"/>
      <c r="F2438" s="4">
        <v>3.0</v>
      </c>
      <c r="G2438" s="4">
        <v>199.0</v>
      </c>
      <c r="H2438" s="4"/>
      <c r="I2438" s="4">
        <v>199.0</v>
      </c>
      <c r="J2438" s="4" t="s">
        <v>6255</v>
      </c>
      <c r="K2438" s="6">
        <f t="shared" ref="K2438:K2439" si="13">+917489431071</f>
        <v>917489431071</v>
      </c>
      <c r="L2438" s="4" t="str">
        <f t="shared" si="1"/>
        <v>pawansikarwar1999@gmail.com917489431071</v>
      </c>
      <c r="M2438" s="10" t="s">
        <v>67</v>
      </c>
      <c r="N2438" s="4" t="b">
        <v>0</v>
      </c>
      <c r="O2438" s="4" t="str">
        <f>VLOOKUP(A2438,payment_ids!D:E,2,FALSE)</f>
        <v>upi</v>
      </c>
      <c r="P2438" s="4" t="s">
        <v>69</v>
      </c>
      <c r="Q2438" s="11">
        <v>44474.84166666667</v>
      </c>
      <c r="R2438" s="4"/>
      <c r="S2438" s="12" t="s">
        <v>6252</v>
      </c>
      <c r="T2438" s="4"/>
      <c r="U2438" s="4"/>
      <c r="V2438" s="4"/>
      <c r="W2438" s="5"/>
      <c r="X2438" s="4"/>
      <c r="Y2438" s="4"/>
      <c r="Z2438" s="5"/>
      <c r="AA2438" s="4"/>
      <c r="AB2438" s="4"/>
      <c r="AC2438" s="4"/>
      <c r="AD2438" s="4"/>
      <c r="AE2438" s="5"/>
      <c r="AF2438" s="5"/>
      <c r="AG2438" s="5"/>
      <c r="AH2438" s="5"/>
      <c r="AI2438" s="5"/>
      <c r="AJ2438" s="5"/>
      <c r="AK2438" s="5"/>
      <c r="AL2438" s="5"/>
    </row>
    <row r="2439">
      <c r="A2439" s="4" t="str">
        <f>VLOOKUP(L2439,payment_ids!C:D,2,FALSE)</f>
        <v>pay_H97t467qVM8339</v>
      </c>
      <c r="B2439" s="4"/>
      <c r="C2439" s="4" t="s">
        <v>6250</v>
      </c>
      <c r="D2439" s="4">
        <v>49998.0</v>
      </c>
      <c r="E2439" s="4"/>
      <c r="F2439" s="4">
        <v>3.0</v>
      </c>
      <c r="G2439" s="4">
        <v>199.0</v>
      </c>
      <c r="H2439" s="4"/>
      <c r="I2439" s="4">
        <v>199.0</v>
      </c>
      <c r="J2439" s="4" t="s">
        <v>6255</v>
      </c>
      <c r="K2439" s="6">
        <f t="shared" si="13"/>
        <v>917489431071</v>
      </c>
      <c r="L2439" s="4" t="str">
        <f t="shared" si="1"/>
        <v>pawansikarwar1999@gmail.com917489431071</v>
      </c>
      <c r="M2439" s="10" t="s">
        <v>67</v>
      </c>
      <c r="N2439" s="4" t="b">
        <v>0</v>
      </c>
      <c r="O2439" s="4" t="str">
        <f>VLOOKUP(A2439,payment_ids!D:E,2,FALSE)</f>
        <v>upi</v>
      </c>
      <c r="P2439" s="4" t="s">
        <v>69</v>
      </c>
      <c r="Q2439" s="11">
        <v>44474.85208333333</v>
      </c>
      <c r="R2439" s="4"/>
      <c r="S2439" s="12" t="s">
        <v>6252</v>
      </c>
      <c r="T2439" s="4"/>
      <c r="U2439" s="4"/>
      <c r="V2439" s="4"/>
      <c r="W2439" s="5"/>
      <c r="X2439" s="4"/>
      <c r="Y2439" s="4"/>
      <c r="Z2439" s="5"/>
      <c r="AA2439" s="4"/>
      <c r="AB2439" s="4"/>
      <c r="AC2439" s="4"/>
      <c r="AD2439" s="4"/>
      <c r="AE2439" s="5"/>
      <c r="AF2439" s="5"/>
      <c r="AG2439" s="5"/>
      <c r="AH2439" s="5"/>
      <c r="AI2439" s="5"/>
      <c r="AJ2439" s="5"/>
      <c r="AK2439" s="5"/>
      <c r="AL2439" s="5"/>
    </row>
    <row r="2440">
      <c r="A2440" s="4" t="str">
        <f>VLOOKUP(L2440,payment_ids!C:D,2,FALSE)</f>
        <v>pay_H9EET3kyibcOYI</v>
      </c>
      <c r="B2440" s="4"/>
      <c r="C2440" s="4" t="s">
        <v>6250</v>
      </c>
      <c r="D2440" s="4">
        <v>49998.0</v>
      </c>
      <c r="E2440" s="4"/>
      <c r="F2440" s="4">
        <v>6.0</v>
      </c>
      <c r="G2440" s="4">
        <v>349.0</v>
      </c>
      <c r="H2440" s="4"/>
      <c r="I2440" s="4">
        <v>349.0</v>
      </c>
      <c r="J2440" s="4" t="s">
        <v>6256</v>
      </c>
      <c r="K2440" s="6">
        <f>+917424839905</f>
        <v>917424839905</v>
      </c>
      <c r="L2440" s="4" t="str">
        <f t="shared" si="1"/>
        <v>ajay27550@gmail.com917424839905</v>
      </c>
      <c r="M2440" s="10" t="s">
        <v>67</v>
      </c>
      <c r="N2440" s="4" t="b">
        <v>0</v>
      </c>
      <c r="O2440" s="4" t="str">
        <f>VLOOKUP(A2440,payment_ids!D:E,2,FALSE)</f>
        <v>upi</v>
      </c>
      <c r="P2440" s="4" t="s">
        <v>69</v>
      </c>
      <c r="Q2440" s="11">
        <v>44505.100694444445</v>
      </c>
      <c r="R2440" s="4"/>
      <c r="S2440" s="12" t="s">
        <v>6252</v>
      </c>
      <c r="T2440" s="4"/>
      <c r="U2440" s="4"/>
      <c r="V2440" s="4"/>
      <c r="W2440" s="5"/>
      <c r="X2440" s="4"/>
      <c r="Y2440" s="4"/>
      <c r="Z2440" s="5"/>
      <c r="AA2440" s="4"/>
      <c r="AB2440" s="4"/>
      <c r="AC2440" s="4"/>
      <c r="AD2440" s="4"/>
      <c r="AE2440" s="5"/>
      <c r="AF2440" s="5"/>
      <c r="AG2440" s="5"/>
      <c r="AH2440" s="5"/>
      <c r="AI2440" s="5"/>
      <c r="AJ2440" s="5"/>
      <c r="AK2440" s="5"/>
      <c r="AL2440" s="5"/>
    </row>
    <row r="2441">
      <c r="A2441" s="4" t="str">
        <f>VLOOKUP(L2441,payment_ids!C:D,2,FALSE)</f>
        <v>pay_H9L1XdYPKJ23Sc</v>
      </c>
      <c r="B2441" s="4"/>
      <c r="C2441" s="4" t="s">
        <v>6250</v>
      </c>
      <c r="D2441" s="4">
        <v>49998.0</v>
      </c>
      <c r="E2441" s="4"/>
      <c r="F2441" s="4">
        <v>1.0</v>
      </c>
      <c r="G2441" s="4">
        <v>99.0</v>
      </c>
      <c r="H2441" s="4"/>
      <c r="I2441" s="4">
        <v>99.0</v>
      </c>
      <c r="J2441" s="4" t="s">
        <v>6257</v>
      </c>
      <c r="K2441" s="6">
        <f>+919829993867</f>
        <v>919829993867</v>
      </c>
      <c r="L2441" s="4" t="str">
        <f t="shared" si="1"/>
        <v>harshanama28@gmail.com919829993867</v>
      </c>
      <c r="M2441" s="10" t="s">
        <v>67</v>
      </c>
      <c r="N2441" s="4" t="b">
        <v>0</v>
      </c>
      <c r="O2441" s="4" t="str">
        <f>VLOOKUP(A2441,payment_ids!D:E,2,FALSE)</f>
        <v>upi</v>
      </c>
      <c r="P2441" s="4" t="s">
        <v>69</v>
      </c>
      <c r="Q2441" s="11">
        <v>44505.37777777778</v>
      </c>
      <c r="R2441" s="4"/>
      <c r="S2441" s="12" t="s">
        <v>6252</v>
      </c>
      <c r="T2441" s="4"/>
      <c r="U2441" s="4"/>
      <c r="V2441" s="4"/>
      <c r="W2441" s="5"/>
      <c r="X2441" s="4"/>
      <c r="Y2441" s="4"/>
      <c r="Z2441" s="5"/>
      <c r="AA2441" s="4"/>
      <c r="AB2441" s="4"/>
      <c r="AC2441" s="4"/>
      <c r="AD2441" s="4"/>
      <c r="AE2441" s="5"/>
      <c r="AF2441" s="5"/>
      <c r="AG2441" s="5"/>
      <c r="AH2441" s="5"/>
      <c r="AI2441" s="5"/>
      <c r="AJ2441" s="5"/>
      <c r="AK2441" s="5"/>
      <c r="AL2441" s="5"/>
    </row>
    <row r="2442">
      <c r="A2442" s="4" t="str">
        <f>VLOOKUP(L2442,payment_ids!C:D,2,FALSE)</f>
        <v>pay_H9YKi5Rhav2Mri</v>
      </c>
      <c r="B2442" s="4"/>
      <c r="C2442" s="4" t="s">
        <v>6250</v>
      </c>
      <c r="D2442" s="4">
        <v>49998.0</v>
      </c>
      <c r="E2442" s="4"/>
      <c r="F2442" s="4">
        <v>1.0</v>
      </c>
      <c r="G2442" s="4">
        <v>99.0</v>
      </c>
      <c r="H2442" s="4"/>
      <c r="I2442" s="4">
        <v>99.0</v>
      </c>
      <c r="J2442" s="4" t="s">
        <v>6258</v>
      </c>
      <c r="K2442" s="6">
        <f>+919527216353</f>
        <v>919527216353</v>
      </c>
      <c r="L2442" s="4" t="str">
        <f t="shared" si="1"/>
        <v>ayushsinha120@gmail.com919527216353</v>
      </c>
      <c r="M2442" s="10" t="s">
        <v>67</v>
      </c>
      <c r="N2442" s="4" t="b">
        <v>0</v>
      </c>
      <c r="O2442" s="4" t="str">
        <f>VLOOKUP(A2442,payment_ids!D:E,2,FALSE)</f>
        <v>upi</v>
      </c>
      <c r="P2442" s="4" t="s">
        <v>69</v>
      </c>
      <c r="Q2442" s="11">
        <v>44505.92083333333</v>
      </c>
      <c r="R2442" s="4"/>
      <c r="S2442" s="12" t="s">
        <v>6252</v>
      </c>
      <c r="T2442" s="4"/>
      <c r="U2442" s="4"/>
      <c r="V2442" s="4"/>
      <c r="W2442" s="5"/>
      <c r="X2442" s="4"/>
      <c r="Y2442" s="4"/>
      <c r="Z2442" s="5"/>
      <c r="AA2442" s="4"/>
      <c r="AB2442" s="4"/>
      <c r="AC2442" s="4"/>
      <c r="AD2442" s="4"/>
      <c r="AE2442" s="5"/>
      <c r="AF2442" s="5"/>
      <c r="AG2442" s="5"/>
      <c r="AH2442" s="5"/>
      <c r="AI2442" s="5"/>
      <c r="AJ2442" s="5"/>
      <c r="AK2442" s="5"/>
      <c r="AL2442" s="5"/>
    </row>
    <row r="2443">
      <c r="A2443" s="4" t="str">
        <f>VLOOKUP(L2443,payment_ids!C:D,2,FALSE)</f>
        <v>pay_HB5xZO1t6i3pFz</v>
      </c>
      <c r="B2443" s="4"/>
      <c r="C2443" s="4" t="s">
        <v>6250</v>
      </c>
      <c r="D2443" s="4">
        <v>49998.0</v>
      </c>
      <c r="E2443" s="4"/>
      <c r="F2443" s="4">
        <v>1.0</v>
      </c>
      <c r="G2443" s="4">
        <v>99.0</v>
      </c>
      <c r="H2443" s="4"/>
      <c r="I2443" s="4">
        <v>99.0</v>
      </c>
      <c r="J2443" s="4" t="s">
        <v>6259</v>
      </c>
      <c r="K2443" s="6">
        <f>+919036230336</f>
        <v>919036230336</v>
      </c>
      <c r="L2443" s="4" t="str">
        <f t="shared" si="1"/>
        <v>harshitha.k2736@gmail.com919036230336</v>
      </c>
      <c r="M2443" s="10" t="s">
        <v>67</v>
      </c>
      <c r="N2443" s="4" t="b">
        <v>0</v>
      </c>
      <c r="O2443" s="4" t="str">
        <f>VLOOKUP(A2443,payment_ids!D:E,2,FALSE)</f>
        <v>upi</v>
      </c>
      <c r="P2443" s="4" t="s">
        <v>69</v>
      </c>
      <c r="Q2443" s="4" t="s">
        <v>6260</v>
      </c>
      <c r="R2443" s="4"/>
      <c r="S2443" s="12" t="s">
        <v>6252</v>
      </c>
      <c r="T2443" s="4"/>
      <c r="U2443" s="4"/>
      <c r="V2443" s="4"/>
      <c r="W2443" s="5"/>
      <c r="X2443" s="4"/>
      <c r="Y2443" s="4"/>
      <c r="Z2443" s="5"/>
      <c r="AA2443" s="4"/>
      <c r="AB2443" s="4"/>
      <c r="AC2443" s="4"/>
      <c r="AD2443" s="4"/>
      <c r="AE2443" s="5"/>
      <c r="AF2443" s="5"/>
      <c r="AG2443" s="5"/>
      <c r="AH2443" s="5"/>
      <c r="AI2443" s="5"/>
      <c r="AJ2443" s="5"/>
      <c r="AK2443" s="5"/>
      <c r="AL2443" s="5"/>
    </row>
    <row r="2444">
      <c r="A2444" s="4" t="str">
        <f>VLOOKUP(L2444,payment_ids!C:D,2,FALSE)</f>
        <v>pay_HB84u30q6cdrJk</v>
      </c>
      <c r="B2444" s="4"/>
      <c r="C2444" s="4" t="s">
        <v>6250</v>
      </c>
      <c r="D2444" s="4">
        <v>49998.0</v>
      </c>
      <c r="E2444" s="4"/>
      <c r="F2444" s="4">
        <v>3.0</v>
      </c>
      <c r="G2444" s="4">
        <v>199.0</v>
      </c>
      <c r="H2444" s="4"/>
      <c r="I2444" s="4">
        <v>199.0</v>
      </c>
      <c r="J2444" s="4" t="s">
        <v>6261</v>
      </c>
      <c r="K2444" s="6">
        <f>+917871725079</f>
        <v>917871725079</v>
      </c>
      <c r="L2444" s="4" t="str">
        <f t="shared" si="1"/>
        <v>kavithiru151096@outlook.com917871725079</v>
      </c>
      <c r="M2444" s="10" t="s">
        <v>67</v>
      </c>
      <c r="N2444" s="4" t="b">
        <v>0</v>
      </c>
      <c r="O2444" s="4" t="str">
        <f>VLOOKUP(A2444,payment_ids!D:E,2,FALSE)</f>
        <v>upi</v>
      </c>
      <c r="P2444" s="4" t="s">
        <v>69</v>
      </c>
      <c r="Q2444" s="4" t="s">
        <v>6262</v>
      </c>
      <c r="R2444" s="4"/>
      <c r="S2444" s="12" t="s">
        <v>6252</v>
      </c>
      <c r="T2444" s="4"/>
      <c r="U2444" s="4"/>
      <c r="V2444" s="4"/>
      <c r="W2444" s="5"/>
      <c r="X2444" s="4"/>
      <c r="Y2444" s="4"/>
      <c r="Z2444" s="5"/>
      <c r="AA2444" s="4"/>
      <c r="AB2444" s="4"/>
      <c r="AC2444" s="4"/>
      <c r="AD2444" s="4"/>
      <c r="AE2444" s="5"/>
      <c r="AF2444" s="5"/>
      <c r="AG2444" s="5"/>
      <c r="AH2444" s="5"/>
      <c r="AI2444" s="5"/>
      <c r="AJ2444" s="5"/>
      <c r="AK2444" s="5"/>
      <c r="AL2444" s="5"/>
    </row>
    <row r="2445">
      <c r="A2445" s="4" t="str">
        <f>VLOOKUP(L2445,payment_ids!C:D,2,FALSE)</f>
        <v>pay_HBSd0hqyVFCICY</v>
      </c>
      <c r="B2445" s="4"/>
      <c r="C2445" s="4" t="s">
        <v>6250</v>
      </c>
      <c r="D2445" s="4">
        <v>49998.0</v>
      </c>
      <c r="E2445" s="4"/>
      <c r="F2445" s="4">
        <v>3.0</v>
      </c>
      <c r="G2445" s="4">
        <v>199.0</v>
      </c>
      <c r="H2445" s="4"/>
      <c r="I2445" s="4">
        <v>199.0</v>
      </c>
      <c r="J2445" s="4" t="s">
        <v>6263</v>
      </c>
      <c r="K2445" s="6">
        <f>+918125184631</f>
        <v>918125184631</v>
      </c>
      <c r="L2445" s="4" t="str">
        <f t="shared" si="1"/>
        <v>tarunreddi04@gmail.com918125184631</v>
      </c>
      <c r="M2445" s="10" t="s">
        <v>67</v>
      </c>
      <c r="N2445" s="4" t="b">
        <v>0</v>
      </c>
      <c r="O2445" s="4" t="str">
        <f>VLOOKUP(A2445,payment_ids!D:E,2,FALSE)</f>
        <v>upi</v>
      </c>
      <c r="P2445" s="4" t="s">
        <v>69</v>
      </c>
      <c r="Q2445" s="4" t="s">
        <v>6264</v>
      </c>
      <c r="R2445" s="4"/>
      <c r="S2445" s="12" t="s">
        <v>6252</v>
      </c>
      <c r="T2445" s="4"/>
      <c r="U2445" s="4"/>
      <c r="V2445" s="4"/>
      <c r="W2445" s="5"/>
      <c r="X2445" s="4"/>
      <c r="Y2445" s="4"/>
      <c r="Z2445" s="5"/>
      <c r="AA2445" s="4"/>
      <c r="AB2445" s="4"/>
      <c r="AC2445" s="4"/>
      <c r="AD2445" s="4"/>
      <c r="AE2445" s="5"/>
      <c r="AF2445" s="5"/>
      <c r="AG2445" s="5"/>
      <c r="AH2445" s="5"/>
      <c r="AI2445" s="5"/>
      <c r="AJ2445" s="5"/>
      <c r="AK2445" s="5"/>
      <c r="AL2445" s="5"/>
    </row>
    <row r="2446">
      <c r="A2446" s="4" t="str">
        <f>VLOOKUP(L2446,payment_ids!C:D,2,FALSE)</f>
        <v>pay_HBms5sDml5gnMM</v>
      </c>
      <c r="B2446" s="4"/>
      <c r="C2446" s="4" t="s">
        <v>6250</v>
      </c>
      <c r="D2446" s="4">
        <v>49998.0</v>
      </c>
      <c r="E2446" s="4"/>
      <c r="F2446" s="4">
        <v>1.0</v>
      </c>
      <c r="G2446" s="4">
        <v>99.0</v>
      </c>
      <c r="H2446" s="4"/>
      <c r="I2446" s="4">
        <v>99.0</v>
      </c>
      <c r="J2446" s="4" t="s">
        <v>6265</v>
      </c>
      <c r="K2446" s="6">
        <f>+917645063008</f>
        <v>917645063008</v>
      </c>
      <c r="L2446" s="4" t="str">
        <f t="shared" si="1"/>
        <v>simranisha.mallick@gmail.com917645063008</v>
      </c>
      <c r="M2446" s="10" t="s">
        <v>67</v>
      </c>
      <c r="N2446" s="4" t="b">
        <v>0</v>
      </c>
      <c r="O2446" s="4" t="str">
        <f>VLOOKUP(A2446,payment_ids!D:E,2,FALSE)</f>
        <v>card</v>
      </c>
      <c r="P2446" s="4" t="s">
        <v>69</v>
      </c>
      <c r="Q2446" s="4" t="s">
        <v>6266</v>
      </c>
      <c r="R2446" s="4"/>
      <c r="S2446" s="12" t="s">
        <v>6252</v>
      </c>
      <c r="T2446" s="4"/>
      <c r="U2446" s="4"/>
      <c r="V2446" s="4"/>
      <c r="W2446" s="5"/>
      <c r="X2446" s="4"/>
      <c r="Y2446" s="4"/>
      <c r="Z2446" s="5"/>
      <c r="AA2446" s="4"/>
      <c r="AB2446" s="4"/>
      <c r="AC2446" s="4"/>
      <c r="AD2446" s="4"/>
      <c r="AE2446" s="5"/>
      <c r="AF2446" s="5"/>
      <c r="AG2446" s="5"/>
      <c r="AH2446" s="5"/>
      <c r="AI2446" s="5"/>
      <c r="AJ2446" s="5"/>
      <c r="AK2446" s="5"/>
      <c r="AL2446" s="5"/>
    </row>
    <row r="2447">
      <c r="A2447" s="4" t="str">
        <f>VLOOKUP(L2447,payment_ids!C:D,2,FALSE)</f>
        <v>pay_HCGcRUY57oxwjx</v>
      </c>
      <c r="B2447" s="4"/>
      <c r="C2447" s="4" t="s">
        <v>6250</v>
      </c>
      <c r="D2447" s="4">
        <v>49998.0</v>
      </c>
      <c r="E2447" s="4"/>
      <c r="F2447" s="4">
        <v>3.0</v>
      </c>
      <c r="G2447" s="4">
        <v>199.0</v>
      </c>
      <c r="H2447" s="4"/>
      <c r="I2447" s="4">
        <v>199.0</v>
      </c>
      <c r="J2447" s="4" t="s">
        <v>6267</v>
      </c>
      <c r="K2447" s="6">
        <f>+918105675089</f>
        <v>918105675089</v>
      </c>
      <c r="L2447" s="4" t="str">
        <f t="shared" si="1"/>
        <v>nikhilgnikku2123@gmail.com918105675089</v>
      </c>
      <c r="M2447" s="10" t="s">
        <v>67</v>
      </c>
      <c r="N2447" s="4" t="b">
        <v>0</v>
      </c>
      <c r="O2447" s="4" t="str">
        <f>VLOOKUP(A2447,payment_ids!D:E,2,FALSE)</f>
        <v>upi</v>
      </c>
      <c r="P2447" s="4" t="s">
        <v>69</v>
      </c>
      <c r="Q2447" s="4" t="s">
        <v>6268</v>
      </c>
      <c r="R2447" s="4"/>
      <c r="S2447" s="12" t="s">
        <v>6252</v>
      </c>
      <c r="T2447" s="4"/>
      <c r="U2447" s="4"/>
      <c r="V2447" s="4"/>
      <c r="W2447" s="5"/>
      <c r="X2447" s="4"/>
      <c r="Y2447" s="4"/>
      <c r="Z2447" s="5"/>
      <c r="AA2447" s="4"/>
      <c r="AB2447" s="4"/>
      <c r="AC2447" s="4"/>
      <c r="AD2447" s="4"/>
      <c r="AE2447" s="5"/>
      <c r="AF2447" s="5"/>
      <c r="AG2447" s="5"/>
      <c r="AH2447" s="5"/>
      <c r="AI2447" s="5"/>
      <c r="AJ2447" s="5"/>
      <c r="AK2447" s="5"/>
      <c r="AL2447" s="5"/>
    </row>
    <row r="2448">
      <c r="A2448" s="4" t="str">
        <f>VLOOKUP(L2448,payment_ids!C:D,2,FALSE)</f>
        <v>pay_HCTJIYErGEH3ot</v>
      </c>
      <c r="B2448" s="4"/>
      <c r="C2448" s="4" t="s">
        <v>6250</v>
      </c>
      <c r="D2448" s="4">
        <v>49998.0</v>
      </c>
      <c r="E2448" s="4"/>
      <c r="F2448" s="4">
        <v>3.0</v>
      </c>
      <c r="G2448" s="4">
        <v>199.0</v>
      </c>
      <c r="H2448" s="4"/>
      <c r="I2448" s="4">
        <v>199.0</v>
      </c>
      <c r="J2448" s="4" t="s">
        <v>6269</v>
      </c>
      <c r="K2448" s="6">
        <f>+919398365395</f>
        <v>919398365395</v>
      </c>
      <c r="L2448" s="4" t="str">
        <f t="shared" si="1"/>
        <v>tirumanyamsham@gmail.com919398365395</v>
      </c>
      <c r="M2448" s="10" t="s">
        <v>67</v>
      </c>
      <c r="N2448" s="4" t="b">
        <v>0</v>
      </c>
      <c r="O2448" s="4" t="str">
        <f>VLOOKUP(A2448,payment_ids!D:E,2,FALSE)</f>
        <v>upi</v>
      </c>
      <c r="P2448" s="4" t="s">
        <v>69</v>
      </c>
      <c r="Q2448" s="4" t="s">
        <v>6270</v>
      </c>
      <c r="R2448" s="4"/>
      <c r="S2448" s="12" t="s">
        <v>6252</v>
      </c>
      <c r="T2448" s="4"/>
      <c r="U2448" s="4"/>
      <c r="V2448" s="4"/>
      <c r="W2448" s="5"/>
      <c r="X2448" s="4"/>
      <c r="Y2448" s="4"/>
      <c r="Z2448" s="5"/>
      <c r="AA2448" s="4"/>
      <c r="AB2448" s="4"/>
      <c r="AC2448" s="4"/>
      <c r="AD2448" s="4"/>
      <c r="AE2448" s="5"/>
      <c r="AF2448" s="5"/>
      <c r="AG2448" s="5"/>
      <c r="AH2448" s="5"/>
      <c r="AI2448" s="5"/>
      <c r="AJ2448" s="5"/>
      <c r="AK2448" s="5"/>
      <c r="AL2448" s="5"/>
    </row>
    <row r="2449">
      <c r="A2449" s="4" t="str">
        <f>VLOOKUP(L2449,payment_ids!C:D,2,FALSE)</f>
        <v>pay_HCVXYwhNbrzbBX</v>
      </c>
      <c r="B2449" s="4"/>
      <c r="C2449" s="4" t="s">
        <v>6250</v>
      </c>
      <c r="D2449" s="4">
        <v>49998.0</v>
      </c>
      <c r="E2449" s="4"/>
      <c r="F2449" s="4">
        <v>3.0</v>
      </c>
      <c r="G2449" s="4">
        <v>199.0</v>
      </c>
      <c r="H2449" s="4"/>
      <c r="I2449" s="4">
        <v>199.0</v>
      </c>
      <c r="J2449" s="4" t="s">
        <v>6271</v>
      </c>
      <c r="K2449" s="6">
        <f>+918760646622</f>
        <v>918760646622</v>
      </c>
      <c r="L2449" s="4" t="str">
        <f t="shared" si="1"/>
        <v>jf19072003@gmail.com918760646622</v>
      </c>
      <c r="M2449" s="10" t="s">
        <v>67</v>
      </c>
      <c r="N2449" s="4" t="b">
        <v>0</v>
      </c>
      <c r="O2449" s="4" t="str">
        <f>VLOOKUP(A2449,payment_ids!D:E,2,FALSE)</f>
        <v>upi</v>
      </c>
      <c r="P2449" s="4" t="s">
        <v>69</v>
      </c>
      <c r="Q2449" s="4" t="s">
        <v>6272</v>
      </c>
      <c r="R2449" s="4"/>
      <c r="S2449" s="12" t="s">
        <v>6252</v>
      </c>
      <c r="T2449" s="4"/>
      <c r="U2449" s="4"/>
      <c r="V2449" s="4"/>
      <c r="W2449" s="5"/>
      <c r="X2449" s="4"/>
      <c r="Y2449" s="4"/>
      <c r="Z2449" s="5"/>
      <c r="AA2449" s="4"/>
      <c r="AB2449" s="4"/>
      <c r="AC2449" s="4"/>
      <c r="AD2449" s="4"/>
      <c r="AE2449" s="5"/>
      <c r="AF2449" s="5"/>
      <c r="AG2449" s="5"/>
      <c r="AH2449" s="5"/>
      <c r="AI2449" s="5"/>
      <c r="AJ2449" s="5"/>
      <c r="AK2449" s="5"/>
      <c r="AL2449" s="5"/>
    </row>
    <row r="2450">
      <c r="A2450" s="4" t="str">
        <f>VLOOKUP(L2450,payment_ids!C:D,2,FALSE)</f>
        <v>pay_HCvUsLkxWh9MrP</v>
      </c>
      <c r="B2450" s="4"/>
      <c r="C2450" s="4" t="s">
        <v>6250</v>
      </c>
      <c r="D2450" s="4">
        <v>49998.0</v>
      </c>
      <c r="E2450" s="4"/>
      <c r="F2450" s="4">
        <v>3.0</v>
      </c>
      <c r="G2450" s="4">
        <v>199.0</v>
      </c>
      <c r="H2450" s="4"/>
      <c r="I2450" s="4">
        <v>199.0</v>
      </c>
      <c r="J2450" s="4" t="s">
        <v>6273</v>
      </c>
      <c r="K2450" s="6">
        <f>+917973408661</f>
        <v>917973408661</v>
      </c>
      <c r="L2450" s="4" t="str">
        <f t="shared" si="1"/>
        <v>christinagill084@gmail.com917973408661</v>
      </c>
      <c r="M2450" s="10" t="s">
        <v>67</v>
      </c>
      <c r="N2450" s="4" t="b">
        <v>0</v>
      </c>
      <c r="O2450" s="4" t="str">
        <f>VLOOKUP(A2450,payment_ids!D:E,2,FALSE)</f>
        <v>card</v>
      </c>
      <c r="P2450" s="4" t="s">
        <v>69</v>
      </c>
      <c r="Q2450" s="4" t="s">
        <v>6274</v>
      </c>
      <c r="R2450" s="4"/>
      <c r="S2450" s="12" t="s">
        <v>6252</v>
      </c>
      <c r="T2450" s="4"/>
      <c r="U2450" s="4"/>
      <c r="V2450" s="4"/>
      <c r="W2450" s="5"/>
      <c r="X2450" s="4"/>
      <c r="Y2450" s="4"/>
      <c r="Z2450" s="5"/>
      <c r="AA2450" s="4"/>
      <c r="AB2450" s="4"/>
      <c r="AC2450" s="4"/>
      <c r="AD2450" s="4"/>
      <c r="AE2450" s="5"/>
      <c r="AF2450" s="5"/>
      <c r="AG2450" s="5"/>
      <c r="AH2450" s="5"/>
      <c r="AI2450" s="5"/>
      <c r="AJ2450" s="5"/>
      <c r="AK2450" s="5"/>
      <c r="AL2450" s="5"/>
    </row>
    <row r="2451">
      <c r="A2451" s="4" t="str">
        <f>VLOOKUP(L2451,payment_ids!C:D,2,FALSE)</f>
        <v>pay_HDtw0l2xb1Lo2q</v>
      </c>
      <c r="B2451" s="4"/>
      <c r="C2451" s="4" t="s">
        <v>6250</v>
      </c>
      <c r="D2451" s="4">
        <v>49998.0</v>
      </c>
      <c r="E2451" s="4"/>
      <c r="F2451" s="4">
        <v>1.0</v>
      </c>
      <c r="G2451" s="4">
        <v>99.0</v>
      </c>
      <c r="H2451" s="4"/>
      <c r="I2451" s="4">
        <v>99.0</v>
      </c>
      <c r="J2451" s="4" t="s">
        <v>6275</v>
      </c>
      <c r="K2451" s="6">
        <f>+919398214671</f>
        <v>919398214671</v>
      </c>
      <c r="L2451" s="4" t="str">
        <f t="shared" si="1"/>
        <v>sohail2250@gmail.com919398214671</v>
      </c>
      <c r="M2451" s="10" t="s">
        <v>67</v>
      </c>
      <c r="N2451" s="4" t="b">
        <v>0</v>
      </c>
      <c r="O2451" s="4" t="str">
        <f>VLOOKUP(A2451,payment_ids!D:E,2,FALSE)</f>
        <v>upi</v>
      </c>
      <c r="P2451" s="4" t="s">
        <v>69</v>
      </c>
      <c r="Q2451" s="4" t="s">
        <v>6276</v>
      </c>
      <c r="R2451" s="4"/>
      <c r="S2451" s="12" t="s">
        <v>6252</v>
      </c>
      <c r="T2451" s="4"/>
      <c r="U2451" s="4"/>
      <c r="V2451" s="4"/>
      <c r="W2451" s="5"/>
      <c r="X2451" s="4"/>
      <c r="Y2451" s="4"/>
      <c r="Z2451" s="5"/>
      <c r="AA2451" s="4"/>
      <c r="AB2451" s="4"/>
      <c r="AC2451" s="4"/>
      <c r="AD2451" s="4"/>
      <c r="AE2451" s="5"/>
      <c r="AF2451" s="5"/>
      <c r="AG2451" s="5"/>
      <c r="AH2451" s="5"/>
      <c r="AI2451" s="5"/>
      <c r="AJ2451" s="5"/>
      <c r="AK2451" s="5"/>
      <c r="AL2451" s="5"/>
    </row>
    <row r="2452">
      <c r="A2452" s="4" t="str">
        <f>VLOOKUP(L2452,payment_ids!C:D,2,FALSE)</f>
        <v>pay_HDugEuhxiGeqjB</v>
      </c>
      <c r="B2452" s="4"/>
      <c r="C2452" s="4" t="s">
        <v>6250</v>
      </c>
      <c r="D2452" s="4">
        <v>49998.0</v>
      </c>
      <c r="E2452" s="4"/>
      <c r="F2452" s="4">
        <v>1.0</v>
      </c>
      <c r="G2452" s="4">
        <v>99.0</v>
      </c>
      <c r="H2452" s="4"/>
      <c r="I2452" s="4">
        <v>99.0</v>
      </c>
      <c r="J2452" s="4" t="s">
        <v>6277</v>
      </c>
      <c r="K2452" s="6">
        <f>+917337798333</f>
        <v>917337798333</v>
      </c>
      <c r="L2452" s="4" t="str">
        <f t="shared" si="1"/>
        <v>ananyaa.doglover@gmail.com917337798333</v>
      </c>
      <c r="M2452" s="10" t="s">
        <v>67</v>
      </c>
      <c r="N2452" s="4" t="b">
        <v>0</v>
      </c>
      <c r="O2452" s="4" t="str">
        <f>VLOOKUP(A2452,payment_ids!D:E,2,FALSE)</f>
        <v>card</v>
      </c>
      <c r="P2452" s="4" t="s">
        <v>69</v>
      </c>
      <c r="Q2452" s="4" t="s">
        <v>6278</v>
      </c>
      <c r="R2452" s="4"/>
      <c r="S2452" s="12" t="s">
        <v>6252</v>
      </c>
      <c r="T2452" s="4"/>
      <c r="U2452" s="4"/>
      <c r="V2452" s="4"/>
      <c r="W2452" s="5"/>
      <c r="X2452" s="4"/>
      <c r="Y2452" s="4"/>
      <c r="Z2452" s="5"/>
      <c r="AA2452" s="4"/>
      <c r="AB2452" s="4"/>
      <c r="AC2452" s="4"/>
      <c r="AD2452" s="4"/>
      <c r="AE2452" s="5"/>
      <c r="AF2452" s="5"/>
      <c r="AG2452" s="5"/>
      <c r="AH2452" s="5"/>
      <c r="AI2452" s="5"/>
      <c r="AJ2452" s="5"/>
      <c r="AK2452" s="5"/>
      <c r="AL2452" s="5"/>
    </row>
    <row r="2453">
      <c r="A2453" s="4" t="str">
        <f>VLOOKUP(L2453,payment_ids!C:D,2,FALSE)</f>
        <v>pay_HE6rDEjXD1IRVs</v>
      </c>
      <c r="B2453" s="4"/>
      <c r="C2453" s="4" t="s">
        <v>6250</v>
      </c>
      <c r="D2453" s="4">
        <v>49998.0</v>
      </c>
      <c r="E2453" s="4"/>
      <c r="F2453" s="4">
        <v>1.0</v>
      </c>
      <c r="G2453" s="4">
        <v>99.0</v>
      </c>
      <c r="H2453" s="4"/>
      <c r="I2453" s="4">
        <v>99.0</v>
      </c>
      <c r="J2453" s="4" t="s">
        <v>6279</v>
      </c>
      <c r="K2453" s="6">
        <f>+919110701239</f>
        <v>919110701239</v>
      </c>
      <c r="L2453" s="4" t="str">
        <f t="shared" si="1"/>
        <v>vitta.saikishan01@gmail.com919110701239</v>
      </c>
      <c r="M2453" s="10" t="s">
        <v>67</v>
      </c>
      <c r="N2453" s="4" t="b">
        <v>0</v>
      </c>
      <c r="O2453" s="4" t="str">
        <f>VLOOKUP(A2453,payment_ids!D:E,2,FALSE)</f>
        <v>upi</v>
      </c>
      <c r="P2453" s="4" t="s">
        <v>69</v>
      </c>
      <c r="Q2453" s="4" t="s">
        <v>6280</v>
      </c>
      <c r="R2453" s="4"/>
      <c r="S2453" s="12" t="s">
        <v>6252</v>
      </c>
      <c r="T2453" s="4"/>
      <c r="U2453" s="4"/>
      <c r="V2453" s="4"/>
      <c r="W2453" s="5"/>
      <c r="X2453" s="4"/>
      <c r="Y2453" s="4"/>
      <c r="Z2453" s="5"/>
      <c r="AA2453" s="4"/>
      <c r="AB2453" s="4"/>
      <c r="AC2453" s="4"/>
      <c r="AD2453" s="4"/>
      <c r="AE2453" s="5"/>
      <c r="AF2453" s="5"/>
      <c r="AG2453" s="5"/>
      <c r="AH2453" s="5"/>
      <c r="AI2453" s="5"/>
      <c r="AJ2453" s="5"/>
      <c r="AK2453" s="5"/>
      <c r="AL2453" s="5"/>
    </row>
    <row r="2454">
      <c r="A2454" s="4" t="str">
        <f>VLOOKUP(L2454,payment_ids!C:D,2,FALSE)</f>
        <v>pay_HECTRQxWCVq7C1</v>
      </c>
      <c r="B2454" s="4"/>
      <c r="C2454" s="4" t="s">
        <v>6250</v>
      </c>
      <c r="D2454" s="4">
        <v>49998.0</v>
      </c>
      <c r="E2454" s="4"/>
      <c r="F2454" s="4">
        <v>1.0</v>
      </c>
      <c r="G2454" s="4">
        <v>99.0</v>
      </c>
      <c r="H2454" s="4"/>
      <c r="I2454" s="4">
        <v>99.0</v>
      </c>
      <c r="J2454" s="4" t="s">
        <v>6281</v>
      </c>
      <c r="K2454" s="6">
        <f>+919626507533</f>
        <v>919626507533</v>
      </c>
      <c r="L2454" s="4" t="str">
        <f t="shared" si="1"/>
        <v>chitrashelly@gmail.com919626507533</v>
      </c>
      <c r="M2454" s="10" t="s">
        <v>67</v>
      </c>
      <c r="N2454" s="4" t="b">
        <v>0</v>
      </c>
      <c r="O2454" s="4" t="str">
        <f>VLOOKUP(A2454,payment_ids!D:E,2,FALSE)</f>
        <v>upi</v>
      </c>
      <c r="P2454" s="4" t="s">
        <v>69</v>
      </c>
      <c r="Q2454" s="4" t="s">
        <v>6282</v>
      </c>
      <c r="R2454" s="4"/>
      <c r="S2454" s="12" t="s">
        <v>6252</v>
      </c>
      <c r="T2454" s="4"/>
      <c r="U2454" s="4"/>
      <c r="V2454" s="4"/>
      <c r="W2454" s="5"/>
      <c r="X2454" s="4"/>
      <c r="Y2454" s="4"/>
      <c r="Z2454" s="5"/>
      <c r="AA2454" s="4"/>
      <c r="AB2454" s="4"/>
      <c r="AC2454" s="4"/>
      <c r="AD2454" s="4"/>
      <c r="AE2454" s="5"/>
      <c r="AF2454" s="5"/>
      <c r="AG2454" s="5"/>
      <c r="AH2454" s="5"/>
      <c r="AI2454" s="5"/>
      <c r="AJ2454" s="5"/>
      <c r="AK2454" s="5"/>
      <c r="AL2454" s="5"/>
    </row>
    <row r="2455">
      <c r="A2455" s="4" t="str">
        <f>VLOOKUP(L2455,payment_ids!C:D,2,FALSE)</f>
        <v>pay_HEFmghBtfh3CHQ</v>
      </c>
      <c r="B2455" s="4"/>
      <c r="C2455" s="4" t="s">
        <v>6250</v>
      </c>
      <c r="D2455" s="4">
        <v>49998.0</v>
      </c>
      <c r="E2455" s="4"/>
      <c r="F2455" s="4">
        <v>1.0</v>
      </c>
      <c r="G2455" s="4">
        <v>99.0</v>
      </c>
      <c r="H2455" s="4"/>
      <c r="I2455" s="4">
        <v>99.0</v>
      </c>
      <c r="J2455" s="4" t="s">
        <v>6283</v>
      </c>
      <c r="K2455" s="6">
        <f>+919578300000</f>
        <v>919578300000</v>
      </c>
      <c r="L2455" s="4" t="str">
        <f t="shared" si="1"/>
        <v>sohailkal00000@gmail.com919578300000</v>
      </c>
      <c r="M2455" s="10" t="s">
        <v>67</v>
      </c>
      <c r="N2455" s="4" t="b">
        <v>0</v>
      </c>
      <c r="O2455" s="4" t="str">
        <f>VLOOKUP(A2455,payment_ids!D:E,2,FALSE)</f>
        <v>card</v>
      </c>
      <c r="P2455" s="4" t="s">
        <v>69</v>
      </c>
      <c r="Q2455" s="4" t="s">
        <v>6284</v>
      </c>
      <c r="R2455" s="4"/>
      <c r="S2455" s="12" t="s">
        <v>6252</v>
      </c>
      <c r="T2455" s="4"/>
      <c r="U2455" s="4"/>
      <c r="V2455" s="4"/>
      <c r="W2455" s="5"/>
      <c r="X2455" s="4"/>
      <c r="Y2455" s="4"/>
      <c r="Z2455" s="5"/>
      <c r="AA2455" s="4"/>
      <c r="AB2455" s="4"/>
      <c r="AC2455" s="4"/>
      <c r="AD2455" s="4"/>
      <c r="AE2455" s="5"/>
      <c r="AF2455" s="5"/>
      <c r="AG2455" s="5"/>
      <c r="AH2455" s="5"/>
      <c r="AI2455" s="5"/>
      <c r="AJ2455" s="5"/>
      <c r="AK2455" s="5"/>
      <c r="AL2455" s="5"/>
    </row>
    <row r="2456">
      <c r="A2456" s="4" t="str">
        <f>VLOOKUP(L2456,payment_ids!C:D,2,FALSE)</f>
        <v>pay_HERtKE1mpm2RbU</v>
      </c>
      <c r="B2456" s="4"/>
      <c r="C2456" s="4" t="s">
        <v>6250</v>
      </c>
      <c r="D2456" s="4">
        <v>49998.0</v>
      </c>
      <c r="E2456" s="4"/>
      <c r="F2456" s="4">
        <v>1.0</v>
      </c>
      <c r="G2456" s="4">
        <v>99.0</v>
      </c>
      <c r="H2456" s="4"/>
      <c r="I2456" s="4">
        <v>99.0</v>
      </c>
      <c r="J2456" s="4" t="s">
        <v>6285</v>
      </c>
      <c r="K2456" s="6">
        <f>+917357221405</f>
        <v>917357221405</v>
      </c>
      <c r="L2456" s="4" t="str">
        <f t="shared" si="1"/>
        <v>amisha.sharma.3532@gmail.com917357221405</v>
      </c>
      <c r="M2456" s="10" t="s">
        <v>67</v>
      </c>
      <c r="N2456" s="4" t="b">
        <v>0</v>
      </c>
      <c r="O2456" s="4" t="str">
        <f>VLOOKUP(A2456,payment_ids!D:E,2,FALSE)</f>
        <v>upi</v>
      </c>
      <c r="P2456" s="4" t="s">
        <v>69</v>
      </c>
      <c r="Q2456" s="4" t="s">
        <v>6286</v>
      </c>
      <c r="R2456" s="4"/>
      <c r="S2456" s="12" t="s">
        <v>6252</v>
      </c>
      <c r="T2456" s="4"/>
      <c r="U2456" s="4"/>
      <c r="V2456" s="4"/>
      <c r="W2456" s="5"/>
      <c r="X2456" s="4"/>
      <c r="Y2456" s="4"/>
      <c r="Z2456" s="5"/>
      <c r="AA2456" s="4"/>
      <c r="AB2456" s="4"/>
      <c r="AC2456" s="4"/>
      <c r="AD2456" s="4"/>
      <c r="AE2456" s="5"/>
      <c r="AF2456" s="5"/>
      <c r="AG2456" s="5"/>
      <c r="AH2456" s="5"/>
      <c r="AI2456" s="5"/>
      <c r="AJ2456" s="5"/>
      <c r="AK2456" s="5"/>
      <c r="AL2456" s="5"/>
    </row>
    <row r="2457">
      <c r="A2457" s="4" t="str">
        <f>VLOOKUP(L2457,payment_ids!C:D,2,FALSE)</f>
        <v>pay_HEq22feLg3IMDe</v>
      </c>
      <c r="B2457" s="4"/>
      <c r="C2457" s="4" t="s">
        <v>6250</v>
      </c>
      <c r="D2457" s="4">
        <v>49998.0</v>
      </c>
      <c r="E2457" s="4"/>
      <c r="F2457" s="4">
        <v>1.0</v>
      </c>
      <c r="G2457" s="4">
        <v>99.0</v>
      </c>
      <c r="H2457" s="4"/>
      <c r="I2457" s="4">
        <v>99.0</v>
      </c>
      <c r="J2457" s="4" t="s">
        <v>6287</v>
      </c>
      <c r="K2457" s="6">
        <f>+917008442269</f>
        <v>917008442269</v>
      </c>
      <c r="L2457" s="4" t="str">
        <f t="shared" si="1"/>
        <v>patel.sbbarsha@gmail.com917008442269</v>
      </c>
      <c r="M2457" s="10" t="s">
        <v>67</v>
      </c>
      <c r="N2457" s="4" t="b">
        <v>0</v>
      </c>
      <c r="O2457" s="4" t="str">
        <f>VLOOKUP(A2457,payment_ids!D:E,2,FALSE)</f>
        <v>upi</v>
      </c>
      <c r="P2457" s="4" t="s">
        <v>69</v>
      </c>
      <c r="Q2457" s="4" t="s">
        <v>6288</v>
      </c>
      <c r="R2457" s="4"/>
      <c r="S2457" s="12" t="s">
        <v>6252</v>
      </c>
      <c r="T2457" s="4"/>
      <c r="U2457" s="4"/>
      <c r="V2457" s="4"/>
      <c r="W2457" s="5"/>
      <c r="X2457" s="4"/>
      <c r="Y2457" s="4"/>
      <c r="Z2457" s="5"/>
      <c r="AA2457" s="4"/>
      <c r="AB2457" s="4"/>
      <c r="AC2457" s="4"/>
      <c r="AD2457" s="4"/>
      <c r="AE2457" s="5"/>
      <c r="AF2457" s="5"/>
      <c r="AG2457" s="5"/>
      <c r="AH2457" s="5"/>
      <c r="AI2457" s="5"/>
      <c r="AJ2457" s="5"/>
      <c r="AK2457" s="5"/>
      <c r="AL2457" s="5"/>
    </row>
    <row r="2458">
      <c r="A2458" s="4" t="str">
        <f>VLOOKUP(L2458,payment_ids!C:D,2,FALSE)</f>
        <v>pay_HFTH8uj0hy7UAa</v>
      </c>
      <c r="B2458" s="4"/>
      <c r="C2458" s="4" t="s">
        <v>6250</v>
      </c>
      <c r="D2458" s="4">
        <v>49998.0</v>
      </c>
      <c r="E2458" s="5"/>
      <c r="F2458" s="4">
        <v>1.0</v>
      </c>
      <c r="G2458" s="4">
        <v>99.0</v>
      </c>
      <c r="H2458" s="4"/>
      <c r="I2458" s="4">
        <v>99.0</v>
      </c>
      <c r="J2458" s="4" t="s">
        <v>6289</v>
      </c>
      <c r="K2458" s="5">
        <f>+919686539737</f>
        <v>919686539737</v>
      </c>
      <c r="L2458" s="4" t="str">
        <f t="shared" si="1"/>
        <v>chandanshetty483@gmail.com919686539737</v>
      </c>
      <c r="M2458" s="10" t="s">
        <v>67</v>
      </c>
      <c r="N2458" s="4" t="b">
        <v>0</v>
      </c>
      <c r="O2458" s="4" t="str">
        <f>VLOOKUP(A2458,payment_ids!D:E,2,FALSE)</f>
        <v>upi</v>
      </c>
      <c r="P2458" s="4" t="s">
        <v>69</v>
      </c>
      <c r="Q2458" s="4" t="s">
        <v>6290</v>
      </c>
      <c r="R2458" s="4"/>
      <c r="S2458" s="12" t="s">
        <v>6252</v>
      </c>
      <c r="T2458" s="5"/>
      <c r="U2458" s="4"/>
      <c r="V2458" s="4"/>
      <c r="W2458" s="5"/>
      <c r="X2458" s="4"/>
      <c r="Y2458" s="4"/>
      <c r="Z2458" s="5"/>
      <c r="AA2458" s="4"/>
      <c r="AB2458" s="4"/>
      <c r="AC2458" s="4"/>
      <c r="AD2458" s="4"/>
      <c r="AE2458" s="5"/>
      <c r="AF2458" s="5"/>
      <c r="AG2458" s="5"/>
      <c r="AH2458" s="5"/>
      <c r="AI2458" s="5"/>
      <c r="AJ2458" s="5"/>
      <c r="AK2458" s="5"/>
      <c r="AL2458" s="5"/>
    </row>
    <row r="2459">
      <c r="A2459" s="4" t="str">
        <f>VLOOKUP(L2459,payment_ids!C:D,2,FALSE)</f>
        <v>pay_HFixAQg9B49FlI</v>
      </c>
      <c r="B2459" s="4"/>
      <c r="C2459" s="4" t="s">
        <v>6250</v>
      </c>
      <c r="D2459" s="4">
        <v>49998.0</v>
      </c>
      <c r="E2459" s="5"/>
      <c r="F2459" s="4">
        <v>1.0</v>
      </c>
      <c r="G2459" s="4">
        <v>99.0</v>
      </c>
      <c r="H2459" s="4"/>
      <c r="I2459" s="4">
        <v>99.0</v>
      </c>
      <c r="J2459" s="4" t="s">
        <v>6291</v>
      </c>
      <c r="K2459" s="5">
        <f>+916005971502</f>
        <v>916005971502</v>
      </c>
      <c r="L2459" s="4" t="str">
        <f t="shared" si="1"/>
        <v>nohope0986@gmail.com916005971502</v>
      </c>
      <c r="M2459" s="10" t="s">
        <v>67</v>
      </c>
      <c r="N2459" s="4" t="b">
        <v>0</v>
      </c>
      <c r="O2459" s="4" t="str">
        <f>VLOOKUP(A2459,payment_ids!D:E,2,FALSE)</f>
        <v>upi</v>
      </c>
      <c r="P2459" s="4" t="s">
        <v>69</v>
      </c>
      <c r="Q2459" s="4" t="s">
        <v>6292</v>
      </c>
      <c r="R2459" s="4"/>
      <c r="S2459" s="12" t="s">
        <v>6252</v>
      </c>
      <c r="T2459" s="5"/>
      <c r="U2459" s="4"/>
      <c r="V2459" s="4"/>
      <c r="W2459" s="5"/>
      <c r="X2459" s="4"/>
      <c r="Y2459" s="4"/>
      <c r="Z2459" s="5"/>
      <c r="AA2459" s="4"/>
      <c r="AB2459" s="4"/>
      <c r="AC2459" s="4"/>
      <c r="AD2459" s="4"/>
      <c r="AE2459" s="5"/>
      <c r="AF2459" s="5"/>
      <c r="AG2459" s="5"/>
      <c r="AH2459" s="5"/>
      <c r="AI2459" s="5"/>
      <c r="AJ2459" s="5"/>
      <c r="AK2459" s="5"/>
      <c r="AL2459" s="5"/>
    </row>
    <row r="2460">
      <c r="A2460" s="4" t="str">
        <f>VLOOKUP(L2460,payment_ids!C:D,2,FALSE)</f>
        <v>pay_HG8k22oiJ5tNIN</v>
      </c>
      <c r="B2460" s="4"/>
      <c r="C2460" s="4" t="s">
        <v>6250</v>
      </c>
      <c r="D2460" s="4">
        <v>49998.0</v>
      </c>
      <c r="E2460" s="5"/>
      <c r="F2460" s="4">
        <v>1.0</v>
      </c>
      <c r="G2460" s="4">
        <v>99.0</v>
      </c>
      <c r="H2460" s="4"/>
      <c r="I2460" s="4">
        <v>99.0</v>
      </c>
      <c r="J2460" s="4" t="s">
        <v>6293</v>
      </c>
      <c r="K2460" s="5">
        <f>+918754516431</f>
        <v>918754516431</v>
      </c>
      <c r="L2460" s="4" t="str">
        <f t="shared" si="1"/>
        <v>vinayabala09@gmail.com918754516431</v>
      </c>
      <c r="M2460" s="10" t="s">
        <v>67</v>
      </c>
      <c r="N2460" s="4" t="b">
        <v>0</v>
      </c>
      <c r="O2460" s="4" t="str">
        <f>VLOOKUP(A2460,payment_ids!D:E,2,FALSE)</f>
        <v>upi</v>
      </c>
      <c r="P2460" s="4" t="s">
        <v>69</v>
      </c>
      <c r="Q2460" s="4" t="s">
        <v>6294</v>
      </c>
      <c r="R2460" s="4"/>
      <c r="S2460" s="12" t="s">
        <v>6252</v>
      </c>
      <c r="T2460" s="5"/>
      <c r="U2460" s="4"/>
      <c r="V2460" s="4"/>
      <c r="W2460" s="5"/>
      <c r="X2460" s="4"/>
      <c r="Y2460" s="4"/>
      <c r="Z2460" s="5"/>
      <c r="AA2460" s="4"/>
      <c r="AB2460" s="4"/>
      <c r="AC2460" s="4"/>
      <c r="AD2460" s="4"/>
      <c r="AE2460" s="5"/>
      <c r="AF2460" s="5"/>
      <c r="AG2460" s="5"/>
      <c r="AH2460" s="5"/>
      <c r="AI2460" s="5"/>
      <c r="AJ2460" s="5"/>
      <c r="AK2460" s="5"/>
      <c r="AL2460" s="5"/>
    </row>
    <row r="2461">
      <c r="A2461" s="4" t="str">
        <f>VLOOKUP(L2461,payment_ids!C:D,2,FALSE)</f>
        <v>pay_HHdiSToQKgKFhx</v>
      </c>
      <c r="B2461" s="4"/>
      <c r="C2461" s="4" t="s">
        <v>6250</v>
      </c>
      <c r="D2461" s="4">
        <v>49998.0</v>
      </c>
      <c r="E2461" s="5"/>
      <c r="F2461" s="4">
        <v>3.0</v>
      </c>
      <c r="G2461" s="4">
        <v>199.0</v>
      </c>
      <c r="H2461" s="4"/>
      <c r="I2461" s="4">
        <v>199.0</v>
      </c>
      <c r="J2461" s="4" t="s">
        <v>6295</v>
      </c>
      <c r="K2461" s="5">
        <f>+919130169478</f>
        <v>919130169478</v>
      </c>
      <c r="L2461" s="4" t="str">
        <f t="shared" si="1"/>
        <v>prasadgiri204@gmail.com919130169478</v>
      </c>
      <c r="M2461" s="10" t="s">
        <v>67</v>
      </c>
      <c r="N2461" s="4" t="b">
        <v>0</v>
      </c>
      <c r="O2461" s="4" t="str">
        <f>VLOOKUP(A2461,payment_ids!D:E,2,FALSE)</f>
        <v>upi</v>
      </c>
      <c r="P2461" s="4" t="s">
        <v>69</v>
      </c>
      <c r="Q2461" s="11">
        <v>44202.35625</v>
      </c>
      <c r="R2461" s="4"/>
      <c r="S2461" s="12" t="s">
        <v>6252</v>
      </c>
      <c r="T2461" s="5"/>
      <c r="U2461" s="4"/>
      <c r="V2461" s="4"/>
      <c r="W2461" s="5"/>
      <c r="X2461" s="4"/>
      <c r="Y2461" s="4"/>
      <c r="Z2461" s="5"/>
      <c r="AA2461" s="4"/>
      <c r="AB2461" s="4"/>
      <c r="AC2461" s="4"/>
      <c r="AD2461" s="4"/>
      <c r="AE2461" s="5"/>
      <c r="AF2461" s="5"/>
      <c r="AG2461" s="5"/>
      <c r="AH2461" s="5"/>
      <c r="AI2461" s="5"/>
      <c r="AJ2461" s="5"/>
      <c r="AK2461" s="5"/>
      <c r="AL2461" s="5"/>
    </row>
    <row r="2462">
      <c r="A2462" s="4" t="str">
        <f>VLOOKUP(L2462,payment_ids!C:D,2,FALSE)</f>
        <v>pay_HHuG89fmf3LMIM</v>
      </c>
      <c r="B2462" s="4"/>
      <c r="C2462" s="4" t="s">
        <v>6250</v>
      </c>
      <c r="D2462" s="4">
        <v>49998.0</v>
      </c>
      <c r="E2462" s="5"/>
      <c r="F2462" s="4">
        <v>1.0</v>
      </c>
      <c r="G2462" s="4">
        <v>99.0</v>
      </c>
      <c r="H2462" s="4"/>
      <c r="I2462" s="4">
        <v>99.0</v>
      </c>
      <c r="J2462" s="4" t="s">
        <v>6296</v>
      </c>
      <c r="K2462" s="5">
        <f>+919443501189</f>
        <v>919443501189</v>
      </c>
      <c r="L2462" s="4" t="str">
        <f t="shared" si="1"/>
        <v>rubanbalajig05@gmail.com919443501189</v>
      </c>
      <c r="M2462" s="10" t="s">
        <v>67</v>
      </c>
      <c r="N2462" s="4" t="b">
        <v>0</v>
      </c>
      <c r="O2462" s="4" t="str">
        <f>VLOOKUP(A2462,payment_ids!D:E,2,FALSE)</f>
        <v>upi</v>
      </c>
      <c r="P2462" s="4" t="s">
        <v>69</v>
      </c>
      <c r="Q2462" s="11">
        <v>44233.029861111114</v>
      </c>
      <c r="R2462" s="4"/>
      <c r="S2462" s="12" t="s">
        <v>6252</v>
      </c>
      <c r="T2462" s="5"/>
      <c r="U2462" s="4"/>
      <c r="V2462" s="4"/>
      <c r="W2462" s="5"/>
      <c r="X2462" s="4"/>
      <c r="Y2462" s="4"/>
      <c r="Z2462" s="5"/>
      <c r="AA2462" s="4"/>
      <c r="AB2462" s="4"/>
      <c r="AC2462" s="4"/>
      <c r="AD2462" s="4"/>
      <c r="AE2462" s="5"/>
      <c r="AF2462" s="5"/>
      <c r="AG2462" s="5"/>
      <c r="AH2462" s="5"/>
      <c r="AI2462" s="5"/>
      <c r="AJ2462" s="5"/>
      <c r="AK2462" s="5"/>
      <c r="AL2462" s="5"/>
    </row>
    <row r="2463">
      <c r="A2463" s="4" t="str">
        <f>VLOOKUP(L2463,payment_ids!C:D,2,FALSE)</f>
        <v>pay_HI25TV0OZUHwNC</v>
      </c>
      <c r="B2463" s="4"/>
      <c r="C2463" s="4" t="s">
        <v>6250</v>
      </c>
      <c r="D2463" s="4">
        <v>49998.0</v>
      </c>
      <c r="E2463" s="5"/>
      <c r="F2463" s="4">
        <v>1.0</v>
      </c>
      <c r="G2463" s="4">
        <v>99.0</v>
      </c>
      <c r="H2463" s="4"/>
      <c r="I2463" s="4">
        <v>99.0</v>
      </c>
      <c r="J2463" s="4" t="s">
        <v>6297</v>
      </c>
      <c r="K2463" s="5">
        <f>+917776834455</f>
        <v>917776834455</v>
      </c>
      <c r="L2463" s="4" t="str">
        <f t="shared" si="1"/>
        <v>shubhamd4455@gmail.com917776834455</v>
      </c>
      <c r="M2463" s="10" t="s">
        <v>67</v>
      </c>
      <c r="N2463" s="4" t="b">
        <v>0</v>
      </c>
      <c r="O2463" s="4" t="str">
        <f>VLOOKUP(A2463,payment_ids!D:E,2,FALSE)</f>
        <v>upi</v>
      </c>
      <c r="P2463" s="4" t="s">
        <v>69</v>
      </c>
      <c r="Q2463" s="11">
        <v>44233.34930555556</v>
      </c>
      <c r="R2463" s="4"/>
      <c r="S2463" s="12" t="s">
        <v>6252</v>
      </c>
      <c r="T2463" s="5"/>
      <c r="U2463" s="4"/>
      <c r="V2463" s="4"/>
      <c r="W2463" s="5"/>
      <c r="X2463" s="4"/>
      <c r="Y2463" s="4"/>
      <c r="Z2463" s="5"/>
      <c r="AA2463" s="4"/>
      <c r="AB2463" s="4"/>
      <c r="AC2463" s="4"/>
      <c r="AD2463" s="4"/>
      <c r="AE2463" s="5"/>
      <c r="AF2463" s="5"/>
      <c r="AG2463" s="5"/>
      <c r="AH2463" s="5"/>
      <c r="AI2463" s="5"/>
      <c r="AJ2463" s="5"/>
      <c r="AK2463" s="5"/>
      <c r="AL2463" s="5"/>
    </row>
    <row r="2464">
      <c r="A2464" s="4" t="str">
        <f>VLOOKUP(L2464,payment_ids!C:D,2,FALSE)</f>
        <v>pay_HIUwbOzGrEYYA6</v>
      </c>
      <c r="B2464" s="4"/>
      <c r="C2464" s="4" t="s">
        <v>6250</v>
      </c>
      <c r="D2464" s="4">
        <v>49998.0</v>
      </c>
      <c r="E2464" s="5"/>
      <c r="F2464" s="4">
        <v>1.0</v>
      </c>
      <c r="G2464" s="4">
        <v>99.0</v>
      </c>
      <c r="H2464" s="4"/>
      <c r="I2464" s="4">
        <v>99.0</v>
      </c>
      <c r="J2464" s="4" t="s">
        <v>6298</v>
      </c>
      <c r="K2464" s="5">
        <f>+918708135060</f>
        <v>918708135060</v>
      </c>
      <c r="L2464" s="4" t="str">
        <f t="shared" si="1"/>
        <v>office.mittal20000@gmail.com918708135060</v>
      </c>
      <c r="M2464" s="10" t="s">
        <v>67</v>
      </c>
      <c r="N2464" s="4" t="b">
        <v>0</v>
      </c>
      <c r="O2464" s="4" t="str">
        <f>VLOOKUP(A2464,payment_ids!D:E,2,FALSE)</f>
        <v>upi</v>
      </c>
      <c r="P2464" s="4" t="s">
        <v>69</v>
      </c>
      <c r="Q2464" s="11">
        <v>44261.52569444444</v>
      </c>
      <c r="R2464" s="4"/>
      <c r="S2464" s="12" t="s">
        <v>6252</v>
      </c>
      <c r="T2464" s="5"/>
      <c r="U2464" s="4"/>
      <c r="V2464" s="4"/>
      <c r="W2464" s="5"/>
      <c r="X2464" s="4"/>
      <c r="Y2464" s="4"/>
      <c r="Z2464" s="5"/>
      <c r="AA2464" s="4"/>
      <c r="AB2464" s="4"/>
      <c r="AC2464" s="4"/>
      <c r="AD2464" s="4"/>
      <c r="AE2464" s="5"/>
      <c r="AF2464" s="5"/>
      <c r="AG2464" s="5"/>
      <c r="AH2464" s="5"/>
      <c r="AI2464" s="5"/>
      <c r="AJ2464" s="5"/>
      <c r="AK2464" s="5"/>
      <c r="AL2464" s="5"/>
    </row>
    <row r="2465">
      <c r="A2465" s="4" t="str">
        <f>VLOOKUP(L2465,payment_ids!C:D,2,FALSE)</f>
        <v>pay_H8h7Z0hESE86Nv</v>
      </c>
      <c r="B2465" s="4"/>
      <c r="C2465" s="4" t="s">
        <v>6250</v>
      </c>
      <c r="D2465" s="4">
        <v>49998.0</v>
      </c>
      <c r="E2465" s="5"/>
      <c r="F2465" s="4">
        <v>3.0</v>
      </c>
      <c r="G2465" s="4">
        <v>199.0</v>
      </c>
      <c r="H2465" s="4"/>
      <c r="I2465" s="4">
        <v>199.0</v>
      </c>
      <c r="J2465" s="4" t="s">
        <v>6253</v>
      </c>
      <c r="K2465" s="5">
        <f>+919713435860</f>
        <v>919713435860</v>
      </c>
      <c r="L2465" s="4" t="str">
        <f t="shared" si="1"/>
        <v>kratirajak971@gmail.com919713435860</v>
      </c>
      <c r="M2465" s="10" t="s">
        <v>67</v>
      </c>
      <c r="N2465" s="4" t="b">
        <v>0</v>
      </c>
      <c r="O2465" s="4" t="str">
        <f>VLOOKUP(A2465,payment_ids!D:E,2,FALSE)</f>
        <v>upi</v>
      </c>
      <c r="P2465" s="4" t="s">
        <v>69</v>
      </c>
      <c r="Q2465" s="11">
        <v>44292.489583333336</v>
      </c>
      <c r="R2465" s="4"/>
      <c r="S2465" s="12" t="s">
        <v>6252</v>
      </c>
      <c r="T2465" s="5"/>
      <c r="U2465" s="4"/>
      <c r="V2465" s="4"/>
      <c r="W2465" s="5"/>
      <c r="X2465" s="4"/>
      <c r="Y2465" s="4"/>
      <c r="Z2465" s="5"/>
      <c r="AA2465" s="4"/>
      <c r="AB2465" s="4"/>
      <c r="AC2465" s="4"/>
      <c r="AD2465" s="4"/>
      <c r="AE2465" s="5"/>
      <c r="AF2465" s="5"/>
      <c r="AG2465" s="5"/>
      <c r="AH2465" s="5"/>
      <c r="AI2465" s="5"/>
      <c r="AJ2465" s="5"/>
      <c r="AK2465" s="5"/>
      <c r="AL2465" s="5"/>
    </row>
    <row r="2466">
      <c r="A2466" s="4" t="str">
        <f>VLOOKUP(L2466,payment_ids!C:D,2,FALSE)</f>
        <v>pay_H8WgZbfhTb655n</v>
      </c>
      <c r="B2466" s="4"/>
      <c r="C2466" s="4" t="s">
        <v>6250</v>
      </c>
      <c r="D2466" s="4">
        <v>49998.0</v>
      </c>
      <c r="E2466" s="5"/>
      <c r="F2466" s="4">
        <v>3.0</v>
      </c>
      <c r="G2466" s="4">
        <v>199.0</v>
      </c>
      <c r="H2466" s="4"/>
      <c r="I2466" s="4">
        <v>199.0</v>
      </c>
      <c r="J2466" s="4" t="s">
        <v>6254</v>
      </c>
      <c r="K2466" s="5">
        <f>+918669123501</f>
        <v>918669123501</v>
      </c>
      <c r="L2466" s="4" t="str">
        <f t="shared" si="1"/>
        <v>naman0035@gmail.com918669123501</v>
      </c>
      <c r="M2466" s="10" t="s">
        <v>67</v>
      </c>
      <c r="N2466" s="4" t="b">
        <v>0</v>
      </c>
      <c r="O2466" s="4" t="str">
        <f>VLOOKUP(A2466,payment_ids!D:E,2,FALSE)</f>
        <v>upi</v>
      </c>
      <c r="P2466" s="4" t="s">
        <v>69</v>
      </c>
      <c r="Q2466" s="11">
        <v>44322.60972222222</v>
      </c>
      <c r="R2466" s="4"/>
      <c r="S2466" s="12" t="s">
        <v>6252</v>
      </c>
      <c r="T2466" s="5"/>
      <c r="U2466" s="4"/>
      <c r="V2466" s="4"/>
      <c r="W2466" s="5"/>
      <c r="X2466" s="4"/>
      <c r="Y2466" s="4"/>
      <c r="Z2466" s="5"/>
      <c r="AA2466" s="4"/>
      <c r="AB2466" s="4"/>
      <c r="AC2466" s="4"/>
      <c r="AD2466" s="4"/>
      <c r="AE2466" s="5"/>
      <c r="AF2466" s="5"/>
      <c r="AG2466" s="5"/>
      <c r="AH2466" s="5"/>
      <c r="AI2466" s="5"/>
      <c r="AJ2466" s="5"/>
      <c r="AK2466" s="5"/>
      <c r="AL2466" s="5"/>
    </row>
    <row r="2467">
      <c r="A2467" s="4" t="str">
        <f>VLOOKUP(L2467,payment_ids!C:D,2,FALSE)</f>
        <v>pay_HJjsKMUAoKivAj</v>
      </c>
      <c r="B2467" s="4"/>
      <c r="C2467" s="4" t="s">
        <v>6250</v>
      </c>
      <c r="D2467" s="4">
        <v>49998.0</v>
      </c>
      <c r="E2467" s="5"/>
      <c r="F2467" s="4">
        <v>1.0</v>
      </c>
      <c r="G2467" s="4">
        <v>99.0</v>
      </c>
      <c r="H2467" s="4"/>
      <c r="I2467" s="4">
        <v>99.0</v>
      </c>
      <c r="J2467" s="4" t="s">
        <v>6299</v>
      </c>
      <c r="K2467" s="5">
        <f>+919571183844</f>
        <v>919571183844</v>
      </c>
      <c r="L2467" s="4" t="str">
        <f t="shared" si="1"/>
        <v>js9610352@gmail.com919571183844</v>
      </c>
      <c r="M2467" s="10" t="s">
        <v>67</v>
      </c>
      <c r="N2467" s="4" t="b">
        <v>0</v>
      </c>
      <c r="O2467" s="4" t="str">
        <f>VLOOKUP(A2467,payment_ids!D:E,2,FALSE)</f>
        <v>upi</v>
      </c>
      <c r="P2467" s="4" t="s">
        <v>69</v>
      </c>
      <c r="Q2467" s="11">
        <v>44353.66111111111</v>
      </c>
      <c r="R2467" s="4"/>
      <c r="S2467" s="12" t="s">
        <v>6252</v>
      </c>
      <c r="T2467" s="5"/>
      <c r="U2467" s="4"/>
      <c r="V2467" s="4"/>
      <c r="W2467" s="5"/>
      <c r="X2467" s="4"/>
      <c r="Y2467" s="4"/>
      <c r="Z2467" s="5"/>
      <c r="AA2467" s="4"/>
      <c r="AB2467" s="4"/>
      <c r="AC2467" s="4"/>
      <c r="AD2467" s="4"/>
      <c r="AE2467" s="5"/>
      <c r="AF2467" s="5"/>
      <c r="AG2467" s="5"/>
      <c r="AH2467" s="5"/>
      <c r="AI2467" s="5"/>
      <c r="AJ2467" s="5"/>
      <c r="AK2467" s="5"/>
      <c r="AL2467" s="5"/>
    </row>
    <row r="2468">
      <c r="A2468" s="4" t="str">
        <f>VLOOKUP(L2468,payment_ids!C:D,2,FALSE)</f>
        <v>pay_HJmGlwh0eS5ITG</v>
      </c>
      <c r="B2468" s="4"/>
      <c r="C2468" s="4" t="s">
        <v>6250</v>
      </c>
      <c r="D2468" s="4">
        <v>49998.0</v>
      </c>
      <c r="E2468" s="5"/>
      <c r="F2468" s="4">
        <v>1.0</v>
      </c>
      <c r="G2468" s="4">
        <v>99.0</v>
      </c>
      <c r="H2468" s="4"/>
      <c r="I2468" s="4">
        <v>99.0</v>
      </c>
      <c r="J2468" s="4" t="s">
        <v>6300</v>
      </c>
      <c r="K2468" s="5">
        <f>+919624530601</f>
        <v>919624530601</v>
      </c>
      <c r="L2468" s="4" t="str">
        <f t="shared" si="1"/>
        <v>parthraj16ramlvat@gmail.com919624530601</v>
      </c>
      <c r="M2468" s="10" t="s">
        <v>67</v>
      </c>
      <c r="N2468" s="4" t="b">
        <v>0</v>
      </c>
      <c r="O2468" s="4" t="str">
        <f>VLOOKUP(A2468,payment_ids!D:E,2,FALSE)</f>
        <v>upi</v>
      </c>
      <c r="P2468" s="4" t="s">
        <v>69</v>
      </c>
      <c r="Q2468" s="11">
        <v>44353.75833333333</v>
      </c>
      <c r="R2468" s="4"/>
      <c r="S2468" s="12" t="s">
        <v>6252</v>
      </c>
      <c r="T2468" s="5"/>
      <c r="U2468" s="4"/>
      <c r="V2468" s="4"/>
      <c r="W2468" s="5"/>
      <c r="X2468" s="4"/>
      <c r="Y2468" s="4"/>
      <c r="Z2468" s="5"/>
      <c r="AA2468" s="4"/>
      <c r="AB2468" s="4"/>
      <c r="AC2468" s="4"/>
      <c r="AD2468" s="4"/>
      <c r="AE2468" s="5"/>
      <c r="AF2468" s="5"/>
      <c r="AG2468" s="5"/>
      <c r="AH2468" s="5"/>
      <c r="AI2468" s="5"/>
      <c r="AJ2468" s="5"/>
      <c r="AK2468" s="5"/>
      <c r="AL2468" s="5"/>
    </row>
    <row r="2469">
      <c r="A2469" s="4" t="str">
        <f>VLOOKUP(L2469,payment_ids!C:D,2,FALSE)</f>
        <v>pay_HKqIlDmvsCsiau</v>
      </c>
      <c r="B2469" s="4"/>
      <c r="C2469" s="4" t="s">
        <v>6250</v>
      </c>
      <c r="D2469" s="4">
        <v>49998.0</v>
      </c>
      <c r="E2469" s="5"/>
      <c r="F2469" s="4">
        <v>1.0</v>
      </c>
      <c r="G2469" s="4">
        <v>99.0</v>
      </c>
      <c r="H2469" s="4"/>
      <c r="I2469" s="4">
        <v>99.0</v>
      </c>
      <c r="J2469" s="4" t="s">
        <v>6301</v>
      </c>
      <c r="K2469" s="5">
        <f>+919939958815</f>
        <v>919939958815</v>
      </c>
      <c r="L2469" s="4" t="str">
        <f t="shared" si="1"/>
        <v>imrannyaz32@gmail.com919939958815</v>
      </c>
      <c r="M2469" s="10" t="s">
        <v>67</v>
      </c>
      <c r="N2469" s="4" t="b">
        <v>0</v>
      </c>
      <c r="O2469" s="4" t="str">
        <f>VLOOKUP(A2469,payment_ids!D:E,2,FALSE)</f>
        <v>upi</v>
      </c>
      <c r="P2469" s="4" t="s">
        <v>69</v>
      </c>
      <c r="Q2469" s="11">
        <v>44445.450694444444</v>
      </c>
      <c r="R2469" s="4"/>
      <c r="S2469" s="12" t="s">
        <v>6252</v>
      </c>
      <c r="T2469" s="4" t="s">
        <v>2444</v>
      </c>
      <c r="U2469" s="4"/>
      <c r="V2469" s="4"/>
      <c r="W2469" s="5"/>
      <c r="X2469" s="4"/>
      <c r="Y2469" s="4"/>
      <c r="Z2469" s="5"/>
      <c r="AA2469" s="4"/>
      <c r="AB2469" s="4"/>
      <c r="AC2469" s="4"/>
      <c r="AD2469" s="4"/>
      <c r="AE2469" s="5"/>
      <c r="AF2469" s="5"/>
      <c r="AG2469" s="5"/>
      <c r="AH2469" s="5"/>
      <c r="AI2469" s="5"/>
      <c r="AJ2469" s="5"/>
      <c r="AK2469" s="5"/>
      <c r="AL2469" s="5"/>
    </row>
    <row r="2470">
      <c r="A2470" s="4" t="str">
        <f>VLOOKUP(L2470,payment_ids!C:D,2,FALSE)</f>
        <v>pay_HLBrfMwcgwo5LU</v>
      </c>
      <c r="B2470" s="4"/>
      <c r="C2470" s="4" t="s">
        <v>6250</v>
      </c>
      <c r="D2470" s="4">
        <v>49998.0</v>
      </c>
      <c r="E2470" s="5"/>
      <c r="F2470" s="4">
        <v>1.0</v>
      </c>
      <c r="G2470" s="4">
        <v>99.0</v>
      </c>
      <c r="H2470" s="4"/>
      <c r="I2470" s="4">
        <v>99.0</v>
      </c>
      <c r="J2470" s="4" t="s">
        <v>6302</v>
      </c>
      <c r="K2470" s="5">
        <f>+917820939978</f>
        <v>917820939978</v>
      </c>
      <c r="L2470" s="4" t="str">
        <f t="shared" si="1"/>
        <v>triggerprassy@gmail.com917820939978</v>
      </c>
      <c r="M2470" s="10" t="s">
        <v>67</v>
      </c>
      <c r="N2470" s="4" t="b">
        <v>0</v>
      </c>
      <c r="O2470" s="4" t="str">
        <f>VLOOKUP(A2470,payment_ids!D:E,2,FALSE)</f>
        <v>upi</v>
      </c>
      <c r="P2470" s="4" t="s">
        <v>69</v>
      </c>
      <c r="Q2470" s="11">
        <v>44475.32847222222</v>
      </c>
      <c r="R2470" s="4"/>
      <c r="S2470" s="12" t="s">
        <v>6252</v>
      </c>
      <c r="T2470" s="4" t="s">
        <v>2444</v>
      </c>
      <c r="U2470" s="4"/>
      <c r="V2470" s="4"/>
      <c r="W2470" s="5"/>
      <c r="X2470" s="4"/>
      <c r="Y2470" s="4"/>
      <c r="Z2470" s="5"/>
      <c r="AA2470" s="4"/>
      <c r="AB2470" s="4"/>
      <c r="AC2470" s="4"/>
      <c r="AD2470" s="4"/>
      <c r="AE2470" s="5"/>
      <c r="AF2470" s="5"/>
      <c r="AG2470" s="5"/>
      <c r="AH2470" s="5"/>
      <c r="AI2470" s="5"/>
      <c r="AJ2470" s="5"/>
      <c r="AK2470" s="5"/>
      <c r="AL2470" s="5"/>
    </row>
    <row r="2471">
      <c r="A2471" s="4" t="str">
        <f>VLOOKUP(L2471,payment_ids!C:D,2,FALSE)</f>
        <v>pay_HLmtnUr2UbA2ch</v>
      </c>
      <c r="B2471" s="4"/>
      <c r="C2471" s="4" t="s">
        <v>6250</v>
      </c>
      <c r="D2471" s="4">
        <v>49998.0</v>
      </c>
      <c r="E2471" s="5"/>
      <c r="F2471" s="4">
        <v>1.0</v>
      </c>
      <c r="G2471" s="4">
        <v>99.0</v>
      </c>
      <c r="H2471" s="4"/>
      <c r="I2471" s="4">
        <v>99.0</v>
      </c>
      <c r="J2471" s="4" t="s">
        <v>6303</v>
      </c>
      <c r="K2471" s="5">
        <f>+919686615732</f>
        <v>919686615732</v>
      </c>
      <c r="L2471" s="4" t="str">
        <f t="shared" si="1"/>
        <v>prenu413@gmail.com919686615732</v>
      </c>
      <c r="M2471" s="10" t="s">
        <v>67</v>
      </c>
      <c r="N2471" s="4" t="b">
        <v>0</v>
      </c>
      <c r="O2471" s="4" t="str">
        <f>VLOOKUP(A2471,payment_ids!D:E,2,FALSE)</f>
        <v>upi</v>
      </c>
      <c r="P2471" s="4" t="s">
        <v>69</v>
      </c>
      <c r="Q2471" s="11">
        <v>44506.83819444444</v>
      </c>
      <c r="R2471" s="4"/>
      <c r="S2471" s="12" t="s">
        <v>6252</v>
      </c>
      <c r="T2471" s="4" t="s">
        <v>2444</v>
      </c>
      <c r="U2471" s="4"/>
      <c r="V2471" s="4"/>
      <c r="W2471" s="5"/>
      <c r="X2471" s="4"/>
      <c r="Y2471" s="4"/>
      <c r="Z2471" s="5"/>
      <c r="AA2471" s="4"/>
      <c r="AB2471" s="4"/>
      <c r="AC2471" s="4"/>
      <c r="AD2471" s="4"/>
      <c r="AE2471" s="5"/>
      <c r="AF2471" s="5"/>
      <c r="AG2471" s="5"/>
      <c r="AH2471" s="5"/>
      <c r="AI2471" s="5"/>
      <c r="AJ2471" s="5"/>
      <c r="AK2471" s="5"/>
      <c r="AL2471" s="5"/>
    </row>
    <row r="2472">
      <c r="A2472" s="4" t="str">
        <f>VLOOKUP(L2472,payment_ids!C:D,2,FALSE)</f>
        <v>pay_HLnApJf0vCCGxd</v>
      </c>
      <c r="B2472" s="4"/>
      <c r="C2472" s="4" t="s">
        <v>6250</v>
      </c>
      <c r="D2472" s="4">
        <v>49998.0</v>
      </c>
      <c r="E2472" s="5"/>
      <c r="F2472" s="4">
        <v>1.0</v>
      </c>
      <c r="G2472" s="4">
        <v>99.0</v>
      </c>
      <c r="H2472" s="4"/>
      <c r="I2472" s="4">
        <v>99.0</v>
      </c>
      <c r="J2472" s="4" t="s">
        <v>6304</v>
      </c>
      <c r="K2472" s="5">
        <f>+917680808084</f>
        <v>917680808084</v>
      </c>
      <c r="L2472" s="4" t="str">
        <f t="shared" si="1"/>
        <v>boddulaadarsh0@gmail.com917680808084</v>
      </c>
      <c r="M2472" s="10" t="s">
        <v>67</v>
      </c>
      <c r="N2472" s="4" t="b">
        <v>0</v>
      </c>
      <c r="O2472" s="4" t="str">
        <f>VLOOKUP(A2472,payment_ids!D:E,2,FALSE)</f>
        <v>upi</v>
      </c>
      <c r="P2472" s="4" t="s">
        <v>69</v>
      </c>
      <c r="Q2472" s="11">
        <v>44506.84930555556</v>
      </c>
      <c r="R2472" s="4"/>
      <c r="S2472" s="12" t="s">
        <v>6252</v>
      </c>
      <c r="T2472" s="4" t="s">
        <v>2444</v>
      </c>
      <c r="U2472" s="4"/>
      <c r="V2472" s="4"/>
      <c r="W2472" s="5"/>
      <c r="X2472" s="4"/>
      <c r="Y2472" s="4"/>
      <c r="Z2472" s="5"/>
      <c r="AA2472" s="4"/>
      <c r="AB2472" s="4"/>
      <c r="AC2472" s="4"/>
      <c r="AD2472" s="4"/>
      <c r="AE2472" s="5"/>
      <c r="AF2472" s="5"/>
      <c r="AG2472" s="5"/>
      <c r="AH2472" s="5"/>
      <c r="AI2472" s="5"/>
      <c r="AJ2472" s="5"/>
      <c r="AK2472" s="5"/>
      <c r="AL2472" s="5"/>
    </row>
    <row r="2473">
      <c r="A2473" s="4" t="str">
        <f>VLOOKUP(L2473,payment_ids!C:D,2,FALSE)</f>
        <v>pay_HLpAu0JIG8rbel</v>
      </c>
      <c r="B2473" s="4"/>
      <c r="C2473" s="4" t="s">
        <v>6250</v>
      </c>
      <c r="D2473" s="4">
        <v>49998.0</v>
      </c>
      <c r="E2473" s="5"/>
      <c r="F2473" s="4">
        <v>3.0</v>
      </c>
      <c r="G2473" s="4">
        <v>199.0</v>
      </c>
      <c r="H2473" s="4"/>
      <c r="I2473" s="4">
        <v>199.0</v>
      </c>
      <c r="J2473" s="4" t="s">
        <v>6305</v>
      </c>
      <c r="K2473" s="5">
        <f>+916294315860</f>
        <v>916294315860</v>
      </c>
      <c r="L2473" s="4" t="str">
        <f t="shared" si="1"/>
        <v>sujoysarkar251@gmail.com916294315860</v>
      </c>
      <c r="M2473" s="10" t="s">
        <v>67</v>
      </c>
      <c r="N2473" s="4" t="b">
        <v>0</v>
      </c>
      <c r="O2473" s="4" t="str">
        <f>VLOOKUP(A2473,payment_ids!D:E,2,FALSE)</f>
        <v>upi</v>
      </c>
      <c r="P2473" s="4" t="s">
        <v>69</v>
      </c>
      <c r="Q2473" s="11">
        <v>44506.93125</v>
      </c>
      <c r="R2473" s="4"/>
      <c r="S2473" s="12" t="s">
        <v>6252</v>
      </c>
      <c r="T2473" s="4" t="s">
        <v>2444</v>
      </c>
      <c r="U2473" s="4"/>
      <c r="V2473" s="4"/>
      <c r="W2473" s="5"/>
      <c r="X2473" s="4"/>
      <c r="Y2473" s="4"/>
      <c r="Z2473" s="5"/>
      <c r="AA2473" s="4"/>
      <c r="AB2473" s="4"/>
      <c r="AC2473" s="4"/>
      <c r="AD2473" s="4"/>
      <c r="AE2473" s="5"/>
      <c r="AF2473" s="5"/>
      <c r="AG2473" s="5"/>
      <c r="AH2473" s="5"/>
      <c r="AI2473" s="5"/>
      <c r="AJ2473" s="5"/>
      <c r="AK2473" s="5"/>
      <c r="AL2473" s="5"/>
    </row>
    <row r="2474">
      <c r="A2474" s="4" t="str">
        <f>VLOOKUP(L2474,payment_ids!C:D,2,FALSE)</f>
        <v>pay_HMBb0wRIdWsABJ</v>
      </c>
      <c r="B2474" s="4"/>
      <c r="C2474" s="4" t="s">
        <v>6250</v>
      </c>
      <c r="D2474" s="4">
        <v>49998.0</v>
      </c>
      <c r="E2474" s="5"/>
      <c r="F2474" s="4">
        <v>1.0</v>
      </c>
      <c r="G2474" s="4">
        <v>99.0</v>
      </c>
      <c r="H2474" s="4"/>
      <c r="I2474" s="4">
        <v>99.0</v>
      </c>
      <c r="J2474" s="4" t="s">
        <v>6306</v>
      </c>
      <c r="K2474" s="5">
        <f>+918853595117</f>
        <v>918853595117</v>
      </c>
      <c r="L2474" s="4" t="str">
        <f t="shared" si="1"/>
        <v>rajnishstu22@gmail.com918853595117</v>
      </c>
      <c r="M2474" s="10" t="s">
        <v>67</v>
      </c>
      <c r="N2474" s="4" t="b">
        <v>0</v>
      </c>
      <c r="O2474" s="4" t="str">
        <f>VLOOKUP(A2474,payment_ids!D:E,2,FALSE)</f>
        <v>wallet</v>
      </c>
      <c r="P2474" s="4" t="s">
        <v>69</v>
      </c>
      <c r="Q2474" s="11">
        <v>44536.845138888886</v>
      </c>
      <c r="R2474" s="4"/>
      <c r="S2474" s="12" t="s">
        <v>6252</v>
      </c>
      <c r="T2474" s="4" t="s">
        <v>2444</v>
      </c>
      <c r="U2474" s="4"/>
      <c r="V2474" s="4"/>
      <c r="W2474" s="5"/>
      <c r="X2474" s="4"/>
      <c r="Y2474" s="4"/>
      <c r="Z2474" s="5"/>
      <c r="AA2474" s="4"/>
      <c r="AB2474" s="4"/>
      <c r="AC2474" s="4"/>
      <c r="AD2474" s="4"/>
      <c r="AE2474" s="5"/>
      <c r="AF2474" s="5"/>
      <c r="AG2474" s="5"/>
      <c r="AH2474" s="5"/>
      <c r="AI2474" s="5"/>
      <c r="AJ2474" s="5"/>
      <c r="AK2474" s="5"/>
      <c r="AL2474" s="5"/>
    </row>
    <row r="2475">
      <c r="A2475" s="4" t="str">
        <f>VLOOKUP(L2475,payment_ids!C:D,2,FALSE)</f>
        <v>pay_HMP2RLSlRpK345</v>
      </c>
      <c r="B2475" s="4"/>
      <c r="C2475" s="4" t="s">
        <v>6250</v>
      </c>
      <c r="D2475" s="4">
        <v>49998.0</v>
      </c>
      <c r="E2475" s="5"/>
      <c r="F2475" s="4">
        <v>1.0</v>
      </c>
      <c r="G2475" s="4">
        <v>99.0</v>
      </c>
      <c r="H2475" s="4"/>
      <c r="I2475" s="4">
        <v>99.0</v>
      </c>
      <c r="J2475" s="4" t="s">
        <v>6307</v>
      </c>
      <c r="K2475" s="5">
        <f>+919706034962</f>
        <v>919706034962</v>
      </c>
      <c r="L2475" s="4" t="str">
        <f t="shared" si="1"/>
        <v>lawanibg787@gmail.com919706034962</v>
      </c>
      <c r="M2475" s="10" t="s">
        <v>67</v>
      </c>
      <c r="N2475" s="4" t="b">
        <v>0</v>
      </c>
      <c r="O2475" s="4" t="str">
        <f>VLOOKUP(A2475,payment_ids!D:E,2,FALSE)</f>
        <v>card</v>
      </c>
      <c r="P2475" s="4" t="s">
        <v>69</v>
      </c>
      <c r="Q2475" s="4" t="s">
        <v>6308</v>
      </c>
      <c r="R2475" s="4"/>
      <c r="S2475" s="12" t="s">
        <v>6252</v>
      </c>
      <c r="T2475" s="4" t="s">
        <v>2444</v>
      </c>
      <c r="U2475" s="4"/>
      <c r="V2475" s="4"/>
      <c r="W2475" s="5"/>
      <c r="X2475" s="4"/>
      <c r="Y2475" s="4"/>
      <c r="Z2475" s="5"/>
      <c r="AA2475" s="4"/>
      <c r="AB2475" s="4"/>
      <c r="AC2475" s="4"/>
      <c r="AD2475" s="4"/>
      <c r="AE2475" s="5"/>
      <c r="AF2475" s="5"/>
      <c r="AG2475" s="5"/>
      <c r="AH2475" s="5"/>
      <c r="AI2475" s="5"/>
      <c r="AJ2475" s="5"/>
      <c r="AK2475" s="5"/>
      <c r="AL2475" s="5"/>
    </row>
    <row r="2476">
      <c r="A2476" s="4" t="str">
        <f>VLOOKUP(L2476,payment_ids!C:D,2,FALSE)</f>
        <v>pay_HMVfzLx5yc0tPH</v>
      </c>
      <c r="B2476" s="4"/>
      <c r="C2476" s="4" t="s">
        <v>6250</v>
      </c>
      <c r="D2476" s="4">
        <v>49998.0</v>
      </c>
      <c r="E2476" s="5"/>
      <c r="F2476" s="4">
        <v>1.0</v>
      </c>
      <c r="G2476" s="4">
        <v>99.0</v>
      </c>
      <c r="H2476" s="4"/>
      <c r="I2476" s="4">
        <v>99.0</v>
      </c>
      <c r="J2476" s="4" t="s">
        <v>6309</v>
      </c>
      <c r="K2476" s="5">
        <f>+917652067825</f>
        <v>917652067825</v>
      </c>
      <c r="L2476" s="4" t="str">
        <f t="shared" si="1"/>
        <v>ryukendu1864@gmail.com917652067825</v>
      </c>
      <c r="M2476" s="10" t="s">
        <v>67</v>
      </c>
      <c r="N2476" s="4" t="b">
        <v>0</v>
      </c>
      <c r="O2476" s="4" t="str">
        <f>VLOOKUP(A2476,payment_ids!D:E,2,FALSE)</f>
        <v>card</v>
      </c>
      <c r="P2476" s="4" t="s">
        <v>69</v>
      </c>
      <c r="Q2476" s="4" t="s">
        <v>6310</v>
      </c>
      <c r="R2476" s="4"/>
      <c r="S2476" s="12" t="s">
        <v>6311</v>
      </c>
      <c r="T2476" s="4" t="s">
        <v>2444</v>
      </c>
      <c r="U2476" s="4"/>
      <c r="V2476" s="4"/>
      <c r="W2476" s="5"/>
      <c r="X2476" s="4"/>
      <c r="Y2476" s="4"/>
      <c r="Z2476" s="5"/>
      <c r="AA2476" s="4"/>
      <c r="AB2476" s="4"/>
      <c r="AC2476" s="4"/>
      <c r="AD2476" s="4"/>
      <c r="AE2476" s="5"/>
      <c r="AF2476" s="5"/>
      <c r="AG2476" s="5"/>
      <c r="AH2476" s="5"/>
      <c r="AI2476" s="5"/>
      <c r="AJ2476" s="5"/>
      <c r="AK2476" s="5"/>
      <c r="AL2476" s="5"/>
    </row>
    <row r="2477">
      <c r="A2477" s="4" t="str">
        <f>VLOOKUP(L2477,payment_ids!C:D,2,FALSE)</f>
        <v>pay_HO3S5NGtimhUkb</v>
      </c>
      <c r="B2477" s="4"/>
      <c r="C2477" s="4" t="s">
        <v>6250</v>
      </c>
      <c r="D2477" s="4">
        <v>49998.0</v>
      </c>
      <c r="E2477" s="5"/>
      <c r="F2477" s="4">
        <v>1.0</v>
      </c>
      <c r="G2477" s="4">
        <v>99.0</v>
      </c>
      <c r="H2477" s="4"/>
      <c r="I2477" s="4">
        <v>99.0</v>
      </c>
      <c r="J2477" s="4" t="s">
        <v>6312</v>
      </c>
      <c r="K2477" s="5">
        <f>+916302631289</f>
        <v>916302631289</v>
      </c>
      <c r="L2477" s="4" t="str">
        <f t="shared" si="1"/>
        <v>prudhviraj.chukka426@gmail.com916302631289</v>
      </c>
      <c r="M2477" s="10" t="s">
        <v>67</v>
      </c>
      <c r="N2477" s="4" t="b">
        <v>0</v>
      </c>
      <c r="O2477" s="4" t="str">
        <f>VLOOKUP(A2477,payment_ids!D:E,2,FALSE)</f>
        <v>upi</v>
      </c>
      <c r="P2477" s="4" t="s">
        <v>69</v>
      </c>
      <c r="Q2477" s="4" t="s">
        <v>6313</v>
      </c>
      <c r="R2477" s="4"/>
      <c r="S2477" s="12" t="s">
        <v>6252</v>
      </c>
      <c r="T2477" s="4" t="s">
        <v>2444</v>
      </c>
      <c r="U2477" s="4"/>
      <c r="V2477" s="4"/>
      <c r="W2477" s="5"/>
      <c r="X2477" s="4"/>
      <c r="Y2477" s="4"/>
      <c r="Z2477" s="5"/>
      <c r="AA2477" s="4"/>
      <c r="AB2477" s="4"/>
      <c r="AC2477" s="4"/>
      <c r="AD2477" s="4"/>
      <c r="AE2477" s="5"/>
      <c r="AF2477" s="5"/>
      <c r="AG2477" s="5"/>
      <c r="AH2477" s="5"/>
      <c r="AI2477" s="5"/>
      <c r="AJ2477" s="5"/>
      <c r="AK2477" s="5"/>
      <c r="AL2477" s="5"/>
    </row>
    <row r="2478">
      <c r="A2478" s="4" t="str">
        <f>VLOOKUP(L2478,payment_ids!C:D,2,FALSE)</f>
        <v>pay_HOaR4C8pc42IGk</v>
      </c>
      <c r="B2478" s="4"/>
      <c r="C2478" s="4" t="s">
        <v>6250</v>
      </c>
      <c r="D2478" s="4">
        <v>49998.0</v>
      </c>
      <c r="E2478" s="5"/>
      <c r="F2478" s="4">
        <v>1.0</v>
      </c>
      <c r="G2478" s="4">
        <v>99.0</v>
      </c>
      <c r="H2478" s="4"/>
      <c r="I2478" s="4">
        <v>99.0</v>
      </c>
      <c r="J2478" s="4" t="s">
        <v>6314</v>
      </c>
      <c r="K2478" s="5">
        <f>+916261224243</f>
        <v>916261224243</v>
      </c>
      <c r="L2478" s="4" t="str">
        <f t="shared" si="1"/>
        <v>ydvaditya14@gmail.com916261224243</v>
      </c>
      <c r="M2478" s="10" t="s">
        <v>67</v>
      </c>
      <c r="N2478" s="4" t="b">
        <v>0</v>
      </c>
      <c r="O2478" s="4" t="str">
        <f>VLOOKUP(A2478,payment_ids!D:E,2,FALSE)</f>
        <v>wallet</v>
      </c>
      <c r="P2478" s="4" t="s">
        <v>69</v>
      </c>
      <c r="Q2478" s="4" t="s">
        <v>6315</v>
      </c>
      <c r="R2478" s="4"/>
      <c r="S2478" s="12" t="s">
        <v>6252</v>
      </c>
      <c r="T2478" s="4" t="s">
        <v>2444</v>
      </c>
      <c r="U2478" s="4"/>
      <c r="V2478" s="4"/>
      <c r="W2478" s="5"/>
      <c r="X2478" s="4"/>
      <c r="Y2478" s="4"/>
      <c r="Z2478" s="5"/>
      <c r="AA2478" s="4"/>
      <c r="AB2478" s="4"/>
      <c r="AC2478" s="4"/>
      <c r="AD2478" s="4"/>
      <c r="AE2478" s="5"/>
      <c r="AF2478" s="5"/>
      <c r="AG2478" s="5"/>
      <c r="AH2478" s="5"/>
      <c r="AI2478" s="5"/>
      <c r="AJ2478" s="5"/>
      <c r="AK2478" s="5"/>
      <c r="AL2478" s="5"/>
    </row>
    <row r="2479">
      <c r="A2479" s="4" t="str">
        <f>VLOOKUP(L2479,payment_ids!C:D,2,FALSE)</f>
        <v>pay_HOrE9LflP0v689</v>
      </c>
      <c r="B2479" s="4"/>
      <c r="C2479" s="4" t="s">
        <v>6250</v>
      </c>
      <c r="D2479" s="4">
        <v>49998.0</v>
      </c>
      <c r="E2479" s="5"/>
      <c r="F2479" s="4">
        <v>1.0</v>
      </c>
      <c r="G2479" s="4">
        <v>99.0</v>
      </c>
      <c r="H2479" s="4"/>
      <c r="I2479" s="4">
        <v>99.0</v>
      </c>
      <c r="J2479" s="4" t="s">
        <v>6316</v>
      </c>
      <c r="K2479" s="5">
        <f>+919844801194</f>
        <v>919844801194</v>
      </c>
      <c r="L2479" s="4" t="str">
        <f t="shared" si="1"/>
        <v>tcmanojmanu@gmail.com919844801194</v>
      </c>
      <c r="M2479" s="10" t="s">
        <v>67</v>
      </c>
      <c r="N2479" s="4" t="b">
        <v>0</v>
      </c>
      <c r="O2479" s="4" t="str">
        <f>VLOOKUP(A2479,payment_ids!D:E,2,FALSE)</f>
        <v>upi</v>
      </c>
      <c r="P2479" s="4" t="s">
        <v>69</v>
      </c>
      <c r="Q2479" s="4" t="s">
        <v>6317</v>
      </c>
      <c r="R2479" s="4"/>
      <c r="S2479" s="12" t="s">
        <v>6252</v>
      </c>
      <c r="T2479" s="4" t="s">
        <v>2444</v>
      </c>
      <c r="U2479" s="4"/>
      <c r="V2479" s="4"/>
      <c r="W2479" s="5"/>
      <c r="X2479" s="4"/>
      <c r="Y2479" s="4"/>
      <c r="Z2479" s="5"/>
      <c r="AA2479" s="4"/>
      <c r="AB2479" s="4"/>
      <c r="AC2479" s="4"/>
      <c r="AD2479" s="4"/>
      <c r="AE2479" s="5"/>
      <c r="AF2479" s="5"/>
      <c r="AG2479" s="5"/>
      <c r="AH2479" s="5"/>
      <c r="AI2479" s="5"/>
      <c r="AJ2479" s="5"/>
      <c r="AK2479" s="5"/>
      <c r="AL2479" s="5"/>
    </row>
    <row r="2480">
      <c r="A2480" s="4" t="str">
        <f>VLOOKUP(L2480,payment_ids!C:D,2,FALSE)</f>
        <v>pay_HP6fLOMWpRahWj</v>
      </c>
      <c r="B2480" s="4"/>
      <c r="C2480" s="4" t="s">
        <v>6250</v>
      </c>
      <c r="D2480" s="4">
        <v>49998.0</v>
      </c>
      <c r="E2480" s="5"/>
      <c r="F2480" s="4">
        <v>1.0</v>
      </c>
      <c r="G2480" s="4">
        <v>99.0</v>
      </c>
      <c r="H2480" s="4"/>
      <c r="I2480" s="4">
        <v>99.0</v>
      </c>
      <c r="J2480" s="4" t="s">
        <v>6318</v>
      </c>
      <c r="K2480" s="5">
        <f>+919408946599</f>
        <v>919408946599</v>
      </c>
      <c r="L2480" s="4" t="str">
        <f t="shared" si="1"/>
        <v>ozaprincekumar230@gmail.com919408946599</v>
      </c>
      <c r="M2480" s="10" t="s">
        <v>67</v>
      </c>
      <c r="N2480" s="4" t="b">
        <v>0</v>
      </c>
      <c r="O2480" s="4" t="str">
        <f>VLOOKUP(A2480,payment_ids!D:E,2,FALSE)</f>
        <v>upi</v>
      </c>
      <c r="P2480" s="4" t="s">
        <v>69</v>
      </c>
      <c r="Q2480" s="4" t="s">
        <v>6319</v>
      </c>
      <c r="R2480" s="4"/>
      <c r="S2480" s="12" t="s">
        <v>6252</v>
      </c>
      <c r="T2480" s="4" t="s">
        <v>2444</v>
      </c>
      <c r="U2480" s="4"/>
      <c r="V2480" s="4"/>
      <c r="W2480" s="5"/>
      <c r="X2480" s="4"/>
      <c r="Y2480" s="4"/>
      <c r="Z2480" s="5"/>
      <c r="AA2480" s="4"/>
      <c r="AB2480" s="4"/>
      <c r="AC2480" s="4"/>
      <c r="AD2480" s="4"/>
      <c r="AE2480" s="5"/>
      <c r="AF2480" s="5"/>
      <c r="AG2480" s="5"/>
      <c r="AH2480" s="5"/>
      <c r="AI2480" s="5"/>
      <c r="AJ2480" s="5"/>
      <c r="AK2480" s="5"/>
      <c r="AL2480" s="5"/>
    </row>
    <row r="2481">
      <c r="A2481" s="4" t="str">
        <f>VLOOKUP(L2481,payment_ids!C:D,2,FALSE)</f>
        <v>pay_H8DtE8iMVlbKl1</v>
      </c>
      <c r="B2481" s="4"/>
      <c r="C2481" s="4" t="s">
        <v>6320</v>
      </c>
      <c r="D2481" s="4">
        <v>50044.0</v>
      </c>
      <c r="E2481" s="4"/>
      <c r="F2481" s="4">
        <v>1.0</v>
      </c>
      <c r="G2481" s="4">
        <v>349.0</v>
      </c>
      <c r="H2481" s="4"/>
      <c r="I2481" s="4">
        <v>349.0</v>
      </c>
      <c r="J2481" s="4" t="s">
        <v>6321</v>
      </c>
      <c r="K2481" s="6">
        <f>+918886237899</f>
        <v>918886237899</v>
      </c>
      <c r="L2481" s="4" t="str">
        <f t="shared" si="1"/>
        <v>gladiators.eternity@gmail.com918886237899</v>
      </c>
      <c r="M2481" s="10" t="s">
        <v>67</v>
      </c>
      <c r="N2481" s="4" t="b">
        <v>0</v>
      </c>
      <c r="O2481" s="4" t="str">
        <f>VLOOKUP(A2481,payment_ids!D:E,2,FALSE)</f>
        <v>upi</v>
      </c>
      <c r="P2481" s="4" t="s">
        <v>69</v>
      </c>
      <c r="Q2481" s="11">
        <v>44413.55902777778</v>
      </c>
      <c r="R2481" s="4"/>
      <c r="S2481" s="12" t="s">
        <v>6322</v>
      </c>
      <c r="T2481" s="4"/>
      <c r="U2481" s="4"/>
      <c r="V2481" s="4"/>
      <c r="W2481" s="5"/>
      <c r="X2481" s="4"/>
      <c r="Y2481" s="4"/>
      <c r="Z2481" s="5"/>
      <c r="AA2481" s="4"/>
      <c r="AB2481" s="4"/>
      <c r="AC2481" s="4"/>
      <c r="AD2481" s="4"/>
      <c r="AE2481" s="5"/>
      <c r="AF2481" s="5"/>
      <c r="AG2481" s="5"/>
      <c r="AH2481" s="5"/>
      <c r="AI2481" s="5"/>
      <c r="AJ2481" s="5"/>
      <c r="AK2481" s="5"/>
      <c r="AL2481" s="5"/>
    </row>
    <row r="2482">
      <c r="A2482" s="4" t="str">
        <f>VLOOKUP(L2482,payment_ids!C:D,2,FALSE)</f>
        <v>pay_H8SPqH2isEFhRv</v>
      </c>
      <c r="B2482" s="4"/>
      <c r="C2482" s="4" t="s">
        <v>6320</v>
      </c>
      <c r="D2482" s="4">
        <v>50044.0</v>
      </c>
      <c r="E2482" s="4"/>
      <c r="F2482" s="4">
        <v>1.0</v>
      </c>
      <c r="G2482" s="4">
        <v>349.0</v>
      </c>
      <c r="H2482" s="4"/>
      <c r="I2482" s="4">
        <v>349.0</v>
      </c>
      <c r="J2482" s="4" t="s">
        <v>6323</v>
      </c>
      <c r="K2482" s="6">
        <f>+919820395010</f>
        <v>919820395010</v>
      </c>
      <c r="L2482" s="4" t="str">
        <f t="shared" si="1"/>
        <v>jesal3ster@gmail.com919820395010</v>
      </c>
      <c r="M2482" s="10" t="s">
        <v>67</v>
      </c>
      <c r="N2482" s="4" t="b">
        <v>0</v>
      </c>
      <c r="O2482" s="4" t="str">
        <f>VLOOKUP(A2482,payment_ids!D:E,2,FALSE)</f>
        <v>upi</v>
      </c>
      <c r="P2482" s="4" t="s">
        <v>69</v>
      </c>
      <c r="Q2482" s="11">
        <v>44444.15138888889</v>
      </c>
      <c r="R2482" s="4"/>
      <c r="S2482" s="12" t="s">
        <v>6322</v>
      </c>
      <c r="T2482" s="4"/>
      <c r="U2482" s="4"/>
      <c r="V2482" s="4"/>
      <c r="W2482" s="5"/>
      <c r="X2482" s="4"/>
      <c r="Y2482" s="4"/>
      <c r="Z2482" s="5"/>
      <c r="AA2482" s="4"/>
      <c r="AB2482" s="4"/>
      <c r="AC2482" s="4"/>
      <c r="AD2482" s="4"/>
      <c r="AE2482" s="5"/>
      <c r="AF2482" s="5"/>
      <c r="AG2482" s="5"/>
      <c r="AH2482" s="5"/>
      <c r="AI2482" s="5"/>
      <c r="AJ2482" s="5"/>
      <c r="AK2482" s="5"/>
      <c r="AL2482" s="5"/>
    </row>
    <row r="2483">
      <c r="A2483" s="4" t="str">
        <f>VLOOKUP(L2483,payment_ids!C:D,2,FALSE)</f>
        <v>pay_H9ObyCKfBBpcyB</v>
      </c>
      <c r="B2483" s="4"/>
      <c r="C2483" s="4" t="s">
        <v>6320</v>
      </c>
      <c r="D2483" s="4">
        <v>50044.0</v>
      </c>
      <c r="E2483" s="4"/>
      <c r="F2483" s="4">
        <v>1.0</v>
      </c>
      <c r="G2483" s="4">
        <v>349.0</v>
      </c>
      <c r="H2483" s="4"/>
      <c r="I2483" s="4">
        <v>349.0</v>
      </c>
      <c r="J2483" s="4" t="s">
        <v>6324</v>
      </c>
      <c r="K2483" s="6">
        <f>+918104097757</f>
        <v>918104097757</v>
      </c>
      <c r="L2483" s="4" t="str">
        <f t="shared" si="1"/>
        <v>muskanjain2189@gmail.com918104097757</v>
      </c>
      <c r="M2483" s="10" t="s">
        <v>67</v>
      </c>
      <c r="N2483" s="4" t="b">
        <v>0</v>
      </c>
      <c r="O2483" s="4" t="str">
        <f>VLOOKUP(A2483,payment_ids!D:E,2,FALSE)</f>
        <v>netbanking</v>
      </c>
      <c r="P2483" s="4" t="s">
        <v>69</v>
      </c>
      <c r="Q2483" s="11">
        <v>44505.52777777778</v>
      </c>
      <c r="R2483" s="4"/>
      <c r="S2483" s="12" t="s">
        <v>6322</v>
      </c>
      <c r="T2483" s="4"/>
      <c r="U2483" s="4"/>
      <c r="V2483" s="4"/>
      <c r="W2483" s="5"/>
      <c r="X2483" s="4"/>
      <c r="Y2483" s="4"/>
      <c r="Z2483" s="5"/>
      <c r="AA2483" s="5"/>
      <c r="AB2483" s="4"/>
      <c r="AC2483" s="4"/>
      <c r="AD2483" s="4"/>
      <c r="AE2483" s="5"/>
      <c r="AF2483" s="5"/>
      <c r="AG2483" s="5"/>
      <c r="AH2483" s="5"/>
      <c r="AI2483" s="5"/>
      <c r="AJ2483" s="5"/>
      <c r="AK2483" s="5"/>
      <c r="AL2483" s="5"/>
    </row>
    <row r="2484">
      <c r="A2484" s="4" t="str">
        <f>VLOOKUP(L2484,payment_ids!C:D,2,FALSE)</f>
        <v>pay_HBuc4MRzaWJO1V</v>
      </c>
      <c r="B2484" s="4"/>
      <c r="C2484" s="4" t="s">
        <v>6320</v>
      </c>
      <c r="D2484" s="4">
        <v>50044.0</v>
      </c>
      <c r="E2484" s="4"/>
      <c r="F2484" s="4">
        <v>1.0</v>
      </c>
      <c r="G2484" s="4">
        <v>349.0</v>
      </c>
      <c r="H2484" s="4"/>
      <c r="I2484" s="4">
        <v>349.0</v>
      </c>
      <c r="J2484" s="4" t="s">
        <v>6325</v>
      </c>
      <c r="K2484" s="6">
        <f>+919900969993</f>
        <v>919900969993</v>
      </c>
      <c r="L2484" s="4" t="str">
        <f t="shared" si="1"/>
        <v>guruprasannaakash@gmail.com919900969993</v>
      </c>
      <c r="M2484" s="10" t="s">
        <v>67</v>
      </c>
      <c r="N2484" s="4" t="b">
        <v>0</v>
      </c>
      <c r="O2484" s="4" t="str">
        <f>VLOOKUP(A2484,payment_ids!D:E,2,FALSE)</f>
        <v>card</v>
      </c>
      <c r="P2484" s="4" t="s">
        <v>69</v>
      </c>
      <c r="Q2484" s="4" t="s">
        <v>6326</v>
      </c>
      <c r="R2484" s="4"/>
      <c r="S2484" s="12" t="s">
        <v>6322</v>
      </c>
      <c r="T2484" s="4"/>
      <c r="U2484" s="4"/>
      <c r="V2484" s="4"/>
      <c r="W2484" s="5"/>
      <c r="X2484" s="4"/>
      <c r="Y2484" s="4"/>
      <c r="Z2484" s="5"/>
      <c r="AA2484" s="4"/>
      <c r="AB2484" s="4"/>
      <c r="AC2484" s="4"/>
      <c r="AD2484" s="4"/>
      <c r="AE2484" s="5"/>
      <c r="AF2484" s="5"/>
      <c r="AG2484" s="5"/>
      <c r="AH2484" s="5"/>
      <c r="AI2484" s="5"/>
      <c r="AJ2484" s="5"/>
      <c r="AK2484" s="5"/>
      <c r="AL2484" s="5"/>
    </row>
    <row r="2485">
      <c r="A2485" s="4" t="str">
        <f>VLOOKUP(L2485,payment_ids!C:D,2,FALSE)</f>
        <v>pay_HCBMMTHfwJIlqT</v>
      </c>
      <c r="B2485" s="4"/>
      <c r="C2485" s="4" t="s">
        <v>6320</v>
      </c>
      <c r="D2485" s="4">
        <v>50044.0</v>
      </c>
      <c r="E2485" s="4"/>
      <c r="F2485" s="4">
        <v>1.0</v>
      </c>
      <c r="G2485" s="4">
        <v>349.0</v>
      </c>
      <c r="H2485" s="4"/>
      <c r="I2485" s="4">
        <v>349.0</v>
      </c>
      <c r="J2485" s="4" t="s">
        <v>6327</v>
      </c>
      <c r="K2485" s="6">
        <f>+918697728601</f>
        <v>918697728601</v>
      </c>
      <c r="L2485" s="4" t="str">
        <f t="shared" si="1"/>
        <v>kinkini.dasgupta9@gmail.com918697728601</v>
      </c>
      <c r="M2485" s="10" t="s">
        <v>67</v>
      </c>
      <c r="N2485" s="4" t="b">
        <v>0</v>
      </c>
      <c r="O2485" s="4" t="str">
        <f>VLOOKUP(A2485,payment_ids!D:E,2,FALSE)</f>
        <v>card</v>
      </c>
      <c r="P2485" s="4" t="s">
        <v>69</v>
      </c>
      <c r="Q2485" s="4" t="s">
        <v>6328</v>
      </c>
      <c r="R2485" s="4"/>
      <c r="S2485" s="12" t="s">
        <v>6322</v>
      </c>
      <c r="T2485" s="4"/>
      <c r="U2485" s="4"/>
      <c r="V2485" s="4"/>
      <c r="W2485" s="5"/>
      <c r="X2485" s="4"/>
      <c r="Y2485" s="4"/>
      <c r="Z2485" s="5"/>
      <c r="AA2485" s="4"/>
      <c r="AB2485" s="4"/>
      <c r="AC2485" s="4"/>
      <c r="AD2485" s="4"/>
      <c r="AE2485" s="5"/>
      <c r="AF2485" s="5"/>
      <c r="AG2485" s="5"/>
      <c r="AH2485" s="5"/>
      <c r="AI2485" s="5"/>
      <c r="AJ2485" s="5"/>
      <c r="AK2485" s="5"/>
      <c r="AL2485" s="5"/>
    </row>
    <row r="2486">
      <c r="A2486" s="4" t="str">
        <f>VLOOKUP(L2486,payment_ids!C:D,2,FALSE)</f>
        <v>pay_HC5v11TlpEc3cF</v>
      </c>
      <c r="B2486" s="4"/>
      <c r="C2486" s="4" t="s">
        <v>6320</v>
      </c>
      <c r="D2486" s="4">
        <v>50044.0</v>
      </c>
      <c r="E2486" s="4"/>
      <c r="F2486" s="4">
        <v>1.0</v>
      </c>
      <c r="G2486" s="4">
        <v>599.0</v>
      </c>
      <c r="H2486" s="4"/>
      <c r="I2486" s="4">
        <v>599.0</v>
      </c>
      <c r="J2486" s="4" t="s">
        <v>6329</v>
      </c>
      <c r="K2486" s="6">
        <f>+919910133144</f>
        <v>919910133144</v>
      </c>
      <c r="L2486" s="4" t="str">
        <f t="shared" si="1"/>
        <v>parul4us@gmail.com919910133144</v>
      </c>
      <c r="M2486" s="10" t="s">
        <v>67</v>
      </c>
      <c r="N2486" s="4" t="b">
        <v>0</v>
      </c>
      <c r="O2486" s="4" t="str">
        <f>VLOOKUP(A2486,payment_ids!D:E,2,FALSE)</f>
        <v>upi</v>
      </c>
      <c r="P2486" s="4" t="s">
        <v>69</v>
      </c>
      <c r="Q2486" s="4" t="s">
        <v>6330</v>
      </c>
      <c r="R2486" s="4"/>
      <c r="S2486" s="12" t="s">
        <v>6322</v>
      </c>
      <c r="T2486" s="4"/>
      <c r="U2486" s="4"/>
      <c r="V2486" s="4"/>
      <c r="W2486" s="5"/>
      <c r="X2486" s="4"/>
      <c r="Y2486" s="4"/>
      <c r="Z2486" s="5"/>
      <c r="AA2486" s="4"/>
      <c r="AB2486" s="4"/>
      <c r="AC2486" s="4"/>
      <c r="AD2486" s="4"/>
      <c r="AE2486" s="5"/>
      <c r="AF2486" s="5"/>
      <c r="AG2486" s="5"/>
      <c r="AH2486" s="5"/>
      <c r="AI2486" s="5"/>
      <c r="AJ2486" s="5"/>
      <c r="AK2486" s="5"/>
      <c r="AL2486" s="5"/>
    </row>
    <row r="2487">
      <c r="A2487" s="4" t="str">
        <f>VLOOKUP(L2487,payment_ids!C:D,2,FALSE)</f>
        <v>pay_HDLVqLLQxSjJPo</v>
      </c>
      <c r="B2487" s="4"/>
      <c r="C2487" s="4" t="s">
        <v>6320</v>
      </c>
      <c r="D2487" s="4">
        <v>50044.0</v>
      </c>
      <c r="E2487" s="4"/>
      <c r="F2487" s="4">
        <v>3.0</v>
      </c>
      <c r="G2487" s="4">
        <v>599.0</v>
      </c>
      <c r="H2487" s="4"/>
      <c r="I2487" s="4">
        <v>599.0</v>
      </c>
      <c r="J2487" s="4" t="s">
        <v>6331</v>
      </c>
      <c r="K2487" s="6">
        <f>+919818657517</f>
        <v>919818657517</v>
      </c>
      <c r="L2487" s="4" t="str">
        <f t="shared" si="1"/>
        <v>samarth.sankhi@live.in919818657517</v>
      </c>
      <c r="M2487" s="10" t="s">
        <v>67</v>
      </c>
      <c r="N2487" s="4" t="b">
        <v>0</v>
      </c>
      <c r="O2487" s="4" t="str">
        <f>VLOOKUP(A2487,payment_ids!D:E,2,FALSE)</f>
        <v>card</v>
      </c>
      <c r="P2487" s="4" t="s">
        <v>69</v>
      </c>
      <c r="Q2487" s="4" t="s">
        <v>6332</v>
      </c>
      <c r="R2487" s="4"/>
      <c r="S2487" s="12" t="s">
        <v>6322</v>
      </c>
      <c r="T2487" s="4"/>
      <c r="U2487" s="4"/>
      <c r="V2487" s="4"/>
      <c r="W2487" s="5"/>
      <c r="X2487" s="4"/>
      <c r="Y2487" s="4"/>
      <c r="Z2487" s="5"/>
      <c r="AA2487" s="4"/>
      <c r="AB2487" s="4"/>
      <c r="AC2487" s="4"/>
      <c r="AD2487" s="4"/>
      <c r="AE2487" s="5"/>
      <c r="AF2487" s="5"/>
      <c r="AG2487" s="5"/>
      <c r="AH2487" s="5"/>
      <c r="AI2487" s="5"/>
      <c r="AJ2487" s="5"/>
      <c r="AK2487" s="5"/>
      <c r="AL2487" s="5"/>
    </row>
    <row r="2488">
      <c r="A2488" s="4" t="str">
        <f>VLOOKUP(L2488,payment_ids!C:D,2,FALSE)</f>
        <v>pay_HEKrFzxFZaYWim</v>
      </c>
      <c r="B2488" s="4"/>
      <c r="C2488" s="4" t="s">
        <v>6320</v>
      </c>
      <c r="D2488" s="4">
        <v>50044.0</v>
      </c>
      <c r="E2488" s="4"/>
      <c r="F2488" s="4">
        <v>1.0</v>
      </c>
      <c r="G2488" s="4">
        <v>349.0</v>
      </c>
      <c r="H2488" s="4"/>
      <c r="I2488" s="4">
        <v>349.0</v>
      </c>
      <c r="J2488" s="4" t="s">
        <v>4335</v>
      </c>
      <c r="K2488" s="6">
        <f>+919611815533</f>
        <v>919611815533</v>
      </c>
      <c r="L2488" s="4" t="str">
        <f t="shared" si="1"/>
        <v>kunalgour.gour@gmail.com919611815533</v>
      </c>
      <c r="M2488" s="10" t="s">
        <v>67</v>
      </c>
      <c r="N2488" s="4" t="b">
        <v>0</v>
      </c>
      <c r="O2488" s="4" t="str">
        <f>VLOOKUP(A2488,payment_ids!D:E,2,FALSE)</f>
        <v>upi</v>
      </c>
      <c r="P2488" s="4" t="s">
        <v>69</v>
      </c>
      <c r="Q2488" s="4" t="s">
        <v>6333</v>
      </c>
      <c r="R2488" s="4"/>
      <c r="S2488" s="12" t="s">
        <v>6322</v>
      </c>
      <c r="T2488" s="4"/>
      <c r="U2488" s="4"/>
      <c r="V2488" s="4"/>
      <c r="W2488" s="5"/>
      <c r="X2488" s="4"/>
      <c r="Y2488" s="4"/>
      <c r="Z2488" s="5"/>
      <c r="AA2488" s="4"/>
      <c r="AB2488" s="4"/>
      <c r="AC2488" s="4"/>
      <c r="AD2488" s="4"/>
      <c r="AE2488" s="5"/>
      <c r="AF2488" s="5"/>
      <c r="AG2488" s="5"/>
      <c r="AH2488" s="5"/>
      <c r="AI2488" s="5"/>
      <c r="AJ2488" s="5"/>
      <c r="AK2488" s="5"/>
      <c r="AL2488" s="5"/>
    </row>
    <row r="2489">
      <c r="A2489" s="4" t="str">
        <f>VLOOKUP(L2489,payment_ids!C:D,2,FALSE)</f>
        <v>pay_HEhd0IEAmZTMau</v>
      </c>
      <c r="B2489" s="4"/>
      <c r="C2489" s="4" t="s">
        <v>6320</v>
      </c>
      <c r="D2489" s="4">
        <v>50044.0</v>
      </c>
      <c r="E2489" s="4"/>
      <c r="F2489" s="4">
        <v>1.0</v>
      </c>
      <c r="G2489" s="4">
        <v>349.0</v>
      </c>
      <c r="H2489" s="4"/>
      <c r="I2489" s="4">
        <v>349.0</v>
      </c>
      <c r="J2489" s="4" t="s">
        <v>6334</v>
      </c>
      <c r="K2489" s="6">
        <f>+919873787781</f>
        <v>919873787781</v>
      </c>
      <c r="L2489" s="4" t="str">
        <f t="shared" si="1"/>
        <v>makhija.akriti1611@gmail.com919873787781</v>
      </c>
      <c r="M2489" s="10" t="s">
        <v>67</v>
      </c>
      <c r="N2489" s="4" t="b">
        <v>0</v>
      </c>
      <c r="O2489" s="4" t="str">
        <f>VLOOKUP(A2489,payment_ids!D:E,2,FALSE)</f>
        <v>upi</v>
      </c>
      <c r="P2489" s="4" t="s">
        <v>69</v>
      </c>
      <c r="Q2489" s="4" t="s">
        <v>6335</v>
      </c>
      <c r="R2489" s="4"/>
      <c r="S2489" s="12" t="s">
        <v>6322</v>
      </c>
      <c r="T2489" s="4"/>
      <c r="U2489" s="4"/>
      <c r="V2489" s="4"/>
      <c r="W2489" s="5"/>
      <c r="X2489" s="4"/>
      <c r="Y2489" s="4"/>
      <c r="Z2489" s="5"/>
      <c r="AA2489" s="4"/>
      <c r="AB2489" s="4"/>
      <c r="AC2489" s="4"/>
      <c r="AD2489" s="4"/>
      <c r="AE2489" s="5"/>
      <c r="AF2489" s="5"/>
      <c r="AG2489" s="5"/>
      <c r="AH2489" s="5"/>
      <c r="AI2489" s="5"/>
      <c r="AJ2489" s="5"/>
      <c r="AK2489" s="5"/>
      <c r="AL2489" s="5"/>
    </row>
    <row r="2490">
      <c r="A2490" s="4" t="str">
        <f>VLOOKUP(L2490,payment_ids!C:D,2,FALSE)</f>
        <v>pay_HEsqJCXKjSurvv</v>
      </c>
      <c r="B2490" s="4"/>
      <c r="C2490" s="4" t="s">
        <v>6320</v>
      </c>
      <c r="D2490" s="4">
        <v>50044.0</v>
      </c>
      <c r="E2490" s="4"/>
      <c r="F2490" s="4">
        <v>1.0</v>
      </c>
      <c r="G2490" s="4">
        <v>349.0</v>
      </c>
      <c r="H2490" s="4"/>
      <c r="I2490" s="4">
        <v>349.0</v>
      </c>
      <c r="J2490" s="4" t="s">
        <v>6336</v>
      </c>
      <c r="K2490" s="6">
        <f>+919811850557</f>
        <v>919811850557</v>
      </c>
      <c r="L2490" s="4" t="str">
        <f t="shared" si="1"/>
        <v>nikhiljuneja11@gmail.com919811850557</v>
      </c>
      <c r="M2490" s="10" t="s">
        <v>67</v>
      </c>
      <c r="N2490" s="4" t="b">
        <v>0</v>
      </c>
      <c r="O2490" s="4" t="str">
        <f>VLOOKUP(A2490,payment_ids!D:E,2,FALSE)</f>
        <v>upi</v>
      </c>
      <c r="P2490" s="4" t="s">
        <v>69</v>
      </c>
      <c r="Q2490" s="4" t="s">
        <v>6337</v>
      </c>
      <c r="R2490" s="4"/>
      <c r="S2490" s="12" t="s">
        <v>6322</v>
      </c>
      <c r="T2490" s="4"/>
      <c r="U2490" s="4"/>
      <c r="V2490" s="4"/>
      <c r="W2490" s="5"/>
      <c r="X2490" s="4"/>
      <c r="Y2490" s="4"/>
      <c r="Z2490" s="5"/>
      <c r="AA2490" s="4"/>
      <c r="AB2490" s="4"/>
      <c r="AC2490" s="4"/>
      <c r="AD2490" s="4"/>
      <c r="AE2490" s="5"/>
      <c r="AF2490" s="5"/>
      <c r="AG2490" s="5"/>
      <c r="AH2490" s="5"/>
      <c r="AI2490" s="5"/>
      <c r="AJ2490" s="5"/>
      <c r="AK2490" s="5"/>
      <c r="AL2490" s="5"/>
    </row>
    <row r="2491">
      <c r="A2491" s="4" t="str">
        <f>VLOOKUP(L2491,payment_ids!C:D,2,FALSE)</f>
        <v>pay_HEt9um1LwdC8Hs</v>
      </c>
      <c r="B2491" s="4"/>
      <c r="C2491" s="4" t="s">
        <v>6320</v>
      </c>
      <c r="D2491" s="4">
        <v>50044.0</v>
      </c>
      <c r="E2491" s="4"/>
      <c r="F2491" s="4">
        <v>1.0</v>
      </c>
      <c r="G2491" s="4">
        <v>349.0</v>
      </c>
      <c r="H2491" s="4"/>
      <c r="I2491" s="4">
        <v>349.0</v>
      </c>
      <c r="J2491" s="4" t="s">
        <v>6338</v>
      </c>
      <c r="K2491" s="6">
        <f>+919447711429</f>
        <v>919447711429</v>
      </c>
      <c r="L2491" s="4" t="str">
        <f t="shared" si="1"/>
        <v>geethavs4@gmail.com919447711429</v>
      </c>
      <c r="M2491" s="10" t="s">
        <v>67</v>
      </c>
      <c r="N2491" s="4" t="b">
        <v>0</v>
      </c>
      <c r="O2491" s="4" t="str">
        <f>VLOOKUP(A2491,payment_ids!D:E,2,FALSE)</f>
        <v>upi</v>
      </c>
      <c r="P2491" s="4" t="s">
        <v>69</v>
      </c>
      <c r="Q2491" s="4" t="s">
        <v>6339</v>
      </c>
      <c r="R2491" s="4"/>
      <c r="S2491" s="12" t="s">
        <v>6322</v>
      </c>
      <c r="T2491" s="4"/>
      <c r="U2491" s="4"/>
      <c r="V2491" s="4"/>
      <c r="W2491" s="5"/>
      <c r="X2491" s="4"/>
      <c r="Y2491" s="4"/>
      <c r="Z2491" s="5"/>
      <c r="AA2491" s="4"/>
      <c r="AB2491" s="4"/>
      <c r="AC2491" s="4"/>
      <c r="AD2491" s="4"/>
      <c r="AE2491" s="5"/>
      <c r="AF2491" s="5"/>
      <c r="AG2491" s="5"/>
      <c r="AH2491" s="5"/>
      <c r="AI2491" s="5"/>
      <c r="AJ2491" s="5"/>
      <c r="AK2491" s="5"/>
      <c r="AL2491" s="5"/>
    </row>
    <row r="2492">
      <c r="A2492" s="4" t="str">
        <f>VLOOKUP(L2492,payment_ids!C:D,2,FALSE)</f>
        <v>pay_HFQsS8fWBpPVO1</v>
      </c>
      <c r="B2492" s="4"/>
      <c r="C2492" s="4" t="s">
        <v>6320</v>
      </c>
      <c r="D2492" s="4">
        <v>50044.0</v>
      </c>
      <c r="E2492" s="5"/>
      <c r="F2492" s="4">
        <v>1.0</v>
      </c>
      <c r="G2492" s="4">
        <v>349.0</v>
      </c>
      <c r="H2492" s="4"/>
      <c r="I2492" s="4">
        <v>349.0</v>
      </c>
      <c r="J2492" s="4" t="s">
        <v>6340</v>
      </c>
      <c r="K2492" s="5">
        <f>+918328372897</f>
        <v>918328372897</v>
      </c>
      <c r="L2492" s="4" t="str">
        <f t="shared" si="1"/>
        <v>sonu.lalitha341@gmail.com918328372897</v>
      </c>
      <c r="M2492" s="10" t="s">
        <v>67</v>
      </c>
      <c r="N2492" s="4" t="b">
        <v>0</v>
      </c>
      <c r="O2492" s="4" t="str">
        <f>VLOOKUP(A2492,payment_ids!D:E,2,FALSE)</f>
        <v>upi</v>
      </c>
      <c r="P2492" s="4" t="s">
        <v>69</v>
      </c>
      <c r="Q2492" s="4" t="s">
        <v>6341</v>
      </c>
      <c r="R2492" s="4"/>
      <c r="S2492" s="12" t="s">
        <v>6322</v>
      </c>
      <c r="T2492" s="5"/>
      <c r="U2492" s="4"/>
      <c r="V2492" s="4"/>
      <c r="W2492" s="5"/>
      <c r="X2492" s="4"/>
      <c r="Y2492" s="4"/>
      <c r="Z2492" s="5"/>
      <c r="AA2492" s="4"/>
      <c r="AB2492" s="4"/>
      <c r="AC2492" s="4"/>
      <c r="AD2492" s="4"/>
      <c r="AE2492" s="5"/>
      <c r="AF2492" s="5"/>
      <c r="AG2492" s="5"/>
      <c r="AH2492" s="5"/>
      <c r="AI2492" s="5"/>
      <c r="AJ2492" s="5"/>
      <c r="AK2492" s="5"/>
      <c r="AL2492" s="5"/>
    </row>
    <row r="2493">
      <c r="A2493" s="4" t="str">
        <f>VLOOKUP(L2493,payment_ids!C:D,2,FALSE)</f>
        <v>pay_HG4VLLNHxXNeW8</v>
      </c>
      <c r="B2493" s="4"/>
      <c r="C2493" s="4" t="s">
        <v>6320</v>
      </c>
      <c r="D2493" s="4">
        <v>50044.0</v>
      </c>
      <c r="E2493" s="5"/>
      <c r="F2493" s="4">
        <v>1.0</v>
      </c>
      <c r="G2493" s="4">
        <v>349.0</v>
      </c>
      <c r="H2493" s="4"/>
      <c r="I2493" s="4">
        <v>349.0</v>
      </c>
      <c r="J2493" s="4" t="s">
        <v>6342</v>
      </c>
      <c r="K2493" s="5">
        <f>+918887687539</f>
        <v>918887687539</v>
      </c>
      <c r="L2493" s="4" t="str">
        <f t="shared" si="1"/>
        <v>alokitajha@gmail.com918887687539</v>
      </c>
      <c r="M2493" s="10" t="s">
        <v>67</v>
      </c>
      <c r="N2493" s="4" t="b">
        <v>0</v>
      </c>
      <c r="O2493" s="4" t="str">
        <f>VLOOKUP(A2493,payment_ids!D:E,2,FALSE)</f>
        <v>upi</v>
      </c>
      <c r="P2493" s="4" t="s">
        <v>69</v>
      </c>
      <c r="Q2493" s="4" t="s">
        <v>6343</v>
      </c>
      <c r="R2493" s="4"/>
      <c r="S2493" s="12" t="s">
        <v>6322</v>
      </c>
      <c r="T2493" s="5"/>
      <c r="U2493" s="4"/>
      <c r="V2493" s="4"/>
      <c r="W2493" s="5"/>
      <c r="X2493" s="4"/>
      <c r="Y2493" s="4"/>
      <c r="Z2493" s="5"/>
      <c r="AA2493" s="4"/>
      <c r="AB2493" s="4"/>
      <c r="AC2493" s="4"/>
      <c r="AD2493" s="4"/>
      <c r="AE2493" s="5"/>
      <c r="AF2493" s="5"/>
      <c r="AG2493" s="5"/>
      <c r="AH2493" s="5"/>
      <c r="AI2493" s="5"/>
      <c r="AJ2493" s="5"/>
      <c r="AK2493" s="5"/>
      <c r="AL2493" s="5"/>
    </row>
    <row r="2494">
      <c r="A2494" s="4" t="str">
        <f>VLOOKUP(L2494,payment_ids!C:D,2,FALSE)</f>
        <v>pay_HGAHGXLPvgneTY</v>
      </c>
      <c r="B2494" s="4"/>
      <c r="C2494" s="4" t="s">
        <v>6320</v>
      </c>
      <c r="D2494" s="4">
        <v>50044.0</v>
      </c>
      <c r="E2494" s="5"/>
      <c r="F2494" s="4">
        <v>1.0</v>
      </c>
      <c r="G2494" s="4">
        <v>349.0</v>
      </c>
      <c r="H2494" s="4"/>
      <c r="I2494" s="4">
        <v>349.0</v>
      </c>
      <c r="J2494" s="4" t="s">
        <v>4415</v>
      </c>
      <c r="K2494" s="5">
        <f>+918114971986</f>
        <v>918114971986</v>
      </c>
      <c r="L2494" s="4" t="str">
        <f t="shared" si="1"/>
        <v>shraddhakunmun97@gmail.com918114971986</v>
      </c>
      <c r="M2494" s="10" t="s">
        <v>67</v>
      </c>
      <c r="N2494" s="4" t="b">
        <v>0</v>
      </c>
      <c r="O2494" s="4" t="str">
        <f>VLOOKUP(A2494,payment_ids!D:E,2,FALSE)</f>
        <v>upi</v>
      </c>
      <c r="P2494" s="4" t="s">
        <v>69</v>
      </c>
      <c r="Q2494" s="4" t="s">
        <v>6344</v>
      </c>
      <c r="R2494" s="4"/>
      <c r="S2494" s="12" t="s">
        <v>6322</v>
      </c>
      <c r="T2494" s="5"/>
      <c r="U2494" s="4"/>
      <c r="V2494" s="4"/>
      <c r="W2494" s="5"/>
      <c r="X2494" s="4"/>
      <c r="Y2494" s="4"/>
      <c r="Z2494" s="5"/>
      <c r="AA2494" s="4"/>
      <c r="AB2494" s="4"/>
      <c r="AC2494" s="4"/>
      <c r="AD2494" s="4"/>
      <c r="AE2494" s="5"/>
      <c r="AF2494" s="5"/>
      <c r="AG2494" s="5"/>
      <c r="AH2494" s="5"/>
      <c r="AI2494" s="5"/>
      <c r="AJ2494" s="5"/>
      <c r="AK2494" s="5"/>
      <c r="AL2494" s="5"/>
    </row>
    <row r="2495">
      <c r="A2495" s="4" t="str">
        <f>VLOOKUP(L2495,payment_ids!C:D,2,FALSE)</f>
        <v>pay_HGzkxaCcwSpPeb</v>
      </c>
      <c r="B2495" s="4"/>
      <c r="C2495" s="4" t="s">
        <v>6320</v>
      </c>
      <c r="D2495" s="4">
        <v>50044.0</v>
      </c>
      <c r="E2495" s="5"/>
      <c r="F2495" s="4">
        <v>1.0</v>
      </c>
      <c r="G2495" s="4">
        <v>349.0</v>
      </c>
      <c r="H2495" s="4"/>
      <c r="I2495" s="4">
        <v>349.0</v>
      </c>
      <c r="J2495" s="4" t="s">
        <v>6345</v>
      </c>
      <c r="K2495" s="5">
        <f>+918802821934</f>
        <v>918802821934</v>
      </c>
      <c r="L2495" s="4" t="str">
        <f t="shared" si="1"/>
        <v>manshavij31@gmail.com918802821934</v>
      </c>
      <c r="M2495" s="10" t="s">
        <v>67</v>
      </c>
      <c r="N2495" s="4" t="b">
        <v>0</v>
      </c>
      <c r="O2495" s="4" t="str">
        <f>VLOOKUP(A2495,payment_ids!D:E,2,FALSE)</f>
        <v>card</v>
      </c>
      <c r="P2495" s="4" t="s">
        <v>69</v>
      </c>
      <c r="Q2495" s="4" t="s">
        <v>6346</v>
      </c>
      <c r="R2495" s="4"/>
      <c r="S2495" s="12" t="s">
        <v>6322</v>
      </c>
      <c r="T2495" s="5"/>
      <c r="U2495" s="4"/>
      <c r="V2495" s="4"/>
      <c r="W2495" s="5"/>
      <c r="X2495" s="4"/>
      <c r="Y2495" s="4"/>
      <c r="Z2495" s="5"/>
      <c r="AA2495" s="4"/>
      <c r="AB2495" s="4"/>
      <c r="AC2495" s="4"/>
      <c r="AD2495" s="4"/>
      <c r="AE2495" s="5"/>
      <c r="AF2495" s="5"/>
      <c r="AG2495" s="5"/>
      <c r="AH2495" s="5"/>
      <c r="AI2495" s="5"/>
      <c r="AJ2495" s="5"/>
      <c r="AK2495" s="5"/>
      <c r="AL2495" s="5"/>
    </row>
    <row r="2496">
      <c r="A2496" s="4" t="str">
        <f>VLOOKUP(L2496,payment_ids!C:D,2,FALSE)</f>
        <v>pay_HH5Qgj17ocsCP6</v>
      </c>
      <c r="B2496" s="4"/>
      <c r="C2496" s="4" t="s">
        <v>6320</v>
      </c>
      <c r="D2496" s="4">
        <v>50044.0</v>
      </c>
      <c r="E2496" s="5"/>
      <c r="F2496" s="4">
        <v>1.0</v>
      </c>
      <c r="G2496" s="4">
        <v>349.0</v>
      </c>
      <c r="H2496" s="4"/>
      <c r="I2496" s="4">
        <v>349.0</v>
      </c>
      <c r="J2496" s="4" t="s">
        <v>6347</v>
      </c>
      <c r="K2496" s="5">
        <f>+918806670761</f>
        <v>918806670761</v>
      </c>
      <c r="L2496" s="4" t="str">
        <f t="shared" si="1"/>
        <v>bluebubbles48@gmail.com918806670761</v>
      </c>
      <c r="M2496" s="10" t="s">
        <v>67</v>
      </c>
      <c r="N2496" s="4" t="b">
        <v>0</v>
      </c>
      <c r="O2496" s="4" t="str">
        <f>VLOOKUP(A2496,payment_ids!D:E,2,FALSE)</f>
        <v>upi</v>
      </c>
      <c r="P2496" s="4" t="s">
        <v>69</v>
      </c>
      <c r="Q2496" s="4" t="s">
        <v>6348</v>
      </c>
      <c r="R2496" s="4"/>
      <c r="S2496" s="12" t="s">
        <v>6322</v>
      </c>
      <c r="T2496" s="5"/>
      <c r="U2496" s="4"/>
      <c r="V2496" s="4"/>
      <c r="W2496" s="5"/>
      <c r="X2496" s="4"/>
      <c r="Y2496" s="4"/>
      <c r="Z2496" s="5"/>
      <c r="AA2496" s="4"/>
      <c r="AB2496" s="4"/>
      <c r="AC2496" s="4"/>
      <c r="AD2496" s="4"/>
      <c r="AE2496" s="5"/>
      <c r="AF2496" s="5"/>
      <c r="AG2496" s="5"/>
      <c r="AH2496" s="5"/>
      <c r="AI2496" s="5"/>
      <c r="AJ2496" s="5"/>
      <c r="AK2496" s="5"/>
      <c r="AL2496" s="5"/>
    </row>
    <row r="2497">
      <c r="A2497" s="4" t="str">
        <f>VLOOKUP(L2497,payment_ids!C:D,2,FALSE)</f>
        <v>pay_HHO0zLcLAjOXn9</v>
      </c>
      <c r="B2497" s="4"/>
      <c r="C2497" s="4" t="s">
        <v>6320</v>
      </c>
      <c r="D2497" s="4">
        <v>50044.0</v>
      </c>
      <c r="E2497" s="5"/>
      <c r="F2497" s="4">
        <v>1.0</v>
      </c>
      <c r="G2497" s="4">
        <v>349.0</v>
      </c>
      <c r="H2497" s="4"/>
      <c r="I2497" s="4">
        <v>349.0</v>
      </c>
      <c r="J2497" s="4" t="s">
        <v>6349</v>
      </c>
      <c r="K2497" s="5">
        <f>+916383417717</f>
        <v>916383417717</v>
      </c>
      <c r="L2497" s="4" t="str">
        <f t="shared" si="1"/>
        <v>sharath.kh1995@gmail.com916383417717</v>
      </c>
      <c r="M2497" s="10" t="s">
        <v>67</v>
      </c>
      <c r="N2497" s="4" t="b">
        <v>0</v>
      </c>
      <c r="O2497" s="4" t="str">
        <f>VLOOKUP(A2497,payment_ids!D:E,2,FALSE)</f>
        <v>upi</v>
      </c>
      <c r="P2497" s="4" t="s">
        <v>69</v>
      </c>
      <c r="Q2497" s="4" t="s">
        <v>6350</v>
      </c>
      <c r="R2497" s="4"/>
      <c r="S2497" s="12" t="s">
        <v>6322</v>
      </c>
      <c r="T2497" s="5"/>
      <c r="U2497" s="4"/>
      <c r="V2497" s="4"/>
      <c r="W2497" s="5"/>
      <c r="X2497" s="4"/>
      <c r="Y2497" s="4"/>
      <c r="Z2497" s="5"/>
      <c r="AA2497" s="4"/>
      <c r="AB2497" s="4"/>
      <c r="AC2497" s="4"/>
      <c r="AD2497" s="4"/>
      <c r="AE2497" s="5"/>
      <c r="AF2497" s="5"/>
      <c r="AG2497" s="5"/>
      <c r="AH2497" s="5"/>
      <c r="AI2497" s="5"/>
      <c r="AJ2497" s="5"/>
      <c r="AK2497" s="5"/>
      <c r="AL2497" s="5"/>
    </row>
    <row r="2498">
      <c r="A2498" s="4" t="str">
        <f>VLOOKUP(L2498,payment_ids!C:D,2,FALSE)</f>
        <v>pay_H8SPqH2isEFhRv</v>
      </c>
      <c r="B2498" s="4"/>
      <c r="C2498" s="4" t="s">
        <v>6320</v>
      </c>
      <c r="D2498" s="4">
        <v>50044.0</v>
      </c>
      <c r="E2498" s="5"/>
      <c r="F2498" s="4">
        <v>6.0</v>
      </c>
      <c r="G2498" s="4">
        <v>999.0</v>
      </c>
      <c r="H2498" s="4"/>
      <c r="I2498" s="4">
        <v>999.0</v>
      </c>
      <c r="J2498" s="4" t="s">
        <v>6323</v>
      </c>
      <c r="K2498" s="5">
        <f>+919820395010</f>
        <v>919820395010</v>
      </c>
      <c r="L2498" s="4" t="str">
        <f t="shared" si="1"/>
        <v>jesal3ster@gmail.com919820395010</v>
      </c>
      <c r="M2498" s="10" t="s">
        <v>67</v>
      </c>
      <c r="N2498" s="4" t="b">
        <v>0</v>
      </c>
      <c r="O2498" s="4" t="str">
        <f>VLOOKUP(A2498,payment_ids!D:E,2,FALSE)</f>
        <v>upi</v>
      </c>
      <c r="P2498" s="4" t="s">
        <v>69</v>
      </c>
      <c r="Q2498" s="11">
        <v>44292.865277777775</v>
      </c>
      <c r="R2498" s="4"/>
      <c r="S2498" s="12" t="s">
        <v>6322</v>
      </c>
      <c r="T2498" s="5"/>
      <c r="U2498" s="4"/>
      <c r="V2498" s="4"/>
      <c r="W2498" s="5"/>
      <c r="X2498" s="4"/>
      <c r="Y2498" s="4"/>
      <c r="Z2498" s="5"/>
      <c r="AA2498" s="5"/>
      <c r="AB2498" s="4"/>
      <c r="AC2498" s="4"/>
      <c r="AD2498" s="4"/>
      <c r="AE2498" s="5"/>
      <c r="AF2498" s="5"/>
      <c r="AG2498" s="5"/>
      <c r="AH2498" s="5"/>
      <c r="AI2498" s="5"/>
      <c r="AJ2498" s="5"/>
      <c r="AK2498" s="5"/>
      <c r="AL2498" s="5"/>
    </row>
    <row r="2499">
      <c r="A2499" s="4" t="str">
        <f>VLOOKUP(L2499,payment_ids!C:D,2,FALSE)</f>
        <v>pay_H8DtE8iMVlbKl1</v>
      </c>
      <c r="B2499" s="4"/>
      <c r="C2499" s="4" t="s">
        <v>6320</v>
      </c>
      <c r="D2499" s="4">
        <v>50044.0</v>
      </c>
      <c r="E2499" s="5"/>
      <c r="F2499" s="4">
        <v>3.0</v>
      </c>
      <c r="G2499" s="4">
        <v>599.0</v>
      </c>
      <c r="H2499" s="4"/>
      <c r="I2499" s="4">
        <v>599.0</v>
      </c>
      <c r="J2499" s="4" t="s">
        <v>6321</v>
      </c>
      <c r="K2499" s="5">
        <f>+918886237899</f>
        <v>918886237899</v>
      </c>
      <c r="L2499" s="4" t="str">
        <f t="shared" si="1"/>
        <v>gladiators.eternity@gmail.com918886237899</v>
      </c>
      <c r="M2499" s="10" t="s">
        <v>67</v>
      </c>
      <c r="N2499" s="4" t="b">
        <v>0</v>
      </c>
      <c r="O2499" s="4" t="str">
        <f>VLOOKUP(A2499,payment_ids!D:E,2,FALSE)</f>
        <v>upi</v>
      </c>
      <c r="P2499" s="4" t="s">
        <v>69</v>
      </c>
      <c r="Q2499" s="11">
        <v>44322.62708333333</v>
      </c>
      <c r="R2499" s="4"/>
      <c r="S2499" s="12" t="s">
        <v>6322</v>
      </c>
      <c r="T2499" s="5"/>
      <c r="U2499" s="4"/>
      <c r="V2499" s="4"/>
      <c r="W2499" s="5"/>
      <c r="X2499" s="4"/>
      <c r="Y2499" s="4"/>
      <c r="Z2499" s="5"/>
      <c r="AA2499" s="4"/>
      <c r="AB2499" s="4"/>
      <c r="AC2499" s="4"/>
      <c r="AD2499" s="4"/>
      <c r="AE2499" s="5"/>
      <c r="AF2499" s="5"/>
      <c r="AG2499" s="5"/>
      <c r="AH2499" s="5"/>
      <c r="AI2499" s="5"/>
      <c r="AJ2499" s="5"/>
      <c r="AK2499" s="5"/>
      <c r="AL2499" s="5"/>
    </row>
    <row r="2500">
      <c r="A2500" s="4" t="str">
        <f>VLOOKUP(L2500,payment_ids!C:D,2,FALSE)</f>
        <v>pay_HJkGdg8qAwFh49</v>
      </c>
      <c r="B2500" s="4"/>
      <c r="C2500" s="4" t="s">
        <v>6320</v>
      </c>
      <c r="D2500" s="4">
        <v>50044.0</v>
      </c>
      <c r="E2500" s="5"/>
      <c r="F2500" s="4">
        <v>1.0</v>
      </c>
      <c r="G2500" s="4">
        <v>349.0</v>
      </c>
      <c r="H2500" s="4"/>
      <c r="I2500" s="4">
        <v>349.0</v>
      </c>
      <c r="J2500" s="4" t="s">
        <v>6351</v>
      </c>
      <c r="K2500" s="5">
        <f>+919418436544</f>
        <v>919418436544</v>
      </c>
      <c r="L2500" s="4" t="str">
        <f t="shared" si="1"/>
        <v>tarunsood.86@gmail.com919418436544</v>
      </c>
      <c r="M2500" s="10" t="s">
        <v>67</v>
      </c>
      <c r="N2500" s="4" t="b">
        <v>0</v>
      </c>
      <c r="O2500" s="4" t="str">
        <f>VLOOKUP(A2500,payment_ids!D:E,2,FALSE)</f>
        <v>upi</v>
      </c>
      <c r="P2500" s="4" t="s">
        <v>69</v>
      </c>
      <c r="Q2500" s="11">
        <v>44353.677083333336</v>
      </c>
      <c r="R2500" s="4"/>
      <c r="S2500" s="12" t="s">
        <v>6322</v>
      </c>
      <c r="T2500" s="5"/>
      <c r="U2500" s="4"/>
      <c r="V2500" s="4"/>
      <c r="W2500" s="5"/>
      <c r="X2500" s="4"/>
      <c r="Y2500" s="4"/>
      <c r="Z2500" s="5"/>
      <c r="AA2500" s="4"/>
      <c r="AB2500" s="4"/>
      <c r="AC2500" s="4"/>
      <c r="AD2500" s="4"/>
      <c r="AE2500" s="5"/>
      <c r="AF2500" s="5"/>
      <c r="AG2500" s="5"/>
      <c r="AH2500" s="5"/>
      <c r="AI2500" s="5"/>
      <c r="AJ2500" s="5"/>
      <c r="AK2500" s="5"/>
      <c r="AL2500" s="5"/>
    </row>
    <row r="2501">
      <c r="A2501" s="4" t="str">
        <f>VLOOKUP(L2501,payment_ids!C:D,2,FALSE)</f>
        <v>pay_HJonvg7B5j14Wt</v>
      </c>
      <c r="B2501" s="4"/>
      <c r="C2501" s="4" t="s">
        <v>6320</v>
      </c>
      <c r="D2501" s="4">
        <v>50044.0</v>
      </c>
      <c r="E2501" s="5"/>
      <c r="F2501" s="4">
        <v>6.0</v>
      </c>
      <c r="G2501" s="4">
        <v>999.0</v>
      </c>
      <c r="H2501" s="4"/>
      <c r="I2501" s="4">
        <v>999.0</v>
      </c>
      <c r="J2501" s="4" t="s">
        <v>6352</v>
      </c>
      <c r="K2501" s="5">
        <f>+917710820119</f>
        <v>917710820119</v>
      </c>
      <c r="L2501" s="4" t="str">
        <f t="shared" si="1"/>
        <v>rohini.kumar89@gmail.com917710820119</v>
      </c>
      <c r="M2501" s="10" t="s">
        <v>67</v>
      </c>
      <c r="N2501" s="4" t="b">
        <v>0</v>
      </c>
      <c r="O2501" s="4" t="str">
        <f>VLOOKUP(A2501,payment_ids!D:E,2,FALSE)</f>
        <v>upi</v>
      </c>
      <c r="P2501" s="4" t="s">
        <v>69</v>
      </c>
      <c r="Q2501" s="11">
        <v>44353.861805555556</v>
      </c>
      <c r="R2501" s="4"/>
      <c r="S2501" s="12" t="s">
        <v>6322</v>
      </c>
      <c r="T2501" s="5"/>
      <c r="U2501" s="4"/>
      <c r="V2501" s="4"/>
      <c r="W2501" s="5"/>
      <c r="X2501" s="4"/>
      <c r="Y2501" s="4"/>
      <c r="Z2501" s="5"/>
      <c r="AA2501" s="4"/>
      <c r="AB2501" s="4"/>
      <c r="AC2501" s="4"/>
      <c r="AD2501" s="4"/>
      <c r="AE2501" s="5"/>
      <c r="AF2501" s="5"/>
      <c r="AG2501" s="5"/>
      <c r="AH2501" s="5"/>
      <c r="AI2501" s="5"/>
      <c r="AJ2501" s="5"/>
      <c r="AK2501" s="5"/>
      <c r="AL2501" s="5"/>
    </row>
    <row r="2502">
      <c r="A2502" s="4" t="str">
        <f>VLOOKUP(L2502,payment_ids!C:D,2,FALSE)</f>
        <v>pay_HJpB123QgJJnlg</v>
      </c>
      <c r="B2502" s="4"/>
      <c r="C2502" s="4" t="s">
        <v>6320</v>
      </c>
      <c r="D2502" s="4">
        <v>50044.0</v>
      </c>
      <c r="E2502" s="5"/>
      <c r="F2502" s="4">
        <v>1.0</v>
      </c>
      <c r="G2502" s="4">
        <v>349.0</v>
      </c>
      <c r="H2502" s="4"/>
      <c r="I2502" s="4">
        <v>349.0</v>
      </c>
      <c r="J2502" s="4" t="s">
        <v>6353</v>
      </c>
      <c r="K2502" s="5">
        <f>+919963362903</f>
        <v>919963362903</v>
      </c>
      <c r="L2502" s="4" t="str">
        <f t="shared" si="1"/>
        <v>bhagyashreechoudhary@gmail.com919963362903</v>
      </c>
      <c r="M2502" s="10" t="s">
        <v>67</v>
      </c>
      <c r="N2502" s="4" t="b">
        <v>0</v>
      </c>
      <c r="O2502" s="4" t="str">
        <f>VLOOKUP(A2502,payment_ids!D:E,2,FALSE)</f>
        <v>upi</v>
      </c>
      <c r="P2502" s="4" t="s">
        <v>69</v>
      </c>
      <c r="Q2502" s="11">
        <v>44353.87708333333</v>
      </c>
      <c r="R2502" s="4"/>
      <c r="S2502" s="12" t="s">
        <v>6322</v>
      </c>
      <c r="T2502" s="5"/>
      <c r="U2502" s="4"/>
      <c r="V2502" s="4"/>
      <c r="W2502" s="5"/>
      <c r="X2502" s="4"/>
      <c r="Y2502" s="4"/>
      <c r="Z2502" s="5"/>
      <c r="AA2502" s="4"/>
      <c r="AB2502" s="4"/>
      <c r="AC2502" s="4"/>
      <c r="AD2502" s="4"/>
      <c r="AE2502" s="5"/>
      <c r="AF2502" s="5"/>
      <c r="AG2502" s="5"/>
      <c r="AH2502" s="5"/>
      <c r="AI2502" s="5"/>
      <c r="AJ2502" s="5"/>
      <c r="AK2502" s="5"/>
      <c r="AL2502" s="5"/>
    </row>
    <row r="2503">
      <c r="A2503" s="4" t="str">
        <f>VLOOKUP(L2503,payment_ids!C:D,2,FALSE)</f>
        <v>pay_HKwdzPo1dfugNK</v>
      </c>
      <c r="B2503" s="4"/>
      <c r="C2503" s="4" t="s">
        <v>6320</v>
      </c>
      <c r="D2503" s="4">
        <v>50044.0</v>
      </c>
      <c r="E2503" s="5"/>
      <c r="F2503" s="4">
        <v>6.0</v>
      </c>
      <c r="G2503" s="4">
        <v>999.0</v>
      </c>
      <c r="H2503" s="4"/>
      <c r="I2503" s="4">
        <v>999.0</v>
      </c>
      <c r="J2503" s="4" t="s">
        <v>6354</v>
      </c>
      <c r="K2503" s="5">
        <f>+917675021262</f>
        <v>917675021262</v>
      </c>
      <c r="L2503" s="4" t="str">
        <f t="shared" si="1"/>
        <v>sahiway_plusshop@yahoo.com917675021262</v>
      </c>
      <c r="M2503" s="10" t="s">
        <v>67</v>
      </c>
      <c r="N2503" s="4" t="b">
        <v>0</v>
      </c>
      <c r="O2503" s="4" t="str">
        <f>VLOOKUP(A2503,payment_ids!D:E,2,FALSE)</f>
        <v>upi</v>
      </c>
      <c r="P2503" s="4" t="s">
        <v>69</v>
      </c>
      <c r="Q2503" s="11">
        <v>44445.708333333336</v>
      </c>
      <c r="R2503" s="4"/>
      <c r="S2503" s="12" t="s">
        <v>6322</v>
      </c>
      <c r="T2503" s="4" t="s">
        <v>2444</v>
      </c>
      <c r="U2503" s="4"/>
      <c r="V2503" s="4"/>
      <c r="W2503" s="5"/>
      <c r="X2503" s="4"/>
      <c r="Y2503" s="4"/>
      <c r="Z2503" s="5"/>
      <c r="AA2503" s="4"/>
      <c r="AB2503" s="4"/>
      <c r="AC2503" s="4"/>
      <c r="AD2503" s="4"/>
      <c r="AE2503" s="5"/>
      <c r="AF2503" s="5"/>
      <c r="AG2503" s="5"/>
      <c r="AH2503" s="5"/>
      <c r="AI2503" s="5"/>
      <c r="AJ2503" s="5"/>
      <c r="AK2503" s="5"/>
      <c r="AL2503" s="5"/>
    </row>
    <row r="2504">
      <c r="A2504" s="4" t="str">
        <f>VLOOKUP(L2504,payment_ids!C:D,2,FALSE)</f>
        <v>pay_HLoRkq1QLcrKDT</v>
      </c>
      <c r="B2504" s="4"/>
      <c r="C2504" s="4" t="s">
        <v>6320</v>
      </c>
      <c r="D2504" s="4">
        <v>50044.0</v>
      </c>
      <c r="E2504" s="5"/>
      <c r="F2504" s="4">
        <v>1.0</v>
      </c>
      <c r="G2504" s="4">
        <v>349.0</v>
      </c>
      <c r="H2504" s="4"/>
      <c r="I2504" s="4">
        <v>349.0</v>
      </c>
      <c r="J2504" s="4" t="s">
        <v>6355</v>
      </c>
      <c r="K2504" s="5">
        <f>+919940154340</f>
        <v>919940154340</v>
      </c>
      <c r="L2504" s="4" t="str">
        <f t="shared" si="1"/>
        <v>ninjumenon@gmail.com919940154340</v>
      </c>
      <c r="M2504" s="10" t="s">
        <v>67</v>
      </c>
      <c r="N2504" s="4" t="b">
        <v>0</v>
      </c>
      <c r="O2504" s="4" t="str">
        <f>VLOOKUP(A2504,payment_ids!D:E,2,FALSE)</f>
        <v>card</v>
      </c>
      <c r="P2504" s="4" t="s">
        <v>69</v>
      </c>
      <c r="Q2504" s="11">
        <v>44506.90277777778</v>
      </c>
      <c r="R2504" s="4"/>
      <c r="S2504" s="12" t="s">
        <v>6322</v>
      </c>
      <c r="T2504" s="4" t="s">
        <v>2444</v>
      </c>
      <c r="U2504" s="4"/>
      <c r="V2504" s="4"/>
      <c r="W2504" s="5"/>
      <c r="X2504" s="4"/>
      <c r="Y2504" s="4"/>
      <c r="Z2504" s="5"/>
      <c r="AA2504" s="4"/>
      <c r="AB2504" s="4"/>
      <c r="AC2504" s="4"/>
      <c r="AD2504" s="4"/>
      <c r="AE2504" s="5"/>
      <c r="AF2504" s="5"/>
      <c r="AG2504" s="5"/>
      <c r="AH2504" s="5"/>
      <c r="AI2504" s="5"/>
      <c r="AJ2504" s="5"/>
      <c r="AK2504" s="5"/>
      <c r="AL2504" s="5"/>
    </row>
    <row r="2505">
      <c r="A2505" s="4" t="str">
        <f>VLOOKUP(L2505,payment_ids!C:D,2,FALSE)</f>
        <v>pay_HLrXgk5Ffcgub6</v>
      </c>
      <c r="B2505" s="4"/>
      <c r="C2505" s="4" t="s">
        <v>6320</v>
      </c>
      <c r="D2505" s="4">
        <v>50044.0</v>
      </c>
      <c r="E2505" s="5"/>
      <c r="F2505" s="4">
        <v>1.0</v>
      </c>
      <c r="G2505" s="4">
        <v>349.0</v>
      </c>
      <c r="H2505" s="4"/>
      <c r="I2505" s="4">
        <v>349.0</v>
      </c>
      <c r="J2505" s="4" t="s">
        <v>6356</v>
      </c>
      <c r="K2505" s="5">
        <f>+918411866088</f>
        <v>918411866088</v>
      </c>
      <c r="L2505" s="4" t="str">
        <f t="shared" si="1"/>
        <v>crkhedkar@gmail.com918411866088</v>
      </c>
      <c r="M2505" s="10" t="s">
        <v>67</v>
      </c>
      <c r="N2505" s="4" t="b">
        <v>0</v>
      </c>
      <c r="O2505" s="4" t="str">
        <f>VLOOKUP(A2505,payment_ids!D:E,2,FALSE)</f>
        <v>upi</v>
      </c>
      <c r="P2505" s="4" t="s">
        <v>69</v>
      </c>
      <c r="Q2505" s="11">
        <v>44536.027083333334</v>
      </c>
      <c r="R2505" s="4"/>
      <c r="S2505" s="12" t="s">
        <v>6322</v>
      </c>
      <c r="T2505" s="4" t="s">
        <v>2444</v>
      </c>
      <c r="U2505" s="4"/>
      <c r="V2505" s="4"/>
      <c r="W2505" s="5"/>
      <c r="X2505" s="4"/>
      <c r="Y2505" s="4"/>
      <c r="Z2505" s="5"/>
      <c r="AA2505" s="4"/>
      <c r="AB2505" s="4"/>
      <c r="AC2505" s="4"/>
      <c r="AD2505" s="4"/>
      <c r="AE2505" s="5"/>
      <c r="AF2505" s="5"/>
      <c r="AG2505" s="5"/>
      <c r="AH2505" s="5"/>
      <c r="AI2505" s="5"/>
      <c r="AJ2505" s="5"/>
      <c r="AK2505" s="5"/>
      <c r="AL2505" s="5"/>
    </row>
    <row r="2506">
      <c r="A2506" s="4" t="str">
        <f>VLOOKUP(L2506,payment_ids!C:D,2,FALSE)</f>
        <v>pay_HMlr8zfjtnFzI0</v>
      </c>
      <c r="B2506" s="4"/>
      <c r="C2506" s="4" t="s">
        <v>6320</v>
      </c>
      <c r="D2506" s="4">
        <v>50044.0</v>
      </c>
      <c r="E2506" s="5"/>
      <c r="F2506" s="4">
        <v>1.0</v>
      </c>
      <c r="G2506" s="4">
        <v>349.0</v>
      </c>
      <c r="H2506" s="4"/>
      <c r="I2506" s="4">
        <v>349.0</v>
      </c>
      <c r="J2506" s="4" t="s">
        <v>6357</v>
      </c>
      <c r="K2506" s="5">
        <f>+919971133337</f>
        <v>919971133337</v>
      </c>
      <c r="L2506" s="4" t="str">
        <f t="shared" si="1"/>
        <v>anujjain81@hotmail.com919971133337</v>
      </c>
      <c r="M2506" s="10" t="s">
        <v>67</v>
      </c>
      <c r="N2506" s="4" t="b">
        <v>0</v>
      </c>
      <c r="O2506" s="4" t="str">
        <f>VLOOKUP(A2506,payment_ids!D:E,2,FALSE)</f>
        <v>upi</v>
      </c>
      <c r="P2506" s="4" t="s">
        <v>69</v>
      </c>
      <c r="Q2506" s="4" t="s">
        <v>6358</v>
      </c>
      <c r="R2506" s="4"/>
      <c r="S2506" s="12" t="s">
        <v>6322</v>
      </c>
      <c r="T2506" s="4" t="s">
        <v>2444</v>
      </c>
      <c r="U2506" s="4"/>
      <c r="V2506" s="4"/>
      <c r="W2506" s="5"/>
      <c r="X2506" s="4"/>
      <c r="Y2506" s="4"/>
      <c r="Z2506" s="5"/>
      <c r="AA2506" s="4"/>
      <c r="AB2506" s="4"/>
      <c r="AC2506" s="4"/>
      <c r="AD2506" s="4"/>
      <c r="AE2506" s="5"/>
      <c r="AF2506" s="5"/>
      <c r="AG2506" s="5"/>
      <c r="AH2506" s="5"/>
      <c r="AI2506" s="5"/>
      <c r="AJ2506" s="5"/>
      <c r="AK2506" s="5"/>
      <c r="AL2506" s="5"/>
    </row>
    <row r="2507">
      <c r="A2507" s="4" t="str">
        <f>VLOOKUP(L2507,payment_ids!C:D,2,FALSE)</f>
        <v>pay_HMtZ8iG7U0pkfV</v>
      </c>
      <c r="B2507" s="4"/>
      <c r="C2507" s="4" t="s">
        <v>6320</v>
      </c>
      <c r="D2507" s="4">
        <v>50044.0</v>
      </c>
      <c r="E2507" s="5"/>
      <c r="F2507" s="4">
        <v>1.0</v>
      </c>
      <c r="G2507" s="4">
        <v>349.0</v>
      </c>
      <c r="H2507" s="4"/>
      <c r="I2507" s="4">
        <v>349.0</v>
      </c>
      <c r="J2507" s="4" t="s">
        <v>6359</v>
      </c>
      <c r="K2507" s="5">
        <f>+919836925980</f>
        <v>919836925980</v>
      </c>
      <c r="L2507" s="4" t="str">
        <f t="shared" si="1"/>
        <v>thisiskoushik@gmail.com919836925980</v>
      </c>
      <c r="M2507" s="10" t="s">
        <v>67</v>
      </c>
      <c r="N2507" s="4" t="b">
        <v>0</v>
      </c>
      <c r="O2507" s="4" t="str">
        <f>VLOOKUP(A2507,payment_ids!D:E,2,FALSE)</f>
        <v>card</v>
      </c>
      <c r="P2507" s="4" t="s">
        <v>69</v>
      </c>
      <c r="Q2507" s="4" t="s">
        <v>6360</v>
      </c>
      <c r="R2507" s="4"/>
      <c r="S2507" s="12" t="s">
        <v>6322</v>
      </c>
      <c r="T2507" s="4" t="s">
        <v>2444</v>
      </c>
      <c r="U2507" s="4"/>
      <c r="V2507" s="4"/>
      <c r="W2507" s="5"/>
      <c r="X2507" s="4"/>
      <c r="Y2507" s="4"/>
      <c r="Z2507" s="5"/>
      <c r="AA2507" s="4"/>
      <c r="AB2507" s="4"/>
      <c r="AC2507" s="4"/>
      <c r="AD2507" s="4"/>
      <c r="AE2507" s="5"/>
      <c r="AF2507" s="5"/>
      <c r="AG2507" s="5"/>
      <c r="AH2507" s="5"/>
      <c r="AI2507" s="5"/>
      <c r="AJ2507" s="5"/>
      <c r="AK2507" s="5"/>
      <c r="AL2507" s="5"/>
    </row>
    <row r="2508">
      <c r="A2508" s="4" t="str">
        <f>VLOOKUP(L2508,payment_ids!C:D,2,FALSE)</f>
        <v>pay_HN8cwIWm5qDBsw</v>
      </c>
      <c r="B2508" s="4"/>
      <c r="C2508" s="4" t="s">
        <v>6320</v>
      </c>
      <c r="D2508" s="4">
        <v>50044.0</v>
      </c>
      <c r="E2508" s="5"/>
      <c r="F2508" s="4">
        <v>3.0</v>
      </c>
      <c r="G2508" s="4">
        <v>599.0</v>
      </c>
      <c r="H2508" s="4"/>
      <c r="I2508" s="4">
        <v>599.0</v>
      </c>
      <c r="J2508" s="4" t="s">
        <v>6361</v>
      </c>
      <c r="K2508" s="5">
        <f>+919550195891</f>
        <v>919550195891</v>
      </c>
      <c r="L2508" s="4" t="str">
        <f t="shared" si="1"/>
        <v>ashokrn999@gmail.com919550195891</v>
      </c>
      <c r="M2508" s="10" t="s">
        <v>67</v>
      </c>
      <c r="N2508" s="4" t="b">
        <v>0</v>
      </c>
      <c r="O2508" s="4" t="str">
        <f>VLOOKUP(A2508,payment_ids!D:E,2,FALSE)</f>
        <v>upi</v>
      </c>
      <c r="P2508" s="4" t="s">
        <v>69</v>
      </c>
      <c r="Q2508" s="4" t="s">
        <v>6362</v>
      </c>
      <c r="R2508" s="4"/>
      <c r="S2508" s="12" t="s">
        <v>6322</v>
      </c>
      <c r="T2508" s="4" t="s">
        <v>2444</v>
      </c>
      <c r="U2508" s="4"/>
      <c r="V2508" s="4"/>
      <c r="W2508" s="5"/>
      <c r="X2508" s="4"/>
      <c r="Y2508" s="4"/>
      <c r="Z2508" s="5"/>
      <c r="AA2508" s="4"/>
      <c r="AB2508" s="4"/>
      <c r="AC2508" s="4"/>
      <c r="AD2508" s="4"/>
      <c r="AE2508" s="5"/>
      <c r="AF2508" s="5"/>
      <c r="AG2508" s="5"/>
      <c r="AH2508" s="5"/>
      <c r="AI2508" s="5"/>
      <c r="AJ2508" s="5"/>
      <c r="AK2508" s="5"/>
      <c r="AL2508" s="5"/>
    </row>
    <row r="2509">
      <c r="A2509" s="4" t="str">
        <f>VLOOKUP(L2509,payment_ids!C:D,2,FALSE)</f>
        <v>pay_HO4VhFmvNQJuKS</v>
      </c>
      <c r="B2509" s="4"/>
      <c r="C2509" s="4" t="s">
        <v>6320</v>
      </c>
      <c r="D2509" s="4">
        <v>50044.0</v>
      </c>
      <c r="E2509" s="5"/>
      <c r="F2509" s="4">
        <v>1.0</v>
      </c>
      <c r="G2509" s="4">
        <v>349.0</v>
      </c>
      <c r="H2509" s="4"/>
      <c r="I2509" s="4">
        <v>349.0</v>
      </c>
      <c r="J2509" s="4" t="s">
        <v>6363</v>
      </c>
      <c r="K2509" s="5">
        <f>+917887359987</f>
        <v>917887359987</v>
      </c>
      <c r="L2509" s="4" t="str">
        <f t="shared" si="1"/>
        <v>pratikmakhija@gmail.com917887359987</v>
      </c>
      <c r="M2509" s="10" t="s">
        <v>67</v>
      </c>
      <c r="N2509" s="4" t="b">
        <v>0</v>
      </c>
      <c r="O2509" s="4" t="str">
        <f>VLOOKUP(A2509,payment_ids!D:E,2,FALSE)</f>
        <v>upi</v>
      </c>
      <c r="P2509" s="4" t="s">
        <v>69</v>
      </c>
      <c r="Q2509" s="4" t="s">
        <v>6364</v>
      </c>
      <c r="R2509" s="4"/>
      <c r="S2509" s="12" t="s">
        <v>6322</v>
      </c>
      <c r="T2509" s="4" t="s">
        <v>2444</v>
      </c>
      <c r="U2509" s="4"/>
      <c r="V2509" s="4"/>
      <c r="W2509" s="5"/>
      <c r="X2509" s="4"/>
      <c r="Y2509" s="4"/>
      <c r="Z2509" s="5"/>
      <c r="AA2509" s="4"/>
      <c r="AB2509" s="4"/>
      <c r="AC2509" s="4"/>
      <c r="AD2509" s="4"/>
      <c r="AE2509" s="5"/>
      <c r="AF2509" s="5"/>
      <c r="AG2509" s="5"/>
      <c r="AH2509" s="5"/>
      <c r="AI2509" s="5"/>
      <c r="AJ2509" s="5"/>
      <c r="AK2509" s="5"/>
      <c r="AL2509" s="5"/>
    </row>
    <row r="2510">
      <c r="A2510" s="4" t="str">
        <f>VLOOKUP(L2510,payment_ids!C:D,2,FALSE)</f>
        <v>pay_HOy9zX4q0W2MPK</v>
      </c>
      <c r="B2510" s="4"/>
      <c r="C2510" s="4" t="s">
        <v>6320</v>
      </c>
      <c r="D2510" s="4">
        <v>50044.0</v>
      </c>
      <c r="E2510" s="5"/>
      <c r="F2510" s="4">
        <v>6.0</v>
      </c>
      <c r="G2510" s="4">
        <v>999.0</v>
      </c>
      <c r="H2510" s="4"/>
      <c r="I2510" s="4">
        <v>999.0</v>
      </c>
      <c r="J2510" s="4" t="s">
        <v>6365</v>
      </c>
      <c r="K2510" s="5">
        <f>+919999937769</f>
        <v>919999937769</v>
      </c>
      <c r="L2510" s="4" t="str">
        <f t="shared" si="1"/>
        <v>swatibhamboria@gmail.com919999937769</v>
      </c>
      <c r="M2510" s="10" t="s">
        <v>67</v>
      </c>
      <c r="N2510" s="4" t="b">
        <v>0</v>
      </c>
      <c r="O2510" s="4" t="str">
        <f>VLOOKUP(A2510,payment_ids!D:E,2,FALSE)</f>
        <v>upi</v>
      </c>
      <c r="P2510" s="4" t="s">
        <v>69</v>
      </c>
      <c r="Q2510" s="4" t="s">
        <v>6366</v>
      </c>
      <c r="R2510" s="4"/>
      <c r="S2510" s="12" t="s">
        <v>6322</v>
      </c>
      <c r="T2510" s="4" t="s">
        <v>2444</v>
      </c>
      <c r="U2510" s="4"/>
      <c r="V2510" s="4"/>
      <c r="W2510" s="5"/>
      <c r="X2510" s="4"/>
      <c r="Y2510" s="4"/>
      <c r="Z2510" s="5"/>
      <c r="AA2510" s="4"/>
      <c r="AB2510" s="4"/>
      <c r="AC2510" s="4"/>
      <c r="AD2510" s="4"/>
      <c r="AE2510" s="5"/>
      <c r="AF2510" s="5"/>
      <c r="AG2510" s="5"/>
      <c r="AH2510" s="5"/>
      <c r="AI2510" s="5"/>
      <c r="AJ2510" s="5"/>
      <c r="AK2510" s="5"/>
      <c r="AL2510" s="5"/>
    </row>
    <row r="2511">
      <c r="A2511" s="4" t="str">
        <f>VLOOKUP(L2511,payment_ids!C:D,2,FALSE)</f>
        <v>pay_H793PZb1rHsZCJ</v>
      </c>
      <c r="B2511" s="4"/>
      <c r="C2511" s="4" t="s">
        <v>6367</v>
      </c>
      <c r="D2511" s="4">
        <v>50043.0</v>
      </c>
      <c r="E2511" s="4"/>
      <c r="F2511" s="4">
        <v>6.0</v>
      </c>
      <c r="G2511" s="4">
        <v>349.0</v>
      </c>
      <c r="H2511" s="4"/>
      <c r="I2511" s="4">
        <v>349.0</v>
      </c>
      <c r="J2511" s="4" t="s">
        <v>6368</v>
      </c>
      <c r="K2511" s="6">
        <f>+918527412305</f>
        <v>918527412305</v>
      </c>
      <c r="L2511" s="4" t="str">
        <f t="shared" si="1"/>
        <v>mohita.rastogi@hotmail.com918527412305</v>
      </c>
      <c r="M2511" s="10" t="s">
        <v>67</v>
      </c>
      <c r="N2511" s="4" t="b">
        <v>0</v>
      </c>
      <c r="O2511" s="4" t="str">
        <f>VLOOKUP(A2511,payment_ids!D:E,2,FALSE)</f>
        <v>upi</v>
      </c>
      <c r="P2511" s="4" t="s">
        <v>69</v>
      </c>
      <c r="Q2511" s="11">
        <v>44321.83541666667</v>
      </c>
      <c r="R2511" s="4"/>
      <c r="S2511" s="12" t="s">
        <v>6369</v>
      </c>
      <c r="T2511" s="4"/>
      <c r="U2511" s="4"/>
      <c r="V2511" s="4"/>
      <c r="W2511" s="5"/>
      <c r="X2511" s="4"/>
      <c r="Y2511" s="4"/>
      <c r="Z2511" s="5"/>
      <c r="AA2511" s="4"/>
      <c r="AB2511" s="4"/>
      <c r="AC2511" s="4"/>
      <c r="AD2511" s="4"/>
      <c r="AE2511" s="5"/>
      <c r="AF2511" s="5"/>
      <c r="AG2511" s="5"/>
      <c r="AH2511" s="5"/>
      <c r="AI2511" s="5"/>
      <c r="AJ2511" s="5"/>
      <c r="AK2511" s="5"/>
      <c r="AL2511" s="5"/>
    </row>
    <row r="2512">
      <c r="A2512" s="4" t="str">
        <f>VLOOKUP(L2512,payment_ids!C:D,2,FALSE)</f>
        <v>pay_H7piNqXhswSy4V</v>
      </c>
      <c r="B2512" s="4"/>
      <c r="C2512" s="4" t="s">
        <v>6367</v>
      </c>
      <c r="D2512" s="4">
        <v>50043.0</v>
      </c>
      <c r="E2512" s="4"/>
      <c r="F2512" s="4">
        <v>3.0</v>
      </c>
      <c r="G2512" s="4">
        <v>199.0</v>
      </c>
      <c r="H2512" s="4"/>
      <c r="I2512" s="4">
        <v>199.0</v>
      </c>
      <c r="J2512" s="4" t="s">
        <v>6370</v>
      </c>
      <c r="K2512" s="6">
        <f>+919703710132</f>
        <v>919703710132</v>
      </c>
      <c r="L2512" s="4" t="str">
        <f t="shared" si="1"/>
        <v>puramsridharbabu@gmail.com919703710132</v>
      </c>
      <c r="M2512" s="10" t="s">
        <v>67</v>
      </c>
      <c r="N2512" s="4" t="b">
        <v>0</v>
      </c>
      <c r="O2512" s="4" t="str">
        <f>VLOOKUP(A2512,payment_ids!D:E,2,FALSE)</f>
        <v>upi</v>
      </c>
      <c r="P2512" s="4" t="s">
        <v>69</v>
      </c>
      <c r="Q2512" s="11">
        <v>44382.575694444444</v>
      </c>
      <c r="R2512" s="4"/>
      <c r="S2512" s="12" t="s">
        <v>6369</v>
      </c>
      <c r="T2512" s="4"/>
      <c r="U2512" s="4"/>
      <c r="V2512" s="4"/>
      <c r="W2512" s="5"/>
      <c r="X2512" s="4"/>
      <c r="Y2512" s="4"/>
      <c r="Z2512" s="5"/>
      <c r="AA2512" s="4"/>
      <c r="AB2512" s="4"/>
      <c r="AC2512" s="4"/>
      <c r="AD2512" s="4"/>
      <c r="AE2512" s="5"/>
      <c r="AF2512" s="5"/>
      <c r="AG2512" s="5"/>
      <c r="AH2512" s="5"/>
      <c r="AI2512" s="5"/>
      <c r="AJ2512" s="5"/>
      <c r="AK2512" s="5"/>
      <c r="AL2512" s="5"/>
    </row>
    <row r="2513">
      <c r="A2513" s="4" t="str">
        <f>VLOOKUP(L2513,payment_ids!C:D,2,FALSE)</f>
        <v>pay_H81sbs3ohgdyKe</v>
      </c>
      <c r="B2513" s="4"/>
      <c r="C2513" s="4" t="s">
        <v>6367</v>
      </c>
      <c r="D2513" s="4">
        <v>50043.0</v>
      </c>
      <c r="E2513" s="4"/>
      <c r="F2513" s="4">
        <v>3.0</v>
      </c>
      <c r="G2513" s="4">
        <v>199.0</v>
      </c>
      <c r="H2513" s="4"/>
      <c r="I2513" s="4">
        <v>199.0</v>
      </c>
      <c r="J2513" s="4" t="s">
        <v>2818</v>
      </c>
      <c r="K2513" s="6">
        <f>+919861041424</f>
        <v>919861041424</v>
      </c>
      <c r="L2513" s="4" t="str">
        <f t="shared" si="1"/>
        <v>adyaanuragdas@gmail.com919861041424</v>
      </c>
      <c r="M2513" s="10" t="s">
        <v>67</v>
      </c>
      <c r="N2513" s="4" t="b">
        <v>0</v>
      </c>
      <c r="O2513" s="4" t="str">
        <f>VLOOKUP(A2513,payment_ids!D:E,2,FALSE)</f>
        <v>upi</v>
      </c>
      <c r="P2513" s="4" t="s">
        <v>69</v>
      </c>
      <c r="Q2513" s="11">
        <v>44413.069444444445</v>
      </c>
      <c r="R2513" s="4"/>
      <c r="S2513" s="12" t="s">
        <v>6369</v>
      </c>
      <c r="T2513" s="4"/>
      <c r="U2513" s="4"/>
      <c r="V2513" s="4"/>
      <c r="W2513" s="5"/>
      <c r="X2513" s="4"/>
      <c r="Y2513" s="4"/>
      <c r="Z2513" s="5"/>
      <c r="AA2513" s="4"/>
      <c r="AB2513" s="4"/>
      <c r="AC2513" s="4"/>
      <c r="AD2513" s="4"/>
      <c r="AE2513" s="5"/>
      <c r="AF2513" s="5"/>
      <c r="AG2513" s="5"/>
      <c r="AH2513" s="5"/>
      <c r="AI2513" s="5"/>
      <c r="AJ2513" s="5"/>
      <c r="AK2513" s="5"/>
      <c r="AL2513" s="5"/>
    </row>
    <row r="2514">
      <c r="A2514" s="4" t="str">
        <f>VLOOKUP(L2514,payment_ids!C:D,2,FALSE)</f>
        <v>pay_H8gpu2z42QNfro</v>
      </c>
      <c r="B2514" s="4"/>
      <c r="C2514" s="4" t="s">
        <v>6367</v>
      </c>
      <c r="D2514" s="4">
        <v>50043.0</v>
      </c>
      <c r="E2514" s="4"/>
      <c r="F2514" s="4">
        <v>1.0</v>
      </c>
      <c r="G2514" s="4">
        <v>99.0</v>
      </c>
      <c r="H2514" s="4"/>
      <c r="I2514" s="4">
        <v>99.0</v>
      </c>
      <c r="J2514" s="4" t="s">
        <v>6371</v>
      </c>
      <c r="K2514" s="6">
        <f>+917972793242</f>
        <v>917972793242</v>
      </c>
      <c r="L2514" s="4" t="str">
        <f t="shared" si="1"/>
        <v>sanket.kondekar4@gmail.com917972793242</v>
      </c>
      <c r="M2514" s="10" t="s">
        <v>67</v>
      </c>
      <c r="N2514" s="4" t="b">
        <v>0</v>
      </c>
      <c r="O2514" s="4" t="str">
        <f>VLOOKUP(A2514,payment_ids!D:E,2,FALSE)</f>
        <v>upi</v>
      </c>
      <c r="P2514" s="4" t="s">
        <v>69</v>
      </c>
      <c r="Q2514" s="11">
        <v>44444.73888888889</v>
      </c>
      <c r="R2514" s="4"/>
      <c r="S2514" s="12" t="s">
        <v>6369</v>
      </c>
      <c r="T2514" s="4"/>
      <c r="U2514" s="4"/>
      <c r="V2514" s="4"/>
      <c r="W2514" s="5"/>
      <c r="X2514" s="4"/>
      <c r="Y2514" s="4"/>
      <c r="Z2514" s="5"/>
      <c r="AA2514" s="5"/>
      <c r="AB2514" s="4"/>
      <c r="AC2514" s="4"/>
      <c r="AD2514" s="4"/>
      <c r="AE2514" s="5"/>
      <c r="AF2514" s="5"/>
      <c r="AG2514" s="5"/>
      <c r="AH2514" s="5"/>
      <c r="AI2514" s="5"/>
      <c r="AJ2514" s="5"/>
      <c r="AK2514" s="5"/>
      <c r="AL2514" s="5"/>
    </row>
    <row r="2515">
      <c r="A2515" s="4" t="str">
        <f>VLOOKUP(L2515,payment_ids!C:D,2,FALSE)</f>
        <v>pay_H8bMfPfHI4wvKY</v>
      </c>
      <c r="B2515" s="4"/>
      <c r="C2515" s="4" t="s">
        <v>6367</v>
      </c>
      <c r="D2515" s="4">
        <v>50043.0</v>
      </c>
      <c r="E2515" s="4"/>
      <c r="F2515" s="4">
        <v>1.0</v>
      </c>
      <c r="G2515" s="4">
        <v>99.0</v>
      </c>
      <c r="H2515" s="4"/>
      <c r="I2515" s="4">
        <v>99.0</v>
      </c>
      <c r="J2515" s="4" t="s">
        <v>6372</v>
      </c>
      <c r="K2515" s="6">
        <f>+919912683968</f>
        <v>919912683968</v>
      </c>
      <c r="L2515" s="4" t="str">
        <f t="shared" si="1"/>
        <v>sateeshgovind@gmail.com919912683968</v>
      </c>
      <c r="M2515" s="10" t="s">
        <v>67</v>
      </c>
      <c r="N2515" s="4" t="b">
        <v>0</v>
      </c>
      <c r="O2515" s="4" t="str">
        <f>VLOOKUP(A2515,payment_ids!D:E,2,FALSE)</f>
        <v>upi</v>
      </c>
      <c r="P2515" s="4" t="s">
        <v>69</v>
      </c>
      <c r="Q2515" s="11">
        <v>44444.51597222222</v>
      </c>
      <c r="R2515" s="4"/>
      <c r="S2515" s="12" t="s">
        <v>6369</v>
      </c>
      <c r="T2515" s="4"/>
      <c r="U2515" s="4"/>
      <c r="V2515" s="4"/>
      <c r="W2515" s="5"/>
      <c r="X2515" s="4"/>
      <c r="Y2515" s="4"/>
      <c r="Z2515" s="5"/>
      <c r="AA2515" s="4"/>
      <c r="AB2515" s="4"/>
      <c r="AC2515" s="4"/>
      <c r="AD2515" s="4"/>
      <c r="AE2515" s="5"/>
      <c r="AF2515" s="5"/>
      <c r="AG2515" s="5"/>
      <c r="AH2515" s="5"/>
      <c r="AI2515" s="5"/>
      <c r="AJ2515" s="5"/>
      <c r="AK2515" s="5"/>
      <c r="AL2515" s="5"/>
    </row>
    <row r="2516">
      <c r="A2516" s="4" t="str">
        <f>VLOOKUP(L2516,payment_ids!C:D,2,FALSE)</f>
        <v>pay_HBK3S39UngdKcB</v>
      </c>
      <c r="B2516" s="4"/>
      <c r="C2516" s="4" t="s">
        <v>6367</v>
      </c>
      <c r="D2516" s="4">
        <v>50043.0</v>
      </c>
      <c r="E2516" s="4"/>
      <c r="F2516" s="4">
        <v>1.0</v>
      </c>
      <c r="G2516" s="4">
        <v>99.0</v>
      </c>
      <c r="H2516" s="4"/>
      <c r="I2516" s="4">
        <v>99.0</v>
      </c>
      <c r="J2516" s="4" t="s">
        <v>6373</v>
      </c>
      <c r="K2516" s="6">
        <f>+919818760906</f>
        <v>919818760906</v>
      </c>
      <c r="L2516" s="4" t="str">
        <f t="shared" si="1"/>
        <v>lamokbagga.92@gmail.com919818760906</v>
      </c>
      <c r="M2516" s="10" t="s">
        <v>67</v>
      </c>
      <c r="N2516" s="4" t="b">
        <v>0</v>
      </c>
      <c r="O2516" s="4" t="str">
        <f>VLOOKUP(A2516,payment_ids!D:E,2,FALSE)</f>
        <v>upi</v>
      </c>
      <c r="P2516" s="4" t="s">
        <v>69</v>
      </c>
      <c r="Q2516" s="4" t="s">
        <v>6374</v>
      </c>
      <c r="R2516" s="4"/>
      <c r="S2516" s="12" t="s">
        <v>6369</v>
      </c>
      <c r="T2516" s="4"/>
      <c r="U2516" s="4"/>
      <c r="V2516" s="4"/>
      <c r="W2516" s="5"/>
      <c r="X2516" s="4"/>
      <c r="Y2516" s="4"/>
      <c r="Z2516" s="5"/>
      <c r="AA2516" s="4"/>
      <c r="AB2516" s="4"/>
      <c r="AC2516" s="4"/>
      <c r="AD2516" s="4"/>
      <c r="AE2516" s="5"/>
      <c r="AF2516" s="5"/>
      <c r="AG2516" s="5"/>
      <c r="AH2516" s="5"/>
      <c r="AI2516" s="5"/>
      <c r="AJ2516" s="5"/>
      <c r="AK2516" s="5"/>
      <c r="AL2516" s="5"/>
    </row>
    <row r="2517">
      <c r="A2517" s="4" t="str">
        <f>VLOOKUP(L2517,payment_ids!C:D,2,FALSE)</f>
        <v>pay_HBYSMlGkJDsQ1y</v>
      </c>
      <c r="B2517" s="4"/>
      <c r="C2517" s="4" t="s">
        <v>6367</v>
      </c>
      <c r="D2517" s="4">
        <v>50043.0</v>
      </c>
      <c r="E2517" s="4"/>
      <c r="F2517" s="4">
        <v>1.0</v>
      </c>
      <c r="G2517" s="4">
        <v>99.0</v>
      </c>
      <c r="H2517" s="4"/>
      <c r="I2517" s="4">
        <v>99.0</v>
      </c>
      <c r="J2517" s="4" t="s">
        <v>6375</v>
      </c>
      <c r="K2517" s="6">
        <f>+918801850101</f>
        <v>918801850101</v>
      </c>
      <c r="L2517" s="4" t="str">
        <f t="shared" si="1"/>
        <v>sureshjv999@gmail.com918801850101</v>
      </c>
      <c r="M2517" s="10" t="s">
        <v>67</v>
      </c>
      <c r="N2517" s="4" t="b">
        <v>0</v>
      </c>
      <c r="O2517" s="4" t="str">
        <f>VLOOKUP(A2517,payment_ids!D:E,2,FALSE)</f>
        <v>wallet</v>
      </c>
      <c r="P2517" s="4" t="s">
        <v>69</v>
      </c>
      <c r="Q2517" s="4" t="s">
        <v>4801</v>
      </c>
      <c r="R2517" s="4"/>
      <c r="S2517" s="12" t="s">
        <v>6369</v>
      </c>
      <c r="T2517" s="4"/>
      <c r="U2517" s="4"/>
      <c r="V2517" s="4"/>
      <c r="W2517" s="5"/>
      <c r="X2517" s="4"/>
      <c r="Y2517" s="4"/>
      <c r="Z2517" s="5"/>
      <c r="AA2517" s="4"/>
      <c r="AB2517" s="4"/>
      <c r="AC2517" s="4"/>
      <c r="AD2517" s="4"/>
      <c r="AE2517" s="5"/>
      <c r="AF2517" s="5"/>
      <c r="AG2517" s="5"/>
      <c r="AH2517" s="5"/>
      <c r="AI2517" s="5"/>
      <c r="AJ2517" s="5"/>
      <c r="AK2517" s="5"/>
      <c r="AL2517" s="5"/>
    </row>
    <row r="2518">
      <c r="A2518" s="4" t="str">
        <f>VLOOKUP(L2518,payment_ids!C:D,2,FALSE)</f>
        <v>pay_HDgWMGHbLFvMKI</v>
      </c>
      <c r="B2518" s="4"/>
      <c r="C2518" s="4" t="s">
        <v>6367</v>
      </c>
      <c r="D2518" s="4">
        <v>50043.0</v>
      </c>
      <c r="E2518" s="4"/>
      <c r="F2518" s="4">
        <v>6.0</v>
      </c>
      <c r="G2518" s="4">
        <v>349.0</v>
      </c>
      <c r="H2518" s="4"/>
      <c r="I2518" s="4">
        <v>349.0</v>
      </c>
      <c r="J2518" s="4" t="s">
        <v>6376</v>
      </c>
      <c r="K2518" s="6">
        <f>+919829070084</f>
        <v>919829070084</v>
      </c>
      <c r="L2518" s="4" t="str">
        <f t="shared" si="1"/>
        <v>mayankjain1995@gmail.com919829070084</v>
      </c>
      <c r="M2518" s="10" t="s">
        <v>67</v>
      </c>
      <c r="N2518" s="4" t="b">
        <v>0</v>
      </c>
      <c r="O2518" s="4" t="str">
        <f>VLOOKUP(A2518,payment_ids!D:E,2,FALSE)</f>
        <v>upi</v>
      </c>
      <c r="P2518" s="4" t="s">
        <v>69</v>
      </c>
      <c r="Q2518" s="4" t="s">
        <v>6377</v>
      </c>
      <c r="R2518" s="4"/>
      <c r="S2518" s="12" t="s">
        <v>6369</v>
      </c>
      <c r="T2518" s="4"/>
      <c r="U2518" s="4"/>
      <c r="V2518" s="4"/>
      <c r="W2518" s="5"/>
      <c r="X2518" s="4"/>
      <c r="Y2518" s="4"/>
      <c r="Z2518" s="5"/>
      <c r="AA2518" s="4"/>
      <c r="AB2518" s="4"/>
      <c r="AC2518" s="4"/>
      <c r="AD2518" s="4"/>
      <c r="AE2518" s="5"/>
      <c r="AF2518" s="5"/>
      <c r="AG2518" s="5"/>
      <c r="AH2518" s="5"/>
      <c r="AI2518" s="5"/>
      <c r="AJ2518" s="5"/>
      <c r="AK2518" s="5"/>
      <c r="AL2518" s="5"/>
    </row>
    <row r="2519">
      <c r="A2519" s="4" t="str">
        <f>VLOOKUP(L2519,payment_ids!C:D,2,FALSE)</f>
        <v>pay_HDisbQSS5UMg2i</v>
      </c>
      <c r="B2519" s="4"/>
      <c r="C2519" s="4" t="s">
        <v>6367</v>
      </c>
      <c r="D2519" s="4">
        <v>50043.0</v>
      </c>
      <c r="E2519" s="4"/>
      <c r="F2519" s="4">
        <v>3.0</v>
      </c>
      <c r="G2519" s="4">
        <v>199.0</v>
      </c>
      <c r="H2519" s="4"/>
      <c r="I2519" s="4">
        <v>199.0</v>
      </c>
      <c r="J2519" s="4" t="s">
        <v>6378</v>
      </c>
      <c r="K2519" s="6">
        <f>+917387808003</f>
        <v>917387808003</v>
      </c>
      <c r="L2519" s="4" t="str">
        <f t="shared" si="1"/>
        <v>rahulyadav804@gmail.com917387808003</v>
      </c>
      <c r="M2519" s="10" t="s">
        <v>67</v>
      </c>
      <c r="N2519" s="4" t="b">
        <v>0</v>
      </c>
      <c r="O2519" s="4" t="str">
        <f>VLOOKUP(A2519,payment_ids!D:E,2,FALSE)</f>
        <v>upi</v>
      </c>
      <c r="P2519" s="4" t="s">
        <v>69</v>
      </c>
      <c r="Q2519" s="4" t="s">
        <v>6379</v>
      </c>
      <c r="R2519" s="4"/>
      <c r="S2519" s="12" t="s">
        <v>6369</v>
      </c>
      <c r="T2519" s="4"/>
      <c r="U2519" s="4"/>
      <c r="V2519" s="4"/>
      <c r="W2519" s="5"/>
      <c r="X2519" s="4"/>
      <c r="Y2519" s="4"/>
      <c r="Z2519" s="5"/>
      <c r="AA2519" s="4"/>
      <c r="AB2519" s="4"/>
      <c r="AC2519" s="4"/>
      <c r="AD2519" s="4"/>
      <c r="AE2519" s="5"/>
      <c r="AF2519" s="5"/>
      <c r="AG2519" s="5"/>
      <c r="AH2519" s="5"/>
      <c r="AI2519" s="5"/>
      <c r="AJ2519" s="5"/>
      <c r="AK2519" s="5"/>
      <c r="AL2519" s="5"/>
    </row>
    <row r="2520">
      <c r="A2520" s="4" t="str">
        <f>VLOOKUP(L2520,payment_ids!C:D,2,FALSE)</f>
        <v>pay_HDp7C6UuKt3cfQ</v>
      </c>
      <c r="B2520" s="4"/>
      <c r="C2520" s="4" t="s">
        <v>6367</v>
      </c>
      <c r="D2520" s="4">
        <v>50043.0</v>
      </c>
      <c r="E2520" s="4"/>
      <c r="F2520" s="4">
        <v>3.0</v>
      </c>
      <c r="G2520" s="4">
        <v>199.0</v>
      </c>
      <c r="H2520" s="4"/>
      <c r="I2520" s="4">
        <v>199.0</v>
      </c>
      <c r="J2520" s="4" t="s">
        <v>6380</v>
      </c>
      <c r="K2520" s="6">
        <f>+918308894321</f>
        <v>918308894321</v>
      </c>
      <c r="L2520" s="4" t="str">
        <f t="shared" si="1"/>
        <v>shubham_chintawar@yahoo.com918308894321</v>
      </c>
      <c r="M2520" s="10" t="s">
        <v>67</v>
      </c>
      <c r="N2520" s="4" t="b">
        <v>0</v>
      </c>
      <c r="O2520" s="4" t="str">
        <f>VLOOKUP(A2520,payment_ids!D:E,2,FALSE)</f>
        <v>upi</v>
      </c>
      <c r="P2520" s="4" t="s">
        <v>69</v>
      </c>
      <c r="Q2520" s="4" t="s">
        <v>6381</v>
      </c>
      <c r="R2520" s="4"/>
      <c r="S2520" s="12" t="s">
        <v>6369</v>
      </c>
      <c r="T2520" s="4"/>
      <c r="U2520" s="4"/>
      <c r="V2520" s="4"/>
      <c r="W2520" s="5"/>
      <c r="X2520" s="4"/>
      <c r="Y2520" s="4"/>
      <c r="Z2520" s="5"/>
      <c r="AA2520" s="4"/>
      <c r="AB2520" s="4"/>
      <c r="AC2520" s="4"/>
      <c r="AD2520" s="4"/>
      <c r="AE2520" s="5"/>
      <c r="AF2520" s="5"/>
      <c r="AG2520" s="5"/>
      <c r="AH2520" s="5"/>
      <c r="AI2520" s="5"/>
      <c r="AJ2520" s="5"/>
      <c r="AK2520" s="5"/>
      <c r="AL2520" s="5"/>
    </row>
    <row r="2521">
      <c r="A2521" s="4" t="str">
        <f>VLOOKUP(L2521,payment_ids!C:D,2,FALSE)</f>
        <v>pay_HDr5CERr3mS2bs</v>
      </c>
      <c r="B2521" s="4"/>
      <c r="C2521" s="4" t="s">
        <v>6367</v>
      </c>
      <c r="D2521" s="4">
        <v>50043.0</v>
      </c>
      <c r="E2521" s="4"/>
      <c r="F2521" s="4">
        <v>1.0</v>
      </c>
      <c r="G2521" s="4">
        <v>99.0</v>
      </c>
      <c r="H2521" s="4"/>
      <c r="I2521" s="4">
        <v>99.0</v>
      </c>
      <c r="J2521" s="4" t="s">
        <v>6382</v>
      </c>
      <c r="K2521" s="6">
        <f>+917875605357</f>
        <v>917875605357</v>
      </c>
      <c r="L2521" s="4" t="str">
        <f t="shared" si="1"/>
        <v>phadnisrohit.42@gmail.com917875605357</v>
      </c>
      <c r="M2521" s="10" t="s">
        <v>67</v>
      </c>
      <c r="N2521" s="4" t="b">
        <v>0</v>
      </c>
      <c r="O2521" s="4" t="str">
        <f>VLOOKUP(A2521,payment_ids!D:E,2,FALSE)</f>
        <v>upi</v>
      </c>
      <c r="P2521" s="4" t="s">
        <v>69</v>
      </c>
      <c r="Q2521" s="4" t="s">
        <v>6383</v>
      </c>
      <c r="R2521" s="4"/>
      <c r="S2521" s="12" t="s">
        <v>6369</v>
      </c>
      <c r="T2521" s="4"/>
      <c r="U2521" s="4"/>
      <c r="V2521" s="4"/>
      <c r="W2521" s="5"/>
      <c r="X2521" s="4"/>
      <c r="Y2521" s="4"/>
      <c r="Z2521" s="5"/>
      <c r="AA2521" s="4"/>
      <c r="AB2521" s="4"/>
      <c r="AC2521" s="4"/>
      <c r="AD2521" s="4"/>
      <c r="AE2521" s="5"/>
      <c r="AF2521" s="5"/>
      <c r="AG2521" s="5"/>
      <c r="AH2521" s="5"/>
      <c r="AI2521" s="5"/>
      <c r="AJ2521" s="5"/>
      <c r="AK2521" s="5"/>
      <c r="AL2521" s="5"/>
    </row>
    <row r="2522">
      <c r="A2522" s="4" t="str">
        <f>VLOOKUP(L2522,payment_ids!C:D,2,FALSE)</f>
        <v>pay_HEU7x1nWTYUo0p</v>
      </c>
      <c r="B2522" s="4"/>
      <c r="C2522" s="4" t="s">
        <v>6367</v>
      </c>
      <c r="D2522" s="4">
        <v>50043.0</v>
      </c>
      <c r="E2522" s="4"/>
      <c r="F2522" s="4">
        <v>1.0</v>
      </c>
      <c r="G2522" s="4">
        <v>99.0</v>
      </c>
      <c r="H2522" s="4"/>
      <c r="I2522" s="4">
        <v>99.0</v>
      </c>
      <c r="J2522" s="4" t="s">
        <v>6384</v>
      </c>
      <c r="K2522" s="6">
        <f>+918806501483</f>
        <v>918806501483</v>
      </c>
      <c r="L2522" s="4" t="str">
        <f t="shared" si="1"/>
        <v>narendra.walujkar20@ies.edu918806501483</v>
      </c>
      <c r="M2522" s="10" t="s">
        <v>67</v>
      </c>
      <c r="N2522" s="4" t="b">
        <v>0</v>
      </c>
      <c r="O2522" s="4" t="str">
        <f>VLOOKUP(A2522,payment_ids!D:E,2,FALSE)</f>
        <v>upi</v>
      </c>
      <c r="P2522" s="4" t="s">
        <v>69</v>
      </c>
      <c r="Q2522" s="4" t="s">
        <v>6385</v>
      </c>
      <c r="R2522" s="4"/>
      <c r="S2522" s="12" t="s">
        <v>6369</v>
      </c>
      <c r="T2522" s="4"/>
      <c r="U2522" s="4"/>
      <c r="V2522" s="4"/>
      <c r="W2522" s="5"/>
      <c r="X2522" s="4"/>
      <c r="Y2522" s="4"/>
      <c r="Z2522" s="5"/>
      <c r="AA2522" s="4"/>
      <c r="AB2522" s="4"/>
      <c r="AC2522" s="4"/>
      <c r="AD2522" s="4"/>
      <c r="AE2522" s="5"/>
      <c r="AF2522" s="5"/>
      <c r="AG2522" s="5"/>
      <c r="AH2522" s="5"/>
      <c r="AI2522" s="5"/>
      <c r="AJ2522" s="5"/>
      <c r="AK2522" s="5"/>
      <c r="AL2522" s="5"/>
    </row>
    <row r="2523">
      <c r="A2523" s="4" t="str">
        <f>VLOOKUP(L2523,payment_ids!C:D,2,FALSE)</f>
        <v>pay_HEr4rqXUMyUIbw</v>
      </c>
      <c r="B2523" s="4"/>
      <c r="C2523" s="4" t="s">
        <v>6367</v>
      </c>
      <c r="D2523" s="4">
        <v>50043.0</v>
      </c>
      <c r="E2523" s="4"/>
      <c r="F2523" s="4">
        <v>1.0</v>
      </c>
      <c r="G2523" s="4">
        <v>99.0</v>
      </c>
      <c r="H2523" s="4"/>
      <c r="I2523" s="4">
        <v>99.0</v>
      </c>
      <c r="J2523" s="4" t="s">
        <v>6386</v>
      </c>
      <c r="K2523" s="6">
        <f>+917972755143</f>
        <v>917972755143</v>
      </c>
      <c r="L2523" s="4" t="str">
        <f t="shared" si="1"/>
        <v>tejurdevade@gmail.com917972755143</v>
      </c>
      <c r="M2523" s="10" t="s">
        <v>67</v>
      </c>
      <c r="N2523" s="4" t="b">
        <v>0</v>
      </c>
      <c r="O2523" s="4" t="str">
        <f>VLOOKUP(A2523,payment_ids!D:E,2,FALSE)</f>
        <v>upi</v>
      </c>
      <c r="P2523" s="4" t="s">
        <v>69</v>
      </c>
      <c r="Q2523" s="4" t="s">
        <v>6387</v>
      </c>
      <c r="R2523" s="4"/>
      <c r="S2523" s="12" t="s">
        <v>6369</v>
      </c>
      <c r="T2523" s="4"/>
      <c r="U2523" s="4"/>
      <c r="V2523" s="4"/>
      <c r="W2523" s="5"/>
      <c r="X2523" s="4"/>
      <c r="Y2523" s="4"/>
      <c r="Z2523" s="5"/>
      <c r="AA2523" s="4"/>
      <c r="AB2523" s="4"/>
      <c r="AC2523" s="4"/>
      <c r="AD2523" s="4"/>
      <c r="AE2523" s="5"/>
      <c r="AF2523" s="5"/>
      <c r="AG2523" s="5"/>
      <c r="AH2523" s="5"/>
      <c r="AI2523" s="5"/>
      <c r="AJ2523" s="5"/>
      <c r="AK2523" s="5"/>
      <c r="AL2523" s="5"/>
    </row>
    <row r="2524">
      <c r="A2524" s="4" t="str">
        <f>VLOOKUP(L2524,payment_ids!C:D,2,FALSE)</f>
        <v>pay_HDo4cQ2VZegnwv</v>
      </c>
      <c r="B2524" s="4"/>
      <c r="C2524" s="4" t="s">
        <v>6367</v>
      </c>
      <c r="D2524" s="4">
        <v>50043.0</v>
      </c>
      <c r="E2524" s="4"/>
      <c r="F2524" s="4">
        <v>1.0</v>
      </c>
      <c r="G2524" s="4">
        <v>99.0</v>
      </c>
      <c r="H2524" s="4"/>
      <c r="I2524" s="4">
        <v>99.0</v>
      </c>
      <c r="J2524" s="4" t="s">
        <v>6388</v>
      </c>
      <c r="K2524" s="6">
        <f>+919739672482</f>
        <v>919739672482</v>
      </c>
      <c r="L2524" s="4" t="str">
        <f t="shared" si="1"/>
        <v>anusha.km1@gmail.com919739672482</v>
      </c>
      <c r="M2524" s="10" t="s">
        <v>67</v>
      </c>
      <c r="N2524" s="4" t="b">
        <v>0</v>
      </c>
      <c r="O2524" s="4" t="str">
        <f>VLOOKUP(A2524,payment_ids!D:E,2,FALSE)</f>
        <v>upi</v>
      </c>
      <c r="P2524" s="4" t="s">
        <v>69</v>
      </c>
      <c r="Q2524" s="4" t="s">
        <v>6389</v>
      </c>
      <c r="R2524" s="4"/>
      <c r="S2524" s="12" t="s">
        <v>6369</v>
      </c>
      <c r="T2524" s="4"/>
      <c r="U2524" s="4"/>
      <c r="V2524" s="4"/>
      <c r="W2524" s="5"/>
      <c r="X2524" s="4"/>
      <c r="Y2524" s="4"/>
      <c r="Z2524" s="5"/>
      <c r="AA2524" s="4"/>
      <c r="AB2524" s="4"/>
      <c r="AC2524" s="4"/>
      <c r="AD2524" s="4"/>
      <c r="AE2524" s="5"/>
      <c r="AF2524" s="5"/>
      <c r="AG2524" s="5"/>
      <c r="AH2524" s="5"/>
      <c r="AI2524" s="5"/>
      <c r="AJ2524" s="5"/>
      <c r="AK2524" s="5"/>
      <c r="AL2524" s="5"/>
    </row>
    <row r="2525">
      <c r="A2525" s="4" t="str">
        <f>VLOOKUP(L2525,payment_ids!C:D,2,FALSE)</f>
        <v>pay_HEzLABskxCyosX</v>
      </c>
      <c r="B2525" s="4"/>
      <c r="C2525" s="4" t="s">
        <v>6367</v>
      </c>
      <c r="D2525" s="4">
        <v>50043.0</v>
      </c>
      <c r="E2525" s="4"/>
      <c r="F2525" s="4">
        <v>6.0</v>
      </c>
      <c r="G2525" s="4">
        <v>349.0</v>
      </c>
      <c r="H2525" s="4"/>
      <c r="I2525" s="4">
        <v>349.0</v>
      </c>
      <c r="J2525" s="4" t="s">
        <v>6390</v>
      </c>
      <c r="K2525" s="6">
        <f>+919890588458</f>
        <v>919890588458</v>
      </c>
      <c r="L2525" s="4" t="str">
        <f t="shared" si="1"/>
        <v>aniketmendule81183@gmail.com919890588458</v>
      </c>
      <c r="M2525" s="10" t="s">
        <v>67</v>
      </c>
      <c r="N2525" s="4" t="b">
        <v>0</v>
      </c>
      <c r="O2525" s="4" t="str">
        <f>VLOOKUP(A2525,payment_ids!D:E,2,FALSE)</f>
        <v>card</v>
      </c>
      <c r="P2525" s="4" t="s">
        <v>69</v>
      </c>
      <c r="Q2525" s="4" t="s">
        <v>6391</v>
      </c>
      <c r="R2525" s="4"/>
      <c r="S2525" s="12" t="s">
        <v>6369</v>
      </c>
      <c r="T2525" s="4"/>
      <c r="U2525" s="4"/>
      <c r="V2525" s="4"/>
      <c r="W2525" s="5"/>
      <c r="X2525" s="4"/>
      <c r="Y2525" s="4"/>
      <c r="Z2525" s="5"/>
      <c r="AA2525" s="4"/>
      <c r="AB2525" s="4"/>
      <c r="AC2525" s="4"/>
      <c r="AD2525" s="4"/>
      <c r="AE2525" s="5"/>
      <c r="AF2525" s="5"/>
      <c r="AG2525" s="5"/>
      <c r="AH2525" s="5"/>
      <c r="AI2525" s="5"/>
      <c r="AJ2525" s="5"/>
      <c r="AK2525" s="5"/>
      <c r="AL2525" s="5"/>
    </row>
    <row r="2526">
      <c r="A2526" s="4" t="str">
        <f>VLOOKUP(L2526,payment_ids!C:D,2,FALSE)</f>
        <v>pay_HFGSniWOe1TO5F</v>
      </c>
      <c r="B2526" s="4"/>
      <c r="C2526" s="4" t="s">
        <v>6367</v>
      </c>
      <c r="D2526" s="4">
        <v>50043.0</v>
      </c>
      <c r="E2526" s="5"/>
      <c r="F2526" s="4">
        <v>6.0</v>
      </c>
      <c r="G2526" s="4">
        <v>349.0</v>
      </c>
      <c r="H2526" s="4"/>
      <c r="I2526" s="4">
        <v>349.0</v>
      </c>
      <c r="J2526" s="4" t="s">
        <v>6392</v>
      </c>
      <c r="K2526" s="5">
        <f>+918008371122</f>
        <v>918008371122</v>
      </c>
      <c r="L2526" s="4" t="str">
        <f t="shared" si="1"/>
        <v>maddiletireddy232@gmail.com918008371122</v>
      </c>
      <c r="M2526" s="10" t="s">
        <v>67</v>
      </c>
      <c r="N2526" s="4" t="b">
        <v>0</v>
      </c>
      <c r="O2526" s="4" t="str">
        <f>VLOOKUP(A2526,payment_ids!D:E,2,FALSE)</f>
        <v>upi</v>
      </c>
      <c r="P2526" s="4" t="s">
        <v>69</v>
      </c>
      <c r="Q2526" s="4" t="s">
        <v>6393</v>
      </c>
      <c r="R2526" s="4"/>
      <c r="S2526" s="12" t="s">
        <v>6369</v>
      </c>
      <c r="T2526" s="5"/>
      <c r="U2526" s="4"/>
      <c r="V2526" s="4"/>
      <c r="W2526" s="5"/>
      <c r="X2526" s="4"/>
      <c r="Y2526" s="4"/>
      <c r="Z2526" s="5"/>
      <c r="AA2526" s="4"/>
      <c r="AB2526" s="4"/>
      <c r="AC2526" s="4"/>
      <c r="AD2526" s="4"/>
      <c r="AE2526" s="5"/>
      <c r="AF2526" s="5"/>
      <c r="AG2526" s="5"/>
      <c r="AH2526" s="5"/>
      <c r="AI2526" s="5"/>
      <c r="AJ2526" s="5"/>
      <c r="AK2526" s="5"/>
      <c r="AL2526" s="5"/>
    </row>
    <row r="2527">
      <c r="A2527" s="4" t="str">
        <f>VLOOKUP(L2527,payment_ids!C:D,2,FALSE)</f>
        <v>pay_HFHqR1K4WfSW9O</v>
      </c>
      <c r="B2527" s="4"/>
      <c r="C2527" s="4" t="s">
        <v>6367</v>
      </c>
      <c r="D2527" s="4">
        <v>50043.0</v>
      </c>
      <c r="E2527" s="5"/>
      <c r="F2527" s="4">
        <v>1.0</v>
      </c>
      <c r="G2527" s="4">
        <v>99.0</v>
      </c>
      <c r="H2527" s="4"/>
      <c r="I2527" s="4">
        <v>99.0</v>
      </c>
      <c r="J2527" s="4" t="s">
        <v>6394</v>
      </c>
      <c r="K2527" s="5">
        <f>+918446580430</f>
        <v>918446580430</v>
      </c>
      <c r="L2527" s="4" t="str">
        <f t="shared" si="1"/>
        <v>shubhangirwasu@gmail.com918446580430</v>
      </c>
      <c r="M2527" s="10" t="s">
        <v>67</v>
      </c>
      <c r="N2527" s="4" t="b">
        <v>0</v>
      </c>
      <c r="O2527" s="4" t="str">
        <f>VLOOKUP(A2527,payment_ids!D:E,2,FALSE)</f>
        <v>upi</v>
      </c>
      <c r="P2527" s="4" t="s">
        <v>69</v>
      </c>
      <c r="Q2527" s="4" t="s">
        <v>6395</v>
      </c>
      <c r="R2527" s="4"/>
      <c r="S2527" s="12" t="s">
        <v>6369</v>
      </c>
      <c r="T2527" s="5"/>
      <c r="U2527" s="4"/>
      <c r="V2527" s="4"/>
      <c r="W2527" s="5"/>
      <c r="X2527" s="4"/>
      <c r="Y2527" s="4"/>
      <c r="Z2527" s="5"/>
      <c r="AA2527" s="4"/>
      <c r="AB2527" s="4"/>
      <c r="AC2527" s="4"/>
      <c r="AD2527" s="4"/>
      <c r="AE2527" s="5"/>
      <c r="AF2527" s="5"/>
      <c r="AG2527" s="5"/>
      <c r="AH2527" s="5"/>
      <c r="AI2527" s="5"/>
      <c r="AJ2527" s="5"/>
      <c r="AK2527" s="5"/>
      <c r="AL2527" s="5"/>
    </row>
    <row r="2528">
      <c r="A2528" s="4" t="str">
        <f>VLOOKUP(L2528,payment_ids!C:D,2,FALSE)</f>
        <v>pay_HFgPARZYh3RHlQ</v>
      </c>
      <c r="B2528" s="4"/>
      <c r="C2528" s="4" t="s">
        <v>6367</v>
      </c>
      <c r="D2528" s="4">
        <v>50043.0</v>
      </c>
      <c r="E2528" s="5"/>
      <c r="F2528" s="4">
        <v>1.0</v>
      </c>
      <c r="G2528" s="4">
        <v>99.0</v>
      </c>
      <c r="H2528" s="4"/>
      <c r="I2528" s="4">
        <v>99.0</v>
      </c>
      <c r="J2528" s="4" t="s">
        <v>6396</v>
      </c>
      <c r="K2528" s="5">
        <f>+919768689948</f>
        <v>919768689948</v>
      </c>
      <c r="L2528" s="4" t="str">
        <f t="shared" si="1"/>
        <v>shubhamlotus@gmail.com919768689948</v>
      </c>
      <c r="M2528" s="10" t="s">
        <v>67</v>
      </c>
      <c r="N2528" s="4" t="b">
        <v>0</v>
      </c>
      <c r="O2528" s="4" t="str">
        <f>VLOOKUP(A2528,payment_ids!D:E,2,FALSE)</f>
        <v>upi</v>
      </c>
      <c r="P2528" s="4" t="s">
        <v>69</v>
      </c>
      <c r="Q2528" s="4" t="s">
        <v>6397</v>
      </c>
      <c r="R2528" s="4"/>
      <c r="S2528" s="12" t="s">
        <v>6369</v>
      </c>
      <c r="T2528" s="5"/>
      <c r="U2528" s="4"/>
      <c r="V2528" s="4"/>
      <c r="W2528" s="5"/>
      <c r="X2528" s="4"/>
      <c r="Y2528" s="4"/>
      <c r="Z2528" s="5"/>
      <c r="AA2528" s="4"/>
      <c r="AB2528" s="4"/>
      <c r="AC2528" s="4"/>
      <c r="AD2528" s="4"/>
      <c r="AE2528" s="5"/>
      <c r="AF2528" s="5"/>
      <c r="AG2528" s="5"/>
      <c r="AH2528" s="5"/>
      <c r="AI2528" s="5"/>
      <c r="AJ2528" s="5"/>
      <c r="AK2528" s="5"/>
      <c r="AL2528" s="5"/>
    </row>
    <row r="2529">
      <c r="A2529" s="4" t="str">
        <f>VLOOKUP(L2529,payment_ids!C:D,2,FALSE)</f>
        <v>pay_HGZV7np8CNbm20</v>
      </c>
      <c r="B2529" s="4"/>
      <c r="C2529" s="4" t="s">
        <v>6367</v>
      </c>
      <c r="D2529" s="4">
        <v>50043.0</v>
      </c>
      <c r="E2529" s="5"/>
      <c r="F2529" s="4">
        <v>1.0</v>
      </c>
      <c r="G2529" s="4">
        <v>99.0</v>
      </c>
      <c r="H2529" s="4"/>
      <c r="I2529" s="4">
        <v>99.0</v>
      </c>
      <c r="J2529" s="4" t="s">
        <v>6398</v>
      </c>
      <c r="K2529" s="5">
        <f>+917349084282</f>
        <v>917349084282</v>
      </c>
      <c r="L2529" s="4" t="str">
        <f t="shared" si="1"/>
        <v>jyotisikder7@gmail.com917349084282</v>
      </c>
      <c r="M2529" s="10" t="s">
        <v>67</v>
      </c>
      <c r="N2529" s="4" t="b">
        <v>0</v>
      </c>
      <c r="O2529" s="4" t="str">
        <f>VLOOKUP(A2529,payment_ids!D:E,2,FALSE)</f>
        <v>upi</v>
      </c>
      <c r="P2529" s="4" t="s">
        <v>69</v>
      </c>
      <c r="Q2529" s="4" t="s">
        <v>3914</v>
      </c>
      <c r="R2529" s="4"/>
      <c r="S2529" s="12" t="s">
        <v>6369</v>
      </c>
      <c r="T2529" s="5"/>
      <c r="U2529" s="4"/>
      <c r="V2529" s="4"/>
      <c r="W2529" s="5"/>
      <c r="X2529" s="4"/>
      <c r="Y2529" s="4"/>
      <c r="Z2529" s="5"/>
      <c r="AA2529" s="4"/>
      <c r="AB2529" s="4"/>
      <c r="AC2529" s="4"/>
      <c r="AD2529" s="4"/>
      <c r="AE2529" s="5"/>
      <c r="AF2529" s="5"/>
      <c r="AG2529" s="5"/>
      <c r="AH2529" s="5"/>
      <c r="AI2529" s="5"/>
      <c r="AJ2529" s="5"/>
      <c r="AK2529" s="5"/>
      <c r="AL2529" s="5"/>
    </row>
    <row r="2530">
      <c r="A2530" s="4" t="str">
        <f>VLOOKUP(L2530,payment_ids!C:D,2,FALSE)</f>
        <v>pay_HGgEebOfbfzauC</v>
      </c>
      <c r="B2530" s="4"/>
      <c r="C2530" s="4" t="s">
        <v>6367</v>
      </c>
      <c r="D2530" s="4">
        <v>50043.0</v>
      </c>
      <c r="E2530" s="5"/>
      <c r="F2530" s="4">
        <v>1.0</v>
      </c>
      <c r="G2530" s="4">
        <v>99.0</v>
      </c>
      <c r="H2530" s="4"/>
      <c r="I2530" s="4">
        <v>99.0</v>
      </c>
      <c r="J2530" s="4" t="s">
        <v>6399</v>
      </c>
      <c r="K2530" s="5">
        <f>+918951979402</f>
        <v>918951979402</v>
      </c>
      <c r="L2530" s="4" t="str">
        <f t="shared" si="1"/>
        <v>hmnrathore39@gmail.com918951979402</v>
      </c>
      <c r="M2530" s="10" t="s">
        <v>67</v>
      </c>
      <c r="N2530" s="4" t="b">
        <v>0</v>
      </c>
      <c r="O2530" s="4" t="str">
        <f>VLOOKUP(A2530,payment_ids!D:E,2,FALSE)</f>
        <v>card</v>
      </c>
      <c r="P2530" s="4" t="s">
        <v>69</v>
      </c>
      <c r="Q2530" s="4" t="s">
        <v>6400</v>
      </c>
      <c r="R2530" s="4"/>
      <c r="S2530" s="12" t="s">
        <v>6369</v>
      </c>
      <c r="T2530" s="5"/>
      <c r="U2530" s="4"/>
      <c r="V2530" s="4"/>
      <c r="W2530" s="5"/>
      <c r="X2530" s="4"/>
      <c r="Y2530" s="4"/>
      <c r="Z2530" s="5"/>
      <c r="AA2530" s="4"/>
      <c r="AB2530" s="4"/>
      <c r="AC2530" s="4"/>
      <c r="AD2530" s="4"/>
      <c r="AE2530" s="5"/>
      <c r="AF2530" s="5"/>
      <c r="AG2530" s="5"/>
      <c r="AH2530" s="5"/>
      <c r="AI2530" s="5"/>
      <c r="AJ2530" s="5"/>
      <c r="AK2530" s="5"/>
      <c r="AL2530" s="5"/>
    </row>
    <row r="2531">
      <c r="A2531" s="4" t="str">
        <f>VLOOKUP(L2531,payment_ids!C:D,2,FALSE)</f>
        <v>pay_HGqC1VAhyrFnfz</v>
      </c>
      <c r="B2531" s="4"/>
      <c r="C2531" s="4" t="s">
        <v>6367</v>
      </c>
      <c r="D2531" s="4">
        <v>50043.0</v>
      </c>
      <c r="E2531" s="5"/>
      <c r="F2531" s="4">
        <v>1.0</v>
      </c>
      <c r="G2531" s="4">
        <v>99.0</v>
      </c>
      <c r="H2531" s="4"/>
      <c r="I2531" s="4">
        <v>99.0</v>
      </c>
      <c r="J2531" s="4" t="s">
        <v>6401</v>
      </c>
      <c r="K2531" s="5">
        <f>+918969584242</f>
        <v>918969584242</v>
      </c>
      <c r="L2531" s="4" t="str">
        <f t="shared" si="1"/>
        <v>bansaladitya2803@gmail.com918969584242</v>
      </c>
      <c r="M2531" s="10" t="s">
        <v>67</v>
      </c>
      <c r="N2531" s="4" t="b">
        <v>0</v>
      </c>
      <c r="O2531" s="4" t="str">
        <f>VLOOKUP(A2531,payment_ids!D:E,2,FALSE)</f>
        <v>upi</v>
      </c>
      <c r="P2531" s="4" t="s">
        <v>69</v>
      </c>
      <c r="Q2531" s="4" t="s">
        <v>6402</v>
      </c>
      <c r="R2531" s="4"/>
      <c r="S2531" s="12" t="s">
        <v>6369</v>
      </c>
      <c r="T2531" s="5"/>
      <c r="U2531" s="4"/>
      <c r="V2531" s="4"/>
      <c r="W2531" s="5"/>
      <c r="X2531" s="4"/>
      <c r="Y2531" s="4"/>
      <c r="Z2531" s="5"/>
      <c r="AA2531" s="4"/>
      <c r="AB2531" s="4"/>
      <c r="AC2531" s="4"/>
      <c r="AD2531" s="4"/>
      <c r="AE2531" s="5"/>
      <c r="AF2531" s="5"/>
      <c r="AG2531" s="5"/>
      <c r="AH2531" s="5"/>
      <c r="AI2531" s="5"/>
      <c r="AJ2531" s="5"/>
      <c r="AK2531" s="5"/>
      <c r="AL2531" s="5"/>
    </row>
    <row r="2532">
      <c r="A2532" s="4" t="str">
        <f>VLOOKUP(L2532,payment_ids!C:D,2,FALSE)</f>
        <v>pay_HGuEEv4SmklFoP</v>
      </c>
      <c r="B2532" s="4"/>
      <c r="C2532" s="4" t="s">
        <v>6367</v>
      </c>
      <c r="D2532" s="4">
        <v>50043.0</v>
      </c>
      <c r="E2532" s="5"/>
      <c r="F2532" s="4">
        <v>1.0</v>
      </c>
      <c r="G2532" s="4">
        <v>99.0</v>
      </c>
      <c r="H2532" s="4"/>
      <c r="I2532" s="4">
        <v>99.0</v>
      </c>
      <c r="J2532" s="4" t="s">
        <v>6403</v>
      </c>
      <c r="K2532" s="5">
        <f>+918078680424</f>
        <v>918078680424</v>
      </c>
      <c r="L2532" s="4" t="str">
        <f t="shared" si="1"/>
        <v>jsr_jeetandar@rediffmail.com918078680424</v>
      </c>
      <c r="M2532" s="10" t="s">
        <v>67</v>
      </c>
      <c r="N2532" s="4" t="b">
        <v>0</v>
      </c>
      <c r="O2532" s="4" t="str">
        <f>VLOOKUP(A2532,payment_ids!D:E,2,FALSE)</f>
        <v>upi</v>
      </c>
      <c r="P2532" s="4" t="s">
        <v>69</v>
      </c>
      <c r="Q2532" s="4" t="s">
        <v>2666</v>
      </c>
      <c r="R2532" s="4"/>
      <c r="S2532" s="12" t="s">
        <v>6369</v>
      </c>
      <c r="T2532" s="5"/>
      <c r="U2532" s="4"/>
      <c r="V2532" s="4"/>
      <c r="W2532" s="5"/>
      <c r="X2532" s="4"/>
      <c r="Y2532" s="4"/>
      <c r="Z2532" s="5"/>
      <c r="AA2532" s="4"/>
      <c r="AB2532" s="4"/>
      <c r="AC2532" s="4"/>
      <c r="AD2532" s="4"/>
      <c r="AE2532" s="5"/>
      <c r="AF2532" s="5"/>
      <c r="AG2532" s="5"/>
      <c r="AH2532" s="5"/>
      <c r="AI2532" s="5"/>
      <c r="AJ2532" s="5"/>
      <c r="AK2532" s="5"/>
      <c r="AL2532" s="5"/>
    </row>
    <row r="2533">
      <c r="A2533" s="4" t="str">
        <f>VLOOKUP(L2533,payment_ids!C:D,2,FALSE)</f>
        <v>pay_HH3ZbETNL4T6Ff</v>
      </c>
      <c r="B2533" s="4"/>
      <c r="C2533" s="4" t="s">
        <v>6367</v>
      </c>
      <c r="D2533" s="4">
        <v>50043.0</v>
      </c>
      <c r="E2533" s="5"/>
      <c r="F2533" s="4">
        <v>1.0</v>
      </c>
      <c r="G2533" s="4">
        <v>99.0</v>
      </c>
      <c r="H2533" s="4"/>
      <c r="I2533" s="4">
        <v>99.0</v>
      </c>
      <c r="J2533" s="4" t="s">
        <v>6404</v>
      </c>
      <c r="K2533" s="5">
        <f>+918290748519</f>
        <v>918290748519</v>
      </c>
      <c r="L2533" s="4" t="str">
        <f t="shared" si="1"/>
        <v>mithujain7sep@gmail.com918290748519</v>
      </c>
      <c r="M2533" s="10" t="s">
        <v>67</v>
      </c>
      <c r="N2533" s="4" t="b">
        <v>0</v>
      </c>
      <c r="O2533" s="4" t="str">
        <f>VLOOKUP(A2533,payment_ids!D:E,2,FALSE)</f>
        <v>upi</v>
      </c>
      <c r="P2533" s="4" t="s">
        <v>69</v>
      </c>
      <c r="Q2533" s="4" t="s">
        <v>6405</v>
      </c>
      <c r="R2533" s="4"/>
      <c r="S2533" s="12" t="s">
        <v>6369</v>
      </c>
      <c r="T2533" s="5"/>
      <c r="U2533" s="4"/>
      <c r="V2533" s="4"/>
      <c r="W2533" s="5"/>
      <c r="X2533" s="4"/>
      <c r="Y2533" s="4"/>
      <c r="Z2533" s="5"/>
      <c r="AA2533" s="4"/>
      <c r="AB2533" s="4"/>
      <c r="AC2533" s="4"/>
      <c r="AD2533" s="4"/>
      <c r="AE2533" s="5"/>
      <c r="AF2533" s="5"/>
      <c r="AG2533" s="5"/>
      <c r="AH2533" s="5"/>
      <c r="AI2533" s="5"/>
      <c r="AJ2533" s="5"/>
      <c r="AK2533" s="5"/>
      <c r="AL2533" s="5"/>
    </row>
    <row r="2534">
      <c r="A2534" s="4" t="str">
        <f>VLOOKUP(L2534,payment_ids!C:D,2,FALSE)</f>
        <v>pay_HHKM1iGoPuD6aS</v>
      </c>
      <c r="B2534" s="4"/>
      <c r="C2534" s="4" t="s">
        <v>6367</v>
      </c>
      <c r="D2534" s="4">
        <v>50043.0</v>
      </c>
      <c r="E2534" s="5"/>
      <c r="F2534" s="4">
        <v>1.0</v>
      </c>
      <c r="G2534" s="4">
        <v>99.0</v>
      </c>
      <c r="H2534" s="4"/>
      <c r="I2534" s="4">
        <v>99.0</v>
      </c>
      <c r="J2534" s="4" t="s">
        <v>6406</v>
      </c>
      <c r="K2534" s="5">
        <f>+919711046914</f>
        <v>919711046914</v>
      </c>
      <c r="L2534" s="4" t="str">
        <f t="shared" si="1"/>
        <v>deepakj917@gmail.com919711046914</v>
      </c>
      <c r="M2534" s="10" t="s">
        <v>67</v>
      </c>
      <c r="N2534" s="4" t="b">
        <v>0</v>
      </c>
      <c r="O2534" s="4" t="str">
        <f>VLOOKUP(A2534,payment_ids!D:E,2,FALSE)</f>
        <v>upi</v>
      </c>
      <c r="P2534" s="4" t="s">
        <v>69</v>
      </c>
      <c r="Q2534" s="4" t="s">
        <v>4408</v>
      </c>
      <c r="R2534" s="4"/>
      <c r="S2534" s="12" t="s">
        <v>6369</v>
      </c>
      <c r="T2534" s="5"/>
      <c r="U2534" s="4"/>
      <c r="V2534" s="4"/>
      <c r="W2534" s="5"/>
      <c r="X2534" s="4"/>
      <c r="Y2534" s="4"/>
      <c r="Z2534" s="5"/>
      <c r="AA2534" s="5"/>
      <c r="AB2534" s="4"/>
      <c r="AC2534" s="4"/>
      <c r="AD2534" s="4"/>
      <c r="AE2534" s="5"/>
      <c r="AF2534" s="5"/>
      <c r="AG2534" s="5"/>
      <c r="AH2534" s="5"/>
      <c r="AI2534" s="5"/>
      <c r="AJ2534" s="5"/>
      <c r="AK2534" s="5"/>
      <c r="AL2534" s="5"/>
    </row>
    <row r="2535">
      <c r="A2535" s="4" t="str">
        <f>VLOOKUP(L2535,payment_ids!C:D,2,FALSE)</f>
        <v>pay_HHKKvSWcyl9abG</v>
      </c>
      <c r="B2535" s="4"/>
      <c r="C2535" s="4" t="s">
        <v>6367</v>
      </c>
      <c r="D2535" s="4">
        <v>50043.0</v>
      </c>
      <c r="E2535" s="5"/>
      <c r="F2535" s="4">
        <v>3.0</v>
      </c>
      <c r="G2535" s="4">
        <v>199.0</v>
      </c>
      <c r="H2535" s="4"/>
      <c r="I2535" s="4">
        <v>199.0</v>
      </c>
      <c r="J2535" s="4" t="s">
        <v>6407</v>
      </c>
      <c r="K2535" s="5">
        <f>+919036315480</f>
        <v>919036315480</v>
      </c>
      <c r="L2535" s="4" t="str">
        <f t="shared" si="1"/>
        <v>chiranjeevi.injam@gmail.com919036315480</v>
      </c>
      <c r="M2535" s="10" t="s">
        <v>67</v>
      </c>
      <c r="N2535" s="4" t="b">
        <v>0</v>
      </c>
      <c r="O2535" s="4" t="str">
        <f>VLOOKUP(A2535,payment_ids!D:E,2,FALSE)</f>
        <v>upi</v>
      </c>
      <c r="P2535" s="4" t="s">
        <v>69</v>
      </c>
      <c r="Q2535" s="4" t="s">
        <v>4408</v>
      </c>
      <c r="R2535" s="4"/>
      <c r="S2535" s="12" t="s">
        <v>6369</v>
      </c>
      <c r="T2535" s="5"/>
      <c r="U2535" s="4"/>
      <c r="V2535" s="4"/>
      <c r="W2535" s="5"/>
      <c r="X2535" s="4"/>
      <c r="Y2535" s="4"/>
      <c r="Z2535" s="5"/>
      <c r="AA2535" s="4"/>
      <c r="AB2535" s="4"/>
      <c r="AC2535" s="4"/>
      <c r="AD2535" s="4"/>
      <c r="AE2535" s="5"/>
      <c r="AF2535" s="5"/>
      <c r="AG2535" s="5"/>
      <c r="AH2535" s="5"/>
      <c r="AI2535" s="5"/>
      <c r="AJ2535" s="5"/>
      <c r="AK2535" s="5"/>
      <c r="AL2535" s="5"/>
    </row>
    <row r="2536">
      <c r="A2536" s="4" t="str">
        <f>VLOOKUP(L2536,payment_ids!C:D,2,FALSE)</f>
        <v>pay_HHMKCdMYc5kfuc</v>
      </c>
      <c r="B2536" s="4"/>
      <c r="C2536" s="4" t="s">
        <v>6367</v>
      </c>
      <c r="D2536" s="4">
        <v>50043.0</v>
      </c>
      <c r="E2536" s="5"/>
      <c r="F2536" s="4">
        <v>6.0</v>
      </c>
      <c r="G2536" s="4">
        <v>349.0</v>
      </c>
      <c r="H2536" s="4"/>
      <c r="I2536" s="4">
        <v>349.0</v>
      </c>
      <c r="J2536" s="4" t="s">
        <v>6408</v>
      </c>
      <c r="K2536" s="5">
        <f>+919886319171</f>
        <v>919886319171</v>
      </c>
      <c r="L2536" s="4" t="str">
        <f t="shared" si="1"/>
        <v>sharath.thomas@outlook.com919886319171</v>
      </c>
      <c r="M2536" s="10" t="s">
        <v>67</v>
      </c>
      <c r="N2536" s="4" t="b">
        <v>0</v>
      </c>
      <c r="O2536" s="4" t="str">
        <f>VLOOKUP(A2536,payment_ids!D:E,2,FALSE)</f>
        <v>upi</v>
      </c>
      <c r="P2536" s="4" t="s">
        <v>69</v>
      </c>
      <c r="Q2536" s="4" t="s">
        <v>6409</v>
      </c>
      <c r="R2536" s="4"/>
      <c r="S2536" s="12" t="s">
        <v>6369</v>
      </c>
      <c r="T2536" s="5"/>
      <c r="U2536" s="4"/>
      <c r="V2536" s="4"/>
      <c r="W2536" s="5"/>
      <c r="X2536" s="4"/>
      <c r="Y2536" s="4"/>
      <c r="Z2536" s="5"/>
      <c r="AA2536" s="4"/>
      <c r="AB2536" s="4"/>
      <c r="AC2536" s="4"/>
      <c r="AD2536" s="4"/>
      <c r="AE2536" s="5"/>
      <c r="AF2536" s="5"/>
      <c r="AG2536" s="5"/>
      <c r="AH2536" s="5"/>
      <c r="AI2536" s="5"/>
      <c r="AJ2536" s="5"/>
      <c r="AK2536" s="5"/>
      <c r="AL2536" s="5"/>
    </row>
    <row r="2537">
      <c r="A2537" s="4" t="str">
        <f>VLOOKUP(L2537,payment_ids!C:D,2,FALSE)</f>
        <v>pay_HHO04sMuEwHB60</v>
      </c>
      <c r="B2537" s="4"/>
      <c r="C2537" s="4" t="s">
        <v>6367</v>
      </c>
      <c r="D2537" s="4">
        <v>50043.0</v>
      </c>
      <c r="E2537" s="5"/>
      <c r="F2537" s="4">
        <v>1.0</v>
      </c>
      <c r="G2537" s="4">
        <v>99.0</v>
      </c>
      <c r="H2537" s="4"/>
      <c r="I2537" s="4">
        <v>99.0</v>
      </c>
      <c r="J2537" s="4" t="s">
        <v>6410</v>
      </c>
      <c r="K2537" s="5">
        <f>+919347909536</f>
        <v>919347909536</v>
      </c>
      <c r="L2537" s="4" t="str">
        <f t="shared" si="1"/>
        <v>kusu.jaya@gmail.com919347909536</v>
      </c>
      <c r="M2537" s="10" t="s">
        <v>67</v>
      </c>
      <c r="N2537" s="4" t="b">
        <v>0</v>
      </c>
      <c r="O2537" s="4" t="str">
        <f>VLOOKUP(A2537,payment_ids!D:E,2,FALSE)</f>
        <v>wallet</v>
      </c>
      <c r="P2537" s="4" t="s">
        <v>69</v>
      </c>
      <c r="Q2537" s="4" t="s">
        <v>6350</v>
      </c>
      <c r="R2537" s="4"/>
      <c r="S2537" s="12" t="s">
        <v>6369</v>
      </c>
      <c r="T2537" s="5"/>
      <c r="U2537" s="4"/>
      <c r="V2537" s="4"/>
      <c r="W2537" s="5"/>
      <c r="X2537" s="4"/>
      <c r="Y2537" s="4"/>
      <c r="Z2537" s="5"/>
      <c r="AA2537" s="4"/>
      <c r="AB2537" s="4"/>
      <c r="AC2537" s="4"/>
      <c r="AD2537" s="4"/>
      <c r="AE2537" s="5"/>
      <c r="AF2537" s="5"/>
      <c r="AG2537" s="5"/>
      <c r="AH2537" s="5"/>
      <c r="AI2537" s="5"/>
      <c r="AJ2537" s="5"/>
      <c r="AK2537" s="5"/>
      <c r="AL2537" s="5"/>
    </row>
    <row r="2538">
      <c r="A2538" s="4" t="str">
        <f>VLOOKUP(L2538,payment_ids!C:D,2,FALSE)</f>
        <v>pay_HHP4YVKcnal14l</v>
      </c>
      <c r="B2538" s="4"/>
      <c r="C2538" s="4" t="s">
        <v>6367</v>
      </c>
      <c r="D2538" s="4">
        <v>50043.0</v>
      </c>
      <c r="E2538" s="5"/>
      <c r="F2538" s="4">
        <v>3.0</v>
      </c>
      <c r="G2538" s="4">
        <v>199.0</v>
      </c>
      <c r="H2538" s="4"/>
      <c r="I2538" s="4">
        <v>199.0</v>
      </c>
      <c r="J2538" s="4" t="s">
        <v>6411</v>
      </c>
      <c r="K2538" s="5">
        <f>+919890901405</f>
        <v>919890901405</v>
      </c>
      <c r="L2538" s="4" t="str">
        <f t="shared" si="1"/>
        <v>udhwanimohit@gmail.com919890901405</v>
      </c>
      <c r="M2538" s="10" t="s">
        <v>67</v>
      </c>
      <c r="N2538" s="4" t="b">
        <v>0</v>
      </c>
      <c r="O2538" s="4" t="str">
        <f>VLOOKUP(A2538,payment_ids!D:E,2,FALSE)</f>
        <v>upi</v>
      </c>
      <c r="P2538" s="4" t="s">
        <v>69</v>
      </c>
      <c r="Q2538" s="4" t="s">
        <v>6412</v>
      </c>
      <c r="R2538" s="4"/>
      <c r="S2538" s="12" t="s">
        <v>6369</v>
      </c>
      <c r="T2538" s="5"/>
      <c r="U2538" s="4"/>
      <c r="V2538" s="4"/>
      <c r="W2538" s="5"/>
      <c r="X2538" s="4"/>
      <c r="Y2538" s="4"/>
      <c r="Z2538" s="5"/>
      <c r="AA2538" s="4"/>
      <c r="AB2538" s="4"/>
      <c r="AC2538" s="4"/>
      <c r="AD2538" s="4"/>
      <c r="AE2538" s="5"/>
      <c r="AF2538" s="5"/>
      <c r="AG2538" s="5"/>
      <c r="AH2538" s="5"/>
      <c r="AI2538" s="5"/>
      <c r="AJ2538" s="5"/>
      <c r="AK2538" s="5"/>
      <c r="AL2538" s="5"/>
    </row>
    <row r="2539">
      <c r="A2539" s="4" t="str">
        <f>VLOOKUP(L2539,payment_ids!C:D,2,FALSE)</f>
        <v>pay_HHotgLP6aKfaJc</v>
      </c>
      <c r="B2539" s="4"/>
      <c r="C2539" s="4" t="s">
        <v>6367</v>
      </c>
      <c r="D2539" s="4">
        <v>50043.0</v>
      </c>
      <c r="E2539" s="5"/>
      <c r="F2539" s="4">
        <v>1.0</v>
      </c>
      <c r="G2539" s="4">
        <v>99.0</v>
      </c>
      <c r="H2539" s="4"/>
      <c r="I2539" s="4">
        <v>99.0</v>
      </c>
      <c r="J2539" s="4" t="s">
        <v>6413</v>
      </c>
      <c r="K2539" s="5">
        <f>+917397595985</f>
        <v>917397595985</v>
      </c>
      <c r="L2539" s="4" t="str">
        <f t="shared" si="1"/>
        <v>muzaina2000@gmail.com917397595985</v>
      </c>
      <c r="M2539" s="10" t="s">
        <v>67</v>
      </c>
      <c r="N2539" s="4" t="b">
        <v>0</v>
      </c>
      <c r="O2539" s="4" t="str">
        <f>VLOOKUP(A2539,payment_ids!D:E,2,FALSE)</f>
        <v>upi</v>
      </c>
      <c r="P2539" s="4" t="s">
        <v>69</v>
      </c>
      <c r="Q2539" s="11">
        <v>44202.825694444444</v>
      </c>
      <c r="R2539" s="4"/>
      <c r="S2539" s="12" t="s">
        <v>6369</v>
      </c>
      <c r="T2539" s="5"/>
      <c r="U2539" s="4"/>
      <c r="V2539" s="4"/>
      <c r="W2539" s="5"/>
      <c r="X2539" s="4"/>
      <c r="Y2539" s="4"/>
      <c r="Z2539" s="5"/>
      <c r="AA2539" s="4"/>
      <c r="AB2539" s="4"/>
      <c r="AC2539" s="4"/>
      <c r="AD2539" s="4"/>
      <c r="AE2539" s="5"/>
      <c r="AF2539" s="5"/>
      <c r="AG2539" s="5"/>
      <c r="AH2539" s="5"/>
      <c r="AI2539" s="5"/>
      <c r="AJ2539" s="5"/>
      <c r="AK2539" s="5"/>
      <c r="AL2539" s="5"/>
    </row>
    <row r="2540">
      <c r="A2540" s="4" t="str">
        <f>VLOOKUP(L2540,payment_ids!C:D,2,FALSE)</f>
        <v>pay_HHsgybmKi8fo3P</v>
      </c>
      <c r="B2540" s="4"/>
      <c r="C2540" s="4" t="s">
        <v>6367</v>
      </c>
      <c r="D2540" s="4">
        <v>50043.0</v>
      </c>
      <c r="E2540" s="5"/>
      <c r="F2540" s="4">
        <v>1.0</v>
      </c>
      <c r="G2540" s="4">
        <v>99.0</v>
      </c>
      <c r="H2540" s="4"/>
      <c r="I2540" s="4">
        <v>99.0</v>
      </c>
      <c r="J2540" s="4" t="s">
        <v>6414</v>
      </c>
      <c r="K2540" s="5">
        <f>+918082200440</f>
        <v>918082200440</v>
      </c>
      <c r="L2540" s="4" t="str">
        <f t="shared" si="1"/>
        <v>nevilbarai1993@gmail.com918082200440</v>
      </c>
      <c r="M2540" s="10" t="s">
        <v>67</v>
      </c>
      <c r="N2540" s="4" t="b">
        <v>0</v>
      </c>
      <c r="O2540" s="4" t="str">
        <f>VLOOKUP(A2540,payment_ids!D:E,2,FALSE)</f>
        <v>upi</v>
      </c>
      <c r="P2540" s="4" t="s">
        <v>69</v>
      </c>
      <c r="Q2540" s="11">
        <v>44202.96597222222</v>
      </c>
      <c r="R2540" s="4"/>
      <c r="S2540" s="12" t="s">
        <v>6369</v>
      </c>
      <c r="T2540" s="5"/>
      <c r="U2540" s="4"/>
      <c r="V2540" s="4"/>
      <c r="W2540" s="5"/>
      <c r="X2540" s="4"/>
      <c r="Y2540" s="4"/>
      <c r="Z2540" s="5"/>
      <c r="AA2540" s="4"/>
      <c r="AB2540" s="4"/>
      <c r="AC2540" s="4"/>
      <c r="AD2540" s="4"/>
      <c r="AE2540" s="5"/>
      <c r="AF2540" s="5"/>
      <c r="AG2540" s="5"/>
      <c r="AH2540" s="5"/>
      <c r="AI2540" s="5"/>
      <c r="AJ2540" s="5"/>
      <c r="AK2540" s="5"/>
      <c r="AL2540" s="5"/>
    </row>
    <row r="2541">
      <c r="A2541" s="4" t="str">
        <f>VLOOKUP(L2541,payment_ids!C:D,2,FALSE)</f>
        <v>pay_HHuDaOwh4msHpP</v>
      </c>
      <c r="B2541" s="4"/>
      <c r="C2541" s="4" t="s">
        <v>6367</v>
      </c>
      <c r="D2541" s="4">
        <v>50043.0</v>
      </c>
      <c r="E2541" s="5"/>
      <c r="F2541" s="4">
        <v>1.0</v>
      </c>
      <c r="G2541" s="4">
        <v>99.0</v>
      </c>
      <c r="H2541" s="4"/>
      <c r="I2541" s="4">
        <v>99.0</v>
      </c>
      <c r="J2541" s="4" t="s">
        <v>6415</v>
      </c>
      <c r="K2541" s="5">
        <f>+918328562118</f>
        <v>918328562118</v>
      </c>
      <c r="L2541" s="4" t="str">
        <f t="shared" si="1"/>
        <v>collabwithbsy@gmail.com918328562118</v>
      </c>
      <c r="M2541" s="10" t="s">
        <v>67</v>
      </c>
      <c r="N2541" s="4" t="b">
        <v>0</v>
      </c>
      <c r="O2541" s="4" t="str">
        <f>VLOOKUP(A2541,payment_ids!D:E,2,FALSE)</f>
        <v>upi</v>
      </c>
      <c r="P2541" s="4" t="s">
        <v>69</v>
      </c>
      <c r="Q2541" s="11">
        <v>44233.02847222222</v>
      </c>
      <c r="R2541" s="4"/>
      <c r="S2541" s="12" t="s">
        <v>6369</v>
      </c>
      <c r="T2541" s="5"/>
      <c r="U2541" s="4"/>
      <c r="V2541" s="4"/>
      <c r="W2541" s="5"/>
      <c r="X2541" s="4"/>
      <c r="Y2541" s="4"/>
      <c r="Z2541" s="5"/>
      <c r="AA2541" s="4"/>
      <c r="AB2541" s="4"/>
      <c r="AC2541" s="4"/>
      <c r="AD2541" s="4"/>
      <c r="AE2541" s="5"/>
      <c r="AF2541" s="5"/>
      <c r="AG2541" s="5"/>
      <c r="AH2541" s="5"/>
      <c r="AI2541" s="5"/>
      <c r="AJ2541" s="5"/>
      <c r="AK2541" s="5"/>
      <c r="AL2541" s="5"/>
    </row>
    <row r="2542">
      <c r="A2542" s="4" t="str">
        <f>VLOOKUP(L2542,payment_ids!C:D,2,FALSE)</f>
        <v>pay_HI1UQVFqQErTKz</v>
      </c>
      <c r="B2542" s="4"/>
      <c r="C2542" s="4" t="s">
        <v>6367</v>
      </c>
      <c r="D2542" s="4">
        <v>50043.0</v>
      </c>
      <c r="E2542" s="5"/>
      <c r="F2542" s="4">
        <v>1.0</v>
      </c>
      <c r="G2542" s="4">
        <v>99.0</v>
      </c>
      <c r="H2542" s="4"/>
      <c r="I2542" s="4">
        <v>99.0</v>
      </c>
      <c r="J2542" s="4" t="s">
        <v>6416</v>
      </c>
      <c r="K2542" s="5">
        <f>+918333070716</f>
        <v>918333070716</v>
      </c>
      <c r="L2542" s="4" t="str">
        <f t="shared" si="1"/>
        <v>dharsha96@gmail.com918333070716</v>
      </c>
      <c r="M2542" s="10" t="s">
        <v>67</v>
      </c>
      <c r="N2542" s="4" t="b">
        <v>0</v>
      </c>
      <c r="O2542" s="4" t="str">
        <f>VLOOKUP(A2542,payment_ids!D:E,2,FALSE)</f>
        <v>upi</v>
      </c>
      <c r="P2542" s="4" t="s">
        <v>69</v>
      </c>
      <c r="Q2542" s="11">
        <v>44233.325</v>
      </c>
      <c r="R2542" s="4"/>
      <c r="S2542" s="12" t="s">
        <v>6369</v>
      </c>
      <c r="T2542" s="5"/>
      <c r="U2542" s="4"/>
      <c r="V2542" s="4"/>
      <c r="W2542" s="5"/>
      <c r="X2542" s="4"/>
      <c r="Y2542" s="4"/>
      <c r="Z2542" s="5"/>
      <c r="AA2542" s="4"/>
      <c r="AB2542" s="4"/>
      <c r="AC2542" s="4"/>
      <c r="AD2542" s="4"/>
      <c r="AE2542" s="5"/>
      <c r="AF2542" s="5"/>
      <c r="AG2542" s="5"/>
      <c r="AH2542" s="5"/>
      <c r="AI2542" s="5"/>
      <c r="AJ2542" s="5"/>
      <c r="AK2542" s="5"/>
      <c r="AL2542" s="5"/>
    </row>
    <row r="2543">
      <c r="A2543" s="4" t="str">
        <f>VLOOKUP(L2543,payment_ids!C:D,2,FALSE)</f>
        <v>pay_HIVby9ewSOrd9A</v>
      </c>
      <c r="B2543" s="4"/>
      <c r="C2543" s="4" t="s">
        <v>6367</v>
      </c>
      <c r="D2543" s="4">
        <v>50043.0</v>
      </c>
      <c r="E2543" s="5"/>
      <c r="F2543" s="4">
        <v>6.0</v>
      </c>
      <c r="G2543" s="4">
        <v>349.0</v>
      </c>
      <c r="H2543" s="4"/>
      <c r="I2543" s="4">
        <v>349.0</v>
      </c>
      <c r="J2543" s="4" t="s">
        <v>6417</v>
      </c>
      <c r="K2543" s="5">
        <f>+919654210000</f>
        <v>919654210000</v>
      </c>
      <c r="L2543" s="4" t="str">
        <f t="shared" si="1"/>
        <v>shatrughan.dixit@gmail.com919654210000</v>
      </c>
      <c r="M2543" s="10" t="s">
        <v>67</v>
      </c>
      <c r="N2543" s="4" t="b">
        <v>0</v>
      </c>
      <c r="O2543" s="4" t="str">
        <f>VLOOKUP(A2543,payment_ids!D:E,2,FALSE)</f>
        <v>card</v>
      </c>
      <c r="P2543" s="4" t="s">
        <v>69</v>
      </c>
      <c r="Q2543" s="11">
        <v>44261.552083333336</v>
      </c>
      <c r="R2543" s="4"/>
      <c r="S2543" s="12" t="s">
        <v>6369</v>
      </c>
      <c r="T2543" s="5"/>
      <c r="U2543" s="4"/>
      <c r="V2543" s="4"/>
      <c r="W2543" s="5"/>
      <c r="X2543" s="4"/>
      <c r="Y2543" s="4"/>
      <c r="Z2543" s="5"/>
      <c r="AA2543" s="4"/>
      <c r="AB2543" s="4"/>
      <c r="AC2543" s="4"/>
      <c r="AD2543" s="4"/>
      <c r="AE2543" s="5"/>
      <c r="AF2543" s="5"/>
      <c r="AG2543" s="5"/>
      <c r="AH2543" s="5"/>
      <c r="AI2543" s="5"/>
      <c r="AJ2543" s="5"/>
      <c r="AK2543" s="5"/>
      <c r="AL2543" s="5"/>
    </row>
    <row r="2544">
      <c r="A2544" s="4" t="str">
        <f>VLOOKUP(L2544,payment_ids!C:D,2,FALSE)</f>
        <v>pay_HIYPwRgZbCm0Wd</v>
      </c>
      <c r="B2544" s="4"/>
      <c r="C2544" s="4" t="s">
        <v>6367</v>
      </c>
      <c r="D2544" s="4">
        <v>50043.0</v>
      </c>
      <c r="E2544" s="5"/>
      <c r="F2544" s="4">
        <v>1.0</v>
      </c>
      <c r="G2544" s="4">
        <v>99.0</v>
      </c>
      <c r="H2544" s="4"/>
      <c r="I2544" s="4">
        <v>99.0</v>
      </c>
      <c r="J2544" s="4" t="s">
        <v>6418</v>
      </c>
      <c r="K2544" s="5">
        <f>+919100221702</f>
        <v>919100221702</v>
      </c>
      <c r="L2544" s="4" t="str">
        <f t="shared" si="1"/>
        <v>bbindu732@gmail.com919100221702</v>
      </c>
      <c r="M2544" s="10" t="s">
        <v>67</v>
      </c>
      <c r="N2544" s="4" t="b">
        <v>0</v>
      </c>
      <c r="O2544" s="4" t="str">
        <f>VLOOKUP(A2544,payment_ids!D:E,2,FALSE)</f>
        <v>upi</v>
      </c>
      <c r="P2544" s="4" t="s">
        <v>69</v>
      </c>
      <c r="Q2544" s="11">
        <v>44261.666666666664</v>
      </c>
      <c r="R2544" s="4"/>
      <c r="S2544" s="12" t="s">
        <v>6369</v>
      </c>
      <c r="T2544" s="5"/>
      <c r="U2544" s="4"/>
      <c r="V2544" s="4"/>
      <c r="W2544" s="5"/>
      <c r="X2544" s="4"/>
      <c r="Y2544" s="4"/>
      <c r="Z2544" s="5"/>
      <c r="AA2544" s="4"/>
      <c r="AB2544" s="4"/>
      <c r="AC2544" s="4"/>
      <c r="AD2544" s="4"/>
      <c r="AE2544" s="5"/>
      <c r="AF2544" s="5"/>
      <c r="AG2544" s="5"/>
      <c r="AH2544" s="5"/>
      <c r="AI2544" s="5"/>
      <c r="AJ2544" s="5"/>
      <c r="AK2544" s="5"/>
      <c r="AL2544" s="5"/>
    </row>
    <row r="2545">
      <c r="A2545" s="4" t="str">
        <f>VLOOKUP(L2545,payment_ids!C:D,2,FALSE)</f>
        <v>pay_HIdFxH28NJoiF4</v>
      </c>
      <c r="B2545" s="4"/>
      <c r="C2545" s="4" t="s">
        <v>6367</v>
      </c>
      <c r="D2545" s="4">
        <v>50043.0</v>
      </c>
      <c r="E2545" s="5"/>
      <c r="F2545" s="4">
        <v>1.0</v>
      </c>
      <c r="G2545" s="4">
        <v>99.0</v>
      </c>
      <c r="H2545" s="4"/>
      <c r="I2545" s="4">
        <v>99.0</v>
      </c>
      <c r="J2545" s="4" t="s">
        <v>6419</v>
      </c>
      <c r="K2545" s="5">
        <f>+918097978668</f>
        <v>918097978668</v>
      </c>
      <c r="L2545" s="4" t="str">
        <f t="shared" si="1"/>
        <v>konkasaraswathi0@gmail.com918097978668</v>
      </c>
      <c r="M2545" s="10" t="s">
        <v>67</v>
      </c>
      <c r="N2545" s="4" t="b">
        <v>0</v>
      </c>
      <c r="O2545" s="4" t="str">
        <f>VLOOKUP(A2545,payment_ids!D:E,2,FALSE)</f>
        <v>upi</v>
      </c>
      <c r="P2545" s="4" t="s">
        <v>69</v>
      </c>
      <c r="Q2545" s="11">
        <v>44261.864583333336</v>
      </c>
      <c r="R2545" s="4"/>
      <c r="S2545" s="12" t="s">
        <v>6369</v>
      </c>
      <c r="T2545" s="5"/>
      <c r="U2545" s="4"/>
      <c r="V2545" s="4"/>
      <c r="W2545" s="5"/>
      <c r="X2545" s="4"/>
      <c r="Y2545" s="4"/>
      <c r="Z2545" s="5"/>
      <c r="AA2545" s="4"/>
      <c r="AB2545" s="4"/>
      <c r="AC2545" s="4"/>
      <c r="AD2545" s="4"/>
      <c r="AE2545" s="5"/>
      <c r="AF2545" s="5"/>
      <c r="AG2545" s="5"/>
      <c r="AH2545" s="5"/>
      <c r="AI2545" s="5"/>
      <c r="AJ2545" s="5"/>
      <c r="AK2545" s="5"/>
      <c r="AL2545" s="5"/>
    </row>
    <row r="2546">
      <c r="A2546" s="4" t="str">
        <f>VLOOKUP(L2546,payment_ids!C:D,2,FALSE)</f>
        <v>pay_HJik21zcZTpj1c</v>
      </c>
      <c r="B2546" s="4"/>
      <c r="C2546" s="4" t="s">
        <v>6367</v>
      </c>
      <c r="D2546" s="4">
        <v>50043.0</v>
      </c>
      <c r="E2546" s="5"/>
      <c r="F2546" s="4">
        <v>6.0</v>
      </c>
      <c r="G2546" s="4">
        <v>349.0</v>
      </c>
      <c r="H2546" s="4"/>
      <c r="I2546" s="4">
        <v>349.0</v>
      </c>
      <c r="J2546" s="4" t="s">
        <v>6420</v>
      </c>
      <c r="K2546" s="5">
        <f>+919443309229</f>
        <v>919443309229</v>
      </c>
      <c r="L2546" s="4" t="str">
        <f t="shared" si="1"/>
        <v>approachuday@hotmail.com919443309229</v>
      </c>
      <c r="M2546" s="10" t="s">
        <v>67</v>
      </c>
      <c r="N2546" s="4" t="b">
        <v>0</v>
      </c>
      <c r="O2546" s="4" t="str">
        <f>VLOOKUP(A2546,payment_ids!D:E,2,FALSE)</f>
        <v>card</v>
      </c>
      <c r="P2546" s="4" t="s">
        <v>69</v>
      </c>
      <c r="Q2546" s="11">
        <v>44353.614583333336</v>
      </c>
      <c r="R2546" s="4"/>
      <c r="S2546" s="12" t="s">
        <v>6369</v>
      </c>
      <c r="T2546" s="5"/>
      <c r="U2546" s="4"/>
      <c r="V2546" s="4"/>
      <c r="W2546" s="5"/>
      <c r="X2546" s="4"/>
      <c r="Y2546" s="4"/>
      <c r="Z2546" s="5"/>
      <c r="AA2546" s="4"/>
      <c r="AB2546" s="4"/>
      <c r="AC2546" s="4"/>
      <c r="AD2546" s="4"/>
      <c r="AE2546" s="5"/>
      <c r="AF2546" s="5"/>
      <c r="AG2546" s="5"/>
      <c r="AH2546" s="5"/>
      <c r="AI2546" s="5"/>
      <c r="AJ2546" s="5"/>
      <c r="AK2546" s="5"/>
      <c r="AL2546" s="5"/>
    </row>
    <row r="2547">
      <c r="A2547" s="4" t="str">
        <f>VLOOKUP(L2547,payment_ids!C:D,2,FALSE)</f>
        <v>pay_HJnY31iBWWz2ZI</v>
      </c>
      <c r="B2547" s="4"/>
      <c r="C2547" s="4" t="s">
        <v>6367</v>
      </c>
      <c r="D2547" s="4">
        <v>50043.0</v>
      </c>
      <c r="E2547" s="5"/>
      <c r="F2547" s="4">
        <v>1.0</v>
      </c>
      <c r="G2547" s="4">
        <v>99.0</v>
      </c>
      <c r="H2547" s="4"/>
      <c r="I2547" s="4">
        <v>99.0</v>
      </c>
      <c r="J2547" s="4" t="s">
        <v>6421</v>
      </c>
      <c r="K2547" s="5">
        <f>+919790961843</f>
        <v>919790961843</v>
      </c>
      <c r="L2547" s="4" t="str">
        <f t="shared" si="1"/>
        <v>nc3454@yahoo.co.in919790961843</v>
      </c>
      <c r="M2547" s="10" t="s">
        <v>67</v>
      </c>
      <c r="N2547" s="4" t="b">
        <v>0</v>
      </c>
      <c r="O2547" s="4" t="str">
        <f>VLOOKUP(A2547,payment_ids!D:E,2,FALSE)</f>
        <v>upi</v>
      </c>
      <c r="P2547" s="4" t="s">
        <v>69</v>
      </c>
      <c r="Q2547" s="11">
        <v>44353.81041666667</v>
      </c>
      <c r="R2547" s="4"/>
      <c r="S2547" s="12" t="s">
        <v>6369</v>
      </c>
      <c r="T2547" s="5"/>
      <c r="U2547" s="4"/>
      <c r="V2547" s="4"/>
      <c r="W2547" s="5"/>
      <c r="X2547" s="4"/>
      <c r="Y2547" s="4"/>
      <c r="Z2547" s="5"/>
      <c r="AA2547" s="4"/>
      <c r="AB2547" s="4"/>
      <c r="AC2547" s="4"/>
      <c r="AD2547" s="4"/>
      <c r="AE2547" s="5"/>
      <c r="AF2547" s="5"/>
      <c r="AG2547" s="5"/>
      <c r="AH2547" s="5"/>
      <c r="AI2547" s="5"/>
      <c r="AJ2547" s="5"/>
      <c r="AK2547" s="5"/>
      <c r="AL2547" s="5"/>
    </row>
    <row r="2548">
      <c r="A2548" s="4" t="str">
        <f>VLOOKUP(L2548,payment_ids!C:D,2,FALSE)</f>
        <v>pay_HJnnmzrW5aR7Ql</v>
      </c>
      <c r="B2548" s="4"/>
      <c r="C2548" s="4" t="s">
        <v>6367</v>
      </c>
      <c r="D2548" s="4">
        <v>50043.0</v>
      </c>
      <c r="E2548" s="5"/>
      <c r="F2548" s="4">
        <v>1.0</v>
      </c>
      <c r="G2548" s="4">
        <v>99.0</v>
      </c>
      <c r="H2548" s="4"/>
      <c r="I2548" s="4">
        <v>99.0</v>
      </c>
      <c r="J2548" s="4" t="s">
        <v>6422</v>
      </c>
      <c r="K2548" s="5">
        <f>+919811572056</f>
        <v>919811572056</v>
      </c>
      <c r="L2548" s="4" t="str">
        <f t="shared" si="1"/>
        <v>007shivamgaba@gmail.com919811572056</v>
      </c>
      <c r="M2548" s="10" t="s">
        <v>67</v>
      </c>
      <c r="N2548" s="4" t="b">
        <v>0</v>
      </c>
      <c r="O2548" s="4" t="str">
        <f>VLOOKUP(A2548,payment_ids!D:E,2,FALSE)</f>
        <v>upi</v>
      </c>
      <c r="P2548" s="4" t="s">
        <v>69</v>
      </c>
      <c r="Q2548" s="11">
        <v>44353.82152777778</v>
      </c>
      <c r="R2548" s="4"/>
      <c r="S2548" s="12" t="s">
        <v>6369</v>
      </c>
      <c r="T2548" s="5"/>
      <c r="U2548" s="4"/>
      <c r="V2548" s="4"/>
      <c r="W2548" s="5"/>
      <c r="X2548" s="4"/>
      <c r="Y2548" s="4"/>
      <c r="Z2548" s="5"/>
      <c r="AA2548" s="4"/>
      <c r="AB2548" s="4"/>
      <c r="AC2548" s="4"/>
      <c r="AD2548" s="4"/>
      <c r="AE2548" s="5"/>
      <c r="AF2548" s="5"/>
      <c r="AG2548" s="5"/>
      <c r="AH2548" s="5"/>
      <c r="AI2548" s="5"/>
      <c r="AJ2548" s="5"/>
      <c r="AK2548" s="5"/>
      <c r="AL2548" s="5"/>
    </row>
    <row r="2549">
      <c r="A2549" s="4" t="str">
        <f>VLOOKUP(L2549,payment_ids!C:D,2,FALSE)</f>
        <v>pay_HKsIKijxKCsMh4</v>
      </c>
      <c r="B2549" s="4"/>
      <c r="C2549" s="4" t="s">
        <v>6367</v>
      </c>
      <c r="D2549" s="4">
        <v>50043.0</v>
      </c>
      <c r="E2549" s="5"/>
      <c r="F2549" s="4">
        <v>3.0</v>
      </c>
      <c r="G2549" s="4">
        <v>199.0</v>
      </c>
      <c r="H2549" s="4"/>
      <c r="I2549" s="4">
        <v>199.0</v>
      </c>
      <c r="J2549" s="4" t="s">
        <v>6423</v>
      </c>
      <c r="K2549" s="5">
        <f>+917836868290</f>
        <v>917836868290</v>
      </c>
      <c r="L2549" s="4" t="str">
        <f t="shared" si="1"/>
        <v>chiragaggarwal98@gmail.com917836868290</v>
      </c>
      <c r="M2549" s="10" t="s">
        <v>67</v>
      </c>
      <c r="N2549" s="4" t="b">
        <v>0</v>
      </c>
      <c r="O2549" s="4" t="str">
        <f>VLOOKUP(A2549,payment_ids!D:E,2,FALSE)</f>
        <v>upi</v>
      </c>
      <c r="P2549" s="4" t="s">
        <v>69</v>
      </c>
      <c r="Q2549" s="11">
        <v>44445.53125</v>
      </c>
      <c r="R2549" s="4"/>
      <c r="S2549" s="12" t="s">
        <v>6369</v>
      </c>
      <c r="T2549" s="4" t="s">
        <v>2444</v>
      </c>
      <c r="U2549" s="4"/>
      <c r="V2549" s="4"/>
      <c r="W2549" s="5"/>
      <c r="X2549" s="4"/>
      <c r="Y2549" s="4"/>
      <c r="Z2549" s="5"/>
      <c r="AA2549" s="4"/>
      <c r="AB2549" s="4"/>
      <c r="AC2549" s="4"/>
      <c r="AD2549" s="4"/>
      <c r="AE2549" s="5"/>
      <c r="AF2549" s="5"/>
      <c r="AG2549" s="5"/>
      <c r="AH2549" s="5"/>
      <c r="AI2549" s="5"/>
      <c r="AJ2549" s="5"/>
      <c r="AK2549" s="5"/>
      <c r="AL2549" s="5"/>
    </row>
    <row r="2550">
      <c r="A2550" s="4" t="str">
        <f>VLOOKUP(L2550,payment_ids!C:D,2,FALSE)</f>
        <v>pay_HKwzgaBaa1dBHY</v>
      </c>
      <c r="B2550" s="4"/>
      <c r="C2550" s="4" t="s">
        <v>6367</v>
      </c>
      <c r="D2550" s="4">
        <v>50043.0</v>
      </c>
      <c r="E2550" s="5"/>
      <c r="F2550" s="4">
        <v>1.0</v>
      </c>
      <c r="G2550" s="4">
        <v>99.0</v>
      </c>
      <c r="H2550" s="4"/>
      <c r="I2550" s="4">
        <v>99.0</v>
      </c>
      <c r="J2550" s="4" t="s">
        <v>6424</v>
      </c>
      <c r="K2550" s="5">
        <f>+919789970712</f>
        <v>919789970712</v>
      </c>
      <c r="L2550" s="4" t="str">
        <f t="shared" si="1"/>
        <v>m.visdravid@gmail.com919789970712</v>
      </c>
      <c r="M2550" s="10" t="s">
        <v>67</v>
      </c>
      <c r="N2550" s="4" t="b">
        <v>0</v>
      </c>
      <c r="O2550" s="4" t="str">
        <f>VLOOKUP(A2550,payment_ids!D:E,2,FALSE)</f>
        <v>upi</v>
      </c>
      <c r="P2550" s="4" t="s">
        <v>69</v>
      </c>
      <c r="Q2550" s="11">
        <v>44445.722916666666</v>
      </c>
      <c r="R2550" s="4"/>
      <c r="S2550" s="12" t="s">
        <v>6369</v>
      </c>
      <c r="T2550" s="4" t="s">
        <v>2444</v>
      </c>
      <c r="U2550" s="4"/>
      <c r="V2550" s="4"/>
      <c r="W2550" s="5"/>
      <c r="X2550" s="4"/>
      <c r="Y2550" s="4"/>
      <c r="Z2550" s="5"/>
      <c r="AA2550" s="4"/>
      <c r="AB2550" s="4"/>
      <c r="AC2550" s="4"/>
      <c r="AD2550" s="4"/>
      <c r="AE2550" s="5"/>
      <c r="AF2550" s="5"/>
      <c r="AG2550" s="5"/>
      <c r="AH2550" s="5"/>
      <c r="AI2550" s="5"/>
      <c r="AJ2550" s="5"/>
      <c r="AK2550" s="5"/>
      <c r="AL2550" s="5"/>
    </row>
    <row r="2551">
      <c r="A2551" s="4" t="str">
        <f>VLOOKUP(L2551,payment_ids!C:D,2,FALSE)</f>
        <v>pay_HLH9XLiOpyXzbw</v>
      </c>
      <c r="B2551" s="4"/>
      <c r="C2551" s="4" t="s">
        <v>6367</v>
      </c>
      <c r="D2551" s="4">
        <v>50043.0</v>
      </c>
      <c r="E2551" s="5"/>
      <c r="F2551" s="4">
        <v>6.0</v>
      </c>
      <c r="G2551" s="4">
        <v>349.0</v>
      </c>
      <c r="H2551" s="4"/>
      <c r="I2551" s="4">
        <v>349.0</v>
      </c>
      <c r="J2551" s="4" t="s">
        <v>6425</v>
      </c>
      <c r="K2551" s="5">
        <f>+917013284115</f>
        <v>917013284115</v>
      </c>
      <c r="L2551" s="4" t="str">
        <f t="shared" si="1"/>
        <v>imransyed.ayaanss@gmail.com917013284115</v>
      </c>
      <c r="M2551" s="10" t="s">
        <v>67</v>
      </c>
      <c r="N2551" s="4" t="b">
        <v>0</v>
      </c>
      <c r="O2551" s="4" t="str">
        <f>VLOOKUP(A2551,payment_ids!D:E,2,FALSE)</f>
        <v>upi</v>
      </c>
      <c r="P2551" s="4" t="s">
        <v>69</v>
      </c>
      <c r="Q2551" s="11">
        <v>44475.544444444444</v>
      </c>
      <c r="R2551" s="4"/>
      <c r="S2551" s="12" t="s">
        <v>6369</v>
      </c>
      <c r="T2551" s="4" t="s">
        <v>2444</v>
      </c>
      <c r="U2551" s="4"/>
      <c r="V2551" s="4"/>
      <c r="W2551" s="5"/>
      <c r="X2551" s="4"/>
      <c r="Y2551" s="4"/>
      <c r="Z2551" s="5"/>
      <c r="AA2551" s="4"/>
      <c r="AB2551" s="4"/>
      <c r="AC2551" s="4"/>
      <c r="AD2551" s="4"/>
      <c r="AE2551" s="5"/>
      <c r="AF2551" s="5"/>
      <c r="AG2551" s="5"/>
      <c r="AH2551" s="5"/>
      <c r="AI2551" s="5"/>
      <c r="AJ2551" s="5"/>
      <c r="AK2551" s="5"/>
      <c r="AL2551" s="5"/>
    </row>
    <row r="2552">
      <c r="A2552" s="4" t="str">
        <f>VLOOKUP(L2552,payment_ids!C:D,2,FALSE)</f>
        <v>pay_HLbW3T7IkgPD3I</v>
      </c>
      <c r="B2552" s="4"/>
      <c r="C2552" s="4" t="s">
        <v>6367</v>
      </c>
      <c r="D2552" s="4">
        <v>50043.0</v>
      </c>
      <c r="E2552" s="5"/>
      <c r="F2552" s="4">
        <v>1.0</v>
      </c>
      <c r="G2552" s="4">
        <v>99.0</v>
      </c>
      <c r="H2552" s="4"/>
      <c r="I2552" s="4">
        <v>99.0</v>
      </c>
      <c r="J2552" s="4" t="s">
        <v>6426</v>
      </c>
      <c r="K2552" s="5">
        <f>+919539598598</f>
        <v>919539598598</v>
      </c>
      <c r="L2552" s="4" t="str">
        <f t="shared" si="1"/>
        <v>nidhisubash1312@gmail.com919539598598</v>
      </c>
      <c r="M2552" s="10" t="s">
        <v>67</v>
      </c>
      <c r="N2552" s="4" t="b">
        <v>0</v>
      </c>
      <c r="O2552" s="4" t="str">
        <f>VLOOKUP(A2552,payment_ids!D:E,2,FALSE)</f>
        <v>wallet</v>
      </c>
      <c r="P2552" s="4" t="s">
        <v>69</v>
      </c>
      <c r="Q2552" s="11">
        <v>44506.37430555555</v>
      </c>
      <c r="R2552" s="4"/>
      <c r="S2552" s="12" t="s">
        <v>6369</v>
      </c>
      <c r="T2552" s="4" t="s">
        <v>2444</v>
      </c>
      <c r="U2552" s="4"/>
      <c r="V2552" s="4"/>
      <c r="W2552" s="5"/>
      <c r="X2552" s="4"/>
      <c r="Y2552" s="4"/>
      <c r="Z2552" s="5"/>
      <c r="AA2552" s="4"/>
      <c r="AB2552" s="4"/>
      <c r="AC2552" s="4"/>
      <c r="AD2552" s="4"/>
      <c r="AE2552" s="5"/>
      <c r="AF2552" s="5"/>
      <c r="AG2552" s="5"/>
      <c r="AH2552" s="5"/>
      <c r="AI2552" s="5"/>
      <c r="AJ2552" s="5"/>
      <c r="AK2552" s="5"/>
      <c r="AL2552" s="5"/>
    </row>
    <row r="2553">
      <c r="A2553" s="4" t="str">
        <f>VLOOKUP(L2553,payment_ids!C:D,2,FALSE)</f>
        <v>pay_HLcculgm71uGOZ</v>
      </c>
      <c r="B2553" s="4"/>
      <c r="C2553" s="4" t="s">
        <v>6367</v>
      </c>
      <c r="D2553" s="4">
        <v>50043.0</v>
      </c>
      <c r="E2553" s="5"/>
      <c r="F2553" s="4">
        <v>1.0</v>
      </c>
      <c r="G2553" s="4">
        <v>99.0</v>
      </c>
      <c r="H2553" s="4"/>
      <c r="I2553" s="4">
        <v>99.0</v>
      </c>
      <c r="J2553" s="4" t="s">
        <v>6427</v>
      </c>
      <c r="K2553" s="5">
        <f>+917991120092</f>
        <v>917991120092</v>
      </c>
      <c r="L2553" s="4" t="str">
        <f t="shared" si="1"/>
        <v>susmitakundu255@gmail.com917991120092</v>
      </c>
      <c r="M2553" s="10" t="s">
        <v>67</v>
      </c>
      <c r="N2553" s="4" t="b">
        <v>0</v>
      </c>
      <c r="O2553" s="4" t="str">
        <f>VLOOKUP(A2553,payment_ids!D:E,2,FALSE)</f>
        <v>upi</v>
      </c>
      <c r="P2553" s="4" t="s">
        <v>69</v>
      </c>
      <c r="Q2553" s="11">
        <v>44506.419444444444</v>
      </c>
      <c r="R2553" s="4"/>
      <c r="S2553" s="12" t="s">
        <v>6369</v>
      </c>
      <c r="T2553" s="4" t="s">
        <v>2444</v>
      </c>
      <c r="U2553" s="4"/>
      <c r="V2553" s="4"/>
      <c r="W2553" s="5"/>
      <c r="X2553" s="4"/>
      <c r="Y2553" s="4"/>
      <c r="Z2553" s="5"/>
      <c r="AA2553" s="4"/>
      <c r="AB2553" s="4"/>
      <c r="AC2553" s="4"/>
      <c r="AD2553" s="4"/>
      <c r="AE2553" s="5"/>
      <c r="AF2553" s="5"/>
      <c r="AG2553" s="5"/>
      <c r="AH2553" s="5"/>
      <c r="AI2553" s="5"/>
      <c r="AJ2553" s="5"/>
      <c r="AK2553" s="5"/>
      <c r="AL2553" s="5"/>
    </row>
    <row r="2554">
      <c r="A2554" s="4" t="str">
        <f>VLOOKUP(L2554,payment_ids!C:D,2,FALSE)</f>
        <v>pay_H8gpu2z42QNfro</v>
      </c>
      <c r="B2554" s="4"/>
      <c r="C2554" s="4" t="s">
        <v>6367</v>
      </c>
      <c r="D2554" s="4">
        <v>50043.0</v>
      </c>
      <c r="E2554" s="5"/>
      <c r="F2554" s="4">
        <v>3.0</v>
      </c>
      <c r="G2554" s="4">
        <v>199.0</v>
      </c>
      <c r="H2554" s="4"/>
      <c r="I2554" s="4">
        <v>199.0</v>
      </c>
      <c r="J2554" s="4" t="s">
        <v>6371</v>
      </c>
      <c r="K2554" s="5">
        <f>+917972793242</f>
        <v>917972793242</v>
      </c>
      <c r="L2554" s="4" t="str">
        <f t="shared" si="1"/>
        <v>sanket.kondekar4@gmail.com917972793242</v>
      </c>
      <c r="M2554" s="10" t="s">
        <v>67</v>
      </c>
      <c r="N2554" s="4" t="b">
        <v>0</v>
      </c>
      <c r="O2554" s="4" t="str">
        <f>VLOOKUP(A2554,payment_ids!D:E,2,FALSE)</f>
        <v>upi</v>
      </c>
      <c r="P2554" s="4" t="s">
        <v>69</v>
      </c>
      <c r="Q2554" s="11">
        <v>44506.470138888886</v>
      </c>
      <c r="R2554" s="4"/>
      <c r="S2554" s="12" t="s">
        <v>6369</v>
      </c>
      <c r="T2554" s="4" t="s">
        <v>2444</v>
      </c>
      <c r="U2554" s="4"/>
      <c r="V2554" s="4"/>
      <c r="W2554" s="5"/>
      <c r="X2554" s="4"/>
      <c r="Y2554" s="4"/>
      <c r="Z2554" s="5"/>
      <c r="AA2554" s="4"/>
      <c r="AB2554" s="4"/>
      <c r="AC2554" s="4"/>
      <c r="AD2554" s="4"/>
      <c r="AE2554" s="5"/>
      <c r="AF2554" s="5"/>
      <c r="AG2554" s="5"/>
      <c r="AH2554" s="5"/>
      <c r="AI2554" s="5"/>
      <c r="AJ2554" s="5"/>
      <c r="AK2554" s="5"/>
      <c r="AL2554" s="5"/>
    </row>
    <row r="2555">
      <c r="A2555" s="4" t="str">
        <f>VLOOKUP(L2555,payment_ids!C:D,2,FALSE)</f>
        <v>pay_HLj6svWmJu512Z</v>
      </c>
      <c r="B2555" s="4"/>
      <c r="C2555" s="4" t="s">
        <v>6367</v>
      </c>
      <c r="D2555" s="4">
        <v>50043.0</v>
      </c>
      <c r="E2555" s="5"/>
      <c r="F2555" s="4">
        <v>3.0</v>
      </c>
      <c r="G2555" s="4">
        <v>199.0</v>
      </c>
      <c r="H2555" s="4"/>
      <c r="I2555" s="4">
        <v>199.0</v>
      </c>
      <c r="J2555" s="4" t="s">
        <v>6428</v>
      </c>
      <c r="K2555" s="5">
        <f>+918975580139</f>
        <v>918975580139</v>
      </c>
      <c r="L2555" s="4" t="str">
        <f t="shared" si="1"/>
        <v>adhipawar@gmail.com918975580139</v>
      </c>
      <c r="M2555" s="10" t="s">
        <v>67</v>
      </c>
      <c r="N2555" s="4" t="b">
        <v>0</v>
      </c>
      <c r="O2555" s="4" t="str">
        <f>VLOOKUP(A2555,payment_ids!D:E,2,FALSE)</f>
        <v>upi</v>
      </c>
      <c r="P2555" s="4" t="s">
        <v>69</v>
      </c>
      <c r="Q2555" s="11">
        <v>44506.68402777778</v>
      </c>
      <c r="R2555" s="4"/>
      <c r="S2555" s="12" t="s">
        <v>6369</v>
      </c>
      <c r="T2555" s="4" t="s">
        <v>2444</v>
      </c>
      <c r="U2555" s="4"/>
      <c r="V2555" s="4"/>
      <c r="W2555" s="5"/>
      <c r="X2555" s="4"/>
      <c r="Y2555" s="4"/>
      <c r="Z2555" s="5"/>
      <c r="AA2555" s="4"/>
      <c r="AB2555" s="4"/>
      <c r="AC2555" s="4"/>
      <c r="AD2555" s="4"/>
      <c r="AE2555" s="5"/>
      <c r="AF2555" s="5"/>
      <c r="AG2555" s="5"/>
      <c r="AH2555" s="5"/>
      <c r="AI2555" s="5"/>
      <c r="AJ2555" s="5"/>
      <c r="AK2555" s="5"/>
      <c r="AL2555" s="5"/>
    </row>
    <row r="2556">
      <c r="A2556" s="4" t="str">
        <f>VLOOKUP(L2556,payment_ids!C:D,2,FALSE)</f>
        <v>pay_HLlcyLjQRquHwP</v>
      </c>
      <c r="B2556" s="4"/>
      <c r="C2556" s="4" t="s">
        <v>6367</v>
      </c>
      <c r="D2556" s="4">
        <v>50043.0</v>
      </c>
      <c r="E2556" s="5"/>
      <c r="F2556" s="4">
        <v>1.0</v>
      </c>
      <c r="G2556" s="4">
        <v>99.0</v>
      </c>
      <c r="H2556" s="4"/>
      <c r="I2556" s="4">
        <v>99.0</v>
      </c>
      <c r="J2556" s="4" t="s">
        <v>6429</v>
      </c>
      <c r="K2556" s="5">
        <f>+918125325300</f>
        <v>918125325300</v>
      </c>
      <c r="L2556" s="4" t="str">
        <f t="shared" si="1"/>
        <v>hiteshlk@gmail.com918125325300</v>
      </c>
      <c r="M2556" s="10" t="s">
        <v>67</v>
      </c>
      <c r="N2556" s="4" t="b">
        <v>0</v>
      </c>
      <c r="O2556" s="4" t="str">
        <f>VLOOKUP(A2556,payment_ids!D:E,2,FALSE)</f>
        <v>card</v>
      </c>
      <c r="P2556" s="4" t="s">
        <v>69</v>
      </c>
      <c r="Q2556" s="11">
        <v>44506.78680555556</v>
      </c>
      <c r="R2556" s="4"/>
      <c r="S2556" s="12" t="s">
        <v>6369</v>
      </c>
      <c r="T2556" s="4" t="s">
        <v>2444</v>
      </c>
      <c r="U2556" s="4"/>
      <c r="V2556" s="4"/>
      <c r="W2556" s="5"/>
      <c r="X2556" s="4"/>
      <c r="Y2556" s="4"/>
      <c r="Z2556" s="5"/>
      <c r="AA2556" s="4"/>
      <c r="AB2556" s="4"/>
      <c r="AC2556" s="4"/>
      <c r="AD2556" s="4"/>
      <c r="AE2556" s="5"/>
      <c r="AF2556" s="5"/>
      <c r="AG2556" s="5"/>
      <c r="AH2556" s="5"/>
      <c r="AI2556" s="5"/>
      <c r="AJ2556" s="5"/>
      <c r="AK2556" s="5"/>
      <c r="AL2556" s="5"/>
    </row>
    <row r="2557">
      <c r="A2557" s="4" t="str">
        <f>VLOOKUP(L2557,payment_ids!C:D,2,FALSE)</f>
        <v>pay_HLnpvfTVbpITGW</v>
      </c>
      <c r="B2557" s="4"/>
      <c r="C2557" s="4" t="s">
        <v>6367</v>
      </c>
      <c r="D2557" s="4">
        <v>50043.0</v>
      </c>
      <c r="E2557" s="5"/>
      <c r="F2557" s="4">
        <v>1.0</v>
      </c>
      <c r="G2557" s="4">
        <v>99.0</v>
      </c>
      <c r="H2557" s="4"/>
      <c r="I2557" s="4">
        <v>99.0</v>
      </c>
      <c r="J2557" s="4" t="s">
        <v>6430</v>
      </c>
      <c r="K2557" s="5">
        <f>+918586066209</f>
        <v>918586066209</v>
      </c>
      <c r="L2557" s="4" t="str">
        <f t="shared" si="1"/>
        <v>aroradolly776@gmail.com918586066209</v>
      </c>
      <c r="M2557" s="10" t="s">
        <v>67</v>
      </c>
      <c r="N2557" s="4" t="b">
        <v>0</v>
      </c>
      <c r="O2557" s="4" t="str">
        <f>VLOOKUP(A2557,payment_ids!D:E,2,FALSE)</f>
        <v>upi</v>
      </c>
      <c r="P2557" s="4" t="s">
        <v>69</v>
      </c>
      <c r="Q2557" s="11">
        <v>44506.87708333333</v>
      </c>
      <c r="R2557" s="4"/>
      <c r="S2557" s="12" t="s">
        <v>6369</v>
      </c>
      <c r="T2557" s="4" t="s">
        <v>2444</v>
      </c>
      <c r="U2557" s="4"/>
      <c r="V2557" s="4"/>
      <c r="W2557" s="5"/>
      <c r="X2557" s="4"/>
      <c r="Y2557" s="4"/>
      <c r="Z2557" s="5"/>
      <c r="AA2557" s="4"/>
      <c r="AB2557" s="4"/>
      <c r="AC2557" s="4"/>
      <c r="AD2557" s="4"/>
      <c r="AE2557" s="5"/>
      <c r="AF2557" s="5"/>
      <c r="AG2557" s="5"/>
      <c r="AH2557" s="5"/>
      <c r="AI2557" s="5"/>
      <c r="AJ2557" s="5"/>
      <c r="AK2557" s="5"/>
      <c r="AL2557" s="5"/>
    </row>
    <row r="2558">
      <c r="A2558" s="4" t="str">
        <f>VLOOKUP(L2558,payment_ids!C:D,2,FALSE)</f>
        <v>pay_HLokRHs6b3BJ04</v>
      </c>
      <c r="B2558" s="4"/>
      <c r="C2558" s="4" t="s">
        <v>6367</v>
      </c>
      <c r="D2558" s="4">
        <v>50043.0</v>
      </c>
      <c r="E2558" s="5"/>
      <c r="F2558" s="4">
        <v>3.0</v>
      </c>
      <c r="G2558" s="4">
        <v>199.0</v>
      </c>
      <c r="H2558" s="4"/>
      <c r="I2558" s="4">
        <v>199.0</v>
      </c>
      <c r="J2558" s="4" t="s">
        <v>6431</v>
      </c>
      <c r="K2558" s="5">
        <f>+916370480629</f>
        <v>916370480629</v>
      </c>
      <c r="L2558" s="4" t="str">
        <f t="shared" si="1"/>
        <v>apoorwa12.official@gmail.com916370480629</v>
      </c>
      <c r="M2558" s="10" t="s">
        <v>67</v>
      </c>
      <c r="N2558" s="4" t="b">
        <v>0</v>
      </c>
      <c r="O2558" s="4" t="str">
        <f>VLOOKUP(A2558,payment_ids!D:E,2,FALSE)</f>
        <v>upi</v>
      </c>
      <c r="P2558" s="4" t="s">
        <v>69</v>
      </c>
      <c r="Q2558" s="11">
        <v>44506.913194444445</v>
      </c>
      <c r="R2558" s="4"/>
      <c r="S2558" s="12" t="s">
        <v>6369</v>
      </c>
      <c r="T2558" s="4" t="s">
        <v>2444</v>
      </c>
      <c r="U2558" s="4"/>
      <c r="V2558" s="4"/>
      <c r="W2558" s="5"/>
      <c r="X2558" s="4"/>
      <c r="Y2558" s="4"/>
      <c r="Z2558" s="5"/>
      <c r="AA2558" s="4"/>
      <c r="AB2558" s="4"/>
      <c r="AC2558" s="4"/>
      <c r="AD2558" s="4"/>
      <c r="AE2558" s="5"/>
      <c r="AF2558" s="5"/>
      <c r="AG2558" s="5"/>
      <c r="AH2558" s="5"/>
      <c r="AI2558" s="5"/>
      <c r="AJ2558" s="5"/>
      <c r="AK2558" s="5"/>
      <c r="AL2558" s="5"/>
    </row>
    <row r="2559">
      <c r="A2559" s="4" t="str">
        <f>VLOOKUP(L2559,payment_ids!C:D,2,FALSE)</f>
        <v>pay_HLv0UJ2bSQZjvH</v>
      </c>
      <c r="B2559" s="4"/>
      <c r="C2559" s="4" t="s">
        <v>6367</v>
      </c>
      <c r="D2559" s="4">
        <v>50043.0</v>
      </c>
      <c r="E2559" s="5"/>
      <c r="F2559" s="4">
        <v>1.0</v>
      </c>
      <c r="G2559" s="4">
        <v>99.0</v>
      </c>
      <c r="H2559" s="4"/>
      <c r="I2559" s="4">
        <v>99.0</v>
      </c>
      <c r="J2559" s="4" t="s">
        <v>6432</v>
      </c>
      <c r="K2559" s="5">
        <f>+919550943152</f>
        <v>919550943152</v>
      </c>
      <c r="L2559" s="4" t="str">
        <f t="shared" si="1"/>
        <v>harshbaldwa1@gmail.com919550943152</v>
      </c>
      <c r="M2559" s="10" t="s">
        <v>67</v>
      </c>
      <c r="N2559" s="4" t="b">
        <v>0</v>
      </c>
      <c r="O2559" s="4" t="str">
        <f>VLOOKUP(A2559,payment_ids!D:E,2,FALSE)</f>
        <v>upi</v>
      </c>
      <c r="P2559" s="4" t="s">
        <v>69</v>
      </c>
      <c r="Q2559" s="11">
        <v>44536.169444444444</v>
      </c>
      <c r="R2559" s="4"/>
      <c r="S2559" s="12" t="s">
        <v>6369</v>
      </c>
      <c r="T2559" s="4" t="s">
        <v>2444</v>
      </c>
      <c r="U2559" s="4"/>
      <c r="V2559" s="4"/>
      <c r="W2559" s="5"/>
      <c r="X2559" s="4"/>
      <c r="Y2559" s="4"/>
      <c r="Z2559" s="5"/>
      <c r="AA2559" s="4"/>
      <c r="AB2559" s="4"/>
      <c r="AC2559" s="4"/>
      <c r="AD2559" s="4"/>
      <c r="AE2559" s="5"/>
      <c r="AF2559" s="5"/>
      <c r="AG2559" s="5"/>
      <c r="AH2559" s="5"/>
      <c r="AI2559" s="5"/>
      <c r="AJ2559" s="5"/>
      <c r="AK2559" s="5"/>
      <c r="AL2559" s="5"/>
    </row>
    <row r="2560">
      <c r="A2560" s="4" t="str">
        <f>VLOOKUP(L2560,payment_ids!C:D,2,FALSE)</f>
        <v>pay_HM152vDss3GqXh</v>
      </c>
      <c r="B2560" s="4"/>
      <c r="C2560" s="4" t="s">
        <v>6367</v>
      </c>
      <c r="D2560" s="4">
        <v>50043.0</v>
      </c>
      <c r="E2560" s="5"/>
      <c r="F2560" s="4">
        <v>1.0</v>
      </c>
      <c r="G2560" s="4">
        <v>99.0</v>
      </c>
      <c r="H2560" s="4"/>
      <c r="I2560" s="4">
        <v>99.0</v>
      </c>
      <c r="J2560" s="4" t="s">
        <v>6433</v>
      </c>
      <c r="K2560" s="5">
        <f>+919502485697</f>
        <v>919502485697</v>
      </c>
      <c r="L2560" s="4" t="str">
        <f t="shared" si="1"/>
        <v>nagashourie@gmail.com919502485697</v>
      </c>
      <c r="M2560" s="10" t="s">
        <v>67</v>
      </c>
      <c r="N2560" s="4" t="b">
        <v>0</v>
      </c>
      <c r="O2560" s="4" t="str">
        <f>VLOOKUP(A2560,payment_ids!D:E,2,FALSE)</f>
        <v>upi</v>
      </c>
      <c r="P2560" s="4" t="s">
        <v>69</v>
      </c>
      <c r="Q2560" s="11">
        <v>44536.416666666664</v>
      </c>
      <c r="R2560" s="4"/>
      <c r="S2560" s="12" t="s">
        <v>6369</v>
      </c>
      <c r="T2560" s="4" t="s">
        <v>2444</v>
      </c>
      <c r="U2560" s="4"/>
      <c r="V2560" s="4"/>
      <c r="W2560" s="5"/>
      <c r="X2560" s="4"/>
      <c r="Y2560" s="4"/>
      <c r="Z2560" s="5"/>
      <c r="AA2560" s="4"/>
      <c r="AB2560" s="4"/>
      <c r="AC2560" s="4"/>
      <c r="AD2560" s="4"/>
      <c r="AE2560" s="5"/>
      <c r="AF2560" s="5"/>
      <c r="AG2560" s="5"/>
      <c r="AH2560" s="5"/>
      <c r="AI2560" s="5"/>
      <c r="AJ2560" s="5"/>
      <c r="AK2560" s="5"/>
      <c r="AL2560" s="5"/>
    </row>
    <row r="2561">
      <c r="A2561" s="4" t="str">
        <f>VLOOKUP(L2561,payment_ids!C:D,2,FALSE)</f>
        <v>pay_HM26vqqU2auyQF</v>
      </c>
      <c r="B2561" s="4"/>
      <c r="C2561" s="4" t="s">
        <v>6367</v>
      </c>
      <c r="D2561" s="4">
        <v>50043.0</v>
      </c>
      <c r="E2561" s="5"/>
      <c r="F2561" s="4">
        <v>1.0</v>
      </c>
      <c r="G2561" s="4">
        <v>99.0</v>
      </c>
      <c r="H2561" s="4"/>
      <c r="I2561" s="4">
        <v>99.0</v>
      </c>
      <c r="J2561" s="4" t="s">
        <v>6434</v>
      </c>
      <c r="K2561" s="5">
        <f>+918884733798</f>
        <v>918884733798</v>
      </c>
      <c r="L2561" s="4" t="str">
        <f t="shared" si="1"/>
        <v>ankit.abhinav24@gmail.com918884733798</v>
      </c>
      <c r="M2561" s="10" t="s">
        <v>67</v>
      </c>
      <c r="N2561" s="4" t="b">
        <v>0</v>
      </c>
      <c r="O2561" s="4" t="str">
        <f>VLOOKUP(A2561,payment_ids!D:E,2,FALSE)</f>
        <v>netbanking</v>
      </c>
      <c r="P2561" s="4" t="s">
        <v>69</v>
      </c>
      <c r="Q2561" s="11">
        <v>44536.458333333336</v>
      </c>
      <c r="R2561" s="4"/>
      <c r="S2561" s="12" t="s">
        <v>6369</v>
      </c>
      <c r="T2561" s="4" t="s">
        <v>2444</v>
      </c>
      <c r="U2561" s="4"/>
      <c r="V2561" s="4"/>
      <c r="W2561" s="5"/>
      <c r="X2561" s="4"/>
      <c r="Y2561" s="4"/>
      <c r="Z2561" s="5"/>
      <c r="AA2561" s="4"/>
      <c r="AB2561" s="4"/>
      <c r="AC2561" s="4"/>
      <c r="AD2561" s="4"/>
      <c r="AE2561" s="5"/>
      <c r="AF2561" s="5"/>
      <c r="AG2561" s="5"/>
      <c r="AH2561" s="5"/>
      <c r="AI2561" s="5"/>
      <c r="AJ2561" s="5"/>
      <c r="AK2561" s="5"/>
      <c r="AL2561" s="5"/>
    </row>
    <row r="2562">
      <c r="A2562" s="4" t="str">
        <f>VLOOKUP(L2562,payment_ids!C:D,2,FALSE)</f>
        <v>pay_HMDT7ctFL7AhCW</v>
      </c>
      <c r="B2562" s="4"/>
      <c r="C2562" s="4" t="s">
        <v>6367</v>
      </c>
      <c r="D2562" s="4">
        <v>50043.0</v>
      </c>
      <c r="E2562" s="5"/>
      <c r="F2562" s="4">
        <v>1.0</v>
      </c>
      <c r="G2562" s="4">
        <v>99.0</v>
      </c>
      <c r="H2562" s="4"/>
      <c r="I2562" s="4">
        <v>99.0</v>
      </c>
      <c r="J2562" s="4" t="s">
        <v>6435</v>
      </c>
      <c r="K2562" s="5">
        <f>+919650566904</f>
        <v>919650566904</v>
      </c>
      <c r="L2562" s="4" t="str">
        <f t="shared" si="1"/>
        <v>arorapranay650@gmail.com919650566904</v>
      </c>
      <c r="M2562" s="10" t="s">
        <v>67</v>
      </c>
      <c r="N2562" s="4" t="b">
        <v>0</v>
      </c>
      <c r="O2562" s="4" t="str">
        <f>VLOOKUP(A2562,payment_ids!D:E,2,FALSE)</f>
        <v>upi</v>
      </c>
      <c r="P2562" s="4" t="s">
        <v>69</v>
      </c>
      <c r="Q2562" s="11">
        <v>44536.92152777778</v>
      </c>
      <c r="R2562" s="4"/>
      <c r="S2562" s="12" t="s">
        <v>6369</v>
      </c>
      <c r="T2562" s="4" t="s">
        <v>2444</v>
      </c>
      <c r="U2562" s="4"/>
      <c r="V2562" s="4"/>
      <c r="W2562" s="5"/>
      <c r="X2562" s="4"/>
      <c r="Y2562" s="4"/>
      <c r="Z2562" s="5"/>
      <c r="AA2562" s="4"/>
      <c r="AB2562" s="4"/>
      <c r="AC2562" s="4"/>
      <c r="AD2562" s="4"/>
      <c r="AE2562" s="5"/>
      <c r="AF2562" s="5"/>
      <c r="AG2562" s="5"/>
      <c r="AH2562" s="5"/>
      <c r="AI2562" s="5"/>
      <c r="AJ2562" s="5"/>
      <c r="AK2562" s="5"/>
      <c r="AL2562" s="5"/>
    </row>
    <row r="2563">
      <c r="A2563" s="4" t="str">
        <f>VLOOKUP(L2563,payment_ids!C:D,2,FALSE)</f>
        <v>pay_HMOGYGomVNDspc</v>
      </c>
      <c r="B2563" s="4"/>
      <c r="C2563" s="4" t="s">
        <v>6367</v>
      </c>
      <c r="D2563" s="4">
        <v>50043.0</v>
      </c>
      <c r="E2563" s="5"/>
      <c r="F2563" s="4">
        <v>3.0</v>
      </c>
      <c r="G2563" s="4">
        <v>199.0</v>
      </c>
      <c r="H2563" s="4"/>
      <c r="I2563" s="4">
        <v>199.0</v>
      </c>
      <c r="J2563" s="4" t="s">
        <v>6436</v>
      </c>
      <c r="K2563" s="5">
        <f>+919866042682</f>
        <v>919866042682</v>
      </c>
      <c r="L2563" s="4" t="str">
        <f t="shared" si="1"/>
        <v>sudheerkumar.gss@gmail.com919866042682</v>
      </c>
      <c r="M2563" s="10" t="s">
        <v>67</v>
      </c>
      <c r="N2563" s="4" t="b">
        <v>0</v>
      </c>
      <c r="O2563" s="4" t="str">
        <f>VLOOKUP(A2563,payment_ids!D:E,2,FALSE)</f>
        <v>wallet</v>
      </c>
      <c r="P2563" s="4" t="s">
        <v>69</v>
      </c>
      <c r="Q2563" s="4" t="s">
        <v>6437</v>
      </c>
      <c r="R2563" s="4"/>
      <c r="S2563" s="12" t="s">
        <v>6369</v>
      </c>
      <c r="T2563" s="4" t="s">
        <v>2444</v>
      </c>
      <c r="U2563" s="4"/>
      <c r="V2563" s="4"/>
      <c r="W2563" s="5"/>
      <c r="X2563" s="4"/>
      <c r="Y2563" s="4"/>
      <c r="Z2563" s="5"/>
      <c r="AA2563" s="4"/>
      <c r="AB2563" s="4"/>
      <c r="AC2563" s="4"/>
      <c r="AD2563" s="4"/>
      <c r="AE2563" s="5"/>
      <c r="AF2563" s="5"/>
      <c r="AG2563" s="5"/>
      <c r="AH2563" s="5"/>
      <c r="AI2563" s="5"/>
      <c r="AJ2563" s="5"/>
      <c r="AK2563" s="5"/>
      <c r="AL2563" s="5"/>
    </row>
    <row r="2564">
      <c r="A2564" s="4" t="str">
        <f>VLOOKUP(L2564,payment_ids!C:D,2,FALSE)</f>
        <v>pay_HMTlY7xW3pkqFQ</v>
      </c>
      <c r="B2564" s="4"/>
      <c r="C2564" s="4" t="s">
        <v>6367</v>
      </c>
      <c r="D2564" s="4">
        <v>50043.0</v>
      </c>
      <c r="E2564" s="5"/>
      <c r="F2564" s="4">
        <v>1.0</v>
      </c>
      <c r="G2564" s="4">
        <v>99.0</v>
      </c>
      <c r="H2564" s="4"/>
      <c r="I2564" s="4">
        <v>99.0</v>
      </c>
      <c r="J2564" s="4" t="s">
        <v>6438</v>
      </c>
      <c r="K2564" s="5">
        <f>+919398678985</f>
        <v>919398678985</v>
      </c>
      <c r="L2564" s="4" t="str">
        <f t="shared" si="1"/>
        <v>bharishpatro@gmail.com919398678985</v>
      </c>
      <c r="M2564" s="10" t="s">
        <v>67</v>
      </c>
      <c r="N2564" s="4" t="b">
        <v>0</v>
      </c>
      <c r="O2564" s="4" t="str">
        <f>VLOOKUP(A2564,payment_ids!D:E,2,FALSE)</f>
        <v>upi</v>
      </c>
      <c r="P2564" s="4" t="s">
        <v>69</v>
      </c>
      <c r="Q2564" s="4" t="s">
        <v>6439</v>
      </c>
      <c r="R2564" s="4"/>
      <c r="S2564" s="12" t="s">
        <v>6369</v>
      </c>
      <c r="T2564" s="4" t="s">
        <v>2444</v>
      </c>
      <c r="U2564" s="4"/>
      <c r="V2564" s="4"/>
      <c r="W2564" s="5"/>
      <c r="X2564" s="4"/>
      <c r="Y2564" s="4"/>
      <c r="Z2564" s="5"/>
      <c r="AA2564" s="4"/>
      <c r="AB2564" s="4"/>
      <c r="AC2564" s="4"/>
      <c r="AD2564" s="4"/>
      <c r="AE2564" s="5"/>
      <c r="AF2564" s="5"/>
      <c r="AG2564" s="5"/>
      <c r="AH2564" s="5"/>
      <c r="AI2564" s="5"/>
      <c r="AJ2564" s="5"/>
      <c r="AK2564" s="5"/>
      <c r="AL2564" s="5"/>
    </row>
    <row r="2565">
      <c r="A2565" s="4" t="str">
        <f>VLOOKUP(L2565,payment_ids!C:D,2,FALSE)</f>
        <v>pay_HMVa8eVJWYyIRw</v>
      </c>
      <c r="B2565" s="4"/>
      <c r="C2565" s="4" t="s">
        <v>6367</v>
      </c>
      <c r="D2565" s="4">
        <v>50043.0</v>
      </c>
      <c r="E2565" s="5"/>
      <c r="F2565" s="4">
        <v>1.0</v>
      </c>
      <c r="G2565" s="4">
        <v>99.0</v>
      </c>
      <c r="H2565" s="4"/>
      <c r="I2565" s="4">
        <v>99.0</v>
      </c>
      <c r="J2565" s="4" t="s">
        <v>6440</v>
      </c>
      <c r="K2565" s="5">
        <f>+918446333789</f>
        <v>918446333789</v>
      </c>
      <c r="L2565" s="4" t="str">
        <f t="shared" si="1"/>
        <v>krishnajadhav5284@gmail.com918446333789</v>
      </c>
      <c r="M2565" s="10" t="s">
        <v>67</v>
      </c>
      <c r="N2565" s="4" t="b">
        <v>0</v>
      </c>
      <c r="O2565" s="4" t="str">
        <f>VLOOKUP(A2565,payment_ids!D:E,2,FALSE)</f>
        <v>upi</v>
      </c>
      <c r="P2565" s="4" t="s">
        <v>69</v>
      </c>
      <c r="Q2565" s="4" t="s">
        <v>6441</v>
      </c>
      <c r="R2565" s="4"/>
      <c r="S2565" s="12" t="s">
        <v>6369</v>
      </c>
      <c r="T2565" s="4" t="s">
        <v>2444</v>
      </c>
      <c r="U2565" s="4"/>
      <c r="V2565" s="4"/>
      <c r="W2565" s="5"/>
      <c r="X2565" s="4"/>
      <c r="Y2565" s="4"/>
      <c r="Z2565" s="5"/>
      <c r="AA2565" s="4"/>
      <c r="AB2565" s="4"/>
      <c r="AC2565" s="4"/>
      <c r="AD2565" s="4"/>
      <c r="AE2565" s="5"/>
      <c r="AF2565" s="5"/>
      <c r="AG2565" s="5"/>
      <c r="AH2565" s="5"/>
      <c r="AI2565" s="5"/>
      <c r="AJ2565" s="5"/>
      <c r="AK2565" s="5"/>
      <c r="AL2565" s="5"/>
    </row>
    <row r="2566">
      <c r="A2566" s="4" t="str">
        <f>VLOOKUP(L2566,payment_ids!C:D,2,FALSE)</f>
        <v>pay_HMaOVdKsW7qPB5</v>
      </c>
      <c r="B2566" s="4"/>
      <c r="C2566" s="4" t="s">
        <v>6367</v>
      </c>
      <c r="D2566" s="4">
        <v>50043.0</v>
      </c>
      <c r="E2566" s="5"/>
      <c r="F2566" s="4">
        <v>1.0</v>
      </c>
      <c r="G2566" s="4">
        <v>99.0</v>
      </c>
      <c r="H2566" s="4"/>
      <c r="I2566" s="4">
        <v>99.0</v>
      </c>
      <c r="J2566" s="4" t="s">
        <v>6442</v>
      </c>
      <c r="K2566" s="5">
        <f>+917007637726</f>
        <v>917007637726</v>
      </c>
      <c r="L2566" s="4" t="str">
        <f t="shared" si="1"/>
        <v>kumarabhinavme0046@gmail.com917007637726</v>
      </c>
      <c r="M2566" s="10" t="s">
        <v>67</v>
      </c>
      <c r="N2566" s="4" t="b">
        <v>0</v>
      </c>
      <c r="O2566" s="4" t="str">
        <f>VLOOKUP(A2566,payment_ids!D:E,2,FALSE)</f>
        <v>upi</v>
      </c>
      <c r="P2566" s="4" t="s">
        <v>69</v>
      </c>
      <c r="Q2566" s="4" t="s">
        <v>6443</v>
      </c>
      <c r="R2566" s="4"/>
      <c r="S2566" s="12" t="s">
        <v>6369</v>
      </c>
      <c r="T2566" s="4" t="s">
        <v>2444</v>
      </c>
      <c r="U2566" s="4"/>
      <c r="V2566" s="4"/>
      <c r="W2566" s="5"/>
      <c r="X2566" s="4"/>
      <c r="Y2566" s="4"/>
      <c r="Z2566" s="5"/>
      <c r="AA2566" s="4"/>
      <c r="AB2566" s="4"/>
      <c r="AC2566" s="4"/>
      <c r="AD2566" s="4"/>
      <c r="AE2566" s="5"/>
      <c r="AF2566" s="5"/>
      <c r="AG2566" s="5"/>
      <c r="AH2566" s="5"/>
      <c r="AI2566" s="5"/>
      <c r="AJ2566" s="5"/>
      <c r="AK2566" s="5"/>
      <c r="AL2566" s="5"/>
    </row>
    <row r="2567">
      <c r="A2567" s="4" t="str">
        <f>VLOOKUP(L2567,payment_ids!C:D,2,FALSE)</f>
        <v>pay_HMbwPf5lRbYo3n</v>
      </c>
      <c r="B2567" s="4"/>
      <c r="C2567" s="4" t="s">
        <v>6367</v>
      </c>
      <c r="D2567" s="4">
        <v>50043.0</v>
      </c>
      <c r="E2567" s="5"/>
      <c r="F2567" s="4">
        <v>1.0</v>
      </c>
      <c r="G2567" s="4">
        <v>99.0</v>
      </c>
      <c r="H2567" s="4"/>
      <c r="I2567" s="4">
        <v>99.0</v>
      </c>
      <c r="J2567" s="4" t="s">
        <v>6444</v>
      </c>
      <c r="K2567" s="5">
        <f>+919666953600</f>
        <v>919666953600</v>
      </c>
      <c r="L2567" s="4" t="str">
        <f t="shared" si="1"/>
        <v>rajmadhula@gmail.com919666953600</v>
      </c>
      <c r="M2567" s="10" t="s">
        <v>67</v>
      </c>
      <c r="N2567" s="4" t="b">
        <v>0</v>
      </c>
      <c r="O2567" s="4" t="str">
        <f>VLOOKUP(A2567,payment_ids!D:E,2,FALSE)</f>
        <v>upi</v>
      </c>
      <c r="P2567" s="4" t="s">
        <v>69</v>
      </c>
      <c r="Q2567" s="4" t="s">
        <v>5061</v>
      </c>
      <c r="R2567" s="4"/>
      <c r="S2567" s="12" t="s">
        <v>6369</v>
      </c>
      <c r="T2567" s="4" t="s">
        <v>2444</v>
      </c>
      <c r="U2567" s="4"/>
      <c r="V2567" s="4"/>
      <c r="W2567" s="5"/>
      <c r="X2567" s="4"/>
      <c r="Y2567" s="4"/>
      <c r="Z2567" s="5"/>
      <c r="AA2567" s="4"/>
      <c r="AB2567" s="4"/>
      <c r="AC2567" s="4"/>
      <c r="AD2567" s="4"/>
      <c r="AE2567" s="5"/>
      <c r="AF2567" s="5"/>
      <c r="AG2567" s="5"/>
      <c r="AH2567" s="5"/>
      <c r="AI2567" s="5"/>
      <c r="AJ2567" s="5"/>
      <c r="AK2567" s="5"/>
      <c r="AL2567" s="5"/>
    </row>
    <row r="2568">
      <c r="A2568" s="4" t="str">
        <f>VLOOKUP(L2568,payment_ids!C:D,2,FALSE)</f>
        <v>pay_HMz2p2rkYioRBD</v>
      </c>
      <c r="B2568" s="4"/>
      <c r="C2568" s="4" t="s">
        <v>6367</v>
      </c>
      <c r="D2568" s="4">
        <v>50043.0</v>
      </c>
      <c r="E2568" s="5"/>
      <c r="F2568" s="4">
        <v>1.0</v>
      </c>
      <c r="G2568" s="4">
        <v>99.0</v>
      </c>
      <c r="H2568" s="4"/>
      <c r="I2568" s="4">
        <v>99.0</v>
      </c>
      <c r="J2568" s="4" t="s">
        <v>6445</v>
      </c>
      <c r="K2568" s="5">
        <f>+919720208787</f>
        <v>919720208787</v>
      </c>
      <c r="L2568" s="4" t="str">
        <f t="shared" si="1"/>
        <v>ch.abhishekmalik4000@gmail.com919720208787</v>
      </c>
      <c r="M2568" s="10" t="s">
        <v>67</v>
      </c>
      <c r="N2568" s="4" t="b">
        <v>0</v>
      </c>
      <c r="O2568" s="4" t="str">
        <f>VLOOKUP(A2568,payment_ids!D:E,2,FALSE)</f>
        <v>upi</v>
      </c>
      <c r="P2568" s="4" t="s">
        <v>69</v>
      </c>
      <c r="Q2568" s="4" t="s">
        <v>6446</v>
      </c>
      <c r="R2568" s="4"/>
      <c r="S2568" s="12" t="s">
        <v>6369</v>
      </c>
      <c r="T2568" s="4" t="s">
        <v>2444</v>
      </c>
      <c r="U2568" s="4"/>
      <c r="V2568" s="4"/>
      <c r="W2568" s="5"/>
      <c r="X2568" s="4"/>
      <c r="Y2568" s="4"/>
      <c r="Z2568" s="5"/>
      <c r="AA2568" s="4"/>
      <c r="AB2568" s="4"/>
      <c r="AC2568" s="4"/>
      <c r="AD2568" s="4"/>
      <c r="AE2568" s="5"/>
      <c r="AF2568" s="5"/>
      <c r="AG2568" s="5"/>
      <c r="AH2568" s="5"/>
      <c r="AI2568" s="5"/>
      <c r="AJ2568" s="5"/>
      <c r="AK2568" s="5"/>
      <c r="AL2568" s="5"/>
    </row>
    <row r="2569">
      <c r="A2569" s="4" t="str">
        <f>VLOOKUP(L2569,payment_ids!C:D,2,FALSE)</f>
        <v>pay_HN04dvbCxyYHVZ</v>
      </c>
      <c r="B2569" s="4"/>
      <c r="C2569" s="4" t="s">
        <v>6367</v>
      </c>
      <c r="D2569" s="4">
        <v>50043.0</v>
      </c>
      <c r="E2569" s="5"/>
      <c r="F2569" s="4">
        <v>6.0</v>
      </c>
      <c r="G2569" s="4">
        <v>349.0</v>
      </c>
      <c r="H2569" s="4"/>
      <c r="I2569" s="4">
        <v>349.0</v>
      </c>
      <c r="J2569" s="4" t="s">
        <v>6447</v>
      </c>
      <c r="K2569" s="5">
        <f>+919100805185</f>
        <v>919100805185</v>
      </c>
      <c r="L2569" s="4" t="str">
        <f t="shared" si="1"/>
        <v>yerawarsomesh@gmail.com919100805185</v>
      </c>
      <c r="M2569" s="10" t="s">
        <v>67</v>
      </c>
      <c r="N2569" s="4" t="b">
        <v>0</v>
      </c>
      <c r="O2569" s="4" t="str">
        <f>VLOOKUP(A2569,payment_ids!D:E,2,FALSE)</f>
        <v>upi</v>
      </c>
      <c r="P2569" s="4" t="s">
        <v>69</v>
      </c>
      <c r="Q2569" s="4" t="s">
        <v>6448</v>
      </c>
      <c r="R2569" s="4"/>
      <c r="S2569" s="12" t="s">
        <v>6369</v>
      </c>
      <c r="T2569" s="4" t="s">
        <v>2444</v>
      </c>
      <c r="U2569" s="4"/>
      <c r="V2569" s="4"/>
      <c r="W2569" s="5"/>
      <c r="X2569" s="4"/>
      <c r="Y2569" s="4"/>
      <c r="Z2569" s="5"/>
      <c r="AA2569" s="4"/>
      <c r="AB2569" s="4"/>
      <c r="AC2569" s="4"/>
      <c r="AD2569" s="4"/>
      <c r="AE2569" s="5"/>
      <c r="AF2569" s="5"/>
      <c r="AG2569" s="5"/>
      <c r="AH2569" s="5"/>
      <c r="AI2569" s="5"/>
      <c r="AJ2569" s="5"/>
      <c r="AK2569" s="5"/>
      <c r="AL2569" s="5"/>
    </row>
    <row r="2570">
      <c r="A2570" s="4" t="str">
        <f>VLOOKUP(L2570,payment_ids!C:D,2,FALSE)</f>
        <v>pay_HNgzbfZ781pCrf</v>
      </c>
      <c r="B2570" s="4"/>
      <c r="C2570" s="4" t="s">
        <v>6367</v>
      </c>
      <c r="D2570" s="4">
        <v>50043.0</v>
      </c>
      <c r="E2570" s="5"/>
      <c r="F2570" s="4">
        <v>1.0</v>
      </c>
      <c r="G2570" s="4">
        <v>99.0</v>
      </c>
      <c r="H2570" s="4"/>
      <c r="I2570" s="4">
        <v>99.0</v>
      </c>
      <c r="J2570" s="4" t="s">
        <v>6449</v>
      </c>
      <c r="K2570" s="5">
        <f>+919045541213</f>
        <v>919045541213</v>
      </c>
      <c r="L2570" s="4" t="str">
        <f t="shared" si="1"/>
        <v>mishram9045@gmail.com919045541213</v>
      </c>
      <c r="M2570" s="10" t="s">
        <v>67</v>
      </c>
      <c r="N2570" s="4" t="b">
        <v>0</v>
      </c>
      <c r="O2570" s="4" t="str">
        <f>VLOOKUP(A2570,payment_ids!D:E,2,FALSE)</f>
        <v>card</v>
      </c>
      <c r="P2570" s="4" t="s">
        <v>69</v>
      </c>
      <c r="Q2570" s="4" t="s">
        <v>6450</v>
      </c>
      <c r="R2570" s="4"/>
      <c r="S2570" s="12" t="s">
        <v>6369</v>
      </c>
      <c r="T2570" s="4" t="s">
        <v>2444</v>
      </c>
      <c r="U2570" s="4"/>
      <c r="V2570" s="4"/>
      <c r="W2570" s="5"/>
      <c r="X2570" s="4"/>
      <c r="Y2570" s="4"/>
      <c r="Z2570" s="5"/>
      <c r="AA2570" s="4"/>
      <c r="AB2570" s="4"/>
      <c r="AC2570" s="4"/>
      <c r="AD2570" s="4"/>
      <c r="AE2570" s="5"/>
      <c r="AF2570" s="5"/>
      <c r="AG2570" s="5"/>
      <c r="AH2570" s="5"/>
      <c r="AI2570" s="5"/>
      <c r="AJ2570" s="5"/>
      <c r="AK2570" s="5"/>
      <c r="AL2570" s="5"/>
    </row>
    <row r="2571">
      <c r="A2571" s="4" t="str">
        <f>VLOOKUP(L2571,payment_ids!C:D,2,FALSE)</f>
        <v>pay_HOAbP6VybXQ5Tv</v>
      </c>
      <c r="B2571" s="4"/>
      <c r="C2571" s="4" t="s">
        <v>6367</v>
      </c>
      <c r="D2571" s="4">
        <v>50043.0</v>
      </c>
      <c r="E2571" s="5"/>
      <c r="F2571" s="4">
        <v>3.0</v>
      </c>
      <c r="G2571" s="4">
        <v>199.0</v>
      </c>
      <c r="H2571" s="4"/>
      <c r="I2571" s="4">
        <v>199.0</v>
      </c>
      <c r="J2571" s="4" t="s">
        <v>6451</v>
      </c>
      <c r="K2571" s="5">
        <f>+919811124285</f>
        <v>919811124285</v>
      </c>
      <c r="L2571" s="4" t="str">
        <f t="shared" si="1"/>
        <v>abhinavgupta11097@gmail.com919811124285</v>
      </c>
      <c r="M2571" s="10" t="s">
        <v>67</v>
      </c>
      <c r="N2571" s="4" t="b">
        <v>0</v>
      </c>
      <c r="O2571" s="4" t="str">
        <f>VLOOKUP(A2571,payment_ids!D:E,2,FALSE)</f>
        <v>upi</v>
      </c>
      <c r="P2571" s="4" t="s">
        <v>69</v>
      </c>
      <c r="Q2571" s="4" t="s">
        <v>4531</v>
      </c>
      <c r="R2571" s="4"/>
      <c r="S2571" s="12" t="s">
        <v>6369</v>
      </c>
      <c r="T2571" s="4" t="s">
        <v>2444</v>
      </c>
      <c r="U2571" s="4"/>
      <c r="V2571" s="4"/>
      <c r="W2571" s="5"/>
      <c r="X2571" s="4"/>
      <c r="Y2571" s="4"/>
      <c r="Z2571" s="5"/>
      <c r="AA2571" s="4"/>
      <c r="AB2571" s="4"/>
      <c r="AC2571" s="4"/>
      <c r="AD2571" s="4"/>
      <c r="AE2571" s="5"/>
      <c r="AF2571" s="5"/>
      <c r="AG2571" s="5"/>
      <c r="AH2571" s="5"/>
      <c r="AI2571" s="5"/>
      <c r="AJ2571" s="5"/>
      <c r="AK2571" s="5"/>
      <c r="AL2571" s="5"/>
    </row>
    <row r="2572">
      <c r="A2572" s="4" t="str">
        <f>VLOOKUP(L2572,payment_ids!C:D,2,FALSE)</f>
        <v>pay_HOmHWkIGTeWwKs</v>
      </c>
      <c r="B2572" s="4"/>
      <c r="C2572" s="4" t="s">
        <v>6367</v>
      </c>
      <c r="D2572" s="4">
        <v>50043.0</v>
      </c>
      <c r="E2572" s="5"/>
      <c r="F2572" s="4">
        <v>1.0</v>
      </c>
      <c r="G2572" s="4">
        <v>99.0</v>
      </c>
      <c r="H2572" s="4"/>
      <c r="I2572" s="4">
        <v>99.0</v>
      </c>
      <c r="J2572" s="4" t="s">
        <v>6452</v>
      </c>
      <c r="K2572" s="5">
        <f>+919833594995</f>
        <v>919833594995</v>
      </c>
      <c r="L2572" s="4" t="str">
        <f t="shared" si="1"/>
        <v>preeti.tris2k2@yahoo.co.in919833594995</v>
      </c>
      <c r="M2572" s="10" t="s">
        <v>67</v>
      </c>
      <c r="N2572" s="4" t="b">
        <v>0</v>
      </c>
      <c r="O2572" s="4" t="str">
        <f>VLOOKUP(A2572,payment_ids!D:E,2,FALSE)</f>
        <v>card</v>
      </c>
      <c r="P2572" s="4" t="s">
        <v>69</v>
      </c>
      <c r="Q2572" s="4" t="s">
        <v>6453</v>
      </c>
      <c r="R2572" s="4"/>
      <c r="S2572" s="12" t="s">
        <v>6369</v>
      </c>
      <c r="T2572" s="4" t="s">
        <v>2444</v>
      </c>
      <c r="U2572" s="4"/>
      <c r="V2572" s="4"/>
      <c r="W2572" s="5"/>
      <c r="X2572" s="4"/>
      <c r="Y2572" s="4"/>
      <c r="Z2572" s="5"/>
      <c r="AA2572" s="4"/>
      <c r="AB2572" s="4"/>
      <c r="AC2572" s="4"/>
      <c r="AD2572" s="4"/>
      <c r="AE2572" s="5"/>
      <c r="AF2572" s="5"/>
      <c r="AG2572" s="5"/>
      <c r="AH2572" s="5"/>
      <c r="AI2572" s="5"/>
      <c r="AJ2572" s="5"/>
      <c r="AK2572" s="5"/>
      <c r="AL2572" s="5"/>
    </row>
    <row r="2573">
      <c r="A2573" s="4" t="str">
        <f>VLOOKUP(L2573,payment_ids!C:D,2,FALSE)</f>
        <v>pay_HI7aLcInU7z7B7</v>
      </c>
      <c r="B2573" s="4"/>
      <c r="C2573" s="4" t="s">
        <v>6367</v>
      </c>
      <c r="D2573" s="4">
        <v>50043.0</v>
      </c>
      <c r="E2573" s="5"/>
      <c r="F2573" s="4">
        <v>1.0</v>
      </c>
      <c r="G2573" s="4">
        <v>99.0</v>
      </c>
      <c r="H2573" s="4"/>
      <c r="I2573" s="4">
        <v>99.0</v>
      </c>
      <c r="J2573" s="4" t="s">
        <v>6147</v>
      </c>
      <c r="K2573" s="5">
        <f>+918755953014</f>
        <v>918755953014</v>
      </c>
      <c r="L2573" s="4" t="str">
        <f t="shared" si="1"/>
        <v>harshchawla905@gmail.com918755953014</v>
      </c>
      <c r="M2573" s="10" t="s">
        <v>67</v>
      </c>
      <c r="N2573" s="4" t="b">
        <v>0</v>
      </c>
      <c r="O2573" s="4" t="str">
        <f>VLOOKUP(A2573,payment_ids!D:E,2,FALSE)</f>
        <v>upi</v>
      </c>
      <c r="P2573" s="4" t="s">
        <v>69</v>
      </c>
      <c r="Q2573" s="4" t="s">
        <v>3678</v>
      </c>
      <c r="R2573" s="4"/>
      <c r="S2573" s="12" t="s">
        <v>6369</v>
      </c>
      <c r="T2573" s="4" t="s">
        <v>2444</v>
      </c>
      <c r="U2573" s="4"/>
      <c r="V2573" s="4"/>
      <c r="W2573" s="5"/>
      <c r="X2573" s="4"/>
      <c r="Y2573" s="4"/>
      <c r="Z2573" s="5"/>
      <c r="AA2573" s="4"/>
      <c r="AB2573" s="4"/>
      <c r="AC2573" s="4"/>
      <c r="AD2573" s="4"/>
      <c r="AE2573" s="5"/>
      <c r="AF2573" s="5"/>
      <c r="AG2573" s="5"/>
      <c r="AH2573" s="5"/>
      <c r="AI2573" s="5"/>
      <c r="AJ2573" s="5"/>
      <c r="AK2573" s="5"/>
      <c r="AL2573" s="5"/>
    </row>
    <row r="2574">
      <c r="A2574" s="4" t="str">
        <f>VLOOKUP(L2574,payment_ids!C:D,2,FALSE)</f>
        <v>pay_HP1k2tMMEm56Sc</v>
      </c>
      <c r="B2574" s="4"/>
      <c r="C2574" s="4" t="s">
        <v>6367</v>
      </c>
      <c r="D2574" s="4">
        <v>50043.0</v>
      </c>
      <c r="E2574" s="5"/>
      <c r="F2574" s="4">
        <v>1.0</v>
      </c>
      <c r="G2574" s="4">
        <v>99.0</v>
      </c>
      <c r="H2574" s="4"/>
      <c r="I2574" s="4">
        <v>99.0</v>
      </c>
      <c r="J2574" s="4" t="s">
        <v>6454</v>
      </c>
      <c r="K2574" s="5">
        <f>+919996035316</f>
        <v>919996035316</v>
      </c>
      <c r="L2574" s="4" t="str">
        <f t="shared" si="1"/>
        <v>jiveshbhu@gmail.com919996035316</v>
      </c>
      <c r="M2574" s="10" t="s">
        <v>67</v>
      </c>
      <c r="N2574" s="4" t="b">
        <v>0</v>
      </c>
      <c r="O2574" s="4" t="str">
        <f>VLOOKUP(A2574,payment_ids!D:E,2,FALSE)</f>
        <v>upi</v>
      </c>
      <c r="P2574" s="4" t="s">
        <v>69</v>
      </c>
      <c r="Q2574" s="4" t="s">
        <v>6455</v>
      </c>
      <c r="R2574" s="4"/>
      <c r="S2574" s="12" t="s">
        <v>6369</v>
      </c>
      <c r="T2574" s="4" t="s">
        <v>2444</v>
      </c>
      <c r="U2574" s="4"/>
      <c r="V2574" s="4"/>
      <c r="W2574" s="5"/>
      <c r="X2574" s="4"/>
      <c r="Y2574" s="4"/>
      <c r="Z2574" s="5"/>
      <c r="AA2574" s="4"/>
      <c r="AB2574" s="4"/>
      <c r="AC2574" s="4"/>
      <c r="AD2574" s="4"/>
      <c r="AE2574" s="5"/>
      <c r="AF2574" s="5"/>
      <c r="AG2574" s="5"/>
      <c r="AH2574" s="5"/>
      <c r="AI2574" s="5"/>
      <c r="AJ2574" s="5"/>
      <c r="AK2574" s="5"/>
      <c r="AL2574" s="5"/>
    </row>
    <row r="2575">
      <c r="A2575" s="4" t="str">
        <f>VLOOKUP(L2575,payment_ids!C:D,2,FALSE)</f>
        <v>pay_HPGt2VzUHdPvQI</v>
      </c>
      <c r="B2575" s="4"/>
      <c r="C2575" s="4" t="s">
        <v>6367</v>
      </c>
      <c r="D2575" s="4">
        <v>50043.0</v>
      </c>
      <c r="E2575" s="5"/>
      <c r="F2575" s="4">
        <v>1.0</v>
      </c>
      <c r="G2575" s="4">
        <v>99.0</v>
      </c>
      <c r="H2575" s="4"/>
      <c r="I2575" s="4">
        <v>99.0</v>
      </c>
      <c r="J2575" s="4" t="s">
        <v>6456</v>
      </c>
      <c r="K2575" s="5">
        <f>+919619940252</f>
        <v>919619940252</v>
      </c>
      <c r="L2575" s="4" t="str">
        <f t="shared" si="1"/>
        <v>cadvalkar35@gmail.com919619940252</v>
      </c>
      <c r="M2575" s="10" t="s">
        <v>67</v>
      </c>
      <c r="N2575" s="4" t="b">
        <v>0</v>
      </c>
      <c r="O2575" s="4" t="str">
        <f>VLOOKUP(A2575,payment_ids!D:E,2,FALSE)</f>
        <v>upi</v>
      </c>
      <c r="P2575" s="4" t="s">
        <v>69</v>
      </c>
      <c r="Q2575" s="4" t="s">
        <v>6457</v>
      </c>
      <c r="R2575" s="4"/>
      <c r="S2575" s="12" t="s">
        <v>6369</v>
      </c>
      <c r="T2575" s="4" t="s">
        <v>2444</v>
      </c>
      <c r="U2575" s="4"/>
      <c r="V2575" s="4"/>
      <c r="W2575" s="5"/>
      <c r="X2575" s="4"/>
      <c r="Y2575" s="4"/>
      <c r="Z2575" s="5"/>
      <c r="AA2575" s="4"/>
      <c r="AB2575" s="4"/>
      <c r="AC2575" s="4"/>
      <c r="AD2575" s="4"/>
      <c r="AE2575" s="5"/>
      <c r="AF2575" s="5"/>
      <c r="AG2575" s="5"/>
      <c r="AH2575" s="5"/>
      <c r="AI2575" s="5"/>
      <c r="AJ2575" s="5"/>
      <c r="AK2575" s="5"/>
      <c r="AL2575" s="5"/>
    </row>
    <row r="2576">
      <c r="A2576" s="4" t="str">
        <f>VLOOKUP(L2576,payment_ids!C:D,2,FALSE)</f>
        <v>pay_HPlZfzPOZFfaH8</v>
      </c>
      <c r="B2576" s="4"/>
      <c r="C2576" s="4" t="s">
        <v>6367</v>
      </c>
      <c r="D2576" s="4">
        <v>50043.0</v>
      </c>
      <c r="E2576" s="5"/>
      <c r="F2576" s="4">
        <v>1.0</v>
      </c>
      <c r="G2576" s="4">
        <v>99.0</v>
      </c>
      <c r="H2576" s="4"/>
      <c r="I2576" s="4">
        <v>99.0</v>
      </c>
      <c r="J2576" s="4" t="s">
        <v>6458</v>
      </c>
      <c r="K2576" s="5">
        <f>+918824454998</f>
        <v>918824454998</v>
      </c>
      <c r="L2576" s="4" t="str">
        <f t="shared" si="1"/>
        <v>choudharyyash1616@gmail.com918824454998</v>
      </c>
      <c r="M2576" s="10" t="s">
        <v>67</v>
      </c>
      <c r="N2576" s="4" t="b">
        <v>0</v>
      </c>
      <c r="O2576" s="4" t="str">
        <f>VLOOKUP(A2576,payment_ids!D:E,2,FALSE)</f>
        <v>upi</v>
      </c>
      <c r="P2576" s="4" t="s">
        <v>69</v>
      </c>
      <c r="Q2576" s="4" t="s">
        <v>6459</v>
      </c>
      <c r="R2576" s="4"/>
      <c r="S2576" s="12" t="s">
        <v>6369</v>
      </c>
      <c r="T2576" s="4" t="s">
        <v>2444</v>
      </c>
      <c r="U2576" s="4"/>
      <c r="V2576" s="4"/>
      <c r="W2576" s="5"/>
      <c r="X2576" s="4"/>
      <c r="Y2576" s="4"/>
      <c r="Z2576" s="5"/>
      <c r="AA2576" s="4"/>
      <c r="AB2576" s="4"/>
      <c r="AC2576" s="4"/>
      <c r="AD2576" s="4"/>
      <c r="AE2576" s="5"/>
      <c r="AF2576" s="5"/>
      <c r="AG2576" s="5"/>
      <c r="AH2576" s="5"/>
      <c r="AI2576" s="5"/>
      <c r="AJ2576" s="5"/>
      <c r="AK2576" s="5"/>
      <c r="AL2576" s="5"/>
    </row>
    <row r="2577">
      <c r="A2577" s="4" t="str">
        <f>VLOOKUP(L2577,payment_ids!C:D,2,FALSE)</f>
        <v>pay_HPvRbrF9qUDwcm</v>
      </c>
      <c r="B2577" s="4"/>
      <c r="C2577" s="4" t="s">
        <v>6367</v>
      </c>
      <c r="D2577" s="4">
        <v>50043.0</v>
      </c>
      <c r="E2577" s="5"/>
      <c r="F2577" s="4">
        <v>1.0</v>
      </c>
      <c r="G2577" s="4">
        <v>99.0</v>
      </c>
      <c r="H2577" s="4"/>
      <c r="I2577" s="4">
        <v>99.0</v>
      </c>
      <c r="J2577" s="4" t="s">
        <v>6460</v>
      </c>
      <c r="K2577" s="5">
        <f>+919665507798</f>
        <v>919665507798</v>
      </c>
      <c r="L2577" s="4" t="str">
        <f t="shared" si="1"/>
        <v>katuresandip59@gmail.com919665507798</v>
      </c>
      <c r="M2577" s="10" t="s">
        <v>67</v>
      </c>
      <c r="N2577" s="4" t="b">
        <v>0</v>
      </c>
      <c r="O2577" s="4" t="str">
        <f>VLOOKUP(A2577,payment_ids!D:E,2,FALSE)</f>
        <v>upi</v>
      </c>
      <c r="P2577" s="4" t="s">
        <v>69</v>
      </c>
      <c r="Q2577" s="4" t="s">
        <v>6461</v>
      </c>
      <c r="R2577" s="4"/>
      <c r="S2577" s="12" t="s">
        <v>6369</v>
      </c>
      <c r="T2577" s="4" t="s">
        <v>2444</v>
      </c>
      <c r="U2577" s="4"/>
      <c r="V2577" s="4"/>
      <c r="W2577" s="5"/>
      <c r="X2577" s="4"/>
      <c r="Y2577" s="4"/>
      <c r="Z2577" s="5"/>
      <c r="AA2577" s="4"/>
      <c r="AB2577" s="4"/>
      <c r="AC2577" s="4"/>
      <c r="AD2577" s="4"/>
      <c r="AE2577" s="5"/>
      <c r="AF2577" s="5"/>
      <c r="AG2577" s="5"/>
      <c r="AH2577" s="5"/>
      <c r="AI2577" s="5"/>
      <c r="AJ2577" s="5"/>
      <c r="AK2577" s="5"/>
      <c r="AL2577" s="5"/>
    </row>
    <row r="2578">
      <c r="A2578" s="4" t="str">
        <f>VLOOKUP(L2578,payment_ids!C:D,2,FALSE)</f>
        <v>pay_HPEk5lGxmMoNOo</v>
      </c>
      <c r="B2578" s="4"/>
      <c r="C2578" s="4" t="s">
        <v>6462</v>
      </c>
      <c r="D2578" s="4">
        <v>50169.0</v>
      </c>
      <c r="E2578" s="5"/>
      <c r="F2578" s="4">
        <v>3.0</v>
      </c>
      <c r="G2578" s="4">
        <v>999.0</v>
      </c>
      <c r="H2578" s="4"/>
      <c r="I2578" s="4">
        <v>999.0</v>
      </c>
      <c r="J2578" s="4" t="s">
        <v>6463</v>
      </c>
      <c r="K2578" s="5">
        <f>+918951177470</f>
        <v>918951177470</v>
      </c>
      <c r="L2578" s="4" t="str">
        <f t="shared" si="1"/>
        <v>vivek97jain@gmail.com918951177470</v>
      </c>
      <c r="M2578" s="10" t="s">
        <v>67</v>
      </c>
      <c r="N2578" s="4" t="b">
        <v>0</v>
      </c>
      <c r="O2578" s="4" t="str">
        <f>VLOOKUP(A2578,payment_ids!D:E,2,FALSE)</f>
        <v>upi</v>
      </c>
      <c r="P2578" s="4" t="s">
        <v>69</v>
      </c>
      <c r="Q2578" s="4" t="s">
        <v>6464</v>
      </c>
      <c r="R2578" s="4"/>
      <c r="S2578" s="12" t="s">
        <v>6465</v>
      </c>
      <c r="T2578" s="4" t="s">
        <v>2444</v>
      </c>
      <c r="U2578" s="4"/>
      <c r="V2578" s="4"/>
      <c r="W2578" s="5"/>
      <c r="X2578" s="4"/>
      <c r="Y2578" s="4"/>
      <c r="Z2578" s="5"/>
      <c r="AA2578" s="4"/>
      <c r="AB2578" s="4"/>
      <c r="AC2578" s="4"/>
      <c r="AD2578" s="4"/>
      <c r="AE2578" s="5"/>
      <c r="AF2578" s="5"/>
      <c r="AG2578" s="5"/>
      <c r="AH2578" s="5"/>
      <c r="AI2578" s="5"/>
      <c r="AJ2578" s="5"/>
      <c r="AK2578" s="5"/>
      <c r="AL2578" s="5"/>
    </row>
    <row r="2579">
      <c r="A2579" s="4" t="str">
        <f>VLOOKUP(L2579,payment_ids!C:D,2,FALSE)</f>
        <v>pay_H5voWwvhqvku3U</v>
      </c>
      <c r="B2579" s="4"/>
      <c r="C2579" s="4" t="s">
        <v>6466</v>
      </c>
      <c r="D2579" s="4">
        <v>50073.0</v>
      </c>
      <c r="E2579" s="4"/>
      <c r="F2579" s="4">
        <v>1.0</v>
      </c>
      <c r="G2579" s="4">
        <v>599.0</v>
      </c>
      <c r="H2579" s="4"/>
      <c r="I2579" s="4">
        <v>599.0</v>
      </c>
      <c r="J2579" s="4" t="s">
        <v>6467</v>
      </c>
      <c r="K2579" s="6">
        <f>+919322296996</f>
        <v>919322296996</v>
      </c>
      <c r="L2579" s="4" t="str">
        <f t="shared" si="1"/>
        <v>9322296996@tempuser.com919322296996</v>
      </c>
      <c r="M2579" s="10" t="s">
        <v>67</v>
      </c>
      <c r="N2579" s="4" t="b">
        <v>0</v>
      </c>
      <c r="O2579" s="4" t="str">
        <f>VLOOKUP(A2579,payment_ids!D:E,2,FALSE)</f>
        <v>card</v>
      </c>
      <c r="P2579" s="4" t="s">
        <v>69</v>
      </c>
      <c r="Q2579" s="11">
        <v>44232.768055555556</v>
      </c>
      <c r="R2579" s="4"/>
      <c r="S2579" s="4"/>
      <c r="T2579" s="4"/>
      <c r="U2579" s="4"/>
      <c r="V2579" s="4"/>
      <c r="W2579" s="5"/>
      <c r="X2579" s="4"/>
      <c r="Y2579" s="4"/>
      <c r="Z2579" s="5"/>
      <c r="AA2579" s="4"/>
      <c r="AB2579" s="4"/>
      <c r="AC2579" s="4"/>
      <c r="AD2579" s="4"/>
      <c r="AE2579" s="5"/>
      <c r="AF2579" s="5"/>
      <c r="AG2579" s="5"/>
      <c r="AH2579" s="5"/>
      <c r="AI2579" s="5"/>
      <c r="AJ2579" s="5"/>
      <c r="AK2579" s="5"/>
      <c r="AL2579" s="5"/>
    </row>
    <row r="2580">
      <c r="A2580" s="4" t="str">
        <f>VLOOKUP(L2580,payment_ids!C:D,2,FALSE)</f>
        <v>pay_H6JewJjwlUQeor</v>
      </c>
      <c r="B2580" s="4"/>
      <c r="C2580" s="4" t="s">
        <v>6466</v>
      </c>
      <c r="D2580" s="4">
        <v>50073.0</v>
      </c>
      <c r="E2580" s="4"/>
      <c r="F2580" s="4">
        <v>1.0</v>
      </c>
      <c r="G2580" s="4">
        <v>599.0</v>
      </c>
      <c r="H2580" s="4"/>
      <c r="I2580" s="4">
        <v>599.0</v>
      </c>
      <c r="J2580" s="4" t="s">
        <v>6468</v>
      </c>
      <c r="K2580" s="6">
        <f>+919840609903</f>
        <v>919840609903</v>
      </c>
      <c r="L2580" s="4" t="str">
        <f t="shared" si="1"/>
        <v>mukta@mfinserve.co.in919840609903</v>
      </c>
      <c r="M2580" s="10" t="s">
        <v>67</v>
      </c>
      <c r="N2580" s="4" t="b">
        <v>0</v>
      </c>
      <c r="O2580" s="4" t="str">
        <f>VLOOKUP(A2580,payment_ids!D:E,2,FALSE)</f>
        <v>upi</v>
      </c>
      <c r="P2580" s="4" t="s">
        <v>69</v>
      </c>
      <c r="Q2580" s="11">
        <v>44260.740277777775</v>
      </c>
      <c r="R2580" s="4"/>
      <c r="S2580" s="4"/>
      <c r="T2580" s="4"/>
      <c r="U2580" s="4"/>
      <c r="V2580" s="4"/>
      <c r="W2580" s="5"/>
      <c r="X2580" s="4"/>
      <c r="Y2580" s="4"/>
      <c r="Z2580" s="5"/>
      <c r="AA2580" s="4"/>
      <c r="AB2580" s="4"/>
      <c r="AC2580" s="4"/>
      <c r="AD2580" s="4"/>
      <c r="AE2580" s="5"/>
      <c r="AF2580" s="5"/>
      <c r="AG2580" s="5"/>
      <c r="AH2580" s="5"/>
      <c r="AI2580" s="5"/>
      <c r="AJ2580" s="5"/>
      <c r="AK2580" s="5"/>
      <c r="AL2580" s="5"/>
    </row>
    <row r="2581">
      <c r="A2581" s="4" t="str">
        <f>VLOOKUP(L2581,payment_ids!C:D,2,FALSE)</f>
        <v>pay_H6OM6mtc3X24p4</v>
      </c>
      <c r="B2581" s="4"/>
      <c r="C2581" s="4" t="s">
        <v>6466</v>
      </c>
      <c r="D2581" s="4">
        <v>50073.0</v>
      </c>
      <c r="E2581" s="4"/>
      <c r="F2581" s="4">
        <v>1.0</v>
      </c>
      <c r="G2581" s="4">
        <v>599.0</v>
      </c>
      <c r="H2581" s="4"/>
      <c r="I2581" s="4">
        <v>599.0</v>
      </c>
      <c r="J2581" s="4" t="s">
        <v>2433</v>
      </c>
      <c r="K2581" s="6">
        <f>+917209943488</f>
        <v>917209943488</v>
      </c>
      <c r="L2581" s="4" t="str">
        <f t="shared" si="1"/>
        <v>nrjmshr14@gmail.com917209943488</v>
      </c>
      <c r="M2581" s="10" t="s">
        <v>67</v>
      </c>
      <c r="N2581" s="4" t="b">
        <v>0</v>
      </c>
      <c r="O2581" s="4" t="str">
        <f>VLOOKUP(A2581,payment_ids!D:E,2,FALSE)</f>
        <v>card</v>
      </c>
      <c r="P2581" s="4" t="s">
        <v>69</v>
      </c>
      <c r="Q2581" s="11">
        <v>44260.933333333334</v>
      </c>
      <c r="R2581" s="4"/>
      <c r="S2581" s="4"/>
      <c r="T2581" s="4"/>
      <c r="U2581" s="4"/>
      <c r="V2581" s="4"/>
      <c r="W2581" s="5"/>
      <c r="X2581" s="4"/>
      <c r="Y2581" s="4"/>
      <c r="Z2581" s="5"/>
      <c r="AA2581" s="4"/>
      <c r="AB2581" s="4"/>
      <c r="AC2581" s="4"/>
      <c r="AD2581" s="4"/>
      <c r="AE2581" s="5"/>
      <c r="AF2581" s="5"/>
      <c r="AG2581" s="5"/>
      <c r="AH2581" s="5"/>
      <c r="AI2581" s="5"/>
      <c r="AJ2581" s="5"/>
      <c r="AK2581" s="5"/>
      <c r="AL2581" s="5"/>
    </row>
    <row r="2582">
      <c r="A2582" s="4" t="str">
        <f>VLOOKUP(L2582,payment_ids!C:D,2,FALSE)</f>
        <v>pay_H6Y4xoE46plyib</v>
      </c>
      <c r="B2582" s="4"/>
      <c r="C2582" s="4" t="s">
        <v>6466</v>
      </c>
      <c r="D2582" s="4">
        <v>50073.0</v>
      </c>
      <c r="E2582" s="4"/>
      <c r="F2582" s="4">
        <v>1.0</v>
      </c>
      <c r="G2582" s="4">
        <v>599.0</v>
      </c>
      <c r="H2582" s="4"/>
      <c r="I2582" s="4">
        <v>599.0</v>
      </c>
      <c r="J2582" s="4" t="s">
        <v>6469</v>
      </c>
      <c r="K2582" s="6">
        <f>+919538601160</f>
        <v>919538601160</v>
      </c>
      <c r="L2582" s="4" t="str">
        <f t="shared" si="1"/>
        <v>krishnakis@gmail.com919538601160</v>
      </c>
      <c r="M2582" s="10" t="s">
        <v>67</v>
      </c>
      <c r="N2582" s="4" t="b">
        <v>0</v>
      </c>
      <c r="O2582" s="4" t="str">
        <f>VLOOKUP(A2582,payment_ids!D:E,2,FALSE)</f>
        <v>wallet</v>
      </c>
      <c r="P2582" s="4" t="s">
        <v>69</v>
      </c>
      <c r="Q2582" s="11">
        <v>44291.32847222222</v>
      </c>
      <c r="R2582" s="4"/>
      <c r="S2582" s="4"/>
      <c r="T2582" s="4"/>
      <c r="U2582" s="4"/>
      <c r="V2582" s="4"/>
      <c r="W2582" s="5"/>
      <c r="X2582" s="4"/>
      <c r="Y2582" s="4"/>
      <c r="Z2582" s="5"/>
      <c r="AA2582" s="4"/>
      <c r="AB2582" s="4"/>
      <c r="AC2582" s="4"/>
      <c r="AD2582" s="4"/>
      <c r="AE2582" s="5"/>
      <c r="AF2582" s="5"/>
      <c r="AG2582" s="5"/>
      <c r="AH2582" s="5"/>
      <c r="AI2582" s="5"/>
      <c r="AJ2582" s="5"/>
      <c r="AK2582" s="5"/>
      <c r="AL2582" s="5"/>
    </row>
    <row r="2583">
      <c r="A2583" s="4" t="str">
        <f>VLOOKUP(L2583,payment_ids!C:D,2,FALSE)</f>
        <v>pay_H6kkD9JYywKQ69</v>
      </c>
      <c r="B2583" s="4"/>
      <c r="C2583" s="4" t="s">
        <v>6466</v>
      </c>
      <c r="D2583" s="4">
        <v>50073.0</v>
      </c>
      <c r="E2583" s="4"/>
      <c r="F2583" s="4">
        <v>1.0</v>
      </c>
      <c r="G2583" s="4">
        <v>599.0</v>
      </c>
      <c r="H2583" s="4"/>
      <c r="I2583" s="4">
        <v>599.0</v>
      </c>
      <c r="J2583" s="4" t="s">
        <v>6470</v>
      </c>
      <c r="K2583" s="6">
        <f>+919210883828</f>
        <v>919210883828</v>
      </c>
      <c r="L2583" s="4" t="str">
        <f t="shared" si="1"/>
        <v>dhirjaspreet8@gmail.com919210883828</v>
      </c>
      <c r="M2583" s="10" t="s">
        <v>67</v>
      </c>
      <c r="N2583" s="4" t="b">
        <v>0</v>
      </c>
      <c r="O2583" s="4" t="str">
        <f>VLOOKUP(A2583,payment_ids!D:E,2,FALSE)</f>
        <v>upi</v>
      </c>
      <c r="P2583" s="4" t="s">
        <v>69</v>
      </c>
      <c r="Q2583" s="11">
        <v>44291.84583333333</v>
      </c>
      <c r="R2583" s="4"/>
      <c r="S2583" s="4"/>
      <c r="T2583" s="4"/>
      <c r="U2583" s="4"/>
      <c r="V2583" s="4"/>
      <c r="W2583" s="5"/>
      <c r="X2583" s="4"/>
      <c r="Y2583" s="4"/>
      <c r="Z2583" s="5"/>
      <c r="AA2583" s="4"/>
      <c r="AB2583" s="4"/>
      <c r="AC2583" s="4"/>
      <c r="AD2583" s="4"/>
      <c r="AE2583" s="5"/>
      <c r="AF2583" s="5"/>
      <c r="AG2583" s="5"/>
      <c r="AH2583" s="5"/>
      <c r="AI2583" s="5"/>
      <c r="AJ2583" s="5"/>
      <c r="AK2583" s="5"/>
      <c r="AL2583" s="5"/>
    </row>
    <row r="2584">
      <c r="A2584" s="4" t="str">
        <f>VLOOKUP(L2584,payment_ids!C:D,2,FALSE)</f>
        <v>pay_H78b7JxC97auPd</v>
      </c>
      <c r="B2584" s="4"/>
      <c r="C2584" s="4" t="s">
        <v>6466</v>
      </c>
      <c r="D2584" s="4">
        <v>50073.0</v>
      </c>
      <c r="E2584" s="4"/>
      <c r="F2584" s="4">
        <v>1.0</v>
      </c>
      <c r="G2584" s="4">
        <v>599.0</v>
      </c>
      <c r="H2584" s="4"/>
      <c r="I2584" s="4">
        <v>599.0</v>
      </c>
      <c r="J2584" s="4" t="s">
        <v>6471</v>
      </c>
      <c r="K2584" s="6">
        <f>+919789423350</f>
        <v>919789423350</v>
      </c>
      <c r="L2584" s="4" t="str">
        <f t="shared" si="1"/>
        <v>ishukrish21@gmail.com919789423350</v>
      </c>
      <c r="M2584" s="10" t="s">
        <v>67</v>
      </c>
      <c r="N2584" s="4" t="b">
        <v>0</v>
      </c>
      <c r="O2584" s="4" t="str">
        <f>VLOOKUP(A2584,payment_ids!D:E,2,FALSE)</f>
        <v>netbanking</v>
      </c>
      <c r="P2584" s="4" t="s">
        <v>69</v>
      </c>
      <c r="Q2584" s="11">
        <v>44321.81875</v>
      </c>
      <c r="R2584" s="4"/>
      <c r="S2584" s="4"/>
      <c r="T2584" s="4"/>
      <c r="U2584" s="4"/>
      <c r="V2584" s="4"/>
      <c r="W2584" s="5"/>
      <c r="X2584" s="4"/>
      <c r="Y2584" s="4"/>
      <c r="Z2584" s="5"/>
      <c r="AA2584" s="4"/>
      <c r="AB2584" s="4"/>
      <c r="AC2584" s="4"/>
      <c r="AD2584" s="4"/>
      <c r="AE2584" s="5"/>
      <c r="AF2584" s="5"/>
      <c r="AG2584" s="5"/>
      <c r="AH2584" s="5"/>
      <c r="AI2584" s="5"/>
      <c r="AJ2584" s="5"/>
      <c r="AK2584" s="5"/>
      <c r="AL2584" s="5"/>
    </row>
    <row r="2585">
      <c r="A2585" s="4" t="str">
        <f>VLOOKUP(L2585,payment_ids!C:D,2,FALSE)</f>
        <v>pay_H78ev3MgbVLRT9</v>
      </c>
      <c r="B2585" s="4"/>
      <c r="C2585" s="4" t="s">
        <v>6466</v>
      </c>
      <c r="D2585" s="4">
        <v>50073.0</v>
      </c>
      <c r="E2585" s="4"/>
      <c r="F2585" s="4">
        <v>1.0</v>
      </c>
      <c r="G2585" s="4">
        <v>599.0</v>
      </c>
      <c r="H2585" s="4"/>
      <c r="I2585" s="4">
        <v>599.0</v>
      </c>
      <c r="J2585" s="4" t="s">
        <v>6472</v>
      </c>
      <c r="K2585" s="6">
        <f>+918793012341</f>
        <v>918793012341</v>
      </c>
      <c r="L2585" s="4" t="str">
        <f t="shared" si="1"/>
        <v>sagaryawale143@gmail.com918793012341</v>
      </c>
      <c r="M2585" s="10" t="s">
        <v>67</v>
      </c>
      <c r="N2585" s="4" t="b">
        <v>0</v>
      </c>
      <c r="O2585" s="4" t="str">
        <f>VLOOKUP(A2585,payment_ids!D:E,2,FALSE)</f>
        <v>card</v>
      </c>
      <c r="P2585" s="4" t="s">
        <v>69</v>
      </c>
      <c r="Q2585" s="11">
        <v>44321.81875</v>
      </c>
      <c r="R2585" s="4"/>
      <c r="S2585" s="4"/>
      <c r="T2585" s="4"/>
      <c r="U2585" s="4"/>
      <c r="V2585" s="4"/>
      <c r="W2585" s="5"/>
      <c r="X2585" s="4"/>
      <c r="Y2585" s="4"/>
      <c r="Z2585" s="5"/>
      <c r="AA2585" s="4"/>
      <c r="AB2585" s="4"/>
      <c r="AC2585" s="4"/>
      <c r="AD2585" s="4"/>
      <c r="AE2585" s="5"/>
      <c r="AF2585" s="5"/>
      <c r="AG2585" s="5"/>
      <c r="AH2585" s="5"/>
      <c r="AI2585" s="5"/>
      <c r="AJ2585" s="5"/>
      <c r="AK2585" s="5"/>
      <c r="AL2585" s="5"/>
    </row>
    <row r="2586">
      <c r="A2586" s="4" t="str">
        <f>VLOOKUP(L2586,payment_ids!C:D,2,FALSE)</f>
        <v>pay_H6wiS8dEIzuvTo</v>
      </c>
      <c r="B2586" s="4"/>
      <c r="C2586" s="4" t="s">
        <v>6466</v>
      </c>
      <c r="D2586" s="4">
        <v>50073.0</v>
      </c>
      <c r="E2586" s="4"/>
      <c r="F2586" s="4">
        <v>1.0</v>
      </c>
      <c r="G2586" s="4">
        <v>599.0</v>
      </c>
      <c r="H2586" s="4"/>
      <c r="I2586" s="4">
        <v>599.0</v>
      </c>
      <c r="J2586" s="4" t="s">
        <v>6473</v>
      </c>
      <c r="K2586" s="6">
        <f>+919873965908</f>
        <v>919873965908</v>
      </c>
      <c r="L2586" s="4" t="str">
        <f t="shared" si="1"/>
        <v>pallavi.dua008@gmail.com919873965908</v>
      </c>
      <c r="M2586" s="10" t="s">
        <v>67</v>
      </c>
      <c r="N2586" s="4" t="b">
        <v>0</v>
      </c>
      <c r="O2586" s="4" t="str">
        <f>VLOOKUP(A2586,payment_ids!D:E,2,FALSE)</f>
        <v>upi</v>
      </c>
      <c r="P2586" s="4" t="s">
        <v>69</v>
      </c>
      <c r="Q2586" s="11">
        <v>44321.33472222222</v>
      </c>
      <c r="R2586" s="4"/>
      <c r="S2586" s="4"/>
      <c r="T2586" s="4"/>
      <c r="U2586" s="4"/>
      <c r="V2586" s="4"/>
      <c r="W2586" s="5"/>
      <c r="X2586" s="4"/>
      <c r="Y2586" s="4"/>
      <c r="Z2586" s="5"/>
      <c r="AA2586" s="4"/>
      <c r="AB2586" s="4"/>
      <c r="AC2586" s="4"/>
      <c r="AD2586" s="4"/>
      <c r="AE2586" s="5"/>
      <c r="AF2586" s="5"/>
      <c r="AG2586" s="5"/>
      <c r="AH2586" s="5"/>
      <c r="AI2586" s="5"/>
      <c r="AJ2586" s="5"/>
      <c r="AK2586" s="5"/>
      <c r="AL2586" s="5"/>
    </row>
    <row r="2587">
      <c r="A2587" s="4" t="str">
        <f>VLOOKUP(L2587,payment_ids!C:D,2,FALSE)</f>
        <v>pay_H798ruilHTE4HX</v>
      </c>
      <c r="B2587" s="4"/>
      <c r="C2587" s="4" t="s">
        <v>6466</v>
      </c>
      <c r="D2587" s="4">
        <v>50073.0</v>
      </c>
      <c r="E2587" s="4"/>
      <c r="F2587" s="4">
        <v>1.0</v>
      </c>
      <c r="G2587" s="4">
        <v>599.0</v>
      </c>
      <c r="H2587" s="4"/>
      <c r="I2587" s="4">
        <v>599.0</v>
      </c>
      <c r="J2587" s="4" t="s">
        <v>6474</v>
      </c>
      <c r="K2587" s="6">
        <f>+918428056052</f>
        <v>918428056052</v>
      </c>
      <c r="L2587" s="4" t="str">
        <f t="shared" si="1"/>
        <v>venkatsaipriya1@gmail.com918428056052</v>
      </c>
      <c r="M2587" s="10" t="s">
        <v>67</v>
      </c>
      <c r="N2587" s="4" t="b">
        <v>0</v>
      </c>
      <c r="O2587" s="4" t="str">
        <f>VLOOKUP(A2587,payment_ids!D:E,2,FALSE)</f>
        <v>card</v>
      </c>
      <c r="P2587" s="4" t="s">
        <v>69</v>
      </c>
      <c r="Q2587" s="11">
        <v>44321.839583333334</v>
      </c>
      <c r="R2587" s="4"/>
      <c r="S2587" s="4"/>
      <c r="T2587" s="4"/>
      <c r="U2587" s="4"/>
      <c r="V2587" s="4"/>
      <c r="W2587" s="5"/>
      <c r="X2587" s="4"/>
      <c r="Y2587" s="4"/>
      <c r="Z2587" s="5"/>
      <c r="AA2587" s="4"/>
      <c r="AB2587" s="4"/>
      <c r="AC2587" s="4"/>
      <c r="AD2587" s="4"/>
      <c r="AE2587" s="5"/>
      <c r="AF2587" s="5"/>
      <c r="AG2587" s="5"/>
      <c r="AH2587" s="5"/>
      <c r="AI2587" s="5"/>
      <c r="AJ2587" s="5"/>
      <c r="AK2587" s="5"/>
      <c r="AL2587" s="5"/>
    </row>
    <row r="2588">
      <c r="A2588" s="4" t="str">
        <f>VLOOKUP(L2588,payment_ids!C:D,2,FALSE)</f>
        <v>pay_H6wnNOFzH0zzcL</v>
      </c>
      <c r="B2588" s="4"/>
      <c r="C2588" s="4" t="s">
        <v>6466</v>
      </c>
      <c r="D2588" s="4">
        <v>50073.0</v>
      </c>
      <c r="E2588" s="4"/>
      <c r="F2588" s="4">
        <v>1.0</v>
      </c>
      <c r="G2588" s="4">
        <v>599.0</v>
      </c>
      <c r="H2588" s="4"/>
      <c r="I2588" s="4">
        <v>599.0</v>
      </c>
      <c r="J2588" s="4" t="s">
        <v>6475</v>
      </c>
      <c r="K2588" s="6">
        <f>+919738738229</f>
        <v>919738738229</v>
      </c>
      <c r="L2588" s="4" t="str">
        <f t="shared" si="1"/>
        <v>saravanaraaj@rediffmail.com919738738229</v>
      </c>
      <c r="M2588" s="10" t="s">
        <v>67</v>
      </c>
      <c r="N2588" s="4" t="b">
        <v>0</v>
      </c>
      <c r="O2588" s="4" t="str">
        <f>VLOOKUP(A2588,payment_ids!D:E,2,FALSE)</f>
        <v>netbanking</v>
      </c>
      <c r="P2588" s="4" t="s">
        <v>69</v>
      </c>
      <c r="Q2588" s="11">
        <v>44321.34375</v>
      </c>
      <c r="R2588" s="4"/>
      <c r="S2588" s="4"/>
      <c r="T2588" s="4"/>
      <c r="U2588" s="4"/>
      <c r="V2588" s="4"/>
      <c r="W2588" s="5"/>
      <c r="X2588" s="4"/>
      <c r="Y2588" s="4"/>
      <c r="Z2588" s="5"/>
      <c r="AA2588" s="4"/>
      <c r="AB2588" s="4"/>
      <c r="AC2588" s="4"/>
      <c r="AD2588" s="4"/>
      <c r="AE2588" s="5"/>
      <c r="AF2588" s="5"/>
      <c r="AG2588" s="5"/>
      <c r="AH2588" s="5"/>
      <c r="AI2588" s="5"/>
      <c r="AJ2588" s="5"/>
      <c r="AK2588" s="5"/>
      <c r="AL2588" s="5"/>
    </row>
    <row r="2589">
      <c r="A2589" s="4" t="str">
        <f>VLOOKUP(L2589,payment_ids!C:D,2,FALSE)</f>
        <v>pay_H79ecxRYLhYp69</v>
      </c>
      <c r="B2589" s="4"/>
      <c r="C2589" s="4" t="s">
        <v>6466</v>
      </c>
      <c r="D2589" s="4">
        <v>50073.0</v>
      </c>
      <c r="E2589" s="4"/>
      <c r="F2589" s="4">
        <v>1.0</v>
      </c>
      <c r="G2589" s="4">
        <v>599.0</v>
      </c>
      <c r="H2589" s="4"/>
      <c r="I2589" s="4">
        <v>599.0</v>
      </c>
      <c r="J2589" s="4" t="s">
        <v>6476</v>
      </c>
      <c r="K2589" s="6">
        <f>+919811316353</f>
        <v>919811316353</v>
      </c>
      <c r="L2589" s="4" t="str">
        <f t="shared" si="1"/>
        <v>parulmehra84@gmail.com919811316353</v>
      </c>
      <c r="M2589" s="10" t="s">
        <v>67</v>
      </c>
      <c r="N2589" s="4" t="b">
        <v>0</v>
      </c>
      <c r="O2589" s="4" t="str">
        <f>VLOOKUP(A2589,payment_ids!D:E,2,FALSE)</f>
        <v>wallet</v>
      </c>
      <c r="P2589" s="4" t="s">
        <v>69</v>
      </c>
      <c r="Q2589" s="11">
        <v>44321.86736111111</v>
      </c>
      <c r="R2589" s="4"/>
      <c r="S2589" s="4"/>
      <c r="T2589" s="4"/>
      <c r="U2589" s="4"/>
      <c r="V2589" s="4"/>
      <c r="W2589" s="5"/>
      <c r="X2589" s="4"/>
      <c r="Y2589" s="4"/>
      <c r="Z2589" s="5"/>
      <c r="AA2589" s="4"/>
      <c r="AB2589" s="4"/>
      <c r="AC2589" s="4"/>
      <c r="AD2589" s="4"/>
      <c r="AE2589" s="5"/>
      <c r="AF2589" s="5"/>
      <c r="AG2589" s="5"/>
      <c r="AH2589" s="5"/>
      <c r="AI2589" s="5"/>
      <c r="AJ2589" s="5"/>
      <c r="AK2589" s="5"/>
      <c r="AL2589" s="5"/>
    </row>
    <row r="2590">
      <c r="A2590" s="4" t="str">
        <f>VLOOKUP(L2590,payment_ids!C:D,2,FALSE)</f>
        <v>pay_H79xdlMyStPmGO</v>
      </c>
      <c r="B2590" s="4"/>
      <c r="C2590" s="4" t="s">
        <v>6466</v>
      </c>
      <c r="D2590" s="4">
        <v>50073.0</v>
      </c>
      <c r="E2590" s="4"/>
      <c r="F2590" s="4">
        <v>1.0</v>
      </c>
      <c r="G2590" s="4">
        <v>599.0</v>
      </c>
      <c r="H2590" s="4"/>
      <c r="I2590" s="4">
        <v>599.0</v>
      </c>
      <c r="J2590" s="4" t="s">
        <v>6477</v>
      </c>
      <c r="K2590" s="6">
        <f>+919910595084</f>
        <v>919910595084</v>
      </c>
      <c r="L2590" s="4" t="str">
        <f t="shared" si="1"/>
        <v>rakhibandhu.rb@gmail.com919910595084</v>
      </c>
      <c r="M2590" s="10" t="s">
        <v>67</v>
      </c>
      <c r="N2590" s="4" t="b">
        <v>0</v>
      </c>
      <c r="O2590" s="4" t="str">
        <f>VLOOKUP(A2590,payment_ids!D:E,2,FALSE)</f>
        <v>upi</v>
      </c>
      <c r="P2590" s="4" t="s">
        <v>69</v>
      </c>
      <c r="Q2590" s="11">
        <v>44321.87708333333</v>
      </c>
      <c r="R2590" s="4"/>
      <c r="S2590" s="4"/>
      <c r="T2590" s="4"/>
      <c r="U2590" s="4"/>
      <c r="V2590" s="4"/>
      <c r="W2590" s="5"/>
      <c r="X2590" s="4"/>
      <c r="Y2590" s="4"/>
      <c r="Z2590" s="5"/>
      <c r="AA2590" s="4"/>
      <c r="AB2590" s="4"/>
      <c r="AC2590" s="4"/>
      <c r="AD2590" s="4"/>
      <c r="AE2590" s="5"/>
      <c r="AF2590" s="5"/>
      <c r="AG2590" s="5"/>
      <c r="AH2590" s="5"/>
      <c r="AI2590" s="5"/>
      <c r="AJ2590" s="5"/>
      <c r="AK2590" s="5"/>
      <c r="AL2590" s="5"/>
    </row>
    <row r="2591">
      <c r="A2591" s="4" t="str">
        <f>VLOOKUP(L2591,payment_ids!C:D,2,FALSE)</f>
        <v>pay_H7AoWjPWQKyOjD</v>
      </c>
      <c r="B2591" s="4"/>
      <c r="C2591" s="4" t="s">
        <v>6466</v>
      </c>
      <c r="D2591" s="4">
        <v>50073.0</v>
      </c>
      <c r="E2591" s="4"/>
      <c r="F2591" s="4">
        <v>1.0</v>
      </c>
      <c r="G2591" s="4">
        <v>599.0</v>
      </c>
      <c r="H2591" s="4"/>
      <c r="I2591" s="4">
        <v>599.0</v>
      </c>
      <c r="J2591" s="4" t="s">
        <v>6478</v>
      </c>
      <c r="K2591" s="6">
        <f>+919036755270</f>
        <v>919036755270</v>
      </c>
      <c r="L2591" s="4" t="str">
        <f t="shared" si="1"/>
        <v>sunderr20@gmail.com919036755270</v>
      </c>
      <c r="M2591" s="10" t="s">
        <v>67</v>
      </c>
      <c r="N2591" s="4" t="b">
        <v>0</v>
      </c>
      <c r="O2591" s="4" t="str">
        <f>VLOOKUP(A2591,payment_ids!D:E,2,FALSE)</f>
        <v>netbanking</v>
      </c>
      <c r="P2591" s="4" t="s">
        <v>69</v>
      </c>
      <c r="Q2591" s="11">
        <v>44321.90694444445</v>
      </c>
      <c r="R2591" s="4"/>
      <c r="S2591" s="4"/>
      <c r="T2591" s="4"/>
      <c r="U2591" s="4"/>
      <c r="V2591" s="4"/>
      <c r="W2591" s="5"/>
      <c r="X2591" s="4"/>
      <c r="Y2591" s="4"/>
      <c r="Z2591" s="5"/>
      <c r="AA2591" s="4"/>
      <c r="AB2591" s="4"/>
      <c r="AC2591" s="4"/>
      <c r="AD2591" s="4"/>
      <c r="AE2591" s="5"/>
      <c r="AF2591" s="5"/>
      <c r="AG2591" s="5"/>
      <c r="AH2591" s="5"/>
      <c r="AI2591" s="5"/>
      <c r="AJ2591" s="5"/>
      <c r="AK2591" s="5"/>
      <c r="AL2591" s="5"/>
    </row>
    <row r="2592">
      <c r="A2592" s="4" t="str">
        <f>VLOOKUP(L2592,payment_ids!C:D,2,FALSE)</f>
        <v>pay_H7C20oNPfjfV1P</v>
      </c>
      <c r="B2592" s="4"/>
      <c r="C2592" s="4" t="s">
        <v>6466</v>
      </c>
      <c r="D2592" s="4">
        <v>50073.0</v>
      </c>
      <c r="E2592" s="4"/>
      <c r="F2592" s="4">
        <v>1.0</v>
      </c>
      <c r="G2592" s="4">
        <v>599.0</v>
      </c>
      <c r="H2592" s="4"/>
      <c r="I2592" s="4">
        <v>599.0</v>
      </c>
      <c r="J2592" s="4" t="s">
        <v>6479</v>
      </c>
      <c r="K2592" s="6">
        <f>+919899972124</f>
        <v>919899972124</v>
      </c>
      <c r="L2592" s="4" t="str">
        <f t="shared" si="1"/>
        <v>palak1507@gmail.com919899972124</v>
      </c>
      <c r="M2592" s="10" t="s">
        <v>67</v>
      </c>
      <c r="N2592" s="4" t="b">
        <v>0</v>
      </c>
      <c r="O2592" s="4" t="str">
        <f>VLOOKUP(A2592,payment_ids!D:E,2,FALSE)</f>
        <v>upi</v>
      </c>
      <c r="P2592" s="4" t="s">
        <v>69</v>
      </c>
      <c r="Q2592" s="11">
        <v>44321.95625</v>
      </c>
      <c r="R2592" s="4"/>
      <c r="S2592" s="4"/>
      <c r="T2592" s="4"/>
      <c r="U2592" s="4"/>
      <c r="V2592" s="4"/>
      <c r="W2592" s="5"/>
      <c r="X2592" s="4"/>
      <c r="Y2592" s="4"/>
      <c r="Z2592" s="5"/>
      <c r="AA2592" s="4"/>
      <c r="AB2592" s="4"/>
      <c r="AC2592" s="4"/>
      <c r="AD2592" s="4"/>
      <c r="AE2592" s="5"/>
      <c r="AF2592" s="5"/>
      <c r="AG2592" s="5"/>
      <c r="AH2592" s="5"/>
      <c r="AI2592" s="5"/>
      <c r="AJ2592" s="5"/>
      <c r="AK2592" s="5"/>
      <c r="AL2592" s="5"/>
    </row>
    <row r="2593">
      <c r="A2593" s="4" t="str">
        <f>VLOOKUP(L2593,payment_ids!C:D,2,FALSE)</f>
        <v>pay_H7SNdKKwICezC0</v>
      </c>
      <c r="B2593" s="4"/>
      <c r="C2593" s="4" t="s">
        <v>6466</v>
      </c>
      <c r="D2593" s="4">
        <v>50073.0</v>
      </c>
      <c r="E2593" s="4"/>
      <c r="F2593" s="4">
        <v>1.0</v>
      </c>
      <c r="G2593" s="4">
        <v>599.0</v>
      </c>
      <c r="H2593" s="4"/>
      <c r="I2593" s="4">
        <v>599.0</v>
      </c>
      <c r="J2593" s="4" t="s">
        <v>6480</v>
      </c>
      <c r="K2593" s="6">
        <f>+919636433336</f>
        <v>919636433336</v>
      </c>
      <c r="L2593" s="4" t="str">
        <f t="shared" si="1"/>
        <v>tanjain3008@gmail.com919636433336</v>
      </c>
      <c r="M2593" s="10" t="s">
        <v>67</v>
      </c>
      <c r="N2593" s="4" t="b">
        <v>0</v>
      </c>
      <c r="O2593" s="4" t="str">
        <f>VLOOKUP(A2593,payment_ids!D:E,2,FALSE)</f>
        <v>netbanking</v>
      </c>
      <c r="P2593" s="4" t="s">
        <v>69</v>
      </c>
      <c r="Q2593" s="11">
        <v>44352.623611111114</v>
      </c>
      <c r="R2593" s="4"/>
      <c r="S2593" s="4"/>
      <c r="T2593" s="4"/>
      <c r="U2593" s="4"/>
      <c r="V2593" s="4"/>
      <c r="W2593" s="5"/>
      <c r="X2593" s="4"/>
      <c r="Y2593" s="4"/>
      <c r="Z2593" s="5"/>
      <c r="AA2593" s="4"/>
      <c r="AB2593" s="4"/>
      <c r="AC2593" s="4"/>
      <c r="AD2593" s="4"/>
      <c r="AE2593" s="5"/>
      <c r="AF2593" s="5"/>
      <c r="AG2593" s="5"/>
      <c r="AH2593" s="5"/>
      <c r="AI2593" s="5"/>
      <c r="AJ2593" s="5"/>
      <c r="AK2593" s="5"/>
      <c r="AL2593" s="5"/>
    </row>
    <row r="2594">
      <c r="A2594" s="4" t="str">
        <f>VLOOKUP(L2594,payment_ids!C:D,2,FALSE)</f>
        <v>pay_H7VdkJ06DVdhrA</v>
      </c>
      <c r="B2594" s="4"/>
      <c r="C2594" s="4" t="s">
        <v>6466</v>
      </c>
      <c r="D2594" s="4">
        <v>50073.0</v>
      </c>
      <c r="E2594" s="4"/>
      <c r="F2594" s="4">
        <v>1.0</v>
      </c>
      <c r="G2594" s="4">
        <v>599.0</v>
      </c>
      <c r="H2594" s="4"/>
      <c r="I2594" s="4">
        <v>599.0</v>
      </c>
      <c r="J2594" s="4" t="s">
        <v>6481</v>
      </c>
      <c r="K2594" s="6">
        <f>+919911525487</f>
        <v>919911525487</v>
      </c>
      <c r="L2594" s="4" t="str">
        <f t="shared" si="1"/>
        <v>anjanakhanna1169@gmail.com919911525487</v>
      </c>
      <c r="M2594" s="10" t="s">
        <v>67</v>
      </c>
      <c r="N2594" s="4" t="b">
        <v>0</v>
      </c>
      <c r="O2594" s="4" t="str">
        <f>VLOOKUP(A2594,payment_ids!D:E,2,FALSE)</f>
        <v>card</v>
      </c>
      <c r="P2594" s="4" t="s">
        <v>69</v>
      </c>
      <c r="Q2594" s="11">
        <v>44352.756944444445</v>
      </c>
      <c r="R2594" s="4"/>
      <c r="S2594" s="4"/>
      <c r="T2594" s="4"/>
      <c r="U2594" s="4"/>
      <c r="V2594" s="4"/>
      <c r="W2594" s="5"/>
      <c r="X2594" s="4"/>
      <c r="Y2594" s="4"/>
      <c r="Z2594" s="5"/>
      <c r="AA2594" s="4"/>
      <c r="AB2594" s="4"/>
      <c r="AC2594" s="4"/>
      <c r="AD2594" s="4"/>
      <c r="AE2594" s="5"/>
      <c r="AF2594" s="5"/>
      <c r="AG2594" s="5"/>
      <c r="AH2594" s="5"/>
      <c r="AI2594" s="5"/>
      <c r="AJ2594" s="5"/>
      <c r="AK2594" s="5"/>
      <c r="AL2594" s="5"/>
    </row>
    <row r="2595">
      <c r="A2595" s="4" t="str">
        <f>VLOOKUP(L2595,payment_ids!C:D,2,FALSE)</f>
        <v>pay_H7WL951gfvIH0v</v>
      </c>
      <c r="B2595" s="4"/>
      <c r="C2595" s="4" t="s">
        <v>6466</v>
      </c>
      <c r="D2595" s="4">
        <v>50073.0</v>
      </c>
      <c r="E2595" s="4"/>
      <c r="F2595" s="4">
        <v>1.0</v>
      </c>
      <c r="G2595" s="4">
        <v>599.0</v>
      </c>
      <c r="H2595" s="4"/>
      <c r="I2595" s="4">
        <v>599.0</v>
      </c>
      <c r="J2595" s="4" t="s">
        <v>6482</v>
      </c>
      <c r="K2595" s="6">
        <f>+918527343510</f>
        <v>918527343510</v>
      </c>
      <c r="L2595" s="4" t="str">
        <f t="shared" si="1"/>
        <v>camabhisnehal@gmail.com918527343510</v>
      </c>
      <c r="M2595" s="10" t="s">
        <v>67</v>
      </c>
      <c r="N2595" s="4" t="b">
        <v>0</v>
      </c>
      <c r="O2595" s="4" t="str">
        <f>VLOOKUP(A2595,payment_ids!D:E,2,FALSE)</f>
        <v>netbanking</v>
      </c>
      <c r="P2595" s="4" t="s">
        <v>69</v>
      </c>
      <c r="Q2595" s="11">
        <v>44352.78680555556</v>
      </c>
      <c r="R2595" s="4"/>
      <c r="S2595" s="4"/>
      <c r="T2595" s="4"/>
      <c r="U2595" s="4"/>
      <c r="V2595" s="4"/>
      <c r="W2595" s="5"/>
      <c r="X2595" s="4"/>
      <c r="Y2595" s="4"/>
      <c r="Z2595" s="5"/>
      <c r="AA2595" s="4"/>
      <c r="AB2595" s="4"/>
      <c r="AC2595" s="4"/>
      <c r="AD2595" s="4"/>
      <c r="AE2595" s="5"/>
      <c r="AF2595" s="5"/>
      <c r="AG2595" s="5"/>
      <c r="AH2595" s="5"/>
      <c r="AI2595" s="5"/>
      <c r="AJ2595" s="5"/>
      <c r="AK2595" s="5"/>
      <c r="AL2595" s="5"/>
    </row>
    <row r="2596">
      <c r="A2596" s="4" t="str">
        <f>VLOOKUP(L2596,payment_ids!C:D,2,FALSE)</f>
        <v>pay_H7WQcnVXRTRmkm</v>
      </c>
      <c r="B2596" s="4"/>
      <c r="C2596" s="4" t="s">
        <v>6466</v>
      </c>
      <c r="D2596" s="4">
        <v>50073.0</v>
      </c>
      <c r="E2596" s="4"/>
      <c r="F2596" s="4">
        <v>1.0</v>
      </c>
      <c r="G2596" s="4">
        <v>599.0</v>
      </c>
      <c r="H2596" s="4"/>
      <c r="I2596" s="4">
        <v>599.0</v>
      </c>
      <c r="J2596" s="4" t="s">
        <v>6483</v>
      </c>
      <c r="K2596" s="6">
        <f>+919448847519</f>
        <v>919448847519</v>
      </c>
      <c r="L2596" s="4" t="str">
        <f t="shared" si="1"/>
        <v>inv.anshu@gmail.com919448847519</v>
      </c>
      <c r="M2596" s="10" t="s">
        <v>67</v>
      </c>
      <c r="N2596" s="4" t="b">
        <v>0</v>
      </c>
      <c r="O2596" s="4" t="str">
        <f>VLOOKUP(A2596,payment_ids!D:E,2,FALSE)</f>
        <v>upi</v>
      </c>
      <c r="P2596" s="4" t="s">
        <v>69</v>
      </c>
      <c r="Q2596" s="11">
        <v>44352.7875</v>
      </c>
      <c r="R2596" s="4"/>
      <c r="S2596" s="4"/>
      <c r="T2596" s="4"/>
      <c r="U2596" s="4"/>
      <c r="V2596" s="4"/>
      <c r="W2596" s="5"/>
      <c r="X2596" s="4"/>
      <c r="Y2596" s="4"/>
      <c r="Z2596" s="5"/>
      <c r="AA2596" s="4"/>
      <c r="AB2596" s="4"/>
      <c r="AC2596" s="4"/>
      <c r="AD2596" s="4"/>
      <c r="AE2596" s="5"/>
      <c r="AF2596" s="5"/>
      <c r="AG2596" s="5"/>
      <c r="AH2596" s="5"/>
      <c r="AI2596" s="5"/>
      <c r="AJ2596" s="5"/>
      <c r="AK2596" s="5"/>
      <c r="AL2596" s="5"/>
    </row>
    <row r="2597">
      <c r="A2597" s="4" t="str">
        <f>VLOOKUP(L2597,payment_ids!C:D,2,FALSE)</f>
        <v>pay_H7WiRlUeaFzKib</v>
      </c>
      <c r="B2597" s="4"/>
      <c r="C2597" s="4" t="s">
        <v>6466</v>
      </c>
      <c r="D2597" s="4">
        <v>50073.0</v>
      </c>
      <c r="E2597" s="4"/>
      <c r="F2597" s="4">
        <v>1.0</v>
      </c>
      <c r="G2597" s="4">
        <v>599.0</v>
      </c>
      <c r="H2597" s="4"/>
      <c r="I2597" s="4">
        <v>599.0</v>
      </c>
      <c r="J2597" s="4" t="s">
        <v>6484</v>
      </c>
      <c r="K2597" s="6">
        <f>+919560319957</f>
        <v>919560319957</v>
      </c>
      <c r="L2597" s="4" t="str">
        <f t="shared" si="1"/>
        <v>humakhanvirgo@gmail.com919560319957</v>
      </c>
      <c r="M2597" s="10" t="s">
        <v>67</v>
      </c>
      <c r="N2597" s="4" t="b">
        <v>0</v>
      </c>
      <c r="O2597" s="4" t="str">
        <f>VLOOKUP(A2597,payment_ids!D:E,2,FALSE)</f>
        <v>upi</v>
      </c>
      <c r="P2597" s="4" t="s">
        <v>69</v>
      </c>
      <c r="Q2597" s="11">
        <v>44352.799305555556</v>
      </c>
      <c r="R2597" s="4"/>
      <c r="S2597" s="4"/>
      <c r="T2597" s="4"/>
      <c r="U2597" s="4"/>
      <c r="V2597" s="4"/>
      <c r="W2597" s="5"/>
      <c r="X2597" s="4"/>
      <c r="Y2597" s="4"/>
      <c r="Z2597" s="5"/>
      <c r="AA2597" s="4"/>
      <c r="AB2597" s="4"/>
      <c r="AC2597" s="4"/>
      <c r="AD2597" s="4"/>
      <c r="AE2597" s="5"/>
      <c r="AF2597" s="5"/>
      <c r="AG2597" s="5"/>
      <c r="AH2597" s="5"/>
      <c r="AI2597" s="5"/>
      <c r="AJ2597" s="5"/>
      <c r="AK2597" s="5"/>
      <c r="AL2597" s="5"/>
    </row>
    <row r="2598">
      <c r="A2598" s="4" t="str">
        <f>VLOOKUP(L2598,payment_ids!C:D,2,FALSE)</f>
        <v>pay_H7WwbyTsx1i8nZ</v>
      </c>
      <c r="B2598" s="4"/>
      <c r="C2598" s="4" t="s">
        <v>6466</v>
      </c>
      <c r="D2598" s="4">
        <v>50073.0</v>
      </c>
      <c r="E2598" s="4"/>
      <c r="F2598" s="4">
        <v>1.0</v>
      </c>
      <c r="G2598" s="4">
        <v>599.0</v>
      </c>
      <c r="H2598" s="4"/>
      <c r="I2598" s="4">
        <v>599.0</v>
      </c>
      <c r="J2598" s="4" t="s">
        <v>6485</v>
      </c>
      <c r="K2598" s="6">
        <f>+918447208914</f>
        <v>918447208914</v>
      </c>
      <c r="L2598" s="4" t="str">
        <f t="shared" si="1"/>
        <v>annusmail@gmail.com918447208914</v>
      </c>
      <c r="M2598" s="10" t="s">
        <v>67</v>
      </c>
      <c r="N2598" s="4" t="b">
        <v>0</v>
      </c>
      <c r="O2598" s="4" t="str">
        <f>VLOOKUP(A2598,payment_ids!D:E,2,FALSE)</f>
        <v>netbanking</v>
      </c>
      <c r="P2598" s="4" t="s">
        <v>69</v>
      </c>
      <c r="Q2598" s="11">
        <v>44352.80972222222</v>
      </c>
      <c r="R2598" s="4"/>
      <c r="S2598" s="4"/>
      <c r="T2598" s="4"/>
      <c r="U2598" s="4"/>
      <c r="V2598" s="4"/>
      <c r="W2598" s="5"/>
      <c r="X2598" s="4"/>
      <c r="Y2598" s="4"/>
      <c r="Z2598" s="5"/>
      <c r="AA2598" s="4"/>
      <c r="AB2598" s="4"/>
      <c r="AC2598" s="4"/>
      <c r="AD2598" s="4"/>
      <c r="AE2598" s="5"/>
      <c r="AF2598" s="5"/>
      <c r="AG2598" s="5"/>
      <c r="AH2598" s="5"/>
      <c r="AI2598" s="5"/>
      <c r="AJ2598" s="5"/>
      <c r="AK2598" s="5"/>
      <c r="AL2598" s="5"/>
    </row>
    <row r="2599">
      <c r="A2599" s="4" t="str">
        <f>VLOOKUP(L2599,payment_ids!C:D,2,FALSE)</f>
        <v>pay_H7Kj2KE89Pqen5</v>
      </c>
      <c r="B2599" s="4"/>
      <c r="C2599" s="4" t="s">
        <v>6466</v>
      </c>
      <c r="D2599" s="4">
        <v>50073.0</v>
      </c>
      <c r="E2599" s="4"/>
      <c r="F2599" s="4">
        <v>1.0</v>
      </c>
      <c r="G2599" s="4">
        <v>599.0</v>
      </c>
      <c r="H2599" s="4"/>
      <c r="I2599" s="4">
        <v>599.0</v>
      </c>
      <c r="J2599" s="4" t="s">
        <v>6486</v>
      </c>
      <c r="K2599" s="6">
        <f>+919840718371</f>
        <v>919840718371</v>
      </c>
      <c r="L2599" s="4" t="str">
        <f t="shared" si="1"/>
        <v>nishith@shreefinancial.com919840718371</v>
      </c>
      <c r="M2599" s="10" t="s">
        <v>67</v>
      </c>
      <c r="N2599" s="4" t="b">
        <v>0</v>
      </c>
      <c r="O2599" s="4" t="str">
        <f>VLOOKUP(A2599,payment_ids!D:E,2,FALSE)</f>
        <v>upi</v>
      </c>
      <c r="P2599" s="4" t="s">
        <v>69</v>
      </c>
      <c r="Q2599" s="11">
        <v>44352.311111111114</v>
      </c>
      <c r="R2599" s="4"/>
      <c r="S2599" s="4"/>
      <c r="T2599" s="4"/>
      <c r="U2599" s="4"/>
      <c r="V2599" s="4"/>
      <c r="W2599" s="5"/>
      <c r="X2599" s="4"/>
      <c r="Y2599" s="4"/>
      <c r="Z2599" s="5"/>
      <c r="AA2599" s="4"/>
      <c r="AB2599" s="4"/>
      <c r="AC2599" s="4"/>
      <c r="AD2599" s="4"/>
      <c r="AE2599" s="5"/>
      <c r="AF2599" s="5"/>
      <c r="AG2599" s="5"/>
      <c r="AH2599" s="5"/>
      <c r="AI2599" s="5"/>
      <c r="AJ2599" s="5"/>
      <c r="AK2599" s="5"/>
      <c r="AL2599" s="5"/>
    </row>
    <row r="2600">
      <c r="A2600" s="4" t="str">
        <f>VLOOKUP(L2600,payment_ids!C:D,2,FALSE)</f>
        <v>pay_H7XQN8S0YfTIuh</v>
      </c>
      <c r="B2600" s="4"/>
      <c r="C2600" s="4" t="s">
        <v>6466</v>
      </c>
      <c r="D2600" s="4">
        <v>50073.0</v>
      </c>
      <c r="E2600" s="4"/>
      <c r="F2600" s="4">
        <v>1.0</v>
      </c>
      <c r="G2600" s="4">
        <v>599.0</v>
      </c>
      <c r="H2600" s="4"/>
      <c r="I2600" s="4">
        <v>599.0</v>
      </c>
      <c r="J2600" s="4" t="s">
        <v>6487</v>
      </c>
      <c r="K2600" s="6">
        <f>+919540023838</f>
        <v>919540023838</v>
      </c>
      <c r="L2600" s="4" t="str">
        <f t="shared" si="1"/>
        <v>mishra.prabhatlko@gmail.com919540023838</v>
      </c>
      <c r="M2600" s="10" t="s">
        <v>67</v>
      </c>
      <c r="N2600" s="4" t="b">
        <v>0</v>
      </c>
      <c r="O2600" s="4" t="str">
        <f>VLOOKUP(A2600,payment_ids!D:E,2,FALSE)</f>
        <v>netbanking</v>
      </c>
      <c r="P2600" s="4" t="s">
        <v>69</v>
      </c>
      <c r="Q2600" s="11">
        <v>44352.82916666667</v>
      </c>
      <c r="R2600" s="4"/>
      <c r="S2600" s="4"/>
      <c r="T2600" s="4"/>
      <c r="U2600" s="4"/>
      <c r="V2600" s="4"/>
      <c r="W2600" s="5"/>
      <c r="X2600" s="4"/>
      <c r="Y2600" s="4"/>
      <c r="Z2600" s="5"/>
      <c r="AA2600" s="4"/>
      <c r="AB2600" s="4"/>
      <c r="AC2600" s="4"/>
      <c r="AD2600" s="4"/>
      <c r="AE2600" s="5"/>
      <c r="AF2600" s="5"/>
      <c r="AG2600" s="5"/>
      <c r="AH2600" s="5"/>
      <c r="AI2600" s="5"/>
      <c r="AJ2600" s="5"/>
      <c r="AK2600" s="5"/>
      <c r="AL2600" s="5"/>
    </row>
    <row r="2601">
      <c r="A2601" s="4" t="str">
        <f>VLOOKUP(L2601,payment_ids!C:D,2,FALSE)</f>
        <v>pay_H7M0yw8BTeQLl4</v>
      </c>
      <c r="B2601" s="4"/>
      <c r="C2601" s="4" t="s">
        <v>6466</v>
      </c>
      <c r="D2601" s="4">
        <v>50073.0</v>
      </c>
      <c r="E2601" s="4"/>
      <c r="F2601" s="4">
        <v>1.0</v>
      </c>
      <c r="G2601" s="4">
        <v>599.0</v>
      </c>
      <c r="H2601" s="4"/>
      <c r="I2601" s="4">
        <v>599.0</v>
      </c>
      <c r="J2601" s="4" t="s">
        <v>6488</v>
      </c>
      <c r="K2601" s="6">
        <f>+918295901664</f>
        <v>918295901664</v>
      </c>
      <c r="L2601" s="4" t="str">
        <f t="shared" si="1"/>
        <v>vivekarora1705@gmail.com918295901664</v>
      </c>
      <c r="M2601" s="10" t="s">
        <v>67</v>
      </c>
      <c r="N2601" s="4" t="b">
        <v>0</v>
      </c>
      <c r="O2601" s="4" t="str">
        <f>VLOOKUP(A2601,payment_ids!D:E,2,FALSE)</f>
        <v>card</v>
      </c>
      <c r="P2601" s="4" t="s">
        <v>69</v>
      </c>
      <c r="Q2601" s="11">
        <v>44352.36388888889</v>
      </c>
      <c r="R2601" s="4"/>
      <c r="S2601" s="4"/>
      <c r="T2601" s="4"/>
      <c r="U2601" s="4"/>
      <c r="V2601" s="4"/>
      <c r="W2601" s="5"/>
      <c r="X2601" s="4"/>
      <c r="Y2601" s="4"/>
      <c r="Z2601" s="5"/>
      <c r="AA2601" s="4"/>
      <c r="AB2601" s="4"/>
      <c r="AC2601" s="4"/>
      <c r="AD2601" s="4"/>
      <c r="AE2601" s="5"/>
      <c r="AF2601" s="5"/>
      <c r="AG2601" s="5"/>
      <c r="AH2601" s="5"/>
      <c r="AI2601" s="5"/>
      <c r="AJ2601" s="5"/>
      <c r="AK2601" s="5"/>
      <c r="AL2601" s="5"/>
    </row>
    <row r="2602">
      <c r="A2602" s="4" t="str">
        <f>VLOOKUP(L2602,payment_ids!C:D,2,FALSE)</f>
        <v>pay_H7PltBUerzfnEK</v>
      </c>
      <c r="B2602" s="4"/>
      <c r="C2602" s="4" t="s">
        <v>6466</v>
      </c>
      <c r="D2602" s="4">
        <v>50073.0</v>
      </c>
      <c r="E2602" s="4"/>
      <c r="F2602" s="4">
        <v>1.0</v>
      </c>
      <c r="G2602" s="4">
        <v>599.0</v>
      </c>
      <c r="H2602" s="4"/>
      <c r="I2602" s="4">
        <v>599.0</v>
      </c>
      <c r="J2602" s="4" t="s">
        <v>6489</v>
      </c>
      <c r="K2602" s="6">
        <f>+919899837660</f>
        <v>919899837660</v>
      </c>
      <c r="L2602" s="4" t="str">
        <f t="shared" si="1"/>
        <v>ma.arora@yahoo.in919899837660</v>
      </c>
      <c r="M2602" s="10" t="s">
        <v>67</v>
      </c>
      <c r="N2602" s="4" t="b">
        <v>0</v>
      </c>
      <c r="O2602" s="4" t="str">
        <f>VLOOKUP(A2602,payment_ids!D:E,2,FALSE)</f>
        <v>upi</v>
      </c>
      <c r="P2602" s="4" t="s">
        <v>69</v>
      </c>
      <c r="Q2602" s="11">
        <v>44352.51597222222</v>
      </c>
      <c r="R2602" s="4"/>
      <c r="S2602" s="4"/>
      <c r="T2602" s="4"/>
      <c r="U2602" s="4"/>
      <c r="V2602" s="4"/>
      <c r="W2602" s="5"/>
      <c r="X2602" s="4"/>
      <c r="Y2602" s="4"/>
      <c r="Z2602" s="5"/>
      <c r="AA2602" s="4"/>
      <c r="AB2602" s="4"/>
      <c r="AC2602" s="4"/>
      <c r="AD2602" s="4"/>
      <c r="AE2602" s="5"/>
      <c r="AF2602" s="5"/>
      <c r="AG2602" s="5"/>
      <c r="AH2602" s="5"/>
      <c r="AI2602" s="5"/>
      <c r="AJ2602" s="5"/>
      <c r="AK2602" s="5"/>
      <c r="AL2602" s="5"/>
    </row>
    <row r="2603">
      <c r="A2603" s="4" t="str">
        <f>VLOOKUP(L2603,payment_ids!C:D,2,FALSE)</f>
        <v>pay_H8JuvMG5c9y8og</v>
      </c>
      <c r="B2603" s="4"/>
      <c r="C2603" s="4" t="s">
        <v>6466</v>
      </c>
      <c r="D2603" s="4">
        <v>50073.0</v>
      </c>
      <c r="E2603" s="4"/>
      <c r="F2603" s="4">
        <v>1.0</v>
      </c>
      <c r="G2603" s="4">
        <v>599.0</v>
      </c>
      <c r="H2603" s="4"/>
      <c r="I2603" s="4">
        <v>599.0</v>
      </c>
      <c r="J2603" s="4" t="s">
        <v>6490</v>
      </c>
      <c r="K2603" s="6">
        <f>+919844939825</f>
        <v>919844939825</v>
      </c>
      <c r="L2603" s="4" t="str">
        <f t="shared" si="1"/>
        <v>bharathipaddy@gmail.com919844939825</v>
      </c>
      <c r="M2603" s="10" t="s">
        <v>67</v>
      </c>
      <c r="N2603" s="4" t="b">
        <v>0</v>
      </c>
      <c r="O2603" s="4" t="str">
        <f>VLOOKUP(A2603,payment_ids!D:E,2,FALSE)</f>
        <v>wallet</v>
      </c>
      <c r="P2603" s="4" t="s">
        <v>69</v>
      </c>
      <c r="Q2603" s="11">
        <v>44413.805555555555</v>
      </c>
      <c r="R2603" s="4"/>
      <c r="S2603" s="4"/>
      <c r="T2603" s="4"/>
      <c r="U2603" s="4"/>
      <c r="V2603" s="4"/>
      <c r="W2603" s="5"/>
      <c r="X2603" s="4"/>
      <c r="Y2603" s="4"/>
      <c r="Z2603" s="5"/>
      <c r="AA2603" s="4"/>
      <c r="AB2603" s="4"/>
      <c r="AC2603" s="4"/>
      <c r="AD2603" s="4"/>
      <c r="AE2603" s="5"/>
      <c r="AF2603" s="5"/>
      <c r="AG2603" s="5"/>
      <c r="AH2603" s="5"/>
      <c r="AI2603" s="5"/>
      <c r="AJ2603" s="5"/>
      <c r="AK2603" s="5"/>
      <c r="AL2603" s="5"/>
    </row>
    <row r="2604">
      <c r="A2604" s="4" t="str">
        <f>VLOOKUP(L2604,payment_ids!C:D,2,FALSE)</f>
        <v>pay_H8KPUDmdlWPiy4</v>
      </c>
      <c r="B2604" s="4"/>
      <c r="C2604" s="4" t="s">
        <v>6466</v>
      </c>
      <c r="D2604" s="4">
        <v>50073.0</v>
      </c>
      <c r="E2604" s="4"/>
      <c r="F2604" s="4">
        <v>1.0</v>
      </c>
      <c r="G2604" s="4">
        <v>599.0</v>
      </c>
      <c r="H2604" s="4"/>
      <c r="I2604" s="4">
        <v>599.0</v>
      </c>
      <c r="J2604" s="4" t="s">
        <v>6491</v>
      </c>
      <c r="K2604" s="6">
        <f>+919696046295</f>
        <v>919696046295</v>
      </c>
      <c r="L2604" s="4" t="str">
        <f t="shared" si="1"/>
        <v>singhvineeta.786@gmail.com919696046295</v>
      </c>
      <c r="M2604" s="10" t="s">
        <v>67</v>
      </c>
      <c r="N2604" s="4" t="b">
        <v>0</v>
      </c>
      <c r="O2604" s="4" t="str">
        <f>VLOOKUP(A2604,payment_ids!D:E,2,FALSE)</f>
        <v>netbanking</v>
      </c>
      <c r="P2604" s="4" t="s">
        <v>69</v>
      </c>
      <c r="Q2604" s="11">
        <v>44413.825</v>
      </c>
      <c r="R2604" s="4"/>
      <c r="S2604" s="4"/>
      <c r="T2604" s="4"/>
      <c r="U2604" s="4"/>
      <c r="V2604" s="4"/>
      <c r="W2604" s="5"/>
      <c r="X2604" s="4"/>
      <c r="Y2604" s="4"/>
      <c r="Z2604" s="5"/>
      <c r="AA2604" s="4"/>
      <c r="AB2604" s="4"/>
      <c r="AC2604" s="4"/>
      <c r="AD2604" s="4"/>
      <c r="AE2604" s="5"/>
      <c r="AF2604" s="5"/>
      <c r="AG2604" s="5"/>
      <c r="AH2604" s="5"/>
      <c r="AI2604" s="5"/>
      <c r="AJ2604" s="5"/>
      <c r="AK2604" s="5"/>
      <c r="AL2604" s="5"/>
    </row>
    <row r="2605">
      <c r="A2605" s="4" t="str">
        <f>VLOOKUP(L2605,payment_ids!C:D,2,FALSE)</f>
        <v>pay_H88ylWfpVyzIUF</v>
      </c>
      <c r="B2605" s="4"/>
      <c r="C2605" s="4" t="s">
        <v>6466</v>
      </c>
      <c r="D2605" s="4">
        <v>50073.0</v>
      </c>
      <c r="E2605" s="4"/>
      <c r="F2605" s="4">
        <v>1.0</v>
      </c>
      <c r="G2605" s="4">
        <v>599.0</v>
      </c>
      <c r="H2605" s="4"/>
      <c r="I2605" s="4">
        <v>599.0</v>
      </c>
      <c r="J2605" s="4" t="s">
        <v>6492</v>
      </c>
      <c r="K2605" s="6">
        <f>+919892190142</f>
        <v>919892190142</v>
      </c>
      <c r="L2605" s="4" t="str">
        <f t="shared" si="1"/>
        <v>piyu30mamta@gmail.com919892190142</v>
      </c>
      <c r="M2605" s="10" t="s">
        <v>67</v>
      </c>
      <c r="N2605" s="4" t="b">
        <v>0</v>
      </c>
      <c r="O2605" s="4" t="str">
        <f>VLOOKUP(A2605,payment_ids!D:E,2,FALSE)</f>
        <v>wallet</v>
      </c>
      <c r="P2605" s="4" t="s">
        <v>69</v>
      </c>
      <c r="Q2605" s="11">
        <v>44413.365277777775</v>
      </c>
      <c r="R2605" s="4"/>
      <c r="S2605" s="4"/>
      <c r="T2605" s="4"/>
      <c r="U2605" s="4"/>
      <c r="V2605" s="4"/>
      <c r="W2605" s="5"/>
      <c r="X2605" s="4"/>
      <c r="Y2605" s="4"/>
      <c r="Z2605" s="5"/>
      <c r="AA2605" s="4"/>
      <c r="AB2605" s="4"/>
      <c r="AC2605" s="4"/>
      <c r="AD2605" s="4"/>
      <c r="AE2605" s="5"/>
      <c r="AF2605" s="5"/>
      <c r="AG2605" s="5"/>
      <c r="AH2605" s="5"/>
      <c r="AI2605" s="5"/>
      <c r="AJ2605" s="5"/>
      <c r="AK2605" s="5"/>
      <c r="AL2605" s="5"/>
    </row>
    <row r="2606">
      <c r="A2606" s="4" t="str">
        <f>VLOOKUP(L2606,payment_ids!C:D,2,FALSE)</f>
        <v>pay_H8CNawhCwRnUle</v>
      </c>
      <c r="B2606" s="4"/>
      <c r="C2606" s="4" t="s">
        <v>6466</v>
      </c>
      <c r="D2606" s="4">
        <v>50073.0</v>
      </c>
      <c r="E2606" s="4"/>
      <c r="F2606" s="4">
        <v>1.0</v>
      </c>
      <c r="G2606" s="4">
        <v>599.0</v>
      </c>
      <c r="H2606" s="4"/>
      <c r="I2606" s="4">
        <v>599.0</v>
      </c>
      <c r="J2606" s="4" t="s">
        <v>6493</v>
      </c>
      <c r="K2606" s="6">
        <f>+919898956482</f>
        <v>919898956482</v>
      </c>
      <c r="L2606" s="4" t="str">
        <f t="shared" si="1"/>
        <v>rishiti.rao_11@rediffmail.com919898956482</v>
      </c>
      <c r="M2606" s="10" t="s">
        <v>67</v>
      </c>
      <c r="N2606" s="4" t="b">
        <v>0</v>
      </c>
      <c r="O2606" s="4" t="str">
        <f>VLOOKUP(A2606,payment_ids!D:E,2,FALSE)</f>
        <v>wallet</v>
      </c>
      <c r="P2606" s="4" t="s">
        <v>69</v>
      </c>
      <c r="Q2606" s="11">
        <v>44413.498611111114</v>
      </c>
      <c r="R2606" s="4"/>
      <c r="S2606" s="4"/>
      <c r="T2606" s="4"/>
      <c r="U2606" s="4"/>
      <c r="V2606" s="4"/>
      <c r="W2606" s="5"/>
      <c r="X2606" s="4"/>
      <c r="Y2606" s="4"/>
      <c r="Z2606" s="5"/>
      <c r="AA2606" s="4"/>
      <c r="AB2606" s="4"/>
      <c r="AC2606" s="4"/>
      <c r="AD2606" s="4"/>
      <c r="AE2606" s="5"/>
      <c r="AF2606" s="5"/>
      <c r="AG2606" s="5"/>
      <c r="AH2606" s="5"/>
      <c r="AI2606" s="5"/>
      <c r="AJ2606" s="5"/>
      <c r="AK2606" s="5"/>
      <c r="AL2606" s="5"/>
    </row>
    <row r="2607">
      <c r="A2607" s="4" t="str">
        <f>VLOOKUP(L2607,payment_ids!C:D,2,FALSE)</f>
        <v>pay_H94nyrYxAqIm1e</v>
      </c>
      <c r="B2607" s="4"/>
      <c r="C2607" s="4" t="s">
        <v>6466</v>
      </c>
      <c r="D2607" s="4">
        <v>50073.0</v>
      </c>
      <c r="E2607" s="4"/>
      <c r="F2607" s="4">
        <v>1.0</v>
      </c>
      <c r="G2607" s="4">
        <v>599.0</v>
      </c>
      <c r="H2607" s="4"/>
      <c r="I2607" s="4">
        <v>599.0</v>
      </c>
      <c r="J2607" s="4" t="s">
        <v>6494</v>
      </c>
      <c r="K2607" s="6">
        <f>+919560575373</f>
        <v>919560575373</v>
      </c>
      <c r="L2607" s="4" t="str">
        <f t="shared" si="1"/>
        <v>drtulikasen@gmail.com919560575373</v>
      </c>
      <c r="M2607" s="10" t="s">
        <v>67</v>
      </c>
      <c r="N2607" s="4" t="b">
        <v>0</v>
      </c>
      <c r="O2607" s="4" t="str">
        <f>VLOOKUP(A2607,payment_ids!D:E,2,FALSE)</f>
        <v>card</v>
      </c>
      <c r="P2607" s="4" t="s">
        <v>69</v>
      </c>
      <c r="Q2607" s="11">
        <v>44474.71597222222</v>
      </c>
      <c r="R2607" s="4"/>
      <c r="S2607" s="4"/>
      <c r="T2607" s="4"/>
      <c r="U2607" s="4"/>
      <c r="V2607" s="4"/>
      <c r="W2607" s="5"/>
      <c r="X2607" s="4"/>
      <c r="Y2607" s="4"/>
      <c r="Z2607" s="5"/>
      <c r="AA2607" s="4"/>
      <c r="AB2607" s="4"/>
      <c r="AC2607" s="4"/>
      <c r="AD2607" s="4"/>
      <c r="AE2607" s="5"/>
      <c r="AF2607" s="5"/>
      <c r="AG2607" s="5"/>
      <c r="AH2607" s="5"/>
      <c r="AI2607" s="5"/>
      <c r="AJ2607" s="5"/>
      <c r="AK2607" s="5"/>
      <c r="AL2607" s="5"/>
    </row>
    <row r="2608">
      <c r="A2608" s="4" t="str">
        <f>VLOOKUP(L2608,payment_ids!C:D,2,FALSE)</f>
        <v>pay_H9Xvzv5CIX4Tvi</v>
      </c>
      <c r="B2608" s="4"/>
      <c r="C2608" s="4" t="s">
        <v>6466</v>
      </c>
      <c r="D2608" s="4">
        <v>50073.0</v>
      </c>
      <c r="E2608" s="4"/>
      <c r="F2608" s="4">
        <v>1.0</v>
      </c>
      <c r="G2608" s="4">
        <v>599.0</v>
      </c>
      <c r="H2608" s="4"/>
      <c r="I2608" s="4">
        <v>599.0</v>
      </c>
      <c r="J2608" s="4" t="s">
        <v>6495</v>
      </c>
      <c r="K2608" s="6">
        <f>+919820986092</f>
        <v>919820986092</v>
      </c>
      <c r="L2608" s="4" t="str">
        <f t="shared" si="1"/>
        <v>avanticas@gmail.com919820986092</v>
      </c>
      <c r="M2608" s="10" t="s">
        <v>67</v>
      </c>
      <c r="N2608" s="4" t="b">
        <v>0</v>
      </c>
      <c r="O2608" s="4" t="str">
        <f>VLOOKUP(A2608,payment_ids!D:E,2,FALSE)</f>
        <v>netbanking</v>
      </c>
      <c r="P2608" s="4" t="s">
        <v>69</v>
      </c>
      <c r="Q2608" s="11">
        <v>44505.90416666667</v>
      </c>
      <c r="R2608" s="4"/>
      <c r="S2608" s="4"/>
      <c r="T2608" s="4"/>
      <c r="U2608" s="4"/>
      <c r="V2608" s="4"/>
      <c r="W2608" s="5"/>
      <c r="X2608" s="4"/>
      <c r="Y2608" s="4"/>
      <c r="Z2608" s="5"/>
      <c r="AA2608" s="4"/>
      <c r="AB2608" s="4"/>
      <c r="AC2608" s="4"/>
      <c r="AD2608" s="4"/>
      <c r="AE2608" s="5"/>
      <c r="AF2608" s="5"/>
      <c r="AG2608" s="5"/>
      <c r="AH2608" s="5"/>
      <c r="AI2608" s="5"/>
      <c r="AJ2608" s="5"/>
      <c r="AK2608" s="5"/>
      <c r="AL2608" s="5"/>
    </row>
    <row r="2609">
      <c r="A2609" s="4" t="str">
        <f>VLOOKUP(L2609,payment_ids!C:D,2,FALSE)</f>
        <v>pay_H9rExOhXDPNrw1</v>
      </c>
      <c r="B2609" s="4"/>
      <c r="C2609" s="4" t="s">
        <v>6466</v>
      </c>
      <c r="D2609" s="4">
        <v>50073.0</v>
      </c>
      <c r="E2609" s="4"/>
      <c r="F2609" s="4">
        <v>1.0</v>
      </c>
      <c r="G2609" s="4">
        <v>599.0</v>
      </c>
      <c r="H2609" s="4"/>
      <c r="I2609" s="4">
        <v>599.0</v>
      </c>
      <c r="J2609" s="4" t="s">
        <v>6496</v>
      </c>
      <c r="K2609" s="6">
        <f>+917639449933</f>
        <v>917639449933</v>
      </c>
      <c r="L2609" s="4" t="str">
        <f t="shared" si="1"/>
        <v>muthumozhian@gmail.com917639449933</v>
      </c>
      <c r="M2609" s="10" t="s">
        <v>67</v>
      </c>
      <c r="N2609" s="4" t="b">
        <v>0</v>
      </c>
      <c r="O2609" s="4" t="str">
        <f>VLOOKUP(A2609,payment_ids!D:E,2,FALSE)</f>
        <v>wallet</v>
      </c>
      <c r="P2609" s="4" t="s">
        <v>69</v>
      </c>
      <c r="Q2609" s="11">
        <v>44535.69513888889</v>
      </c>
      <c r="R2609" s="4"/>
      <c r="S2609" s="4"/>
      <c r="T2609" s="4"/>
      <c r="U2609" s="4"/>
      <c r="V2609" s="4"/>
      <c r="W2609" s="5"/>
      <c r="X2609" s="4"/>
      <c r="Y2609" s="4"/>
      <c r="Z2609" s="5"/>
      <c r="AA2609" s="4"/>
      <c r="AB2609" s="4"/>
      <c r="AC2609" s="4"/>
      <c r="AD2609" s="4"/>
      <c r="AE2609" s="5"/>
      <c r="AF2609" s="5"/>
      <c r="AG2609" s="5"/>
      <c r="AH2609" s="5"/>
      <c r="AI2609" s="5"/>
      <c r="AJ2609" s="5"/>
      <c r="AK2609" s="5"/>
      <c r="AL2609" s="5"/>
    </row>
    <row r="2610">
      <c r="A2610" s="4" t="str">
        <f>VLOOKUP(L2610,payment_ids!C:D,2,FALSE)</f>
        <v>pay_H9tt17iZr281dm</v>
      </c>
      <c r="B2610" s="4"/>
      <c r="C2610" s="4" t="s">
        <v>6466</v>
      </c>
      <c r="D2610" s="4">
        <v>50073.0</v>
      </c>
      <c r="E2610" s="4"/>
      <c r="F2610" s="4">
        <v>1.0</v>
      </c>
      <c r="G2610" s="4">
        <v>599.0</v>
      </c>
      <c r="H2610" s="4"/>
      <c r="I2610" s="4">
        <v>599.0</v>
      </c>
      <c r="J2610" s="4" t="s">
        <v>4300</v>
      </c>
      <c r="K2610" s="6">
        <f>+917715861705</f>
        <v>917715861705</v>
      </c>
      <c r="L2610" s="4" t="str">
        <f t="shared" si="1"/>
        <v>vksndhle@gmail.com917715861705</v>
      </c>
      <c r="M2610" s="10" t="s">
        <v>67</v>
      </c>
      <c r="N2610" s="4" t="b">
        <v>0</v>
      </c>
      <c r="O2610" s="4" t="str">
        <f>VLOOKUP(A2610,payment_ids!D:E,2,FALSE)</f>
        <v>upi</v>
      </c>
      <c r="P2610" s="4" t="s">
        <v>69</v>
      </c>
      <c r="Q2610" s="11">
        <v>44535.79791666667</v>
      </c>
      <c r="R2610" s="4"/>
      <c r="S2610" s="12" t="s">
        <v>6497</v>
      </c>
      <c r="T2610" s="4"/>
      <c r="U2610" s="4"/>
      <c r="V2610" s="4"/>
      <c r="W2610" s="5"/>
      <c r="X2610" s="4"/>
      <c r="Y2610" s="4"/>
      <c r="Z2610" s="5"/>
      <c r="AA2610" s="4"/>
      <c r="AB2610" s="4"/>
      <c r="AC2610" s="4"/>
      <c r="AD2610" s="4"/>
      <c r="AE2610" s="5"/>
      <c r="AF2610" s="5"/>
      <c r="AG2610" s="5"/>
      <c r="AH2610" s="5"/>
      <c r="AI2610" s="5"/>
      <c r="AJ2610" s="5"/>
      <c r="AK2610" s="5"/>
      <c r="AL2610" s="5"/>
    </row>
    <row r="2611">
      <c r="A2611" s="4" t="str">
        <f>VLOOKUP(L2611,payment_ids!C:D,2,FALSE)</f>
        <v>pay_H9uXldad56MkhZ</v>
      </c>
      <c r="B2611" s="4"/>
      <c r="C2611" s="4" t="s">
        <v>6466</v>
      </c>
      <c r="D2611" s="4">
        <v>50073.0</v>
      </c>
      <c r="E2611" s="4"/>
      <c r="F2611" s="4">
        <v>1.0</v>
      </c>
      <c r="G2611" s="4">
        <v>599.0</v>
      </c>
      <c r="H2611" s="4"/>
      <c r="I2611" s="4">
        <v>599.0</v>
      </c>
      <c r="J2611" s="4" t="s">
        <v>6498</v>
      </c>
      <c r="K2611" s="6">
        <f>+919595822206</f>
        <v>919595822206</v>
      </c>
      <c r="L2611" s="4" t="str">
        <f t="shared" si="1"/>
        <v>nupurakhot8@gmail.com919595822206</v>
      </c>
      <c r="M2611" s="10" t="s">
        <v>67</v>
      </c>
      <c r="N2611" s="4" t="b">
        <v>0</v>
      </c>
      <c r="O2611" s="4" t="str">
        <f>VLOOKUP(A2611,payment_ids!D:E,2,FALSE)</f>
        <v>upi</v>
      </c>
      <c r="P2611" s="4" t="s">
        <v>69</v>
      </c>
      <c r="Q2611" s="11">
        <v>44535.82916666667</v>
      </c>
      <c r="R2611" s="4"/>
      <c r="S2611" s="12" t="s">
        <v>6497</v>
      </c>
      <c r="T2611" s="4"/>
      <c r="U2611" s="4"/>
      <c r="V2611" s="4"/>
      <c r="W2611" s="5"/>
      <c r="X2611" s="4"/>
      <c r="Y2611" s="4"/>
      <c r="Z2611" s="5"/>
      <c r="AA2611" s="4"/>
      <c r="AB2611" s="4"/>
      <c r="AC2611" s="4"/>
      <c r="AD2611" s="4"/>
      <c r="AE2611" s="5"/>
      <c r="AF2611" s="5"/>
      <c r="AG2611" s="5"/>
      <c r="AH2611" s="5"/>
      <c r="AI2611" s="5"/>
      <c r="AJ2611" s="5"/>
      <c r="AK2611" s="5"/>
      <c r="AL2611" s="5"/>
    </row>
    <row r="2612">
      <c r="A2612" s="4" t="str">
        <f>VLOOKUP(L2612,payment_ids!C:D,2,FALSE)</f>
        <v>pay_H9uru1DyUL2aLk</v>
      </c>
      <c r="B2612" s="4"/>
      <c r="C2612" s="4" t="s">
        <v>6466</v>
      </c>
      <c r="D2612" s="4">
        <v>50073.0</v>
      </c>
      <c r="E2612" s="4"/>
      <c r="F2612" s="4">
        <v>1.0</v>
      </c>
      <c r="G2612" s="4">
        <v>599.0</v>
      </c>
      <c r="H2612" s="4"/>
      <c r="I2612" s="4">
        <v>599.0</v>
      </c>
      <c r="J2612" s="4" t="s">
        <v>6499</v>
      </c>
      <c r="K2612" s="6">
        <f>+918790446089</f>
        <v>918790446089</v>
      </c>
      <c r="L2612" s="4" t="str">
        <f t="shared" si="1"/>
        <v>divyablu7@gmail.com918790446089</v>
      </c>
      <c r="M2612" s="10" t="s">
        <v>67</v>
      </c>
      <c r="N2612" s="4" t="b">
        <v>0</v>
      </c>
      <c r="O2612" s="4" t="str">
        <f>VLOOKUP(A2612,payment_ids!D:E,2,FALSE)</f>
        <v>upi</v>
      </c>
      <c r="P2612" s="4" t="s">
        <v>69</v>
      </c>
      <c r="Q2612" s="11">
        <v>44535.839583333334</v>
      </c>
      <c r="R2612" s="4"/>
      <c r="S2612" s="12" t="s">
        <v>6497</v>
      </c>
      <c r="T2612" s="4"/>
      <c r="U2612" s="4"/>
      <c r="V2612" s="4"/>
      <c r="W2612" s="5"/>
      <c r="X2612" s="4"/>
      <c r="Y2612" s="4"/>
      <c r="Z2612" s="5"/>
      <c r="AA2612" s="4"/>
      <c r="AB2612" s="4"/>
      <c r="AC2612" s="4"/>
      <c r="AD2612" s="4"/>
      <c r="AE2612" s="5"/>
      <c r="AF2612" s="5"/>
      <c r="AG2612" s="5"/>
      <c r="AH2612" s="5"/>
      <c r="AI2612" s="5"/>
      <c r="AJ2612" s="5"/>
      <c r="AK2612" s="5"/>
      <c r="AL2612" s="5"/>
    </row>
    <row r="2613">
      <c r="A2613" s="4" t="str">
        <f>VLOOKUP(L2613,payment_ids!C:D,2,FALSE)</f>
        <v>pay_H9vDxUbyoXY22n</v>
      </c>
      <c r="B2613" s="4"/>
      <c r="C2613" s="4" t="s">
        <v>6466</v>
      </c>
      <c r="D2613" s="4">
        <v>50073.0</v>
      </c>
      <c r="E2613" s="4"/>
      <c r="F2613" s="4">
        <v>1.0</v>
      </c>
      <c r="G2613" s="4">
        <v>599.0</v>
      </c>
      <c r="H2613" s="4"/>
      <c r="I2613" s="4">
        <v>599.0</v>
      </c>
      <c r="J2613" s="4" t="s">
        <v>6500</v>
      </c>
      <c r="K2613" s="6">
        <f>+919884976841</f>
        <v>919884976841</v>
      </c>
      <c r="L2613" s="4" t="str">
        <f t="shared" si="1"/>
        <v>novonilghosh84@gmail.com919884976841</v>
      </c>
      <c r="M2613" s="10" t="s">
        <v>67</v>
      </c>
      <c r="N2613" s="4" t="b">
        <v>0</v>
      </c>
      <c r="O2613" s="4" t="str">
        <f>VLOOKUP(A2613,payment_ids!D:E,2,FALSE)</f>
        <v>card</v>
      </c>
      <c r="P2613" s="4" t="s">
        <v>69</v>
      </c>
      <c r="Q2613" s="11">
        <v>44535.85277777778</v>
      </c>
      <c r="R2613" s="4"/>
      <c r="S2613" s="12" t="s">
        <v>6497</v>
      </c>
      <c r="T2613" s="4"/>
      <c r="U2613" s="4"/>
      <c r="V2613" s="4"/>
      <c r="W2613" s="5"/>
      <c r="X2613" s="4"/>
      <c r="Y2613" s="4"/>
      <c r="Z2613" s="5"/>
      <c r="AA2613" s="4"/>
      <c r="AB2613" s="4"/>
      <c r="AC2613" s="4"/>
      <c r="AD2613" s="4"/>
      <c r="AE2613" s="5"/>
      <c r="AF2613" s="5"/>
      <c r="AG2613" s="5"/>
      <c r="AH2613" s="5"/>
      <c r="AI2613" s="5"/>
      <c r="AJ2613" s="5"/>
      <c r="AK2613" s="5"/>
      <c r="AL2613" s="5"/>
    </row>
    <row r="2614">
      <c r="A2614" s="4" t="str">
        <f>VLOOKUP(L2614,payment_ids!C:D,2,FALSE)</f>
        <v>pay_H9vWhyCNGYWcZs</v>
      </c>
      <c r="B2614" s="4"/>
      <c r="C2614" s="4" t="s">
        <v>6466</v>
      </c>
      <c r="D2614" s="4">
        <v>50073.0</v>
      </c>
      <c r="E2614" s="4"/>
      <c r="F2614" s="4">
        <v>1.0</v>
      </c>
      <c r="G2614" s="4">
        <v>599.0</v>
      </c>
      <c r="H2614" s="4"/>
      <c r="I2614" s="4">
        <v>599.0</v>
      </c>
      <c r="J2614" s="4" t="s">
        <v>6501</v>
      </c>
      <c r="K2614" s="6">
        <f>+919593380027</f>
        <v>919593380027</v>
      </c>
      <c r="L2614" s="4" t="str">
        <f t="shared" si="1"/>
        <v>sreeparnadasnath2015@gmail.com919593380027</v>
      </c>
      <c r="M2614" s="10" t="s">
        <v>67</v>
      </c>
      <c r="N2614" s="4" t="b">
        <v>0</v>
      </c>
      <c r="O2614" s="4" t="str">
        <f>VLOOKUP(A2614,payment_ids!D:E,2,FALSE)</f>
        <v>card</v>
      </c>
      <c r="P2614" s="4" t="s">
        <v>69</v>
      </c>
      <c r="Q2614" s="11">
        <v>44535.865277777775</v>
      </c>
      <c r="R2614" s="4"/>
      <c r="S2614" s="12" t="s">
        <v>6497</v>
      </c>
      <c r="T2614" s="4"/>
      <c r="U2614" s="4"/>
      <c r="V2614" s="4"/>
      <c r="W2614" s="5"/>
      <c r="X2614" s="4"/>
      <c r="Y2614" s="4"/>
      <c r="Z2614" s="5"/>
      <c r="AA2614" s="4"/>
      <c r="AB2614" s="4"/>
      <c r="AC2614" s="4"/>
      <c r="AD2614" s="4"/>
      <c r="AE2614" s="5"/>
      <c r="AF2614" s="5"/>
      <c r="AG2614" s="5"/>
      <c r="AH2614" s="5"/>
      <c r="AI2614" s="5"/>
      <c r="AJ2614" s="5"/>
      <c r="AK2614" s="5"/>
      <c r="AL2614" s="5"/>
    </row>
    <row r="2615">
      <c r="A2615" s="4" t="str">
        <f>VLOOKUP(L2615,payment_ids!C:D,2,FALSE)</f>
        <v>pay_H9vxMscJMKn9T0</v>
      </c>
      <c r="B2615" s="4"/>
      <c r="C2615" s="4" t="s">
        <v>6466</v>
      </c>
      <c r="D2615" s="4">
        <v>50073.0</v>
      </c>
      <c r="E2615" s="4"/>
      <c r="F2615" s="4">
        <v>1.0</v>
      </c>
      <c r="G2615" s="4">
        <v>599.0</v>
      </c>
      <c r="H2615" s="4"/>
      <c r="I2615" s="4">
        <v>599.0</v>
      </c>
      <c r="J2615" s="4" t="s">
        <v>6502</v>
      </c>
      <c r="K2615" s="6">
        <f>+917042110059</f>
        <v>917042110059</v>
      </c>
      <c r="L2615" s="4" t="str">
        <f t="shared" si="1"/>
        <v>nidhisharma1921@gmail.com917042110059</v>
      </c>
      <c r="M2615" s="10" t="s">
        <v>67</v>
      </c>
      <c r="N2615" s="4" t="b">
        <v>0</v>
      </c>
      <c r="O2615" s="4" t="str">
        <f>VLOOKUP(A2615,payment_ids!D:E,2,FALSE)</f>
        <v>wallet</v>
      </c>
      <c r="P2615" s="4" t="s">
        <v>69</v>
      </c>
      <c r="Q2615" s="11">
        <v>44535.88888888889</v>
      </c>
      <c r="R2615" s="4"/>
      <c r="S2615" s="12" t="s">
        <v>6497</v>
      </c>
      <c r="T2615" s="4"/>
      <c r="U2615" s="4"/>
      <c r="V2615" s="4"/>
      <c r="W2615" s="5"/>
      <c r="X2615" s="4"/>
      <c r="Y2615" s="4"/>
      <c r="Z2615" s="5"/>
      <c r="AA2615" s="4"/>
      <c r="AB2615" s="4"/>
      <c r="AC2615" s="4"/>
      <c r="AD2615" s="4"/>
      <c r="AE2615" s="5"/>
      <c r="AF2615" s="5"/>
      <c r="AG2615" s="5"/>
      <c r="AH2615" s="5"/>
      <c r="AI2615" s="5"/>
      <c r="AJ2615" s="5"/>
      <c r="AK2615" s="5"/>
      <c r="AL2615" s="5"/>
    </row>
    <row r="2616">
      <c r="A2616" s="4" t="str">
        <f>VLOOKUP(L2616,payment_ids!C:D,2,FALSE)</f>
        <v>pay_H9lFGxQpdLktX0</v>
      </c>
      <c r="B2616" s="4"/>
      <c r="C2616" s="4" t="s">
        <v>6466</v>
      </c>
      <c r="D2616" s="4">
        <v>50073.0</v>
      </c>
      <c r="E2616" s="4"/>
      <c r="F2616" s="4">
        <v>1.0</v>
      </c>
      <c r="G2616" s="4">
        <v>599.0</v>
      </c>
      <c r="H2616" s="4"/>
      <c r="I2616" s="4">
        <v>599.0</v>
      </c>
      <c r="J2616" s="4" t="s">
        <v>6503</v>
      </c>
      <c r="K2616" s="6">
        <f>+919915425644</f>
        <v>919915425644</v>
      </c>
      <c r="L2616" s="4" t="str">
        <f t="shared" si="1"/>
        <v>rpreet8@gmail.com919915425644</v>
      </c>
      <c r="M2616" s="10" t="s">
        <v>67</v>
      </c>
      <c r="N2616" s="4" t="b">
        <v>0</v>
      </c>
      <c r="O2616" s="4" t="str">
        <f>VLOOKUP(A2616,payment_ids!D:E,2,FALSE)</f>
        <v>upi</v>
      </c>
      <c r="P2616" s="4" t="s">
        <v>69</v>
      </c>
      <c r="Q2616" s="11">
        <v>44535.44652777778</v>
      </c>
      <c r="R2616" s="4"/>
      <c r="S2616" s="4"/>
      <c r="T2616" s="4"/>
      <c r="U2616" s="4"/>
      <c r="V2616" s="4"/>
      <c r="W2616" s="5"/>
      <c r="X2616" s="4"/>
      <c r="Y2616" s="4"/>
      <c r="Z2616" s="5"/>
      <c r="AA2616" s="4"/>
      <c r="AB2616" s="4"/>
      <c r="AC2616" s="4"/>
      <c r="AD2616" s="4"/>
      <c r="AE2616" s="5"/>
      <c r="AF2616" s="5"/>
      <c r="AG2616" s="5"/>
      <c r="AH2616" s="5"/>
      <c r="AI2616" s="5"/>
      <c r="AJ2616" s="5"/>
      <c r="AK2616" s="5"/>
      <c r="AL2616" s="5"/>
    </row>
    <row r="2617">
      <c r="A2617" s="4" t="str">
        <f>VLOOKUP(L2617,payment_ids!C:D,2,FALSE)</f>
        <v>pay_H9lt5xTuI5u4Wk</v>
      </c>
      <c r="B2617" s="4"/>
      <c r="C2617" s="14" t="s">
        <v>6466</v>
      </c>
      <c r="D2617" s="4">
        <v>50073.0</v>
      </c>
      <c r="E2617" s="4"/>
      <c r="F2617" s="4">
        <v>1.0</v>
      </c>
      <c r="G2617" s="4">
        <v>599.0</v>
      </c>
      <c r="H2617" s="4"/>
      <c r="I2617" s="4">
        <v>599.0</v>
      </c>
      <c r="J2617" s="4" t="s">
        <v>6504</v>
      </c>
      <c r="K2617" s="6">
        <f>+919935000200</f>
        <v>919935000200</v>
      </c>
      <c r="L2617" s="4" t="str">
        <f t="shared" si="1"/>
        <v>neerudwivedi@gmail.com919935000200</v>
      </c>
      <c r="M2617" s="10" t="s">
        <v>67</v>
      </c>
      <c r="N2617" s="4" t="b">
        <v>0</v>
      </c>
      <c r="O2617" s="4" t="str">
        <f>VLOOKUP(A2617,payment_ids!D:E,2,FALSE)</f>
        <v>card</v>
      </c>
      <c r="P2617" s="4" t="s">
        <v>69</v>
      </c>
      <c r="Q2617" s="11">
        <v>44535.47222222222</v>
      </c>
      <c r="R2617" s="4"/>
      <c r="S2617" s="4"/>
      <c r="T2617" s="4"/>
      <c r="U2617" s="4"/>
      <c r="V2617" s="4"/>
      <c r="W2617" s="5"/>
      <c r="X2617" s="4"/>
      <c r="Y2617" s="4"/>
      <c r="Z2617" s="5"/>
      <c r="AA2617" s="4"/>
      <c r="AB2617" s="4"/>
      <c r="AC2617" s="4"/>
      <c r="AD2617" s="4"/>
      <c r="AE2617" s="5"/>
      <c r="AF2617" s="5"/>
      <c r="AG2617" s="5"/>
      <c r="AH2617" s="5"/>
      <c r="AI2617" s="5"/>
      <c r="AJ2617" s="5"/>
      <c r="AK2617" s="5"/>
      <c r="AL2617" s="5"/>
    </row>
    <row r="2618">
      <c r="A2618" s="4" t="str">
        <f>VLOOKUP(L2618,payment_ids!C:D,2,FALSE)</f>
        <v>pay_HADbrAXGNyKI9x</v>
      </c>
      <c r="B2618" s="4"/>
      <c r="C2618" s="4" t="s">
        <v>6466</v>
      </c>
      <c r="D2618" s="4">
        <v>50073.0</v>
      </c>
      <c r="E2618" s="4"/>
      <c r="F2618" s="4">
        <v>1.0</v>
      </c>
      <c r="G2618" s="4">
        <v>599.0</v>
      </c>
      <c r="H2618" s="4"/>
      <c r="I2618" s="4">
        <v>599.0</v>
      </c>
      <c r="J2618" s="4" t="s">
        <v>6505</v>
      </c>
      <c r="K2618" s="6">
        <f>+919840530764</f>
        <v>919840530764</v>
      </c>
      <c r="L2618" s="4" t="str">
        <f t="shared" si="1"/>
        <v>rameshveenu@gmail.com919840530764</v>
      </c>
      <c r="M2618" s="10" t="s">
        <v>67</v>
      </c>
      <c r="N2618" s="4" t="b">
        <v>0</v>
      </c>
      <c r="O2618" s="4" t="str">
        <f>VLOOKUP(A2618,payment_ids!D:E,2,FALSE)</f>
        <v>upi</v>
      </c>
      <c r="P2618" s="4" t="s">
        <v>69</v>
      </c>
      <c r="Q2618" s="4" t="s">
        <v>6506</v>
      </c>
      <c r="R2618" s="4"/>
      <c r="S2618" s="12" t="s">
        <v>6497</v>
      </c>
      <c r="T2618" s="4"/>
      <c r="U2618" s="4"/>
      <c r="V2618" s="4"/>
      <c r="W2618" s="5"/>
      <c r="X2618" s="4"/>
      <c r="Y2618" s="4"/>
      <c r="Z2618" s="5"/>
      <c r="AA2618" s="4"/>
      <c r="AB2618" s="4"/>
      <c r="AC2618" s="4"/>
      <c r="AD2618" s="4"/>
      <c r="AE2618" s="5"/>
      <c r="AF2618" s="5"/>
      <c r="AG2618" s="5"/>
      <c r="AH2618" s="5"/>
      <c r="AI2618" s="5"/>
      <c r="AJ2618" s="5"/>
      <c r="AK2618" s="5"/>
      <c r="AL2618" s="5"/>
    </row>
    <row r="2619">
      <c r="A2619" s="4" t="str">
        <f>VLOOKUP(L2619,payment_ids!C:D,2,FALSE)</f>
        <v>pay_HB5dLAduMWcsge</v>
      </c>
      <c r="B2619" s="4"/>
      <c r="C2619" s="4" t="s">
        <v>6466</v>
      </c>
      <c r="D2619" s="4">
        <v>50073.0</v>
      </c>
      <c r="E2619" s="4"/>
      <c r="F2619" s="4">
        <v>3.0</v>
      </c>
      <c r="G2619" s="13">
        <v>1499.0</v>
      </c>
      <c r="H2619" s="4"/>
      <c r="I2619" s="13">
        <v>1499.0</v>
      </c>
      <c r="J2619" s="4" t="s">
        <v>2211</v>
      </c>
      <c r="K2619" s="6">
        <f>+919830775774</f>
        <v>919830775774</v>
      </c>
      <c r="L2619" s="4" t="str">
        <f t="shared" si="1"/>
        <v>dhanam1956@gmail.com919830775774</v>
      </c>
      <c r="M2619" s="10" t="s">
        <v>67</v>
      </c>
      <c r="N2619" s="4" t="b">
        <v>0</v>
      </c>
      <c r="O2619" s="4" t="str">
        <f>VLOOKUP(A2619,payment_ids!D:E,2,FALSE)</f>
        <v>card</v>
      </c>
      <c r="P2619" s="4" t="s">
        <v>69</v>
      </c>
      <c r="Q2619" s="4" t="s">
        <v>6507</v>
      </c>
      <c r="R2619" s="4"/>
      <c r="S2619" s="12" t="s">
        <v>6497</v>
      </c>
      <c r="T2619" s="4"/>
      <c r="U2619" s="4"/>
      <c r="V2619" s="4"/>
      <c r="W2619" s="5"/>
      <c r="X2619" s="4"/>
      <c r="Y2619" s="4"/>
      <c r="Z2619" s="5"/>
      <c r="AA2619" s="4"/>
      <c r="AB2619" s="4"/>
      <c r="AC2619" s="4"/>
      <c r="AD2619" s="4"/>
      <c r="AE2619" s="5"/>
      <c r="AF2619" s="5"/>
      <c r="AG2619" s="5"/>
      <c r="AH2619" s="5"/>
      <c r="AI2619" s="5"/>
      <c r="AJ2619" s="5"/>
      <c r="AK2619" s="5"/>
      <c r="AL2619" s="5"/>
    </row>
    <row r="2620">
      <c r="A2620" s="4" t="str">
        <f>VLOOKUP(L2620,payment_ids!C:D,2,FALSE)</f>
        <v>pay_HB6vn3uYB4O29y</v>
      </c>
      <c r="B2620" s="4"/>
      <c r="C2620" s="4" t="s">
        <v>6466</v>
      </c>
      <c r="D2620" s="4">
        <v>50073.0</v>
      </c>
      <c r="E2620" s="4"/>
      <c r="F2620" s="4">
        <v>1.0</v>
      </c>
      <c r="G2620" s="4">
        <v>599.0</v>
      </c>
      <c r="H2620" s="4"/>
      <c r="I2620" s="4">
        <v>599.0</v>
      </c>
      <c r="J2620" s="4" t="s">
        <v>6508</v>
      </c>
      <c r="K2620" s="6">
        <f>+919894070542</f>
        <v>919894070542</v>
      </c>
      <c r="L2620" s="4" t="str">
        <f t="shared" si="1"/>
        <v>chitraleena@gmail.com919894070542</v>
      </c>
      <c r="M2620" s="10" t="s">
        <v>67</v>
      </c>
      <c r="N2620" s="4" t="b">
        <v>0</v>
      </c>
      <c r="O2620" s="4" t="str">
        <f>VLOOKUP(A2620,payment_ids!D:E,2,FALSE)</f>
        <v>netbanking</v>
      </c>
      <c r="P2620" s="4" t="s">
        <v>69</v>
      </c>
      <c r="Q2620" s="4" t="s">
        <v>6509</v>
      </c>
      <c r="R2620" s="4"/>
      <c r="S2620" s="12" t="s">
        <v>6497</v>
      </c>
      <c r="T2620" s="4"/>
      <c r="U2620" s="4"/>
      <c r="V2620" s="4"/>
      <c r="W2620" s="5"/>
      <c r="X2620" s="4"/>
      <c r="Y2620" s="4"/>
      <c r="Z2620" s="5"/>
      <c r="AA2620" s="4"/>
      <c r="AB2620" s="4"/>
      <c r="AC2620" s="4"/>
      <c r="AD2620" s="4"/>
      <c r="AE2620" s="5"/>
      <c r="AF2620" s="5"/>
      <c r="AG2620" s="5"/>
      <c r="AH2620" s="5"/>
      <c r="AI2620" s="5"/>
      <c r="AJ2620" s="5"/>
      <c r="AK2620" s="5"/>
      <c r="AL2620" s="5"/>
    </row>
    <row r="2621">
      <c r="A2621" s="4" t="str">
        <f>VLOOKUP(L2621,payment_ids!C:D,2,FALSE)</f>
        <v>pay_HBOEdpvY47lwRM</v>
      </c>
      <c r="B2621" s="4"/>
      <c r="C2621" s="4" t="s">
        <v>6466</v>
      </c>
      <c r="D2621" s="4">
        <v>50073.0</v>
      </c>
      <c r="E2621" s="4"/>
      <c r="F2621" s="4">
        <v>1.0</v>
      </c>
      <c r="G2621" s="4">
        <v>599.0</v>
      </c>
      <c r="H2621" s="4"/>
      <c r="I2621" s="4">
        <v>599.0</v>
      </c>
      <c r="J2621" s="4" t="s">
        <v>6510</v>
      </c>
      <c r="K2621" s="6">
        <f>+919500100504</f>
        <v>919500100504</v>
      </c>
      <c r="L2621" s="4" t="str">
        <f t="shared" si="1"/>
        <v>aarthinatraj2418@gmail.com919500100504</v>
      </c>
      <c r="M2621" s="10" t="s">
        <v>67</v>
      </c>
      <c r="N2621" s="4" t="b">
        <v>0</v>
      </c>
      <c r="O2621" s="4" t="str">
        <f>VLOOKUP(A2621,payment_ids!D:E,2,FALSE)</f>
        <v>upi</v>
      </c>
      <c r="P2621" s="4" t="s">
        <v>69</v>
      </c>
      <c r="Q2621" s="4" t="s">
        <v>6511</v>
      </c>
      <c r="R2621" s="4"/>
      <c r="S2621" s="4"/>
      <c r="T2621" s="4"/>
      <c r="U2621" s="4"/>
      <c r="V2621" s="4"/>
      <c r="W2621" s="5"/>
      <c r="X2621" s="4"/>
      <c r="Y2621" s="4"/>
      <c r="Z2621" s="5"/>
      <c r="AA2621" s="4"/>
      <c r="AB2621" s="4"/>
      <c r="AC2621" s="4"/>
      <c r="AD2621" s="4"/>
      <c r="AE2621" s="5"/>
      <c r="AF2621" s="5"/>
      <c r="AG2621" s="5"/>
      <c r="AH2621" s="5"/>
      <c r="AI2621" s="5"/>
      <c r="AJ2621" s="5"/>
      <c r="AK2621" s="5"/>
      <c r="AL2621" s="5"/>
    </row>
    <row r="2622">
      <c r="A2622" s="4" t="str">
        <f>VLOOKUP(L2622,payment_ids!C:D,2,FALSE)</f>
        <v>pay_HBQ7q0iFaFOc0z</v>
      </c>
      <c r="B2622" s="4"/>
      <c r="C2622" s="4" t="s">
        <v>6466</v>
      </c>
      <c r="D2622" s="4">
        <v>50073.0</v>
      </c>
      <c r="E2622" s="4"/>
      <c r="F2622" s="4">
        <v>1.0</v>
      </c>
      <c r="G2622" s="4">
        <v>599.0</v>
      </c>
      <c r="H2622" s="4"/>
      <c r="I2622" s="4">
        <v>599.0</v>
      </c>
      <c r="J2622" s="4" t="s">
        <v>6512</v>
      </c>
      <c r="K2622" s="6">
        <f>+919819599898</f>
        <v>919819599898</v>
      </c>
      <c r="L2622" s="4" t="str">
        <f t="shared" si="1"/>
        <v>rk.neurekar@gmail.com919819599898</v>
      </c>
      <c r="M2622" s="10" t="s">
        <v>67</v>
      </c>
      <c r="N2622" s="4" t="b">
        <v>0</v>
      </c>
      <c r="O2622" s="4" t="str">
        <f>VLOOKUP(A2622,payment_ids!D:E,2,FALSE)</f>
        <v>upi</v>
      </c>
      <c r="P2622" s="4" t="s">
        <v>69</v>
      </c>
      <c r="Q2622" s="4" t="s">
        <v>6513</v>
      </c>
      <c r="R2622" s="4"/>
      <c r="S2622" s="12" t="s">
        <v>6497</v>
      </c>
      <c r="T2622" s="4"/>
      <c r="U2622" s="4"/>
      <c r="V2622" s="4"/>
      <c r="W2622" s="5"/>
      <c r="X2622" s="4"/>
      <c r="Y2622" s="4"/>
      <c r="Z2622" s="5"/>
      <c r="AA2622" s="5"/>
      <c r="AB2622" s="4"/>
      <c r="AC2622" s="4"/>
      <c r="AD2622" s="4"/>
      <c r="AE2622" s="5"/>
      <c r="AF2622" s="5"/>
      <c r="AG2622" s="5"/>
      <c r="AH2622" s="5"/>
      <c r="AI2622" s="5"/>
      <c r="AJ2622" s="5"/>
      <c r="AK2622" s="5"/>
      <c r="AL2622" s="5"/>
    </row>
    <row r="2623">
      <c r="A2623" s="4" t="str">
        <f>VLOOKUP(L2623,payment_ids!C:D,2,FALSE)</f>
        <v>pay_HBQIna6y9prxIA</v>
      </c>
      <c r="B2623" s="4"/>
      <c r="C2623" s="4" t="s">
        <v>6466</v>
      </c>
      <c r="D2623" s="4">
        <v>50073.0</v>
      </c>
      <c r="E2623" s="4"/>
      <c r="F2623" s="4">
        <v>1.0</v>
      </c>
      <c r="G2623" s="4">
        <v>599.0</v>
      </c>
      <c r="H2623" s="4"/>
      <c r="I2623" s="4">
        <v>599.0</v>
      </c>
      <c r="J2623" s="4" t="s">
        <v>6514</v>
      </c>
      <c r="K2623" s="6">
        <f>+919460030274</f>
        <v>919460030274</v>
      </c>
      <c r="L2623" s="4" t="str">
        <f t="shared" si="1"/>
        <v>drgarimasaxena@gmail.com919460030274</v>
      </c>
      <c r="M2623" s="10" t="s">
        <v>67</v>
      </c>
      <c r="N2623" s="4" t="b">
        <v>0</v>
      </c>
      <c r="O2623" s="4" t="str">
        <f>VLOOKUP(A2623,payment_ids!D:E,2,FALSE)</f>
        <v>upi</v>
      </c>
      <c r="P2623" s="4" t="s">
        <v>69</v>
      </c>
      <c r="Q2623" s="4" t="s">
        <v>6515</v>
      </c>
      <c r="R2623" s="4"/>
      <c r="S2623" s="12" t="s">
        <v>6497</v>
      </c>
      <c r="T2623" s="4"/>
      <c r="U2623" s="4"/>
      <c r="V2623" s="4"/>
      <c r="W2623" s="5"/>
      <c r="X2623" s="4"/>
      <c r="Y2623" s="4"/>
      <c r="Z2623" s="5"/>
      <c r="AA2623" s="5"/>
      <c r="AB2623" s="4"/>
      <c r="AC2623" s="4"/>
      <c r="AD2623" s="4"/>
      <c r="AE2623" s="5"/>
      <c r="AF2623" s="5"/>
      <c r="AG2623" s="5"/>
      <c r="AH2623" s="5"/>
      <c r="AI2623" s="5"/>
      <c r="AJ2623" s="5"/>
      <c r="AK2623" s="5"/>
      <c r="AL2623" s="5"/>
    </row>
    <row r="2624">
      <c r="A2624" s="4" t="str">
        <f>VLOOKUP(L2624,payment_ids!C:D,2,FALSE)</f>
        <v>pay_HBWPe8nicljHsK</v>
      </c>
      <c r="B2624" s="4"/>
      <c r="C2624" s="4" t="s">
        <v>6466</v>
      </c>
      <c r="D2624" s="4">
        <v>50073.0</v>
      </c>
      <c r="E2624" s="4"/>
      <c r="F2624" s="4">
        <v>1.0</v>
      </c>
      <c r="G2624" s="4">
        <v>599.0</v>
      </c>
      <c r="H2624" s="4"/>
      <c r="I2624" s="4">
        <v>599.0</v>
      </c>
      <c r="J2624" s="4" t="s">
        <v>6516</v>
      </c>
      <c r="K2624" s="6">
        <f>+918974773790</f>
        <v>918974773790</v>
      </c>
      <c r="L2624" s="4" t="str">
        <f t="shared" si="1"/>
        <v>a111freak@gmail.com918974773790</v>
      </c>
      <c r="M2624" s="10" t="s">
        <v>67</v>
      </c>
      <c r="N2624" s="4" t="b">
        <v>0</v>
      </c>
      <c r="O2624" s="4" t="str">
        <f>VLOOKUP(A2624,payment_ids!D:E,2,FALSE)</f>
        <v>upi</v>
      </c>
      <c r="P2624" s="4" t="s">
        <v>69</v>
      </c>
      <c r="Q2624" s="4" t="s">
        <v>6517</v>
      </c>
      <c r="R2624" s="4"/>
      <c r="S2624" s="12" t="s">
        <v>6497</v>
      </c>
      <c r="T2624" s="4"/>
      <c r="U2624" s="4"/>
      <c r="V2624" s="4"/>
      <c r="W2624" s="5"/>
      <c r="X2624" s="4"/>
      <c r="Y2624" s="4"/>
      <c r="Z2624" s="5"/>
      <c r="AA2624" s="4"/>
      <c r="AB2624" s="4"/>
      <c r="AC2624" s="4"/>
      <c r="AD2624" s="4"/>
      <c r="AE2624" s="5"/>
      <c r="AF2624" s="5"/>
      <c r="AG2624" s="5"/>
      <c r="AH2624" s="5"/>
      <c r="AI2624" s="5"/>
      <c r="AJ2624" s="5"/>
      <c r="AK2624" s="5"/>
      <c r="AL2624" s="5"/>
    </row>
    <row r="2625">
      <c r="A2625" s="4" t="str">
        <f>VLOOKUP(L2625,payment_ids!C:D,2,FALSE)</f>
        <v>pay_HBWTp78611rDmS</v>
      </c>
      <c r="B2625" s="4"/>
      <c r="C2625" s="4" t="s">
        <v>6466</v>
      </c>
      <c r="D2625" s="4">
        <v>50073.0</v>
      </c>
      <c r="E2625" s="4"/>
      <c r="F2625" s="4">
        <v>1.0</v>
      </c>
      <c r="G2625" s="4">
        <v>599.0</v>
      </c>
      <c r="H2625" s="4"/>
      <c r="I2625" s="4">
        <v>599.0</v>
      </c>
      <c r="J2625" s="4" t="s">
        <v>6518</v>
      </c>
      <c r="K2625" s="6">
        <f>+918146310036</f>
        <v>918146310036</v>
      </c>
      <c r="L2625" s="4" t="str">
        <f t="shared" si="1"/>
        <v>snaya85@gmail.com918146310036</v>
      </c>
      <c r="M2625" s="10" t="s">
        <v>67</v>
      </c>
      <c r="N2625" s="4" t="b">
        <v>0</v>
      </c>
      <c r="O2625" s="4" t="str">
        <f>VLOOKUP(A2625,payment_ids!D:E,2,FALSE)</f>
        <v>card</v>
      </c>
      <c r="P2625" s="4" t="s">
        <v>69</v>
      </c>
      <c r="Q2625" s="4" t="s">
        <v>6519</v>
      </c>
      <c r="R2625" s="4"/>
      <c r="S2625" s="12" t="s">
        <v>6497</v>
      </c>
      <c r="T2625" s="4"/>
      <c r="U2625" s="4"/>
      <c r="V2625" s="4"/>
      <c r="W2625" s="5"/>
      <c r="X2625" s="4"/>
      <c r="Y2625" s="4"/>
      <c r="Z2625" s="5"/>
      <c r="AA2625" s="4"/>
      <c r="AB2625" s="4"/>
      <c r="AC2625" s="4"/>
      <c r="AD2625" s="4"/>
      <c r="AE2625" s="5"/>
      <c r="AF2625" s="5"/>
      <c r="AG2625" s="5"/>
      <c r="AH2625" s="5"/>
      <c r="AI2625" s="5"/>
      <c r="AJ2625" s="5"/>
      <c r="AK2625" s="5"/>
      <c r="AL2625" s="5"/>
    </row>
    <row r="2626">
      <c r="A2626" s="4" t="str">
        <f>VLOOKUP(L2626,payment_ids!C:D,2,FALSE)</f>
        <v>pay_HBWlw4AXPGsv9X</v>
      </c>
      <c r="B2626" s="4"/>
      <c r="C2626" s="4" t="s">
        <v>6466</v>
      </c>
      <c r="D2626" s="4">
        <v>50073.0</v>
      </c>
      <c r="E2626" s="4"/>
      <c r="F2626" s="4">
        <v>1.0</v>
      </c>
      <c r="G2626" s="4">
        <v>599.0</v>
      </c>
      <c r="H2626" s="4"/>
      <c r="I2626" s="4">
        <v>599.0</v>
      </c>
      <c r="J2626" s="4" t="s">
        <v>6520</v>
      </c>
      <c r="K2626" s="6">
        <f>+919490710175</f>
        <v>919490710175</v>
      </c>
      <c r="L2626" s="4" t="str">
        <f t="shared" si="1"/>
        <v>rekhagupta.yoga@gmail.com919490710175</v>
      </c>
      <c r="M2626" s="10" t="s">
        <v>67</v>
      </c>
      <c r="N2626" s="4" t="b">
        <v>0</v>
      </c>
      <c r="O2626" s="4" t="str">
        <f>VLOOKUP(A2626,payment_ids!D:E,2,FALSE)</f>
        <v>upi</v>
      </c>
      <c r="P2626" s="4" t="s">
        <v>69</v>
      </c>
      <c r="Q2626" s="4" t="s">
        <v>6521</v>
      </c>
      <c r="R2626" s="4"/>
      <c r="S2626" s="12" t="s">
        <v>6497</v>
      </c>
      <c r="T2626" s="4"/>
      <c r="U2626" s="4"/>
      <c r="V2626" s="4"/>
      <c r="W2626" s="5"/>
      <c r="X2626" s="4"/>
      <c r="Y2626" s="4"/>
      <c r="Z2626" s="5"/>
      <c r="AA2626" s="4"/>
      <c r="AB2626" s="4"/>
      <c r="AC2626" s="4"/>
      <c r="AD2626" s="4"/>
      <c r="AE2626" s="5"/>
      <c r="AF2626" s="5"/>
      <c r="AG2626" s="5"/>
      <c r="AH2626" s="5"/>
      <c r="AI2626" s="5"/>
      <c r="AJ2626" s="5"/>
      <c r="AK2626" s="5"/>
      <c r="AL2626" s="5"/>
    </row>
    <row r="2627">
      <c r="A2627" s="4" t="str">
        <f>VLOOKUP(L2627,payment_ids!C:D,2,FALSE)</f>
        <v>pay_HBmixhvNIcDeGg</v>
      </c>
      <c r="B2627" s="4"/>
      <c r="C2627" s="4" t="s">
        <v>6466</v>
      </c>
      <c r="D2627" s="4">
        <v>50073.0</v>
      </c>
      <c r="E2627" s="4"/>
      <c r="F2627" s="4">
        <v>1.0</v>
      </c>
      <c r="G2627" s="4">
        <v>599.0</v>
      </c>
      <c r="H2627" s="4"/>
      <c r="I2627" s="4">
        <v>599.0</v>
      </c>
      <c r="J2627" s="4" t="s">
        <v>6522</v>
      </c>
      <c r="K2627" s="6">
        <f>+919811437660</f>
        <v>919811437660</v>
      </c>
      <c r="L2627" s="4" t="str">
        <f t="shared" si="1"/>
        <v>ga.arora@yahoo.com919811437660</v>
      </c>
      <c r="M2627" s="10" t="s">
        <v>67</v>
      </c>
      <c r="N2627" s="4" t="b">
        <v>0</v>
      </c>
      <c r="O2627" s="4" t="str">
        <f>VLOOKUP(A2627,payment_ids!D:E,2,FALSE)</f>
        <v>netbanking</v>
      </c>
      <c r="P2627" s="4" t="s">
        <v>69</v>
      </c>
      <c r="Q2627" s="4" t="s">
        <v>6523</v>
      </c>
      <c r="R2627" s="4"/>
      <c r="S2627" s="12" t="s">
        <v>6497</v>
      </c>
      <c r="T2627" s="4"/>
      <c r="U2627" s="4"/>
      <c r="V2627" s="4"/>
      <c r="W2627" s="5"/>
      <c r="X2627" s="4"/>
      <c r="Y2627" s="4"/>
      <c r="Z2627" s="5"/>
      <c r="AA2627" s="4"/>
      <c r="AB2627" s="4"/>
      <c r="AC2627" s="4"/>
      <c r="AD2627" s="4"/>
      <c r="AE2627" s="5"/>
      <c r="AF2627" s="5"/>
      <c r="AG2627" s="5"/>
      <c r="AH2627" s="5"/>
      <c r="AI2627" s="5"/>
      <c r="AJ2627" s="5"/>
      <c r="AK2627" s="5"/>
      <c r="AL2627" s="5"/>
    </row>
    <row r="2628">
      <c r="A2628" s="4" t="str">
        <f>VLOOKUP(L2628,payment_ids!C:D,2,FALSE)</f>
        <v>pay_HBufuva1MZ3Eo8</v>
      </c>
      <c r="B2628" s="4"/>
      <c r="C2628" s="4" t="s">
        <v>6466</v>
      </c>
      <c r="D2628" s="4">
        <v>50073.0</v>
      </c>
      <c r="E2628" s="4"/>
      <c r="F2628" s="4">
        <v>1.0</v>
      </c>
      <c r="G2628" s="4">
        <v>599.0</v>
      </c>
      <c r="H2628" s="4"/>
      <c r="I2628" s="4">
        <v>599.0</v>
      </c>
      <c r="J2628" s="4" t="s">
        <v>6524</v>
      </c>
      <c r="K2628" s="6">
        <f>+919819333766</f>
        <v>919819333766</v>
      </c>
      <c r="L2628" s="4" t="str">
        <f t="shared" si="1"/>
        <v>pratsingh@rediffmail.com919819333766</v>
      </c>
      <c r="M2628" s="10" t="s">
        <v>67</v>
      </c>
      <c r="N2628" s="4" t="b">
        <v>0</v>
      </c>
      <c r="O2628" s="4" t="str">
        <f>VLOOKUP(A2628,payment_ids!D:E,2,FALSE)</f>
        <v>card</v>
      </c>
      <c r="P2628" s="4" t="s">
        <v>69</v>
      </c>
      <c r="Q2628" s="4" t="s">
        <v>6525</v>
      </c>
      <c r="R2628" s="4"/>
      <c r="S2628" s="4"/>
      <c r="T2628" s="4"/>
      <c r="U2628" s="4"/>
      <c r="V2628" s="4"/>
      <c r="W2628" s="5"/>
      <c r="X2628" s="4"/>
      <c r="Y2628" s="4"/>
      <c r="Z2628" s="5"/>
      <c r="AA2628" s="4"/>
      <c r="AB2628" s="4"/>
      <c r="AC2628" s="4"/>
      <c r="AD2628" s="4"/>
      <c r="AE2628" s="5"/>
      <c r="AF2628" s="5"/>
      <c r="AG2628" s="5"/>
      <c r="AH2628" s="5"/>
      <c r="AI2628" s="5"/>
      <c r="AJ2628" s="5"/>
      <c r="AK2628" s="5"/>
      <c r="AL2628" s="5"/>
    </row>
    <row r="2629">
      <c r="A2629" s="4" t="str">
        <f>VLOOKUP(L2629,payment_ids!C:D,2,FALSE)</f>
        <v>pay_HCfSPJqdAPXi3T</v>
      </c>
      <c r="B2629" s="4"/>
      <c r="C2629" s="4" t="s">
        <v>6466</v>
      </c>
      <c r="D2629" s="4">
        <v>50073.0</v>
      </c>
      <c r="E2629" s="4"/>
      <c r="F2629" s="4">
        <v>1.0</v>
      </c>
      <c r="G2629" s="4">
        <v>599.0</v>
      </c>
      <c r="H2629" s="4"/>
      <c r="I2629" s="4">
        <v>599.0</v>
      </c>
      <c r="J2629" s="4" t="s">
        <v>6526</v>
      </c>
      <c r="K2629" s="6">
        <f>+919999304427</f>
        <v>919999304427</v>
      </c>
      <c r="L2629" s="4" t="str">
        <f t="shared" si="1"/>
        <v>yuktaanand@yahoo.co.in919999304427</v>
      </c>
      <c r="M2629" s="10" t="s">
        <v>67</v>
      </c>
      <c r="N2629" s="4" t="b">
        <v>0</v>
      </c>
      <c r="O2629" s="4" t="str">
        <f>VLOOKUP(A2629,payment_ids!D:E,2,FALSE)</f>
        <v>upi</v>
      </c>
      <c r="P2629" s="4" t="s">
        <v>69</v>
      </c>
      <c r="Q2629" s="4" t="s">
        <v>6527</v>
      </c>
      <c r="R2629" s="4"/>
      <c r="S2629" s="12" t="s">
        <v>6497</v>
      </c>
      <c r="T2629" s="4"/>
      <c r="U2629" s="4"/>
      <c r="V2629" s="4"/>
      <c r="W2629" s="5"/>
      <c r="X2629" s="4"/>
      <c r="Y2629" s="4"/>
      <c r="Z2629" s="5"/>
      <c r="AA2629" s="4"/>
      <c r="AB2629" s="4"/>
      <c r="AC2629" s="4"/>
      <c r="AD2629" s="4"/>
      <c r="AE2629" s="5"/>
      <c r="AF2629" s="5"/>
      <c r="AG2629" s="5"/>
      <c r="AH2629" s="5"/>
      <c r="AI2629" s="5"/>
      <c r="AJ2629" s="5"/>
      <c r="AK2629" s="5"/>
      <c r="AL2629" s="5"/>
    </row>
    <row r="2630">
      <c r="A2630" s="4" t="str">
        <f>VLOOKUP(L2630,payment_ids!C:D,2,FALSE)</f>
        <v>pay_HCffEGc7wkWEug</v>
      </c>
      <c r="B2630" s="4"/>
      <c r="C2630" s="4" t="s">
        <v>6466</v>
      </c>
      <c r="D2630" s="4">
        <v>50073.0</v>
      </c>
      <c r="E2630" s="4"/>
      <c r="F2630" s="4">
        <v>1.0</v>
      </c>
      <c r="G2630" s="4">
        <v>599.0</v>
      </c>
      <c r="H2630" s="4"/>
      <c r="I2630" s="4">
        <v>599.0</v>
      </c>
      <c r="J2630" s="4" t="s">
        <v>6528</v>
      </c>
      <c r="K2630" s="6">
        <f>+919171112660</f>
        <v>919171112660</v>
      </c>
      <c r="L2630" s="4" t="str">
        <f t="shared" si="1"/>
        <v>namitakothari30@gmail.com919171112660</v>
      </c>
      <c r="M2630" s="10" t="s">
        <v>67</v>
      </c>
      <c r="N2630" s="4" t="b">
        <v>0</v>
      </c>
      <c r="O2630" s="4" t="str">
        <f>VLOOKUP(A2630,payment_ids!D:E,2,FALSE)</f>
        <v>upi</v>
      </c>
      <c r="P2630" s="4" t="s">
        <v>69</v>
      </c>
      <c r="Q2630" s="4" t="s">
        <v>6529</v>
      </c>
      <c r="R2630" s="4"/>
      <c r="S2630" s="12" t="s">
        <v>6497</v>
      </c>
      <c r="T2630" s="4"/>
      <c r="U2630" s="4"/>
      <c r="V2630" s="4"/>
      <c r="W2630" s="5"/>
      <c r="X2630" s="4"/>
      <c r="Y2630" s="4"/>
      <c r="Z2630" s="5"/>
      <c r="AA2630" s="4"/>
      <c r="AB2630" s="4"/>
      <c r="AC2630" s="4"/>
      <c r="AD2630" s="4"/>
      <c r="AE2630" s="5"/>
      <c r="AF2630" s="5"/>
      <c r="AG2630" s="5"/>
      <c r="AH2630" s="5"/>
      <c r="AI2630" s="5"/>
      <c r="AJ2630" s="5"/>
      <c r="AK2630" s="5"/>
      <c r="AL2630" s="5"/>
    </row>
    <row r="2631">
      <c r="A2631" s="4" t="str">
        <f>VLOOKUP(L2631,payment_ids!C:D,2,FALSE)</f>
        <v>pay_HChMFFs7wazCnx</v>
      </c>
      <c r="B2631" s="4"/>
      <c r="C2631" s="4" t="s">
        <v>6466</v>
      </c>
      <c r="D2631" s="4">
        <v>50073.0</v>
      </c>
      <c r="E2631" s="4"/>
      <c r="F2631" s="4">
        <v>1.0</v>
      </c>
      <c r="G2631" s="4">
        <v>599.0</v>
      </c>
      <c r="H2631" s="4"/>
      <c r="I2631" s="4">
        <v>599.0</v>
      </c>
      <c r="J2631" s="4" t="s">
        <v>6530</v>
      </c>
      <c r="K2631" s="6">
        <f>+919036404634</f>
        <v>919036404634</v>
      </c>
      <c r="L2631" s="4" t="str">
        <f t="shared" si="1"/>
        <v>kajuansh@gmail.com919036404634</v>
      </c>
      <c r="M2631" s="10" t="s">
        <v>67</v>
      </c>
      <c r="N2631" s="4" t="b">
        <v>0</v>
      </c>
      <c r="O2631" s="4" t="str">
        <f>VLOOKUP(A2631,payment_ids!D:E,2,FALSE)</f>
        <v>upi</v>
      </c>
      <c r="P2631" s="4" t="s">
        <v>69</v>
      </c>
      <c r="Q2631" s="4" t="s">
        <v>6531</v>
      </c>
      <c r="R2631" s="4"/>
      <c r="S2631" s="12" t="s">
        <v>6497</v>
      </c>
      <c r="T2631" s="4"/>
      <c r="U2631" s="4"/>
      <c r="V2631" s="4"/>
      <c r="W2631" s="5"/>
      <c r="X2631" s="4"/>
      <c r="Y2631" s="4"/>
      <c r="Z2631" s="5"/>
      <c r="AA2631" s="4"/>
      <c r="AB2631" s="4"/>
      <c r="AC2631" s="4"/>
      <c r="AD2631" s="4"/>
      <c r="AE2631" s="5"/>
      <c r="AF2631" s="5"/>
      <c r="AG2631" s="5"/>
      <c r="AH2631" s="5"/>
      <c r="AI2631" s="5"/>
      <c r="AJ2631" s="5"/>
      <c r="AK2631" s="5"/>
      <c r="AL2631" s="5"/>
    </row>
    <row r="2632">
      <c r="A2632" s="4" t="str">
        <f>VLOOKUP(L2632,payment_ids!C:D,2,FALSE)</f>
        <v>pay_HCuzRDXFBjz43X</v>
      </c>
      <c r="B2632" s="4"/>
      <c r="C2632" s="4" t="s">
        <v>6466</v>
      </c>
      <c r="D2632" s="4">
        <v>50073.0</v>
      </c>
      <c r="E2632" s="4"/>
      <c r="F2632" s="4">
        <v>3.0</v>
      </c>
      <c r="G2632" s="13">
        <v>1499.0</v>
      </c>
      <c r="H2632" s="4"/>
      <c r="I2632" s="13">
        <v>1499.0</v>
      </c>
      <c r="J2632" s="4" t="s">
        <v>6532</v>
      </c>
      <c r="K2632" s="6">
        <f>+64226701308</f>
        <v>64226701308</v>
      </c>
      <c r="L2632" s="4" t="str">
        <f t="shared" si="1"/>
        <v>manish.makwana@live.com64226701308</v>
      </c>
      <c r="M2632" s="10" t="s">
        <v>67</v>
      </c>
      <c r="N2632" s="4" t="b">
        <v>0</v>
      </c>
      <c r="O2632" s="4" t="str">
        <f>VLOOKUP(A2632,payment_ids!D:E,2,FALSE)</f>
        <v>card</v>
      </c>
      <c r="P2632" s="4" t="s">
        <v>69</v>
      </c>
      <c r="Q2632" s="4" t="s">
        <v>6533</v>
      </c>
      <c r="R2632" s="4"/>
      <c r="S2632" s="12" t="s">
        <v>6497</v>
      </c>
      <c r="T2632" s="4"/>
      <c r="U2632" s="4"/>
      <c r="V2632" s="4"/>
      <c r="W2632" s="5"/>
      <c r="X2632" s="4"/>
      <c r="Y2632" s="4"/>
      <c r="Z2632" s="5"/>
      <c r="AA2632" s="4"/>
      <c r="AB2632" s="4"/>
      <c r="AC2632" s="4"/>
      <c r="AD2632" s="4"/>
      <c r="AE2632" s="5"/>
      <c r="AF2632" s="5"/>
      <c r="AG2632" s="5"/>
      <c r="AH2632" s="5"/>
      <c r="AI2632" s="5"/>
      <c r="AJ2632" s="5"/>
      <c r="AK2632" s="5"/>
      <c r="AL2632" s="5"/>
    </row>
    <row r="2633">
      <c r="A2633" s="4" t="str">
        <f>VLOOKUP(L2633,payment_ids!C:D,2,FALSE)</f>
        <v>pay_HDqATTVQR40QP2</v>
      </c>
      <c r="B2633" s="4"/>
      <c r="C2633" s="4" t="s">
        <v>6466</v>
      </c>
      <c r="D2633" s="4">
        <v>50073.0</v>
      </c>
      <c r="E2633" s="4"/>
      <c r="F2633" s="4">
        <v>3.0</v>
      </c>
      <c r="G2633" s="13">
        <v>1499.0</v>
      </c>
      <c r="H2633" s="4"/>
      <c r="I2633" s="13">
        <v>1499.0</v>
      </c>
      <c r="J2633" s="4" t="s">
        <v>6534</v>
      </c>
      <c r="K2633" s="6">
        <f>+919874419504</f>
        <v>919874419504</v>
      </c>
      <c r="L2633" s="4" t="str">
        <f t="shared" si="1"/>
        <v>arka.icfai@gmail.com919874419504</v>
      </c>
      <c r="M2633" s="10" t="s">
        <v>67</v>
      </c>
      <c r="N2633" s="4" t="b">
        <v>0</v>
      </c>
      <c r="O2633" s="4" t="str">
        <f>VLOOKUP(A2633,payment_ids!D:E,2,FALSE)</f>
        <v>card</v>
      </c>
      <c r="P2633" s="4" t="s">
        <v>69</v>
      </c>
      <c r="Q2633" s="4" t="s">
        <v>6535</v>
      </c>
      <c r="R2633" s="4"/>
      <c r="S2633" s="12" t="s">
        <v>6497</v>
      </c>
      <c r="T2633" s="4"/>
      <c r="U2633" s="4"/>
      <c r="V2633" s="4"/>
      <c r="W2633" s="5"/>
      <c r="X2633" s="4"/>
      <c r="Y2633" s="4"/>
      <c r="Z2633" s="5"/>
      <c r="AA2633" s="4"/>
      <c r="AB2633" s="4"/>
      <c r="AC2633" s="4"/>
      <c r="AD2633" s="4"/>
      <c r="AE2633" s="5"/>
      <c r="AF2633" s="5"/>
      <c r="AG2633" s="5"/>
      <c r="AH2633" s="5"/>
      <c r="AI2633" s="5"/>
      <c r="AJ2633" s="5"/>
      <c r="AK2633" s="5"/>
      <c r="AL2633" s="5"/>
    </row>
    <row r="2634">
      <c r="A2634" s="4" t="str">
        <f>VLOOKUP(L2634,payment_ids!C:D,2,FALSE)</f>
        <v>pay_HEXRzJ8rJq5LDB</v>
      </c>
      <c r="B2634" s="4"/>
      <c r="C2634" s="4" t="s">
        <v>6466</v>
      </c>
      <c r="D2634" s="4">
        <v>50073.0</v>
      </c>
      <c r="E2634" s="4"/>
      <c r="F2634" s="4">
        <v>1.0</v>
      </c>
      <c r="G2634" s="4">
        <v>599.0</v>
      </c>
      <c r="H2634" s="4"/>
      <c r="I2634" s="4">
        <v>599.0</v>
      </c>
      <c r="J2634" s="4" t="s">
        <v>2380</v>
      </c>
      <c r="K2634" s="6">
        <f>+919163390973</f>
        <v>919163390973</v>
      </c>
      <c r="L2634" s="4" t="str">
        <f t="shared" si="1"/>
        <v>rini.bhowal77@gmail.com919163390973</v>
      </c>
      <c r="M2634" s="10" t="s">
        <v>67</v>
      </c>
      <c r="N2634" s="4" t="b">
        <v>0</v>
      </c>
      <c r="O2634" s="4" t="str">
        <f>VLOOKUP(A2634,payment_ids!D:E,2,FALSE)</f>
        <v>netbanking</v>
      </c>
      <c r="P2634" s="4" t="s">
        <v>69</v>
      </c>
      <c r="Q2634" s="4" t="s">
        <v>6536</v>
      </c>
      <c r="R2634" s="4"/>
      <c r="S2634" s="12" t="s">
        <v>6497</v>
      </c>
      <c r="T2634" s="4"/>
      <c r="U2634" s="4"/>
      <c r="V2634" s="4"/>
      <c r="W2634" s="5"/>
      <c r="X2634" s="4"/>
      <c r="Y2634" s="4"/>
      <c r="Z2634" s="5"/>
      <c r="AA2634" s="4"/>
      <c r="AB2634" s="4"/>
      <c r="AC2634" s="4"/>
      <c r="AD2634" s="4"/>
      <c r="AE2634" s="5"/>
      <c r="AF2634" s="5"/>
      <c r="AG2634" s="5"/>
      <c r="AH2634" s="5"/>
      <c r="AI2634" s="5"/>
      <c r="AJ2634" s="5"/>
      <c r="AK2634" s="5"/>
      <c r="AL2634" s="5"/>
    </row>
    <row r="2635">
      <c r="A2635" s="4" t="str">
        <f>VLOOKUP(L2635,payment_ids!C:D,2,FALSE)</f>
        <v>pay_HEXuZ65nuu23yS</v>
      </c>
      <c r="B2635" s="4"/>
      <c r="C2635" s="4" t="s">
        <v>6466</v>
      </c>
      <c r="D2635" s="4">
        <v>50073.0</v>
      </c>
      <c r="E2635" s="4"/>
      <c r="F2635" s="4">
        <v>1.0</v>
      </c>
      <c r="G2635" s="4">
        <v>599.0</v>
      </c>
      <c r="H2635" s="4"/>
      <c r="I2635" s="4">
        <v>599.0</v>
      </c>
      <c r="J2635" s="4" t="s">
        <v>6537</v>
      </c>
      <c r="K2635" s="6">
        <f>+919890643316</f>
        <v>919890643316</v>
      </c>
      <c r="L2635" s="4" t="str">
        <f t="shared" si="1"/>
        <v>drankitapatni25@gmail.com919890643316</v>
      </c>
      <c r="M2635" s="10" t="s">
        <v>67</v>
      </c>
      <c r="N2635" s="4" t="b">
        <v>0</v>
      </c>
      <c r="O2635" s="4" t="str">
        <f>VLOOKUP(A2635,payment_ids!D:E,2,FALSE)</f>
        <v>netbanking</v>
      </c>
      <c r="P2635" s="4" t="s">
        <v>69</v>
      </c>
      <c r="Q2635" s="4" t="s">
        <v>6538</v>
      </c>
      <c r="R2635" s="4"/>
      <c r="S2635" s="12" t="s">
        <v>6497</v>
      </c>
      <c r="T2635" s="4"/>
      <c r="U2635" s="4"/>
      <c r="V2635" s="4"/>
      <c r="W2635" s="5"/>
      <c r="X2635" s="4"/>
      <c r="Y2635" s="4"/>
      <c r="Z2635" s="5"/>
      <c r="AA2635" s="4"/>
      <c r="AB2635" s="4"/>
      <c r="AC2635" s="4"/>
      <c r="AD2635" s="4"/>
      <c r="AE2635" s="5"/>
      <c r="AF2635" s="5"/>
      <c r="AG2635" s="5"/>
      <c r="AH2635" s="5"/>
      <c r="AI2635" s="5"/>
      <c r="AJ2635" s="5"/>
      <c r="AK2635" s="5"/>
      <c r="AL2635" s="5"/>
    </row>
    <row r="2636">
      <c r="A2636" s="4" t="str">
        <f>VLOOKUP(L2636,payment_ids!C:D,2,FALSE)</f>
        <v>pay_HEcDXynf7hpejk</v>
      </c>
      <c r="B2636" s="4"/>
      <c r="C2636" s="4" t="s">
        <v>6466</v>
      </c>
      <c r="D2636" s="4">
        <v>50073.0</v>
      </c>
      <c r="E2636" s="4"/>
      <c r="F2636" s="4">
        <v>1.0</v>
      </c>
      <c r="G2636" s="4">
        <v>599.0</v>
      </c>
      <c r="H2636" s="4"/>
      <c r="I2636" s="4">
        <v>599.0</v>
      </c>
      <c r="J2636" s="4" t="s">
        <v>2357</v>
      </c>
      <c r="K2636" s="6">
        <f>+917088871551</f>
        <v>917088871551</v>
      </c>
      <c r="L2636" s="4" t="str">
        <f t="shared" si="1"/>
        <v>pujas98@gmail.com917088871551</v>
      </c>
      <c r="M2636" s="10" t="s">
        <v>67</v>
      </c>
      <c r="N2636" s="4" t="b">
        <v>0</v>
      </c>
      <c r="O2636" s="4" t="str">
        <f>VLOOKUP(A2636,payment_ids!D:E,2,FALSE)</f>
        <v>card</v>
      </c>
      <c r="P2636" s="4" t="s">
        <v>69</v>
      </c>
      <c r="Q2636" s="4" t="s">
        <v>6539</v>
      </c>
      <c r="R2636" s="4"/>
      <c r="S2636" s="12" t="s">
        <v>6497</v>
      </c>
      <c r="T2636" s="4"/>
      <c r="U2636" s="4"/>
      <c r="V2636" s="4"/>
      <c r="W2636" s="5"/>
      <c r="X2636" s="4"/>
      <c r="Y2636" s="4"/>
      <c r="Z2636" s="5"/>
      <c r="AA2636" s="4"/>
      <c r="AB2636" s="4"/>
      <c r="AC2636" s="4"/>
      <c r="AD2636" s="4"/>
      <c r="AE2636" s="5"/>
      <c r="AF2636" s="5"/>
      <c r="AG2636" s="5"/>
      <c r="AH2636" s="5"/>
      <c r="AI2636" s="5"/>
      <c r="AJ2636" s="5"/>
      <c r="AK2636" s="5"/>
      <c r="AL2636" s="5"/>
    </row>
    <row r="2637">
      <c r="A2637" s="4" t="str">
        <f>VLOOKUP(L2637,payment_ids!C:D,2,FALSE)</f>
        <v>pay_HFPD86RyhqGqBe</v>
      </c>
      <c r="B2637" s="4"/>
      <c r="C2637" s="4" t="s">
        <v>2161</v>
      </c>
      <c r="D2637" s="4">
        <v>50073.0</v>
      </c>
      <c r="E2637" s="5"/>
      <c r="F2637" s="4">
        <v>1.0</v>
      </c>
      <c r="G2637" s="4">
        <v>599.0</v>
      </c>
      <c r="H2637" s="4"/>
      <c r="I2637" s="4">
        <v>599.0</v>
      </c>
      <c r="J2637" s="4" t="s">
        <v>2209</v>
      </c>
      <c r="K2637" s="5">
        <f>+918585022750</f>
        <v>918585022750</v>
      </c>
      <c r="L2637" s="4" t="str">
        <f t="shared" si="1"/>
        <v>ivanarayan@rediffmail.com918585022750</v>
      </c>
      <c r="M2637" s="10" t="s">
        <v>67</v>
      </c>
      <c r="N2637" s="4" t="b">
        <v>0</v>
      </c>
      <c r="O2637" s="4" t="str">
        <f>VLOOKUP(A2637,payment_ids!D:E,2,FALSE)</f>
        <v>card</v>
      </c>
      <c r="P2637" s="4" t="s">
        <v>69</v>
      </c>
      <c r="Q2637" s="4" t="s">
        <v>6540</v>
      </c>
      <c r="R2637" s="4"/>
      <c r="S2637" s="12" t="s">
        <v>6497</v>
      </c>
      <c r="T2637" s="5"/>
      <c r="U2637" s="4"/>
      <c r="V2637" s="4"/>
      <c r="W2637" s="5"/>
      <c r="X2637" s="4"/>
      <c r="Y2637" s="4"/>
      <c r="Z2637" s="5"/>
      <c r="AA2637" s="4"/>
      <c r="AB2637" s="4"/>
      <c r="AC2637" s="4"/>
      <c r="AD2637" s="4"/>
      <c r="AE2637" s="5"/>
      <c r="AF2637" s="5"/>
      <c r="AG2637" s="5"/>
      <c r="AH2637" s="5"/>
      <c r="AI2637" s="5"/>
      <c r="AJ2637" s="5"/>
      <c r="AK2637" s="5"/>
      <c r="AL2637" s="5"/>
    </row>
    <row r="2638">
      <c r="A2638" s="4" t="str">
        <f>VLOOKUP(L2638,payment_ids!C:D,2,FALSE)</f>
        <v>pay_HFj0ujqLyOan0Q</v>
      </c>
      <c r="B2638" s="4"/>
      <c r="C2638" s="4" t="s">
        <v>2161</v>
      </c>
      <c r="D2638" s="4">
        <v>50073.0</v>
      </c>
      <c r="E2638" s="5"/>
      <c r="F2638" s="4">
        <v>1.0</v>
      </c>
      <c r="G2638" s="4">
        <v>599.0</v>
      </c>
      <c r="H2638" s="4"/>
      <c r="I2638" s="4">
        <v>599.0</v>
      </c>
      <c r="J2638" s="4" t="s">
        <v>2253</v>
      </c>
      <c r="K2638" s="5">
        <f>+919164258717</f>
        <v>919164258717</v>
      </c>
      <c r="L2638" s="4" t="str">
        <f t="shared" si="1"/>
        <v>swetarane54@gmail.com919164258717</v>
      </c>
      <c r="M2638" s="10" t="s">
        <v>67</v>
      </c>
      <c r="N2638" s="4" t="b">
        <v>0</v>
      </c>
      <c r="O2638" s="4" t="str">
        <f>VLOOKUP(A2638,payment_ids!D:E,2,FALSE)</f>
        <v>upi</v>
      </c>
      <c r="P2638" s="4" t="s">
        <v>69</v>
      </c>
      <c r="Q2638" s="4" t="s">
        <v>6541</v>
      </c>
      <c r="R2638" s="4"/>
      <c r="S2638" s="12" t="s">
        <v>6497</v>
      </c>
      <c r="T2638" s="5"/>
      <c r="U2638" s="4"/>
      <c r="V2638" s="4"/>
      <c r="W2638" s="5"/>
      <c r="X2638" s="4"/>
      <c r="Y2638" s="4"/>
      <c r="Z2638" s="5"/>
      <c r="AA2638" s="4"/>
      <c r="AB2638" s="4"/>
      <c r="AC2638" s="4"/>
      <c r="AD2638" s="4"/>
      <c r="AE2638" s="5"/>
      <c r="AF2638" s="5"/>
      <c r="AG2638" s="5"/>
      <c r="AH2638" s="5"/>
      <c r="AI2638" s="5"/>
      <c r="AJ2638" s="5"/>
      <c r="AK2638" s="5"/>
      <c r="AL2638" s="5"/>
    </row>
    <row r="2639">
      <c r="A2639" s="4" t="str">
        <f>VLOOKUP(L2639,payment_ids!C:D,2,FALSE)</f>
        <v>pay_HFmjrmNE0GVJjh</v>
      </c>
      <c r="B2639" s="4"/>
      <c r="C2639" s="4" t="s">
        <v>2161</v>
      </c>
      <c r="D2639" s="4">
        <v>50073.0</v>
      </c>
      <c r="E2639" s="5"/>
      <c r="F2639" s="4">
        <v>1.0</v>
      </c>
      <c r="G2639" s="4">
        <v>799.0</v>
      </c>
      <c r="H2639" s="4"/>
      <c r="I2639" s="4">
        <v>799.0</v>
      </c>
      <c r="J2639" s="4" t="s">
        <v>6542</v>
      </c>
      <c r="K2639" s="5">
        <f>+918369219878</f>
        <v>918369219878</v>
      </c>
      <c r="L2639" s="4" t="str">
        <f t="shared" si="1"/>
        <v>sonaligupta33@gmail.com918369219878</v>
      </c>
      <c r="M2639" s="10" t="s">
        <v>67</v>
      </c>
      <c r="N2639" s="4" t="b">
        <v>0</v>
      </c>
      <c r="O2639" s="4" t="str">
        <f>VLOOKUP(A2639,payment_ids!D:E,2,FALSE)</f>
        <v>card</v>
      </c>
      <c r="P2639" s="4" t="s">
        <v>69</v>
      </c>
      <c r="Q2639" s="4" t="s">
        <v>6543</v>
      </c>
      <c r="R2639" s="4"/>
      <c r="S2639" s="12" t="s">
        <v>6497</v>
      </c>
      <c r="T2639" s="5"/>
      <c r="U2639" s="4"/>
      <c r="V2639" s="4"/>
      <c r="W2639" s="5"/>
      <c r="X2639" s="4"/>
      <c r="Y2639" s="4"/>
      <c r="Z2639" s="5"/>
      <c r="AA2639" s="4"/>
      <c r="AB2639" s="4"/>
      <c r="AC2639" s="4"/>
      <c r="AD2639" s="4"/>
      <c r="AE2639" s="5"/>
      <c r="AF2639" s="5"/>
      <c r="AG2639" s="5"/>
      <c r="AH2639" s="5"/>
      <c r="AI2639" s="5"/>
      <c r="AJ2639" s="5"/>
      <c r="AK2639" s="5"/>
      <c r="AL2639" s="5"/>
    </row>
    <row r="2640">
      <c r="A2640" s="4" t="str">
        <f>VLOOKUP(L2640,payment_ids!C:D,2,FALSE)</f>
        <v>pay_HFnOw0vpK4Anvm</v>
      </c>
      <c r="B2640" s="4"/>
      <c r="C2640" s="4" t="s">
        <v>2161</v>
      </c>
      <c r="D2640" s="4">
        <v>50073.0</v>
      </c>
      <c r="E2640" s="5"/>
      <c r="F2640" s="4">
        <v>1.0</v>
      </c>
      <c r="G2640" s="4">
        <v>799.0</v>
      </c>
      <c r="H2640" s="4"/>
      <c r="I2640" s="4">
        <v>799.0</v>
      </c>
      <c r="J2640" s="4" t="s">
        <v>6544</v>
      </c>
      <c r="K2640" s="5">
        <f>+919818173893</f>
        <v>919818173893</v>
      </c>
      <c r="L2640" s="4" t="str">
        <f t="shared" si="1"/>
        <v>shringaar.greatworks@gmail.com919818173893</v>
      </c>
      <c r="M2640" s="10" t="s">
        <v>67</v>
      </c>
      <c r="N2640" s="4" t="b">
        <v>0</v>
      </c>
      <c r="O2640" s="4" t="str">
        <f>VLOOKUP(A2640,payment_ids!D:E,2,FALSE)</f>
        <v>upi</v>
      </c>
      <c r="P2640" s="4" t="s">
        <v>69</v>
      </c>
      <c r="Q2640" s="4" t="s">
        <v>6545</v>
      </c>
      <c r="R2640" s="4"/>
      <c r="S2640" s="12" t="s">
        <v>6497</v>
      </c>
      <c r="T2640" s="5"/>
      <c r="U2640" s="4"/>
      <c r="V2640" s="4"/>
      <c r="W2640" s="5"/>
      <c r="X2640" s="4"/>
      <c r="Y2640" s="4"/>
      <c r="Z2640" s="5"/>
      <c r="AA2640" s="4"/>
      <c r="AB2640" s="4"/>
      <c r="AC2640" s="4"/>
      <c r="AD2640" s="4"/>
      <c r="AE2640" s="5"/>
      <c r="AF2640" s="5"/>
      <c r="AG2640" s="5"/>
      <c r="AH2640" s="5"/>
      <c r="AI2640" s="5"/>
      <c r="AJ2640" s="5"/>
      <c r="AK2640" s="5"/>
      <c r="AL2640" s="5"/>
    </row>
    <row r="2641">
      <c r="A2641" s="4" t="str">
        <f>VLOOKUP(L2641,payment_ids!C:D,2,FALSE)</f>
        <v>pay_HG9U2MvruUm3Mw</v>
      </c>
      <c r="B2641" s="4"/>
      <c r="C2641" s="4" t="s">
        <v>2161</v>
      </c>
      <c r="D2641" s="4">
        <v>50073.0</v>
      </c>
      <c r="E2641" s="5"/>
      <c r="F2641" s="4">
        <v>1.0</v>
      </c>
      <c r="G2641" s="4">
        <v>799.0</v>
      </c>
      <c r="H2641" s="4"/>
      <c r="I2641" s="4">
        <v>799.0</v>
      </c>
      <c r="J2641" s="4" t="s">
        <v>6546</v>
      </c>
      <c r="K2641" s="5">
        <f>+917738612073</f>
        <v>917738612073</v>
      </c>
      <c r="L2641" s="4" t="str">
        <f t="shared" si="1"/>
        <v>gautamsrane@gmail.com917738612073</v>
      </c>
      <c r="M2641" s="10" t="s">
        <v>67</v>
      </c>
      <c r="N2641" s="4" t="b">
        <v>0</v>
      </c>
      <c r="O2641" s="4" t="str">
        <f>VLOOKUP(A2641,payment_ids!D:E,2,FALSE)</f>
        <v>netbanking</v>
      </c>
      <c r="P2641" s="4" t="s">
        <v>69</v>
      </c>
      <c r="Q2641" s="4" t="s">
        <v>6547</v>
      </c>
      <c r="R2641" s="4"/>
      <c r="S2641" s="12" t="s">
        <v>6497</v>
      </c>
      <c r="T2641" s="5"/>
      <c r="U2641" s="4"/>
      <c r="V2641" s="4"/>
      <c r="W2641" s="5"/>
      <c r="X2641" s="4"/>
      <c r="Y2641" s="4"/>
      <c r="Z2641" s="5"/>
      <c r="AA2641" s="4"/>
      <c r="AB2641" s="4"/>
      <c r="AC2641" s="4"/>
      <c r="AD2641" s="4"/>
      <c r="AE2641" s="5"/>
      <c r="AF2641" s="5"/>
      <c r="AG2641" s="5"/>
      <c r="AH2641" s="5"/>
      <c r="AI2641" s="5"/>
      <c r="AJ2641" s="5"/>
      <c r="AK2641" s="5"/>
      <c r="AL2641" s="5"/>
    </row>
    <row r="2642">
      <c r="A2642" s="4" t="str">
        <f>VLOOKUP(L2642,payment_ids!C:D,2,FALSE)</f>
        <v>pay_HGgCoded5HwdID</v>
      </c>
      <c r="B2642" s="4"/>
      <c r="C2642" s="4" t="s">
        <v>2161</v>
      </c>
      <c r="D2642" s="4">
        <v>50073.0</v>
      </c>
      <c r="E2642" s="5"/>
      <c r="F2642" s="4">
        <v>1.0</v>
      </c>
      <c r="G2642" s="4">
        <v>799.0</v>
      </c>
      <c r="H2642" s="4"/>
      <c r="I2642" s="4">
        <v>799.0</v>
      </c>
      <c r="J2642" s="4" t="s">
        <v>6548</v>
      </c>
      <c r="K2642" s="5">
        <f>+917075226651</f>
        <v>917075226651</v>
      </c>
      <c r="L2642" s="4" t="str">
        <f t="shared" si="1"/>
        <v>sankarapu.lyrics@gmail.com917075226651</v>
      </c>
      <c r="M2642" s="10" t="s">
        <v>67</v>
      </c>
      <c r="N2642" s="4" t="b">
        <v>0</v>
      </c>
      <c r="O2642" s="4" t="str">
        <f>VLOOKUP(A2642,payment_ids!D:E,2,FALSE)</f>
        <v>card</v>
      </c>
      <c r="P2642" s="4" t="s">
        <v>69</v>
      </c>
      <c r="Q2642" s="4" t="s">
        <v>6549</v>
      </c>
      <c r="R2642" s="4"/>
      <c r="S2642" s="12" t="s">
        <v>6497</v>
      </c>
      <c r="T2642" s="5"/>
      <c r="U2642" s="4"/>
      <c r="V2642" s="4"/>
      <c r="W2642" s="5"/>
      <c r="X2642" s="4"/>
      <c r="Y2642" s="4"/>
      <c r="Z2642" s="5"/>
      <c r="AA2642" s="4"/>
      <c r="AB2642" s="4"/>
      <c r="AC2642" s="4"/>
      <c r="AD2642" s="4"/>
      <c r="AE2642" s="5"/>
      <c r="AF2642" s="5"/>
      <c r="AG2642" s="5"/>
      <c r="AH2642" s="5"/>
      <c r="AI2642" s="5"/>
      <c r="AJ2642" s="5"/>
      <c r="AK2642" s="5"/>
      <c r="AL2642" s="5"/>
    </row>
    <row r="2643">
      <c r="A2643" s="4" t="str">
        <f>VLOOKUP(L2643,payment_ids!C:D,2,FALSE)</f>
        <v>pay_HH2PQMg4UePrkc</v>
      </c>
      <c r="B2643" s="4"/>
      <c r="C2643" s="4" t="s">
        <v>2161</v>
      </c>
      <c r="D2643" s="4">
        <v>50073.0</v>
      </c>
      <c r="E2643" s="5"/>
      <c r="F2643" s="4">
        <v>1.0</v>
      </c>
      <c r="G2643" s="4">
        <v>799.0</v>
      </c>
      <c r="H2643" s="4"/>
      <c r="I2643" s="4">
        <v>799.0</v>
      </c>
      <c r="J2643" s="4" t="s">
        <v>6550</v>
      </c>
      <c r="K2643" s="5">
        <f>+917703816107</f>
        <v>917703816107</v>
      </c>
      <c r="L2643" s="4" t="str">
        <f t="shared" si="1"/>
        <v>luthra72@gmail.com917703816107</v>
      </c>
      <c r="M2643" s="10" t="s">
        <v>67</v>
      </c>
      <c r="N2643" s="4" t="b">
        <v>0</v>
      </c>
      <c r="O2643" s="4" t="str">
        <f>VLOOKUP(A2643,payment_ids!D:E,2,FALSE)</f>
        <v>card</v>
      </c>
      <c r="P2643" s="4" t="s">
        <v>69</v>
      </c>
      <c r="Q2643" s="4" t="s">
        <v>6551</v>
      </c>
      <c r="R2643" s="4"/>
      <c r="S2643" s="12" t="s">
        <v>6497</v>
      </c>
      <c r="T2643" s="5"/>
      <c r="U2643" s="4"/>
      <c r="V2643" s="4"/>
      <c r="W2643" s="5"/>
      <c r="X2643" s="4"/>
      <c r="Y2643" s="4"/>
      <c r="Z2643" s="5"/>
      <c r="AA2643" s="4"/>
      <c r="AB2643" s="4"/>
      <c r="AC2643" s="4"/>
      <c r="AD2643" s="4"/>
      <c r="AE2643" s="5"/>
      <c r="AF2643" s="5"/>
      <c r="AG2643" s="5"/>
      <c r="AH2643" s="5"/>
      <c r="AI2643" s="5"/>
      <c r="AJ2643" s="5"/>
      <c r="AK2643" s="5"/>
      <c r="AL2643" s="5"/>
    </row>
    <row r="2644">
      <c r="A2644" s="4" t="str">
        <f>VLOOKUP(L2644,payment_ids!C:D,2,FALSE)</f>
        <v>pay_HHQr5mS1UVeK0I</v>
      </c>
      <c r="B2644" s="4"/>
      <c r="C2644" s="4" t="s">
        <v>2161</v>
      </c>
      <c r="D2644" s="4">
        <v>50073.0</v>
      </c>
      <c r="E2644" s="5"/>
      <c r="F2644" s="4">
        <v>1.0</v>
      </c>
      <c r="G2644" s="4">
        <v>799.0</v>
      </c>
      <c r="H2644" s="4"/>
      <c r="I2644" s="4">
        <v>799.0</v>
      </c>
      <c r="J2644" s="4" t="s">
        <v>6552</v>
      </c>
      <c r="K2644" s="5">
        <f>+919042385242</f>
        <v>919042385242</v>
      </c>
      <c r="L2644" s="4" t="str">
        <f t="shared" si="1"/>
        <v>rhappycool@gmail.com919042385242</v>
      </c>
      <c r="M2644" s="10" t="s">
        <v>67</v>
      </c>
      <c r="N2644" s="4" t="b">
        <v>0</v>
      </c>
      <c r="O2644" s="4" t="str">
        <f>VLOOKUP(A2644,payment_ids!D:E,2,FALSE)</f>
        <v>card</v>
      </c>
      <c r="P2644" s="4" t="s">
        <v>69</v>
      </c>
      <c r="Q2644" s="4" t="s">
        <v>6553</v>
      </c>
      <c r="R2644" s="4"/>
      <c r="S2644" s="12" t="s">
        <v>6497</v>
      </c>
      <c r="T2644" s="5"/>
      <c r="U2644" s="4"/>
      <c r="V2644" s="4"/>
      <c r="W2644" s="5"/>
      <c r="X2644" s="4"/>
      <c r="Y2644" s="4"/>
      <c r="Z2644" s="5"/>
      <c r="AA2644" s="4"/>
      <c r="AB2644" s="4"/>
      <c r="AC2644" s="4"/>
      <c r="AD2644" s="4"/>
      <c r="AE2644" s="5"/>
      <c r="AF2644" s="5"/>
      <c r="AG2644" s="5"/>
      <c r="AH2644" s="5"/>
      <c r="AI2644" s="5"/>
      <c r="AJ2644" s="5"/>
      <c r="AK2644" s="5"/>
      <c r="AL2644" s="5"/>
    </row>
    <row r="2645">
      <c r="A2645" s="4" t="str">
        <f>VLOOKUP(L2645,payment_ids!C:D,2,FALSE)</f>
        <v>pay_H9vWhyCNGYWcZs</v>
      </c>
      <c r="B2645" s="4"/>
      <c r="C2645" s="4" t="s">
        <v>2161</v>
      </c>
      <c r="D2645" s="4">
        <v>50073.0</v>
      </c>
      <c r="E2645" s="5"/>
      <c r="F2645" s="4">
        <v>3.0</v>
      </c>
      <c r="G2645" s="13">
        <v>1499.0</v>
      </c>
      <c r="H2645" s="4"/>
      <c r="I2645" s="13">
        <v>1499.0</v>
      </c>
      <c r="J2645" s="4" t="s">
        <v>6501</v>
      </c>
      <c r="K2645" s="5">
        <f>+919593380027</f>
        <v>919593380027</v>
      </c>
      <c r="L2645" s="4" t="str">
        <f t="shared" si="1"/>
        <v>sreeparnadasnath2015@gmail.com919593380027</v>
      </c>
      <c r="M2645" s="10" t="s">
        <v>67</v>
      </c>
      <c r="N2645" s="4" t="b">
        <v>0</v>
      </c>
      <c r="O2645" s="4" t="str">
        <f>VLOOKUP(A2645,payment_ids!D:E,2,FALSE)</f>
        <v>card</v>
      </c>
      <c r="P2645" s="4" t="s">
        <v>69</v>
      </c>
      <c r="Q2645" s="11">
        <v>44202.395833333336</v>
      </c>
      <c r="R2645" s="4"/>
      <c r="S2645" s="12" t="s">
        <v>6497</v>
      </c>
      <c r="T2645" s="5"/>
      <c r="U2645" s="4"/>
      <c r="V2645" s="4"/>
      <c r="W2645" s="5"/>
      <c r="X2645" s="4"/>
      <c r="Y2645" s="4"/>
      <c r="Z2645" s="5"/>
      <c r="AA2645" s="4"/>
      <c r="AB2645" s="4"/>
      <c r="AC2645" s="4"/>
      <c r="AD2645" s="4"/>
      <c r="AE2645" s="5"/>
      <c r="AF2645" s="5"/>
      <c r="AG2645" s="5"/>
      <c r="AH2645" s="5"/>
      <c r="AI2645" s="5"/>
      <c r="AJ2645" s="5"/>
      <c r="AK2645" s="5"/>
      <c r="AL2645" s="5"/>
    </row>
    <row r="2646">
      <c r="A2646" s="4" t="str">
        <f>VLOOKUP(L2646,payment_ids!C:D,2,FALSE)</f>
        <v>pay_H9vDxUbyoXY22n</v>
      </c>
      <c r="B2646" s="4"/>
      <c r="C2646" s="4" t="s">
        <v>2161</v>
      </c>
      <c r="D2646" s="4">
        <v>50073.0</v>
      </c>
      <c r="E2646" s="5"/>
      <c r="F2646" s="4">
        <v>3.0</v>
      </c>
      <c r="G2646" s="13">
        <v>1499.0</v>
      </c>
      <c r="H2646" s="4"/>
      <c r="I2646" s="13">
        <v>1499.0</v>
      </c>
      <c r="J2646" s="4" t="s">
        <v>6500</v>
      </c>
      <c r="K2646" s="5">
        <f>+919884976841</f>
        <v>919884976841</v>
      </c>
      <c r="L2646" s="4" t="str">
        <f t="shared" si="1"/>
        <v>novonilghosh84@gmail.com919884976841</v>
      </c>
      <c r="M2646" s="10" t="s">
        <v>67</v>
      </c>
      <c r="N2646" s="4" t="b">
        <v>0</v>
      </c>
      <c r="O2646" s="4" t="str">
        <f>VLOOKUP(A2646,payment_ids!D:E,2,FALSE)</f>
        <v>card</v>
      </c>
      <c r="P2646" s="4" t="s">
        <v>69</v>
      </c>
      <c r="Q2646" s="11">
        <v>44202.42361111111</v>
      </c>
      <c r="R2646" s="4"/>
      <c r="S2646" s="12" t="s">
        <v>6497</v>
      </c>
      <c r="T2646" s="5"/>
      <c r="U2646" s="4"/>
      <c r="V2646" s="4"/>
      <c r="W2646" s="5"/>
      <c r="X2646" s="4"/>
      <c r="Y2646" s="4"/>
      <c r="Z2646" s="5"/>
      <c r="AA2646" s="4"/>
      <c r="AB2646" s="4"/>
      <c r="AC2646" s="4"/>
      <c r="AD2646" s="4"/>
      <c r="AE2646" s="5"/>
      <c r="AF2646" s="5"/>
      <c r="AG2646" s="5"/>
      <c r="AH2646" s="5"/>
      <c r="AI2646" s="5"/>
      <c r="AJ2646" s="5"/>
      <c r="AK2646" s="5"/>
      <c r="AL2646" s="5"/>
    </row>
    <row r="2647">
      <c r="A2647" s="4" t="str">
        <f>VLOOKUP(L2647,payment_ids!C:D,2,FALSE)</f>
        <v>pay_HHgH4llq5AV1sf</v>
      </c>
      <c r="B2647" s="4"/>
      <c r="C2647" s="4" t="s">
        <v>2161</v>
      </c>
      <c r="D2647" s="4">
        <v>50073.0</v>
      </c>
      <c r="E2647" s="5"/>
      <c r="F2647" s="4">
        <v>3.0</v>
      </c>
      <c r="G2647" s="13">
        <v>1499.0</v>
      </c>
      <c r="H2647" s="4"/>
      <c r="I2647" s="13">
        <v>1499.0</v>
      </c>
      <c r="J2647" s="4" t="s">
        <v>2382</v>
      </c>
      <c r="K2647" s="5">
        <f>+917696803173</f>
        <v>917696803173</v>
      </c>
      <c r="L2647" s="4" t="str">
        <f t="shared" si="1"/>
        <v>bhavneetk87@gmail.com917696803173</v>
      </c>
      <c r="M2647" s="10" t="s">
        <v>67</v>
      </c>
      <c r="N2647" s="4" t="b">
        <v>0</v>
      </c>
      <c r="O2647" s="4" t="str">
        <f>VLOOKUP(A2647,payment_ids!D:E,2,FALSE)</f>
        <v>upi</v>
      </c>
      <c r="P2647" s="4" t="s">
        <v>69</v>
      </c>
      <c r="Q2647" s="11">
        <v>44202.45972222222</v>
      </c>
      <c r="R2647" s="4"/>
      <c r="S2647" s="12" t="s">
        <v>6497</v>
      </c>
      <c r="T2647" s="5"/>
      <c r="U2647" s="4"/>
      <c r="V2647" s="4"/>
      <c r="W2647" s="5"/>
      <c r="X2647" s="4"/>
      <c r="Y2647" s="4"/>
      <c r="Z2647" s="5"/>
      <c r="AA2647" s="4"/>
      <c r="AB2647" s="4"/>
      <c r="AC2647" s="4"/>
      <c r="AD2647" s="4"/>
      <c r="AE2647" s="5"/>
      <c r="AF2647" s="5"/>
      <c r="AG2647" s="5"/>
      <c r="AH2647" s="5"/>
      <c r="AI2647" s="5"/>
      <c r="AJ2647" s="5"/>
      <c r="AK2647" s="5"/>
      <c r="AL2647" s="5"/>
    </row>
    <row r="2648">
      <c r="A2648" s="4" t="str">
        <f>VLOOKUP(L2648,payment_ids!C:D,2,FALSE)</f>
        <v>pay_HHgiRWwnFvTamp</v>
      </c>
      <c r="B2648" s="4"/>
      <c r="C2648" s="4" t="s">
        <v>2161</v>
      </c>
      <c r="D2648" s="4">
        <v>50073.0</v>
      </c>
      <c r="E2648" s="5"/>
      <c r="F2648" s="4">
        <v>1.0</v>
      </c>
      <c r="G2648" s="4">
        <v>599.0</v>
      </c>
      <c r="H2648" s="4"/>
      <c r="I2648" s="4">
        <v>599.0</v>
      </c>
      <c r="J2648" s="4" t="s">
        <v>6554</v>
      </c>
      <c r="K2648" s="5">
        <f>+919840718371</f>
        <v>919840718371</v>
      </c>
      <c r="L2648" s="4" t="str">
        <f t="shared" si="1"/>
        <v>shreefinancials@hotmail.com919840718371</v>
      </c>
      <c r="M2648" s="10" t="s">
        <v>67</v>
      </c>
      <c r="N2648" s="4" t="b">
        <v>0</v>
      </c>
      <c r="O2648" s="4" t="str">
        <f>VLOOKUP(A2648,payment_ids!D:E,2,FALSE)</f>
        <v>upi</v>
      </c>
      <c r="P2648" s="4" t="s">
        <v>69</v>
      </c>
      <c r="Q2648" s="11">
        <v>44202.47777777778</v>
      </c>
      <c r="R2648" s="4"/>
      <c r="S2648" s="12" t="s">
        <v>6497</v>
      </c>
      <c r="T2648" s="5"/>
      <c r="U2648" s="4"/>
      <c r="V2648" s="4"/>
      <c r="W2648" s="5"/>
      <c r="X2648" s="4"/>
      <c r="Y2648" s="4"/>
      <c r="Z2648" s="5"/>
      <c r="AA2648" s="4"/>
      <c r="AB2648" s="4"/>
      <c r="AC2648" s="4"/>
      <c r="AD2648" s="4"/>
      <c r="AE2648" s="5"/>
      <c r="AF2648" s="5"/>
      <c r="AG2648" s="5"/>
      <c r="AH2648" s="5"/>
      <c r="AI2648" s="5"/>
      <c r="AJ2648" s="5"/>
      <c r="AK2648" s="5"/>
      <c r="AL2648" s="5"/>
    </row>
    <row r="2649">
      <c r="A2649" s="4" t="str">
        <f>VLOOKUP(L2649,payment_ids!C:D,2,FALSE)</f>
        <v>pay_HHgkhzYGFifUGV</v>
      </c>
      <c r="B2649" s="4"/>
      <c r="C2649" s="4" t="s">
        <v>2161</v>
      </c>
      <c r="D2649" s="4">
        <v>50073.0</v>
      </c>
      <c r="E2649" s="5"/>
      <c r="F2649" s="4">
        <v>1.0</v>
      </c>
      <c r="G2649" s="4">
        <v>599.0</v>
      </c>
      <c r="H2649" s="4"/>
      <c r="I2649" s="4">
        <v>599.0</v>
      </c>
      <c r="J2649" s="4" t="s">
        <v>6554</v>
      </c>
      <c r="K2649" s="5">
        <f>+919840609903</f>
        <v>919840609903</v>
      </c>
      <c r="L2649" s="4" t="str">
        <f t="shared" si="1"/>
        <v>shreefinancials@hotmail.com919840609903</v>
      </c>
      <c r="M2649" s="10" t="s">
        <v>67</v>
      </c>
      <c r="N2649" s="4" t="b">
        <v>0</v>
      </c>
      <c r="O2649" s="4" t="str">
        <f>VLOOKUP(A2649,payment_ids!D:E,2,FALSE)</f>
        <v>upi</v>
      </c>
      <c r="P2649" s="4" t="s">
        <v>69</v>
      </c>
      <c r="Q2649" s="11">
        <v>44202.479166666664</v>
      </c>
      <c r="R2649" s="4"/>
      <c r="S2649" s="12" t="s">
        <v>6497</v>
      </c>
      <c r="T2649" s="5"/>
      <c r="U2649" s="4"/>
      <c r="V2649" s="4"/>
      <c r="W2649" s="5"/>
      <c r="X2649" s="4"/>
      <c r="Y2649" s="4"/>
      <c r="Z2649" s="5"/>
      <c r="AA2649" s="4"/>
      <c r="AB2649" s="4"/>
      <c r="AC2649" s="4"/>
      <c r="AD2649" s="4"/>
      <c r="AE2649" s="5"/>
      <c r="AF2649" s="5"/>
      <c r="AG2649" s="5"/>
      <c r="AH2649" s="5"/>
      <c r="AI2649" s="5"/>
      <c r="AJ2649" s="5"/>
      <c r="AK2649" s="5"/>
      <c r="AL2649" s="5"/>
    </row>
    <row r="2650">
      <c r="A2650" s="4" t="str">
        <f>VLOOKUP(L2650,payment_ids!C:D,2,FALSE)</f>
        <v>pay_HBQ7q0iFaFOc0z</v>
      </c>
      <c r="B2650" s="4"/>
      <c r="C2650" s="4" t="s">
        <v>2161</v>
      </c>
      <c r="D2650" s="4">
        <v>50073.0</v>
      </c>
      <c r="E2650" s="5"/>
      <c r="F2650" s="4">
        <v>3.0</v>
      </c>
      <c r="G2650" s="13">
        <v>1499.0</v>
      </c>
      <c r="H2650" s="4"/>
      <c r="I2650" s="13">
        <v>1499.0</v>
      </c>
      <c r="J2650" s="4" t="s">
        <v>6512</v>
      </c>
      <c r="K2650" s="5">
        <f>+919819599898</f>
        <v>919819599898</v>
      </c>
      <c r="L2650" s="4" t="str">
        <f t="shared" si="1"/>
        <v>rk.neurekar@gmail.com919819599898</v>
      </c>
      <c r="M2650" s="10" t="s">
        <v>67</v>
      </c>
      <c r="N2650" s="4" t="b">
        <v>0</v>
      </c>
      <c r="O2650" s="4" t="str">
        <f>VLOOKUP(A2650,payment_ids!D:E,2,FALSE)</f>
        <v>upi</v>
      </c>
      <c r="P2650" s="4" t="s">
        <v>69</v>
      </c>
      <c r="Q2650" s="11">
        <v>44202.53402777778</v>
      </c>
      <c r="R2650" s="4"/>
      <c r="S2650" s="12" t="s">
        <v>6497</v>
      </c>
      <c r="T2650" s="5"/>
      <c r="U2650" s="4"/>
      <c r="V2650" s="4"/>
      <c r="W2650" s="5"/>
      <c r="X2650" s="4"/>
      <c r="Y2650" s="4"/>
      <c r="Z2650" s="5"/>
      <c r="AA2650" s="4"/>
      <c r="AB2650" s="4"/>
      <c r="AC2650" s="4"/>
      <c r="AD2650" s="4"/>
      <c r="AE2650" s="5"/>
      <c r="AF2650" s="5"/>
      <c r="AG2650" s="5"/>
      <c r="AH2650" s="5"/>
      <c r="AI2650" s="5"/>
      <c r="AJ2650" s="5"/>
      <c r="AK2650" s="5"/>
      <c r="AL2650" s="5"/>
    </row>
    <row r="2651">
      <c r="A2651" s="4" t="str">
        <f>VLOOKUP(L2651,payment_ids!C:D,2,FALSE)</f>
        <v>pay_HHpnePX4neDHyR</v>
      </c>
      <c r="B2651" s="4"/>
      <c r="C2651" s="4" t="s">
        <v>2161</v>
      </c>
      <c r="D2651" s="4">
        <v>50073.0</v>
      </c>
      <c r="E2651" s="5"/>
      <c r="F2651" s="4">
        <v>1.0</v>
      </c>
      <c r="G2651" s="4">
        <v>599.0</v>
      </c>
      <c r="H2651" s="4"/>
      <c r="I2651" s="4">
        <v>599.0</v>
      </c>
      <c r="J2651" s="4" t="s">
        <v>6555</v>
      </c>
      <c r="K2651" s="5">
        <f>+919780467958</f>
        <v>919780467958</v>
      </c>
      <c r="L2651" s="4" t="str">
        <f t="shared" si="1"/>
        <v>charumaggu@gmail.com919780467958</v>
      </c>
      <c r="M2651" s="10" t="s">
        <v>67</v>
      </c>
      <c r="N2651" s="4" t="b">
        <v>0</v>
      </c>
      <c r="O2651" s="4" t="str">
        <f>VLOOKUP(A2651,payment_ids!D:E,2,FALSE)</f>
        <v>upi</v>
      </c>
      <c r="P2651" s="4" t="s">
        <v>69</v>
      </c>
      <c r="Q2651" s="11">
        <v>44202.84861111111</v>
      </c>
      <c r="R2651" s="4"/>
      <c r="S2651" s="12" t="s">
        <v>6497</v>
      </c>
      <c r="T2651" s="5"/>
      <c r="U2651" s="4"/>
      <c r="V2651" s="4"/>
      <c r="W2651" s="5"/>
      <c r="X2651" s="4"/>
      <c r="Y2651" s="4"/>
      <c r="Z2651" s="5"/>
      <c r="AA2651" s="4"/>
      <c r="AB2651" s="4"/>
      <c r="AC2651" s="4"/>
      <c r="AD2651" s="4"/>
      <c r="AE2651" s="5"/>
      <c r="AF2651" s="5"/>
      <c r="AG2651" s="5"/>
      <c r="AH2651" s="5"/>
      <c r="AI2651" s="5"/>
      <c r="AJ2651" s="5"/>
      <c r="AK2651" s="5"/>
      <c r="AL2651" s="5"/>
    </row>
    <row r="2652">
      <c r="A2652" s="4" t="str">
        <f>VLOOKUP(L2652,payment_ids!C:D,2,FALSE)</f>
        <v>pay_HHrT8QCMv6svbq</v>
      </c>
      <c r="B2652" s="4"/>
      <c r="C2652" s="4" t="s">
        <v>2161</v>
      </c>
      <c r="D2652" s="4">
        <v>50073.0</v>
      </c>
      <c r="E2652" s="5"/>
      <c r="F2652" s="4">
        <v>1.0</v>
      </c>
      <c r="G2652" s="4">
        <v>599.0</v>
      </c>
      <c r="H2652" s="4"/>
      <c r="I2652" s="4">
        <v>599.0</v>
      </c>
      <c r="J2652" s="4" t="s">
        <v>6556</v>
      </c>
      <c r="K2652" s="5">
        <f>+919791147047</f>
        <v>919791147047</v>
      </c>
      <c r="L2652" s="4" t="str">
        <f t="shared" si="1"/>
        <v>sridharan89@hotmail.com919791147047</v>
      </c>
      <c r="M2652" s="10" t="s">
        <v>67</v>
      </c>
      <c r="N2652" s="4" t="b">
        <v>0</v>
      </c>
      <c r="O2652" s="4" t="str">
        <f>VLOOKUP(A2652,payment_ids!D:E,2,FALSE)</f>
        <v>upi</v>
      </c>
      <c r="P2652" s="4" t="s">
        <v>69</v>
      </c>
      <c r="Q2652" s="11">
        <v>44202.915972222225</v>
      </c>
      <c r="R2652" s="4"/>
      <c r="S2652" s="12" t="s">
        <v>6497</v>
      </c>
      <c r="T2652" s="5"/>
      <c r="U2652" s="4"/>
      <c r="V2652" s="4"/>
      <c r="W2652" s="5"/>
      <c r="X2652" s="4"/>
      <c r="Y2652" s="4"/>
      <c r="Z2652" s="5"/>
      <c r="AA2652" s="4"/>
      <c r="AB2652" s="4"/>
      <c r="AC2652" s="4"/>
      <c r="AD2652" s="4"/>
      <c r="AE2652" s="5"/>
      <c r="AF2652" s="5"/>
      <c r="AG2652" s="5"/>
      <c r="AH2652" s="5"/>
      <c r="AI2652" s="5"/>
      <c r="AJ2652" s="5"/>
      <c r="AK2652" s="5"/>
      <c r="AL2652" s="5"/>
    </row>
    <row r="2653">
      <c r="A2653" s="4" t="str">
        <f>VLOOKUP(L2653,payment_ids!C:D,2,FALSE)</f>
        <v>pay_HI2Nhq5XWzx6rq</v>
      </c>
      <c r="B2653" s="4"/>
      <c r="C2653" s="4" t="s">
        <v>2161</v>
      </c>
      <c r="D2653" s="4">
        <v>50073.0</v>
      </c>
      <c r="E2653" s="5"/>
      <c r="F2653" s="4">
        <v>1.0</v>
      </c>
      <c r="G2653" s="4">
        <v>799.0</v>
      </c>
      <c r="H2653" s="4"/>
      <c r="I2653" s="4">
        <v>799.0</v>
      </c>
      <c r="J2653" s="4" t="s">
        <v>6557</v>
      </c>
      <c r="K2653" s="5">
        <f>+919975387989</f>
        <v>919975387989</v>
      </c>
      <c r="L2653" s="4" t="str">
        <f t="shared" si="1"/>
        <v>dramritaagrawal@gmail.com919975387989</v>
      </c>
      <c r="M2653" s="10" t="s">
        <v>67</v>
      </c>
      <c r="N2653" s="4" t="b">
        <v>0</v>
      </c>
      <c r="O2653" s="4" t="str">
        <f>VLOOKUP(A2653,payment_ids!D:E,2,FALSE)</f>
        <v>netbanking</v>
      </c>
      <c r="P2653" s="4" t="s">
        <v>69</v>
      </c>
      <c r="Q2653" s="11">
        <v>44233.36111111111</v>
      </c>
      <c r="R2653" s="4"/>
      <c r="S2653" s="12" t="s">
        <v>6497</v>
      </c>
      <c r="T2653" s="5"/>
      <c r="U2653" s="4"/>
      <c r="V2653" s="4"/>
      <c r="W2653" s="5"/>
      <c r="X2653" s="4"/>
      <c r="Y2653" s="4"/>
      <c r="Z2653" s="5"/>
      <c r="AA2653" s="4"/>
      <c r="AB2653" s="4"/>
      <c r="AC2653" s="4"/>
      <c r="AD2653" s="4"/>
      <c r="AE2653" s="5"/>
      <c r="AF2653" s="5"/>
      <c r="AG2653" s="5"/>
      <c r="AH2653" s="5"/>
      <c r="AI2653" s="5"/>
      <c r="AJ2653" s="5"/>
      <c r="AK2653" s="5"/>
      <c r="AL2653" s="5"/>
    </row>
    <row r="2654">
      <c r="A2654" s="4" t="str">
        <f>VLOOKUP(L2654,payment_ids!C:D,2,FALSE)</f>
        <v>pay_HI3MeCUBBFfnAE</v>
      </c>
      <c r="B2654" s="4"/>
      <c r="C2654" s="4" t="s">
        <v>2161</v>
      </c>
      <c r="D2654" s="4">
        <v>50073.0</v>
      </c>
      <c r="E2654" s="5"/>
      <c r="F2654" s="4">
        <v>1.0</v>
      </c>
      <c r="G2654" s="4">
        <v>799.0</v>
      </c>
      <c r="H2654" s="4"/>
      <c r="I2654" s="4">
        <v>799.0</v>
      </c>
      <c r="J2654" s="4" t="s">
        <v>6558</v>
      </c>
      <c r="K2654" s="5">
        <f>+919727743592</f>
        <v>919727743592</v>
      </c>
      <c r="L2654" s="4" t="str">
        <f t="shared" si="1"/>
        <v>otwani.nikki@gmail.com919727743592</v>
      </c>
      <c r="M2654" s="10" t="s">
        <v>67</v>
      </c>
      <c r="N2654" s="4" t="b">
        <v>0</v>
      </c>
      <c r="O2654" s="4" t="str">
        <f>VLOOKUP(A2654,payment_ids!D:E,2,FALSE)</f>
        <v>upi</v>
      </c>
      <c r="P2654" s="4" t="s">
        <v>69</v>
      </c>
      <c r="Q2654" s="11">
        <v>44233.40069444444</v>
      </c>
      <c r="R2654" s="4"/>
      <c r="S2654" s="12" t="s">
        <v>6497</v>
      </c>
      <c r="T2654" s="5"/>
      <c r="U2654" s="4"/>
      <c r="V2654" s="4"/>
      <c r="W2654" s="5"/>
      <c r="X2654" s="4"/>
      <c r="Y2654" s="4"/>
      <c r="Z2654" s="5"/>
      <c r="AA2654" s="4"/>
      <c r="AB2654" s="4"/>
      <c r="AC2654" s="4"/>
      <c r="AD2654" s="4"/>
      <c r="AE2654" s="5"/>
      <c r="AF2654" s="5"/>
      <c r="AG2654" s="5"/>
      <c r="AH2654" s="5"/>
      <c r="AI2654" s="5"/>
      <c r="AJ2654" s="5"/>
      <c r="AK2654" s="5"/>
      <c r="AL2654" s="5"/>
    </row>
    <row r="2655">
      <c r="A2655" s="4" t="str">
        <f>VLOOKUP(L2655,payment_ids!C:D,2,FALSE)</f>
        <v>pay_HI49OlY0qEnxWs</v>
      </c>
      <c r="B2655" s="4"/>
      <c r="C2655" s="4" t="s">
        <v>2161</v>
      </c>
      <c r="D2655" s="4">
        <v>50073.0</v>
      </c>
      <c r="E2655" s="5"/>
      <c r="F2655" s="4">
        <v>3.0</v>
      </c>
      <c r="G2655" s="13">
        <v>1499.0</v>
      </c>
      <c r="H2655" s="4"/>
      <c r="I2655" s="13">
        <v>1499.0</v>
      </c>
      <c r="J2655" s="4" t="s">
        <v>2425</v>
      </c>
      <c r="K2655" s="5">
        <f>+919325207040</f>
        <v>919325207040</v>
      </c>
      <c r="L2655" s="4" t="str">
        <f t="shared" si="1"/>
        <v>aditisuri07@gmail.com919325207040</v>
      </c>
      <c r="M2655" s="10" t="s">
        <v>67</v>
      </c>
      <c r="N2655" s="4" t="b">
        <v>0</v>
      </c>
      <c r="O2655" s="4" t="str">
        <f>VLOOKUP(A2655,payment_ids!D:E,2,FALSE)</f>
        <v>card</v>
      </c>
      <c r="P2655" s="4" t="s">
        <v>69</v>
      </c>
      <c r="Q2655" s="11">
        <v>44233.433333333334</v>
      </c>
      <c r="R2655" s="4"/>
      <c r="S2655" s="12" t="s">
        <v>6497</v>
      </c>
      <c r="T2655" s="5"/>
      <c r="U2655" s="4"/>
      <c r="V2655" s="4"/>
      <c r="W2655" s="5"/>
      <c r="X2655" s="4"/>
      <c r="Y2655" s="4"/>
      <c r="Z2655" s="5"/>
      <c r="AA2655" s="4"/>
      <c r="AB2655" s="4"/>
      <c r="AC2655" s="4"/>
      <c r="AD2655" s="4"/>
      <c r="AE2655" s="5"/>
      <c r="AF2655" s="5"/>
      <c r="AG2655" s="5"/>
      <c r="AH2655" s="5"/>
      <c r="AI2655" s="5"/>
      <c r="AJ2655" s="5"/>
      <c r="AK2655" s="5"/>
      <c r="AL2655" s="5"/>
    </row>
    <row r="2656">
      <c r="A2656" s="4" t="str">
        <f>VLOOKUP(L2656,payment_ids!C:D,2,FALSE)</f>
        <v>pay_HIDyUZ5iKVtpOI</v>
      </c>
      <c r="B2656" s="4"/>
      <c r="C2656" s="4" t="s">
        <v>2161</v>
      </c>
      <c r="D2656" s="4">
        <v>50073.0</v>
      </c>
      <c r="E2656" s="5"/>
      <c r="F2656" s="4">
        <v>1.0</v>
      </c>
      <c r="G2656" s="4">
        <v>799.0</v>
      </c>
      <c r="H2656" s="4"/>
      <c r="I2656" s="4">
        <v>799.0</v>
      </c>
      <c r="J2656" s="4" t="s">
        <v>6559</v>
      </c>
      <c r="K2656" s="5">
        <f>+918100081812</f>
        <v>918100081812</v>
      </c>
      <c r="L2656" s="4" t="str">
        <f t="shared" si="1"/>
        <v>deepshikhahore1710@gmail.com918100081812</v>
      </c>
      <c r="M2656" s="10" t="s">
        <v>67</v>
      </c>
      <c r="N2656" s="4" t="b">
        <v>0</v>
      </c>
      <c r="O2656" s="4" t="str">
        <f>VLOOKUP(A2656,payment_ids!D:E,2,FALSE)</f>
        <v>upi</v>
      </c>
      <c r="P2656" s="4" t="s">
        <v>69</v>
      </c>
      <c r="Q2656" s="11">
        <v>44233.833333333336</v>
      </c>
      <c r="R2656" s="4"/>
      <c r="S2656" s="12" t="s">
        <v>6497</v>
      </c>
      <c r="T2656" s="5"/>
      <c r="U2656" s="4"/>
      <c r="V2656" s="4"/>
      <c r="W2656" s="5"/>
      <c r="X2656" s="4"/>
      <c r="Y2656" s="4"/>
      <c r="Z2656" s="5"/>
      <c r="AA2656" s="4"/>
      <c r="AB2656" s="4"/>
      <c r="AC2656" s="4"/>
      <c r="AD2656" s="4"/>
      <c r="AE2656" s="5"/>
      <c r="AF2656" s="5"/>
      <c r="AG2656" s="5"/>
      <c r="AH2656" s="5"/>
      <c r="AI2656" s="5"/>
      <c r="AJ2656" s="5"/>
      <c r="AK2656" s="5"/>
      <c r="AL2656" s="5"/>
    </row>
    <row r="2657">
      <c r="A2657" s="4" t="str">
        <f>VLOOKUP(L2657,payment_ids!C:D,2,FALSE)</f>
        <v>pay_HIPKex2JVbFVnj</v>
      </c>
      <c r="B2657" s="4"/>
      <c r="C2657" s="4" t="s">
        <v>2161</v>
      </c>
      <c r="D2657" s="4">
        <v>50073.0</v>
      </c>
      <c r="E2657" s="5"/>
      <c r="F2657" s="4">
        <v>3.0</v>
      </c>
      <c r="G2657" s="13">
        <v>1499.0</v>
      </c>
      <c r="H2657" s="4"/>
      <c r="I2657" s="13">
        <v>1499.0</v>
      </c>
      <c r="J2657" s="4" t="s">
        <v>6560</v>
      </c>
      <c r="K2657" s="5">
        <f>+918527343510</f>
        <v>918527343510</v>
      </c>
      <c r="L2657" s="4" t="str">
        <f t="shared" si="1"/>
        <v>abhishek.s.dalal@gmail.com918527343510</v>
      </c>
      <c r="M2657" s="10" t="s">
        <v>67</v>
      </c>
      <c r="N2657" s="4" t="b">
        <v>0</v>
      </c>
      <c r="O2657" s="4" t="str">
        <f>VLOOKUP(A2657,payment_ids!D:E,2,FALSE)</f>
        <v>netbanking</v>
      </c>
      <c r="P2657" s="4" t="s">
        <v>69</v>
      </c>
      <c r="Q2657" s="11">
        <v>44261.29652777778</v>
      </c>
      <c r="R2657" s="4"/>
      <c r="S2657" s="12" t="s">
        <v>6561</v>
      </c>
      <c r="T2657" s="5"/>
      <c r="U2657" s="4"/>
      <c r="V2657" s="4"/>
      <c r="W2657" s="5"/>
      <c r="X2657" s="4"/>
      <c r="Y2657" s="4"/>
      <c r="Z2657" s="5"/>
      <c r="AA2657" s="5"/>
      <c r="AB2657" s="4"/>
      <c r="AC2657" s="4"/>
      <c r="AD2657" s="4"/>
      <c r="AE2657" s="5"/>
      <c r="AF2657" s="5"/>
      <c r="AG2657" s="5"/>
      <c r="AH2657" s="5"/>
      <c r="AI2657" s="5"/>
      <c r="AJ2657" s="5"/>
      <c r="AK2657" s="5"/>
      <c r="AL2657" s="5"/>
    </row>
    <row r="2658">
      <c r="A2658" s="4" t="str">
        <f>VLOOKUP(L2658,payment_ids!C:D,2,FALSE)</f>
        <v>pay_H7AoWjPWQKyOjD</v>
      </c>
      <c r="B2658" s="4"/>
      <c r="C2658" s="4" t="s">
        <v>2161</v>
      </c>
      <c r="D2658" s="4">
        <v>50073.0</v>
      </c>
      <c r="E2658" s="5"/>
      <c r="F2658" s="4">
        <v>1.0</v>
      </c>
      <c r="G2658" s="4">
        <v>599.0</v>
      </c>
      <c r="H2658" s="4"/>
      <c r="I2658" s="4">
        <v>599.0</v>
      </c>
      <c r="J2658" s="4" t="s">
        <v>6478</v>
      </c>
      <c r="K2658" s="5">
        <f>+919036755270</f>
        <v>919036755270</v>
      </c>
      <c r="L2658" s="4" t="str">
        <f t="shared" si="1"/>
        <v>sunderr20@gmail.com919036755270</v>
      </c>
      <c r="M2658" s="10" t="s">
        <v>67</v>
      </c>
      <c r="N2658" s="4" t="b">
        <v>0</v>
      </c>
      <c r="O2658" s="4" t="str">
        <f>VLOOKUP(A2658,payment_ids!D:E,2,FALSE)</f>
        <v>netbanking</v>
      </c>
      <c r="P2658" s="4" t="s">
        <v>69</v>
      </c>
      <c r="Q2658" s="11">
        <v>44261.67986111111</v>
      </c>
      <c r="R2658" s="4"/>
      <c r="S2658" s="12" t="s">
        <v>6561</v>
      </c>
      <c r="T2658" s="5"/>
      <c r="U2658" s="4"/>
      <c r="V2658" s="4"/>
      <c r="W2658" s="5"/>
      <c r="X2658" s="4"/>
      <c r="Y2658" s="4"/>
      <c r="Z2658" s="5"/>
      <c r="AA2658" s="4"/>
      <c r="AB2658" s="4"/>
      <c r="AC2658" s="4"/>
      <c r="AD2658" s="4"/>
      <c r="AE2658" s="5"/>
      <c r="AF2658" s="5"/>
      <c r="AG2658" s="5"/>
      <c r="AH2658" s="5"/>
      <c r="AI2658" s="5"/>
      <c r="AJ2658" s="5"/>
      <c r="AK2658" s="5"/>
      <c r="AL2658" s="5"/>
    </row>
    <row r="2659">
      <c r="A2659" s="4" t="str">
        <f>VLOOKUP(L2659,payment_ids!C:D,2,FALSE)</f>
        <v>pay_HIdkb3pe2ivUwv</v>
      </c>
      <c r="B2659" s="4"/>
      <c r="C2659" s="4" t="s">
        <v>2161</v>
      </c>
      <c r="D2659" s="4">
        <v>50073.0</v>
      </c>
      <c r="E2659" s="5"/>
      <c r="F2659" s="4">
        <v>1.0</v>
      </c>
      <c r="G2659" s="4">
        <v>799.0</v>
      </c>
      <c r="H2659" s="4"/>
      <c r="I2659" s="4">
        <v>799.0</v>
      </c>
      <c r="J2659" s="4" t="s">
        <v>6562</v>
      </c>
      <c r="K2659" s="5">
        <f>+919884660705</f>
        <v>919884660705</v>
      </c>
      <c r="L2659" s="4" t="str">
        <f t="shared" si="1"/>
        <v>poppoye0705@gmail.com919884660705</v>
      </c>
      <c r="M2659" s="10" t="s">
        <v>67</v>
      </c>
      <c r="N2659" s="4" t="b">
        <v>0</v>
      </c>
      <c r="O2659" s="4" t="str">
        <f>VLOOKUP(A2659,payment_ids!D:E,2,FALSE)</f>
        <v>upi</v>
      </c>
      <c r="P2659" s="4" t="s">
        <v>69</v>
      </c>
      <c r="Q2659" s="11">
        <v>44261.88402777778</v>
      </c>
      <c r="R2659" s="4"/>
      <c r="S2659" s="12" t="s">
        <v>6563</v>
      </c>
      <c r="T2659" s="5"/>
      <c r="U2659" s="4"/>
      <c r="V2659" s="4"/>
      <c r="W2659" s="5"/>
      <c r="X2659" s="4"/>
      <c r="Y2659" s="4"/>
      <c r="Z2659" s="5"/>
      <c r="AA2659" s="4"/>
      <c r="AB2659" s="4"/>
      <c r="AC2659" s="4"/>
      <c r="AD2659" s="4"/>
      <c r="AE2659" s="5"/>
      <c r="AF2659" s="5"/>
      <c r="AG2659" s="5"/>
      <c r="AH2659" s="5"/>
      <c r="AI2659" s="5"/>
      <c r="AJ2659" s="5"/>
      <c r="AK2659" s="5"/>
      <c r="AL2659" s="5"/>
    </row>
    <row r="2660">
      <c r="A2660" s="4" t="str">
        <f>VLOOKUP(L2660,payment_ids!C:D,2,FALSE)</f>
        <v>pay_H78b7JxC97auPd</v>
      </c>
      <c r="B2660" s="4"/>
      <c r="C2660" s="4" t="s">
        <v>2161</v>
      </c>
      <c r="D2660" s="4">
        <v>50073.0</v>
      </c>
      <c r="E2660" s="5"/>
      <c r="F2660" s="4">
        <v>1.0</v>
      </c>
      <c r="G2660" s="4">
        <v>599.0</v>
      </c>
      <c r="H2660" s="4"/>
      <c r="I2660" s="4">
        <v>599.0</v>
      </c>
      <c r="J2660" s="4" t="s">
        <v>6471</v>
      </c>
      <c r="K2660" s="5">
        <f>+919789423350</f>
        <v>919789423350</v>
      </c>
      <c r="L2660" s="4" t="str">
        <f t="shared" si="1"/>
        <v>ishukrish21@gmail.com919789423350</v>
      </c>
      <c r="M2660" s="10" t="s">
        <v>67</v>
      </c>
      <c r="N2660" s="4" t="b">
        <v>0</v>
      </c>
      <c r="O2660" s="4" t="str">
        <f>VLOOKUP(A2660,payment_ids!D:E,2,FALSE)</f>
        <v>netbanking</v>
      </c>
      <c r="P2660" s="4" t="s">
        <v>69</v>
      </c>
      <c r="Q2660" s="11">
        <v>44292.777083333334</v>
      </c>
      <c r="R2660" s="4"/>
      <c r="S2660" s="12" t="s">
        <v>6561</v>
      </c>
      <c r="T2660" s="5"/>
      <c r="U2660" s="4"/>
      <c r="V2660" s="4"/>
      <c r="W2660" s="5"/>
      <c r="X2660" s="4"/>
      <c r="Y2660" s="4"/>
      <c r="Z2660" s="5"/>
      <c r="AA2660" s="4"/>
      <c r="AB2660" s="4"/>
      <c r="AC2660" s="4"/>
      <c r="AD2660" s="4"/>
      <c r="AE2660" s="5"/>
      <c r="AF2660" s="5"/>
      <c r="AG2660" s="5"/>
      <c r="AH2660" s="5"/>
      <c r="AI2660" s="5"/>
      <c r="AJ2660" s="5"/>
      <c r="AK2660" s="5"/>
      <c r="AL2660" s="5"/>
    </row>
    <row r="2661">
      <c r="A2661" s="4" t="str">
        <f>VLOOKUP(L2661,payment_ids!C:D,2,FALSE)</f>
        <v>pay_HJFuoWNrH8lrHB</v>
      </c>
      <c r="B2661" s="4"/>
      <c r="C2661" s="4" t="s">
        <v>2161</v>
      </c>
      <c r="D2661" s="4">
        <v>50073.0</v>
      </c>
      <c r="E2661" s="5"/>
      <c r="F2661" s="4">
        <v>1.0</v>
      </c>
      <c r="G2661" s="4">
        <v>599.0</v>
      </c>
      <c r="H2661" s="4"/>
      <c r="I2661" s="4">
        <v>599.0</v>
      </c>
      <c r="J2661" s="4" t="s">
        <v>2343</v>
      </c>
      <c r="K2661" s="5">
        <f>+918076913071</f>
        <v>918076913071</v>
      </c>
      <c r="L2661" s="4" t="str">
        <f t="shared" si="1"/>
        <v>debjanibose4319@gmail.com918076913071</v>
      </c>
      <c r="M2661" s="10" t="s">
        <v>67</v>
      </c>
      <c r="N2661" s="4" t="b">
        <v>0</v>
      </c>
      <c r="O2661" s="4" t="str">
        <f>VLOOKUP(A2661,payment_ids!D:E,2,FALSE)</f>
        <v>card</v>
      </c>
      <c r="P2661" s="4" t="s">
        <v>69</v>
      </c>
      <c r="Q2661" s="11">
        <v>44322.44027777778</v>
      </c>
      <c r="R2661" s="4"/>
      <c r="S2661" s="12" t="s">
        <v>6561</v>
      </c>
      <c r="T2661" s="5"/>
      <c r="U2661" s="4"/>
      <c r="V2661" s="4"/>
      <c r="W2661" s="5"/>
      <c r="X2661" s="4"/>
      <c r="Y2661" s="4"/>
      <c r="Z2661" s="5"/>
      <c r="AA2661" s="4"/>
      <c r="AB2661" s="4"/>
      <c r="AC2661" s="4"/>
      <c r="AD2661" s="4"/>
      <c r="AE2661" s="5"/>
      <c r="AF2661" s="5"/>
      <c r="AG2661" s="5"/>
      <c r="AH2661" s="5"/>
      <c r="AI2661" s="5"/>
      <c r="AJ2661" s="5"/>
      <c r="AK2661" s="5"/>
      <c r="AL2661" s="5"/>
    </row>
    <row r="2662">
      <c r="A2662" s="4" t="str">
        <f>VLOOKUP(L2662,payment_ids!C:D,2,FALSE)</f>
        <v>pay_HK9PisExjQnOL9</v>
      </c>
      <c r="B2662" s="4"/>
      <c r="C2662" s="4" t="s">
        <v>2161</v>
      </c>
      <c r="D2662" s="4">
        <v>50073.0</v>
      </c>
      <c r="E2662" s="5"/>
      <c r="F2662" s="4">
        <v>3.0</v>
      </c>
      <c r="G2662" s="13">
        <v>1499.0</v>
      </c>
      <c r="H2662" s="4"/>
      <c r="I2662" s="13">
        <v>1499.0</v>
      </c>
      <c r="J2662" s="4" t="s">
        <v>6564</v>
      </c>
      <c r="K2662" s="5">
        <f>+919934935983</f>
        <v>919934935983</v>
      </c>
      <c r="L2662" s="4" t="str">
        <f t="shared" si="1"/>
        <v>biswas.ssb30@gmail.com919934935983</v>
      </c>
      <c r="M2662" s="10" t="s">
        <v>67</v>
      </c>
      <c r="N2662" s="4" t="b">
        <v>0</v>
      </c>
      <c r="O2662" s="4" t="str">
        <f>VLOOKUP(A2662,payment_ids!D:E,2,FALSE)</f>
        <v>card</v>
      </c>
      <c r="P2662" s="4" t="s">
        <v>69</v>
      </c>
      <c r="Q2662" s="11">
        <v>44383.70138888889</v>
      </c>
      <c r="R2662" s="4"/>
      <c r="S2662" s="12" t="s">
        <v>6561</v>
      </c>
      <c r="T2662" s="5"/>
      <c r="U2662" s="4"/>
      <c r="V2662" s="4"/>
      <c r="W2662" s="5"/>
      <c r="X2662" s="4"/>
      <c r="Y2662" s="4"/>
      <c r="Z2662" s="5"/>
      <c r="AA2662" s="4"/>
      <c r="AB2662" s="4"/>
      <c r="AC2662" s="4"/>
      <c r="AD2662" s="4"/>
      <c r="AE2662" s="5"/>
      <c r="AF2662" s="5"/>
      <c r="AG2662" s="5"/>
      <c r="AH2662" s="5"/>
      <c r="AI2662" s="5"/>
      <c r="AJ2662" s="5"/>
      <c r="AK2662" s="5"/>
      <c r="AL2662" s="5"/>
    </row>
    <row r="2663">
      <c r="A2663" s="4" t="str">
        <f>VLOOKUP(L2663,payment_ids!C:D,2,FALSE)</f>
        <v>pay_HK9ojcavHBb9aa</v>
      </c>
      <c r="B2663" s="4"/>
      <c r="C2663" s="4" t="s">
        <v>2161</v>
      </c>
      <c r="D2663" s="4">
        <v>50073.0</v>
      </c>
      <c r="E2663" s="5"/>
      <c r="F2663" s="4">
        <v>3.0</v>
      </c>
      <c r="G2663" s="13">
        <v>1499.0</v>
      </c>
      <c r="H2663" s="4"/>
      <c r="I2663" s="13">
        <v>1499.0</v>
      </c>
      <c r="J2663" s="4" t="s">
        <v>6565</v>
      </c>
      <c r="K2663" s="5">
        <f>+917209943488</f>
        <v>917209943488</v>
      </c>
      <c r="L2663" s="4" t="str">
        <f t="shared" si="1"/>
        <v>shilpi110290@gmail.com917209943488</v>
      </c>
      <c r="M2663" s="10" t="s">
        <v>67</v>
      </c>
      <c r="N2663" s="4" t="b">
        <v>0</v>
      </c>
      <c r="O2663" s="4" t="str">
        <f>VLOOKUP(A2663,payment_ids!D:E,2,FALSE)</f>
        <v>card</v>
      </c>
      <c r="P2663" s="4" t="s">
        <v>69</v>
      </c>
      <c r="Q2663" s="11">
        <v>44383.71805555555</v>
      </c>
      <c r="R2663" s="4"/>
      <c r="S2663" s="12" t="s">
        <v>6561</v>
      </c>
      <c r="T2663" s="5"/>
      <c r="U2663" s="4"/>
      <c r="V2663" s="4"/>
      <c r="W2663" s="5"/>
      <c r="X2663" s="4"/>
      <c r="Y2663" s="4"/>
      <c r="Z2663" s="5"/>
      <c r="AA2663" s="4"/>
      <c r="AB2663" s="4"/>
      <c r="AC2663" s="4"/>
      <c r="AD2663" s="4"/>
      <c r="AE2663" s="5"/>
      <c r="AF2663" s="5"/>
      <c r="AG2663" s="5"/>
      <c r="AH2663" s="5"/>
      <c r="AI2663" s="5"/>
      <c r="AJ2663" s="5"/>
      <c r="AK2663" s="5"/>
      <c r="AL2663" s="5"/>
    </row>
    <row r="2664">
      <c r="A2664" s="4" t="str">
        <f>VLOOKUP(L2664,payment_ids!C:D,2,FALSE)</f>
        <v>pay_H9uru1DyUL2aLk</v>
      </c>
      <c r="B2664" s="4"/>
      <c r="C2664" s="4" t="s">
        <v>2161</v>
      </c>
      <c r="D2664" s="4">
        <v>50073.0</v>
      </c>
      <c r="E2664" s="5"/>
      <c r="F2664" s="4">
        <v>3.0</v>
      </c>
      <c r="G2664" s="13">
        <v>1499.0</v>
      </c>
      <c r="H2664" s="4"/>
      <c r="I2664" s="13">
        <v>1499.0</v>
      </c>
      <c r="J2664" s="4" t="s">
        <v>6499</v>
      </c>
      <c r="K2664" s="5">
        <f>+918790446089</f>
        <v>918790446089</v>
      </c>
      <c r="L2664" s="4" t="str">
        <f t="shared" si="1"/>
        <v>divyablu7@gmail.com918790446089</v>
      </c>
      <c r="M2664" s="10" t="s">
        <v>67</v>
      </c>
      <c r="N2664" s="4" t="b">
        <v>0</v>
      </c>
      <c r="O2664" s="4" t="str">
        <f>VLOOKUP(A2664,payment_ids!D:E,2,FALSE)</f>
        <v>upi</v>
      </c>
      <c r="P2664" s="4" t="s">
        <v>69</v>
      </c>
      <c r="Q2664" s="11">
        <v>44383.788194444445</v>
      </c>
      <c r="R2664" s="4"/>
      <c r="S2664" s="12" t="s">
        <v>6561</v>
      </c>
      <c r="T2664" s="5"/>
      <c r="U2664" s="4"/>
      <c r="V2664" s="4"/>
      <c r="W2664" s="5"/>
      <c r="X2664" s="4"/>
      <c r="Y2664" s="4"/>
      <c r="Z2664" s="5"/>
      <c r="AA2664" s="4"/>
      <c r="AB2664" s="4"/>
      <c r="AC2664" s="4"/>
      <c r="AD2664" s="4"/>
      <c r="AE2664" s="5"/>
      <c r="AF2664" s="5"/>
      <c r="AG2664" s="5"/>
      <c r="AH2664" s="5"/>
      <c r="AI2664" s="5"/>
      <c r="AJ2664" s="5"/>
      <c r="AK2664" s="5"/>
      <c r="AL2664" s="5"/>
    </row>
    <row r="2665">
      <c r="A2665" s="4" t="str">
        <f>VLOOKUP(L2665,payment_ids!C:D,2,FALSE)</f>
        <v>pay_H8KPUDmdlWPiy4</v>
      </c>
      <c r="B2665" s="4"/>
      <c r="C2665" s="4" t="s">
        <v>2161</v>
      </c>
      <c r="D2665" s="4">
        <v>50073.0</v>
      </c>
      <c r="E2665" s="5"/>
      <c r="F2665" s="4">
        <v>1.0</v>
      </c>
      <c r="G2665" s="4">
        <v>799.0</v>
      </c>
      <c r="H2665" s="4"/>
      <c r="I2665" s="4">
        <v>799.0</v>
      </c>
      <c r="J2665" s="4" t="s">
        <v>6491</v>
      </c>
      <c r="K2665" s="5">
        <f>+919696046295</f>
        <v>919696046295</v>
      </c>
      <c r="L2665" s="4" t="str">
        <f t="shared" si="1"/>
        <v>singhvineeta.786@gmail.com919696046295</v>
      </c>
      <c r="M2665" s="10" t="s">
        <v>67</v>
      </c>
      <c r="N2665" s="4" t="b">
        <v>0</v>
      </c>
      <c r="O2665" s="4" t="str">
        <f>VLOOKUP(A2665,payment_ids!D:E,2,FALSE)</f>
        <v>netbanking</v>
      </c>
      <c r="P2665" s="4" t="s">
        <v>69</v>
      </c>
      <c r="Q2665" s="11">
        <v>44414.402083333334</v>
      </c>
      <c r="R2665" s="4"/>
      <c r="S2665" s="12" t="s">
        <v>6497</v>
      </c>
      <c r="T2665" s="5"/>
      <c r="U2665" s="4"/>
      <c r="V2665" s="4"/>
      <c r="W2665" s="5"/>
      <c r="X2665" s="4"/>
      <c r="Y2665" s="4"/>
      <c r="Z2665" s="5"/>
      <c r="AA2665" s="4"/>
      <c r="AB2665" s="4"/>
      <c r="AC2665" s="4"/>
      <c r="AD2665" s="4"/>
      <c r="AE2665" s="5"/>
      <c r="AF2665" s="5"/>
      <c r="AG2665" s="5"/>
      <c r="AH2665" s="5"/>
      <c r="AI2665" s="5"/>
      <c r="AJ2665" s="5"/>
      <c r="AK2665" s="5"/>
      <c r="AL2665" s="5"/>
    </row>
    <row r="2666">
      <c r="A2666" s="4" t="str">
        <f>VLOOKUP(L2666,payment_ids!C:D,2,FALSE)</f>
        <v>pay_HKSNqoxa2niOXK</v>
      </c>
      <c r="B2666" s="4"/>
      <c r="C2666" s="4" t="s">
        <v>2161</v>
      </c>
      <c r="D2666" s="4">
        <v>50073.0</v>
      </c>
      <c r="E2666" s="5"/>
      <c r="F2666" s="4">
        <v>3.0</v>
      </c>
      <c r="G2666" s="13">
        <v>1499.0</v>
      </c>
      <c r="H2666" s="4"/>
      <c r="I2666" s="13">
        <v>1499.0</v>
      </c>
      <c r="J2666" s="4" t="s">
        <v>2337</v>
      </c>
      <c r="K2666" s="5">
        <f>+919811715180</f>
        <v>919811715180</v>
      </c>
      <c r="L2666" s="4" t="str">
        <f t="shared" si="1"/>
        <v>mail.ruchikarastogi@gmail.com919811715180</v>
      </c>
      <c r="M2666" s="10" t="s">
        <v>67</v>
      </c>
      <c r="N2666" s="4" t="b">
        <v>0</v>
      </c>
      <c r="O2666" s="4" t="str">
        <f>VLOOKUP(A2666,payment_ids!D:E,2,FALSE)</f>
        <v>upi</v>
      </c>
      <c r="P2666" s="4" t="s">
        <v>69</v>
      </c>
      <c r="Q2666" s="11">
        <v>44414.475694444445</v>
      </c>
      <c r="R2666" s="4"/>
      <c r="S2666" s="12" t="s">
        <v>6561</v>
      </c>
      <c r="T2666" s="5"/>
      <c r="U2666" s="4"/>
      <c r="V2666" s="4"/>
      <c r="W2666" s="5"/>
      <c r="X2666" s="4"/>
      <c r="Y2666" s="4"/>
      <c r="Z2666" s="5"/>
      <c r="AA2666" s="4"/>
      <c r="AB2666" s="4"/>
      <c r="AC2666" s="4"/>
      <c r="AD2666" s="4"/>
      <c r="AE2666" s="5"/>
      <c r="AF2666" s="5"/>
      <c r="AG2666" s="5"/>
      <c r="AH2666" s="5"/>
      <c r="AI2666" s="5"/>
      <c r="AJ2666" s="5"/>
      <c r="AK2666" s="5"/>
      <c r="AL2666" s="5"/>
    </row>
    <row r="2667">
      <c r="A2667" s="4" t="str">
        <f>VLOOKUP(L2667,payment_ids!C:D,2,FALSE)</f>
        <v>pay_H7WQcnVXRTRmkm</v>
      </c>
      <c r="B2667" s="4"/>
      <c r="C2667" s="4" t="s">
        <v>2161</v>
      </c>
      <c r="D2667" s="4">
        <v>50073.0</v>
      </c>
      <c r="E2667" s="5"/>
      <c r="F2667" s="4">
        <v>1.0</v>
      </c>
      <c r="G2667" s="4">
        <v>599.0</v>
      </c>
      <c r="H2667" s="4"/>
      <c r="I2667" s="4">
        <v>599.0</v>
      </c>
      <c r="J2667" s="4" t="s">
        <v>6483</v>
      </c>
      <c r="K2667" s="5">
        <f>+919448847519</f>
        <v>919448847519</v>
      </c>
      <c r="L2667" s="4" t="str">
        <f t="shared" si="1"/>
        <v>inv.anshu@gmail.com919448847519</v>
      </c>
      <c r="M2667" s="10" t="s">
        <v>67</v>
      </c>
      <c r="N2667" s="4" t="b">
        <v>0</v>
      </c>
      <c r="O2667" s="4" t="str">
        <f>VLOOKUP(A2667,payment_ids!D:E,2,FALSE)</f>
        <v>upi</v>
      </c>
      <c r="P2667" s="4" t="s">
        <v>69</v>
      </c>
      <c r="Q2667" s="11">
        <v>44414.47708333333</v>
      </c>
      <c r="R2667" s="4"/>
      <c r="S2667" s="12" t="s">
        <v>6561</v>
      </c>
      <c r="T2667" s="5"/>
      <c r="U2667" s="4"/>
      <c r="V2667" s="4"/>
      <c r="W2667" s="5"/>
      <c r="X2667" s="4"/>
      <c r="Y2667" s="4"/>
      <c r="Z2667" s="5"/>
      <c r="AA2667" s="4"/>
      <c r="AB2667" s="4"/>
      <c r="AC2667" s="4"/>
      <c r="AD2667" s="4"/>
      <c r="AE2667" s="5"/>
      <c r="AF2667" s="5"/>
      <c r="AG2667" s="5"/>
      <c r="AH2667" s="5"/>
      <c r="AI2667" s="5"/>
      <c r="AJ2667" s="5"/>
      <c r="AK2667" s="5"/>
      <c r="AL2667" s="5"/>
    </row>
    <row r="2668">
      <c r="A2668" s="4" t="str">
        <f>VLOOKUP(L2668,payment_ids!C:D,2,FALSE)</f>
        <v>pay_H6wiS8dEIzuvTo</v>
      </c>
      <c r="B2668" s="4"/>
      <c r="C2668" s="4" t="s">
        <v>2161</v>
      </c>
      <c r="D2668" s="4">
        <v>50073.0</v>
      </c>
      <c r="E2668" s="5"/>
      <c r="F2668" s="4">
        <v>3.0</v>
      </c>
      <c r="G2668" s="13">
        <v>1499.0</v>
      </c>
      <c r="H2668" s="4"/>
      <c r="I2668" s="13">
        <v>1499.0</v>
      </c>
      <c r="J2668" s="4" t="s">
        <v>6473</v>
      </c>
      <c r="K2668" s="5">
        <f>+919873965908</f>
        <v>919873965908</v>
      </c>
      <c r="L2668" s="4" t="str">
        <f t="shared" si="1"/>
        <v>pallavi.dua008@gmail.com919873965908</v>
      </c>
      <c r="M2668" s="10" t="s">
        <v>67</v>
      </c>
      <c r="N2668" s="4" t="b">
        <v>0</v>
      </c>
      <c r="O2668" s="4" t="str">
        <f>VLOOKUP(A2668,payment_ids!D:E,2,FALSE)</f>
        <v>upi</v>
      </c>
      <c r="P2668" s="4" t="s">
        <v>69</v>
      </c>
      <c r="Q2668" s="11">
        <v>44414.48819444444</v>
      </c>
      <c r="R2668" s="4"/>
      <c r="S2668" s="12" t="s">
        <v>6561</v>
      </c>
      <c r="T2668" s="5"/>
      <c r="U2668" s="4"/>
      <c r="V2668" s="4"/>
      <c r="W2668" s="5"/>
      <c r="X2668" s="4"/>
      <c r="Y2668" s="4"/>
      <c r="Z2668" s="5"/>
      <c r="AA2668" s="4"/>
      <c r="AB2668" s="4"/>
      <c r="AC2668" s="4"/>
      <c r="AD2668" s="4"/>
      <c r="AE2668" s="5"/>
      <c r="AF2668" s="5"/>
      <c r="AG2668" s="5"/>
      <c r="AH2668" s="5"/>
      <c r="AI2668" s="5"/>
      <c r="AJ2668" s="5"/>
      <c r="AK2668" s="5"/>
      <c r="AL2668" s="5"/>
    </row>
    <row r="2669">
      <c r="A2669" s="4" t="str">
        <f>VLOOKUP(L2669,payment_ids!C:D,2,FALSE)</f>
        <v>pay_HKT8KndUNtPXil</v>
      </c>
      <c r="B2669" s="4"/>
      <c r="C2669" s="4" t="s">
        <v>2161</v>
      </c>
      <c r="D2669" s="4">
        <v>50073.0</v>
      </c>
      <c r="E2669" s="5"/>
      <c r="F2669" s="4">
        <v>1.0</v>
      </c>
      <c r="G2669" s="4">
        <v>599.0</v>
      </c>
      <c r="H2669" s="4"/>
      <c r="I2669" s="4">
        <v>599.0</v>
      </c>
      <c r="J2669" s="4" t="s">
        <v>6566</v>
      </c>
      <c r="K2669" s="5">
        <f>+919000578337</f>
        <v>919000578337</v>
      </c>
      <c r="L2669" s="4" t="str">
        <f t="shared" si="1"/>
        <v>saikishore809@gmail.com919000578337</v>
      </c>
      <c r="M2669" s="10" t="s">
        <v>67</v>
      </c>
      <c r="N2669" s="4" t="b">
        <v>0</v>
      </c>
      <c r="O2669" s="4" t="str">
        <f>VLOOKUP(A2669,payment_ids!D:E,2,FALSE)</f>
        <v>upi</v>
      </c>
      <c r="P2669" s="4" t="s">
        <v>69</v>
      </c>
      <c r="Q2669" s="11">
        <v>44414.50555555556</v>
      </c>
      <c r="R2669" s="4"/>
      <c r="S2669" s="12" t="s">
        <v>6561</v>
      </c>
      <c r="T2669" s="5"/>
      <c r="U2669" s="4"/>
      <c r="V2669" s="4"/>
      <c r="W2669" s="5"/>
      <c r="X2669" s="4"/>
      <c r="Y2669" s="4"/>
      <c r="Z2669" s="5"/>
      <c r="AA2669" s="4"/>
      <c r="AB2669" s="4"/>
      <c r="AC2669" s="4"/>
      <c r="AD2669" s="4"/>
      <c r="AE2669" s="5"/>
      <c r="AF2669" s="5"/>
      <c r="AG2669" s="5"/>
      <c r="AH2669" s="5"/>
      <c r="AI2669" s="5"/>
      <c r="AJ2669" s="5"/>
      <c r="AK2669" s="5"/>
      <c r="AL2669" s="5"/>
    </row>
    <row r="2670">
      <c r="A2670" s="4" t="str">
        <f>VLOOKUP(L2670,payment_ids!C:D,2,FALSE)</f>
        <v>pay_H7PltBUerzfnEK</v>
      </c>
      <c r="B2670" s="4"/>
      <c r="C2670" s="4" t="s">
        <v>2161</v>
      </c>
      <c r="D2670" s="4">
        <v>50073.0</v>
      </c>
      <c r="E2670" s="5"/>
      <c r="F2670" s="4">
        <v>3.0</v>
      </c>
      <c r="G2670" s="13">
        <v>1499.0</v>
      </c>
      <c r="H2670" s="4"/>
      <c r="I2670" s="13">
        <v>1499.0</v>
      </c>
      <c r="J2670" s="4" t="s">
        <v>6489</v>
      </c>
      <c r="K2670" s="5">
        <f>+919899837660</f>
        <v>919899837660</v>
      </c>
      <c r="L2670" s="4" t="str">
        <f t="shared" si="1"/>
        <v>ma.arora@yahoo.in919899837660</v>
      </c>
      <c r="M2670" s="10" t="s">
        <v>67</v>
      </c>
      <c r="N2670" s="4" t="b">
        <v>0</v>
      </c>
      <c r="O2670" s="4" t="str">
        <f>VLOOKUP(A2670,payment_ids!D:E,2,FALSE)</f>
        <v>upi</v>
      </c>
      <c r="P2670" s="4" t="s">
        <v>69</v>
      </c>
      <c r="Q2670" s="11">
        <v>44414.53055555555</v>
      </c>
      <c r="R2670" s="4"/>
      <c r="S2670" s="12" t="s">
        <v>6561</v>
      </c>
      <c r="T2670" s="5"/>
      <c r="U2670" s="4"/>
      <c r="V2670" s="4"/>
      <c r="W2670" s="5"/>
      <c r="X2670" s="4"/>
      <c r="Y2670" s="4"/>
      <c r="Z2670" s="5"/>
      <c r="AA2670" s="4"/>
      <c r="AB2670" s="4"/>
      <c r="AC2670" s="4"/>
      <c r="AD2670" s="4"/>
      <c r="AE2670" s="5"/>
      <c r="AF2670" s="5"/>
      <c r="AG2670" s="5"/>
      <c r="AH2670" s="5"/>
      <c r="AI2670" s="5"/>
      <c r="AJ2670" s="5"/>
      <c r="AK2670" s="5"/>
      <c r="AL2670" s="5"/>
    </row>
    <row r="2671">
      <c r="A2671" s="4" t="str">
        <f>VLOOKUP(L2671,payment_ids!C:D,2,FALSE)</f>
        <v>pay_H8JuvMG5c9y8og</v>
      </c>
      <c r="B2671" s="4"/>
      <c r="C2671" s="4" t="s">
        <v>2161</v>
      </c>
      <c r="D2671" s="4">
        <v>50073.0</v>
      </c>
      <c r="E2671" s="5"/>
      <c r="F2671" s="4">
        <v>1.0</v>
      </c>
      <c r="G2671" s="4">
        <v>599.0</v>
      </c>
      <c r="H2671" s="4"/>
      <c r="I2671" s="4">
        <v>599.0</v>
      </c>
      <c r="J2671" s="4" t="s">
        <v>6490</v>
      </c>
      <c r="K2671" s="5">
        <f>+919844939825</f>
        <v>919844939825</v>
      </c>
      <c r="L2671" s="4" t="str">
        <f t="shared" si="1"/>
        <v>bharathipaddy@gmail.com919844939825</v>
      </c>
      <c r="M2671" s="10" t="s">
        <v>67</v>
      </c>
      <c r="N2671" s="4" t="b">
        <v>0</v>
      </c>
      <c r="O2671" s="4" t="str">
        <f>VLOOKUP(A2671,payment_ids!D:E,2,FALSE)</f>
        <v>wallet</v>
      </c>
      <c r="P2671" s="4" t="s">
        <v>69</v>
      </c>
      <c r="Q2671" s="11">
        <v>44414.54722222222</v>
      </c>
      <c r="R2671" s="4"/>
      <c r="S2671" s="12" t="s">
        <v>6561</v>
      </c>
      <c r="T2671" s="5"/>
      <c r="U2671" s="4"/>
      <c r="V2671" s="4"/>
      <c r="W2671" s="5"/>
      <c r="X2671" s="4"/>
      <c r="Y2671" s="4"/>
      <c r="Z2671" s="5"/>
      <c r="AA2671" s="4"/>
      <c r="AB2671" s="4"/>
      <c r="AC2671" s="4"/>
      <c r="AD2671" s="4"/>
      <c r="AE2671" s="5"/>
      <c r="AF2671" s="5"/>
      <c r="AG2671" s="5"/>
      <c r="AH2671" s="5"/>
      <c r="AI2671" s="5"/>
      <c r="AJ2671" s="5"/>
      <c r="AK2671" s="5"/>
      <c r="AL2671" s="5"/>
    </row>
    <row r="2672">
      <c r="A2672" s="4" t="str">
        <f>VLOOKUP(L2672,payment_ids!C:D,2,FALSE)</f>
        <v>pay_HKUD7chJjZt0fo</v>
      </c>
      <c r="B2672" s="4"/>
      <c r="C2672" s="4" t="s">
        <v>2161</v>
      </c>
      <c r="D2672" s="4">
        <v>50073.0</v>
      </c>
      <c r="E2672" s="5"/>
      <c r="F2672" s="4">
        <v>1.0</v>
      </c>
      <c r="G2672" s="4">
        <v>799.0</v>
      </c>
      <c r="H2672" s="4"/>
      <c r="I2672" s="4">
        <v>799.0</v>
      </c>
      <c r="J2672" s="4" t="s">
        <v>530</v>
      </c>
      <c r="K2672" s="5">
        <f>+919828882444</f>
        <v>919828882444</v>
      </c>
      <c r="L2672" s="4" t="str">
        <f t="shared" si="1"/>
        <v>ruchiemiddha@gmail.com919828882444</v>
      </c>
      <c r="M2672" s="10" t="s">
        <v>67</v>
      </c>
      <c r="N2672" s="4" t="b">
        <v>0</v>
      </c>
      <c r="O2672" s="4" t="str">
        <f>VLOOKUP(A2672,payment_ids!D:E,2,FALSE)</f>
        <v>upi</v>
      </c>
      <c r="P2672" s="4" t="s">
        <v>69</v>
      </c>
      <c r="Q2672" s="11">
        <v>44414.549305555556</v>
      </c>
      <c r="R2672" s="4"/>
      <c r="S2672" s="12" t="s">
        <v>6563</v>
      </c>
      <c r="T2672" s="5"/>
      <c r="U2672" s="4"/>
      <c r="V2672" s="4"/>
      <c r="W2672" s="5"/>
      <c r="X2672" s="4"/>
      <c r="Y2672" s="4"/>
      <c r="Z2672" s="5"/>
      <c r="AA2672" s="4"/>
      <c r="AB2672" s="4"/>
      <c r="AC2672" s="4"/>
      <c r="AD2672" s="4"/>
      <c r="AE2672" s="5"/>
      <c r="AF2672" s="5"/>
      <c r="AG2672" s="5"/>
      <c r="AH2672" s="5"/>
      <c r="AI2672" s="5"/>
      <c r="AJ2672" s="5"/>
      <c r="AK2672" s="5"/>
      <c r="AL2672" s="5"/>
    </row>
    <row r="2673">
      <c r="A2673" s="4" t="str">
        <f>VLOOKUP(L2673,payment_ids!C:D,2,FALSE)</f>
        <v>pay_HKdFs5Yum7H1Uz</v>
      </c>
      <c r="B2673" s="4"/>
      <c r="C2673" s="4" t="s">
        <v>2161</v>
      </c>
      <c r="D2673" s="4">
        <v>50073.0</v>
      </c>
      <c r="E2673" s="5"/>
      <c r="F2673" s="4">
        <v>1.0</v>
      </c>
      <c r="G2673" s="4">
        <v>799.0</v>
      </c>
      <c r="H2673" s="4"/>
      <c r="I2673" s="4">
        <v>799.0</v>
      </c>
      <c r="J2673" s="4" t="s">
        <v>6567</v>
      </c>
      <c r="K2673" s="5">
        <f>+918769526938</f>
        <v>918769526938</v>
      </c>
      <c r="L2673" s="4" t="str">
        <f t="shared" si="1"/>
        <v>poojachaudhry21@gmail.com918769526938</v>
      </c>
      <c r="M2673" s="10" t="s">
        <v>67</v>
      </c>
      <c r="N2673" s="4" t="b">
        <v>0</v>
      </c>
      <c r="O2673" s="4" t="str">
        <f>VLOOKUP(A2673,payment_ids!D:E,2,FALSE)</f>
        <v>upi</v>
      </c>
      <c r="P2673" s="4" t="s">
        <v>69</v>
      </c>
      <c r="Q2673" s="11">
        <v>44414.91805555556</v>
      </c>
      <c r="R2673" s="4"/>
      <c r="S2673" s="12" t="s">
        <v>6497</v>
      </c>
      <c r="T2673" s="4" t="s">
        <v>2444</v>
      </c>
      <c r="U2673" s="4"/>
      <c r="V2673" s="4"/>
      <c r="W2673" s="5"/>
      <c r="X2673" s="4"/>
      <c r="Y2673" s="4"/>
      <c r="Z2673" s="5"/>
      <c r="AA2673" s="4"/>
      <c r="AB2673" s="4"/>
      <c r="AC2673" s="4"/>
      <c r="AD2673" s="4"/>
      <c r="AE2673" s="5"/>
      <c r="AF2673" s="5"/>
      <c r="AG2673" s="5"/>
      <c r="AH2673" s="5"/>
      <c r="AI2673" s="5"/>
      <c r="AJ2673" s="5"/>
      <c r="AK2673" s="5"/>
      <c r="AL2673" s="5"/>
    </row>
    <row r="2674">
      <c r="A2674" s="4" t="str">
        <f>VLOOKUP(L2674,payment_ids!C:D,2,FALSE)</f>
        <v>pay_H79ecxRYLhYp69</v>
      </c>
      <c r="B2674" s="4"/>
      <c r="C2674" s="4" t="s">
        <v>2161</v>
      </c>
      <c r="D2674" s="4">
        <v>50073.0</v>
      </c>
      <c r="E2674" s="5"/>
      <c r="F2674" s="4">
        <v>1.0</v>
      </c>
      <c r="G2674" s="4">
        <v>599.0</v>
      </c>
      <c r="H2674" s="4"/>
      <c r="I2674" s="4">
        <v>599.0</v>
      </c>
      <c r="J2674" s="4" t="s">
        <v>6476</v>
      </c>
      <c r="K2674" s="5">
        <f>+919811316353</f>
        <v>919811316353</v>
      </c>
      <c r="L2674" s="4" t="str">
        <f t="shared" si="1"/>
        <v>parulmehra84@gmail.com919811316353</v>
      </c>
      <c r="M2674" s="10" t="s">
        <v>67</v>
      </c>
      <c r="N2674" s="4" t="b">
        <v>0</v>
      </c>
      <c r="O2674" s="4" t="str">
        <f>VLOOKUP(A2674,payment_ids!D:E,2,FALSE)</f>
        <v>wallet</v>
      </c>
      <c r="P2674" s="4" t="s">
        <v>69</v>
      </c>
      <c r="Q2674" s="11">
        <v>44445.433333333334</v>
      </c>
      <c r="R2674" s="4"/>
      <c r="S2674" s="12" t="s">
        <v>6561</v>
      </c>
      <c r="T2674" s="4" t="s">
        <v>2444</v>
      </c>
      <c r="U2674" s="4"/>
      <c r="V2674" s="4"/>
      <c r="W2674" s="5"/>
      <c r="X2674" s="4"/>
      <c r="Y2674" s="4"/>
      <c r="Z2674" s="5"/>
      <c r="AA2674" s="4"/>
      <c r="AB2674" s="4"/>
      <c r="AC2674" s="4"/>
      <c r="AD2674" s="4"/>
      <c r="AE2674" s="5"/>
      <c r="AF2674" s="5"/>
      <c r="AG2674" s="5"/>
      <c r="AH2674" s="5"/>
      <c r="AI2674" s="5"/>
      <c r="AJ2674" s="5"/>
      <c r="AK2674" s="5"/>
      <c r="AL2674" s="5"/>
    </row>
    <row r="2675">
      <c r="A2675" s="4" t="str">
        <f>VLOOKUP(L2675,payment_ids!C:D,2,FALSE)</f>
        <v>pay_H8CNawhCwRnUle</v>
      </c>
      <c r="B2675" s="4"/>
      <c r="C2675" s="4" t="s">
        <v>2161</v>
      </c>
      <c r="D2675" s="4">
        <v>50073.0</v>
      </c>
      <c r="E2675" s="5"/>
      <c r="F2675" s="4">
        <v>1.0</v>
      </c>
      <c r="G2675" s="4">
        <v>599.0</v>
      </c>
      <c r="H2675" s="4"/>
      <c r="I2675" s="4">
        <v>599.0</v>
      </c>
      <c r="J2675" s="4" t="s">
        <v>6493</v>
      </c>
      <c r="K2675" s="5">
        <f>+919898956482</f>
        <v>919898956482</v>
      </c>
      <c r="L2675" s="4" t="str">
        <f t="shared" si="1"/>
        <v>rishiti.rao_11@rediffmail.com919898956482</v>
      </c>
      <c r="M2675" s="10" t="s">
        <v>67</v>
      </c>
      <c r="N2675" s="4" t="b">
        <v>0</v>
      </c>
      <c r="O2675" s="4" t="str">
        <f>VLOOKUP(A2675,payment_ids!D:E,2,FALSE)</f>
        <v>wallet</v>
      </c>
      <c r="P2675" s="4" t="s">
        <v>69</v>
      </c>
      <c r="Q2675" s="11">
        <v>44445.43472222222</v>
      </c>
      <c r="R2675" s="4"/>
      <c r="S2675" s="12" t="s">
        <v>6561</v>
      </c>
      <c r="T2675" s="4" t="s">
        <v>2444</v>
      </c>
      <c r="U2675" s="4"/>
      <c r="V2675" s="4"/>
      <c r="W2675" s="5"/>
      <c r="X2675" s="4"/>
      <c r="Y2675" s="4"/>
      <c r="Z2675" s="5"/>
      <c r="AA2675" s="5"/>
      <c r="AB2675" s="4"/>
      <c r="AC2675" s="4"/>
      <c r="AD2675" s="4"/>
      <c r="AE2675" s="5"/>
      <c r="AF2675" s="5"/>
      <c r="AG2675" s="5"/>
      <c r="AH2675" s="5"/>
      <c r="AI2675" s="5"/>
      <c r="AJ2675" s="5"/>
      <c r="AK2675" s="5"/>
      <c r="AL2675" s="5"/>
    </row>
    <row r="2676">
      <c r="A2676" s="4" t="str">
        <f>VLOOKUP(L2676,payment_ids!C:D,2,FALSE)</f>
        <v>pay_HKxzjkQvrxLfZe</v>
      </c>
      <c r="B2676" s="4"/>
      <c r="C2676" s="4" t="s">
        <v>2161</v>
      </c>
      <c r="D2676" s="4">
        <v>50073.0</v>
      </c>
      <c r="E2676" s="5"/>
      <c r="F2676" s="4">
        <v>3.0</v>
      </c>
      <c r="G2676" s="13">
        <v>1499.0</v>
      </c>
      <c r="H2676" s="4"/>
      <c r="I2676" s="13">
        <v>1499.0</v>
      </c>
      <c r="J2676" s="4" t="s">
        <v>6568</v>
      </c>
      <c r="K2676" s="5">
        <f>+919595822206</f>
        <v>919595822206</v>
      </c>
      <c r="L2676" s="4" t="str">
        <f t="shared" si="1"/>
        <v>nupurakhot94@gmail.com919595822206</v>
      </c>
      <c r="M2676" s="10" t="s">
        <v>67</v>
      </c>
      <c r="N2676" s="4" t="b">
        <v>0</v>
      </c>
      <c r="O2676" s="4" t="str">
        <f>VLOOKUP(A2676,payment_ids!D:E,2,FALSE)</f>
        <v>wallet</v>
      </c>
      <c r="P2676" s="4" t="s">
        <v>69</v>
      </c>
      <c r="Q2676" s="11">
        <v>44445.76388888889</v>
      </c>
      <c r="R2676" s="4"/>
      <c r="S2676" s="12" t="s">
        <v>6561</v>
      </c>
      <c r="T2676" s="4" t="s">
        <v>2444</v>
      </c>
      <c r="U2676" s="4"/>
      <c r="V2676" s="4"/>
      <c r="W2676" s="5"/>
      <c r="X2676" s="4"/>
      <c r="Y2676" s="4"/>
      <c r="Z2676" s="5"/>
      <c r="AA2676" s="4"/>
      <c r="AB2676" s="4"/>
      <c r="AC2676" s="4"/>
      <c r="AD2676" s="4"/>
      <c r="AE2676" s="5"/>
      <c r="AF2676" s="5"/>
      <c r="AG2676" s="5"/>
      <c r="AH2676" s="5"/>
      <c r="AI2676" s="5"/>
      <c r="AJ2676" s="5"/>
      <c r="AK2676" s="5"/>
      <c r="AL2676" s="5"/>
    </row>
    <row r="2677">
      <c r="A2677" s="4" t="str">
        <f>VLOOKUP(L2677,payment_ids!C:D,2,FALSE)</f>
        <v>pay_HL1ZQAJrbA8QQG</v>
      </c>
      <c r="B2677" s="4"/>
      <c r="C2677" s="4" t="s">
        <v>2161</v>
      </c>
      <c r="D2677" s="4">
        <v>50073.0</v>
      </c>
      <c r="E2677" s="5"/>
      <c r="F2677" s="4">
        <v>1.0</v>
      </c>
      <c r="G2677" s="4">
        <v>799.0</v>
      </c>
      <c r="H2677" s="4"/>
      <c r="I2677" s="4">
        <v>799.0</v>
      </c>
      <c r="J2677" s="4" t="s">
        <v>6569</v>
      </c>
      <c r="K2677" s="5">
        <f>+917905887677</f>
        <v>917905887677</v>
      </c>
      <c r="L2677" s="4" t="str">
        <f t="shared" si="1"/>
        <v>ankitarajput1978@gmail.com917905887677</v>
      </c>
      <c r="M2677" s="10" t="s">
        <v>67</v>
      </c>
      <c r="N2677" s="4" t="b">
        <v>0</v>
      </c>
      <c r="O2677" s="4" t="str">
        <f>VLOOKUP(A2677,payment_ids!D:E,2,FALSE)</f>
        <v>card</v>
      </c>
      <c r="P2677" s="4" t="s">
        <v>69</v>
      </c>
      <c r="Q2677" s="11">
        <v>44445.90902777778</v>
      </c>
      <c r="R2677" s="4"/>
      <c r="S2677" s="12" t="s">
        <v>6497</v>
      </c>
      <c r="T2677" s="4" t="s">
        <v>2444</v>
      </c>
      <c r="U2677" s="4"/>
      <c r="V2677" s="4"/>
      <c r="W2677" s="5"/>
      <c r="X2677" s="4"/>
      <c r="Y2677" s="4"/>
      <c r="Z2677" s="5"/>
      <c r="AA2677" s="4"/>
      <c r="AB2677" s="4"/>
      <c r="AC2677" s="4"/>
      <c r="AD2677" s="4"/>
      <c r="AE2677" s="5"/>
      <c r="AF2677" s="5"/>
      <c r="AG2677" s="5"/>
      <c r="AH2677" s="5"/>
      <c r="AI2677" s="5"/>
      <c r="AJ2677" s="5"/>
      <c r="AK2677" s="5"/>
      <c r="AL2677" s="5"/>
    </row>
    <row r="2678">
      <c r="A2678" s="4" t="str">
        <f>VLOOKUP(L2678,payment_ids!C:D,2,FALSE)</f>
        <v>pay_H7WwbyTsx1i8nZ</v>
      </c>
      <c r="B2678" s="4"/>
      <c r="C2678" s="4" t="s">
        <v>2161</v>
      </c>
      <c r="D2678" s="4">
        <v>50073.0</v>
      </c>
      <c r="E2678" s="5"/>
      <c r="F2678" s="4">
        <v>1.0</v>
      </c>
      <c r="G2678" s="4">
        <v>599.0</v>
      </c>
      <c r="H2678" s="4"/>
      <c r="I2678" s="4">
        <v>599.0</v>
      </c>
      <c r="J2678" s="4" t="s">
        <v>6485</v>
      </c>
      <c r="K2678" s="5">
        <f>+918447208914</f>
        <v>918447208914</v>
      </c>
      <c r="L2678" s="4" t="str">
        <f t="shared" si="1"/>
        <v>annusmail@gmail.com918447208914</v>
      </c>
      <c r="M2678" s="10" t="s">
        <v>67</v>
      </c>
      <c r="N2678" s="4" t="b">
        <v>0</v>
      </c>
      <c r="O2678" s="4" t="str">
        <f>VLOOKUP(A2678,payment_ids!D:E,2,FALSE)</f>
        <v>netbanking</v>
      </c>
      <c r="P2678" s="4" t="s">
        <v>69</v>
      </c>
      <c r="Q2678" s="11">
        <v>44475.785416666666</v>
      </c>
      <c r="R2678" s="4"/>
      <c r="S2678" s="12" t="s">
        <v>6561</v>
      </c>
      <c r="T2678" s="4" t="s">
        <v>2444</v>
      </c>
      <c r="U2678" s="4"/>
      <c r="V2678" s="4"/>
      <c r="W2678" s="5"/>
      <c r="X2678" s="4"/>
      <c r="Y2678" s="4"/>
      <c r="Z2678" s="5"/>
      <c r="AA2678" s="4"/>
      <c r="AB2678" s="4"/>
      <c r="AC2678" s="4"/>
      <c r="AD2678" s="4"/>
      <c r="AE2678" s="5"/>
      <c r="AF2678" s="5"/>
      <c r="AG2678" s="5"/>
      <c r="AH2678" s="5"/>
      <c r="AI2678" s="5"/>
      <c r="AJ2678" s="5"/>
      <c r="AK2678" s="5"/>
      <c r="AL2678" s="5"/>
    </row>
    <row r="2679">
      <c r="A2679" s="4" t="str">
        <f>VLOOKUP(L2679,payment_ids!C:D,2,FALSE)</f>
        <v>pay_H8gpA6YieTUSWs</v>
      </c>
      <c r="B2679" s="4"/>
      <c r="C2679" s="4" t="s">
        <v>2161</v>
      </c>
      <c r="D2679" s="4">
        <v>50073.0</v>
      </c>
      <c r="E2679" s="5"/>
      <c r="F2679" s="4">
        <v>1.0</v>
      </c>
      <c r="G2679" s="4">
        <v>599.0</v>
      </c>
      <c r="H2679" s="4"/>
      <c r="I2679" s="4">
        <v>599.0</v>
      </c>
      <c r="J2679" s="4" t="s">
        <v>6570</v>
      </c>
      <c r="K2679" s="5">
        <f>+919818148156</f>
        <v>919818148156</v>
      </c>
      <c r="L2679" s="4" t="str">
        <f t="shared" si="1"/>
        <v>monika300383@gmail.com919818148156</v>
      </c>
      <c r="M2679" s="10" t="s">
        <v>67</v>
      </c>
      <c r="N2679" s="4" t="b">
        <v>0</v>
      </c>
      <c r="O2679" s="4" t="str">
        <f>VLOOKUP(A2679,payment_ids!D:E,2,FALSE)</f>
        <v>wallet</v>
      </c>
      <c r="P2679" s="4" t="s">
        <v>69</v>
      </c>
      <c r="Q2679" s="11">
        <v>44475.90625</v>
      </c>
      <c r="R2679" s="4"/>
      <c r="S2679" s="12" t="s">
        <v>6561</v>
      </c>
      <c r="T2679" s="4" t="s">
        <v>2444</v>
      </c>
      <c r="U2679" s="4"/>
      <c r="V2679" s="4"/>
      <c r="W2679" s="5"/>
      <c r="X2679" s="4"/>
      <c r="Y2679" s="4"/>
      <c r="Z2679" s="5"/>
      <c r="AA2679" s="4"/>
      <c r="AB2679" s="4"/>
      <c r="AC2679" s="4"/>
      <c r="AD2679" s="4"/>
      <c r="AE2679" s="5"/>
      <c r="AF2679" s="5"/>
      <c r="AG2679" s="5"/>
      <c r="AH2679" s="5"/>
      <c r="AI2679" s="5"/>
      <c r="AJ2679" s="5"/>
      <c r="AK2679" s="5"/>
      <c r="AL2679" s="5"/>
    </row>
    <row r="2680">
      <c r="A2680" s="4" t="str">
        <f>VLOOKUP(L2680,payment_ids!C:D,2,FALSE)</f>
        <v>pay_HM4Rmfyb2yDKhT</v>
      </c>
      <c r="B2680" s="4"/>
      <c r="C2680" s="4" t="s">
        <v>2161</v>
      </c>
      <c r="D2680" s="4">
        <v>50073.0</v>
      </c>
      <c r="E2680" s="5"/>
      <c r="F2680" s="4">
        <v>1.0</v>
      </c>
      <c r="G2680" s="4">
        <v>799.0</v>
      </c>
      <c r="H2680" s="4"/>
      <c r="I2680" s="4">
        <v>799.0</v>
      </c>
      <c r="J2680" s="4" t="s">
        <v>6571</v>
      </c>
      <c r="K2680" s="5">
        <f>+919999888018</f>
        <v>919999888018</v>
      </c>
      <c r="L2680" s="4" t="str">
        <f t="shared" si="1"/>
        <v>bhatia.manit@gmail.com919999888018</v>
      </c>
      <c r="M2680" s="10" t="s">
        <v>67</v>
      </c>
      <c r="N2680" s="4" t="b">
        <v>0</v>
      </c>
      <c r="O2680" s="4" t="str">
        <f>VLOOKUP(A2680,payment_ids!D:E,2,FALSE)</f>
        <v>upi</v>
      </c>
      <c r="P2680" s="4" t="s">
        <v>69</v>
      </c>
      <c r="Q2680" s="11">
        <v>44536.55347222222</v>
      </c>
      <c r="R2680" s="4"/>
      <c r="S2680" s="12" t="s">
        <v>6497</v>
      </c>
      <c r="T2680" s="4" t="s">
        <v>2444</v>
      </c>
      <c r="U2680" s="4"/>
      <c r="V2680" s="4"/>
      <c r="W2680" s="5"/>
      <c r="X2680" s="4"/>
      <c r="Y2680" s="4"/>
      <c r="Z2680" s="5"/>
      <c r="AA2680" s="4"/>
      <c r="AB2680" s="4"/>
      <c r="AC2680" s="4"/>
      <c r="AD2680" s="4"/>
      <c r="AE2680" s="5"/>
      <c r="AF2680" s="5"/>
      <c r="AG2680" s="5"/>
      <c r="AH2680" s="5"/>
      <c r="AI2680" s="5"/>
      <c r="AJ2680" s="5"/>
      <c r="AK2680" s="5"/>
      <c r="AL2680" s="5"/>
    </row>
    <row r="2681">
      <c r="A2681" s="4" t="str">
        <f>VLOOKUP(L2681,payment_ids!C:D,2,FALSE)</f>
        <v>pay_HMb2986SEtVVJX</v>
      </c>
      <c r="B2681" s="4"/>
      <c r="C2681" s="4" t="s">
        <v>2161</v>
      </c>
      <c r="D2681" s="4">
        <v>50073.0</v>
      </c>
      <c r="E2681" s="5"/>
      <c r="F2681" s="4">
        <v>1.0</v>
      </c>
      <c r="G2681" s="4">
        <v>799.0</v>
      </c>
      <c r="H2681" s="4"/>
      <c r="I2681" s="4">
        <v>799.0</v>
      </c>
      <c r="J2681" s="4" t="s">
        <v>6572</v>
      </c>
      <c r="K2681" s="5">
        <f>+918650001204</f>
        <v>918650001204</v>
      </c>
      <c r="L2681" s="4" t="str">
        <f t="shared" si="1"/>
        <v>deribs77@gmail.com918650001204</v>
      </c>
      <c r="M2681" s="10" t="s">
        <v>67</v>
      </c>
      <c r="N2681" s="4" t="b">
        <v>0</v>
      </c>
      <c r="O2681" s="4" t="str">
        <f>VLOOKUP(A2681,payment_ids!D:E,2,FALSE)</f>
        <v>netbanking</v>
      </c>
      <c r="P2681" s="4" t="s">
        <v>69</v>
      </c>
      <c r="Q2681" s="4" t="s">
        <v>6573</v>
      </c>
      <c r="R2681" s="4"/>
      <c r="S2681" s="12" t="s">
        <v>6563</v>
      </c>
      <c r="T2681" s="4" t="s">
        <v>2444</v>
      </c>
      <c r="U2681" s="4"/>
      <c r="V2681" s="4"/>
      <c r="W2681" s="5"/>
      <c r="X2681" s="4"/>
      <c r="Y2681" s="4"/>
      <c r="Z2681" s="5"/>
      <c r="AA2681" s="4"/>
      <c r="AB2681" s="4"/>
      <c r="AC2681" s="4"/>
      <c r="AD2681" s="4"/>
      <c r="AE2681" s="5"/>
      <c r="AF2681" s="5"/>
      <c r="AG2681" s="5"/>
      <c r="AH2681" s="5"/>
      <c r="AI2681" s="5"/>
      <c r="AJ2681" s="5"/>
      <c r="AK2681" s="5"/>
      <c r="AL2681" s="5"/>
    </row>
    <row r="2682">
      <c r="A2682" s="4" t="str">
        <f>VLOOKUP(L2682,payment_ids!C:D,2,FALSE)</f>
        <v>pay_HMlkQ8r8OgwpOe</v>
      </c>
      <c r="B2682" s="4"/>
      <c r="C2682" s="4" t="s">
        <v>2161</v>
      </c>
      <c r="D2682" s="4">
        <v>50073.0</v>
      </c>
      <c r="E2682" s="5"/>
      <c r="F2682" s="4">
        <v>1.0</v>
      </c>
      <c r="G2682" s="4">
        <v>799.0</v>
      </c>
      <c r="H2682" s="4"/>
      <c r="I2682" s="4">
        <v>799.0</v>
      </c>
      <c r="J2682" s="4" t="s">
        <v>6574</v>
      </c>
      <c r="K2682" s="5">
        <f>+919513333019</f>
        <v>919513333019</v>
      </c>
      <c r="L2682" s="4" t="str">
        <f t="shared" si="1"/>
        <v>stellapaul1211@gmail.com919513333019</v>
      </c>
      <c r="M2682" s="10" t="s">
        <v>67</v>
      </c>
      <c r="N2682" s="4" t="b">
        <v>0</v>
      </c>
      <c r="O2682" s="4" t="str">
        <f>VLOOKUP(A2682,payment_ids!D:E,2,FALSE)</f>
        <v>upi</v>
      </c>
      <c r="P2682" s="4" t="s">
        <v>69</v>
      </c>
      <c r="Q2682" s="4" t="s">
        <v>6575</v>
      </c>
      <c r="R2682" s="4"/>
      <c r="S2682" s="12" t="s">
        <v>6497</v>
      </c>
      <c r="T2682" s="4" t="s">
        <v>2444</v>
      </c>
      <c r="U2682" s="4"/>
      <c r="V2682" s="4"/>
      <c r="W2682" s="5"/>
      <c r="X2682" s="4"/>
      <c r="Y2682" s="4"/>
      <c r="Z2682" s="5"/>
      <c r="AA2682" s="4"/>
      <c r="AB2682" s="4"/>
      <c r="AC2682" s="4"/>
      <c r="AD2682" s="4"/>
      <c r="AE2682" s="5"/>
      <c r="AF2682" s="5"/>
      <c r="AG2682" s="5"/>
      <c r="AH2682" s="5"/>
      <c r="AI2682" s="5"/>
      <c r="AJ2682" s="5"/>
      <c r="AK2682" s="5"/>
      <c r="AL2682" s="5"/>
    </row>
    <row r="2683">
      <c r="A2683" s="4" t="str">
        <f>VLOOKUP(L2683,payment_ids!C:D,2,FALSE)</f>
        <v>pay_H8KPUDmdlWPiy4</v>
      </c>
      <c r="B2683" s="4"/>
      <c r="C2683" s="4" t="s">
        <v>2161</v>
      </c>
      <c r="D2683" s="4">
        <v>50073.0</v>
      </c>
      <c r="E2683" s="5"/>
      <c r="F2683" s="4">
        <v>3.0</v>
      </c>
      <c r="G2683" s="13">
        <v>2199.0</v>
      </c>
      <c r="H2683" s="4"/>
      <c r="I2683" s="13">
        <v>2199.0</v>
      </c>
      <c r="J2683" s="4" t="s">
        <v>6491</v>
      </c>
      <c r="K2683" s="5">
        <f>+919696046295</f>
        <v>919696046295</v>
      </c>
      <c r="L2683" s="4" t="str">
        <f t="shared" si="1"/>
        <v>singhvineeta.786@gmail.com919696046295</v>
      </c>
      <c r="M2683" s="10" t="s">
        <v>67</v>
      </c>
      <c r="N2683" s="4" t="b">
        <v>0</v>
      </c>
      <c r="O2683" s="4" t="str">
        <f>VLOOKUP(A2683,payment_ids!D:E,2,FALSE)</f>
        <v>netbanking</v>
      </c>
      <c r="P2683" s="4" t="s">
        <v>69</v>
      </c>
      <c r="Q2683" s="4" t="s">
        <v>6576</v>
      </c>
      <c r="R2683" s="4"/>
      <c r="S2683" s="12" t="s">
        <v>6497</v>
      </c>
      <c r="T2683" s="4" t="s">
        <v>2444</v>
      </c>
      <c r="U2683" s="4"/>
      <c r="V2683" s="4"/>
      <c r="W2683" s="5"/>
      <c r="X2683" s="4"/>
      <c r="Y2683" s="4"/>
      <c r="Z2683" s="5"/>
      <c r="AA2683" s="4"/>
      <c r="AB2683" s="4"/>
      <c r="AC2683" s="4"/>
      <c r="AD2683" s="4"/>
      <c r="AE2683" s="5"/>
      <c r="AF2683" s="5"/>
      <c r="AG2683" s="5"/>
      <c r="AH2683" s="5"/>
      <c r="AI2683" s="5"/>
      <c r="AJ2683" s="5"/>
      <c r="AK2683" s="5"/>
      <c r="AL2683" s="5"/>
    </row>
    <row r="2684">
      <c r="A2684" s="4" t="str">
        <f>VLOOKUP(L2684,payment_ids!C:D,2,FALSE)</f>
        <v>pay_H9vxMscJMKn9T0</v>
      </c>
      <c r="B2684" s="4"/>
      <c r="C2684" s="4" t="s">
        <v>2161</v>
      </c>
      <c r="D2684" s="4">
        <v>50073.0</v>
      </c>
      <c r="E2684" s="5"/>
      <c r="F2684" s="4">
        <v>1.0</v>
      </c>
      <c r="G2684" s="4">
        <v>799.0</v>
      </c>
      <c r="H2684" s="4"/>
      <c r="I2684" s="4">
        <v>799.0</v>
      </c>
      <c r="J2684" s="4" t="s">
        <v>6502</v>
      </c>
      <c r="K2684" s="5">
        <f>+917042110059</f>
        <v>917042110059</v>
      </c>
      <c r="L2684" s="4" t="str">
        <f t="shared" si="1"/>
        <v>nidhisharma1921@gmail.com917042110059</v>
      </c>
      <c r="M2684" s="10" t="s">
        <v>67</v>
      </c>
      <c r="N2684" s="4" t="b">
        <v>0</v>
      </c>
      <c r="O2684" s="4" t="str">
        <f>VLOOKUP(A2684,payment_ids!D:E,2,FALSE)</f>
        <v>wallet</v>
      </c>
      <c r="P2684" s="4" t="s">
        <v>69</v>
      </c>
      <c r="Q2684" s="4" t="s">
        <v>6577</v>
      </c>
      <c r="R2684" s="4"/>
      <c r="S2684" s="12" t="s">
        <v>6563</v>
      </c>
      <c r="T2684" s="4" t="s">
        <v>2444</v>
      </c>
      <c r="U2684" s="4"/>
      <c r="V2684" s="4"/>
      <c r="W2684" s="5"/>
      <c r="X2684" s="4"/>
      <c r="Y2684" s="4"/>
      <c r="Z2684" s="5"/>
      <c r="AA2684" s="4"/>
      <c r="AB2684" s="4"/>
      <c r="AC2684" s="4"/>
      <c r="AD2684" s="4"/>
      <c r="AE2684" s="5"/>
      <c r="AF2684" s="5"/>
      <c r="AG2684" s="5"/>
      <c r="AH2684" s="5"/>
      <c r="AI2684" s="5"/>
      <c r="AJ2684" s="5"/>
      <c r="AK2684" s="5"/>
      <c r="AL2684" s="5"/>
    </row>
    <row r="2685">
      <c r="A2685" s="4" t="str">
        <f>VLOOKUP(L2685,payment_ids!C:D,2,FALSE)</f>
        <v>pay_H9lFGxQpdLktX0</v>
      </c>
      <c r="B2685" s="4"/>
      <c r="C2685" s="4" t="s">
        <v>2161</v>
      </c>
      <c r="D2685" s="4">
        <v>50073.0</v>
      </c>
      <c r="E2685" s="5"/>
      <c r="F2685" s="4">
        <v>1.0</v>
      </c>
      <c r="G2685" s="4">
        <v>799.0</v>
      </c>
      <c r="H2685" s="4"/>
      <c r="I2685" s="4">
        <v>799.0</v>
      </c>
      <c r="J2685" s="4" t="s">
        <v>6503</v>
      </c>
      <c r="K2685" s="5">
        <f>+919915425644</f>
        <v>919915425644</v>
      </c>
      <c r="L2685" s="4" t="str">
        <f t="shared" si="1"/>
        <v>rpreet8@gmail.com919915425644</v>
      </c>
      <c r="M2685" s="10" t="s">
        <v>67</v>
      </c>
      <c r="N2685" s="4" t="b">
        <v>0</v>
      </c>
      <c r="O2685" s="4" t="str">
        <f>VLOOKUP(A2685,payment_ids!D:E,2,FALSE)</f>
        <v>upi</v>
      </c>
      <c r="P2685" s="4" t="s">
        <v>69</v>
      </c>
      <c r="Q2685" s="4" t="s">
        <v>6578</v>
      </c>
      <c r="R2685" s="4"/>
      <c r="S2685" s="12" t="s">
        <v>6497</v>
      </c>
      <c r="T2685" s="4" t="s">
        <v>2444</v>
      </c>
      <c r="U2685" s="4"/>
      <c r="V2685" s="4"/>
      <c r="W2685" s="5"/>
      <c r="X2685" s="4"/>
      <c r="Y2685" s="4"/>
      <c r="Z2685" s="5"/>
      <c r="AA2685" s="4"/>
      <c r="AB2685" s="4"/>
      <c r="AC2685" s="4"/>
      <c r="AD2685" s="4"/>
      <c r="AE2685" s="5"/>
      <c r="AF2685" s="5"/>
      <c r="AG2685" s="5"/>
      <c r="AH2685" s="5"/>
      <c r="AI2685" s="5"/>
      <c r="AJ2685" s="5"/>
      <c r="AK2685" s="5"/>
      <c r="AL2685" s="5"/>
    </row>
    <row r="2686">
      <c r="A2686" s="4" t="str">
        <f>VLOOKUP(L2686,payment_ids!C:D,2,FALSE)</f>
        <v>pay_HOLwoYlLRa7aLi</v>
      </c>
      <c r="B2686" s="4"/>
      <c r="C2686" s="4" t="s">
        <v>2161</v>
      </c>
      <c r="D2686" s="4">
        <v>50073.0</v>
      </c>
      <c r="E2686" s="5"/>
      <c r="F2686" s="4">
        <v>1.0</v>
      </c>
      <c r="G2686" s="4">
        <v>799.0</v>
      </c>
      <c r="H2686" s="4"/>
      <c r="I2686" s="4">
        <v>799.0</v>
      </c>
      <c r="J2686" s="4" t="s">
        <v>6579</v>
      </c>
      <c r="K2686" s="5">
        <f>+918638370785</f>
        <v>918638370785</v>
      </c>
      <c r="L2686" s="4" t="str">
        <f t="shared" si="1"/>
        <v>sonowalsilpisikha@gmail.com918638370785</v>
      </c>
      <c r="M2686" s="10" t="s">
        <v>67</v>
      </c>
      <c r="N2686" s="4" t="b">
        <v>0</v>
      </c>
      <c r="O2686" s="4" t="str">
        <f>VLOOKUP(A2686,payment_ids!D:E,2,FALSE)</f>
        <v>netbanking</v>
      </c>
      <c r="P2686" s="4" t="s">
        <v>69</v>
      </c>
      <c r="Q2686" s="4" t="s">
        <v>6580</v>
      </c>
      <c r="R2686" s="4"/>
      <c r="S2686" s="12" t="s">
        <v>6563</v>
      </c>
      <c r="T2686" s="4" t="s">
        <v>2444</v>
      </c>
      <c r="U2686" s="4"/>
      <c r="V2686" s="4"/>
      <c r="W2686" s="5"/>
      <c r="X2686" s="4"/>
      <c r="Y2686" s="4"/>
      <c r="Z2686" s="5"/>
      <c r="AA2686" s="4"/>
      <c r="AB2686" s="4"/>
      <c r="AC2686" s="4"/>
      <c r="AD2686" s="4"/>
      <c r="AE2686" s="5"/>
      <c r="AF2686" s="5"/>
      <c r="AG2686" s="5"/>
      <c r="AH2686" s="5"/>
      <c r="AI2686" s="5"/>
      <c r="AJ2686" s="5"/>
      <c r="AK2686" s="5"/>
      <c r="AL2686" s="5"/>
    </row>
    <row r="2687">
      <c r="A2687" s="4" t="str">
        <f>VLOOKUP(L2687,payment_ids!C:D,2,FALSE)</f>
        <v>pay_HOXNdfMOimUSjc</v>
      </c>
      <c r="B2687" s="4"/>
      <c r="C2687" s="4" t="s">
        <v>2161</v>
      </c>
      <c r="D2687" s="4">
        <v>50073.0</v>
      </c>
      <c r="E2687" s="5"/>
      <c r="F2687" s="4">
        <v>1.0</v>
      </c>
      <c r="G2687" s="4">
        <v>799.0</v>
      </c>
      <c r="H2687" s="4"/>
      <c r="I2687" s="4">
        <v>799.0</v>
      </c>
      <c r="J2687" s="4" t="s">
        <v>6581</v>
      </c>
      <c r="K2687" s="5">
        <f>+919868768574</f>
        <v>919868768574</v>
      </c>
      <c r="L2687" s="4" t="str">
        <f t="shared" si="1"/>
        <v>rituchauhantomar81@gmail.com919868768574</v>
      </c>
      <c r="M2687" s="10" t="s">
        <v>67</v>
      </c>
      <c r="N2687" s="4" t="b">
        <v>0</v>
      </c>
      <c r="O2687" s="4" t="str">
        <f>VLOOKUP(A2687,payment_ids!D:E,2,FALSE)</f>
        <v>upi</v>
      </c>
      <c r="P2687" s="4" t="s">
        <v>69</v>
      </c>
      <c r="Q2687" s="4" t="s">
        <v>6582</v>
      </c>
      <c r="R2687" s="4"/>
      <c r="S2687" s="12" t="s">
        <v>6497</v>
      </c>
      <c r="T2687" s="4" t="s">
        <v>2444</v>
      </c>
      <c r="U2687" s="4"/>
      <c r="V2687" s="4"/>
      <c r="W2687" s="5"/>
      <c r="X2687" s="4"/>
      <c r="Y2687" s="4"/>
      <c r="Z2687" s="5"/>
      <c r="AA2687" s="4"/>
      <c r="AB2687" s="4"/>
      <c r="AC2687" s="4"/>
      <c r="AD2687" s="4"/>
      <c r="AE2687" s="5"/>
      <c r="AF2687" s="5"/>
      <c r="AG2687" s="5"/>
      <c r="AH2687" s="5"/>
      <c r="AI2687" s="5"/>
      <c r="AJ2687" s="5"/>
      <c r="AK2687" s="5"/>
      <c r="AL2687" s="5"/>
    </row>
    <row r="2688">
      <c r="A2688" s="4" t="str">
        <f>VLOOKUP(L2688,payment_ids!C:D,2,FALSE)</f>
        <v>pay_HOXepooQXYBllz</v>
      </c>
      <c r="B2688" s="4"/>
      <c r="C2688" s="4" t="s">
        <v>2161</v>
      </c>
      <c r="D2688" s="4">
        <v>50073.0</v>
      </c>
      <c r="E2688" s="5"/>
      <c r="F2688" s="4">
        <v>1.0</v>
      </c>
      <c r="G2688" s="4">
        <v>799.0</v>
      </c>
      <c r="H2688" s="4"/>
      <c r="I2688" s="4">
        <v>799.0</v>
      </c>
      <c r="J2688" s="4" t="s">
        <v>6583</v>
      </c>
      <c r="K2688" s="5">
        <f>+918953728480</f>
        <v>918953728480</v>
      </c>
      <c r="L2688" s="4" t="str">
        <f t="shared" si="1"/>
        <v>sasya.thakur@gmail.com918953728480</v>
      </c>
      <c r="M2688" s="10" t="s">
        <v>67</v>
      </c>
      <c r="N2688" s="4" t="b">
        <v>0</v>
      </c>
      <c r="O2688" s="4" t="str">
        <f>VLOOKUP(A2688,payment_ids!D:E,2,FALSE)</f>
        <v>upi</v>
      </c>
      <c r="P2688" s="4" t="s">
        <v>69</v>
      </c>
      <c r="Q2688" s="4" t="s">
        <v>6584</v>
      </c>
      <c r="R2688" s="4"/>
      <c r="S2688" s="12" t="s">
        <v>6563</v>
      </c>
      <c r="T2688" s="4" t="s">
        <v>2444</v>
      </c>
      <c r="U2688" s="4"/>
      <c r="V2688" s="4"/>
      <c r="W2688" s="5"/>
      <c r="X2688" s="4"/>
      <c r="Y2688" s="4"/>
      <c r="Z2688" s="5"/>
      <c r="AA2688" s="4"/>
      <c r="AB2688" s="4"/>
      <c r="AC2688" s="4"/>
      <c r="AD2688" s="4"/>
      <c r="AE2688" s="5"/>
      <c r="AF2688" s="5"/>
      <c r="AG2688" s="5"/>
      <c r="AH2688" s="5"/>
      <c r="AI2688" s="5"/>
      <c r="AJ2688" s="5"/>
      <c r="AK2688" s="5"/>
      <c r="AL2688" s="5"/>
    </row>
    <row r="2689">
      <c r="A2689" s="4" t="str">
        <f>VLOOKUP(L2689,payment_ids!C:D,2,FALSE)</f>
        <v>pay_H94nyrYxAqIm1e</v>
      </c>
      <c r="B2689" s="4"/>
      <c r="C2689" s="4" t="s">
        <v>2161</v>
      </c>
      <c r="D2689" s="4">
        <v>50073.0</v>
      </c>
      <c r="E2689" s="5"/>
      <c r="F2689" s="4">
        <v>3.0</v>
      </c>
      <c r="G2689" s="13">
        <v>2199.0</v>
      </c>
      <c r="H2689" s="4"/>
      <c r="I2689" s="13">
        <v>2199.0</v>
      </c>
      <c r="J2689" s="4" t="s">
        <v>6494</v>
      </c>
      <c r="K2689" s="5">
        <f>+919560575373</f>
        <v>919560575373</v>
      </c>
      <c r="L2689" s="4" t="str">
        <f t="shared" si="1"/>
        <v>drtulikasen@gmail.com919560575373</v>
      </c>
      <c r="M2689" s="10" t="s">
        <v>67</v>
      </c>
      <c r="N2689" s="4" t="b">
        <v>0</v>
      </c>
      <c r="O2689" s="4" t="str">
        <f>VLOOKUP(A2689,payment_ids!D:E,2,FALSE)</f>
        <v>card</v>
      </c>
      <c r="P2689" s="4" t="s">
        <v>69</v>
      </c>
      <c r="Q2689" s="4" t="s">
        <v>6585</v>
      </c>
      <c r="R2689" s="4"/>
      <c r="S2689" s="12" t="s">
        <v>6563</v>
      </c>
      <c r="T2689" s="4" t="s">
        <v>2444</v>
      </c>
      <c r="U2689" s="4"/>
      <c r="V2689" s="4"/>
      <c r="W2689" s="5"/>
      <c r="X2689" s="4"/>
      <c r="Y2689" s="4"/>
      <c r="Z2689" s="5"/>
      <c r="AA2689" s="5"/>
      <c r="AB2689" s="4"/>
      <c r="AC2689" s="4"/>
      <c r="AD2689" s="4"/>
      <c r="AE2689" s="5"/>
      <c r="AF2689" s="5"/>
      <c r="AG2689" s="5"/>
      <c r="AH2689" s="5"/>
      <c r="AI2689" s="5"/>
      <c r="AJ2689" s="5"/>
      <c r="AK2689" s="5"/>
      <c r="AL2689" s="5"/>
    </row>
    <row r="2690">
      <c r="A2690" s="4" t="str">
        <f>VLOOKUP(L2690,payment_ids!C:D,2,FALSE)</f>
        <v>pay_HMnnDoT0MuWZUX</v>
      </c>
      <c r="B2690" s="4"/>
      <c r="C2690" s="4" t="s">
        <v>2161</v>
      </c>
      <c r="D2690" s="4">
        <v>50073.0</v>
      </c>
      <c r="E2690" s="5"/>
      <c r="F2690" s="4">
        <v>1.0</v>
      </c>
      <c r="G2690" s="4">
        <v>799.0</v>
      </c>
      <c r="H2690" s="4"/>
      <c r="I2690" s="4">
        <v>799.0</v>
      </c>
      <c r="J2690" s="4" t="s">
        <v>4520</v>
      </c>
      <c r="K2690" s="5">
        <f>+917975250261</f>
        <v>917975250261</v>
      </c>
      <c r="L2690" s="4" t="str">
        <f t="shared" si="1"/>
        <v>arbhavani@gmail.com917975250261</v>
      </c>
      <c r="M2690" s="10" t="s">
        <v>67</v>
      </c>
      <c r="N2690" s="4" t="b">
        <v>0</v>
      </c>
      <c r="O2690" s="4" t="str">
        <f>VLOOKUP(A2690,payment_ids!D:E,2,FALSE)</f>
        <v>upi</v>
      </c>
      <c r="P2690" s="4" t="s">
        <v>69</v>
      </c>
      <c r="Q2690" s="4" t="s">
        <v>6586</v>
      </c>
      <c r="R2690" s="4"/>
      <c r="S2690" s="12" t="s">
        <v>6563</v>
      </c>
      <c r="T2690" s="4" t="s">
        <v>2444</v>
      </c>
      <c r="U2690" s="4"/>
      <c r="V2690" s="4"/>
      <c r="W2690" s="5"/>
      <c r="X2690" s="4"/>
      <c r="Y2690" s="4"/>
      <c r="Z2690" s="5"/>
      <c r="AA2690" s="4"/>
      <c r="AB2690" s="4"/>
      <c r="AC2690" s="4"/>
      <c r="AD2690" s="4"/>
      <c r="AE2690" s="5"/>
      <c r="AF2690" s="5"/>
      <c r="AG2690" s="5"/>
      <c r="AH2690" s="5"/>
      <c r="AI2690" s="5"/>
      <c r="AJ2690" s="5"/>
      <c r="AK2690" s="5"/>
      <c r="AL2690" s="5"/>
    </row>
    <row r="2691">
      <c r="A2691" s="4" t="str">
        <f>VLOOKUP(L2691,payment_ids!C:D,2,FALSE)</f>
        <v>pay_HPLkGxJ8jPzmy0</v>
      </c>
      <c r="B2691" s="4"/>
      <c r="C2691" s="4" t="s">
        <v>2161</v>
      </c>
      <c r="D2691" s="4">
        <v>50073.0</v>
      </c>
      <c r="E2691" s="5"/>
      <c r="F2691" s="4">
        <v>1.0</v>
      </c>
      <c r="G2691" s="4">
        <v>799.0</v>
      </c>
      <c r="H2691" s="4"/>
      <c r="I2691" s="4">
        <v>799.0</v>
      </c>
      <c r="J2691" s="4" t="s">
        <v>6587</v>
      </c>
      <c r="K2691" s="5">
        <f>+917338785022</f>
        <v>917338785022</v>
      </c>
      <c r="L2691" s="4" t="str">
        <f t="shared" si="1"/>
        <v>rajee26@gmail.com917338785022</v>
      </c>
      <c r="M2691" s="10" t="s">
        <v>67</v>
      </c>
      <c r="N2691" s="4" t="b">
        <v>0</v>
      </c>
      <c r="O2691" s="4" t="str">
        <f>VLOOKUP(A2691,payment_ids!D:E,2,FALSE)</f>
        <v>card</v>
      </c>
      <c r="P2691" s="4" t="s">
        <v>69</v>
      </c>
      <c r="Q2691" s="4" t="s">
        <v>6588</v>
      </c>
      <c r="R2691" s="4"/>
      <c r="S2691" s="12" t="s">
        <v>6563</v>
      </c>
      <c r="T2691" s="4" t="s">
        <v>2444</v>
      </c>
      <c r="U2691" s="4"/>
      <c r="V2691" s="4"/>
      <c r="W2691" s="5"/>
      <c r="X2691" s="4"/>
      <c r="Y2691" s="4"/>
      <c r="Z2691" s="5"/>
      <c r="AA2691" s="4"/>
      <c r="AB2691" s="4"/>
      <c r="AC2691" s="4"/>
      <c r="AD2691" s="4"/>
      <c r="AE2691" s="5"/>
      <c r="AF2691" s="5"/>
      <c r="AG2691" s="5"/>
      <c r="AH2691" s="5"/>
      <c r="AI2691" s="5"/>
      <c r="AJ2691" s="5"/>
      <c r="AK2691" s="5"/>
      <c r="AL2691" s="5"/>
    </row>
    <row r="2692">
      <c r="A2692" s="4" t="str">
        <f>VLOOKUP(L2692,payment_ids!C:D,2,FALSE)</f>
        <v>pay_HEXRzJ8rJq5LDB</v>
      </c>
      <c r="B2692" s="4"/>
      <c r="C2692" s="4" t="s">
        <v>2161</v>
      </c>
      <c r="D2692" s="4">
        <v>50073.0</v>
      </c>
      <c r="E2692" s="5"/>
      <c r="F2692" s="4">
        <v>1.0</v>
      </c>
      <c r="G2692" s="4">
        <v>799.0</v>
      </c>
      <c r="H2692" s="4"/>
      <c r="I2692" s="4">
        <v>799.0</v>
      </c>
      <c r="J2692" s="4" t="s">
        <v>2380</v>
      </c>
      <c r="K2692" s="5">
        <f>+919163390973</f>
        <v>919163390973</v>
      </c>
      <c r="L2692" s="4" t="str">
        <f t="shared" si="1"/>
        <v>rini.bhowal77@gmail.com919163390973</v>
      </c>
      <c r="M2692" s="10" t="s">
        <v>67</v>
      </c>
      <c r="N2692" s="4" t="b">
        <v>0</v>
      </c>
      <c r="O2692" s="4" t="str">
        <f>VLOOKUP(A2692,payment_ids!D:E,2,FALSE)</f>
        <v>netbanking</v>
      </c>
      <c r="P2692" s="4" t="s">
        <v>69</v>
      </c>
      <c r="Q2692" s="4" t="s">
        <v>6589</v>
      </c>
      <c r="R2692" s="4"/>
      <c r="S2692" s="12" t="s">
        <v>6497</v>
      </c>
      <c r="T2692" s="4" t="s">
        <v>2444</v>
      </c>
      <c r="U2692" s="4"/>
      <c r="V2692" s="4"/>
      <c r="W2692" s="5"/>
      <c r="X2692" s="4"/>
      <c r="Y2692" s="4"/>
      <c r="Z2692" s="5"/>
      <c r="AA2692" s="4"/>
      <c r="AB2692" s="4"/>
      <c r="AC2692" s="4"/>
      <c r="AD2692" s="4"/>
      <c r="AE2692" s="5"/>
      <c r="AF2692" s="5"/>
      <c r="AG2692" s="5"/>
      <c r="AH2692" s="5"/>
      <c r="AI2692" s="5"/>
      <c r="AJ2692" s="5"/>
      <c r="AK2692" s="5"/>
      <c r="AL2692" s="5"/>
    </row>
    <row r="2693">
      <c r="A2693" s="4" t="str">
        <f>VLOOKUP(L2693,payment_ids!C:D,2,FALSE)</f>
        <v>pay_H5qCYp90bYY3IR</v>
      </c>
      <c r="B2693" s="4"/>
      <c r="C2693" s="4" t="s">
        <v>858</v>
      </c>
      <c r="D2693" s="4">
        <v>49958.0</v>
      </c>
      <c r="E2693" s="4"/>
      <c r="F2693" s="4">
        <v>3.0</v>
      </c>
      <c r="G2693" s="4">
        <v>199.0</v>
      </c>
      <c r="H2693" s="4"/>
      <c r="I2693" s="4">
        <v>199.0</v>
      </c>
      <c r="J2693" s="4" t="s">
        <v>6590</v>
      </c>
      <c r="K2693" s="6">
        <f>+917538888132</f>
        <v>917538888132</v>
      </c>
      <c r="L2693" s="4" t="str">
        <f t="shared" si="1"/>
        <v>kamaliganapathy1998@gmail.com917538888132</v>
      </c>
      <c r="M2693" s="10" t="s">
        <v>67</v>
      </c>
      <c r="N2693" s="4" t="b">
        <v>0</v>
      </c>
      <c r="O2693" s="4" t="str">
        <f>VLOOKUP(A2693,payment_ids!D:E,2,FALSE)</f>
        <v>upi</v>
      </c>
      <c r="P2693" s="4" t="s">
        <v>69</v>
      </c>
      <c r="Q2693" s="11">
        <v>44232.53958333333</v>
      </c>
      <c r="R2693" s="4"/>
      <c r="S2693" s="12" t="s">
        <v>6591</v>
      </c>
      <c r="T2693" s="4"/>
      <c r="U2693" s="4"/>
      <c r="V2693" s="4"/>
      <c r="W2693" s="5"/>
      <c r="X2693" s="4"/>
      <c r="Y2693" s="4"/>
      <c r="Z2693" s="5"/>
      <c r="AA2693" s="4"/>
      <c r="AB2693" s="4"/>
      <c r="AC2693" s="4"/>
      <c r="AD2693" s="4"/>
      <c r="AE2693" s="5"/>
      <c r="AF2693" s="5"/>
      <c r="AG2693" s="5"/>
      <c r="AH2693" s="5"/>
      <c r="AI2693" s="5"/>
      <c r="AJ2693" s="5"/>
      <c r="AK2693" s="5"/>
      <c r="AL2693" s="5"/>
    </row>
    <row r="2694">
      <c r="A2694" s="4" t="str">
        <f>VLOOKUP(L2694,payment_ids!C:D,2,FALSE)</f>
        <v>pay_HDg7UsEanfZDTI</v>
      </c>
      <c r="B2694" s="4"/>
      <c r="C2694" s="4" t="s">
        <v>6592</v>
      </c>
      <c r="D2694" s="4">
        <v>49958.0</v>
      </c>
      <c r="E2694" s="4"/>
      <c r="F2694" s="4">
        <v>3.0</v>
      </c>
      <c r="G2694" s="4">
        <v>199.0</v>
      </c>
      <c r="H2694" s="4"/>
      <c r="I2694" s="4">
        <v>199.0</v>
      </c>
      <c r="J2694" s="4" t="s">
        <v>6593</v>
      </c>
      <c r="K2694" s="6">
        <f>+918239934922</f>
        <v>918239934922</v>
      </c>
      <c r="L2694" s="4" t="str">
        <f t="shared" si="1"/>
        <v>sheel.crumpee@gmail.com918239934922</v>
      </c>
      <c r="M2694" s="10" t="s">
        <v>67</v>
      </c>
      <c r="N2694" s="4" t="b">
        <v>0</v>
      </c>
      <c r="O2694" s="4" t="str">
        <f>VLOOKUP(A2694,payment_ids!D:E,2,FALSE)</f>
        <v>upi</v>
      </c>
      <c r="P2694" s="4" t="s">
        <v>69</v>
      </c>
      <c r="Q2694" s="4" t="s">
        <v>6594</v>
      </c>
      <c r="R2694" s="4"/>
      <c r="S2694" s="12" t="s">
        <v>6591</v>
      </c>
      <c r="T2694" s="4"/>
      <c r="U2694" s="5"/>
      <c r="V2694" s="4"/>
      <c r="W2694" s="5"/>
      <c r="X2694" s="4"/>
      <c r="Y2694" s="4"/>
      <c r="Z2694" s="5"/>
      <c r="AA2694" s="5"/>
      <c r="AB2694" s="4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</row>
    <row r="2695">
      <c r="A2695" s="4" t="str">
        <f>VLOOKUP(L2695,payment_ids!C:D,2,FALSE)</f>
        <v>pay_HG0jxIrMs8AVAN</v>
      </c>
      <c r="B2695" s="4"/>
      <c r="C2695" s="4" t="s">
        <v>6595</v>
      </c>
      <c r="D2695" s="4">
        <v>49958.0</v>
      </c>
      <c r="E2695" s="5"/>
      <c r="F2695" s="4">
        <v>3.0</v>
      </c>
      <c r="G2695" s="4">
        <v>199.0</v>
      </c>
      <c r="H2695" s="4"/>
      <c r="I2695" s="4">
        <v>199.0</v>
      </c>
      <c r="J2695" s="4" t="s">
        <v>6596</v>
      </c>
      <c r="K2695" s="5">
        <f>+919707050507</f>
        <v>919707050507</v>
      </c>
      <c r="L2695" s="4" t="str">
        <f t="shared" si="1"/>
        <v>mahak_budhraja@yahoo.com919707050507</v>
      </c>
      <c r="M2695" s="10" t="s">
        <v>67</v>
      </c>
      <c r="N2695" s="4" t="b">
        <v>0</v>
      </c>
      <c r="O2695" s="4" t="str">
        <f>VLOOKUP(A2695,payment_ids!D:E,2,FALSE)</f>
        <v>upi</v>
      </c>
      <c r="P2695" s="4" t="s">
        <v>69</v>
      </c>
      <c r="Q2695" s="4" t="s">
        <v>6597</v>
      </c>
      <c r="R2695" s="4"/>
      <c r="S2695" s="12" t="s">
        <v>6591</v>
      </c>
      <c r="T2695" s="5"/>
      <c r="U2695" s="4"/>
      <c r="V2695" s="4"/>
      <c r="W2695" s="5"/>
      <c r="X2695" s="4"/>
      <c r="Y2695" s="4"/>
      <c r="Z2695" s="5"/>
      <c r="AA2695" s="4"/>
      <c r="AB2695" s="4"/>
      <c r="AC2695" s="4"/>
      <c r="AD2695" s="4"/>
      <c r="AE2695" s="5"/>
      <c r="AF2695" s="5"/>
      <c r="AG2695" s="5"/>
      <c r="AH2695" s="5"/>
      <c r="AI2695" s="5"/>
      <c r="AJ2695" s="5"/>
      <c r="AK2695" s="5"/>
      <c r="AL2695" s="5"/>
    </row>
    <row r="2696">
      <c r="A2696" s="4" t="str">
        <f>VLOOKUP(L2696,payment_ids!C:D,2,FALSE)</f>
        <v>pay_HG84zeB068yB26</v>
      </c>
      <c r="B2696" s="4"/>
      <c r="C2696" s="4" t="s">
        <v>6595</v>
      </c>
      <c r="D2696" s="4">
        <v>49958.0</v>
      </c>
      <c r="E2696" s="5"/>
      <c r="F2696" s="4">
        <v>6.0</v>
      </c>
      <c r="G2696" s="4">
        <v>349.0</v>
      </c>
      <c r="H2696" s="4"/>
      <c r="I2696" s="4">
        <v>349.0</v>
      </c>
      <c r="J2696" s="4" t="s">
        <v>6598</v>
      </c>
      <c r="K2696" s="5">
        <f>+917893470386</f>
        <v>917893470386</v>
      </c>
      <c r="L2696" s="4" t="str">
        <f t="shared" si="1"/>
        <v>gayatriramani555@gmail.com917893470386</v>
      </c>
      <c r="M2696" s="10" t="s">
        <v>67</v>
      </c>
      <c r="N2696" s="4" t="b">
        <v>0</v>
      </c>
      <c r="O2696" s="4" t="str">
        <f>VLOOKUP(A2696,payment_ids!D:E,2,FALSE)</f>
        <v>upi</v>
      </c>
      <c r="P2696" s="4" t="s">
        <v>69</v>
      </c>
      <c r="Q2696" s="4" t="s">
        <v>6599</v>
      </c>
      <c r="R2696" s="4"/>
      <c r="S2696" s="12" t="s">
        <v>6591</v>
      </c>
      <c r="T2696" s="5"/>
      <c r="U2696" s="4"/>
      <c r="V2696" s="4"/>
      <c r="W2696" s="5"/>
      <c r="X2696" s="4"/>
      <c r="Y2696" s="4"/>
      <c r="Z2696" s="5"/>
      <c r="AA2696" s="5"/>
      <c r="AB2696" s="4"/>
      <c r="AC2696" s="4"/>
      <c r="AD2696" s="4"/>
      <c r="AE2696" s="5"/>
      <c r="AF2696" s="5"/>
      <c r="AG2696" s="5"/>
      <c r="AH2696" s="5"/>
      <c r="AI2696" s="5"/>
      <c r="AJ2696" s="5"/>
      <c r="AK2696" s="5"/>
      <c r="AL2696" s="5"/>
    </row>
    <row r="2697">
      <c r="A2697" s="4" t="str">
        <f>VLOOKUP(L2697,payment_ids!C:D,2,FALSE)</f>
        <v>pay_HGC0Vaoo5JBXd2</v>
      </c>
      <c r="B2697" s="4"/>
      <c r="C2697" s="4" t="s">
        <v>6595</v>
      </c>
      <c r="D2697" s="4">
        <v>49958.0</v>
      </c>
      <c r="E2697" s="5"/>
      <c r="F2697" s="4">
        <v>3.0</v>
      </c>
      <c r="G2697" s="4">
        <v>199.0</v>
      </c>
      <c r="H2697" s="4"/>
      <c r="I2697" s="4">
        <v>199.0</v>
      </c>
      <c r="J2697" s="4" t="s">
        <v>6600</v>
      </c>
      <c r="K2697" s="5">
        <f>+919702787216</f>
        <v>919702787216</v>
      </c>
      <c r="L2697" s="4" t="str">
        <f t="shared" si="1"/>
        <v>armaanshk94@gmail.com919702787216</v>
      </c>
      <c r="M2697" s="10" t="s">
        <v>67</v>
      </c>
      <c r="N2697" s="4" t="b">
        <v>0</v>
      </c>
      <c r="O2697" s="4" t="str">
        <f>VLOOKUP(A2697,payment_ids!D:E,2,FALSE)</f>
        <v>upi</v>
      </c>
      <c r="P2697" s="4" t="s">
        <v>69</v>
      </c>
      <c r="Q2697" s="4" t="s">
        <v>6601</v>
      </c>
      <c r="R2697" s="4"/>
      <c r="S2697" s="12" t="s">
        <v>6591</v>
      </c>
      <c r="T2697" s="5"/>
      <c r="U2697" s="4"/>
      <c r="V2697" s="4"/>
      <c r="W2697" s="5"/>
      <c r="X2697" s="4"/>
      <c r="Y2697" s="4"/>
      <c r="Z2697" s="5"/>
      <c r="AA2697" s="4"/>
      <c r="AB2697" s="4"/>
      <c r="AC2697" s="4"/>
      <c r="AD2697" s="4"/>
      <c r="AE2697" s="5"/>
      <c r="AF2697" s="5"/>
      <c r="AG2697" s="5"/>
      <c r="AH2697" s="5"/>
      <c r="AI2697" s="5"/>
      <c r="AJ2697" s="5"/>
      <c r="AK2697" s="5"/>
      <c r="AL2697" s="5"/>
    </row>
    <row r="2698">
      <c r="A2698" s="4" t="str">
        <f>VLOOKUP(L2698,payment_ids!C:D,2,FALSE)</f>
        <v>pay_HGGkq4IA34LawZ</v>
      </c>
      <c r="B2698" s="4"/>
      <c r="C2698" s="4" t="s">
        <v>6595</v>
      </c>
      <c r="D2698" s="4">
        <v>49958.0</v>
      </c>
      <c r="E2698" s="5"/>
      <c r="F2698" s="4">
        <v>3.0</v>
      </c>
      <c r="G2698" s="4">
        <v>199.0</v>
      </c>
      <c r="H2698" s="4"/>
      <c r="I2698" s="4">
        <v>199.0</v>
      </c>
      <c r="J2698" s="4" t="s">
        <v>6602</v>
      </c>
      <c r="K2698" s="5">
        <f>+918904089070</f>
        <v>918904089070</v>
      </c>
      <c r="L2698" s="4" t="str">
        <f t="shared" si="1"/>
        <v>nitya.satheesh111@gmail.com918904089070</v>
      </c>
      <c r="M2698" s="10" t="s">
        <v>67</v>
      </c>
      <c r="N2698" s="4" t="b">
        <v>0</v>
      </c>
      <c r="O2698" s="4" t="str">
        <f>VLOOKUP(A2698,payment_ids!D:E,2,FALSE)</f>
        <v>upi</v>
      </c>
      <c r="P2698" s="4" t="s">
        <v>69</v>
      </c>
      <c r="Q2698" s="4" t="s">
        <v>6603</v>
      </c>
      <c r="R2698" s="4"/>
      <c r="S2698" s="12" t="s">
        <v>6591</v>
      </c>
      <c r="T2698" s="5"/>
      <c r="U2698" s="4"/>
      <c r="V2698" s="4"/>
      <c r="W2698" s="5"/>
      <c r="X2698" s="4"/>
      <c r="Y2698" s="4"/>
      <c r="Z2698" s="5"/>
      <c r="AA2698" s="5"/>
      <c r="AB2698" s="4"/>
      <c r="AC2698" s="4"/>
      <c r="AD2698" s="4"/>
      <c r="AE2698" s="5"/>
      <c r="AF2698" s="5"/>
      <c r="AG2698" s="5"/>
      <c r="AH2698" s="5"/>
      <c r="AI2698" s="5"/>
      <c r="AJ2698" s="5"/>
      <c r="AK2698" s="5"/>
      <c r="AL2698" s="5"/>
    </row>
    <row r="2699">
      <c r="A2699" s="4" t="str">
        <f>VLOOKUP(L2699,payment_ids!C:D,2,FALSE)</f>
        <v>pay_HGaL6ODhixOVS6</v>
      </c>
      <c r="B2699" s="4"/>
      <c r="C2699" s="4" t="s">
        <v>6595</v>
      </c>
      <c r="D2699" s="4">
        <v>49958.0</v>
      </c>
      <c r="E2699" s="5"/>
      <c r="F2699" s="4">
        <v>3.0</v>
      </c>
      <c r="G2699" s="4">
        <v>199.0</v>
      </c>
      <c r="H2699" s="4"/>
      <c r="I2699" s="4">
        <v>199.0</v>
      </c>
      <c r="J2699" s="4" t="s">
        <v>6604</v>
      </c>
      <c r="K2699" s="5">
        <f>+918171488542</f>
        <v>918171488542</v>
      </c>
      <c r="L2699" s="4" t="str">
        <f t="shared" si="1"/>
        <v>shubhamkothiyal73@gmail.com918171488542</v>
      </c>
      <c r="M2699" s="10" t="s">
        <v>67</v>
      </c>
      <c r="N2699" s="4" t="b">
        <v>0</v>
      </c>
      <c r="O2699" s="4" t="str">
        <f>VLOOKUP(A2699,payment_ids!D:E,2,FALSE)</f>
        <v>upi</v>
      </c>
      <c r="P2699" s="4" t="s">
        <v>69</v>
      </c>
      <c r="Q2699" s="4" t="s">
        <v>6605</v>
      </c>
      <c r="R2699" s="4"/>
      <c r="S2699" s="12" t="s">
        <v>6591</v>
      </c>
      <c r="T2699" s="5"/>
      <c r="U2699" s="4"/>
      <c r="V2699" s="4"/>
      <c r="W2699" s="5"/>
      <c r="X2699" s="4"/>
      <c r="Y2699" s="4"/>
      <c r="Z2699" s="5"/>
      <c r="AA2699" s="4"/>
      <c r="AB2699" s="4"/>
      <c r="AC2699" s="4"/>
      <c r="AD2699" s="4"/>
      <c r="AE2699" s="5"/>
      <c r="AF2699" s="5"/>
      <c r="AG2699" s="5"/>
      <c r="AH2699" s="5"/>
      <c r="AI2699" s="5"/>
      <c r="AJ2699" s="5"/>
      <c r="AK2699" s="5"/>
      <c r="AL2699" s="5"/>
    </row>
    <row r="2700">
      <c r="A2700" s="4" t="str">
        <f>VLOOKUP(L2700,payment_ids!C:D,2,FALSE)</f>
        <v>pay_HGe6ATiDpWdJKl</v>
      </c>
      <c r="B2700" s="4"/>
      <c r="C2700" s="4" t="s">
        <v>6595</v>
      </c>
      <c r="D2700" s="4">
        <v>49958.0</v>
      </c>
      <c r="E2700" s="5"/>
      <c r="F2700" s="4">
        <v>3.0</v>
      </c>
      <c r="G2700" s="4">
        <v>199.0</v>
      </c>
      <c r="H2700" s="4"/>
      <c r="I2700" s="4">
        <v>199.0</v>
      </c>
      <c r="J2700" s="4" t="s">
        <v>6606</v>
      </c>
      <c r="K2700" s="5">
        <f>+918105605756</f>
        <v>918105605756</v>
      </c>
      <c r="L2700" s="4" t="str">
        <f t="shared" si="1"/>
        <v>deepaliprabhu34@gmail.com918105605756</v>
      </c>
      <c r="M2700" s="10" t="s">
        <v>67</v>
      </c>
      <c r="N2700" s="4" t="b">
        <v>0</v>
      </c>
      <c r="O2700" s="4" t="str">
        <f>VLOOKUP(A2700,payment_ids!D:E,2,FALSE)</f>
        <v>card</v>
      </c>
      <c r="P2700" s="4" t="s">
        <v>69</v>
      </c>
      <c r="Q2700" s="4" t="s">
        <v>6607</v>
      </c>
      <c r="R2700" s="4"/>
      <c r="S2700" s="12" t="s">
        <v>6591</v>
      </c>
      <c r="T2700" s="5"/>
      <c r="U2700" s="4"/>
      <c r="V2700" s="4"/>
      <c r="W2700" s="5"/>
      <c r="X2700" s="4"/>
      <c r="Y2700" s="4"/>
      <c r="Z2700" s="5"/>
      <c r="AA2700" s="4"/>
      <c r="AB2700" s="4"/>
      <c r="AC2700" s="4"/>
      <c r="AD2700" s="4"/>
      <c r="AE2700" s="5"/>
      <c r="AF2700" s="5"/>
      <c r="AG2700" s="5"/>
      <c r="AH2700" s="5"/>
      <c r="AI2700" s="5"/>
      <c r="AJ2700" s="5"/>
      <c r="AK2700" s="5"/>
      <c r="AL2700" s="5"/>
    </row>
    <row r="2701">
      <c r="A2701" s="4" t="str">
        <f>VLOOKUP(L2701,payment_ids!C:D,2,FALSE)</f>
        <v>pay_HGpQTawc3DdTEq</v>
      </c>
      <c r="B2701" s="4"/>
      <c r="C2701" s="4" t="s">
        <v>6595</v>
      </c>
      <c r="D2701" s="4">
        <v>49958.0</v>
      </c>
      <c r="E2701" s="5"/>
      <c r="F2701" s="4">
        <v>3.0</v>
      </c>
      <c r="G2701" s="4">
        <v>199.0</v>
      </c>
      <c r="H2701" s="4"/>
      <c r="I2701" s="4">
        <v>199.0</v>
      </c>
      <c r="J2701" s="4" t="s">
        <v>6608</v>
      </c>
      <c r="K2701" s="5">
        <f>+919381178163</f>
        <v>919381178163</v>
      </c>
      <c r="L2701" s="4" t="str">
        <f t="shared" si="1"/>
        <v>lowkyabvr@gmail.com919381178163</v>
      </c>
      <c r="M2701" s="10" t="s">
        <v>67</v>
      </c>
      <c r="N2701" s="4" t="b">
        <v>0</v>
      </c>
      <c r="O2701" s="4" t="str">
        <f>VLOOKUP(A2701,payment_ids!D:E,2,FALSE)</f>
        <v>upi</v>
      </c>
      <c r="P2701" s="4" t="s">
        <v>69</v>
      </c>
      <c r="Q2701" s="4" t="s">
        <v>6609</v>
      </c>
      <c r="R2701" s="4"/>
      <c r="S2701" s="12" t="s">
        <v>6591</v>
      </c>
      <c r="T2701" s="5"/>
      <c r="U2701" s="4"/>
      <c r="V2701" s="4"/>
      <c r="W2701" s="5"/>
      <c r="X2701" s="4"/>
      <c r="Y2701" s="4"/>
      <c r="Z2701" s="5"/>
      <c r="AA2701" s="4"/>
      <c r="AB2701" s="4"/>
      <c r="AC2701" s="4"/>
      <c r="AD2701" s="4"/>
      <c r="AE2701" s="5"/>
      <c r="AF2701" s="5"/>
      <c r="AG2701" s="5"/>
      <c r="AH2701" s="5"/>
      <c r="AI2701" s="5"/>
      <c r="AJ2701" s="5"/>
      <c r="AK2701" s="5"/>
      <c r="AL2701" s="5"/>
    </row>
    <row r="2702">
      <c r="A2702" s="4" t="str">
        <f>VLOOKUP(L2702,payment_ids!C:D,2,FALSE)</f>
        <v>pay_HGst78P4SAjHLd</v>
      </c>
      <c r="B2702" s="4"/>
      <c r="C2702" s="4" t="s">
        <v>6595</v>
      </c>
      <c r="D2702" s="4">
        <v>49958.0</v>
      </c>
      <c r="E2702" s="5"/>
      <c r="F2702" s="4">
        <v>3.0</v>
      </c>
      <c r="G2702" s="4">
        <v>199.0</v>
      </c>
      <c r="H2702" s="4"/>
      <c r="I2702" s="4">
        <v>199.0</v>
      </c>
      <c r="J2702" s="4" t="s">
        <v>6610</v>
      </c>
      <c r="K2702" s="5">
        <f>+919972520716</f>
        <v>919972520716</v>
      </c>
      <c r="L2702" s="4" t="str">
        <f t="shared" si="1"/>
        <v>sunilnaidu.digital@gmail.com919972520716</v>
      </c>
      <c r="M2702" s="10" t="s">
        <v>67</v>
      </c>
      <c r="N2702" s="4" t="b">
        <v>0</v>
      </c>
      <c r="O2702" s="4" t="str">
        <f>VLOOKUP(A2702,payment_ids!D:E,2,FALSE)</f>
        <v>upi</v>
      </c>
      <c r="P2702" s="4" t="s">
        <v>69</v>
      </c>
      <c r="Q2702" s="4" t="s">
        <v>5898</v>
      </c>
      <c r="R2702" s="4"/>
      <c r="S2702" s="12" t="s">
        <v>6591</v>
      </c>
      <c r="T2702" s="5"/>
      <c r="U2702" s="4"/>
      <c r="V2702" s="4"/>
      <c r="W2702" s="5"/>
      <c r="X2702" s="4"/>
      <c r="Y2702" s="4"/>
      <c r="Z2702" s="5"/>
      <c r="AA2702" s="4"/>
      <c r="AB2702" s="4"/>
      <c r="AC2702" s="4"/>
      <c r="AD2702" s="4"/>
      <c r="AE2702" s="5"/>
      <c r="AF2702" s="5"/>
      <c r="AG2702" s="5"/>
      <c r="AH2702" s="5"/>
      <c r="AI2702" s="5"/>
      <c r="AJ2702" s="5"/>
      <c r="AK2702" s="5"/>
      <c r="AL2702" s="5"/>
    </row>
    <row r="2703">
      <c r="A2703" s="4" t="str">
        <f>VLOOKUP(L2703,payment_ids!C:D,2,FALSE)</f>
        <v>pay_HGvP8O5gMUz4V3</v>
      </c>
      <c r="B2703" s="4"/>
      <c r="C2703" s="4" t="s">
        <v>6595</v>
      </c>
      <c r="D2703" s="4">
        <v>49958.0</v>
      </c>
      <c r="E2703" s="5"/>
      <c r="F2703" s="4">
        <v>3.0</v>
      </c>
      <c r="G2703" s="4">
        <v>199.0</v>
      </c>
      <c r="H2703" s="4"/>
      <c r="I2703" s="4">
        <v>199.0</v>
      </c>
      <c r="J2703" s="4" t="s">
        <v>6611</v>
      </c>
      <c r="K2703" s="5">
        <f>+919953782400</f>
        <v>919953782400</v>
      </c>
      <c r="L2703" s="4" t="str">
        <f t="shared" si="1"/>
        <v>mamtagodigital@gmail.com919953782400</v>
      </c>
      <c r="M2703" s="10" t="s">
        <v>67</v>
      </c>
      <c r="N2703" s="4" t="b">
        <v>0</v>
      </c>
      <c r="O2703" s="4" t="str">
        <f>VLOOKUP(A2703,payment_ids!D:E,2,FALSE)</f>
        <v>card</v>
      </c>
      <c r="P2703" s="4" t="s">
        <v>69</v>
      </c>
      <c r="Q2703" s="4" t="s">
        <v>6612</v>
      </c>
      <c r="R2703" s="4"/>
      <c r="S2703" s="12" t="s">
        <v>6591</v>
      </c>
      <c r="T2703" s="5"/>
      <c r="U2703" s="4"/>
      <c r="V2703" s="4"/>
      <c r="W2703" s="5"/>
      <c r="X2703" s="4"/>
      <c r="Y2703" s="4"/>
      <c r="Z2703" s="5"/>
      <c r="AA2703" s="5"/>
      <c r="AB2703" s="4"/>
      <c r="AC2703" s="4"/>
      <c r="AD2703" s="4"/>
      <c r="AE2703" s="5"/>
      <c r="AF2703" s="5"/>
      <c r="AG2703" s="5"/>
      <c r="AH2703" s="5"/>
      <c r="AI2703" s="5"/>
      <c r="AJ2703" s="5"/>
      <c r="AK2703" s="5"/>
      <c r="AL2703" s="5"/>
    </row>
    <row r="2704">
      <c r="A2704" s="4" t="str">
        <f>VLOOKUP(L2704,payment_ids!C:D,2,FALSE)</f>
        <v>pay_HHIqYhhFLrWbM1</v>
      </c>
      <c r="B2704" s="4"/>
      <c r="C2704" s="4" t="s">
        <v>6595</v>
      </c>
      <c r="D2704" s="4">
        <v>49958.0</v>
      </c>
      <c r="E2704" s="5"/>
      <c r="F2704" s="4">
        <v>3.0</v>
      </c>
      <c r="G2704" s="4">
        <v>199.0</v>
      </c>
      <c r="H2704" s="4"/>
      <c r="I2704" s="4">
        <v>199.0</v>
      </c>
      <c r="J2704" s="4" t="s">
        <v>6613</v>
      </c>
      <c r="K2704" s="5">
        <f>+918847410224</f>
        <v>918847410224</v>
      </c>
      <c r="L2704" s="4" t="str">
        <f t="shared" si="1"/>
        <v>greatword18@gmail.com918847410224</v>
      </c>
      <c r="M2704" s="10" t="s">
        <v>67</v>
      </c>
      <c r="N2704" s="4" t="b">
        <v>0</v>
      </c>
      <c r="O2704" s="4" t="str">
        <f>VLOOKUP(A2704,payment_ids!D:E,2,FALSE)</f>
        <v>upi</v>
      </c>
      <c r="P2704" s="4" t="s">
        <v>69</v>
      </c>
      <c r="Q2704" s="4" t="s">
        <v>6614</v>
      </c>
      <c r="R2704" s="4"/>
      <c r="S2704" s="12" t="s">
        <v>6591</v>
      </c>
      <c r="T2704" s="5"/>
      <c r="U2704" s="4"/>
      <c r="V2704" s="4"/>
      <c r="W2704" s="5"/>
      <c r="X2704" s="4"/>
      <c r="Y2704" s="4"/>
      <c r="Z2704" s="5"/>
      <c r="AA2704" s="4"/>
      <c r="AB2704" s="4"/>
      <c r="AC2704" s="4"/>
      <c r="AD2704" s="4"/>
      <c r="AE2704" s="5"/>
      <c r="AF2704" s="5"/>
      <c r="AG2704" s="5"/>
      <c r="AH2704" s="5"/>
      <c r="AI2704" s="5"/>
      <c r="AJ2704" s="5"/>
      <c r="AK2704" s="5"/>
      <c r="AL2704" s="5"/>
    </row>
    <row r="2705">
      <c r="A2705" s="4" t="str">
        <f>VLOOKUP(L2705,payment_ids!C:D,2,FALSE)</f>
        <v>pay_H8FRhmUKx85pZI</v>
      </c>
      <c r="B2705" s="4"/>
      <c r="C2705" s="4" t="s">
        <v>1264</v>
      </c>
      <c r="D2705" s="4">
        <v>49994.0</v>
      </c>
      <c r="E2705" s="4"/>
      <c r="F2705" s="4">
        <v>3.0</v>
      </c>
      <c r="G2705" s="4">
        <v>199.0</v>
      </c>
      <c r="H2705" s="4"/>
      <c r="I2705" s="4">
        <v>199.0</v>
      </c>
      <c r="J2705" s="4" t="s">
        <v>4572</v>
      </c>
      <c r="K2705" s="6">
        <f>+919322798720</f>
        <v>919322798720</v>
      </c>
      <c r="L2705" s="4" t="str">
        <f t="shared" si="1"/>
        <v>guptamona911@gmail.com919322798720</v>
      </c>
      <c r="M2705" s="10" t="s">
        <v>67</v>
      </c>
      <c r="N2705" s="4" t="b">
        <v>0</v>
      </c>
      <c r="O2705" s="4" t="str">
        <f>VLOOKUP(A2705,payment_ids!D:E,2,FALSE)</f>
        <v>card</v>
      </c>
      <c r="P2705" s="4" t="s">
        <v>69</v>
      </c>
      <c r="Q2705" s="11">
        <v>44444.881944444445</v>
      </c>
      <c r="R2705" s="4"/>
      <c r="S2705" s="12" t="s">
        <v>6615</v>
      </c>
      <c r="T2705" s="4"/>
      <c r="U2705" s="4"/>
      <c r="V2705" s="4"/>
      <c r="W2705" s="5"/>
      <c r="X2705" s="4"/>
      <c r="Y2705" s="4"/>
      <c r="Z2705" s="5"/>
      <c r="AA2705" s="4"/>
      <c r="AB2705" s="4"/>
      <c r="AC2705" s="4"/>
      <c r="AD2705" s="4"/>
      <c r="AE2705" s="5"/>
      <c r="AF2705" s="5"/>
      <c r="AG2705" s="5"/>
      <c r="AH2705" s="5"/>
      <c r="AI2705" s="5"/>
      <c r="AJ2705" s="5"/>
      <c r="AK2705" s="5"/>
      <c r="AL2705" s="5"/>
    </row>
    <row r="2706">
      <c r="A2706" s="4" t="str">
        <f>VLOOKUP(L2706,payment_ids!C:D,2,FALSE)</f>
        <v>pay_H90u7YdBRZaAHq</v>
      </c>
      <c r="B2706" s="4"/>
      <c r="C2706" s="4" t="s">
        <v>1264</v>
      </c>
      <c r="D2706" s="4">
        <v>49994.0</v>
      </c>
      <c r="E2706" s="4"/>
      <c r="F2706" s="4">
        <v>3.0</v>
      </c>
      <c r="G2706" s="4">
        <v>199.0</v>
      </c>
      <c r="H2706" s="4"/>
      <c r="I2706" s="4">
        <v>199.0</v>
      </c>
      <c r="J2706" s="4" t="s">
        <v>6616</v>
      </c>
      <c r="K2706" s="6">
        <f>+918806414520</f>
        <v>918806414520</v>
      </c>
      <c r="L2706" s="4" t="str">
        <f t="shared" si="1"/>
        <v>14.priyankaghosh@gmail.com918806414520</v>
      </c>
      <c r="M2706" s="10" t="s">
        <v>67</v>
      </c>
      <c r="N2706" s="4" t="b">
        <v>0</v>
      </c>
      <c r="O2706" s="4" t="str">
        <f>VLOOKUP(A2706,payment_ids!D:E,2,FALSE)</f>
        <v>wallet</v>
      </c>
      <c r="P2706" s="4" t="s">
        <v>69</v>
      </c>
      <c r="Q2706" s="11">
        <v>44474.558333333334</v>
      </c>
      <c r="R2706" s="4"/>
      <c r="S2706" s="12" t="s">
        <v>6615</v>
      </c>
      <c r="T2706" s="4"/>
      <c r="U2706" s="4"/>
      <c r="V2706" s="4"/>
      <c r="W2706" s="5"/>
      <c r="X2706" s="4"/>
      <c r="Y2706" s="4"/>
      <c r="Z2706" s="5"/>
      <c r="AA2706" s="4"/>
      <c r="AB2706" s="4"/>
      <c r="AC2706" s="4"/>
      <c r="AD2706" s="4"/>
      <c r="AE2706" s="5"/>
      <c r="AF2706" s="5"/>
      <c r="AG2706" s="5"/>
      <c r="AH2706" s="5"/>
      <c r="AI2706" s="5"/>
      <c r="AJ2706" s="5"/>
      <c r="AK2706" s="5"/>
      <c r="AL2706" s="5"/>
    </row>
    <row r="2707">
      <c r="A2707" s="4" t="str">
        <f>VLOOKUP(L2707,payment_ids!C:D,2,FALSE)</f>
        <v>pay_H8opMjGTip44NK</v>
      </c>
      <c r="B2707" s="4"/>
      <c r="C2707" s="4" t="s">
        <v>1264</v>
      </c>
      <c r="D2707" s="4">
        <v>49994.0</v>
      </c>
      <c r="E2707" s="4"/>
      <c r="F2707" s="4">
        <v>1.0</v>
      </c>
      <c r="G2707" s="4">
        <v>99.0</v>
      </c>
      <c r="H2707" s="4"/>
      <c r="I2707" s="4">
        <v>99.0</v>
      </c>
      <c r="J2707" s="4" t="s">
        <v>6617</v>
      </c>
      <c r="K2707" s="6">
        <f>+919899916145</f>
        <v>919899916145</v>
      </c>
      <c r="L2707" s="4" t="str">
        <f t="shared" si="1"/>
        <v>simple.gp7@gmail.com919899916145</v>
      </c>
      <c r="M2707" s="10" t="s">
        <v>67</v>
      </c>
      <c r="N2707" s="4" t="b">
        <v>0</v>
      </c>
      <c r="O2707" s="4" t="str">
        <f>VLOOKUP(A2707,payment_ids!D:E,2,FALSE)</f>
        <v>upi</v>
      </c>
      <c r="P2707" s="4" t="s">
        <v>69</v>
      </c>
      <c r="Q2707" s="11">
        <v>44474.06527777778</v>
      </c>
      <c r="R2707" s="4"/>
      <c r="S2707" s="12" t="s">
        <v>6615</v>
      </c>
      <c r="T2707" s="4"/>
      <c r="U2707" s="4"/>
      <c r="V2707" s="4"/>
      <c r="W2707" s="5"/>
      <c r="X2707" s="4"/>
      <c r="Y2707" s="4"/>
      <c r="Z2707" s="5"/>
      <c r="AA2707" s="4"/>
      <c r="AB2707" s="4"/>
      <c r="AC2707" s="4"/>
      <c r="AD2707" s="4"/>
      <c r="AE2707" s="5"/>
      <c r="AF2707" s="5"/>
      <c r="AG2707" s="5"/>
      <c r="AH2707" s="5"/>
      <c r="AI2707" s="5"/>
      <c r="AJ2707" s="5"/>
      <c r="AK2707" s="5"/>
      <c r="AL2707" s="5"/>
    </row>
    <row r="2708">
      <c r="A2708" s="4" t="str">
        <f>VLOOKUP(L2708,payment_ids!C:D,2,FALSE)</f>
        <v>pay_H999EaUdeHgFYc</v>
      </c>
      <c r="B2708" s="4"/>
      <c r="C2708" s="4" t="s">
        <v>1264</v>
      </c>
      <c r="D2708" s="4">
        <v>49994.0</v>
      </c>
      <c r="E2708" s="4"/>
      <c r="F2708" s="4">
        <v>1.0</v>
      </c>
      <c r="G2708" s="4">
        <v>99.0</v>
      </c>
      <c r="H2708" s="4"/>
      <c r="I2708" s="4">
        <v>99.0</v>
      </c>
      <c r="J2708" s="4" t="s">
        <v>6618</v>
      </c>
      <c r="K2708" s="6">
        <f>+917053411349</f>
        <v>917053411349</v>
      </c>
      <c r="L2708" s="4" t="str">
        <f t="shared" si="1"/>
        <v>ravi.srivastava0307@gmail.com917053411349</v>
      </c>
      <c r="M2708" s="10" t="s">
        <v>67</v>
      </c>
      <c r="N2708" s="4" t="b">
        <v>0</v>
      </c>
      <c r="O2708" s="4" t="str">
        <f>VLOOKUP(A2708,payment_ids!D:E,2,FALSE)</f>
        <v>upi</v>
      </c>
      <c r="P2708" s="4" t="s">
        <v>69</v>
      </c>
      <c r="Q2708" s="11">
        <v>44474.893055555556</v>
      </c>
      <c r="R2708" s="4"/>
      <c r="S2708" s="12" t="s">
        <v>6615</v>
      </c>
      <c r="T2708" s="4"/>
      <c r="U2708" s="4"/>
      <c r="V2708" s="4"/>
      <c r="W2708" s="5"/>
      <c r="X2708" s="4"/>
      <c r="Y2708" s="4"/>
      <c r="Z2708" s="5"/>
      <c r="AA2708" s="5"/>
      <c r="AB2708" s="4"/>
      <c r="AC2708" s="4"/>
      <c r="AD2708" s="4"/>
      <c r="AE2708" s="5"/>
      <c r="AF2708" s="5"/>
      <c r="AG2708" s="5"/>
      <c r="AH2708" s="5"/>
      <c r="AI2708" s="5"/>
      <c r="AJ2708" s="5"/>
      <c r="AK2708" s="5"/>
      <c r="AL2708" s="5"/>
    </row>
    <row r="2709">
      <c r="A2709" s="4" t="str">
        <f>VLOOKUP(L2709,payment_ids!C:D,2,FALSE)</f>
        <v>pay_HDt2SkNRoPXfGr</v>
      </c>
      <c r="B2709" s="4"/>
      <c r="C2709" s="4" t="s">
        <v>1264</v>
      </c>
      <c r="D2709" s="4">
        <v>49994.0</v>
      </c>
      <c r="E2709" s="4"/>
      <c r="F2709" s="4">
        <v>1.0</v>
      </c>
      <c r="G2709" s="4">
        <v>99.0</v>
      </c>
      <c r="H2709" s="4"/>
      <c r="I2709" s="4">
        <v>99.0</v>
      </c>
      <c r="J2709" s="4" t="s">
        <v>6619</v>
      </c>
      <c r="K2709" s="6">
        <f>+919886441771</f>
        <v>919886441771</v>
      </c>
      <c r="L2709" s="4" t="str">
        <f t="shared" si="1"/>
        <v>munz_99@yahoo.com919886441771</v>
      </c>
      <c r="M2709" s="10" t="s">
        <v>67</v>
      </c>
      <c r="N2709" s="4" t="b">
        <v>0</v>
      </c>
      <c r="O2709" s="4" t="str">
        <f>VLOOKUP(A2709,payment_ids!D:E,2,FALSE)</f>
        <v>card</v>
      </c>
      <c r="P2709" s="4" t="s">
        <v>69</v>
      </c>
      <c r="Q2709" s="4" t="s">
        <v>6620</v>
      </c>
      <c r="R2709" s="4"/>
      <c r="S2709" s="12" t="s">
        <v>6615</v>
      </c>
      <c r="T2709" s="4"/>
      <c r="U2709" s="4"/>
      <c r="V2709" s="4"/>
      <c r="W2709" s="5"/>
      <c r="X2709" s="4"/>
      <c r="Y2709" s="4"/>
      <c r="Z2709" s="5"/>
      <c r="AA2709" s="4"/>
      <c r="AB2709" s="4"/>
      <c r="AC2709" s="4"/>
      <c r="AD2709" s="4"/>
      <c r="AE2709" s="5"/>
      <c r="AF2709" s="5"/>
      <c r="AG2709" s="5"/>
      <c r="AH2709" s="5"/>
      <c r="AI2709" s="5"/>
      <c r="AJ2709" s="5"/>
      <c r="AK2709" s="5"/>
      <c r="AL2709" s="5"/>
    </row>
    <row r="2710">
      <c r="A2710" s="4" t="str">
        <f>VLOOKUP(L2710,payment_ids!C:D,2,FALSE)</f>
        <v>pay_HEEH7vzZAaWWRQ</v>
      </c>
      <c r="B2710" s="4"/>
      <c r="C2710" s="4" t="s">
        <v>1264</v>
      </c>
      <c r="D2710" s="4">
        <v>49994.0</v>
      </c>
      <c r="E2710" s="4"/>
      <c r="F2710" s="4">
        <v>1.0</v>
      </c>
      <c r="G2710" s="4">
        <v>99.0</v>
      </c>
      <c r="H2710" s="4"/>
      <c r="I2710" s="4">
        <v>99.0</v>
      </c>
      <c r="J2710" s="4" t="s">
        <v>6621</v>
      </c>
      <c r="K2710" s="6">
        <f>+919049680756</f>
        <v>919049680756</v>
      </c>
      <c r="L2710" s="4" t="str">
        <f t="shared" si="1"/>
        <v>aditeeshedge@gmail.com919049680756</v>
      </c>
      <c r="M2710" s="10" t="s">
        <v>67</v>
      </c>
      <c r="N2710" s="4" t="b">
        <v>0</v>
      </c>
      <c r="O2710" s="4" t="str">
        <f>VLOOKUP(A2710,payment_ids!D:E,2,FALSE)</f>
        <v>card</v>
      </c>
      <c r="P2710" s="4" t="s">
        <v>69</v>
      </c>
      <c r="Q2710" s="4" t="s">
        <v>6622</v>
      </c>
      <c r="R2710" s="4"/>
      <c r="S2710" s="12" t="s">
        <v>6615</v>
      </c>
      <c r="T2710" s="4"/>
      <c r="U2710" s="4"/>
      <c r="V2710" s="4"/>
      <c r="W2710" s="5"/>
      <c r="X2710" s="4"/>
      <c r="Y2710" s="4"/>
      <c r="Z2710" s="5"/>
      <c r="AA2710" s="4"/>
      <c r="AB2710" s="4"/>
      <c r="AC2710" s="4"/>
      <c r="AD2710" s="4"/>
      <c r="AE2710" s="5"/>
      <c r="AF2710" s="5"/>
      <c r="AG2710" s="5"/>
      <c r="AH2710" s="5"/>
      <c r="AI2710" s="5"/>
      <c r="AJ2710" s="5"/>
      <c r="AK2710" s="5"/>
      <c r="AL2710" s="5"/>
    </row>
    <row r="2711">
      <c r="A2711" s="4" t="str">
        <f>VLOOKUP(L2711,payment_ids!C:D,2,FALSE)</f>
        <v>pay_HEl8CAjwo2TbjK</v>
      </c>
      <c r="B2711" s="4"/>
      <c r="C2711" s="4" t="s">
        <v>1264</v>
      </c>
      <c r="D2711" s="4">
        <v>49994.0</v>
      </c>
      <c r="E2711" s="4"/>
      <c r="F2711" s="4">
        <v>1.0</v>
      </c>
      <c r="G2711" s="4">
        <v>99.0</v>
      </c>
      <c r="H2711" s="4"/>
      <c r="I2711" s="4">
        <v>99.0</v>
      </c>
      <c r="J2711" s="4" t="s">
        <v>6623</v>
      </c>
      <c r="K2711" s="6">
        <f>+917356315504</f>
        <v>917356315504</v>
      </c>
      <c r="L2711" s="4" t="str">
        <f t="shared" si="1"/>
        <v>aleenamirium997@gmail.com917356315504</v>
      </c>
      <c r="M2711" s="10" t="s">
        <v>67</v>
      </c>
      <c r="N2711" s="4" t="b">
        <v>0</v>
      </c>
      <c r="O2711" s="4" t="str">
        <f>VLOOKUP(A2711,payment_ids!D:E,2,FALSE)</f>
        <v>upi</v>
      </c>
      <c r="P2711" s="4" t="s">
        <v>69</v>
      </c>
      <c r="Q2711" s="4" t="s">
        <v>6624</v>
      </c>
      <c r="R2711" s="4"/>
      <c r="S2711" s="12" t="s">
        <v>6615</v>
      </c>
      <c r="T2711" s="4"/>
      <c r="U2711" s="4"/>
      <c r="V2711" s="4"/>
      <c r="W2711" s="5"/>
      <c r="X2711" s="4"/>
      <c r="Y2711" s="4"/>
      <c r="Z2711" s="5"/>
      <c r="AA2711" s="4"/>
      <c r="AB2711" s="4"/>
      <c r="AC2711" s="4"/>
      <c r="AD2711" s="4"/>
      <c r="AE2711" s="5"/>
      <c r="AF2711" s="5"/>
      <c r="AG2711" s="5"/>
      <c r="AH2711" s="5"/>
      <c r="AI2711" s="5"/>
      <c r="AJ2711" s="5"/>
      <c r="AK2711" s="5"/>
      <c r="AL2711" s="5"/>
    </row>
    <row r="2712">
      <c r="A2712" s="4" t="str">
        <f>VLOOKUP(L2712,payment_ids!C:D,2,FALSE)</f>
        <v>pay_HFJl5tV3xQWFXU</v>
      </c>
      <c r="B2712" s="4"/>
      <c r="C2712" s="4" t="s">
        <v>1264</v>
      </c>
      <c r="D2712" s="4">
        <v>49994.0</v>
      </c>
      <c r="E2712" s="5"/>
      <c r="F2712" s="4">
        <v>1.0</v>
      </c>
      <c r="G2712" s="4">
        <v>99.0</v>
      </c>
      <c r="H2712" s="4"/>
      <c r="I2712" s="4">
        <v>99.0</v>
      </c>
      <c r="J2712" s="4" t="s">
        <v>6625</v>
      </c>
      <c r="K2712" s="5">
        <f>+919490119679</f>
        <v>919490119679</v>
      </c>
      <c r="L2712" s="4" t="str">
        <f t="shared" si="1"/>
        <v>kavyasruthi464@gmail.com919490119679</v>
      </c>
      <c r="M2712" s="10" t="s">
        <v>67</v>
      </c>
      <c r="N2712" s="4" t="b">
        <v>0</v>
      </c>
      <c r="O2712" s="4" t="str">
        <f>VLOOKUP(A2712,payment_ids!D:E,2,FALSE)</f>
        <v>upi</v>
      </c>
      <c r="P2712" s="4" t="s">
        <v>69</v>
      </c>
      <c r="Q2712" s="4" t="s">
        <v>4401</v>
      </c>
      <c r="R2712" s="4"/>
      <c r="S2712" s="12" t="s">
        <v>6615</v>
      </c>
      <c r="T2712" s="5"/>
      <c r="U2712" s="4"/>
      <c r="V2712" s="4"/>
      <c r="W2712" s="5"/>
      <c r="X2712" s="4"/>
      <c r="Y2712" s="4"/>
      <c r="Z2712" s="5"/>
      <c r="AA2712" s="4"/>
      <c r="AB2712" s="4"/>
      <c r="AC2712" s="4"/>
      <c r="AD2712" s="4"/>
      <c r="AE2712" s="5"/>
      <c r="AF2712" s="5"/>
      <c r="AG2712" s="5"/>
      <c r="AH2712" s="5"/>
      <c r="AI2712" s="5"/>
      <c r="AJ2712" s="5"/>
      <c r="AK2712" s="5"/>
      <c r="AL2712" s="5"/>
    </row>
    <row r="2713">
      <c r="A2713" s="4" t="str">
        <f>VLOOKUP(L2713,payment_ids!C:D,2,FALSE)</f>
        <v>pay_HG3ijSIHyz46LW</v>
      </c>
      <c r="B2713" s="4"/>
      <c r="C2713" s="4" t="s">
        <v>1264</v>
      </c>
      <c r="D2713" s="4">
        <v>49994.0</v>
      </c>
      <c r="E2713" s="5"/>
      <c r="F2713" s="4">
        <v>1.0</v>
      </c>
      <c r="G2713" s="4">
        <v>99.0</v>
      </c>
      <c r="H2713" s="4"/>
      <c r="I2713" s="4">
        <v>99.0</v>
      </c>
      <c r="J2713" s="4" t="s">
        <v>6626</v>
      </c>
      <c r="K2713" s="5">
        <f>+917016536744</f>
        <v>917016536744</v>
      </c>
      <c r="L2713" s="4" t="str">
        <f t="shared" si="1"/>
        <v>badalram378@gmail.com917016536744</v>
      </c>
      <c r="M2713" s="10" t="s">
        <v>67</v>
      </c>
      <c r="N2713" s="4" t="b">
        <v>0</v>
      </c>
      <c r="O2713" s="4" t="str">
        <f>VLOOKUP(A2713,payment_ids!D:E,2,FALSE)</f>
        <v>upi</v>
      </c>
      <c r="P2713" s="4" t="s">
        <v>69</v>
      </c>
      <c r="Q2713" s="4" t="s">
        <v>6627</v>
      </c>
      <c r="R2713" s="4"/>
      <c r="S2713" s="12" t="s">
        <v>6615</v>
      </c>
      <c r="T2713" s="5"/>
      <c r="U2713" s="4"/>
      <c r="V2713" s="4"/>
      <c r="W2713" s="5"/>
      <c r="X2713" s="4"/>
      <c r="Y2713" s="4"/>
      <c r="Z2713" s="5"/>
      <c r="AA2713" s="4"/>
      <c r="AB2713" s="4"/>
      <c r="AC2713" s="4"/>
      <c r="AD2713" s="4"/>
      <c r="AE2713" s="5"/>
      <c r="AF2713" s="5"/>
      <c r="AG2713" s="5"/>
      <c r="AH2713" s="5"/>
      <c r="AI2713" s="5"/>
      <c r="AJ2713" s="5"/>
      <c r="AK2713" s="5"/>
      <c r="AL2713" s="5"/>
    </row>
    <row r="2714">
      <c r="A2714" s="4" t="str">
        <f>VLOOKUP(L2714,payment_ids!C:D,2,FALSE)</f>
        <v>pay_HGdHBMWZyKX5bQ</v>
      </c>
      <c r="B2714" s="4"/>
      <c r="C2714" s="4" t="s">
        <v>1264</v>
      </c>
      <c r="D2714" s="4">
        <v>49994.0</v>
      </c>
      <c r="E2714" s="5"/>
      <c r="F2714" s="4">
        <v>1.0</v>
      </c>
      <c r="G2714" s="4">
        <v>99.0</v>
      </c>
      <c r="H2714" s="4"/>
      <c r="I2714" s="4">
        <v>99.0</v>
      </c>
      <c r="J2714" s="4" t="s">
        <v>6628</v>
      </c>
      <c r="K2714" s="5">
        <f>+919600016696</f>
        <v>919600016696</v>
      </c>
      <c r="L2714" s="4" t="str">
        <f t="shared" si="1"/>
        <v>krubanandan@gmail.com919600016696</v>
      </c>
      <c r="M2714" s="10" t="s">
        <v>67</v>
      </c>
      <c r="N2714" s="4" t="b">
        <v>0</v>
      </c>
      <c r="O2714" s="4" t="str">
        <f>VLOOKUP(A2714,payment_ids!D:E,2,FALSE)</f>
        <v>card</v>
      </c>
      <c r="P2714" s="4" t="s">
        <v>69</v>
      </c>
      <c r="Q2714" s="4" t="s">
        <v>6629</v>
      </c>
      <c r="R2714" s="4"/>
      <c r="S2714" s="12" t="s">
        <v>6615</v>
      </c>
      <c r="T2714" s="5"/>
      <c r="U2714" s="4"/>
      <c r="V2714" s="4"/>
      <c r="W2714" s="5"/>
      <c r="X2714" s="4"/>
      <c r="Y2714" s="4"/>
      <c r="Z2714" s="5"/>
      <c r="AA2714" s="4"/>
      <c r="AB2714" s="4"/>
      <c r="AC2714" s="4"/>
      <c r="AD2714" s="4"/>
      <c r="AE2714" s="5"/>
      <c r="AF2714" s="5"/>
      <c r="AG2714" s="5"/>
      <c r="AH2714" s="5"/>
      <c r="AI2714" s="5"/>
      <c r="AJ2714" s="5"/>
      <c r="AK2714" s="5"/>
      <c r="AL2714" s="5"/>
    </row>
    <row r="2715">
      <c r="A2715" s="4" t="str">
        <f>VLOOKUP(L2715,payment_ids!C:D,2,FALSE)</f>
        <v>pay_HGdKq9grpNxWuO</v>
      </c>
      <c r="B2715" s="4"/>
      <c r="C2715" s="4" t="s">
        <v>1264</v>
      </c>
      <c r="D2715" s="4">
        <v>49994.0</v>
      </c>
      <c r="E2715" s="5"/>
      <c r="F2715" s="4">
        <v>1.0</v>
      </c>
      <c r="G2715" s="4">
        <v>99.0</v>
      </c>
      <c r="H2715" s="4"/>
      <c r="I2715" s="4">
        <v>99.0</v>
      </c>
      <c r="J2715" s="4" t="s">
        <v>6630</v>
      </c>
      <c r="K2715" s="5">
        <f>+919008732301</f>
        <v>919008732301</v>
      </c>
      <c r="L2715" s="4" t="str">
        <f t="shared" si="1"/>
        <v>siddhu68@yahoo.com919008732301</v>
      </c>
      <c r="M2715" s="10" t="s">
        <v>67</v>
      </c>
      <c r="N2715" s="4" t="b">
        <v>0</v>
      </c>
      <c r="O2715" s="4" t="str">
        <f>VLOOKUP(A2715,payment_ids!D:E,2,FALSE)</f>
        <v>wallet</v>
      </c>
      <c r="P2715" s="4" t="s">
        <v>69</v>
      </c>
      <c r="Q2715" s="4" t="s">
        <v>6631</v>
      </c>
      <c r="R2715" s="4"/>
      <c r="S2715" s="12" t="s">
        <v>6615</v>
      </c>
      <c r="T2715" s="5"/>
      <c r="U2715" s="4"/>
      <c r="V2715" s="4"/>
      <c r="W2715" s="5"/>
      <c r="X2715" s="4"/>
      <c r="Y2715" s="4"/>
      <c r="Z2715" s="5"/>
      <c r="AA2715" s="4"/>
      <c r="AB2715" s="4"/>
      <c r="AC2715" s="4"/>
      <c r="AD2715" s="4"/>
      <c r="AE2715" s="5"/>
      <c r="AF2715" s="5"/>
      <c r="AG2715" s="5"/>
      <c r="AH2715" s="5"/>
      <c r="AI2715" s="5"/>
      <c r="AJ2715" s="5"/>
      <c r="AK2715" s="5"/>
      <c r="AL2715" s="5"/>
    </row>
    <row r="2716">
      <c r="A2716" s="4" t="str">
        <f>VLOOKUP(L2716,payment_ids!C:D,2,FALSE)</f>
        <v>pay_HGukWkKLjyDCWq</v>
      </c>
      <c r="B2716" s="4"/>
      <c r="C2716" s="4" t="s">
        <v>1264</v>
      </c>
      <c r="D2716" s="4">
        <v>49994.0</v>
      </c>
      <c r="E2716" s="5"/>
      <c r="F2716" s="4">
        <v>1.0</v>
      </c>
      <c r="G2716" s="4">
        <v>99.0</v>
      </c>
      <c r="H2716" s="4"/>
      <c r="I2716" s="4">
        <v>99.0</v>
      </c>
      <c r="J2716" s="4" t="s">
        <v>6632</v>
      </c>
      <c r="K2716" s="5">
        <f>+919911961961</f>
        <v>919911961961</v>
      </c>
      <c r="L2716" s="4" t="str">
        <f t="shared" si="1"/>
        <v>lalitkdhingrag394@gmail.com919911961961</v>
      </c>
      <c r="M2716" s="10" t="s">
        <v>67</v>
      </c>
      <c r="N2716" s="4" t="b">
        <v>0</v>
      </c>
      <c r="O2716" s="4" t="str">
        <f>VLOOKUP(A2716,payment_ids!D:E,2,FALSE)</f>
        <v>wallet</v>
      </c>
      <c r="P2716" s="4" t="s">
        <v>69</v>
      </c>
      <c r="Q2716" s="4" t="s">
        <v>6633</v>
      </c>
      <c r="R2716" s="4"/>
      <c r="S2716" s="12" t="s">
        <v>6615</v>
      </c>
      <c r="T2716" s="5"/>
      <c r="U2716" s="4"/>
      <c r="V2716" s="4"/>
      <c r="W2716" s="5"/>
      <c r="X2716" s="4"/>
      <c r="Y2716" s="4"/>
      <c r="Z2716" s="5"/>
      <c r="AA2716" s="4"/>
      <c r="AB2716" s="4"/>
      <c r="AC2716" s="4"/>
      <c r="AD2716" s="4"/>
      <c r="AE2716" s="5"/>
      <c r="AF2716" s="5"/>
      <c r="AG2716" s="5"/>
      <c r="AH2716" s="5"/>
      <c r="AI2716" s="5"/>
      <c r="AJ2716" s="5"/>
      <c r="AK2716" s="5"/>
      <c r="AL2716" s="5"/>
    </row>
    <row r="2717">
      <c r="A2717" s="4" t="str">
        <f>VLOOKUP(L2717,payment_ids!C:D,2,FALSE)</f>
        <v>pay_HGvkz5jbN8inZh</v>
      </c>
      <c r="B2717" s="4"/>
      <c r="C2717" s="4" t="s">
        <v>1264</v>
      </c>
      <c r="D2717" s="4">
        <v>49994.0</v>
      </c>
      <c r="E2717" s="5"/>
      <c r="F2717" s="4">
        <v>1.0</v>
      </c>
      <c r="G2717" s="4">
        <v>99.0</v>
      </c>
      <c r="H2717" s="4"/>
      <c r="I2717" s="4">
        <v>99.0</v>
      </c>
      <c r="J2717" s="4" t="s">
        <v>6634</v>
      </c>
      <c r="K2717" s="5">
        <f>+919096681194</f>
        <v>919096681194</v>
      </c>
      <c r="L2717" s="4" t="str">
        <f t="shared" si="1"/>
        <v>shraddha.ish@gmail.com919096681194</v>
      </c>
      <c r="M2717" s="10" t="s">
        <v>67</v>
      </c>
      <c r="N2717" s="4" t="b">
        <v>0</v>
      </c>
      <c r="O2717" s="4" t="str">
        <f>VLOOKUP(A2717,payment_ids!D:E,2,FALSE)</f>
        <v>upi</v>
      </c>
      <c r="P2717" s="4" t="s">
        <v>69</v>
      </c>
      <c r="Q2717" s="4" t="s">
        <v>6635</v>
      </c>
      <c r="R2717" s="4"/>
      <c r="S2717" s="12" t="s">
        <v>6615</v>
      </c>
      <c r="T2717" s="5"/>
      <c r="U2717" s="4"/>
      <c r="V2717" s="4"/>
      <c r="W2717" s="5"/>
      <c r="X2717" s="4"/>
      <c r="Y2717" s="4"/>
      <c r="Z2717" s="5"/>
      <c r="AA2717" s="4"/>
      <c r="AB2717" s="4"/>
      <c r="AC2717" s="4"/>
      <c r="AD2717" s="4"/>
      <c r="AE2717" s="5"/>
      <c r="AF2717" s="5"/>
      <c r="AG2717" s="5"/>
      <c r="AH2717" s="5"/>
      <c r="AI2717" s="5"/>
      <c r="AJ2717" s="5"/>
      <c r="AK2717" s="5"/>
      <c r="AL2717" s="5"/>
    </row>
    <row r="2718">
      <c r="A2718" s="4" t="str">
        <f>VLOOKUP(L2718,payment_ids!C:D,2,FALSE)</f>
        <v>pay_HH2IO1x2QHp80Z</v>
      </c>
      <c r="B2718" s="4"/>
      <c r="C2718" s="4" t="s">
        <v>1264</v>
      </c>
      <c r="D2718" s="4">
        <v>49994.0</v>
      </c>
      <c r="E2718" s="5"/>
      <c r="F2718" s="4">
        <v>3.0</v>
      </c>
      <c r="G2718" s="4">
        <v>199.0</v>
      </c>
      <c r="H2718" s="4"/>
      <c r="I2718" s="4">
        <v>199.0</v>
      </c>
      <c r="J2718" s="4" t="s">
        <v>6636</v>
      </c>
      <c r="K2718" s="5">
        <f>+917736327966</f>
        <v>917736327966</v>
      </c>
      <c r="L2718" s="4" t="str">
        <f t="shared" si="1"/>
        <v>renjitharajeev@gmail.com917736327966</v>
      </c>
      <c r="M2718" s="10" t="s">
        <v>67</v>
      </c>
      <c r="N2718" s="4" t="b">
        <v>0</v>
      </c>
      <c r="O2718" s="4" t="str">
        <f>VLOOKUP(A2718,payment_ids!D:E,2,FALSE)</f>
        <v>wallet</v>
      </c>
      <c r="P2718" s="4" t="s">
        <v>69</v>
      </c>
      <c r="Q2718" s="4" t="s">
        <v>6637</v>
      </c>
      <c r="R2718" s="4"/>
      <c r="S2718" s="12" t="s">
        <v>6615</v>
      </c>
      <c r="T2718" s="5"/>
      <c r="U2718" s="4"/>
      <c r="V2718" s="4"/>
      <c r="W2718" s="5"/>
      <c r="X2718" s="4"/>
      <c r="Y2718" s="4"/>
      <c r="Z2718" s="5"/>
      <c r="AA2718" s="4"/>
      <c r="AB2718" s="4"/>
      <c r="AC2718" s="4"/>
      <c r="AD2718" s="4"/>
      <c r="AE2718" s="5"/>
      <c r="AF2718" s="5"/>
      <c r="AG2718" s="5"/>
      <c r="AH2718" s="5"/>
      <c r="AI2718" s="5"/>
      <c r="AJ2718" s="5"/>
      <c r="AK2718" s="5"/>
      <c r="AL2718" s="5"/>
    </row>
    <row r="2719">
      <c r="A2719" s="4" t="str">
        <f>VLOOKUP(L2719,payment_ids!C:D,2,FALSE)</f>
        <v>pay_HH50Y7NKQuLdV2</v>
      </c>
      <c r="B2719" s="4"/>
      <c r="C2719" s="4" t="s">
        <v>1264</v>
      </c>
      <c r="D2719" s="4">
        <v>49994.0</v>
      </c>
      <c r="E2719" s="5"/>
      <c r="F2719" s="4">
        <v>1.0</v>
      </c>
      <c r="G2719" s="4">
        <v>99.0</v>
      </c>
      <c r="H2719" s="4"/>
      <c r="I2719" s="4">
        <v>99.0</v>
      </c>
      <c r="J2719" s="4" t="s">
        <v>6638</v>
      </c>
      <c r="K2719" s="5">
        <f>+918867533114</f>
        <v>918867533114</v>
      </c>
      <c r="L2719" s="4" t="str">
        <f t="shared" si="1"/>
        <v>minisha.shinde@gmail.com918867533114</v>
      </c>
      <c r="M2719" s="10" t="s">
        <v>67</v>
      </c>
      <c r="N2719" s="4" t="b">
        <v>0</v>
      </c>
      <c r="O2719" s="4" t="str">
        <f>VLOOKUP(A2719,payment_ids!D:E,2,FALSE)</f>
        <v>card</v>
      </c>
      <c r="P2719" s="4" t="s">
        <v>69</v>
      </c>
      <c r="Q2719" s="4" t="s">
        <v>6639</v>
      </c>
      <c r="R2719" s="4"/>
      <c r="S2719" s="12" t="s">
        <v>6615</v>
      </c>
      <c r="T2719" s="5"/>
      <c r="U2719" s="4"/>
      <c r="V2719" s="4"/>
      <c r="W2719" s="5"/>
      <c r="X2719" s="4"/>
      <c r="Y2719" s="4"/>
      <c r="Z2719" s="5"/>
      <c r="AA2719" s="4"/>
      <c r="AB2719" s="4"/>
      <c r="AC2719" s="4"/>
      <c r="AD2719" s="4"/>
      <c r="AE2719" s="5"/>
      <c r="AF2719" s="5"/>
      <c r="AG2719" s="5"/>
      <c r="AH2719" s="5"/>
      <c r="AI2719" s="5"/>
      <c r="AJ2719" s="5"/>
      <c r="AK2719" s="5"/>
      <c r="AL2719" s="5"/>
    </row>
    <row r="2720">
      <c r="A2720" s="4" t="str">
        <f>VLOOKUP(L2720,payment_ids!C:D,2,FALSE)</f>
        <v>pay_HHM8sCXsfEQr9p</v>
      </c>
      <c r="B2720" s="4"/>
      <c r="C2720" s="4" t="s">
        <v>1264</v>
      </c>
      <c r="D2720" s="4">
        <v>49994.0</v>
      </c>
      <c r="E2720" s="5"/>
      <c r="F2720" s="4">
        <v>1.0</v>
      </c>
      <c r="G2720" s="4">
        <v>99.0</v>
      </c>
      <c r="H2720" s="4"/>
      <c r="I2720" s="4">
        <v>99.0</v>
      </c>
      <c r="J2720" s="4" t="s">
        <v>6640</v>
      </c>
      <c r="K2720" s="5">
        <f>+919840536912</f>
        <v>919840536912</v>
      </c>
      <c r="L2720" s="4" t="str">
        <f t="shared" si="1"/>
        <v>anumaria@gmail.com919840536912</v>
      </c>
      <c r="M2720" s="10" t="s">
        <v>67</v>
      </c>
      <c r="N2720" s="4" t="b">
        <v>0</v>
      </c>
      <c r="O2720" s="4" t="str">
        <f>VLOOKUP(A2720,payment_ids!D:E,2,FALSE)</f>
        <v>upi</v>
      </c>
      <c r="P2720" s="4" t="s">
        <v>69</v>
      </c>
      <c r="Q2720" s="4" t="s">
        <v>6641</v>
      </c>
      <c r="R2720" s="4"/>
      <c r="S2720" s="12" t="s">
        <v>6615</v>
      </c>
      <c r="T2720" s="5"/>
      <c r="U2720" s="4"/>
      <c r="V2720" s="4"/>
      <c r="W2720" s="5"/>
      <c r="X2720" s="4"/>
      <c r="Y2720" s="4"/>
      <c r="Z2720" s="5"/>
      <c r="AA2720" s="4"/>
      <c r="AB2720" s="4"/>
      <c r="AC2720" s="4"/>
      <c r="AD2720" s="4"/>
      <c r="AE2720" s="5"/>
      <c r="AF2720" s="5"/>
      <c r="AG2720" s="5"/>
      <c r="AH2720" s="5"/>
      <c r="AI2720" s="5"/>
      <c r="AJ2720" s="5"/>
      <c r="AK2720" s="5"/>
      <c r="AL2720" s="5"/>
    </row>
    <row r="2721">
      <c r="A2721" s="4" t="str">
        <f>VLOOKUP(L2721,payment_ids!C:D,2,FALSE)</f>
        <v>pay_HHPTE38YoSYw8C</v>
      </c>
      <c r="B2721" s="4"/>
      <c r="C2721" s="4" t="s">
        <v>1264</v>
      </c>
      <c r="D2721" s="4">
        <v>49994.0</v>
      </c>
      <c r="E2721" s="5"/>
      <c r="F2721" s="4">
        <v>1.0</v>
      </c>
      <c r="G2721" s="4">
        <v>99.0</v>
      </c>
      <c r="H2721" s="4"/>
      <c r="I2721" s="4">
        <v>99.0</v>
      </c>
      <c r="J2721" s="4" t="s">
        <v>6642</v>
      </c>
      <c r="K2721" s="5">
        <f>+918328179113</f>
        <v>918328179113</v>
      </c>
      <c r="L2721" s="4" t="str">
        <f t="shared" si="1"/>
        <v>nikhithakrishna22@gmail.com918328179113</v>
      </c>
      <c r="M2721" s="10" t="s">
        <v>67</v>
      </c>
      <c r="N2721" s="4" t="b">
        <v>0</v>
      </c>
      <c r="O2721" s="4" t="str">
        <f>VLOOKUP(A2721,payment_ids!D:E,2,FALSE)</f>
        <v>upi</v>
      </c>
      <c r="P2721" s="4" t="s">
        <v>69</v>
      </c>
      <c r="Q2721" s="4" t="s">
        <v>6643</v>
      </c>
      <c r="R2721" s="4"/>
      <c r="S2721" s="12" t="s">
        <v>6615</v>
      </c>
      <c r="T2721" s="5"/>
      <c r="U2721" s="4"/>
      <c r="V2721" s="4"/>
      <c r="W2721" s="5"/>
      <c r="X2721" s="4"/>
      <c r="Y2721" s="4"/>
      <c r="Z2721" s="5"/>
      <c r="AA2721" s="4"/>
      <c r="AB2721" s="4"/>
      <c r="AC2721" s="4"/>
      <c r="AD2721" s="4"/>
      <c r="AE2721" s="5"/>
      <c r="AF2721" s="5"/>
      <c r="AG2721" s="5"/>
      <c r="AH2721" s="5"/>
      <c r="AI2721" s="5"/>
      <c r="AJ2721" s="5"/>
      <c r="AK2721" s="5"/>
      <c r="AL2721" s="5"/>
    </row>
    <row r="2722">
      <c r="A2722" s="4" t="str">
        <f>VLOOKUP(L2722,payment_ids!C:D,2,FALSE)</f>
        <v>pay_HHSY17q7smRl9E</v>
      </c>
      <c r="B2722" s="4"/>
      <c r="C2722" s="4" t="s">
        <v>1264</v>
      </c>
      <c r="D2722" s="4">
        <v>49994.0</v>
      </c>
      <c r="E2722" s="5"/>
      <c r="F2722" s="4">
        <v>1.0</v>
      </c>
      <c r="G2722" s="4">
        <v>99.0</v>
      </c>
      <c r="H2722" s="4"/>
      <c r="I2722" s="4">
        <v>99.0</v>
      </c>
      <c r="J2722" s="4" t="s">
        <v>6644</v>
      </c>
      <c r="K2722" s="5">
        <f>+917224933556</f>
        <v>917224933556</v>
      </c>
      <c r="L2722" s="4" t="str">
        <f t="shared" si="1"/>
        <v>shrink.44@gmail.com917224933556</v>
      </c>
      <c r="M2722" s="10" t="s">
        <v>67</v>
      </c>
      <c r="N2722" s="4" t="b">
        <v>0</v>
      </c>
      <c r="O2722" s="4" t="str">
        <f>VLOOKUP(A2722,payment_ids!D:E,2,FALSE)</f>
        <v>upi</v>
      </c>
      <c r="P2722" s="4" t="s">
        <v>69</v>
      </c>
      <c r="Q2722" s="4" t="s">
        <v>6645</v>
      </c>
      <c r="R2722" s="4"/>
      <c r="S2722" s="12" t="s">
        <v>6615</v>
      </c>
      <c r="T2722" s="5"/>
      <c r="U2722" s="4"/>
      <c r="V2722" s="4"/>
      <c r="W2722" s="5"/>
      <c r="X2722" s="4"/>
      <c r="Y2722" s="4"/>
      <c r="Z2722" s="5"/>
      <c r="AA2722" s="4"/>
      <c r="AB2722" s="4"/>
      <c r="AC2722" s="4"/>
      <c r="AD2722" s="4"/>
      <c r="AE2722" s="5"/>
      <c r="AF2722" s="5"/>
      <c r="AG2722" s="5"/>
      <c r="AH2722" s="5"/>
      <c r="AI2722" s="5"/>
      <c r="AJ2722" s="5"/>
      <c r="AK2722" s="5"/>
      <c r="AL2722" s="5"/>
    </row>
    <row r="2723">
      <c r="A2723" s="4" t="str">
        <f>VLOOKUP(L2723,payment_ids!C:D,2,FALSE)</f>
        <v>pay_HIGIzrTXB9ON1l</v>
      </c>
      <c r="B2723" s="4"/>
      <c r="C2723" s="4" t="s">
        <v>1264</v>
      </c>
      <c r="D2723" s="4">
        <v>49994.0</v>
      </c>
      <c r="E2723" s="5"/>
      <c r="F2723" s="4">
        <v>1.0</v>
      </c>
      <c r="G2723" s="4">
        <v>99.0</v>
      </c>
      <c r="H2723" s="4"/>
      <c r="I2723" s="4">
        <v>99.0</v>
      </c>
      <c r="J2723" s="4" t="s">
        <v>6646</v>
      </c>
      <c r="K2723" s="5">
        <f>+919909768106</f>
        <v>919909768106</v>
      </c>
      <c r="L2723" s="4" t="str">
        <f t="shared" si="1"/>
        <v>roshnimsubhash@gmail.com919909768106</v>
      </c>
      <c r="M2723" s="10" t="s">
        <v>67</v>
      </c>
      <c r="N2723" s="4" t="b">
        <v>0</v>
      </c>
      <c r="O2723" s="4" t="str">
        <f>VLOOKUP(A2723,payment_ids!D:E,2,FALSE)</f>
        <v>upi</v>
      </c>
      <c r="P2723" s="4" t="s">
        <v>69</v>
      </c>
      <c r="Q2723" s="11">
        <v>44233.92847222222</v>
      </c>
      <c r="R2723" s="4"/>
      <c r="S2723" s="12" t="s">
        <v>6615</v>
      </c>
      <c r="T2723" s="5"/>
      <c r="U2723" s="4"/>
      <c r="V2723" s="4"/>
      <c r="W2723" s="5"/>
      <c r="X2723" s="4"/>
      <c r="Y2723" s="4"/>
      <c r="Z2723" s="5"/>
      <c r="AA2723" s="4"/>
      <c r="AB2723" s="4"/>
      <c r="AC2723" s="4"/>
      <c r="AD2723" s="4"/>
      <c r="AE2723" s="5"/>
      <c r="AF2723" s="5"/>
      <c r="AG2723" s="5"/>
      <c r="AH2723" s="5"/>
      <c r="AI2723" s="5"/>
      <c r="AJ2723" s="5"/>
      <c r="AK2723" s="5"/>
      <c r="AL2723" s="5"/>
    </row>
    <row r="2724">
      <c r="A2724" s="4" t="str">
        <f>VLOOKUP(L2724,payment_ids!C:D,2,FALSE)</f>
        <v>pay_HIQSXeYYSE2MMJ</v>
      </c>
      <c r="B2724" s="4"/>
      <c r="C2724" s="4" t="s">
        <v>1264</v>
      </c>
      <c r="D2724" s="4">
        <v>49994.0</v>
      </c>
      <c r="E2724" s="5"/>
      <c r="F2724" s="4">
        <v>3.0</v>
      </c>
      <c r="G2724" s="4">
        <v>199.0</v>
      </c>
      <c r="H2724" s="4"/>
      <c r="I2724" s="4">
        <v>199.0</v>
      </c>
      <c r="J2724" s="4" t="s">
        <v>6647</v>
      </c>
      <c r="K2724" s="5">
        <f>+917888794580</f>
        <v>917888794580</v>
      </c>
      <c r="L2724" s="4" t="str">
        <f t="shared" si="1"/>
        <v>pragatisohal@gmail.com917888794580</v>
      </c>
      <c r="M2724" s="10" t="s">
        <v>67</v>
      </c>
      <c r="N2724" s="4" t="b">
        <v>0</v>
      </c>
      <c r="O2724" s="4" t="str">
        <f>VLOOKUP(A2724,payment_ids!D:E,2,FALSE)</f>
        <v>upi</v>
      </c>
      <c r="P2724" s="4" t="s">
        <v>69</v>
      </c>
      <c r="Q2724" s="11">
        <v>44261.342361111114</v>
      </c>
      <c r="R2724" s="4"/>
      <c r="S2724" s="12" t="s">
        <v>6615</v>
      </c>
      <c r="T2724" s="5"/>
      <c r="U2724" s="4"/>
      <c r="V2724" s="4"/>
      <c r="W2724" s="5"/>
      <c r="X2724" s="4"/>
      <c r="Y2724" s="4"/>
      <c r="Z2724" s="5"/>
      <c r="AA2724" s="4"/>
      <c r="AB2724" s="4"/>
      <c r="AC2724" s="4"/>
      <c r="AD2724" s="4"/>
      <c r="AE2724" s="5"/>
      <c r="AF2724" s="5"/>
      <c r="AG2724" s="5"/>
      <c r="AH2724" s="5"/>
      <c r="AI2724" s="5"/>
      <c r="AJ2724" s="5"/>
      <c r="AK2724" s="5"/>
      <c r="AL2724" s="5"/>
    </row>
    <row r="2725">
      <c r="A2725" s="4" t="str">
        <f>VLOOKUP(L2725,payment_ids!C:D,2,FALSE)</f>
        <v>pay_HIaxynM6vMZKMk</v>
      </c>
      <c r="B2725" s="4"/>
      <c r="C2725" s="4" t="s">
        <v>1264</v>
      </c>
      <c r="D2725" s="4">
        <v>49994.0</v>
      </c>
      <c r="E2725" s="5"/>
      <c r="F2725" s="4">
        <v>1.0</v>
      </c>
      <c r="G2725" s="4">
        <v>99.0</v>
      </c>
      <c r="H2725" s="4"/>
      <c r="I2725" s="4">
        <v>99.0</v>
      </c>
      <c r="J2725" s="4" t="s">
        <v>6648</v>
      </c>
      <c r="K2725" s="5">
        <f>+917893293530</f>
        <v>917893293530</v>
      </c>
      <c r="L2725" s="4" t="str">
        <f t="shared" si="1"/>
        <v>divya.ganapathi410@gmail.com917893293530</v>
      </c>
      <c r="M2725" s="10" t="s">
        <v>67</v>
      </c>
      <c r="N2725" s="4" t="b">
        <v>0</v>
      </c>
      <c r="O2725" s="4" t="str">
        <f>VLOOKUP(A2725,payment_ids!D:E,2,FALSE)</f>
        <v>upi</v>
      </c>
      <c r="P2725" s="4" t="s">
        <v>69</v>
      </c>
      <c r="Q2725" s="11">
        <v>44261.771527777775</v>
      </c>
      <c r="R2725" s="4"/>
      <c r="S2725" s="12" t="s">
        <v>6615</v>
      </c>
      <c r="T2725" s="5"/>
      <c r="U2725" s="4"/>
      <c r="V2725" s="4"/>
      <c r="W2725" s="5"/>
      <c r="X2725" s="4"/>
      <c r="Y2725" s="4"/>
      <c r="Z2725" s="5"/>
      <c r="AA2725" s="4"/>
      <c r="AB2725" s="4"/>
      <c r="AC2725" s="4"/>
      <c r="AD2725" s="4"/>
      <c r="AE2725" s="5"/>
      <c r="AF2725" s="5"/>
      <c r="AG2725" s="5"/>
      <c r="AH2725" s="5"/>
      <c r="AI2725" s="5"/>
      <c r="AJ2725" s="5"/>
      <c r="AK2725" s="5"/>
      <c r="AL2725" s="5"/>
    </row>
    <row r="2726">
      <c r="A2726" s="4" t="str">
        <f>VLOOKUP(L2726,payment_ids!C:D,2,FALSE)</f>
        <v>pay_HJkG9WVP9TXCMi</v>
      </c>
      <c r="B2726" s="4"/>
      <c r="C2726" s="4" t="s">
        <v>1264</v>
      </c>
      <c r="D2726" s="4">
        <v>49994.0</v>
      </c>
      <c r="E2726" s="5"/>
      <c r="F2726" s="4">
        <v>1.0</v>
      </c>
      <c r="G2726" s="4">
        <v>99.0</v>
      </c>
      <c r="H2726" s="4"/>
      <c r="I2726" s="4">
        <v>99.0</v>
      </c>
      <c r="J2726" s="4" t="s">
        <v>6649</v>
      </c>
      <c r="K2726" s="5">
        <f>+919148004262</f>
        <v>919148004262</v>
      </c>
      <c r="L2726" s="4" t="str">
        <f t="shared" si="1"/>
        <v>chandu80089@gmail.com919148004262</v>
      </c>
      <c r="M2726" s="10" t="s">
        <v>67</v>
      </c>
      <c r="N2726" s="4" t="b">
        <v>0</v>
      </c>
      <c r="O2726" s="4" t="str">
        <f>VLOOKUP(A2726,payment_ids!D:E,2,FALSE)</f>
        <v>card</v>
      </c>
      <c r="P2726" s="4" t="s">
        <v>69</v>
      </c>
      <c r="Q2726" s="11">
        <v>44353.67638888889</v>
      </c>
      <c r="R2726" s="4"/>
      <c r="S2726" s="12" t="s">
        <v>6615</v>
      </c>
      <c r="T2726" s="5"/>
      <c r="U2726" s="4"/>
      <c r="V2726" s="4"/>
      <c r="W2726" s="5"/>
      <c r="X2726" s="4"/>
      <c r="Y2726" s="4"/>
      <c r="Z2726" s="5"/>
      <c r="AA2726" s="4"/>
      <c r="AB2726" s="4"/>
      <c r="AC2726" s="4"/>
      <c r="AD2726" s="4"/>
      <c r="AE2726" s="5"/>
      <c r="AF2726" s="5"/>
      <c r="AG2726" s="5"/>
      <c r="AH2726" s="5"/>
      <c r="AI2726" s="5"/>
      <c r="AJ2726" s="5"/>
      <c r="AK2726" s="5"/>
      <c r="AL2726" s="5"/>
    </row>
    <row r="2727">
      <c r="A2727" s="4" t="str">
        <f>VLOOKUP(L2727,payment_ids!C:D,2,FALSE)</f>
        <v>pay_HK4p69Ep1OddF7</v>
      </c>
      <c r="B2727" s="4"/>
      <c r="C2727" s="4" t="s">
        <v>1264</v>
      </c>
      <c r="D2727" s="4">
        <v>49994.0</v>
      </c>
      <c r="E2727" s="5"/>
      <c r="F2727" s="4">
        <v>1.0</v>
      </c>
      <c r="G2727" s="4">
        <v>99.0</v>
      </c>
      <c r="H2727" s="4"/>
      <c r="I2727" s="4">
        <v>99.0</v>
      </c>
      <c r="J2727" s="4" t="s">
        <v>6650</v>
      </c>
      <c r="K2727" s="5">
        <f>+919133191931</f>
        <v>919133191931</v>
      </c>
      <c r="L2727" s="4" t="str">
        <f t="shared" si="1"/>
        <v>rakeshpavan4@gmail.com919133191931</v>
      </c>
      <c r="M2727" s="10" t="s">
        <v>67</v>
      </c>
      <c r="N2727" s="4" t="b">
        <v>0</v>
      </c>
      <c r="O2727" s="4" t="str">
        <f>VLOOKUP(A2727,payment_ids!D:E,2,FALSE)</f>
        <v>upi</v>
      </c>
      <c r="P2727" s="4" t="s">
        <v>69</v>
      </c>
      <c r="Q2727" s="11">
        <v>44383.51597222222</v>
      </c>
      <c r="R2727" s="4"/>
      <c r="S2727" s="12" t="s">
        <v>6615</v>
      </c>
      <c r="T2727" s="5"/>
      <c r="U2727" s="4"/>
      <c r="V2727" s="4"/>
      <c r="W2727" s="5"/>
      <c r="X2727" s="4"/>
      <c r="Y2727" s="4"/>
      <c r="Z2727" s="5"/>
      <c r="AA2727" s="4"/>
      <c r="AB2727" s="4"/>
      <c r="AC2727" s="4"/>
      <c r="AD2727" s="4"/>
      <c r="AE2727" s="5"/>
      <c r="AF2727" s="5"/>
      <c r="AG2727" s="5"/>
      <c r="AH2727" s="5"/>
      <c r="AI2727" s="5"/>
      <c r="AJ2727" s="5"/>
      <c r="AK2727" s="5"/>
      <c r="AL2727" s="5"/>
    </row>
    <row r="2728">
      <c r="A2728" s="4" t="str">
        <f>VLOOKUP(L2728,payment_ids!C:D,2,FALSE)</f>
        <v>pay_HKHlkA5dN0kkTa</v>
      </c>
      <c r="B2728" s="4"/>
      <c r="C2728" s="4" t="s">
        <v>1264</v>
      </c>
      <c r="D2728" s="4">
        <v>49994.0</v>
      </c>
      <c r="E2728" s="5"/>
      <c r="F2728" s="4">
        <v>1.0</v>
      </c>
      <c r="G2728" s="4">
        <v>99.0</v>
      </c>
      <c r="H2728" s="4"/>
      <c r="I2728" s="4">
        <v>99.0</v>
      </c>
      <c r="J2728" s="4" t="s">
        <v>6651</v>
      </c>
      <c r="K2728" s="5">
        <f>+918886855527</f>
        <v>918886855527</v>
      </c>
      <c r="L2728" s="4" t="str">
        <f t="shared" si="1"/>
        <v>deeps.jans@gmail.com918886855527</v>
      </c>
      <c r="M2728" s="10" t="s">
        <v>67</v>
      </c>
      <c r="N2728" s="4" t="b">
        <v>0</v>
      </c>
      <c r="O2728" s="4" t="str">
        <f>VLOOKUP(A2728,payment_ids!D:E,2,FALSE)</f>
        <v>upi</v>
      </c>
      <c r="P2728" s="4" t="s">
        <v>69</v>
      </c>
      <c r="Q2728" s="11">
        <v>44414.04236111111</v>
      </c>
      <c r="R2728" s="4"/>
      <c r="S2728" s="12" t="s">
        <v>6615</v>
      </c>
      <c r="T2728" s="5"/>
      <c r="U2728" s="4"/>
      <c r="V2728" s="4"/>
      <c r="W2728" s="5"/>
      <c r="X2728" s="4"/>
      <c r="Y2728" s="4"/>
      <c r="Z2728" s="5"/>
      <c r="AA2728" s="4"/>
      <c r="AB2728" s="4"/>
      <c r="AC2728" s="4"/>
      <c r="AD2728" s="4"/>
      <c r="AE2728" s="5"/>
      <c r="AF2728" s="5"/>
      <c r="AG2728" s="5"/>
      <c r="AH2728" s="5"/>
      <c r="AI2728" s="5"/>
      <c r="AJ2728" s="5"/>
      <c r="AK2728" s="5"/>
      <c r="AL2728" s="5"/>
    </row>
    <row r="2729">
      <c r="A2729" s="4" t="str">
        <f>VLOOKUP(L2729,payment_ids!C:D,2,FALSE)</f>
        <v>pay_HLD7mQ3WSKfCAR</v>
      </c>
      <c r="B2729" s="4"/>
      <c r="C2729" s="4" t="s">
        <v>1264</v>
      </c>
      <c r="D2729" s="4">
        <v>49994.0</v>
      </c>
      <c r="E2729" s="5"/>
      <c r="F2729" s="4">
        <v>1.0</v>
      </c>
      <c r="G2729" s="4">
        <v>99.0</v>
      </c>
      <c r="H2729" s="4"/>
      <c r="I2729" s="4">
        <v>99.0</v>
      </c>
      <c r="J2729" s="4" t="s">
        <v>6652</v>
      </c>
      <c r="K2729" s="5">
        <f>+918208793221</f>
        <v>918208793221</v>
      </c>
      <c r="L2729" s="4" t="str">
        <f t="shared" si="1"/>
        <v>ncgandhi93@gmail.com918208793221</v>
      </c>
      <c r="M2729" s="10" t="s">
        <v>67</v>
      </c>
      <c r="N2729" s="4" t="b">
        <v>0</v>
      </c>
      <c r="O2729" s="4" t="str">
        <f>VLOOKUP(A2729,payment_ids!D:E,2,FALSE)</f>
        <v>upi</v>
      </c>
      <c r="P2729" s="4" t="s">
        <v>69</v>
      </c>
      <c r="Q2729" s="11">
        <v>44475.38055555556</v>
      </c>
      <c r="R2729" s="4"/>
      <c r="S2729" s="12" t="s">
        <v>6615</v>
      </c>
      <c r="T2729" s="4" t="s">
        <v>2444</v>
      </c>
      <c r="U2729" s="4"/>
      <c r="V2729" s="4"/>
      <c r="W2729" s="5"/>
      <c r="X2729" s="4"/>
      <c r="Y2729" s="4"/>
      <c r="Z2729" s="5"/>
      <c r="AA2729" s="4"/>
      <c r="AB2729" s="4"/>
      <c r="AC2729" s="4"/>
      <c r="AD2729" s="4"/>
      <c r="AE2729" s="5"/>
      <c r="AF2729" s="5"/>
      <c r="AG2729" s="5"/>
      <c r="AH2729" s="5"/>
      <c r="AI2729" s="5"/>
      <c r="AJ2729" s="5"/>
      <c r="AK2729" s="5"/>
      <c r="AL2729" s="5"/>
    </row>
    <row r="2730">
      <c r="A2730" s="4" t="str">
        <f>VLOOKUP(L2730,payment_ids!C:D,2,FALSE)</f>
        <v>pay_HLNmdFRD6ELGa5</v>
      </c>
      <c r="B2730" s="4"/>
      <c r="C2730" s="4" t="s">
        <v>1264</v>
      </c>
      <c r="D2730" s="4">
        <v>49994.0</v>
      </c>
      <c r="E2730" s="5"/>
      <c r="F2730" s="4">
        <v>1.0</v>
      </c>
      <c r="G2730" s="4">
        <v>99.0</v>
      </c>
      <c r="H2730" s="4"/>
      <c r="I2730" s="4">
        <v>99.0</v>
      </c>
      <c r="J2730" s="4" t="s">
        <v>6653</v>
      </c>
      <c r="K2730" s="5">
        <f>+918770198368</f>
        <v>918770198368</v>
      </c>
      <c r="L2730" s="4" t="str">
        <f t="shared" si="1"/>
        <v>ss70259@gmail.com918770198368</v>
      </c>
      <c r="M2730" s="10" t="s">
        <v>67</v>
      </c>
      <c r="N2730" s="4" t="b">
        <v>0</v>
      </c>
      <c r="O2730" s="4" t="str">
        <f>VLOOKUP(A2730,payment_ids!D:E,2,FALSE)</f>
        <v>upi</v>
      </c>
      <c r="P2730" s="4" t="s">
        <v>69</v>
      </c>
      <c r="Q2730" s="11">
        <v>44475.81458333333</v>
      </c>
      <c r="R2730" s="4"/>
      <c r="S2730" s="12" t="s">
        <v>6615</v>
      </c>
      <c r="T2730" s="4" t="s">
        <v>2444</v>
      </c>
      <c r="U2730" s="4"/>
      <c r="V2730" s="4"/>
      <c r="W2730" s="5"/>
      <c r="X2730" s="4"/>
      <c r="Y2730" s="4"/>
      <c r="Z2730" s="5"/>
      <c r="AA2730" s="4"/>
      <c r="AB2730" s="4"/>
      <c r="AC2730" s="4"/>
      <c r="AD2730" s="4"/>
      <c r="AE2730" s="5"/>
      <c r="AF2730" s="5"/>
      <c r="AG2730" s="5"/>
      <c r="AH2730" s="5"/>
      <c r="AI2730" s="5"/>
      <c r="AJ2730" s="5"/>
      <c r="AK2730" s="5"/>
      <c r="AL2730" s="5"/>
    </row>
    <row r="2731">
      <c r="A2731" s="4" t="str">
        <f>VLOOKUP(L2731,payment_ids!C:D,2,FALSE)</f>
        <v>pay_HLfV71DDiJNNRC</v>
      </c>
      <c r="B2731" s="4"/>
      <c r="C2731" s="4" t="s">
        <v>1264</v>
      </c>
      <c r="D2731" s="4">
        <v>49994.0</v>
      </c>
      <c r="E2731" s="5"/>
      <c r="F2731" s="4">
        <v>1.0</v>
      </c>
      <c r="G2731" s="4">
        <v>99.0</v>
      </c>
      <c r="H2731" s="4"/>
      <c r="I2731" s="4">
        <v>99.0</v>
      </c>
      <c r="J2731" s="4" t="s">
        <v>6654</v>
      </c>
      <c r="K2731" s="5">
        <f>+919790193074</f>
        <v>919790193074</v>
      </c>
      <c r="L2731" s="4" t="str">
        <f t="shared" si="1"/>
        <v>shalininewton@gmail.com919790193074</v>
      </c>
      <c r="M2731" s="10" t="s">
        <v>67</v>
      </c>
      <c r="N2731" s="4" t="b">
        <v>0</v>
      </c>
      <c r="O2731" s="4" t="str">
        <f>VLOOKUP(A2731,payment_ids!D:E,2,FALSE)</f>
        <v>upi</v>
      </c>
      <c r="P2731" s="4" t="s">
        <v>69</v>
      </c>
      <c r="Q2731" s="11">
        <v>44506.53680555556</v>
      </c>
      <c r="R2731" s="4"/>
      <c r="S2731" s="12" t="s">
        <v>6615</v>
      </c>
      <c r="T2731" s="4" t="s">
        <v>2444</v>
      </c>
      <c r="U2731" s="4"/>
      <c r="V2731" s="4"/>
      <c r="W2731" s="5"/>
      <c r="X2731" s="4"/>
      <c r="Y2731" s="4"/>
      <c r="Z2731" s="5"/>
      <c r="AA2731" s="4"/>
      <c r="AB2731" s="4"/>
      <c r="AC2731" s="4"/>
      <c r="AD2731" s="4"/>
      <c r="AE2731" s="5"/>
      <c r="AF2731" s="5"/>
      <c r="AG2731" s="5"/>
      <c r="AH2731" s="5"/>
      <c r="AI2731" s="5"/>
      <c r="AJ2731" s="5"/>
      <c r="AK2731" s="5"/>
      <c r="AL2731" s="5"/>
    </row>
    <row r="2732">
      <c r="A2732" s="4" t="str">
        <f>VLOOKUP(L2732,payment_ids!C:D,2,FALSE)</f>
        <v>pay_HLpMfK9ngUrWTl</v>
      </c>
      <c r="B2732" s="4"/>
      <c r="C2732" s="4" t="s">
        <v>1264</v>
      </c>
      <c r="D2732" s="4">
        <v>49994.0</v>
      </c>
      <c r="E2732" s="5"/>
      <c r="F2732" s="4">
        <v>1.0</v>
      </c>
      <c r="G2732" s="4">
        <v>99.0</v>
      </c>
      <c r="H2732" s="4"/>
      <c r="I2732" s="4">
        <v>99.0</v>
      </c>
      <c r="J2732" s="4" t="s">
        <v>6655</v>
      </c>
      <c r="K2732" s="5">
        <f>+919762128751</f>
        <v>919762128751</v>
      </c>
      <c r="L2732" s="4" t="str">
        <f t="shared" si="1"/>
        <v>emc.mohammed@gmail.com919762128751</v>
      </c>
      <c r="M2732" s="10" t="s">
        <v>67</v>
      </c>
      <c r="N2732" s="4" t="b">
        <v>0</v>
      </c>
      <c r="O2732" s="4" t="str">
        <f>VLOOKUP(A2732,payment_ids!D:E,2,FALSE)</f>
        <v>upi</v>
      </c>
      <c r="P2732" s="4" t="s">
        <v>69</v>
      </c>
      <c r="Q2732" s="11">
        <v>44506.93958333333</v>
      </c>
      <c r="R2732" s="4"/>
      <c r="S2732" s="12" t="s">
        <v>6615</v>
      </c>
      <c r="T2732" s="4" t="s">
        <v>2444</v>
      </c>
      <c r="U2732" s="4"/>
      <c r="V2732" s="4"/>
      <c r="W2732" s="5"/>
      <c r="X2732" s="4"/>
      <c r="Y2732" s="4"/>
      <c r="Z2732" s="5"/>
      <c r="AA2732" s="4"/>
      <c r="AB2732" s="4"/>
      <c r="AC2732" s="4"/>
      <c r="AD2732" s="4"/>
      <c r="AE2732" s="5"/>
      <c r="AF2732" s="5"/>
      <c r="AG2732" s="5"/>
      <c r="AH2732" s="5"/>
      <c r="AI2732" s="5"/>
      <c r="AJ2732" s="5"/>
      <c r="AK2732" s="5"/>
      <c r="AL2732" s="5"/>
    </row>
    <row r="2733">
      <c r="A2733" s="4" t="str">
        <f>VLOOKUP(L2733,payment_ids!C:D,2,FALSE)</f>
        <v>pay_HMCQ7UFmELETO7</v>
      </c>
      <c r="B2733" s="4"/>
      <c r="C2733" s="4" t="s">
        <v>1264</v>
      </c>
      <c r="D2733" s="4">
        <v>49994.0</v>
      </c>
      <c r="E2733" s="5"/>
      <c r="F2733" s="4">
        <v>1.0</v>
      </c>
      <c r="G2733" s="4">
        <v>99.0</v>
      </c>
      <c r="H2733" s="4"/>
      <c r="I2733" s="4">
        <v>99.0</v>
      </c>
      <c r="J2733" s="4" t="s">
        <v>6656</v>
      </c>
      <c r="K2733" s="5">
        <f>+918329794326</f>
        <v>918329794326</v>
      </c>
      <c r="L2733" s="4" t="str">
        <f t="shared" si="1"/>
        <v>nishagshetty99@gmail.com918329794326</v>
      </c>
      <c r="M2733" s="10" t="s">
        <v>67</v>
      </c>
      <c r="N2733" s="4" t="b">
        <v>0</v>
      </c>
      <c r="O2733" s="4" t="str">
        <f>VLOOKUP(A2733,payment_ids!D:E,2,FALSE)</f>
        <v>upi</v>
      </c>
      <c r="P2733" s="4" t="s">
        <v>69</v>
      </c>
      <c r="Q2733" s="11">
        <v>44536.87847222222</v>
      </c>
      <c r="R2733" s="4"/>
      <c r="S2733" s="12" t="s">
        <v>6615</v>
      </c>
      <c r="T2733" s="4" t="s">
        <v>2444</v>
      </c>
      <c r="U2733" s="4"/>
      <c r="V2733" s="4"/>
      <c r="W2733" s="5"/>
      <c r="X2733" s="4"/>
      <c r="Y2733" s="4"/>
      <c r="Z2733" s="5"/>
      <c r="AA2733" s="4"/>
      <c r="AB2733" s="4"/>
      <c r="AC2733" s="4"/>
      <c r="AD2733" s="4"/>
      <c r="AE2733" s="5"/>
      <c r="AF2733" s="5"/>
      <c r="AG2733" s="5"/>
      <c r="AH2733" s="5"/>
      <c r="AI2733" s="5"/>
      <c r="AJ2733" s="5"/>
      <c r="AK2733" s="5"/>
      <c r="AL2733" s="5"/>
    </row>
    <row r="2734">
      <c r="A2734" s="4" t="str">
        <f>VLOOKUP(L2734,payment_ids!C:D,2,FALSE)</f>
        <v>pay_HMDHYQsJasWqfn</v>
      </c>
      <c r="B2734" s="4"/>
      <c r="C2734" s="4" t="s">
        <v>1264</v>
      </c>
      <c r="D2734" s="4">
        <v>49994.0</v>
      </c>
      <c r="E2734" s="5"/>
      <c r="F2734" s="4">
        <v>1.0</v>
      </c>
      <c r="G2734" s="4">
        <v>99.0</v>
      </c>
      <c r="H2734" s="4"/>
      <c r="I2734" s="4">
        <v>99.0</v>
      </c>
      <c r="J2734" s="4" t="s">
        <v>6657</v>
      </c>
      <c r="K2734" s="5">
        <f>+917404505350</f>
        <v>917404505350</v>
      </c>
      <c r="L2734" s="4" t="str">
        <f t="shared" si="1"/>
        <v>pawan.kumar.verma21@gmail.com917404505350</v>
      </c>
      <c r="M2734" s="10" t="s">
        <v>67</v>
      </c>
      <c r="N2734" s="4" t="b">
        <v>0</v>
      </c>
      <c r="O2734" s="4" t="str">
        <f>VLOOKUP(A2734,payment_ids!D:E,2,FALSE)</f>
        <v>wallet</v>
      </c>
      <c r="P2734" s="4" t="s">
        <v>69</v>
      </c>
      <c r="Q2734" s="11">
        <v>44536.92013888889</v>
      </c>
      <c r="R2734" s="4"/>
      <c r="S2734" s="12" t="s">
        <v>6615</v>
      </c>
      <c r="T2734" s="4" t="s">
        <v>2444</v>
      </c>
      <c r="U2734" s="4"/>
      <c r="V2734" s="4"/>
      <c r="W2734" s="5"/>
      <c r="X2734" s="4"/>
      <c r="Y2734" s="4"/>
      <c r="Z2734" s="5"/>
      <c r="AA2734" s="4"/>
      <c r="AB2734" s="4"/>
      <c r="AC2734" s="4"/>
      <c r="AD2734" s="4"/>
      <c r="AE2734" s="5"/>
      <c r="AF2734" s="5"/>
      <c r="AG2734" s="5"/>
      <c r="AH2734" s="5"/>
      <c r="AI2734" s="5"/>
      <c r="AJ2734" s="5"/>
      <c r="AK2734" s="5"/>
      <c r="AL2734" s="5"/>
    </row>
    <row r="2735">
      <c r="A2735" s="4" t="str">
        <f>VLOOKUP(L2735,payment_ids!C:D,2,FALSE)</f>
        <v>pay_HMYFsMRC97p2ni</v>
      </c>
      <c r="B2735" s="4"/>
      <c r="C2735" s="4" t="s">
        <v>1264</v>
      </c>
      <c r="D2735" s="4">
        <v>49994.0</v>
      </c>
      <c r="E2735" s="5"/>
      <c r="F2735" s="4">
        <v>3.0</v>
      </c>
      <c r="G2735" s="4">
        <v>199.0</v>
      </c>
      <c r="H2735" s="4"/>
      <c r="I2735" s="4">
        <v>199.0</v>
      </c>
      <c r="J2735" s="4" t="s">
        <v>6658</v>
      </c>
      <c r="K2735" s="5">
        <f>+918074370645</f>
        <v>918074370645</v>
      </c>
      <c r="L2735" s="4" t="str">
        <f t="shared" si="1"/>
        <v>san.recruit7@gmail.com918074370645</v>
      </c>
      <c r="M2735" s="10" t="s">
        <v>67</v>
      </c>
      <c r="N2735" s="4" t="b">
        <v>0</v>
      </c>
      <c r="O2735" s="4" t="str">
        <f>VLOOKUP(A2735,payment_ids!D:E,2,FALSE)</f>
        <v>card</v>
      </c>
      <c r="P2735" s="4" t="s">
        <v>69</v>
      </c>
      <c r="Q2735" s="4" t="s">
        <v>6659</v>
      </c>
      <c r="R2735" s="4"/>
      <c r="S2735" s="12" t="s">
        <v>6615</v>
      </c>
      <c r="T2735" s="4" t="s">
        <v>2444</v>
      </c>
      <c r="U2735" s="4"/>
      <c r="V2735" s="4"/>
      <c r="W2735" s="5"/>
      <c r="X2735" s="4"/>
      <c r="Y2735" s="4"/>
      <c r="Z2735" s="5"/>
      <c r="AA2735" s="4"/>
      <c r="AB2735" s="4"/>
      <c r="AC2735" s="4"/>
      <c r="AD2735" s="4"/>
      <c r="AE2735" s="5"/>
      <c r="AF2735" s="5"/>
      <c r="AG2735" s="5"/>
      <c r="AH2735" s="5"/>
      <c r="AI2735" s="5"/>
      <c r="AJ2735" s="5"/>
      <c r="AK2735" s="5"/>
      <c r="AL2735" s="5"/>
    </row>
    <row r="2736">
      <c r="A2736" s="4" t="str">
        <f>VLOOKUP(L2736,payment_ids!C:D,2,FALSE)</f>
        <v>pay_HMrm4N1Fuq09sL</v>
      </c>
      <c r="B2736" s="4"/>
      <c r="C2736" s="4" t="s">
        <v>1264</v>
      </c>
      <c r="D2736" s="4">
        <v>49994.0</v>
      </c>
      <c r="E2736" s="5"/>
      <c r="F2736" s="4">
        <v>1.0</v>
      </c>
      <c r="G2736" s="4">
        <v>99.0</v>
      </c>
      <c r="H2736" s="4"/>
      <c r="I2736" s="4">
        <v>99.0</v>
      </c>
      <c r="J2736" s="4" t="s">
        <v>6660</v>
      </c>
      <c r="K2736" s="5">
        <f>+919811339168</f>
        <v>919811339168</v>
      </c>
      <c r="L2736" s="4" t="str">
        <f t="shared" si="1"/>
        <v>deepaliverma5@gmail.com919811339168</v>
      </c>
      <c r="M2736" s="10" t="s">
        <v>67</v>
      </c>
      <c r="N2736" s="4" t="b">
        <v>0</v>
      </c>
      <c r="O2736" s="4" t="str">
        <f>VLOOKUP(A2736,payment_ids!D:E,2,FALSE)</f>
        <v>upi</v>
      </c>
      <c r="P2736" s="4" t="s">
        <v>69</v>
      </c>
      <c r="Q2736" s="4" t="s">
        <v>6661</v>
      </c>
      <c r="R2736" s="4"/>
      <c r="S2736" s="12" t="s">
        <v>6615</v>
      </c>
      <c r="T2736" s="4" t="s">
        <v>2444</v>
      </c>
      <c r="U2736" s="4"/>
      <c r="V2736" s="4"/>
      <c r="W2736" s="5"/>
      <c r="X2736" s="4"/>
      <c r="Y2736" s="4"/>
      <c r="Z2736" s="5"/>
      <c r="AA2736" s="5"/>
      <c r="AB2736" s="4"/>
      <c r="AC2736" s="4"/>
      <c r="AD2736" s="4"/>
      <c r="AE2736" s="5"/>
      <c r="AF2736" s="5"/>
      <c r="AG2736" s="5"/>
      <c r="AH2736" s="5"/>
      <c r="AI2736" s="5"/>
      <c r="AJ2736" s="5"/>
      <c r="AK2736" s="5"/>
      <c r="AL2736" s="5"/>
    </row>
    <row r="2737">
      <c r="A2737" s="4" t="str">
        <f>VLOOKUP(L2737,payment_ids!C:D,2,FALSE)</f>
        <v>pay_HNaEevaLVvZ0Cj</v>
      </c>
      <c r="B2737" s="4"/>
      <c r="C2737" s="4" t="s">
        <v>1264</v>
      </c>
      <c r="D2737" s="4">
        <v>49994.0</v>
      </c>
      <c r="E2737" s="5"/>
      <c r="F2737" s="4">
        <v>1.0</v>
      </c>
      <c r="G2737" s="4">
        <v>99.0</v>
      </c>
      <c r="H2737" s="4"/>
      <c r="I2737" s="4">
        <v>99.0</v>
      </c>
      <c r="J2737" s="4" t="s">
        <v>6662</v>
      </c>
      <c r="K2737" s="5">
        <f>+919714784363</f>
        <v>919714784363</v>
      </c>
      <c r="L2737" s="4" t="str">
        <f t="shared" si="1"/>
        <v>pinalsmodi1612@gmail.com919714784363</v>
      </c>
      <c r="M2737" s="10" t="s">
        <v>67</v>
      </c>
      <c r="N2737" s="4" t="b">
        <v>0</v>
      </c>
      <c r="O2737" s="4" t="str">
        <f>VLOOKUP(A2737,payment_ids!D:E,2,FALSE)</f>
        <v>upi</v>
      </c>
      <c r="P2737" s="4" t="s">
        <v>69</v>
      </c>
      <c r="Q2737" s="4" t="s">
        <v>6663</v>
      </c>
      <c r="R2737" s="4"/>
      <c r="S2737" s="12" t="s">
        <v>6615</v>
      </c>
      <c r="T2737" s="4" t="s">
        <v>2444</v>
      </c>
      <c r="U2737" s="4"/>
      <c r="V2737" s="4"/>
      <c r="W2737" s="5"/>
      <c r="X2737" s="4"/>
      <c r="Y2737" s="4"/>
      <c r="Z2737" s="5"/>
      <c r="AA2737" s="4"/>
      <c r="AB2737" s="4"/>
      <c r="AC2737" s="4"/>
      <c r="AD2737" s="4"/>
      <c r="AE2737" s="5"/>
      <c r="AF2737" s="5"/>
      <c r="AG2737" s="5"/>
      <c r="AH2737" s="5"/>
      <c r="AI2737" s="5"/>
      <c r="AJ2737" s="5"/>
      <c r="AK2737" s="5"/>
      <c r="AL2737" s="5"/>
    </row>
    <row r="2738">
      <c r="A2738" s="4" t="str">
        <f>VLOOKUP(L2738,payment_ids!C:D,2,FALSE)</f>
        <v>pay_HNfKXzkD2EX8RS</v>
      </c>
      <c r="B2738" s="4"/>
      <c r="C2738" s="4" t="s">
        <v>1264</v>
      </c>
      <c r="D2738" s="4">
        <v>49994.0</v>
      </c>
      <c r="E2738" s="5"/>
      <c r="F2738" s="4">
        <v>1.0</v>
      </c>
      <c r="G2738" s="4">
        <v>99.0</v>
      </c>
      <c r="H2738" s="4"/>
      <c r="I2738" s="4">
        <v>99.0</v>
      </c>
      <c r="J2738" s="4" t="s">
        <v>6664</v>
      </c>
      <c r="K2738" s="5">
        <f>+917045816664</f>
        <v>917045816664</v>
      </c>
      <c r="L2738" s="4" t="str">
        <f t="shared" si="1"/>
        <v>khannasonal94@gmail.com917045816664</v>
      </c>
      <c r="M2738" s="10" t="s">
        <v>67</v>
      </c>
      <c r="N2738" s="4" t="b">
        <v>0</v>
      </c>
      <c r="O2738" s="4" t="str">
        <f>VLOOKUP(A2738,payment_ids!D:E,2,FALSE)</f>
        <v>card</v>
      </c>
      <c r="P2738" s="4" t="s">
        <v>69</v>
      </c>
      <c r="Q2738" s="4" t="s">
        <v>6665</v>
      </c>
      <c r="R2738" s="4"/>
      <c r="S2738" s="12" t="s">
        <v>6615</v>
      </c>
      <c r="T2738" s="4" t="s">
        <v>2444</v>
      </c>
      <c r="U2738" s="4"/>
      <c r="V2738" s="4"/>
      <c r="W2738" s="5"/>
      <c r="X2738" s="4"/>
      <c r="Y2738" s="4"/>
      <c r="Z2738" s="5"/>
      <c r="AA2738" s="4"/>
      <c r="AB2738" s="4"/>
      <c r="AC2738" s="4"/>
      <c r="AD2738" s="4"/>
      <c r="AE2738" s="5"/>
      <c r="AF2738" s="5"/>
      <c r="AG2738" s="5"/>
      <c r="AH2738" s="5"/>
      <c r="AI2738" s="5"/>
      <c r="AJ2738" s="5"/>
      <c r="AK2738" s="5"/>
      <c r="AL2738" s="5"/>
    </row>
    <row r="2739">
      <c r="A2739" s="4" t="str">
        <f>VLOOKUP(L2739,payment_ids!C:D,2,FALSE)</f>
        <v>pay_HO7EDoVjHqWHVH</v>
      </c>
      <c r="B2739" s="4"/>
      <c r="C2739" s="4" t="s">
        <v>1264</v>
      </c>
      <c r="D2739" s="4">
        <v>49994.0</v>
      </c>
      <c r="E2739" s="5"/>
      <c r="F2739" s="4">
        <v>1.0</v>
      </c>
      <c r="G2739" s="4">
        <v>99.0</v>
      </c>
      <c r="H2739" s="4"/>
      <c r="I2739" s="4">
        <v>99.0</v>
      </c>
      <c r="J2739" s="4" t="s">
        <v>6666</v>
      </c>
      <c r="K2739" s="5">
        <f>+919284166970</f>
        <v>919284166970</v>
      </c>
      <c r="L2739" s="4" t="str">
        <f t="shared" si="1"/>
        <v>manjusha.rao1312@gmail.com919284166970</v>
      </c>
      <c r="M2739" s="10" t="s">
        <v>67</v>
      </c>
      <c r="N2739" s="4" t="b">
        <v>0</v>
      </c>
      <c r="O2739" s="4" t="str">
        <f>VLOOKUP(A2739,payment_ids!D:E,2,FALSE)</f>
        <v>upi</v>
      </c>
      <c r="P2739" s="4" t="s">
        <v>69</v>
      </c>
      <c r="Q2739" s="4" t="s">
        <v>6667</v>
      </c>
      <c r="R2739" s="4"/>
      <c r="S2739" s="12" t="s">
        <v>6615</v>
      </c>
      <c r="T2739" s="4" t="s">
        <v>2444</v>
      </c>
      <c r="U2739" s="4"/>
      <c r="V2739" s="4"/>
      <c r="W2739" s="5"/>
      <c r="X2739" s="4"/>
      <c r="Y2739" s="4"/>
      <c r="Z2739" s="5"/>
      <c r="AA2739" s="4"/>
      <c r="AB2739" s="4"/>
      <c r="AC2739" s="4"/>
      <c r="AD2739" s="4"/>
      <c r="AE2739" s="5"/>
      <c r="AF2739" s="5"/>
      <c r="AG2739" s="5"/>
      <c r="AH2739" s="5"/>
      <c r="AI2739" s="5"/>
      <c r="AJ2739" s="5"/>
      <c r="AK2739" s="5"/>
      <c r="AL2739" s="5"/>
    </row>
    <row r="2740">
      <c r="A2740" s="4" t="str">
        <f>VLOOKUP(L2740,payment_ids!C:D,2,FALSE)</f>
        <v>pay_HOP7LbfmREZTYn</v>
      </c>
      <c r="B2740" s="4"/>
      <c r="C2740" s="4" t="s">
        <v>1264</v>
      </c>
      <c r="D2740" s="4">
        <v>49994.0</v>
      </c>
      <c r="E2740" s="5"/>
      <c r="F2740" s="4">
        <v>3.0</v>
      </c>
      <c r="G2740" s="4">
        <v>199.0</v>
      </c>
      <c r="H2740" s="4"/>
      <c r="I2740" s="4">
        <v>199.0</v>
      </c>
      <c r="J2740" s="4" t="s">
        <v>6668</v>
      </c>
      <c r="K2740" s="5">
        <f>+918446222723</f>
        <v>918446222723</v>
      </c>
      <c r="L2740" s="4" t="str">
        <f t="shared" si="1"/>
        <v>sayalipatil5028@gmail.com918446222723</v>
      </c>
      <c r="M2740" s="10" t="s">
        <v>67</v>
      </c>
      <c r="N2740" s="4" t="b">
        <v>0</v>
      </c>
      <c r="O2740" s="4" t="str">
        <f>VLOOKUP(A2740,payment_ids!D:E,2,FALSE)</f>
        <v>upi</v>
      </c>
      <c r="P2740" s="4" t="s">
        <v>69</v>
      </c>
      <c r="Q2740" s="4" t="s">
        <v>6669</v>
      </c>
      <c r="R2740" s="4"/>
      <c r="S2740" s="12" t="s">
        <v>6615</v>
      </c>
      <c r="T2740" s="4" t="s">
        <v>2444</v>
      </c>
      <c r="U2740" s="4"/>
      <c r="V2740" s="4"/>
      <c r="W2740" s="5"/>
      <c r="X2740" s="4"/>
      <c r="Y2740" s="4"/>
      <c r="Z2740" s="5"/>
      <c r="AA2740" s="4"/>
      <c r="AB2740" s="4"/>
      <c r="AC2740" s="4"/>
      <c r="AD2740" s="4"/>
      <c r="AE2740" s="5"/>
      <c r="AF2740" s="5"/>
      <c r="AG2740" s="5"/>
      <c r="AH2740" s="5"/>
      <c r="AI2740" s="5"/>
      <c r="AJ2740" s="5"/>
      <c r="AK2740" s="5"/>
      <c r="AL2740" s="5"/>
    </row>
    <row r="2741">
      <c r="A2741" s="4" t="str">
        <f>VLOOKUP(L2741,payment_ids!C:D,2,FALSE)</f>
        <v>pay_HObTsm7GfizLzi</v>
      </c>
      <c r="B2741" s="4"/>
      <c r="C2741" s="4" t="s">
        <v>1264</v>
      </c>
      <c r="D2741" s="4">
        <v>49994.0</v>
      </c>
      <c r="E2741" s="5"/>
      <c r="F2741" s="4">
        <v>1.0</v>
      </c>
      <c r="G2741" s="4">
        <v>99.0</v>
      </c>
      <c r="H2741" s="4"/>
      <c r="I2741" s="4">
        <v>99.0</v>
      </c>
      <c r="J2741" s="4" t="s">
        <v>6670</v>
      </c>
      <c r="K2741" s="5">
        <f>+919953099090</f>
        <v>919953099090</v>
      </c>
      <c r="L2741" s="4" t="str">
        <f t="shared" si="1"/>
        <v>awesomeanshu@gmail.com919953099090</v>
      </c>
      <c r="M2741" s="10" t="s">
        <v>67</v>
      </c>
      <c r="N2741" s="4" t="b">
        <v>0</v>
      </c>
      <c r="O2741" s="4" t="str">
        <f>VLOOKUP(A2741,payment_ids!D:E,2,FALSE)</f>
        <v>upi</v>
      </c>
      <c r="P2741" s="4" t="s">
        <v>69</v>
      </c>
      <c r="Q2741" s="4" t="s">
        <v>6671</v>
      </c>
      <c r="R2741" s="4"/>
      <c r="S2741" s="12" t="s">
        <v>6615</v>
      </c>
      <c r="T2741" s="4" t="s">
        <v>2444</v>
      </c>
      <c r="U2741" s="4"/>
      <c r="V2741" s="4"/>
      <c r="W2741" s="5"/>
      <c r="X2741" s="4"/>
      <c r="Y2741" s="4"/>
      <c r="Z2741" s="5"/>
      <c r="AA2741" s="4"/>
      <c r="AB2741" s="4"/>
      <c r="AC2741" s="4"/>
      <c r="AD2741" s="4"/>
      <c r="AE2741" s="5"/>
      <c r="AF2741" s="5"/>
      <c r="AG2741" s="5"/>
      <c r="AH2741" s="5"/>
      <c r="AI2741" s="5"/>
      <c r="AJ2741" s="5"/>
      <c r="AK2741" s="5"/>
      <c r="AL2741" s="5"/>
    </row>
    <row r="2742">
      <c r="A2742" s="4" t="str">
        <f>VLOOKUP(L2742,payment_ids!C:D,2,FALSE)</f>
        <v>pay_HCbIhR7hr7kTxY</v>
      </c>
      <c r="B2742" s="4"/>
      <c r="C2742" s="4" t="s">
        <v>1264</v>
      </c>
      <c r="D2742" s="4">
        <v>49994.0</v>
      </c>
      <c r="E2742" s="5"/>
      <c r="F2742" s="4">
        <v>6.0</v>
      </c>
      <c r="G2742" s="4">
        <v>349.0</v>
      </c>
      <c r="H2742" s="4"/>
      <c r="I2742" s="4">
        <v>349.0</v>
      </c>
      <c r="J2742" s="4" t="s">
        <v>4414</v>
      </c>
      <c r="K2742" s="5">
        <f>+918754541518</f>
        <v>918754541518</v>
      </c>
      <c r="L2742" s="4" t="str">
        <f t="shared" si="1"/>
        <v>arul.georginal@gmail.com918754541518</v>
      </c>
      <c r="M2742" s="10" t="s">
        <v>67</v>
      </c>
      <c r="N2742" s="4" t="b">
        <v>0</v>
      </c>
      <c r="O2742" s="4" t="str">
        <f>VLOOKUP(A2742,payment_ids!D:E,2,FALSE)</f>
        <v>upi</v>
      </c>
      <c r="P2742" s="4" t="s">
        <v>69</v>
      </c>
      <c r="Q2742" s="4" t="s">
        <v>6672</v>
      </c>
      <c r="R2742" s="4"/>
      <c r="S2742" s="12" t="s">
        <v>6615</v>
      </c>
      <c r="T2742" s="4" t="s">
        <v>2444</v>
      </c>
      <c r="U2742" s="4"/>
      <c r="V2742" s="4"/>
      <c r="W2742" s="5"/>
      <c r="X2742" s="4"/>
      <c r="Y2742" s="4"/>
      <c r="Z2742" s="5"/>
      <c r="AA2742" s="4"/>
      <c r="AB2742" s="4"/>
      <c r="AC2742" s="4"/>
      <c r="AD2742" s="4"/>
      <c r="AE2742" s="5"/>
      <c r="AF2742" s="5"/>
      <c r="AG2742" s="5"/>
      <c r="AH2742" s="5"/>
      <c r="AI2742" s="5"/>
      <c r="AJ2742" s="5"/>
      <c r="AK2742" s="5"/>
      <c r="AL2742" s="5"/>
    </row>
    <row r="2743">
      <c r="A2743" s="4" t="str">
        <f>VLOOKUP(L2743,payment_ids!C:D,2,FALSE)</f>
        <v>pay_HOnq0iyhoZmTiL</v>
      </c>
      <c r="B2743" s="4"/>
      <c r="C2743" s="4" t="s">
        <v>1264</v>
      </c>
      <c r="D2743" s="4">
        <v>49994.0</v>
      </c>
      <c r="E2743" s="5"/>
      <c r="F2743" s="4">
        <v>1.0</v>
      </c>
      <c r="G2743" s="4">
        <v>99.0</v>
      </c>
      <c r="H2743" s="4"/>
      <c r="I2743" s="4">
        <v>99.0</v>
      </c>
      <c r="J2743" s="4" t="s">
        <v>6673</v>
      </c>
      <c r="K2743" s="5">
        <f>+918788897043</f>
        <v>918788897043</v>
      </c>
      <c r="L2743" s="4" t="str">
        <f t="shared" si="1"/>
        <v>akshtasingh4574@gmail.com918788897043</v>
      </c>
      <c r="M2743" s="10" t="s">
        <v>67</v>
      </c>
      <c r="N2743" s="4" t="b">
        <v>0</v>
      </c>
      <c r="O2743" s="4" t="str">
        <f>VLOOKUP(A2743,payment_ids!D:E,2,FALSE)</f>
        <v>card</v>
      </c>
      <c r="P2743" s="4" t="s">
        <v>69</v>
      </c>
      <c r="Q2743" s="4" t="s">
        <v>6674</v>
      </c>
      <c r="R2743" s="4"/>
      <c r="S2743" s="12" t="s">
        <v>6615</v>
      </c>
      <c r="T2743" s="4" t="s">
        <v>2444</v>
      </c>
      <c r="U2743" s="4"/>
      <c r="V2743" s="4"/>
      <c r="W2743" s="5"/>
      <c r="X2743" s="4"/>
      <c r="Y2743" s="4"/>
      <c r="Z2743" s="5"/>
      <c r="AA2743" s="4"/>
      <c r="AB2743" s="4"/>
      <c r="AC2743" s="4"/>
      <c r="AD2743" s="4"/>
      <c r="AE2743" s="5"/>
      <c r="AF2743" s="5"/>
      <c r="AG2743" s="5"/>
      <c r="AH2743" s="5"/>
      <c r="AI2743" s="5"/>
      <c r="AJ2743" s="5"/>
      <c r="AK2743" s="5"/>
      <c r="AL2743" s="5"/>
    </row>
    <row r="2744">
      <c r="A2744" s="4" t="str">
        <f>VLOOKUP(L2744,payment_ids!C:D,2,FALSE)</f>
        <v>pay_HOnqwT2r8ZZOJ0</v>
      </c>
      <c r="B2744" s="4"/>
      <c r="C2744" s="4" t="s">
        <v>1264</v>
      </c>
      <c r="D2744" s="4">
        <v>49994.0</v>
      </c>
      <c r="E2744" s="5"/>
      <c r="F2744" s="4">
        <v>1.0</v>
      </c>
      <c r="G2744" s="4">
        <v>99.0</v>
      </c>
      <c r="H2744" s="4"/>
      <c r="I2744" s="4">
        <v>99.0</v>
      </c>
      <c r="J2744" s="4" t="s">
        <v>6675</v>
      </c>
      <c r="K2744" s="5">
        <f>+919896275886</f>
        <v>919896275886</v>
      </c>
      <c r="L2744" s="4" t="str">
        <f t="shared" si="1"/>
        <v>sujatav076@gmail.com919896275886</v>
      </c>
      <c r="M2744" s="10" t="s">
        <v>67</v>
      </c>
      <c r="N2744" s="4" t="b">
        <v>0</v>
      </c>
      <c r="O2744" s="4" t="str">
        <f>VLOOKUP(A2744,payment_ids!D:E,2,FALSE)</f>
        <v>wallet</v>
      </c>
      <c r="P2744" s="4" t="s">
        <v>69</v>
      </c>
      <c r="Q2744" s="4" t="s">
        <v>6676</v>
      </c>
      <c r="R2744" s="4"/>
      <c r="S2744" s="12" t="s">
        <v>6615</v>
      </c>
      <c r="T2744" s="4" t="s">
        <v>2444</v>
      </c>
      <c r="U2744" s="4"/>
      <c r="V2744" s="4"/>
      <c r="W2744" s="5"/>
      <c r="X2744" s="4"/>
      <c r="Y2744" s="4"/>
      <c r="Z2744" s="5"/>
      <c r="AA2744" s="4"/>
      <c r="AB2744" s="4"/>
      <c r="AC2744" s="4"/>
      <c r="AD2744" s="4"/>
      <c r="AE2744" s="5"/>
      <c r="AF2744" s="5"/>
      <c r="AG2744" s="5"/>
      <c r="AH2744" s="5"/>
      <c r="AI2744" s="5"/>
      <c r="AJ2744" s="5"/>
      <c r="AK2744" s="5"/>
      <c r="AL2744" s="5"/>
    </row>
    <row r="2745">
      <c r="A2745" s="4" t="str">
        <f>VLOOKUP(L2745,payment_ids!C:D,2,FALSE)</f>
        <v>pay_HPMYfdt5zc9NL4</v>
      </c>
      <c r="B2745" s="4"/>
      <c r="C2745" s="4" t="s">
        <v>1264</v>
      </c>
      <c r="D2745" s="4">
        <v>49994.0</v>
      </c>
      <c r="E2745" s="5"/>
      <c r="F2745" s="4">
        <v>1.0</v>
      </c>
      <c r="G2745" s="4">
        <v>99.0</v>
      </c>
      <c r="H2745" s="4"/>
      <c r="I2745" s="4">
        <v>99.0</v>
      </c>
      <c r="J2745" s="4" t="s">
        <v>6677</v>
      </c>
      <c r="K2745" s="5">
        <f>+917507878118</f>
        <v>917507878118</v>
      </c>
      <c r="L2745" s="4" t="str">
        <f t="shared" si="1"/>
        <v>sunpreet8888@gmail.com917507878118</v>
      </c>
      <c r="M2745" s="10" t="s">
        <v>67</v>
      </c>
      <c r="N2745" s="4" t="b">
        <v>0</v>
      </c>
      <c r="O2745" s="4" t="str">
        <f>VLOOKUP(A2745,payment_ids!D:E,2,FALSE)</f>
        <v>upi</v>
      </c>
      <c r="P2745" s="4" t="s">
        <v>69</v>
      </c>
      <c r="Q2745" s="4" t="s">
        <v>6678</v>
      </c>
      <c r="R2745" s="4"/>
      <c r="S2745" s="12" t="s">
        <v>6615</v>
      </c>
      <c r="T2745" s="4" t="s">
        <v>2444</v>
      </c>
      <c r="U2745" s="4"/>
      <c r="V2745" s="4"/>
      <c r="W2745" s="5"/>
      <c r="X2745" s="4"/>
      <c r="Y2745" s="4"/>
      <c r="Z2745" s="5"/>
      <c r="AA2745" s="4"/>
      <c r="AB2745" s="4"/>
      <c r="AC2745" s="4"/>
      <c r="AD2745" s="4"/>
      <c r="AE2745" s="5"/>
      <c r="AF2745" s="5"/>
      <c r="AG2745" s="5"/>
      <c r="AH2745" s="5"/>
      <c r="AI2745" s="5"/>
      <c r="AJ2745" s="5"/>
      <c r="AK2745" s="5"/>
      <c r="AL2745" s="5"/>
    </row>
    <row r="2746">
      <c r="A2746" s="4" t="str">
        <f>VLOOKUP(L2746,payment_ids!C:D,2,FALSE)</f>
        <v>pay_HPP0pg5Qk7Tddk</v>
      </c>
      <c r="B2746" s="4"/>
      <c r="C2746" s="4" t="s">
        <v>1264</v>
      </c>
      <c r="D2746" s="4">
        <v>49994.0</v>
      </c>
      <c r="E2746" s="5"/>
      <c r="F2746" s="4">
        <v>3.0</v>
      </c>
      <c r="G2746" s="4">
        <v>199.0</v>
      </c>
      <c r="H2746" s="4"/>
      <c r="I2746" s="4">
        <v>199.0</v>
      </c>
      <c r="J2746" s="4" t="s">
        <v>6679</v>
      </c>
      <c r="K2746" s="5">
        <f>+919833624073</f>
        <v>919833624073</v>
      </c>
      <c r="L2746" s="4" t="str">
        <f t="shared" si="1"/>
        <v>bhavinjain1111@gmail.com919833624073</v>
      </c>
      <c r="M2746" s="10" t="s">
        <v>67</v>
      </c>
      <c r="N2746" s="4" t="b">
        <v>0</v>
      </c>
      <c r="O2746" s="4" t="str">
        <f>VLOOKUP(A2746,payment_ids!D:E,2,FALSE)</f>
        <v>card</v>
      </c>
      <c r="P2746" s="4" t="s">
        <v>69</v>
      </c>
      <c r="Q2746" s="4" t="s">
        <v>3191</v>
      </c>
      <c r="R2746" s="4"/>
      <c r="S2746" s="12" t="s">
        <v>6615</v>
      </c>
      <c r="T2746" s="4" t="s">
        <v>2444</v>
      </c>
      <c r="U2746" s="4"/>
      <c r="V2746" s="4"/>
      <c r="W2746" s="5"/>
      <c r="X2746" s="4"/>
      <c r="Y2746" s="4"/>
      <c r="Z2746" s="5"/>
      <c r="AA2746" s="4"/>
      <c r="AB2746" s="4"/>
      <c r="AC2746" s="4"/>
      <c r="AD2746" s="4"/>
      <c r="AE2746" s="5"/>
      <c r="AF2746" s="5"/>
      <c r="AG2746" s="5"/>
      <c r="AH2746" s="5"/>
      <c r="AI2746" s="5"/>
      <c r="AJ2746" s="5"/>
      <c r="AK2746" s="5"/>
      <c r="AL2746" s="5"/>
    </row>
    <row r="2747">
      <c r="A2747" s="4" t="str">
        <f>VLOOKUP(L2747,payment_ids!C:D,2,FALSE)</f>
        <v>pay_HPchfHrUxukFCG</v>
      </c>
      <c r="B2747" s="4"/>
      <c r="C2747" s="4" t="s">
        <v>1264</v>
      </c>
      <c r="D2747" s="4">
        <v>49994.0</v>
      </c>
      <c r="E2747" s="5"/>
      <c r="F2747" s="4">
        <v>1.0</v>
      </c>
      <c r="G2747" s="4">
        <v>99.0</v>
      </c>
      <c r="H2747" s="4"/>
      <c r="I2747" s="4">
        <v>99.0</v>
      </c>
      <c r="J2747" s="4" t="s">
        <v>6680</v>
      </c>
      <c r="K2747" s="5">
        <f>+918688976227</f>
        <v>918688976227</v>
      </c>
      <c r="L2747" s="4" t="str">
        <f t="shared" si="1"/>
        <v>neelu1004@gmail.com918688976227</v>
      </c>
      <c r="M2747" s="10" t="s">
        <v>67</v>
      </c>
      <c r="N2747" s="4" t="b">
        <v>0</v>
      </c>
      <c r="O2747" s="4" t="str">
        <f>VLOOKUP(A2747,payment_ids!D:E,2,FALSE)</f>
        <v>upi</v>
      </c>
      <c r="P2747" s="4" t="s">
        <v>69</v>
      </c>
      <c r="Q2747" s="4" t="s">
        <v>6681</v>
      </c>
      <c r="R2747" s="4"/>
      <c r="S2747" s="12" t="s">
        <v>6615</v>
      </c>
      <c r="T2747" s="4" t="s">
        <v>2444</v>
      </c>
      <c r="U2747" s="4"/>
      <c r="V2747" s="4"/>
      <c r="W2747" s="5"/>
      <c r="X2747" s="4"/>
      <c r="Y2747" s="4"/>
      <c r="Z2747" s="5"/>
      <c r="AA2747" s="4"/>
      <c r="AB2747" s="4"/>
      <c r="AC2747" s="4"/>
      <c r="AD2747" s="4"/>
      <c r="AE2747" s="5"/>
      <c r="AF2747" s="5"/>
      <c r="AG2747" s="5"/>
      <c r="AH2747" s="5"/>
      <c r="AI2747" s="5"/>
      <c r="AJ2747" s="5"/>
      <c r="AK2747" s="5"/>
      <c r="AL2747" s="5"/>
    </row>
    <row r="2748">
      <c r="A2748" s="4" t="str">
        <f>VLOOKUP(L2748,payment_ids!C:D,2,FALSE)</f>
        <v>pay_HPg2KS1knSdSHd</v>
      </c>
      <c r="B2748" s="4"/>
      <c r="C2748" s="4" t="s">
        <v>1264</v>
      </c>
      <c r="D2748" s="4">
        <v>49994.0</v>
      </c>
      <c r="E2748" s="5"/>
      <c r="F2748" s="4">
        <v>3.0</v>
      </c>
      <c r="G2748" s="4">
        <v>199.0</v>
      </c>
      <c r="H2748" s="4"/>
      <c r="I2748" s="4">
        <v>199.0</v>
      </c>
      <c r="J2748" s="4" t="s">
        <v>6682</v>
      </c>
      <c r="K2748" s="5">
        <f>+919819266878</f>
        <v>919819266878</v>
      </c>
      <c r="L2748" s="4" t="str">
        <f t="shared" si="1"/>
        <v>shirin.mukhtyar23@gmail.com919819266878</v>
      </c>
      <c r="M2748" s="10" t="s">
        <v>67</v>
      </c>
      <c r="N2748" s="4" t="b">
        <v>0</v>
      </c>
      <c r="O2748" s="4" t="str">
        <f>VLOOKUP(A2748,payment_ids!D:E,2,FALSE)</f>
        <v>upi</v>
      </c>
      <c r="P2748" s="4" t="s">
        <v>69</v>
      </c>
      <c r="Q2748" s="4" t="s">
        <v>6683</v>
      </c>
      <c r="R2748" s="4"/>
      <c r="S2748" s="12" t="s">
        <v>6615</v>
      </c>
      <c r="T2748" s="4" t="s">
        <v>2444</v>
      </c>
      <c r="U2748" s="4"/>
      <c r="V2748" s="4"/>
      <c r="W2748" s="5"/>
      <c r="X2748" s="4"/>
      <c r="Y2748" s="4"/>
      <c r="Z2748" s="5"/>
      <c r="AA2748" s="4"/>
      <c r="AB2748" s="4"/>
      <c r="AC2748" s="4"/>
      <c r="AD2748" s="4"/>
      <c r="AE2748" s="5"/>
      <c r="AF2748" s="5"/>
      <c r="AG2748" s="5"/>
      <c r="AH2748" s="5"/>
      <c r="AI2748" s="5"/>
      <c r="AJ2748" s="5"/>
      <c r="AK2748" s="5"/>
      <c r="AL2748" s="5"/>
    </row>
    <row r="2749">
      <c r="A2749" s="4" t="str">
        <f>VLOOKUP(L2749,payment_ids!C:D,2,FALSE)</f>
        <v>pay_HPlk0RDCg5HlDz</v>
      </c>
      <c r="B2749" s="4"/>
      <c r="C2749" s="4" t="s">
        <v>1264</v>
      </c>
      <c r="D2749" s="4">
        <v>49994.0</v>
      </c>
      <c r="E2749" s="5"/>
      <c r="F2749" s="4">
        <v>1.0</v>
      </c>
      <c r="G2749" s="4">
        <v>99.0</v>
      </c>
      <c r="H2749" s="4"/>
      <c r="I2749" s="4">
        <v>99.0</v>
      </c>
      <c r="J2749" s="4" t="s">
        <v>6684</v>
      </c>
      <c r="K2749" s="5">
        <f>+919908395235</f>
        <v>919908395235</v>
      </c>
      <c r="L2749" s="4" t="str">
        <f t="shared" si="1"/>
        <v>sravyakutty187@gmail.com919908395235</v>
      </c>
      <c r="M2749" s="10" t="s">
        <v>67</v>
      </c>
      <c r="N2749" s="4" t="b">
        <v>0</v>
      </c>
      <c r="O2749" s="4" t="str">
        <f>VLOOKUP(A2749,payment_ids!D:E,2,FALSE)</f>
        <v>card</v>
      </c>
      <c r="P2749" s="4" t="s">
        <v>69</v>
      </c>
      <c r="Q2749" s="4" t="s">
        <v>6685</v>
      </c>
      <c r="R2749" s="4"/>
      <c r="S2749" s="12" t="s">
        <v>6615</v>
      </c>
      <c r="T2749" s="4" t="s">
        <v>2444</v>
      </c>
      <c r="U2749" s="4"/>
      <c r="V2749" s="4"/>
      <c r="W2749" s="5"/>
      <c r="X2749" s="4"/>
      <c r="Y2749" s="4"/>
      <c r="Z2749" s="5"/>
      <c r="AA2749" s="4"/>
      <c r="AB2749" s="4"/>
      <c r="AC2749" s="4"/>
      <c r="AD2749" s="4"/>
      <c r="AE2749" s="5"/>
      <c r="AF2749" s="5"/>
      <c r="AG2749" s="5"/>
      <c r="AH2749" s="5"/>
      <c r="AI2749" s="5"/>
      <c r="AJ2749" s="5"/>
      <c r="AK2749" s="5"/>
      <c r="AL2749" s="5"/>
    </row>
    <row r="2750">
      <c r="A2750" s="4" t="str">
        <f>VLOOKUP(L2750,payment_ids!C:D,2,FALSE)</f>
        <v>pay_HA7CHiW2NvcYYB</v>
      </c>
      <c r="B2750" s="4"/>
      <c r="C2750" s="4" t="s">
        <v>6686</v>
      </c>
      <c r="D2750" s="4">
        <v>50069.0</v>
      </c>
      <c r="E2750" s="4"/>
      <c r="F2750" s="4">
        <v>3.0</v>
      </c>
      <c r="G2750" s="4">
        <v>999.0</v>
      </c>
      <c r="H2750" s="4"/>
      <c r="I2750" s="4">
        <v>999.0</v>
      </c>
      <c r="J2750" s="4" t="s">
        <v>6687</v>
      </c>
      <c r="K2750" s="6">
        <f>+917389787872</f>
        <v>917389787872</v>
      </c>
      <c r="L2750" s="4" t="str">
        <f t="shared" si="1"/>
        <v>sparsh.roc1@gmail.com917389787872</v>
      </c>
      <c r="M2750" s="10" t="s">
        <v>67</v>
      </c>
      <c r="N2750" s="4" t="b">
        <v>0</v>
      </c>
      <c r="O2750" s="4" t="str">
        <f>VLOOKUP(A2750,payment_ids!D:E,2,FALSE)</f>
        <v>upi</v>
      </c>
      <c r="P2750" s="4" t="s">
        <v>69</v>
      </c>
      <c r="Q2750" s="4" t="s">
        <v>6688</v>
      </c>
      <c r="R2750" s="4"/>
      <c r="S2750" s="4"/>
      <c r="T2750" s="4"/>
      <c r="U2750" s="4"/>
      <c r="V2750" s="4"/>
      <c r="W2750" s="5"/>
      <c r="X2750" s="4"/>
      <c r="Y2750" s="4"/>
      <c r="Z2750" s="5"/>
      <c r="AA2750" s="4"/>
      <c r="AB2750" s="4"/>
      <c r="AC2750" s="4"/>
      <c r="AD2750" s="4"/>
      <c r="AE2750" s="5"/>
      <c r="AF2750" s="5"/>
      <c r="AG2750" s="5"/>
      <c r="AH2750" s="5"/>
      <c r="AI2750" s="5"/>
      <c r="AJ2750" s="5"/>
      <c r="AK2750" s="5"/>
      <c r="AL2750" s="5"/>
    </row>
    <row r="2751">
      <c r="A2751" s="4" t="str">
        <f>VLOOKUP(L2751,payment_ids!C:D,2,FALSE)</f>
        <v>pay_HDSsyS3CjnH2sQ</v>
      </c>
      <c r="B2751" s="4"/>
      <c r="C2751" s="4" t="s">
        <v>6689</v>
      </c>
      <c r="D2751" s="4">
        <v>50058.0</v>
      </c>
      <c r="E2751" s="4"/>
      <c r="F2751" s="4">
        <v>1.0</v>
      </c>
      <c r="G2751" s="4">
        <v>599.0</v>
      </c>
      <c r="H2751" s="4"/>
      <c r="I2751" s="4">
        <v>599.0</v>
      </c>
      <c r="J2751" s="4" t="s">
        <v>6690</v>
      </c>
      <c r="K2751" s="6">
        <f>+919920816060</f>
        <v>919920816060</v>
      </c>
      <c r="L2751" s="4" t="str">
        <f t="shared" si="1"/>
        <v>payalpopat1993@yahoo.com919920816060</v>
      </c>
      <c r="M2751" s="10" t="s">
        <v>67</v>
      </c>
      <c r="N2751" s="4" t="b">
        <v>0</v>
      </c>
      <c r="O2751" s="4" t="str">
        <f>VLOOKUP(A2751,payment_ids!D:E,2,FALSE)</f>
        <v>upi</v>
      </c>
      <c r="P2751" s="4" t="s">
        <v>69</v>
      </c>
      <c r="Q2751" s="4" t="s">
        <v>6691</v>
      </c>
      <c r="R2751" s="4"/>
      <c r="S2751" s="12" t="s">
        <v>6692</v>
      </c>
      <c r="T2751" s="4"/>
      <c r="U2751" s="4"/>
      <c r="V2751" s="4"/>
      <c r="W2751" s="5"/>
      <c r="X2751" s="4"/>
      <c r="Y2751" s="4"/>
      <c r="Z2751" s="5"/>
      <c r="AA2751" s="4"/>
      <c r="AB2751" s="4"/>
      <c r="AC2751" s="4"/>
      <c r="AD2751" s="4"/>
      <c r="AE2751" s="5"/>
      <c r="AF2751" s="5"/>
      <c r="AG2751" s="5"/>
      <c r="AH2751" s="5"/>
      <c r="AI2751" s="5"/>
      <c r="AJ2751" s="5"/>
      <c r="AK2751" s="5"/>
      <c r="AL2751" s="5"/>
    </row>
    <row r="2752">
      <c r="A2752" s="4" t="str">
        <f>VLOOKUP(L2752,payment_ids!C:D,2,FALSE)</f>
        <v>pay_H6IynnXpQD3vtu</v>
      </c>
      <c r="B2752" s="4"/>
      <c r="C2752" s="4" t="s">
        <v>1025</v>
      </c>
      <c r="D2752" s="4">
        <v>49948.0</v>
      </c>
      <c r="E2752" s="4"/>
      <c r="F2752" s="4">
        <v>1.0</v>
      </c>
      <c r="G2752" s="4">
        <v>99.0</v>
      </c>
      <c r="H2752" s="4"/>
      <c r="I2752" s="4">
        <v>99.0</v>
      </c>
      <c r="J2752" s="4" t="s">
        <v>6693</v>
      </c>
      <c r="K2752" s="6">
        <f>+919958112731</f>
        <v>919958112731</v>
      </c>
      <c r="L2752" s="4" t="str">
        <f t="shared" si="1"/>
        <v>jai.lanba@likeminds.community919958112731</v>
      </c>
      <c r="M2752" s="10" t="s">
        <v>67</v>
      </c>
      <c r="N2752" s="4" t="b">
        <v>0</v>
      </c>
      <c r="O2752" s="4" t="str">
        <f>VLOOKUP(A2752,payment_ids!D:E,2,FALSE)</f>
        <v>upi</v>
      </c>
      <c r="P2752" s="4" t="s">
        <v>69</v>
      </c>
      <c r="Q2752" s="11">
        <v>44260.7125</v>
      </c>
      <c r="R2752" s="4"/>
      <c r="S2752" s="4"/>
      <c r="T2752" s="4"/>
      <c r="U2752" s="4"/>
      <c r="V2752" s="4"/>
      <c r="W2752" s="5"/>
      <c r="X2752" s="4"/>
      <c r="Y2752" s="4"/>
      <c r="Z2752" s="5"/>
      <c r="AA2752" s="4"/>
      <c r="AB2752" s="4"/>
      <c r="AC2752" s="4"/>
      <c r="AD2752" s="4"/>
      <c r="AE2752" s="5"/>
      <c r="AF2752" s="5"/>
      <c r="AG2752" s="5"/>
      <c r="AH2752" s="5"/>
      <c r="AI2752" s="5"/>
      <c r="AJ2752" s="5"/>
      <c r="AK2752" s="5"/>
      <c r="AL2752" s="5"/>
    </row>
    <row r="2753">
      <c r="A2753" s="4" t="str">
        <f>VLOOKUP(L2753,payment_ids!C:D,2,FALSE)</f>
        <v>pay_H9Y5KcBY59iPfo</v>
      </c>
      <c r="B2753" s="4"/>
      <c r="C2753" s="4" t="s">
        <v>1025</v>
      </c>
      <c r="D2753" s="4">
        <v>49948.0</v>
      </c>
      <c r="E2753" s="4"/>
      <c r="F2753" s="4">
        <v>3.0</v>
      </c>
      <c r="G2753" s="4">
        <v>199.0</v>
      </c>
      <c r="H2753" s="4"/>
      <c r="I2753" s="4">
        <v>199.0</v>
      </c>
      <c r="J2753" s="4" t="s">
        <v>6694</v>
      </c>
      <c r="K2753" s="6">
        <f>+919100183323</f>
        <v>919100183323</v>
      </c>
      <c r="L2753" s="4" t="str">
        <f t="shared" si="1"/>
        <v>amartyasaradhi@gmail.com919100183323</v>
      </c>
      <c r="M2753" s="10" t="s">
        <v>67</v>
      </c>
      <c r="N2753" s="4" t="b">
        <v>0</v>
      </c>
      <c r="O2753" s="4" t="str">
        <f>VLOOKUP(A2753,payment_ids!D:E,2,FALSE)</f>
        <v>upi</v>
      </c>
      <c r="P2753" s="4" t="s">
        <v>69</v>
      </c>
      <c r="Q2753" s="11">
        <v>44505.90972222222</v>
      </c>
      <c r="R2753" s="4"/>
      <c r="S2753" s="4"/>
      <c r="T2753" s="4"/>
      <c r="U2753" s="4"/>
      <c r="V2753" s="4"/>
      <c r="W2753" s="5"/>
      <c r="X2753" s="4"/>
      <c r="Y2753" s="4"/>
      <c r="Z2753" s="5"/>
      <c r="AA2753" s="4"/>
      <c r="AB2753" s="4"/>
      <c r="AC2753" s="4"/>
      <c r="AD2753" s="4"/>
      <c r="AE2753" s="5"/>
      <c r="AF2753" s="5"/>
      <c r="AG2753" s="5"/>
      <c r="AH2753" s="5"/>
      <c r="AI2753" s="5"/>
      <c r="AJ2753" s="5"/>
      <c r="AK2753" s="5"/>
      <c r="AL2753" s="5"/>
    </row>
  </sheetData>
  <autoFilter ref="$A$1:$T$2753">
    <sortState ref="A1:T2753">
      <sortCondition ref="Q1:Q2753"/>
      <sortCondition ref="J1:J2753"/>
      <sortCondition ref="C1:C2753"/>
    </sortState>
  </autoFilter>
  <hyperlinks>
    <hyperlink r:id="rId1" ref="S2"/>
    <hyperlink r:id="rId2" ref="S3"/>
    <hyperlink r:id="rId3" ref="S4"/>
    <hyperlink r:id="rId4" ref="S5"/>
    <hyperlink r:id="rId5" location="Pricing" ref="S6"/>
    <hyperlink r:id="rId6" location="Pricing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4"/>
    <hyperlink r:id="rId34" ref="S35"/>
    <hyperlink r:id="rId35" ref="S36"/>
    <hyperlink r:id="rId36" ref="S37"/>
    <hyperlink r:id="rId37" ref="S38"/>
    <hyperlink r:id="rId38" ref="S39"/>
    <hyperlink r:id="rId39" ref="S40"/>
    <hyperlink r:id="rId40" ref="S41"/>
    <hyperlink r:id="rId41" ref="S42"/>
    <hyperlink r:id="rId42" ref="S43"/>
    <hyperlink r:id="rId43" ref="S44"/>
    <hyperlink r:id="rId44" ref="S45"/>
    <hyperlink r:id="rId45" ref="S46"/>
    <hyperlink r:id="rId46" ref="S47"/>
    <hyperlink r:id="rId47" ref="S48"/>
    <hyperlink r:id="rId48" ref="S49"/>
    <hyperlink r:id="rId49" ref="S50"/>
    <hyperlink r:id="rId50" ref="S51"/>
    <hyperlink r:id="rId51" ref="S52"/>
    <hyperlink r:id="rId52" ref="S53"/>
    <hyperlink r:id="rId53" ref="S54"/>
    <hyperlink r:id="rId54" ref="S55"/>
    <hyperlink r:id="rId55" ref="S56"/>
    <hyperlink r:id="rId56" ref="S57"/>
    <hyperlink r:id="rId57" ref="S58"/>
    <hyperlink r:id="rId58" ref="S59"/>
    <hyperlink r:id="rId59" ref="S60"/>
    <hyperlink r:id="rId60" ref="S61"/>
    <hyperlink r:id="rId61" ref="S62"/>
    <hyperlink r:id="rId62" ref="S63"/>
    <hyperlink r:id="rId63" ref="S64"/>
    <hyperlink r:id="rId64" ref="S65"/>
    <hyperlink r:id="rId65" ref="S66"/>
    <hyperlink r:id="rId66" ref="S67"/>
    <hyperlink r:id="rId67" ref="S68"/>
    <hyperlink r:id="rId68" ref="S69"/>
    <hyperlink r:id="rId69" ref="S70"/>
    <hyperlink r:id="rId70" ref="S71"/>
    <hyperlink r:id="rId71" ref="S72"/>
    <hyperlink r:id="rId72" ref="S73"/>
    <hyperlink r:id="rId73" ref="S74"/>
    <hyperlink r:id="rId74" ref="S75"/>
    <hyperlink r:id="rId75" ref="S76"/>
    <hyperlink r:id="rId76" ref="S77"/>
    <hyperlink r:id="rId77" ref="S78"/>
    <hyperlink r:id="rId78" ref="S79"/>
    <hyperlink r:id="rId79" ref="S80"/>
    <hyperlink r:id="rId80" ref="S81"/>
    <hyperlink r:id="rId81" ref="S82"/>
    <hyperlink r:id="rId82" ref="S83"/>
    <hyperlink r:id="rId83" ref="S84"/>
    <hyperlink r:id="rId84" ref="S85"/>
    <hyperlink r:id="rId85" ref="S86"/>
    <hyperlink r:id="rId86" ref="S87"/>
    <hyperlink r:id="rId87" ref="S88"/>
    <hyperlink r:id="rId88" ref="S89"/>
    <hyperlink r:id="rId89" ref="S90"/>
    <hyperlink r:id="rId90" ref="S91"/>
    <hyperlink r:id="rId91" ref="S92"/>
    <hyperlink r:id="rId92" ref="S93"/>
    <hyperlink r:id="rId93" location="Pricing" ref="S94"/>
    <hyperlink r:id="rId94" location="Pricing" ref="S95"/>
    <hyperlink r:id="rId95" ref="S96"/>
    <hyperlink r:id="rId96" ref="S97"/>
    <hyperlink r:id="rId97" ref="S98"/>
    <hyperlink r:id="rId98" ref="S99"/>
    <hyperlink r:id="rId99" ref="S100"/>
    <hyperlink r:id="rId100" ref="S101"/>
    <hyperlink r:id="rId101" ref="S102"/>
    <hyperlink r:id="rId102" ref="S103"/>
    <hyperlink r:id="rId103" ref="S104"/>
    <hyperlink r:id="rId104" ref="S105"/>
    <hyperlink r:id="rId105" ref="S106"/>
    <hyperlink r:id="rId106" ref="S107"/>
    <hyperlink r:id="rId107" ref="S108"/>
    <hyperlink r:id="rId108" ref="S109"/>
    <hyperlink r:id="rId109" ref="S110"/>
    <hyperlink r:id="rId110" ref="S111"/>
    <hyperlink r:id="rId111" ref="S112"/>
    <hyperlink r:id="rId112" ref="S113"/>
    <hyperlink r:id="rId113" ref="S114"/>
    <hyperlink r:id="rId114" ref="S115"/>
    <hyperlink r:id="rId115" ref="S116"/>
    <hyperlink r:id="rId116" ref="S117"/>
    <hyperlink r:id="rId117" ref="S118"/>
    <hyperlink r:id="rId118" ref="S119"/>
    <hyperlink r:id="rId119" ref="S120"/>
    <hyperlink r:id="rId120" ref="S121"/>
    <hyperlink r:id="rId121" ref="S122"/>
    <hyperlink r:id="rId122" ref="S123"/>
    <hyperlink r:id="rId123" ref="S124"/>
    <hyperlink r:id="rId124" ref="S125"/>
    <hyperlink r:id="rId125" ref="S126"/>
    <hyperlink r:id="rId126" ref="S127"/>
    <hyperlink r:id="rId127" ref="S128"/>
    <hyperlink r:id="rId128" ref="S129"/>
    <hyperlink r:id="rId129" ref="S130"/>
    <hyperlink r:id="rId130" ref="S131"/>
    <hyperlink r:id="rId131" ref="S132"/>
    <hyperlink r:id="rId132" ref="S133"/>
    <hyperlink r:id="rId133" ref="S134"/>
    <hyperlink r:id="rId134" ref="S135"/>
    <hyperlink r:id="rId135" ref="S136"/>
    <hyperlink r:id="rId136" ref="S137"/>
    <hyperlink r:id="rId137" ref="S138"/>
    <hyperlink r:id="rId138" ref="S139"/>
    <hyperlink r:id="rId139" ref="S140"/>
    <hyperlink r:id="rId140" ref="S141"/>
    <hyperlink r:id="rId141" ref="S142"/>
    <hyperlink r:id="rId142" ref="S143"/>
    <hyperlink r:id="rId143" ref="S144"/>
    <hyperlink r:id="rId144" ref="S145"/>
    <hyperlink r:id="rId145" ref="S146"/>
    <hyperlink r:id="rId146" ref="S147"/>
    <hyperlink r:id="rId147" location="Pricing" ref="S148"/>
    <hyperlink r:id="rId148" ref="S149"/>
    <hyperlink r:id="rId149" ref="S150"/>
    <hyperlink r:id="rId150" ref="S151"/>
    <hyperlink r:id="rId151" ref="S152"/>
    <hyperlink r:id="rId152" ref="S153"/>
    <hyperlink r:id="rId153" ref="S154"/>
    <hyperlink r:id="rId154" ref="S155"/>
    <hyperlink r:id="rId155" ref="S156"/>
    <hyperlink r:id="rId156" ref="S157"/>
    <hyperlink r:id="rId157" ref="S158"/>
    <hyperlink r:id="rId158" ref="S159"/>
    <hyperlink r:id="rId159" ref="S160"/>
    <hyperlink r:id="rId160" ref="S161"/>
    <hyperlink r:id="rId161" ref="S162"/>
    <hyperlink r:id="rId162" ref="S163"/>
    <hyperlink r:id="rId163" ref="S164"/>
    <hyperlink r:id="rId164" ref="S165"/>
    <hyperlink r:id="rId165" ref="S166"/>
    <hyperlink r:id="rId166" ref="S167"/>
    <hyperlink r:id="rId167" ref="S168"/>
    <hyperlink r:id="rId168" ref="S169"/>
    <hyperlink r:id="rId169" ref="S170"/>
    <hyperlink r:id="rId170" ref="S171"/>
    <hyperlink r:id="rId171" ref="S172"/>
    <hyperlink r:id="rId172" ref="S173"/>
    <hyperlink r:id="rId173" ref="S174"/>
    <hyperlink r:id="rId174" ref="S175"/>
    <hyperlink r:id="rId175" ref="S176"/>
    <hyperlink r:id="rId176" ref="S177"/>
    <hyperlink r:id="rId177" ref="S178"/>
    <hyperlink r:id="rId178" ref="S179"/>
    <hyperlink r:id="rId179" ref="S180"/>
    <hyperlink r:id="rId180" ref="S181"/>
    <hyperlink r:id="rId181" ref="S182"/>
    <hyperlink r:id="rId182" ref="S183"/>
    <hyperlink r:id="rId183" ref="S184"/>
    <hyperlink r:id="rId184" ref="S185"/>
    <hyperlink r:id="rId185" ref="S186"/>
    <hyperlink r:id="rId186" ref="S187"/>
    <hyperlink r:id="rId187" ref="S188"/>
    <hyperlink r:id="rId188" ref="S189"/>
    <hyperlink r:id="rId189" ref="S190"/>
    <hyperlink r:id="rId190" ref="S191"/>
    <hyperlink r:id="rId191" ref="S192"/>
    <hyperlink r:id="rId192" ref="S193"/>
    <hyperlink r:id="rId193" ref="S194"/>
    <hyperlink r:id="rId194" ref="S195"/>
    <hyperlink r:id="rId195" ref="S196"/>
    <hyperlink r:id="rId196" ref="S197"/>
    <hyperlink r:id="rId197" ref="S198"/>
    <hyperlink r:id="rId198" ref="S199"/>
    <hyperlink r:id="rId199" ref="S200"/>
    <hyperlink r:id="rId200" ref="S201"/>
    <hyperlink r:id="rId201" ref="S202"/>
    <hyperlink r:id="rId202" ref="S203"/>
    <hyperlink r:id="rId203" ref="S204"/>
    <hyperlink r:id="rId204" ref="S205"/>
    <hyperlink r:id="rId205" ref="S206"/>
    <hyperlink r:id="rId206" ref="S207"/>
    <hyperlink r:id="rId207" ref="S208"/>
    <hyperlink r:id="rId208" ref="S209"/>
    <hyperlink r:id="rId209" ref="S210"/>
    <hyperlink r:id="rId210" ref="S211"/>
    <hyperlink r:id="rId211" ref="S212"/>
    <hyperlink r:id="rId212" ref="S213"/>
    <hyperlink r:id="rId213" ref="S214"/>
    <hyperlink r:id="rId214" ref="S215"/>
    <hyperlink r:id="rId215" ref="S216"/>
    <hyperlink r:id="rId216" ref="S217"/>
    <hyperlink r:id="rId217" ref="S218"/>
    <hyperlink r:id="rId218" ref="S219"/>
    <hyperlink r:id="rId219" ref="S220"/>
    <hyperlink r:id="rId220" ref="S221"/>
    <hyperlink r:id="rId221" ref="S222"/>
    <hyperlink r:id="rId222" ref="S223"/>
    <hyperlink r:id="rId223" ref="S224"/>
    <hyperlink r:id="rId224" ref="S225"/>
    <hyperlink r:id="rId225" ref="S226"/>
    <hyperlink r:id="rId226" ref="S227"/>
    <hyperlink r:id="rId227" ref="S228"/>
    <hyperlink r:id="rId228" ref="S229"/>
    <hyperlink r:id="rId229" ref="S230"/>
    <hyperlink r:id="rId230" ref="S231"/>
    <hyperlink r:id="rId231" ref="S232"/>
    <hyperlink r:id="rId232" ref="S233"/>
    <hyperlink r:id="rId233" ref="S234"/>
    <hyperlink r:id="rId234" ref="S235"/>
    <hyperlink r:id="rId235" ref="S236"/>
    <hyperlink r:id="rId236" ref="S237"/>
    <hyperlink r:id="rId237" ref="S238"/>
    <hyperlink r:id="rId238" ref="S239"/>
    <hyperlink r:id="rId239" ref="S240"/>
    <hyperlink r:id="rId240" ref="S241"/>
    <hyperlink r:id="rId241" ref="S242"/>
    <hyperlink r:id="rId242" ref="S243"/>
    <hyperlink r:id="rId243" ref="S244"/>
    <hyperlink r:id="rId244" ref="S245"/>
    <hyperlink r:id="rId245" ref="S246"/>
    <hyperlink r:id="rId246" ref="S247"/>
    <hyperlink r:id="rId247" ref="S248"/>
    <hyperlink r:id="rId248" ref="S249"/>
    <hyperlink r:id="rId249" ref="S250"/>
    <hyperlink r:id="rId250" ref="S251"/>
    <hyperlink r:id="rId251" ref="S252"/>
    <hyperlink r:id="rId252" ref="S253"/>
    <hyperlink r:id="rId253" ref="S254"/>
    <hyperlink r:id="rId254" ref="S255"/>
    <hyperlink r:id="rId255" ref="S256"/>
    <hyperlink r:id="rId256" ref="S257"/>
    <hyperlink r:id="rId257" ref="S258"/>
    <hyperlink r:id="rId258" ref="S259"/>
    <hyperlink r:id="rId259" ref="S260"/>
    <hyperlink r:id="rId260" ref="S261"/>
    <hyperlink r:id="rId261" ref="S262"/>
    <hyperlink r:id="rId262" ref="S263"/>
    <hyperlink r:id="rId263" ref="S264"/>
    <hyperlink r:id="rId264" ref="S265"/>
    <hyperlink r:id="rId265" ref="S266"/>
    <hyperlink r:id="rId266" ref="S267"/>
    <hyperlink r:id="rId267" ref="S268"/>
    <hyperlink r:id="rId268" ref="S269"/>
    <hyperlink r:id="rId269" ref="S270"/>
    <hyperlink r:id="rId270" ref="S271"/>
    <hyperlink r:id="rId271" ref="S272"/>
    <hyperlink r:id="rId272" location="Pricing" ref="S273"/>
    <hyperlink r:id="rId273" ref="S274"/>
    <hyperlink r:id="rId274" ref="S275"/>
    <hyperlink r:id="rId275" location="Pricing" ref="S276"/>
    <hyperlink r:id="rId276" ref="S277"/>
    <hyperlink r:id="rId277" ref="S278"/>
    <hyperlink r:id="rId278" ref="S279"/>
    <hyperlink r:id="rId279" ref="S280"/>
    <hyperlink r:id="rId280" ref="S281"/>
    <hyperlink r:id="rId281" ref="S282"/>
    <hyperlink r:id="rId282" ref="S283"/>
    <hyperlink r:id="rId283" ref="S284"/>
    <hyperlink r:id="rId284" ref="S285"/>
    <hyperlink r:id="rId285" ref="S286"/>
    <hyperlink r:id="rId286" location="Pricing" ref="S287"/>
    <hyperlink r:id="rId287" ref="S288"/>
    <hyperlink r:id="rId288" ref="S289"/>
    <hyperlink r:id="rId289" ref="S290"/>
    <hyperlink r:id="rId290" ref="S291"/>
    <hyperlink r:id="rId291" location="Pricing" ref="S292"/>
    <hyperlink r:id="rId292" location="Pricing" ref="S293"/>
    <hyperlink r:id="rId293" ref="S294"/>
    <hyperlink r:id="rId294" ref="S295"/>
    <hyperlink r:id="rId295" ref="S296"/>
    <hyperlink r:id="rId296" ref="S297"/>
    <hyperlink r:id="rId297" ref="S298"/>
    <hyperlink r:id="rId298" ref="S299"/>
    <hyperlink r:id="rId299" ref="S300"/>
    <hyperlink r:id="rId300" location="Pricing" ref="S301"/>
    <hyperlink r:id="rId301" ref="S302"/>
    <hyperlink r:id="rId302" ref="S303"/>
    <hyperlink r:id="rId303" ref="S304"/>
    <hyperlink r:id="rId304" ref="S305"/>
    <hyperlink r:id="rId305" ref="S306"/>
    <hyperlink r:id="rId306" ref="S307"/>
    <hyperlink r:id="rId307" ref="S308"/>
    <hyperlink r:id="rId308" ref="S309"/>
    <hyperlink r:id="rId309" ref="S310"/>
    <hyperlink r:id="rId310" ref="S311"/>
    <hyperlink r:id="rId311" ref="S312"/>
    <hyperlink r:id="rId312" ref="S313"/>
    <hyperlink r:id="rId313" ref="S314"/>
    <hyperlink r:id="rId314" ref="S315"/>
    <hyperlink r:id="rId315" ref="S316"/>
    <hyperlink r:id="rId316" ref="S317"/>
    <hyperlink r:id="rId317" ref="S318"/>
    <hyperlink r:id="rId318" ref="S319"/>
    <hyperlink r:id="rId319" ref="S320"/>
    <hyperlink r:id="rId320" ref="S321"/>
    <hyperlink r:id="rId321" ref="S322"/>
    <hyperlink r:id="rId322" ref="S323"/>
    <hyperlink r:id="rId323" ref="S324"/>
    <hyperlink r:id="rId324" ref="S325"/>
    <hyperlink r:id="rId325" ref="S326"/>
    <hyperlink r:id="rId326" ref="S327"/>
    <hyperlink r:id="rId327" ref="S328"/>
    <hyperlink r:id="rId328" ref="S329"/>
    <hyperlink r:id="rId329" ref="S330"/>
    <hyperlink r:id="rId330" ref="S331"/>
    <hyperlink r:id="rId331" ref="S332"/>
    <hyperlink r:id="rId332" ref="S333"/>
    <hyperlink r:id="rId333" ref="S334"/>
    <hyperlink r:id="rId334" ref="S335"/>
    <hyperlink r:id="rId335" ref="S336"/>
    <hyperlink r:id="rId336" ref="S337"/>
    <hyperlink r:id="rId337" ref="S338"/>
    <hyperlink r:id="rId338" ref="S339"/>
    <hyperlink r:id="rId339" ref="S340"/>
    <hyperlink r:id="rId340" ref="S341"/>
    <hyperlink r:id="rId341" ref="S342"/>
    <hyperlink r:id="rId342" ref="S343"/>
    <hyperlink r:id="rId343" ref="S344"/>
    <hyperlink r:id="rId344" ref="S345"/>
    <hyperlink r:id="rId345" ref="S346"/>
    <hyperlink r:id="rId346" ref="S347"/>
    <hyperlink r:id="rId347" ref="S348"/>
    <hyperlink r:id="rId348" ref="S349"/>
    <hyperlink r:id="rId349" ref="S350"/>
    <hyperlink r:id="rId350" ref="S351"/>
    <hyperlink r:id="rId351" ref="S352"/>
    <hyperlink r:id="rId352" ref="S353"/>
    <hyperlink r:id="rId353" ref="S354"/>
    <hyperlink r:id="rId354" ref="S355"/>
    <hyperlink r:id="rId355" location="Pricing" ref="S356"/>
    <hyperlink r:id="rId356" ref="S357"/>
    <hyperlink r:id="rId357" ref="S358"/>
    <hyperlink r:id="rId358" ref="S359"/>
    <hyperlink r:id="rId359" ref="S360"/>
    <hyperlink r:id="rId360" ref="S361"/>
    <hyperlink r:id="rId361" ref="S362"/>
    <hyperlink r:id="rId362" ref="S363"/>
    <hyperlink r:id="rId363" ref="S364"/>
    <hyperlink r:id="rId364" ref="S365"/>
    <hyperlink r:id="rId365" ref="S366"/>
    <hyperlink r:id="rId366" ref="S367"/>
    <hyperlink r:id="rId367" ref="S368"/>
    <hyperlink r:id="rId368" ref="S369"/>
    <hyperlink r:id="rId369" ref="S370"/>
    <hyperlink r:id="rId370" ref="S371"/>
    <hyperlink r:id="rId371" ref="S372"/>
    <hyperlink r:id="rId372" ref="S373"/>
    <hyperlink r:id="rId373" ref="S374"/>
    <hyperlink r:id="rId374" ref="S375"/>
    <hyperlink r:id="rId375" ref="S376"/>
    <hyperlink r:id="rId376" ref="S377"/>
    <hyperlink r:id="rId377" ref="S378"/>
    <hyperlink r:id="rId378" location="Pricing" ref="S379"/>
    <hyperlink r:id="rId379" location="Pricing" ref="S380"/>
    <hyperlink r:id="rId380" ref="S381"/>
    <hyperlink r:id="rId381" ref="S382"/>
    <hyperlink r:id="rId382" ref="S383"/>
    <hyperlink r:id="rId383" ref="S384"/>
    <hyperlink r:id="rId384" ref="S385"/>
    <hyperlink r:id="rId385" ref="S386"/>
    <hyperlink r:id="rId386" ref="S387"/>
    <hyperlink r:id="rId387" ref="S388"/>
    <hyperlink r:id="rId388" ref="S389"/>
    <hyperlink r:id="rId389" ref="S390"/>
    <hyperlink r:id="rId390" ref="S391"/>
    <hyperlink r:id="rId391" ref="S392"/>
    <hyperlink r:id="rId392" ref="S393"/>
    <hyperlink r:id="rId393" ref="S394"/>
    <hyperlink r:id="rId394" ref="S395"/>
    <hyperlink r:id="rId395" ref="S396"/>
    <hyperlink r:id="rId396" ref="S397"/>
    <hyperlink r:id="rId397" ref="S398"/>
    <hyperlink r:id="rId398" ref="S399"/>
    <hyperlink r:id="rId399" ref="S400"/>
    <hyperlink r:id="rId400" ref="S401"/>
    <hyperlink r:id="rId401" ref="S402"/>
    <hyperlink r:id="rId402" ref="S403"/>
    <hyperlink r:id="rId403" ref="S404"/>
    <hyperlink r:id="rId404" ref="S405"/>
    <hyperlink r:id="rId405" ref="S406"/>
    <hyperlink r:id="rId406" ref="S407"/>
    <hyperlink r:id="rId407" ref="S408"/>
    <hyperlink r:id="rId408" ref="S409"/>
    <hyperlink r:id="rId409" ref="S410"/>
    <hyperlink r:id="rId410" ref="S411"/>
    <hyperlink r:id="rId411" ref="S412"/>
    <hyperlink r:id="rId412" ref="S413"/>
    <hyperlink r:id="rId413" ref="S414"/>
    <hyperlink r:id="rId414" ref="S415"/>
    <hyperlink r:id="rId415" ref="S416"/>
    <hyperlink r:id="rId416" ref="S417"/>
    <hyperlink r:id="rId417" ref="S418"/>
    <hyperlink r:id="rId418" ref="S419"/>
    <hyperlink r:id="rId419" ref="S420"/>
    <hyperlink r:id="rId420" ref="S421"/>
    <hyperlink r:id="rId421" ref="S422"/>
    <hyperlink r:id="rId422" ref="S423"/>
    <hyperlink r:id="rId423" ref="S424"/>
    <hyperlink r:id="rId424" ref="S425"/>
    <hyperlink r:id="rId425" ref="S426"/>
    <hyperlink r:id="rId426" ref="S427"/>
    <hyperlink r:id="rId427" ref="S428"/>
    <hyperlink r:id="rId428" ref="S429"/>
    <hyperlink r:id="rId429" ref="S430"/>
    <hyperlink r:id="rId430" ref="S431"/>
    <hyperlink r:id="rId431" ref="S432"/>
    <hyperlink r:id="rId432" ref="S433"/>
    <hyperlink r:id="rId433" ref="S434"/>
    <hyperlink r:id="rId434" ref="S435"/>
    <hyperlink r:id="rId435" ref="S436"/>
    <hyperlink r:id="rId436" location="Pricing" ref="S437"/>
    <hyperlink r:id="rId437" ref="S438"/>
    <hyperlink r:id="rId438" ref="S439"/>
    <hyperlink r:id="rId439" ref="S440"/>
    <hyperlink r:id="rId440" ref="S441"/>
    <hyperlink r:id="rId441" ref="S442"/>
    <hyperlink r:id="rId442" ref="S443"/>
    <hyperlink r:id="rId443" ref="S444"/>
    <hyperlink r:id="rId444" location="Pricing" ref="S445"/>
    <hyperlink r:id="rId445" location="Pricing" ref="S446"/>
    <hyperlink r:id="rId446" ref="S447"/>
    <hyperlink r:id="rId447" ref="S448"/>
    <hyperlink r:id="rId448" ref="S449"/>
    <hyperlink r:id="rId449" location="Pricing" ref="S450"/>
    <hyperlink r:id="rId450" ref="S451"/>
    <hyperlink r:id="rId451" ref="S452"/>
    <hyperlink r:id="rId452" location="Pricing" ref="S453"/>
    <hyperlink r:id="rId453" ref="S454"/>
    <hyperlink r:id="rId454" ref="S455"/>
    <hyperlink r:id="rId455" ref="S456"/>
    <hyperlink r:id="rId456" ref="S457"/>
    <hyperlink r:id="rId457" ref="S458"/>
    <hyperlink r:id="rId458" ref="S459"/>
    <hyperlink r:id="rId459" ref="S460"/>
    <hyperlink r:id="rId460" ref="S461"/>
    <hyperlink r:id="rId461" ref="S462"/>
    <hyperlink r:id="rId462" ref="S463"/>
    <hyperlink r:id="rId463" ref="S464"/>
    <hyperlink r:id="rId464" ref="S465"/>
    <hyperlink r:id="rId465" location="Pricing" ref="S466"/>
    <hyperlink r:id="rId466" ref="S467"/>
    <hyperlink r:id="rId467" ref="S468"/>
    <hyperlink r:id="rId468" ref="S469"/>
    <hyperlink r:id="rId469" ref="S470"/>
    <hyperlink r:id="rId470" location="Pricing" ref="S471"/>
    <hyperlink r:id="rId471" ref="S472"/>
    <hyperlink r:id="rId472" ref="S473"/>
    <hyperlink r:id="rId473" ref="S474"/>
    <hyperlink r:id="rId474" ref="S476"/>
    <hyperlink r:id="rId475" ref="S477"/>
    <hyperlink r:id="rId476" ref="S478"/>
    <hyperlink r:id="rId477" ref="S479"/>
    <hyperlink r:id="rId478" ref="S480"/>
    <hyperlink r:id="rId479" ref="S481"/>
    <hyperlink r:id="rId480" ref="S482"/>
    <hyperlink r:id="rId481" ref="S483"/>
    <hyperlink r:id="rId482" ref="S484"/>
    <hyperlink r:id="rId483" ref="S485"/>
    <hyperlink r:id="rId484" ref="S486"/>
    <hyperlink r:id="rId485" ref="S487"/>
    <hyperlink r:id="rId486" ref="S488"/>
    <hyperlink r:id="rId487" ref="S489"/>
    <hyperlink r:id="rId488" ref="S490"/>
    <hyperlink r:id="rId489" ref="S491"/>
    <hyperlink r:id="rId490" ref="S492"/>
    <hyperlink r:id="rId491" ref="S493"/>
    <hyperlink r:id="rId492" ref="S494"/>
    <hyperlink r:id="rId493" ref="S495"/>
    <hyperlink r:id="rId494" ref="S496"/>
    <hyperlink r:id="rId495" ref="S497"/>
    <hyperlink r:id="rId496" ref="S498"/>
    <hyperlink r:id="rId497" ref="S499"/>
    <hyperlink r:id="rId498" ref="S500"/>
    <hyperlink r:id="rId499" ref="S501"/>
    <hyperlink r:id="rId500" ref="S502"/>
    <hyperlink r:id="rId501" ref="S503"/>
    <hyperlink r:id="rId502" ref="S504"/>
    <hyperlink r:id="rId503" ref="S505"/>
    <hyperlink r:id="rId504" ref="S506"/>
    <hyperlink r:id="rId505" ref="S507"/>
    <hyperlink r:id="rId506" ref="S508"/>
    <hyperlink r:id="rId507" ref="S509"/>
    <hyperlink r:id="rId508" ref="S510"/>
    <hyperlink r:id="rId509" ref="S511"/>
    <hyperlink r:id="rId510" location="Pricing" ref="S512"/>
    <hyperlink r:id="rId511" ref="S513"/>
    <hyperlink r:id="rId512" ref="S514"/>
    <hyperlink r:id="rId513" location="Pricing" ref="S515"/>
    <hyperlink r:id="rId514" ref="S516"/>
    <hyperlink r:id="rId515" ref="S517"/>
    <hyperlink r:id="rId516" ref="S518"/>
    <hyperlink r:id="rId517" ref="S519"/>
    <hyperlink r:id="rId518" ref="S520"/>
    <hyperlink r:id="rId519" ref="S521"/>
    <hyperlink r:id="rId520" ref="S522"/>
    <hyperlink r:id="rId521" ref="S523"/>
    <hyperlink r:id="rId522" ref="S524"/>
    <hyperlink r:id="rId523" ref="S525"/>
    <hyperlink r:id="rId524" ref="S526"/>
    <hyperlink r:id="rId525" ref="S527"/>
    <hyperlink r:id="rId526" ref="S528"/>
    <hyperlink r:id="rId527" ref="S529"/>
    <hyperlink r:id="rId528" ref="S530"/>
    <hyperlink r:id="rId529" ref="S531"/>
    <hyperlink r:id="rId530" ref="S532"/>
    <hyperlink r:id="rId531" ref="S533"/>
    <hyperlink r:id="rId532" ref="S534"/>
    <hyperlink r:id="rId533" ref="S535"/>
    <hyperlink r:id="rId534" ref="S536"/>
    <hyperlink r:id="rId535" ref="S537"/>
    <hyperlink r:id="rId536" ref="S538"/>
    <hyperlink r:id="rId537" ref="S539"/>
    <hyperlink r:id="rId538" ref="S540"/>
    <hyperlink r:id="rId539" ref="S541"/>
    <hyperlink r:id="rId540" ref="S542"/>
    <hyperlink r:id="rId541" ref="S543"/>
    <hyperlink r:id="rId542" ref="S544"/>
    <hyperlink r:id="rId543" ref="S545"/>
    <hyperlink r:id="rId544" ref="S546"/>
    <hyperlink r:id="rId545" ref="S547"/>
    <hyperlink r:id="rId546" ref="S548"/>
    <hyperlink r:id="rId547" ref="S549"/>
    <hyperlink r:id="rId548" ref="S550"/>
    <hyperlink r:id="rId549" ref="S551"/>
    <hyperlink r:id="rId550" ref="S552"/>
    <hyperlink r:id="rId551" ref="S553"/>
    <hyperlink r:id="rId552" ref="S554"/>
    <hyperlink r:id="rId553" ref="S555"/>
    <hyperlink r:id="rId554" ref="S556"/>
    <hyperlink r:id="rId555" ref="S557"/>
    <hyperlink r:id="rId556" ref="S558"/>
    <hyperlink r:id="rId557" ref="S559"/>
    <hyperlink r:id="rId558" ref="S560"/>
    <hyperlink r:id="rId559" ref="S561"/>
    <hyperlink r:id="rId560" ref="S562"/>
    <hyperlink r:id="rId561" ref="S563"/>
    <hyperlink r:id="rId562" ref="S564"/>
    <hyperlink r:id="rId563" ref="S565"/>
    <hyperlink r:id="rId564" ref="S566"/>
    <hyperlink r:id="rId565" ref="S567"/>
    <hyperlink r:id="rId566" ref="S568"/>
    <hyperlink r:id="rId567" ref="S569"/>
    <hyperlink r:id="rId568" ref="S570"/>
    <hyperlink r:id="rId569" ref="S571"/>
    <hyperlink r:id="rId570" ref="S572"/>
    <hyperlink r:id="rId571" ref="S573"/>
    <hyperlink r:id="rId572" ref="S574"/>
    <hyperlink r:id="rId573" ref="S575"/>
    <hyperlink r:id="rId574" ref="S576"/>
    <hyperlink r:id="rId575" ref="S577"/>
    <hyperlink r:id="rId576" ref="S578"/>
    <hyperlink r:id="rId577" ref="S579"/>
    <hyperlink r:id="rId578" ref="S580"/>
    <hyperlink r:id="rId579" ref="S581"/>
    <hyperlink r:id="rId580" ref="S582"/>
    <hyperlink r:id="rId581" ref="S583"/>
    <hyperlink r:id="rId582" ref="S584"/>
    <hyperlink r:id="rId583" ref="S585"/>
    <hyperlink r:id="rId584" ref="S586"/>
    <hyperlink r:id="rId585" ref="S587"/>
    <hyperlink r:id="rId586" ref="S588"/>
    <hyperlink r:id="rId587" ref="S589"/>
    <hyperlink r:id="rId588" ref="S590"/>
    <hyperlink r:id="rId589" ref="S591"/>
    <hyperlink r:id="rId590" ref="S592"/>
    <hyperlink r:id="rId591" ref="S593"/>
    <hyperlink r:id="rId592" ref="S594"/>
    <hyperlink r:id="rId593" ref="S595"/>
    <hyperlink r:id="rId594" ref="S596"/>
    <hyperlink r:id="rId595" ref="S597"/>
    <hyperlink r:id="rId596" ref="S598"/>
    <hyperlink r:id="rId597" ref="S599"/>
    <hyperlink r:id="rId598" ref="S600"/>
    <hyperlink r:id="rId599" ref="S601"/>
    <hyperlink r:id="rId600" ref="S602"/>
    <hyperlink r:id="rId601" ref="S603"/>
    <hyperlink r:id="rId602" ref="S604"/>
    <hyperlink r:id="rId603" ref="S605"/>
    <hyperlink r:id="rId604" ref="S606"/>
    <hyperlink r:id="rId605" ref="S607"/>
    <hyperlink r:id="rId606" ref="S608"/>
    <hyperlink r:id="rId607" ref="S609"/>
    <hyperlink r:id="rId608" ref="S610"/>
    <hyperlink r:id="rId609" ref="S611"/>
    <hyperlink r:id="rId610" ref="S612"/>
    <hyperlink r:id="rId611" ref="S613"/>
    <hyperlink r:id="rId612" ref="S614"/>
    <hyperlink r:id="rId613" ref="S615"/>
    <hyperlink r:id="rId614" ref="S616"/>
    <hyperlink r:id="rId615" ref="S617"/>
    <hyperlink r:id="rId616" ref="S618"/>
    <hyperlink r:id="rId617" ref="S619"/>
    <hyperlink r:id="rId618" ref="S620"/>
    <hyperlink r:id="rId619" ref="S621"/>
    <hyperlink r:id="rId620" ref="S622"/>
    <hyperlink r:id="rId621" ref="S623"/>
    <hyperlink r:id="rId622" ref="S624"/>
    <hyperlink r:id="rId623" ref="S625"/>
    <hyperlink r:id="rId624" ref="S626"/>
    <hyperlink r:id="rId625" ref="S627"/>
    <hyperlink r:id="rId626" ref="S628"/>
    <hyperlink r:id="rId627" ref="S629"/>
    <hyperlink r:id="rId628" ref="S630"/>
    <hyperlink r:id="rId629" ref="S631"/>
    <hyperlink r:id="rId630" ref="S632"/>
    <hyperlink r:id="rId631" ref="S633"/>
    <hyperlink r:id="rId632" ref="S634"/>
    <hyperlink r:id="rId633" ref="S635"/>
    <hyperlink r:id="rId634" ref="S636"/>
    <hyperlink r:id="rId635" ref="S637"/>
    <hyperlink r:id="rId636" ref="S638"/>
    <hyperlink r:id="rId637" ref="S639"/>
    <hyperlink r:id="rId638" ref="S640"/>
    <hyperlink r:id="rId639" ref="S641"/>
    <hyperlink r:id="rId640" ref="S642"/>
    <hyperlink r:id="rId641" ref="S643"/>
    <hyperlink r:id="rId642" ref="S644"/>
    <hyperlink r:id="rId643" ref="S645"/>
    <hyperlink r:id="rId644" ref="S646"/>
    <hyperlink r:id="rId645" ref="S647"/>
    <hyperlink r:id="rId646" ref="S648"/>
    <hyperlink r:id="rId647" ref="S649"/>
    <hyperlink r:id="rId648" ref="S650"/>
    <hyperlink r:id="rId649" ref="S651"/>
    <hyperlink r:id="rId650" ref="S652"/>
    <hyperlink r:id="rId651" ref="S653"/>
    <hyperlink r:id="rId652" ref="S654"/>
    <hyperlink r:id="rId653" ref="S655"/>
    <hyperlink r:id="rId654" ref="S656"/>
    <hyperlink r:id="rId655" ref="S657"/>
    <hyperlink r:id="rId656" ref="S658"/>
    <hyperlink r:id="rId657" ref="S659"/>
    <hyperlink r:id="rId658" ref="S660"/>
    <hyperlink r:id="rId659" ref="S661"/>
    <hyperlink r:id="rId660" ref="S662"/>
    <hyperlink r:id="rId661" ref="S663"/>
    <hyperlink r:id="rId662" ref="S664"/>
    <hyperlink r:id="rId663" ref="S665"/>
    <hyperlink r:id="rId664" ref="S666"/>
    <hyperlink r:id="rId665" ref="S667"/>
    <hyperlink r:id="rId666" ref="S668"/>
    <hyperlink r:id="rId667" ref="S669"/>
    <hyperlink r:id="rId668" ref="S670"/>
    <hyperlink r:id="rId669" ref="S671"/>
    <hyperlink r:id="rId670" ref="S672"/>
    <hyperlink r:id="rId671" ref="S673"/>
    <hyperlink r:id="rId672" ref="S674"/>
    <hyperlink r:id="rId673" ref="S675"/>
    <hyperlink r:id="rId674" ref="S676"/>
    <hyperlink r:id="rId675" ref="S677"/>
    <hyperlink r:id="rId676" ref="S678"/>
    <hyperlink r:id="rId677" ref="S679"/>
    <hyperlink r:id="rId678" location="Pricing" ref="S680"/>
    <hyperlink r:id="rId679" ref="S681"/>
    <hyperlink r:id="rId680" location="Pricing" ref="S682"/>
    <hyperlink r:id="rId681" location="Pricing" ref="S683"/>
    <hyperlink r:id="rId682" location="Pricing" ref="S684"/>
    <hyperlink r:id="rId683" ref="S685"/>
    <hyperlink r:id="rId684" ref="S686"/>
    <hyperlink r:id="rId685" ref="S687"/>
    <hyperlink r:id="rId686" ref="S688"/>
    <hyperlink r:id="rId687" location="Pricing" ref="S689"/>
    <hyperlink r:id="rId688" location="Pricing" ref="S690"/>
    <hyperlink r:id="rId689" ref="S691"/>
    <hyperlink r:id="rId690" ref="S692"/>
    <hyperlink r:id="rId691" ref="S693"/>
    <hyperlink r:id="rId692" ref="S694"/>
    <hyperlink r:id="rId693" ref="S695"/>
    <hyperlink r:id="rId694" location="Pricing" ref="S696"/>
    <hyperlink r:id="rId695" location="Pricing" ref="S697"/>
    <hyperlink r:id="rId696" location="Pricing" ref="S698"/>
    <hyperlink r:id="rId697" location="Pricing" ref="S699"/>
    <hyperlink r:id="rId698" ref="S700"/>
    <hyperlink r:id="rId699" ref="S701"/>
    <hyperlink r:id="rId700" ref="S702"/>
    <hyperlink r:id="rId701" ref="S703"/>
    <hyperlink r:id="rId702" ref="S704"/>
    <hyperlink r:id="rId703" ref="S705"/>
    <hyperlink r:id="rId704" ref="S706"/>
    <hyperlink r:id="rId705" ref="S707"/>
    <hyperlink r:id="rId706" ref="S708"/>
    <hyperlink r:id="rId707" ref="S709"/>
    <hyperlink r:id="rId708" ref="S710"/>
    <hyperlink r:id="rId709" ref="S711"/>
    <hyperlink r:id="rId710" ref="S712"/>
    <hyperlink r:id="rId711" ref="S713"/>
    <hyperlink r:id="rId712" ref="S714"/>
    <hyperlink r:id="rId713" ref="S715"/>
    <hyperlink r:id="rId714" ref="S716"/>
    <hyperlink r:id="rId715" ref="S717"/>
    <hyperlink r:id="rId716" ref="S718"/>
    <hyperlink r:id="rId717" ref="S719"/>
    <hyperlink r:id="rId718" ref="S720"/>
    <hyperlink r:id="rId719" ref="S721"/>
    <hyperlink r:id="rId720" ref="S722"/>
    <hyperlink r:id="rId721" ref="S723"/>
    <hyperlink r:id="rId722" ref="S724"/>
    <hyperlink r:id="rId723" ref="S725"/>
    <hyperlink r:id="rId724" ref="S726"/>
    <hyperlink r:id="rId725" ref="S727"/>
    <hyperlink r:id="rId726" ref="S728"/>
    <hyperlink r:id="rId727" ref="S729"/>
    <hyperlink r:id="rId728" ref="S730"/>
    <hyperlink r:id="rId729" ref="S731"/>
    <hyperlink r:id="rId730" ref="S732"/>
    <hyperlink r:id="rId731" ref="S733"/>
    <hyperlink r:id="rId732" ref="S734"/>
    <hyperlink r:id="rId733" ref="S735"/>
    <hyperlink r:id="rId734" ref="S736"/>
    <hyperlink r:id="rId735" ref="S737"/>
    <hyperlink r:id="rId736" ref="S738"/>
    <hyperlink r:id="rId737" ref="S739"/>
    <hyperlink r:id="rId738" ref="S740"/>
    <hyperlink r:id="rId739" ref="S741"/>
    <hyperlink r:id="rId740" ref="S742"/>
    <hyperlink r:id="rId741" ref="S743"/>
    <hyperlink r:id="rId742" ref="S744"/>
    <hyperlink r:id="rId743" location="Pricing" ref="S745"/>
    <hyperlink r:id="rId744" ref="S746"/>
    <hyperlink r:id="rId745" ref="S747"/>
    <hyperlink r:id="rId746" ref="S748"/>
    <hyperlink r:id="rId747" ref="S749"/>
    <hyperlink r:id="rId748" location="FAQ" ref="S750"/>
    <hyperlink r:id="rId749" ref="S751"/>
    <hyperlink r:id="rId750" ref="S752"/>
    <hyperlink r:id="rId751" ref="S753"/>
    <hyperlink r:id="rId752" ref="S754"/>
    <hyperlink r:id="rId753" ref="S755"/>
    <hyperlink r:id="rId754" ref="S756"/>
    <hyperlink r:id="rId755" ref="S757"/>
    <hyperlink r:id="rId756" ref="S758"/>
    <hyperlink r:id="rId757" ref="S759"/>
    <hyperlink r:id="rId758" location="Pricing" ref="S760"/>
    <hyperlink r:id="rId759" ref="S761"/>
    <hyperlink r:id="rId760" ref="S762"/>
    <hyperlink r:id="rId761" ref="S763"/>
    <hyperlink r:id="rId762" ref="S764"/>
    <hyperlink r:id="rId763" ref="S765"/>
    <hyperlink r:id="rId764" ref="S766"/>
    <hyperlink r:id="rId765" ref="S767"/>
    <hyperlink r:id="rId766" ref="S768"/>
    <hyperlink r:id="rId767" ref="S769"/>
    <hyperlink r:id="rId768" ref="S770"/>
    <hyperlink r:id="rId769" ref="S771"/>
    <hyperlink r:id="rId770" ref="S772"/>
    <hyperlink r:id="rId771" ref="S773"/>
    <hyperlink r:id="rId772" ref="S774"/>
    <hyperlink r:id="rId773" ref="S775"/>
    <hyperlink r:id="rId774" ref="S776"/>
    <hyperlink r:id="rId775" ref="S777"/>
    <hyperlink r:id="rId776" location="Pricing" ref="S778"/>
    <hyperlink r:id="rId777" ref="S779"/>
    <hyperlink r:id="rId778" location="Pricing" ref="S780"/>
    <hyperlink r:id="rId779" ref="S781"/>
    <hyperlink r:id="rId780" ref="S782"/>
    <hyperlink r:id="rId781" location="Pricing" ref="S783"/>
    <hyperlink r:id="rId782" ref="S784"/>
    <hyperlink r:id="rId783" ref="S785"/>
    <hyperlink r:id="rId784" ref="S786"/>
    <hyperlink r:id="rId785" ref="S787"/>
    <hyperlink r:id="rId786" ref="S788"/>
    <hyperlink r:id="rId787" ref="S789"/>
    <hyperlink r:id="rId788" ref="S790"/>
    <hyperlink r:id="rId789" ref="S791"/>
    <hyperlink r:id="rId790" ref="S792"/>
    <hyperlink r:id="rId791" ref="S793"/>
    <hyperlink r:id="rId792" ref="S794"/>
    <hyperlink r:id="rId793" location="Pricing" ref="S795"/>
    <hyperlink r:id="rId794" ref="S796"/>
    <hyperlink r:id="rId795" ref="S797"/>
    <hyperlink r:id="rId796" ref="S798"/>
    <hyperlink r:id="rId797" ref="S799"/>
    <hyperlink r:id="rId798" ref="S800"/>
    <hyperlink r:id="rId799" ref="S801"/>
    <hyperlink r:id="rId800" ref="S802"/>
    <hyperlink r:id="rId801" ref="S803"/>
    <hyperlink r:id="rId802" ref="S804"/>
    <hyperlink r:id="rId803" ref="S805"/>
    <hyperlink r:id="rId804" ref="S806"/>
    <hyperlink r:id="rId805" ref="S807"/>
    <hyperlink r:id="rId806" ref="S808"/>
    <hyperlink r:id="rId807" ref="S809"/>
    <hyperlink r:id="rId808" ref="S810"/>
    <hyperlink r:id="rId809" location="Pricing" ref="S811"/>
    <hyperlink r:id="rId810" ref="S812"/>
    <hyperlink r:id="rId811" ref="S813"/>
    <hyperlink r:id="rId812" ref="S814"/>
    <hyperlink r:id="rId813" ref="S815"/>
    <hyperlink r:id="rId814" ref="S816"/>
    <hyperlink r:id="rId815" ref="S817"/>
    <hyperlink r:id="rId816" ref="S818"/>
    <hyperlink r:id="rId817" ref="S819"/>
    <hyperlink r:id="rId818" ref="S820"/>
    <hyperlink r:id="rId819" ref="S821"/>
    <hyperlink r:id="rId820" location="Pricing" ref="S822"/>
    <hyperlink r:id="rId821" ref="S823"/>
    <hyperlink r:id="rId822" ref="S824"/>
    <hyperlink r:id="rId823" location="Pricing" ref="S825"/>
    <hyperlink r:id="rId824" ref="S826"/>
    <hyperlink r:id="rId825" ref="S827"/>
    <hyperlink r:id="rId826" ref="S828"/>
    <hyperlink r:id="rId827" ref="S829"/>
    <hyperlink r:id="rId828" ref="S830"/>
    <hyperlink r:id="rId829" ref="S831"/>
    <hyperlink r:id="rId830" ref="S832"/>
    <hyperlink r:id="rId831" ref="S833"/>
    <hyperlink r:id="rId832" ref="S834"/>
    <hyperlink r:id="rId833" ref="S835"/>
    <hyperlink r:id="rId834" ref="S836"/>
    <hyperlink r:id="rId835" ref="S837"/>
    <hyperlink r:id="rId836" ref="S838"/>
    <hyperlink r:id="rId837" ref="S839"/>
    <hyperlink r:id="rId838" ref="S840"/>
    <hyperlink r:id="rId839" ref="S841"/>
    <hyperlink r:id="rId840" ref="S842"/>
    <hyperlink r:id="rId841" ref="S843"/>
    <hyperlink r:id="rId842" ref="S844"/>
    <hyperlink r:id="rId843" ref="S845"/>
    <hyperlink r:id="rId844" ref="S846"/>
    <hyperlink r:id="rId845" ref="S847"/>
    <hyperlink r:id="rId846" ref="S848"/>
    <hyperlink r:id="rId847" ref="S849"/>
    <hyperlink r:id="rId848" ref="S850"/>
    <hyperlink r:id="rId849" ref="S851"/>
    <hyperlink r:id="rId850" ref="S852"/>
    <hyperlink r:id="rId851" ref="S853"/>
    <hyperlink r:id="rId852" ref="S854"/>
    <hyperlink r:id="rId853" ref="S855"/>
    <hyperlink r:id="rId854" ref="S856"/>
    <hyperlink r:id="rId855" ref="S857"/>
    <hyperlink r:id="rId856" ref="S858"/>
    <hyperlink r:id="rId857" ref="S859"/>
    <hyperlink r:id="rId858" ref="S860"/>
    <hyperlink r:id="rId859" ref="S861"/>
    <hyperlink r:id="rId860" ref="S862"/>
    <hyperlink r:id="rId861" ref="S863"/>
    <hyperlink r:id="rId862" ref="S864"/>
    <hyperlink r:id="rId863" location="Pricing" ref="S865"/>
    <hyperlink r:id="rId864" location="Pricing" ref="S866"/>
    <hyperlink r:id="rId865" ref="S867"/>
    <hyperlink r:id="rId866" location="Pricing" ref="S868"/>
    <hyperlink r:id="rId867" location="Pricing" ref="S869"/>
    <hyperlink r:id="rId868" ref="S870"/>
    <hyperlink r:id="rId869" ref="S871"/>
    <hyperlink r:id="rId870" ref="S872"/>
    <hyperlink r:id="rId871" ref="S873"/>
    <hyperlink r:id="rId872" ref="S874"/>
    <hyperlink r:id="rId873" ref="S875"/>
    <hyperlink r:id="rId874" ref="S876"/>
    <hyperlink r:id="rId875" ref="S877"/>
    <hyperlink r:id="rId876" ref="S878"/>
    <hyperlink r:id="rId877" ref="S879"/>
    <hyperlink r:id="rId878" ref="S880"/>
    <hyperlink r:id="rId879" ref="S881"/>
    <hyperlink r:id="rId880" ref="S882"/>
    <hyperlink r:id="rId881" ref="S883"/>
    <hyperlink r:id="rId882" ref="S884"/>
    <hyperlink r:id="rId883" ref="S885"/>
    <hyperlink r:id="rId884" ref="S886"/>
    <hyperlink r:id="rId885" ref="S887"/>
    <hyperlink r:id="rId886" ref="S888"/>
    <hyperlink r:id="rId887" ref="S889"/>
    <hyperlink r:id="rId888" ref="S890"/>
    <hyperlink r:id="rId889" ref="S891"/>
    <hyperlink r:id="rId890" ref="S892"/>
    <hyperlink r:id="rId891" ref="S893"/>
    <hyperlink r:id="rId892" location="Pricing" ref="S894"/>
    <hyperlink r:id="rId893" location="Pricing" ref="S895"/>
    <hyperlink r:id="rId894" ref="S896"/>
    <hyperlink r:id="rId895" ref="S897"/>
    <hyperlink r:id="rId896" ref="S898"/>
    <hyperlink r:id="rId897" ref="S899"/>
    <hyperlink r:id="rId898" ref="S900"/>
    <hyperlink r:id="rId899" ref="S901"/>
    <hyperlink r:id="rId900" ref="S902"/>
    <hyperlink r:id="rId901" ref="S903"/>
    <hyperlink r:id="rId902" ref="S904"/>
    <hyperlink r:id="rId903" ref="S905"/>
    <hyperlink r:id="rId904" ref="S906"/>
    <hyperlink r:id="rId905" location="Pricing" ref="S907"/>
    <hyperlink r:id="rId906" ref="S908"/>
    <hyperlink r:id="rId907" ref="S909"/>
    <hyperlink r:id="rId908" ref="S910"/>
    <hyperlink r:id="rId909" ref="S911"/>
    <hyperlink r:id="rId910" ref="S912"/>
    <hyperlink r:id="rId911" ref="S913"/>
    <hyperlink r:id="rId912" ref="S914"/>
    <hyperlink r:id="rId913" ref="S915"/>
    <hyperlink r:id="rId914" ref="S916"/>
    <hyperlink r:id="rId915" ref="S917"/>
    <hyperlink r:id="rId916" ref="S918"/>
    <hyperlink r:id="rId917" ref="S919"/>
    <hyperlink r:id="rId918" ref="S920"/>
    <hyperlink r:id="rId919" ref="S921"/>
    <hyperlink r:id="rId920" ref="S922"/>
    <hyperlink r:id="rId921" ref="S923"/>
    <hyperlink r:id="rId922" ref="S924"/>
    <hyperlink r:id="rId923" ref="S925"/>
    <hyperlink r:id="rId924" ref="S926"/>
    <hyperlink r:id="rId925" ref="S927"/>
    <hyperlink r:id="rId926" ref="S928"/>
    <hyperlink r:id="rId927" ref="S929"/>
    <hyperlink r:id="rId928" ref="S930"/>
    <hyperlink r:id="rId929" ref="S931"/>
    <hyperlink r:id="rId930" ref="S932"/>
    <hyperlink r:id="rId931" ref="S933"/>
    <hyperlink r:id="rId932" ref="S934"/>
    <hyperlink r:id="rId933" ref="S935"/>
    <hyperlink r:id="rId934" ref="S936"/>
    <hyperlink r:id="rId935" ref="S937"/>
    <hyperlink r:id="rId936" ref="S938"/>
    <hyperlink r:id="rId937" ref="S939"/>
    <hyperlink r:id="rId938" ref="S940"/>
    <hyperlink r:id="rId939" ref="S941"/>
    <hyperlink r:id="rId940" ref="S942"/>
    <hyperlink r:id="rId941" ref="S943"/>
    <hyperlink r:id="rId942" ref="S944"/>
    <hyperlink r:id="rId943" ref="S945"/>
    <hyperlink r:id="rId944" ref="S946"/>
    <hyperlink r:id="rId945" ref="S947"/>
    <hyperlink r:id="rId946" ref="S948"/>
    <hyperlink r:id="rId947" ref="S949"/>
    <hyperlink r:id="rId948" ref="S950"/>
    <hyperlink r:id="rId949" ref="S951"/>
    <hyperlink r:id="rId950" ref="S952"/>
    <hyperlink r:id="rId951" ref="S953"/>
    <hyperlink r:id="rId952" location="Pricing" ref="S954"/>
    <hyperlink r:id="rId953" ref="S955"/>
    <hyperlink r:id="rId954" ref="S956"/>
    <hyperlink r:id="rId955" ref="S957"/>
    <hyperlink r:id="rId956" ref="S958"/>
    <hyperlink r:id="rId957" ref="S959"/>
    <hyperlink r:id="rId958" ref="S960"/>
    <hyperlink r:id="rId959" ref="S961"/>
    <hyperlink r:id="rId960" ref="S962"/>
    <hyperlink r:id="rId961" ref="S963"/>
    <hyperlink r:id="rId962" ref="S964"/>
    <hyperlink r:id="rId963" ref="S965"/>
    <hyperlink r:id="rId964" ref="S966"/>
    <hyperlink r:id="rId965" ref="S967"/>
    <hyperlink r:id="rId966" ref="S968"/>
    <hyperlink r:id="rId967" ref="S969"/>
    <hyperlink r:id="rId968" ref="S970"/>
    <hyperlink r:id="rId969" location="Pricing" ref="S971"/>
    <hyperlink r:id="rId970" location="Pricing" ref="S972"/>
    <hyperlink r:id="rId971" location="Pricing" ref="S973"/>
    <hyperlink r:id="rId972" location="Pricing" ref="S974"/>
    <hyperlink r:id="rId973" location="Pricing" ref="S975"/>
    <hyperlink r:id="rId974" location="Pricing" ref="S976"/>
    <hyperlink r:id="rId975" location="Pricing" ref="S977"/>
    <hyperlink r:id="rId976" location="Pricing" ref="S978"/>
    <hyperlink r:id="rId977" location="Pricing" ref="S979"/>
    <hyperlink r:id="rId978" location="Pricing" ref="S980"/>
    <hyperlink r:id="rId979" location="Pricing" ref="S981"/>
    <hyperlink r:id="rId980" ref="S982"/>
    <hyperlink r:id="rId981" ref="S983"/>
    <hyperlink r:id="rId982" location="Pricing" ref="S984"/>
    <hyperlink r:id="rId983" ref="S985"/>
    <hyperlink r:id="rId984" ref="S986"/>
    <hyperlink r:id="rId985" location="Pricing" ref="S987"/>
    <hyperlink r:id="rId986" location="Pricing" ref="S988"/>
    <hyperlink r:id="rId987" ref="S989"/>
    <hyperlink r:id="rId988" location="Pricing" ref="S990"/>
    <hyperlink r:id="rId989" location="Pricing" ref="S991"/>
    <hyperlink r:id="rId990" location="Pricing" ref="S992"/>
    <hyperlink r:id="rId991" location="Pricing" ref="S993"/>
    <hyperlink r:id="rId992" location="Pricing" ref="S994"/>
    <hyperlink r:id="rId993" ref="S995"/>
    <hyperlink r:id="rId994" location="Pricing" ref="S996"/>
    <hyperlink r:id="rId995" location="Pricing" ref="S997"/>
    <hyperlink r:id="rId996" location="Pricing" ref="S998"/>
    <hyperlink r:id="rId997" location="Pricing" ref="S999"/>
    <hyperlink r:id="rId998" location="Pricing" ref="S1000"/>
    <hyperlink r:id="rId999" ref="S1001"/>
    <hyperlink r:id="rId1000" ref="S1002"/>
    <hyperlink r:id="rId1001" ref="S1003"/>
    <hyperlink r:id="rId1002" ref="S1004"/>
    <hyperlink r:id="rId1003" ref="S1005"/>
    <hyperlink r:id="rId1004" ref="S1006"/>
    <hyperlink r:id="rId1005" ref="S1007"/>
    <hyperlink r:id="rId1006" ref="S1008"/>
    <hyperlink r:id="rId1007" ref="S1009"/>
    <hyperlink r:id="rId1008" ref="S1010"/>
    <hyperlink r:id="rId1009" ref="S1011"/>
    <hyperlink r:id="rId1010" ref="S1012"/>
    <hyperlink r:id="rId1011" ref="S1013"/>
    <hyperlink r:id="rId1012" ref="S1014"/>
    <hyperlink r:id="rId1013" ref="S1015"/>
    <hyperlink r:id="rId1014" ref="S1016"/>
    <hyperlink r:id="rId1015" ref="S1017"/>
    <hyperlink r:id="rId1016" ref="S1018"/>
    <hyperlink r:id="rId1017" ref="S1019"/>
    <hyperlink r:id="rId1018" ref="S1020"/>
    <hyperlink r:id="rId1019" ref="S1021"/>
    <hyperlink r:id="rId1020" ref="S1022"/>
    <hyperlink r:id="rId1021" ref="S1023"/>
    <hyperlink r:id="rId1022" ref="S1024"/>
    <hyperlink r:id="rId1023" ref="S1025"/>
    <hyperlink r:id="rId1024" ref="S1026"/>
    <hyperlink r:id="rId1025" ref="S1027"/>
    <hyperlink r:id="rId1026" ref="S1028"/>
    <hyperlink r:id="rId1027" ref="S1029"/>
    <hyperlink r:id="rId1028" ref="S1030"/>
    <hyperlink r:id="rId1029" ref="S1031"/>
    <hyperlink r:id="rId1030" ref="S1032"/>
    <hyperlink r:id="rId1031" ref="S1033"/>
    <hyperlink r:id="rId1032" ref="S1034"/>
    <hyperlink r:id="rId1033" ref="S1035"/>
    <hyperlink r:id="rId1034" ref="S1036"/>
    <hyperlink r:id="rId1035" ref="S1037"/>
    <hyperlink r:id="rId1036" ref="S1038"/>
    <hyperlink r:id="rId1037" ref="S1039"/>
    <hyperlink r:id="rId1038" ref="S1040"/>
    <hyperlink r:id="rId1039" ref="S1041"/>
    <hyperlink r:id="rId1040" ref="S1042"/>
    <hyperlink r:id="rId1041" ref="S1043"/>
    <hyperlink r:id="rId1042" ref="S1044"/>
    <hyperlink r:id="rId1043" ref="S1045"/>
    <hyperlink r:id="rId1044" ref="S1046"/>
    <hyperlink r:id="rId1045" ref="S1047"/>
    <hyperlink r:id="rId1046" ref="S1048"/>
    <hyperlink r:id="rId1047" ref="S1049"/>
    <hyperlink r:id="rId1048" ref="S1050"/>
    <hyperlink r:id="rId1049" ref="S1051"/>
    <hyperlink r:id="rId1050" ref="S1052"/>
    <hyperlink r:id="rId1051" ref="S1053"/>
    <hyperlink r:id="rId1052" ref="S1054"/>
    <hyperlink r:id="rId1053" ref="S1055"/>
    <hyperlink r:id="rId1054" ref="S1056"/>
    <hyperlink r:id="rId1055" ref="S1057"/>
    <hyperlink r:id="rId1056" ref="S1058"/>
    <hyperlink r:id="rId1057" ref="S1059"/>
    <hyperlink r:id="rId1058" ref="S1060"/>
    <hyperlink r:id="rId1059" ref="S1061"/>
    <hyperlink r:id="rId1060" ref="S1062"/>
    <hyperlink r:id="rId1061" ref="S1063"/>
    <hyperlink r:id="rId1062" ref="S1064"/>
    <hyperlink r:id="rId1063" ref="S1065"/>
    <hyperlink r:id="rId1064" ref="S1066"/>
    <hyperlink r:id="rId1065" ref="S1067"/>
    <hyperlink r:id="rId1066" ref="S1068"/>
    <hyperlink r:id="rId1067" ref="S1069"/>
    <hyperlink r:id="rId1068" ref="S1070"/>
    <hyperlink r:id="rId1069" ref="S1071"/>
    <hyperlink r:id="rId1070" ref="S1072"/>
    <hyperlink r:id="rId1071" ref="S1073"/>
    <hyperlink r:id="rId1072" ref="S1074"/>
    <hyperlink r:id="rId1073" ref="S1075"/>
    <hyperlink r:id="rId1074" ref="S1076"/>
    <hyperlink r:id="rId1075" ref="S1077"/>
    <hyperlink r:id="rId1076" ref="S1078"/>
    <hyperlink r:id="rId1077" ref="S1079"/>
    <hyperlink r:id="rId1078" ref="S1080"/>
    <hyperlink r:id="rId1079" ref="S1081"/>
    <hyperlink r:id="rId1080" ref="S1082"/>
    <hyperlink r:id="rId1081" ref="S1083"/>
    <hyperlink r:id="rId1082" ref="S1084"/>
    <hyperlink r:id="rId1083" ref="S1085"/>
    <hyperlink r:id="rId1084" ref="S1086"/>
    <hyperlink r:id="rId1085" ref="S1087"/>
    <hyperlink r:id="rId1086" ref="S1088"/>
    <hyperlink r:id="rId1087" ref="S1089"/>
    <hyperlink r:id="rId1088" ref="S1090"/>
    <hyperlink r:id="rId1089" ref="S1091"/>
    <hyperlink r:id="rId1090" ref="S1092"/>
    <hyperlink r:id="rId1091" ref="S1093"/>
    <hyperlink r:id="rId1092" ref="S1094"/>
    <hyperlink r:id="rId1093" ref="S1095"/>
    <hyperlink r:id="rId1094" ref="S1096"/>
    <hyperlink r:id="rId1095" location="Pricing" ref="S1097"/>
    <hyperlink r:id="rId1096" ref="S1098"/>
    <hyperlink r:id="rId1097" ref="S1099"/>
    <hyperlink r:id="rId1098" ref="S1100"/>
    <hyperlink r:id="rId1099" ref="S1101"/>
    <hyperlink r:id="rId1100" location="Pricing" ref="S1102"/>
    <hyperlink r:id="rId1101" ref="S1103"/>
    <hyperlink r:id="rId1102" ref="S1104"/>
    <hyperlink r:id="rId1103" ref="S1105"/>
    <hyperlink r:id="rId1104" ref="S1106"/>
    <hyperlink r:id="rId1105" location="Pricing" ref="S1107"/>
    <hyperlink r:id="rId1106" ref="S1108"/>
    <hyperlink r:id="rId1107" ref="S1109"/>
    <hyperlink r:id="rId1108" ref="S1110"/>
    <hyperlink r:id="rId1109" ref="S1111"/>
    <hyperlink r:id="rId1110" location="Pricing" ref="S1112"/>
    <hyperlink r:id="rId1111" ref="S1113"/>
    <hyperlink r:id="rId1112" ref="S1114"/>
    <hyperlink r:id="rId1113" ref="S1115"/>
    <hyperlink r:id="rId1114" ref="S1116"/>
    <hyperlink r:id="rId1115" ref="S1117"/>
    <hyperlink r:id="rId1116" ref="S1118"/>
    <hyperlink r:id="rId1117" ref="S1119"/>
    <hyperlink r:id="rId1118" ref="S1120"/>
    <hyperlink r:id="rId1119" ref="S1121"/>
    <hyperlink r:id="rId1120" ref="S1122"/>
    <hyperlink r:id="rId1121" ref="S1123"/>
    <hyperlink r:id="rId1122" ref="S1124"/>
    <hyperlink r:id="rId1123" ref="S1125"/>
    <hyperlink r:id="rId1124" ref="S1126"/>
    <hyperlink r:id="rId1125" ref="S1127"/>
    <hyperlink r:id="rId1126" ref="S1128"/>
    <hyperlink r:id="rId1127" ref="S1129"/>
    <hyperlink r:id="rId1128" ref="S1130"/>
    <hyperlink r:id="rId1129" ref="S1131"/>
    <hyperlink r:id="rId1130" ref="S1132"/>
    <hyperlink r:id="rId1131" location="Pricing" ref="S1133"/>
    <hyperlink r:id="rId1132" ref="S1134"/>
    <hyperlink r:id="rId1133" ref="S1135"/>
    <hyperlink r:id="rId1134" ref="S1136"/>
    <hyperlink r:id="rId1135" ref="S1137"/>
    <hyperlink r:id="rId1136" location="Pricing" ref="S1138"/>
    <hyperlink r:id="rId1137" ref="S1139"/>
    <hyperlink r:id="rId1138" ref="S1140"/>
    <hyperlink r:id="rId1139" ref="S1141"/>
    <hyperlink r:id="rId1140" ref="S1142"/>
    <hyperlink r:id="rId1141" ref="S1143"/>
    <hyperlink r:id="rId1142" ref="S1144"/>
    <hyperlink r:id="rId1143" ref="S1145"/>
    <hyperlink r:id="rId1144" ref="S1146"/>
    <hyperlink r:id="rId1145" ref="S1147"/>
    <hyperlink r:id="rId1146" ref="S1148"/>
    <hyperlink r:id="rId1147" ref="S1149"/>
    <hyperlink r:id="rId1148" ref="S1150"/>
    <hyperlink r:id="rId1149" ref="S1151"/>
    <hyperlink r:id="rId1150" ref="S1152"/>
    <hyperlink r:id="rId1151" ref="S1153"/>
    <hyperlink r:id="rId1152" ref="S1154"/>
    <hyperlink r:id="rId1153" ref="S1155"/>
    <hyperlink r:id="rId1154" ref="S1156"/>
    <hyperlink r:id="rId1155" ref="S1157"/>
    <hyperlink r:id="rId1156" ref="S1158"/>
    <hyperlink r:id="rId1157" ref="S1159"/>
    <hyperlink r:id="rId1158" ref="S1160"/>
    <hyperlink r:id="rId1159" ref="S1161"/>
    <hyperlink r:id="rId1160" ref="S1162"/>
    <hyperlink r:id="rId1161" ref="S1163"/>
    <hyperlink r:id="rId1162" ref="S1164"/>
    <hyperlink r:id="rId1163" ref="S1165"/>
    <hyperlink r:id="rId1164" ref="S1166"/>
    <hyperlink r:id="rId1165" ref="S1167"/>
    <hyperlink r:id="rId1166" ref="S1168"/>
    <hyperlink r:id="rId1167" ref="S1169"/>
    <hyperlink r:id="rId1168" ref="S1170"/>
    <hyperlink r:id="rId1169" ref="S1171"/>
    <hyperlink r:id="rId1170" ref="S1172"/>
    <hyperlink r:id="rId1171" ref="S1173"/>
    <hyperlink r:id="rId1172" ref="S1174"/>
    <hyperlink r:id="rId1173" ref="S1175"/>
    <hyperlink r:id="rId1174" ref="S1176"/>
    <hyperlink r:id="rId1175" ref="S1177"/>
    <hyperlink r:id="rId1176" ref="S1178"/>
    <hyperlink r:id="rId1177" ref="S1179"/>
    <hyperlink r:id="rId1178" ref="S1180"/>
    <hyperlink r:id="rId1179" ref="S1181"/>
    <hyperlink r:id="rId1180" ref="S1182"/>
    <hyperlink r:id="rId1181" ref="S1183"/>
    <hyperlink r:id="rId1182" ref="S1184"/>
    <hyperlink r:id="rId1183" ref="S1185"/>
    <hyperlink r:id="rId1184" ref="S1186"/>
    <hyperlink r:id="rId1185" ref="S1187"/>
    <hyperlink r:id="rId1186" ref="S1188"/>
    <hyperlink r:id="rId1187" ref="S1189"/>
    <hyperlink r:id="rId1188" ref="S1190"/>
    <hyperlink r:id="rId1189" ref="S1191"/>
    <hyperlink r:id="rId1190" ref="S1192"/>
    <hyperlink r:id="rId1191" ref="S1193"/>
    <hyperlink r:id="rId1192" ref="S1194"/>
    <hyperlink r:id="rId1193" ref="S1195"/>
    <hyperlink r:id="rId1194" ref="S1196"/>
    <hyperlink r:id="rId1195" ref="S1197"/>
    <hyperlink r:id="rId1196" ref="S1198"/>
    <hyperlink r:id="rId1197" ref="S1199"/>
    <hyperlink r:id="rId1198" ref="S1200"/>
    <hyperlink r:id="rId1199" ref="S1201"/>
    <hyperlink r:id="rId1200" ref="S1202"/>
    <hyperlink r:id="rId1201" ref="S1203"/>
    <hyperlink r:id="rId1202" ref="S1204"/>
    <hyperlink r:id="rId1203" ref="S1205"/>
    <hyperlink r:id="rId1204" ref="S1206"/>
    <hyperlink r:id="rId1205" ref="S1207"/>
    <hyperlink r:id="rId1206" ref="S1208"/>
    <hyperlink r:id="rId1207" ref="S1209"/>
    <hyperlink r:id="rId1208" ref="S1210"/>
    <hyperlink r:id="rId1209" ref="S1211"/>
    <hyperlink r:id="rId1210" ref="S1212"/>
    <hyperlink r:id="rId1211" ref="S1213"/>
    <hyperlink r:id="rId1212" ref="S1214"/>
    <hyperlink r:id="rId1213" ref="S1215"/>
    <hyperlink r:id="rId1214" ref="S1216"/>
    <hyperlink r:id="rId1215" ref="S1217"/>
    <hyperlink r:id="rId1216" ref="S1218"/>
    <hyperlink r:id="rId1217" ref="S1219"/>
    <hyperlink r:id="rId1218" ref="S1220"/>
    <hyperlink r:id="rId1219" ref="S1221"/>
    <hyperlink r:id="rId1220" ref="S1222"/>
    <hyperlink r:id="rId1221" ref="S1223"/>
    <hyperlink r:id="rId1222" ref="S1224"/>
    <hyperlink r:id="rId1223" ref="S1225"/>
    <hyperlink r:id="rId1224" ref="S1226"/>
    <hyperlink r:id="rId1225" ref="S1227"/>
    <hyperlink r:id="rId1226" location="Pricing" ref="S1228"/>
    <hyperlink r:id="rId1227" ref="S1229"/>
    <hyperlink r:id="rId1228" ref="S1230"/>
    <hyperlink r:id="rId1229" ref="S1231"/>
    <hyperlink r:id="rId1230" location="Pricing" ref="S1232"/>
    <hyperlink r:id="rId1231" location="Pricing" ref="S1233"/>
    <hyperlink r:id="rId1232" location="Pricing" ref="S1234"/>
    <hyperlink r:id="rId1233" ref="S1235"/>
    <hyperlink r:id="rId1234" ref="S1236"/>
    <hyperlink r:id="rId1235" ref="S1237"/>
    <hyperlink r:id="rId1236" ref="S1238"/>
    <hyperlink r:id="rId1237" ref="S1239"/>
    <hyperlink r:id="rId1238" ref="S1240"/>
    <hyperlink r:id="rId1239" ref="S1241"/>
    <hyperlink r:id="rId1240" ref="S1242"/>
    <hyperlink r:id="rId1241" location="Pricing" ref="S1243"/>
    <hyperlink r:id="rId1242" ref="S1244"/>
    <hyperlink r:id="rId1243" ref="S1245"/>
    <hyperlink r:id="rId1244" ref="S1246"/>
    <hyperlink r:id="rId1245" ref="S1247"/>
    <hyperlink r:id="rId1246" ref="S1248"/>
    <hyperlink r:id="rId1247" ref="S1249"/>
    <hyperlink r:id="rId1248" ref="S1250"/>
    <hyperlink r:id="rId1249" ref="S1251"/>
    <hyperlink r:id="rId1250" ref="S1252"/>
    <hyperlink r:id="rId1251" location="Pricing" ref="S1253"/>
    <hyperlink r:id="rId1252" ref="S1254"/>
    <hyperlink r:id="rId1253" ref="S1255"/>
    <hyperlink r:id="rId1254" ref="S1256"/>
    <hyperlink r:id="rId1255" ref="S1257"/>
    <hyperlink r:id="rId1256" ref="S1258"/>
    <hyperlink r:id="rId1257" ref="S1259"/>
    <hyperlink r:id="rId1258" ref="S1260"/>
    <hyperlink r:id="rId1259" ref="S1261"/>
    <hyperlink r:id="rId1260" ref="S1262"/>
    <hyperlink r:id="rId1261" ref="S1263"/>
    <hyperlink r:id="rId1262" ref="S1264"/>
    <hyperlink r:id="rId1263" ref="S1265"/>
    <hyperlink r:id="rId1264" ref="S1266"/>
    <hyperlink r:id="rId1265" ref="S1267"/>
    <hyperlink r:id="rId1266" ref="S1268"/>
    <hyperlink r:id="rId1267" ref="S1269"/>
    <hyperlink r:id="rId1268" ref="S1270"/>
    <hyperlink r:id="rId1269" ref="S1271"/>
    <hyperlink r:id="rId1270" ref="S1272"/>
    <hyperlink r:id="rId1271" ref="S1273"/>
    <hyperlink r:id="rId1272" ref="S1274"/>
    <hyperlink r:id="rId1273" ref="S1275"/>
    <hyperlink r:id="rId1274" ref="S1276"/>
    <hyperlink r:id="rId1275" ref="S1277"/>
    <hyperlink r:id="rId1276" ref="S1278"/>
    <hyperlink r:id="rId1277" ref="S1279"/>
    <hyperlink r:id="rId1278" ref="S1280"/>
    <hyperlink r:id="rId1279" ref="S1281"/>
    <hyperlink r:id="rId1280" ref="S1282"/>
    <hyperlink r:id="rId1281" ref="S1283"/>
    <hyperlink r:id="rId1282" ref="S1284"/>
    <hyperlink r:id="rId1283" ref="S1285"/>
    <hyperlink r:id="rId1284" ref="S1286"/>
    <hyperlink r:id="rId1285" ref="S1287"/>
    <hyperlink r:id="rId1286" ref="S1288"/>
    <hyperlink r:id="rId1287" ref="S1289"/>
    <hyperlink r:id="rId1288" ref="S1290"/>
    <hyperlink r:id="rId1289" ref="S1291"/>
    <hyperlink r:id="rId1290" ref="S1292"/>
    <hyperlink r:id="rId1291" ref="S1293"/>
    <hyperlink r:id="rId1292" ref="S1294"/>
    <hyperlink r:id="rId1293" ref="S1295"/>
    <hyperlink r:id="rId1294" ref="S1296"/>
    <hyperlink r:id="rId1295" ref="S1297"/>
    <hyperlink r:id="rId1296" ref="S1298"/>
    <hyperlink r:id="rId1297" ref="S1299"/>
    <hyperlink r:id="rId1298" ref="S1300"/>
    <hyperlink r:id="rId1299" ref="S1301"/>
    <hyperlink r:id="rId1300" ref="S1302"/>
    <hyperlink r:id="rId1301" ref="S1303"/>
    <hyperlink r:id="rId1302" ref="S1304"/>
    <hyperlink r:id="rId1303" ref="S1305"/>
    <hyperlink r:id="rId1304" ref="S1306"/>
    <hyperlink r:id="rId1305" ref="S1307"/>
    <hyperlink r:id="rId1306" ref="S1308"/>
    <hyperlink r:id="rId1307" location="Pricing" ref="S1309"/>
    <hyperlink r:id="rId1308" ref="S1310"/>
    <hyperlink r:id="rId1309" ref="S1311"/>
    <hyperlink r:id="rId1310" ref="S1312"/>
    <hyperlink r:id="rId1311" ref="S1313"/>
    <hyperlink r:id="rId1312" ref="S1314"/>
    <hyperlink r:id="rId1313" ref="S1315"/>
    <hyperlink r:id="rId1314" ref="S1316"/>
    <hyperlink r:id="rId1315" ref="S1317"/>
    <hyperlink r:id="rId1316" ref="S1318"/>
    <hyperlink r:id="rId1317" location="Pricing" ref="S1319"/>
    <hyperlink r:id="rId1318" ref="S1320"/>
    <hyperlink r:id="rId1319" ref="S1321"/>
    <hyperlink r:id="rId1320" ref="S1322"/>
    <hyperlink r:id="rId1321" location="Pricing" ref="S1323"/>
    <hyperlink r:id="rId1322" ref="S1324"/>
    <hyperlink r:id="rId1323" location="Pricing" ref="S1325"/>
    <hyperlink r:id="rId1324" ref="S1326"/>
    <hyperlink r:id="rId1325" ref="S1327"/>
    <hyperlink r:id="rId1326" ref="S1328"/>
    <hyperlink r:id="rId1327" ref="S1329"/>
    <hyperlink r:id="rId1328" ref="S1330"/>
    <hyperlink r:id="rId1329" ref="S1331"/>
    <hyperlink r:id="rId1330" ref="S1332"/>
    <hyperlink r:id="rId1331" ref="S1333"/>
    <hyperlink r:id="rId1332" ref="S1334"/>
    <hyperlink r:id="rId1333" ref="S1335"/>
    <hyperlink r:id="rId1334" ref="S1336"/>
    <hyperlink r:id="rId1335" ref="S1337"/>
    <hyperlink r:id="rId1336" ref="S1338"/>
    <hyperlink r:id="rId1337" ref="S1339"/>
    <hyperlink r:id="rId1338" ref="S1340"/>
    <hyperlink r:id="rId1339" ref="S1341"/>
    <hyperlink r:id="rId1340" ref="S1342"/>
    <hyperlink r:id="rId1341" ref="S1343"/>
    <hyperlink r:id="rId1342" ref="S1344"/>
    <hyperlink r:id="rId1343" ref="S1345"/>
    <hyperlink r:id="rId1344" ref="S1346"/>
    <hyperlink r:id="rId1345" ref="S1347"/>
    <hyperlink r:id="rId1346" ref="S1348"/>
    <hyperlink r:id="rId1347" ref="S1349"/>
    <hyperlink r:id="rId1348" ref="S1350"/>
    <hyperlink r:id="rId1349" ref="S1351"/>
    <hyperlink r:id="rId1350" ref="S1352"/>
    <hyperlink r:id="rId1351" ref="S1353"/>
    <hyperlink r:id="rId1352" ref="S1354"/>
    <hyperlink r:id="rId1353" ref="S1355"/>
    <hyperlink r:id="rId1354" ref="S1356"/>
    <hyperlink r:id="rId1355" ref="S1357"/>
    <hyperlink r:id="rId1356" ref="S1358"/>
    <hyperlink r:id="rId1357" ref="S1359"/>
    <hyperlink r:id="rId1358" ref="S1360"/>
    <hyperlink r:id="rId1359" ref="S1361"/>
    <hyperlink r:id="rId1360" ref="S1362"/>
    <hyperlink r:id="rId1361" ref="S1363"/>
    <hyperlink r:id="rId1362" ref="S1364"/>
    <hyperlink r:id="rId1363" ref="S1365"/>
    <hyperlink r:id="rId1364" ref="S1366"/>
    <hyperlink r:id="rId1365" ref="S1367"/>
    <hyperlink r:id="rId1366" ref="S1368"/>
    <hyperlink r:id="rId1367" ref="S1369"/>
    <hyperlink r:id="rId1368" ref="S1370"/>
    <hyperlink r:id="rId1369" ref="S1371"/>
    <hyperlink r:id="rId1370" ref="S1372"/>
    <hyperlink r:id="rId1371" ref="S1373"/>
    <hyperlink r:id="rId1372" ref="S1374"/>
    <hyperlink r:id="rId1373" location="Pricing" ref="S1375"/>
    <hyperlink r:id="rId1374" ref="S1376"/>
    <hyperlink r:id="rId1375" ref="S1377"/>
    <hyperlink r:id="rId1376" ref="S1378"/>
    <hyperlink r:id="rId1377" ref="S1379"/>
    <hyperlink r:id="rId1378" ref="S1380"/>
    <hyperlink r:id="rId1379" ref="S1381"/>
    <hyperlink r:id="rId1380" ref="S1382"/>
    <hyperlink r:id="rId1381" ref="S1383"/>
    <hyperlink r:id="rId1382" ref="S1384"/>
    <hyperlink r:id="rId1383" ref="S1385"/>
    <hyperlink r:id="rId1384" ref="S1386"/>
    <hyperlink r:id="rId1385" ref="S1387"/>
    <hyperlink r:id="rId1386" ref="S1388"/>
    <hyperlink r:id="rId1387" ref="S1389"/>
    <hyperlink r:id="rId1388" ref="S1390"/>
    <hyperlink r:id="rId1389" ref="S1391"/>
    <hyperlink r:id="rId1390" ref="S1392"/>
    <hyperlink r:id="rId1391" ref="S1393"/>
    <hyperlink r:id="rId1392" ref="S1394"/>
    <hyperlink r:id="rId1393" ref="S1395"/>
    <hyperlink r:id="rId1394" ref="S1396"/>
    <hyperlink r:id="rId1395" ref="S1397"/>
    <hyperlink r:id="rId1396" ref="S1398"/>
    <hyperlink r:id="rId1397" ref="S1399"/>
    <hyperlink r:id="rId1398" ref="S1400"/>
    <hyperlink r:id="rId1399" ref="S1401"/>
    <hyperlink r:id="rId1400" ref="S1402"/>
    <hyperlink r:id="rId1401" ref="S1403"/>
    <hyperlink r:id="rId1402" ref="S1404"/>
    <hyperlink r:id="rId1403" ref="S1405"/>
    <hyperlink r:id="rId1404" ref="S1406"/>
    <hyperlink r:id="rId1405" ref="S1407"/>
    <hyperlink r:id="rId1406" ref="S1408"/>
    <hyperlink r:id="rId1407" ref="S1409"/>
    <hyperlink r:id="rId1408" ref="S1410"/>
    <hyperlink r:id="rId1409" ref="S1411"/>
    <hyperlink r:id="rId1410" ref="S1412"/>
    <hyperlink r:id="rId1411" ref="S1413"/>
    <hyperlink r:id="rId1412" ref="S1414"/>
    <hyperlink r:id="rId1413" ref="S1415"/>
    <hyperlink r:id="rId1414" ref="S1416"/>
    <hyperlink r:id="rId1415" ref="S1417"/>
    <hyperlink r:id="rId1416" ref="S1418"/>
    <hyperlink r:id="rId1417" ref="S1419"/>
    <hyperlink r:id="rId1418" ref="S1420"/>
    <hyperlink r:id="rId1419" ref="S1421"/>
    <hyperlink r:id="rId1420" ref="S1422"/>
    <hyperlink r:id="rId1421" ref="S1423"/>
    <hyperlink r:id="rId1422" ref="S1424"/>
    <hyperlink r:id="rId1423" ref="S1425"/>
    <hyperlink r:id="rId1424" ref="S1426"/>
    <hyperlink r:id="rId1425" ref="S1427"/>
    <hyperlink r:id="rId1426" ref="S1428"/>
    <hyperlink r:id="rId1427" ref="S1429"/>
    <hyperlink r:id="rId1428" ref="S1430"/>
    <hyperlink r:id="rId1429" ref="S1431"/>
    <hyperlink r:id="rId1430" ref="S1432"/>
    <hyperlink r:id="rId1431" ref="S1433"/>
    <hyperlink r:id="rId1432" ref="S1434"/>
    <hyperlink r:id="rId1433" ref="S1435"/>
    <hyperlink r:id="rId1434" ref="S1436"/>
    <hyperlink r:id="rId1435" ref="S1437"/>
    <hyperlink r:id="rId1436" ref="S1438"/>
    <hyperlink r:id="rId1437" ref="S1439"/>
    <hyperlink r:id="rId1438" ref="S1440"/>
    <hyperlink r:id="rId1439" ref="S1441"/>
    <hyperlink r:id="rId1440" ref="S1442"/>
    <hyperlink r:id="rId1441" ref="S1443"/>
    <hyperlink r:id="rId1442" ref="S1444"/>
    <hyperlink r:id="rId1443" ref="S1445"/>
    <hyperlink r:id="rId1444" ref="S1446"/>
    <hyperlink r:id="rId1445" ref="S1447"/>
    <hyperlink r:id="rId1446" ref="S1448"/>
    <hyperlink r:id="rId1447" ref="S1449"/>
    <hyperlink r:id="rId1448" ref="S1450"/>
    <hyperlink r:id="rId1449" ref="S1451"/>
    <hyperlink r:id="rId1450" ref="S1452"/>
    <hyperlink r:id="rId1451" ref="S1453"/>
    <hyperlink r:id="rId1452" ref="S1454"/>
    <hyperlink r:id="rId1453" ref="S1455"/>
    <hyperlink r:id="rId1454" ref="S1456"/>
    <hyperlink r:id="rId1455" ref="S1457"/>
    <hyperlink r:id="rId1456" location="Pricing" ref="S1458"/>
    <hyperlink r:id="rId1457" ref="S1459"/>
    <hyperlink r:id="rId1458" ref="S1460"/>
    <hyperlink r:id="rId1459" ref="S1461"/>
    <hyperlink r:id="rId1460" location="Pricing" ref="S1462"/>
    <hyperlink r:id="rId1461" ref="S1463"/>
    <hyperlink r:id="rId1462" ref="S1464"/>
    <hyperlink r:id="rId1463" ref="S1465"/>
    <hyperlink r:id="rId1464" ref="S1466"/>
    <hyperlink r:id="rId1465" location="Pricing" ref="S1467"/>
    <hyperlink r:id="rId1466" ref="S1468"/>
    <hyperlink r:id="rId1467" ref="S1469"/>
    <hyperlink r:id="rId1468" ref="S1470"/>
    <hyperlink r:id="rId1469" ref="S1471"/>
    <hyperlink r:id="rId1470" location="Pricing" ref="S1472"/>
    <hyperlink r:id="rId1471" ref="S1473"/>
    <hyperlink r:id="rId1472" ref="S1474"/>
    <hyperlink r:id="rId1473" ref="S1475"/>
    <hyperlink r:id="rId1474" ref="S1476"/>
    <hyperlink r:id="rId1475" location="Pricing" ref="S1477"/>
    <hyperlink r:id="rId1476" ref="S1478"/>
    <hyperlink r:id="rId1477" ref="S1479"/>
    <hyperlink r:id="rId1478" ref="S1480"/>
    <hyperlink r:id="rId1479" ref="S1481"/>
    <hyperlink r:id="rId1480" ref="S1482"/>
    <hyperlink r:id="rId1481" location="Pricing" ref="S1483"/>
    <hyperlink r:id="rId1482" ref="S1484"/>
    <hyperlink r:id="rId1483" ref="S1485"/>
    <hyperlink r:id="rId1484" location="Pricing" ref="S1486"/>
    <hyperlink r:id="rId1485" ref="S1487"/>
    <hyperlink r:id="rId1486" ref="S1488"/>
    <hyperlink r:id="rId1487" ref="S1489"/>
    <hyperlink r:id="rId1488" ref="S1490"/>
    <hyperlink r:id="rId1489" ref="S1491"/>
    <hyperlink r:id="rId1490" ref="S1492"/>
    <hyperlink r:id="rId1491" ref="S1493"/>
    <hyperlink r:id="rId1492" ref="S1494"/>
    <hyperlink r:id="rId1493" ref="S1495"/>
    <hyperlink r:id="rId1494" ref="S1496"/>
    <hyperlink r:id="rId1495" ref="S1497"/>
    <hyperlink r:id="rId1496" ref="S1498"/>
    <hyperlink r:id="rId1497" ref="S1499"/>
    <hyperlink r:id="rId1498" ref="S1500"/>
    <hyperlink r:id="rId1499" ref="S1501"/>
    <hyperlink r:id="rId1500" ref="S1502"/>
    <hyperlink r:id="rId1501" ref="S1503"/>
    <hyperlink r:id="rId1502" ref="S1504"/>
    <hyperlink r:id="rId1503" ref="S1505"/>
    <hyperlink r:id="rId1504" ref="S1506"/>
    <hyperlink r:id="rId1505" ref="S1507"/>
    <hyperlink r:id="rId1506" ref="S1508"/>
    <hyperlink r:id="rId1507" ref="S1509"/>
    <hyperlink r:id="rId1508" ref="S1510"/>
    <hyperlink r:id="rId1509" ref="S1511"/>
    <hyperlink r:id="rId1510" ref="S1512"/>
    <hyperlink r:id="rId1511" ref="S1513"/>
    <hyperlink r:id="rId1512" ref="S1514"/>
    <hyperlink r:id="rId1513" ref="S1515"/>
    <hyperlink r:id="rId1514" ref="S1516"/>
    <hyperlink r:id="rId1515" ref="S1517"/>
    <hyperlink r:id="rId1516" ref="S1518"/>
    <hyperlink r:id="rId1517" ref="S1519"/>
    <hyperlink r:id="rId1518" ref="S1520"/>
    <hyperlink r:id="rId1519" ref="S1521"/>
    <hyperlink r:id="rId1520" location="Pricing" ref="S1522"/>
    <hyperlink r:id="rId1521" location="Pricing" ref="S1523"/>
    <hyperlink r:id="rId1522" ref="S1524"/>
    <hyperlink r:id="rId1523" ref="S1525"/>
    <hyperlink r:id="rId1524" ref="S1526"/>
    <hyperlink r:id="rId1525" ref="S1527"/>
    <hyperlink r:id="rId1526" ref="S1528"/>
    <hyperlink r:id="rId1527" ref="S1529"/>
    <hyperlink r:id="rId1528" ref="S1530"/>
    <hyperlink r:id="rId1529" location="Pricing" ref="S1531"/>
    <hyperlink r:id="rId1530" ref="S1532"/>
    <hyperlink r:id="rId1531" location="Pricing" ref="S1533"/>
    <hyperlink r:id="rId1532" ref="S1534"/>
    <hyperlink r:id="rId1533" ref="S1535"/>
    <hyperlink r:id="rId1534" ref="S1536"/>
    <hyperlink r:id="rId1535" ref="S1537"/>
    <hyperlink r:id="rId1536" ref="S1538"/>
    <hyperlink r:id="rId1537" ref="S1539"/>
    <hyperlink r:id="rId1538" ref="S1540"/>
    <hyperlink r:id="rId1539" ref="S1541"/>
    <hyperlink r:id="rId1540" ref="S1542"/>
    <hyperlink r:id="rId1541" ref="S1543"/>
    <hyperlink r:id="rId1542" ref="S1544"/>
    <hyperlink r:id="rId1543" ref="S1545"/>
    <hyperlink r:id="rId1544" ref="S1546"/>
    <hyperlink r:id="rId1545" ref="S1547"/>
    <hyperlink r:id="rId1546" ref="S1548"/>
    <hyperlink r:id="rId1547" ref="S1549"/>
    <hyperlink r:id="rId1548" ref="S1550"/>
    <hyperlink r:id="rId1549" ref="S1551"/>
    <hyperlink r:id="rId1550" ref="S1552"/>
    <hyperlink r:id="rId1551" ref="S1553"/>
    <hyperlink r:id="rId1552" ref="S1554"/>
    <hyperlink r:id="rId1553" ref="S1555"/>
    <hyperlink r:id="rId1554" ref="S1556"/>
    <hyperlink r:id="rId1555" ref="S1557"/>
    <hyperlink r:id="rId1556" ref="S1558"/>
    <hyperlink r:id="rId1557" ref="S1559"/>
    <hyperlink r:id="rId1558" ref="S1560"/>
    <hyperlink r:id="rId1559" ref="S1561"/>
    <hyperlink r:id="rId1560" ref="S1562"/>
    <hyperlink r:id="rId1561" ref="S1563"/>
    <hyperlink r:id="rId1562" ref="S1564"/>
    <hyperlink r:id="rId1563" ref="S1565"/>
    <hyperlink r:id="rId1564" ref="S1566"/>
    <hyperlink r:id="rId1565" location="Pricing" ref="S1567"/>
    <hyperlink r:id="rId1566" location="Pricing" ref="S1568"/>
    <hyperlink r:id="rId1567" location="Pricing" ref="S1569"/>
    <hyperlink r:id="rId1568" location="Pricing" ref="S1570"/>
    <hyperlink r:id="rId1569" location="Pricing" ref="S1571"/>
    <hyperlink r:id="rId1570" location="Pricing" ref="S1572"/>
    <hyperlink r:id="rId1571" location="Pricing" ref="S1573"/>
    <hyperlink r:id="rId1572" location="Pricing" ref="S1574"/>
    <hyperlink r:id="rId1573" location="Pricing" ref="S1575"/>
    <hyperlink r:id="rId1574" location="Pricing" ref="S1576"/>
    <hyperlink r:id="rId1575" location="Pricing" ref="S1577"/>
    <hyperlink r:id="rId1576" location="Pricing" ref="S1578"/>
    <hyperlink r:id="rId1577" ref="S1579"/>
    <hyperlink r:id="rId1578" ref="S1580"/>
    <hyperlink r:id="rId1579" ref="S1581"/>
    <hyperlink r:id="rId1580" ref="S1582"/>
    <hyperlink r:id="rId1581" ref="S1583"/>
    <hyperlink r:id="rId1582" ref="S1584"/>
    <hyperlink r:id="rId1583" ref="S1585"/>
    <hyperlink r:id="rId1584" ref="S1586"/>
    <hyperlink r:id="rId1585" ref="S1587"/>
    <hyperlink r:id="rId1586" ref="S1588"/>
    <hyperlink r:id="rId1587" ref="S1589"/>
    <hyperlink r:id="rId1588" ref="S1590"/>
    <hyperlink r:id="rId1589" ref="S1591"/>
    <hyperlink r:id="rId1590" ref="S1592"/>
    <hyperlink r:id="rId1591" ref="S1593"/>
    <hyperlink r:id="rId1592" ref="S1594"/>
    <hyperlink r:id="rId1593" ref="S1595"/>
    <hyperlink r:id="rId1594" ref="S1596"/>
    <hyperlink r:id="rId1595" ref="S1597"/>
    <hyperlink r:id="rId1596" ref="S1598"/>
    <hyperlink r:id="rId1597" ref="S1599"/>
    <hyperlink r:id="rId1598" ref="S1600"/>
    <hyperlink r:id="rId1599" ref="S1601"/>
    <hyperlink r:id="rId1600" ref="S1602"/>
    <hyperlink r:id="rId1601" ref="S1603"/>
    <hyperlink r:id="rId1602" ref="S1604"/>
    <hyperlink r:id="rId1603" ref="S1605"/>
    <hyperlink r:id="rId1604" ref="S1606"/>
    <hyperlink r:id="rId1605" ref="S1607"/>
    <hyperlink r:id="rId1606" ref="S1608"/>
    <hyperlink r:id="rId1607" ref="S1609"/>
    <hyperlink r:id="rId1608" ref="S1610"/>
    <hyperlink r:id="rId1609" ref="S1611"/>
    <hyperlink r:id="rId1610" ref="S1612"/>
    <hyperlink r:id="rId1611" ref="S1613"/>
    <hyperlink r:id="rId1612" ref="S1614"/>
    <hyperlink r:id="rId1613" ref="S1615"/>
    <hyperlink r:id="rId1614" ref="S1616"/>
    <hyperlink r:id="rId1615" ref="S1617"/>
    <hyperlink r:id="rId1616" ref="S1618"/>
    <hyperlink r:id="rId1617" ref="S1619"/>
    <hyperlink r:id="rId1618" ref="S1620"/>
    <hyperlink r:id="rId1619" ref="S1621"/>
    <hyperlink r:id="rId1620" ref="S1622"/>
    <hyperlink r:id="rId1621" ref="S1623"/>
    <hyperlink r:id="rId1622" ref="S1624"/>
    <hyperlink r:id="rId1623" ref="S1625"/>
    <hyperlink r:id="rId1624" ref="S1626"/>
    <hyperlink r:id="rId1625" ref="S1627"/>
    <hyperlink r:id="rId1626" ref="S1628"/>
    <hyperlink r:id="rId1627" ref="S1629"/>
    <hyperlink r:id="rId1628" ref="S1630"/>
    <hyperlink r:id="rId1629" ref="S1631"/>
    <hyperlink r:id="rId1630" ref="S1632"/>
    <hyperlink r:id="rId1631" ref="S1633"/>
    <hyperlink r:id="rId1632" ref="S1634"/>
    <hyperlink r:id="rId1633" ref="S1635"/>
    <hyperlink r:id="rId1634" ref="S1636"/>
    <hyperlink r:id="rId1635" ref="S1637"/>
    <hyperlink r:id="rId1636" ref="S1638"/>
    <hyperlink r:id="rId1637" ref="S1639"/>
    <hyperlink r:id="rId1638" ref="S1640"/>
    <hyperlink r:id="rId1639" ref="S1641"/>
    <hyperlink r:id="rId1640" ref="S1642"/>
    <hyperlink r:id="rId1641" ref="S1643"/>
    <hyperlink r:id="rId1642" ref="S1644"/>
    <hyperlink r:id="rId1643" ref="S1645"/>
    <hyperlink r:id="rId1644" ref="S1646"/>
    <hyperlink r:id="rId1645" ref="S1647"/>
    <hyperlink r:id="rId1646" ref="S1648"/>
    <hyperlink r:id="rId1647" ref="S1649"/>
    <hyperlink r:id="rId1648" ref="S1650"/>
    <hyperlink r:id="rId1649" ref="S1651"/>
    <hyperlink r:id="rId1650" ref="S1652"/>
    <hyperlink r:id="rId1651" ref="S1653"/>
    <hyperlink r:id="rId1652" ref="S1654"/>
    <hyperlink r:id="rId1653" ref="S1655"/>
    <hyperlink r:id="rId1654" ref="S1656"/>
    <hyperlink r:id="rId1655" ref="S1657"/>
    <hyperlink r:id="rId1656" location="Pricing" ref="S1658"/>
    <hyperlink r:id="rId1657" ref="S1659"/>
    <hyperlink r:id="rId1658" ref="S1660"/>
    <hyperlink r:id="rId1659" ref="S1661"/>
    <hyperlink r:id="rId1660" ref="S1662"/>
    <hyperlink r:id="rId1661" ref="S1663"/>
    <hyperlink r:id="rId1662" ref="S1664"/>
    <hyperlink r:id="rId1663" ref="S1665"/>
    <hyperlink r:id="rId1664" ref="S1666"/>
    <hyperlink r:id="rId1665" ref="S1667"/>
    <hyperlink r:id="rId1666" ref="S1668"/>
    <hyperlink r:id="rId1667" ref="S1669"/>
    <hyperlink r:id="rId1668" ref="S1681"/>
    <hyperlink r:id="rId1669" ref="S1682"/>
    <hyperlink r:id="rId1670" ref="S1683"/>
    <hyperlink r:id="rId1671" ref="S1684"/>
    <hyperlink r:id="rId1672" ref="S1685"/>
    <hyperlink r:id="rId1673" ref="S1686"/>
    <hyperlink r:id="rId1674" ref="S1687"/>
    <hyperlink r:id="rId1675" ref="S1688"/>
    <hyperlink r:id="rId1676" ref="S1689"/>
    <hyperlink r:id="rId1677" ref="S1690"/>
    <hyperlink r:id="rId1678" ref="S1691"/>
    <hyperlink r:id="rId1679" ref="S1692"/>
    <hyperlink r:id="rId1680" ref="S1693"/>
    <hyperlink r:id="rId1681" ref="S1694"/>
    <hyperlink r:id="rId1682" ref="S1695"/>
    <hyperlink r:id="rId1683" ref="S1696"/>
    <hyperlink r:id="rId1684" ref="S1697"/>
    <hyperlink r:id="rId1685" ref="S1698"/>
    <hyperlink r:id="rId1686" ref="S1699"/>
    <hyperlink r:id="rId1687" ref="S1700"/>
    <hyperlink r:id="rId1688" ref="S1701"/>
    <hyperlink r:id="rId1689" ref="S1702"/>
    <hyperlink r:id="rId1690" ref="S1703"/>
    <hyperlink r:id="rId1691" ref="S1704"/>
    <hyperlink r:id="rId1692" ref="S1705"/>
    <hyperlink r:id="rId1693" ref="S1706"/>
    <hyperlink r:id="rId1694" ref="S1707"/>
    <hyperlink r:id="rId1695" ref="S1708"/>
    <hyperlink r:id="rId1696" ref="S1709"/>
    <hyperlink r:id="rId1697" ref="S1710"/>
    <hyperlink r:id="rId1698" ref="S1711"/>
    <hyperlink r:id="rId1699" ref="S1712"/>
    <hyperlink r:id="rId1700" ref="S1713"/>
    <hyperlink r:id="rId1701" ref="S1714"/>
    <hyperlink r:id="rId1702" ref="S1715"/>
    <hyperlink r:id="rId1703" location="Pricing" ref="S1716"/>
    <hyperlink r:id="rId1704" location="Pricing" ref="S1717"/>
    <hyperlink r:id="rId1705" ref="S1718"/>
    <hyperlink r:id="rId1706" ref="S1719"/>
    <hyperlink r:id="rId1707" location="Pricing" ref="S1720"/>
    <hyperlink r:id="rId1708" ref="S1721"/>
    <hyperlink r:id="rId1709" ref="S1722"/>
    <hyperlink r:id="rId1710" ref="S1723"/>
    <hyperlink r:id="rId1711" location="Pricing" ref="S1724"/>
    <hyperlink r:id="rId1712" location="Pricing" ref="S1725"/>
    <hyperlink r:id="rId1713" ref="S1726"/>
    <hyperlink r:id="rId1714" ref="S1727"/>
    <hyperlink r:id="rId1715" ref="S1728"/>
    <hyperlink r:id="rId1716" ref="S1729"/>
    <hyperlink r:id="rId1717" location="Pricing" ref="S1730"/>
    <hyperlink r:id="rId1718" ref="S1731"/>
    <hyperlink r:id="rId1719" ref="S1732"/>
    <hyperlink r:id="rId1720" ref="S1733"/>
    <hyperlink r:id="rId1721" ref="S1734"/>
    <hyperlink r:id="rId1722" ref="S1735"/>
    <hyperlink r:id="rId1723" ref="S1736"/>
    <hyperlink r:id="rId1724" ref="S1737"/>
    <hyperlink r:id="rId1725" ref="S1738"/>
    <hyperlink r:id="rId1726" ref="S1739"/>
    <hyperlink r:id="rId1727" ref="S1740"/>
    <hyperlink r:id="rId1728" ref="S1741"/>
    <hyperlink r:id="rId1729" ref="S1742"/>
    <hyperlink r:id="rId1730" ref="S1743"/>
    <hyperlink r:id="rId1731" ref="S1744"/>
    <hyperlink r:id="rId1732" ref="S1745"/>
    <hyperlink r:id="rId1733" ref="S1746"/>
    <hyperlink r:id="rId1734" ref="S1747"/>
    <hyperlink r:id="rId1735" ref="S1748"/>
    <hyperlink r:id="rId1736" ref="S1749"/>
    <hyperlink r:id="rId1737" ref="S1750"/>
    <hyperlink r:id="rId1738" ref="S1751"/>
    <hyperlink r:id="rId1739" ref="S1752"/>
    <hyperlink r:id="rId1740" ref="S1753"/>
    <hyperlink r:id="rId1741" ref="S1754"/>
    <hyperlink r:id="rId1742" ref="S1755"/>
    <hyperlink r:id="rId1743" ref="S1756"/>
    <hyperlink r:id="rId1744" ref="S1757"/>
    <hyperlink r:id="rId1745" ref="S1758"/>
    <hyperlink r:id="rId1746" ref="S1759"/>
    <hyperlink r:id="rId1747" ref="S1760"/>
    <hyperlink r:id="rId1748" ref="S1761"/>
    <hyperlink r:id="rId1749" ref="S1762"/>
    <hyperlink r:id="rId1750" ref="S1763"/>
    <hyperlink r:id="rId1751" ref="S1764"/>
    <hyperlink r:id="rId1752" ref="S1765"/>
    <hyperlink r:id="rId1753" ref="S1766"/>
    <hyperlink r:id="rId1754" ref="S1767"/>
    <hyperlink r:id="rId1755" ref="S1768"/>
    <hyperlink r:id="rId1756" ref="S1769"/>
    <hyperlink r:id="rId1757" ref="S1770"/>
    <hyperlink r:id="rId1758" ref="S1771"/>
    <hyperlink r:id="rId1759" ref="S1772"/>
    <hyperlink r:id="rId1760" ref="S1773"/>
    <hyperlink r:id="rId1761" ref="S1774"/>
    <hyperlink r:id="rId1762" ref="S1775"/>
    <hyperlink r:id="rId1763" ref="S1776"/>
    <hyperlink r:id="rId1764" ref="S1777"/>
    <hyperlink r:id="rId1765" ref="S1778"/>
    <hyperlink r:id="rId1766" ref="S1779"/>
    <hyperlink r:id="rId1767" ref="S1780"/>
    <hyperlink r:id="rId1768" ref="S1781"/>
    <hyperlink r:id="rId1769" ref="S1782"/>
    <hyperlink r:id="rId1770" ref="S1783"/>
    <hyperlink r:id="rId1771" ref="S1784"/>
    <hyperlink r:id="rId1772" ref="S1785"/>
    <hyperlink r:id="rId1773" ref="S1786"/>
    <hyperlink r:id="rId1774" ref="S1787"/>
    <hyperlink r:id="rId1775" ref="S1788"/>
    <hyperlink r:id="rId1776" ref="S1789"/>
    <hyperlink r:id="rId1777" ref="S1790"/>
    <hyperlink r:id="rId1778" ref="S1791"/>
    <hyperlink r:id="rId1779" ref="S1792"/>
    <hyperlink r:id="rId1780" ref="S1793"/>
    <hyperlink r:id="rId1781" ref="S1794"/>
    <hyperlink r:id="rId1782" location="Pricing" ref="S1795"/>
    <hyperlink r:id="rId1783" ref="S1796"/>
    <hyperlink r:id="rId1784" ref="S1797"/>
    <hyperlink r:id="rId1785" ref="S1798"/>
    <hyperlink r:id="rId1786" ref="S1799"/>
    <hyperlink r:id="rId1787" ref="S1800"/>
    <hyperlink r:id="rId1788" ref="S1801"/>
    <hyperlink r:id="rId1789" ref="S1802"/>
    <hyperlink r:id="rId1790" ref="S1803"/>
    <hyperlink r:id="rId1791" ref="S1804"/>
    <hyperlink r:id="rId1792" ref="S1805"/>
    <hyperlink r:id="rId1793" ref="S1806"/>
    <hyperlink r:id="rId1794" ref="S1807"/>
    <hyperlink r:id="rId1795" ref="S1808"/>
    <hyperlink r:id="rId1796" ref="S1809"/>
    <hyperlink r:id="rId1797" ref="S1810"/>
    <hyperlink r:id="rId1798" ref="S1811"/>
    <hyperlink r:id="rId1799" ref="S1812"/>
    <hyperlink r:id="rId1800" ref="S1813"/>
    <hyperlink r:id="rId1801" ref="S1814"/>
    <hyperlink r:id="rId1802" ref="S1815"/>
    <hyperlink r:id="rId1803" ref="S1816"/>
    <hyperlink r:id="rId1804" ref="S1817"/>
    <hyperlink r:id="rId1805" ref="S1818"/>
    <hyperlink r:id="rId1806" ref="S1819"/>
    <hyperlink r:id="rId1807" ref="S1820"/>
    <hyperlink r:id="rId1808" ref="S1821"/>
    <hyperlink r:id="rId1809" ref="S1822"/>
    <hyperlink r:id="rId1810" ref="S1823"/>
    <hyperlink r:id="rId1811" ref="S1824"/>
    <hyperlink r:id="rId1812" ref="S1825"/>
    <hyperlink r:id="rId1813" ref="S1826"/>
    <hyperlink r:id="rId1814" ref="S1827"/>
    <hyperlink r:id="rId1815" ref="S1828"/>
    <hyperlink r:id="rId1816" ref="S1829"/>
    <hyperlink r:id="rId1817" ref="S1830"/>
    <hyperlink r:id="rId1818" ref="S1831"/>
    <hyperlink r:id="rId1819" ref="S1832"/>
    <hyperlink r:id="rId1820" ref="S1833"/>
    <hyperlink r:id="rId1821" ref="S1834"/>
    <hyperlink r:id="rId1822" ref="S1835"/>
    <hyperlink r:id="rId1823" ref="S1836"/>
    <hyperlink r:id="rId1824" ref="S1837"/>
    <hyperlink r:id="rId1825" ref="S1838"/>
    <hyperlink r:id="rId1826" ref="S1839"/>
    <hyperlink r:id="rId1827" ref="S1840"/>
    <hyperlink r:id="rId1828" ref="S1841"/>
    <hyperlink r:id="rId1829" ref="S1842"/>
    <hyperlink r:id="rId1830" ref="S1843"/>
    <hyperlink r:id="rId1831" ref="S1844"/>
    <hyperlink r:id="rId1832" ref="S1845"/>
    <hyperlink r:id="rId1833" ref="S1846"/>
    <hyperlink r:id="rId1834" ref="S1847"/>
    <hyperlink r:id="rId1835" ref="S1848"/>
    <hyperlink r:id="rId1836" ref="S1849"/>
    <hyperlink r:id="rId1837" ref="S1850"/>
    <hyperlink r:id="rId1838" ref="S1851"/>
    <hyperlink r:id="rId1839" ref="S1852"/>
    <hyperlink r:id="rId1840" ref="S1853"/>
    <hyperlink r:id="rId1841" ref="S1854"/>
    <hyperlink r:id="rId1842" ref="S1855"/>
    <hyperlink r:id="rId1843" ref="S1856"/>
    <hyperlink r:id="rId1844" ref="S1857"/>
    <hyperlink r:id="rId1845" ref="S1858"/>
    <hyperlink r:id="rId1846" ref="S1859"/>
    <hyperlink r:id="rId1847" ref="S1860"/>
    <hyperlink r:id="rId1848" ref="S1861"/>
    <hyperlink r:id="rId1849" ref="S1862"/>
    <hyperlink r:id="rId1850" ref="S1863"/>
    <hyperlink r:id="rId1851" ref="S1864"/>
    <hyperlink r:id="rId1852" ref="S1865"/>
    <hyperlink r:id="rId1853" ref="S1866"/>
    <hyperlink r:id="rId1854" location="Pricing" ref="S1867"/>
    <hyperlink r:id="rId1855" ref="S1868"/>
    <hyperlink r:id="rId1856" ref="S1869"/>
    <hyperlink r:id="rId1857" ref="S1870"/>
    <hyperlink r:id="rId1858" ref="S1871"/>
    <hyperlink r:id="rId1859" ref="S1872"/>
    <hyperlink r:id="rId1860" ref="S1873"/>
    <hyperlink r:id="rId1861" ref="S1874"/>
    <hyperlink r:id="rId1862" ref="S1875"/>
    <hyperlink r:id="rId1863" ref="S1876"/>
    <hyperlink r:id="rId1864" ref="S1877"/>
    <hyperlink r:id="rId1865" ref="S1878"/>
    <hyperlink r:id="rId1866" ref="S1879"/>
    <hyperlink r:id="rId1867" ref="S1880"/>
    <hyperlink r:id="rId1868" ref="S1881"/>
    <hyperlink r:id="rId1869" ref="S1882"/>
    <hyperlink r:id="rId1870" ref="S1883"/>
    <hyperlink r:id="rId1871" ref="S1884"/>
    <hyperlink r:id="rId1872" ref="S1885"/>
    <hyperlink r:id="rId1873" ref="S1886"/>
    <hyperlink r:id="rId1874" ref="S1887"/>
    <hyperlink r:id="rId1875" ref="S1888"/>
    <hyperlink r:id="rId1876" ref="S1889"/>
    <hyperlink r:id="rId1877" ref="S1890"/>
    <hyperlink r:id="rId1878" ref="S1891"/>
    <hyperlink r:id="rId1879" ref="S1892"/>
    <hyperlink r:id="rId1880" ref="S1893"/>
    <hyperlink r:id="rId1881" location="Pricing" ref="S1894"/>
    <hyperlink r:id="rId1882" location="Pricing" ref="S1895"/>
    <hyperlink r:id="rId1883" location="Pricing" ref="S1896"/>
    <hyperlink r:id="rId1884" location="Pricing" ref="S1897"/>
    <hyperlink r:id="rId1885" location="Pricing" ref="S1898"/>
    <hyperlink r:id="rId1886" location="Pricing" ref="S1899"/>
    <hyperlink r:id="rId1887" location="Pricing" ref="S1900"/>
    <hyperlink r:id="rId1888" location="Pricing" ref="S1901"/>
    <hyperlink r:id="rId1889" location="Pricing" ref="S1902"/>
    <hyperlink r:id="rId1890" location="Pricing" ref="S1903"/>
    <hyperlink r:id="rId1891" location="Pricing" ref="S1904"/>
    <hyperlink r:id="rId1892" location="Pricing" ref="S1905"/>
    <hyperlink r:id="rId1893" location="Pricing" ref="S1906"/>
    <hyperlink r:id="rId1894" location="Pricing" ref="S1907"/>
    <hyperlink r:id="rId1895" location="Pricing" ref="S1908"/>
    <hyperlink r:id="rId1896" location="Pricing" ref="S1909"/>
    <hyperlink r:id="rId1897" location="Pricing" ref="S1910"/>
    <hyperlink r:id="rId1898" location="Pricing" ref="S1911"/>
    <hyperlink r:id="rId1899" location="Pricing" ref="S1912"/>
    <hyperlink r:id="rId1900" location="Pricing" ref="S1913"/>
    <hyperlink r:id="rId1901" location="Pricing" ref="S1914"/>
    <hyperlink r:id="rId1902" location="Pricing" ref="S1915"/>
    <hyperlink r:id="rId1903" location="Pricing" ref="S1916"/>
    <hyperlink r:id="rId1904" location="Pricing" ref="S1917"/>
    <hyperlink r:id="rId1905" location="Pricing" ref="S1918"/>
    <hyperlink r:id="rId1906" location="Pricing" ref="S1919"/>
    <hyperlink r:id="rId1907" ref="S1920"/>
    <hyperlink r:id="rId1908" ref="S1921"/>
    <hyperlink r:id="rId1909" ref="S1922"/>
    <hyperlink r:id="rId1910" ref="S1923"/>
    <hyperlink r:id="rId1911" ref="S1924"/>
    <hyperlink r:id="rId1912" ref="S1925"/>
    <hyperlink r:id="rId1913" ref="S1926"/>
    <hyperlink r:id="rId1914" ref="S1927"/>
    <hyperlink r:id="rId1915" ref="S1928"/>
    <hyperlink r:id="rId1916" ref="S1929"/>
    <hyperlink r:id="rId1917" ref="S1930"/>
    <hyperlink r:id="rId1918" ref="S1931"/>
    <hyperlink r:id="rId1919" ref="S1932"/>
    <hyperlink r:id="rId1920" ref="S1933"/>
    <hyperlink r:id="rId1921" ref="S1934"/>
    <hyperlink r:id="rId1922" ref="S1935"/>
    <hyperlink r:id="rId1923" location="Pricing" ref="S1936"/>
    <hyperlink r:id="rId1924" location="Pricing" ref="S1937"/>
    <hyperlink r:id="rId1925" location="Pricing" ref="S1938"/>
    <hyperlink r:id="rId1926" ref="S1939"/>
    <hyperlink r:id="rId1927" ref="S1940"/>
    <hyperlink r:id="rId1928" ref="S1941"/>
    <hyperlink r:id="rId1929" ref="S1942"/>
    <hyperlink r:id="rId1930" ref="S1943"/>
    <hyperlink r:id="rId1931" location="Pricing" ref="S1944"/>
    <hyperlink r:id="rId1932" ref="S1945"/>
    <hyperlink r:id="rId1933" location="Pricing" ref="S1946"/>
    <hyperlink r:id="rId1934" ref="S1947"/>
    <hyperlink r:id="rId1935" location="Pricing" ref="S1948"/>
    <hyperlink r:id="rId1936" ref="S1949"/>
    <hyperlink r:id="rId1937" ref="S1950"/>
    <hyperlink r:id="rId1938" ref="S1951"/>
    <hyperlink r:id="rId1939" ref="S1952"/>
    <hyperlink r:id="rId1940" ref="S1953"/>
    <hyperlink r:id="rId1941" ref="S1954"/>
    <hyperlink r:id="rId1942" ref="S1955"/>
    <hyperlink r:id="rId1943" ref="S1956"/>
    <hyperlink r:id="rId1944" ref="S1957"/>
    <hyperlink r:id="rId1945" ref="S1958"/>
    <hyperlink r:id="rId1946" ref="S1959"/>
    <hyperlink r:id="rId1947" ref="S1960"/>
    <hyperlink r:id="rId1948" ref="S1961"/>
    <hyperlink r:id="rId1949" ref="S1962"/>
    <hyperlink r:id="rId1950" ref="S1963"/>
    <hyperlink r:id="rId1951" ref="S1964"/>
    <hyperlink r:id="rId1952" ref="S1965"/>
    <hyperlink r:id="rId1953" ref="S1966"/>
    <hyperlink r:id="rId1954" ref="S1967"/>
    <hyperlink r:id="rId1955" ref="S1968"/>
    <hyperlink r:id="rId1956" ref="S1969"/>
    <hyperlink r:id="rId1957" ref="S1970"/>
    <hyperlink r:id="rId1958" ref="S1971"/>
    <hyperlink r:id="rId1959" ref="S1972"/>
    <hyperlink r:id="rId1960" ref="S1973"/>
    <hyperlink r:id="rId1961" ref="S1974"/>
    <hyperlink r:id="rId1962" ref="S1975"/>
    <hyperlink r:id="rId1963" ref="S1976"/>
    <hyperlink r:id="rId1964" ref="S1977"/>
    <hyperlink r:id="rId1965" ref="S1978"/>
    <hyperlink r:id="rId1966" ref="S1979"/>
    <hyperlink r:id="rId1967" ref="S1980"/>
    <hyperlink r:id="rId1968" ref="S1981"/>
    <hyperlink r:id="rId1969" ref="S1982"/>
    <hyperlink r:id="rId1970" ref="S1983"/>
    <hyperlink r:id="rId1971" ref="S1984"/>
    <hyperlink r:id="rId1972" ref="S1985"/>
    <hyperlink r:id="rId1973" ref="S1986"/>
    <hyperlink r:id="rId1974" ref="S1987"/>
    <hyperlink r:id="rId1975" ref="S1988"/>
    <hyperlink r:id="rId1976" ref="S1989"/>
    <hyperlink r:id="rId1977" ref="S1990"/>
    <hyperlink r:id="rId1978" ref="S1991"/>
    <hyperlink r:id="rId1979" ref="S1992"/>
    <hyperlink r:id="rId1980" ref="S1993"/>
    <hyperlink r:id="rId1981" ref="S1994"/>
    <hyperlink r:id="rId1982" ref="S1995"/>
    <hyperlink r:id="rId1983" ref="S1996"/>
    <hyperlink r:id="rId1984" ref="S1997"/>
    <hyperlink r:id="rId1985" ref="S1998"/>
    <hyperlink r:id="rId1986" ref="S1999"/>
    <hyperlink r:id="rId1987" ref="S2000"/>
    <hyperlink r:id="rId1988" ref="S2001"/>
    <hyperlink r:id="rId1989" ref="S2002"/>
    <hyperlink r:id="rId1990" ref="S2003"/>
    <hyperlink r:id="rId1991" ref="S2004"/>
    <hyperlink r:id="rId1992" ref="S2005"/>
    <hyperlink r:id="rId1993" ref="S2006"/>
    <hyperlink r:id="rId1994" ref="S2007"/>
    <hyperlink r:id="rId1995" ref="S2008"/>
    <hyperlink r:id="rId1996" ref="S2009"/>
    <hyperlink r:id="rId1997" ref="S2010"/>
    <hyperlink r:id="rId1998" ref="S2011"/>
    <hyperlink r:id="rId1999" location="Pricing" ref="S2012"/>
    <hyperlink r:id="rId2000" location="Pricing" ref="S2013"/>
    <hyperlink r:id="rId2001" ref="S2014"/>
    <hyperlink r:id="rId2002" ref="S2015"/>
    <hyperlink r:id="rId2003" ref="S2016"/>
    <hyperlink r:id="rId2004" ref="S2017"/>
    <hyperlink r:id="rId2005" ref="S2018"/>
    <hyperlink r:id="rId2006" location="Pricing" ref="S2019"/>
    <hyperlink r:id="rId2007" ref="S2020"/>
    <hyperlink r:id="rId2008" ref="S2021"/>
    <hyperlink r:id="rId2009" ref="S2022"/>
    <hyperlink r:id="rId2010" ref="S2023"/>
    <hyperlink r:id="rId2011" ref="S2024"/>
    <hyperlink r:id="rId2012" ref="S2025"/>
    <hyperlink r:id="rId2013" ref="S2026"/>
    <hyperlink r:id="rId2014" ref="S2027"/>
    <hyperlink r:id="rId2015" ref="S2028"/>
    <hyperlink r:id="rId2016" location="Pricing" ref="S2029"/>
    <hyperlink r:id="rId2017" ref="S2030"/>
    <hyperlink r:id="rId2018" ref="S2031"/>
    <hyperlink r:id="rId2019" ref="S2032"/>
    <hyperlink r:id="rId2020" ref="S2033"/>
    <hyperlink r:id="rId2021" ref="S2034"/>
    <hyperlink r:id="rId2022" ref="S2035"/>
    <hyperlink r:id="rId2023" ref="S2036"/>
    <hyperlink r:id="rId2024" ref="S2037"/>
    <hyperlink r:id="rId2025" ref="S2038"/>
    <hyperlink r:id="rId2026" ref="S2039"/>
    <hyperlink r:id="rId2027" location="Pricing" ref="S2040"/>
    <hyperlink r:id="rId2028" ref="S2041"/>
    <hyperlink r:id="rId2029" ref="S2042"/>
    <hyperlink r:id="rId2030" ref="S2043"/>
    <hyperlink r:id="rId2031" ref="S2044"/>
    <hyperlink r:id="rId2032" ref="S2045"/>
    <hyperlink r:id="rId2033" location="Pricing" ref="S2046"/>
    <hyperlink r:id="rId2034" ref="S2047"/>
    <hyperlink r:id="rId2035" ref="S2048"/>
    <hyperlink r:id="rId2036" ref="S2049"/>
    <hyperlink r:id="rId2037" ref="S2050"/>
    <hyperlink r:id="rId2038" ref="S2051"/>
    <hyperlink r:id="rId2039" ref="S2052"/>
    <hyperlink r:id="rId2040" ref="S2053"/>
    <hyperlink r:id="rId2041" ref="S2054"/>
    <hyperlink r:id="rId2042" ref="S2055"/>
    <hyperlink r:id="rId2043" ref="S2056"/>
    <hyperlink r:id="rId2044" location="Pricing" ref="S2057"/>
    <hyperlink r:id="rId2045" ref="S2058"/>
    <hyperlink r:id="rId2046" ref="S2059"/>
    <hyperlink r:id="rId2047" ref="S2060"/>
    <hyperlink r:id="rId2048" ref="S2061"/>
    <hyperlink r:id="rId2049" ref="S2062"/>
    <hyperlink r:id="rId2050" ref="S2063"/>
    <hyperlink r:id="rId2051" ref="S2064"/>
    <hyperlink r:id="rId2052" ref="S2065"/>
    <hyperlink r:id="rId2053" ref="S2066"/>
    <hyperlink r:id="rId2054" ref="S2067"/>
    <hyperlink r:id="rId2055" ref="S2068"/>
    <hyperlink r:id="rId2056" ref="S2069"/>
    <hyperlink r:id="rId2057" ref="S2070"/>
    <hyperlink r:id="rId2058" ref="S2071"/>
    <hyperlink r:id="rId2059" ref="S2072"/>
    <hyperlink r:id="rId2060" ref="S2073"/>
    <hyperlink r:id="rId2061" ref="S2074"/>
    <hyperlink r:id="rId2062" ref="S2075"/>
    <hyperlink r:id="rId2063" ref="S2076"/>
    <hyperlink r:id="rId2064" ref="S2077"/>
    <hyperlink r:id="rId2065" ref="S2078"/>
    <hyperlink r:id="rId2066" ref="S2079"/>
    <hyperlink r:id="rId2067" ref="S2080"/>
    <hyperlink r:id="rId2068" ref="S2081"/>
    <hyperlink r:id="rId2069" ref="S2082"/>
    <hyperlink r:id="rId2070" ref="S2083"/>
    <hyperlink r:id="rId2071" ref="S2084"/>
    <hyperlink r:id="rId2072" ref="S2085"/>
    <hyperlink r:id="rId2073" location="Pricing" ref="S2086"/>
    <hyperlink r:id="rId2074" ref="S2087"/>
    <hyperlink r:id="rId2075" ref="S2088"/>
    <hyperlink r:id="rId2076" ref="S2089"/>
    <hyperlink r:id="rId2077" ref="S2090"/>
    <hyperlink r:id="rId2078" location="Pricing" ref="S2091"/>
    <hyperlink r:id="rId2079" location="Pricing" ref="S2092"/>
    <hyperlink r:id="rId2080" location="Pricing" ref="S2093"/>
    <hyperlink r:id="rId2081" location="Pricing" ref="S2094"/>
    <hyperlink r:id="rId2082" location="Pricing" ref="S2095"/>
    <hyperlink r:id="rId2083" location="Pricing" ref="S2096"/>
    <hyperlink r:id="rId2084" location="Pricing" ref="S2097"/>
    <hyperlink r:id="rId2085" location="Pricing" ref="S2098"/>
    <hyperlink r:id="rId2086" location="Pricing" ref="S2099"/>
    <hyperlink r:id="rId2087" location="Pricing" ref="S2100"/>
    <hyperlink r:id="rId2088" location="Pricing" ref="S2101"/>
    <hyperlink r:id="rId2089" location="Pricing" ref="S2102"/>
    <hyperlink r:id="rId2090" ref="S2103"/>
    <hyperlink r:id="rId2091" location="Pricing" ref="S2104"/>
    <hyperlink r:id="rId2092" location="Pricing" ref="S2105"/>
    <hyperlink r:id="rId2093" ref="S2106"/>
    <hyperlink r:id="rId2094" ref="S2107"/>
    <hyperlink r:id="rId2095" ref="S2108"/>
    <hyperlink r:id="rId2096" ref="S2109"/>
    <hyperlink r:id="rId2097" ref="S2110"/>
    <hyperlink r:id="rId2098" ref="S2111"/>
    <hyperlink r:id="rId2099" ref="S2112"/>
    <hyperlink r:id="rId2100" ref="S2113"/>
    <hyperlink r:id="rId2101" ref="S2114"/>
    <hyperlink r:id="rId2102" ref="S2115"/>
    <hyperlink r:id="rId2103" ref="S2116"/>
    <hyperlink r:id="rId2104" ref="S2117"/>
    <hyperlink r:id="rId2105" ref="S2118"/>
    <hyperlink r:id="rId2106" ref="S2119"/>
    <hyperlink r:id="rId2107" ref="S2120"/>
    <hyperlink r:id="rId2108" ref="S2121"/>
    <hyperlink r:id="rId2109" ref="S2122"/>
    <hyperlink r:id="rId2110" ref="S2123"/>
    <hyperlink r:id="rId2111" ref="S2124"/>
    <hyperlink r:id="rId2112" ref="S2125"/>
    <hyperlink r:id="rId2113" ref="S2126"/>
    <hyperlink r:id="rId2114" ref="S2127"/>
    <hyperlink r:id="rId2115" ref="S2128"/>
    <hyperlink r:id="rId2116" ref="S2129"/>
    <hyperlink r:id="rId2117" ref="S2130"/>
    <hyperlink r:id="rId2118" ref="S2131"/>
    <hyperlink r:id="rId2119" ref="S2132"/>
    <hyperlink r:id="rId2120" ref="S2133"/>
    <hyperlink r:id="rId2121" ref="S2134"/>
    <hyperlink r:id="rId2122" ref="S2135"/>
    <hyperlink r:id="rId2123" ref="S2136"/>
    <hyperlink r:id="rId2124" ref="S2137"/>
    <hyperlink r:id="rId2125" ref="S2138"/>
    <hyperlink r:id="rId2126" ref="S2139"/>
    <hyperlink r:id="rId2127" ref="S2140"/>
    <hyperlink r:id="rId2128" ref="S2141"/>
    <hyperlink r:id="rId2129" ref="S2142"/>
    <hyperlink r:id="rId2130" ref="S2143"/>
    <hyperlink r:id="rId2131" ref="S2144"/>
    <hyperlink r:id="rId2132" ref="S2145"/>
    <hyperlink r:id="rId2133" ref="S2146"/>
    <hyperlink r:id="rId2134" ref="S2147"/>
    <hyperlink r:id="rId2135" ref="S2148"/>
    <hyperlink r:id="rId2136" ref="S2149"/>
    <hyperlink r:id="rId2137" ref="S2150"/>
    <hyperlink r:id="rId2138" ref="S2151"/>
    <hyperlink r:id="rId2139" ref="S2152"/>
    <hyperlink r:id="rId2140" ref="S2153"/>
    <hyperlink r:id="rId2141" ref="S2154"/>
    <hyperlink r:id="rId2142" ref="S2155"/>
    <hyperlink r:id="rId2143" ref="S2156"/>
    <hyperlink r:id="rId2144" ref="S2157"/>
    <hyperlink r:id="rId2145" ref="S2158"/>
    <hyperlink r:id="rId2146" ref="S2159"/>
    <hyperlink r:id="rId2147" ref="S2160"/>
    <hyperlink r:id="rId2148" ref="S2161"/>
    <hyperlink r:id="rId2149" ref="S2162"/>
    <hyperlink r:id="rId2150" ref="S2163"/>
    <hyperlink r:id="rId2151" ref="S2164"/>
    <hyperlink r:id="rId2152" ref="S2165"/>
    <hyperlink r:id="rId2153" ref="S2166"/>
    <hyperlink r:id="rId2154" ref="S2167"/>
    <hyperlink r:id="rId2155" ref="S2168"/>
    <hyperlink r:id="rId2156" ref="S2169"/>
    <hyperlink r:id="rId2157" ref="S2170"/>
    <hyperlink r:id="rId2158" ref="S2171"/>
    <hyperlink r:id="rId2159" ref="S2172"/>
    <hyperlink r:id="rId2160" ref="S2173"/>
    <hyperlink r:id="rId2161" ref="S2174"/>
    <hyperlink r:id="rId2162" ref="S2175"/>
    <hyperlink r:id="rId2163" ref="S2176"/>
    <hyperlink r:id="rId2164" ref="S2177"/>
    <hyperlink r:id="rId2165" ref="S2178"/>
    <hyperlink r:id="rId2166" ref="S2179"/>
    <hyperlink r:id="rId2167" ref="S2180"/>
    <hyperlink r:id="rId2168" ref="S2181"/>
    <hyperlink r:id="rId2169" ref="S2182"/>
    <hyperlink r:id="rId2170" ref="S2183"/>
    <hyperlink r:id="rId2171" ref="S2184"/>
    <hyperlink r:id="rId2172" ref="S2185"/>
    <hyperlink r:id="rId2173" ref="S2186"/>
    <hyperlink r:id="rId2174" ref="S2187"/>
    <hyperlink r:id="rId2175" ref="S2188"/>
    <hyperlink r:id="rId2176" ref="S2189"/>
    <hyperlink r:id="rId2177" ref="S2190"/>
    <hyperlink r:id="rId2178" ref="S2191"/>
    <hyperlink r:id="rId2179" ref="S2192"/>
    <hyperlink r:id="rId2180" ref="S2193"/>
    <hyperlink r:id="rId2181" ref="S2194"/>
    <hyperlink r:id="rId2182" ref="S2195"/>
    <hyperlink r:id="rId2183" ref="S2196"/>
    <hyperlink r:id="rId2184" ref="S2197"/>
    <hyperlink r:id="rId2185" ref="S2198"/>
    <hyperlink r:id="rId2186" ref="S2199"/>
    <hyperlink r:id="rId2187" ref="S2200"/>
    <hyperlink r:id="rId2188" ref="S2201"/>
    <hyperlink r:id="rId2189" ref="S2202"/>
    <hyperlink r:id="rId2190" ref="S2203"/>
    <hyperlink r:id="rId2191" ref="S2204"/>
    <hyperlink r:id="rId2192" ref="S2205"/>
    <hyperlink r:id="rId2193" ref="S2206"/>
    <hyperlink r:id="rId2194" ref="S2207"/>
    <hyperlink r:id="rId2195" ref="S2208"/>
    <hyperlink r:id="rId2196" ref="S2209"/>
    <hyperlink r:id="rId2197" ref="S2210"/>
    <hyperlink r:id="rId2198" ref="S2211"/>
    <hyperlink r:id="rId2199" ref="S2212"/>
    <hyperlink r:id="rId2200" ref="S2213"/>
    <hyperlink r:id="rId2201" ref="S2214"/>
    <hyperlink r:id="rId2202" ref="S2215"/>
    <hyperlink r:id="rId2203" ref="S2216"/>
    <hyperlink r:id="rId2204" ref="S2217"/>
    <hyperlink r:id="rId2205" ref="S2218"/>
    <hyperlink r:id="rId2206" ref="S2219"/>
    <hyperlink r:id="rId2207" ref="S2220"/>
    <hyperlink r:id="rId2208" ref="S2221"/>
    <hyperlink r:id="rId2209" ref="S2222"/>
    <hyperlink r:id="rId2210" ref="S2223"/>
    <hyperlink r:id="rId2211" ref="S2224"/>
    <hyperlink r:id="rId2212" ref="S2225"/>
    <hyperlink r:id="rId2213" ref="S2226"/>
    <hyperlink r:id="rId2214" ref="S2227"/>
    <hyperlink r:id="rId2215" ref="S2228"/>
    <hyperlink r:id="rId2216" ref="S2229"/>
    <hyperlink r:id="rId2217" ref="S2230"/>
    <hyperlink r:id="rId2218" ref="S2231"/>
    <hyperlink r:id="rId2219" ref="S2232"/>
    <hyperlink r:id="rId2220" location="Pricing" ref="S2233"/>
    <hyperlink r:id="rId2221" ref="S2234"/>
    <hyperlink r:id="rId2222" ref="S2235"/>
    <hyperlink r:id="rId2223" location="Pricing" ref="S2236"/>
    <hyperlink r:id="rId2224" ref="S2237"/>
    <hyperlink r:id="rId2225" location="Pricing" ref="S2238"/>
    <hyperlink r:id="rId2226" location="Pricing" ref="S2239"/>
    <hyperlink r:id="rId2227" ref="S2240"/>
    <hyperlink r:id="rId2228" ref="S2241"/>
    <hyperlink r:id="rId2229" ref="S2242"/>
    <hyperlink r:id="rId2230" location="Pricing" ref="S2243"/>
    <hyperlink r:id="rId2231" ref="S2244"/>
    <hyperlink r:id="rId2232" ref="S2245"/>
    <hyperlink r:id="rId2233" location="Pricing" ref="S2246"/>
    <hyperlink r:id="rId2234" ref="S2247"/>
    <hyperlink r:id="rId2235" ref="S2248"/>
    <hyperlink r:id="rId2236" ref="S2249"/>
    <hyperlink r:id="rId2237" ref="S2250"/>
    <hyperlink r:id="rId2238" ref="S2251"/>
    <hyperlink r:id="rId2239" ref="S2252"/>
    <hyperlink r:id="rId2240" ref="S2253"/>
    <hyperlink r:id="rId2241" ref="S2254"/>
    <hyperlink r:id="rId2242" ref="S2255"/>
    <hyperlink r:id="rId2243" ref="S2256"/>
    <hyperlink r:id="rId2244" location="Pricing" ref="S2257"/>
    <hyperlink r:id="rId2245" ref="S2258"/>
    <hyperlink r:id="rId2246" location="Pricing" ref="S2259"/>
    <hyperlink r:id="rId2247" location="Pricing" ref="S2260"/>
    <hyperlink r:id="rId2248" ref="S2261"/>
    <hyperlink r:id="rId2249" ref="S2262"/>
    <hyperlink r:id="rId2250" ref="S2263"/>
    <hyperlink r:id="rId2251" ref="S2264"/>
    <hyperlink r:id="rId2252" ref="S2265"/>
    <hyperlink r:id="rId2253" ref="S2266"/>
    <hyperlink r:id="rId2254" ref="S2267"/>
    <hyperlink r:id="rId2255" ref="S2268"/>
    <hyperlink r:id="rId2256" ref="S2269"/>
    <hyperlink r:id="rId2257" ref="S2270"/>
    <hyperlink r:id="rId2258" ref="S2271"/>
    <hyperlink r:id="rId2259" ref="S2272"/>
    <hyperlink r:id="rId2260" ref="S2273"/>
    <hyperlink r:id="rId2261" ref="S2274"/>
    <hyperlink r:id="rId2262" ref="S2275"/>
    <hyperlink r:id="rId2263" ref="S2276"/>
    <hyperlink r:id="rId2264" ref="S2277"/>
    <hyperlink r:id="rId2265" ref="S2278"/>
    <hyperlink r:id="rId2266" ref="S2279"/>
    <hyperlink r:id="rId2267" ref="S2280"/>
    <hyperlink r:id="rId2268" ref="S2281"/>
    <hyperlink r:id="rId2269" ref="S2282"/>
    <hyperlink r:id="rId2270" ref="S2283"/>
    <hyperlink r:id="rId2271" ref="S2284"/>
    <hyperlink r:id="rId2272" ref="S2285"/>
    <hyperlink r:id="rId2273" ref="S2286"/>
    <hyperlink r:id="rId2274" ref="S2287"/>
    <hyperlink r:id="rId2275" ref="S2288"/>
    <hyperlink r:id="rId2276" ref="S2289"/>
    <hyperlink r:id="rId2277" ref="S2290"/>
    <hyperlink r:id="rId2278" ref="S2291"/>
    <hyperlink r:id="rId2279" ref="S2292"/>
    <hyperlink r:id="rId2280" ref="S2293"/>
    <hyperlink r:id="rId2281" ref="S2294"/>
    <hyperlink r:id="rId2282" ref="S2295"/>
    <hyperlink r:id="rId2283" ref="S2296"/>
    <hyperlink r:id="rId2284" ref="S2297"/>
    <hyperlink r:id="rId2285" ref="S2298"/>
    <hyperlink r:id="rId2286" ref="S2299"/>
    <hyperlink r:id="rId2287" ref="S2300"/>
    <hyperlink r:id="rId2288" ref="S2301"/>
    <hyperlink r:id="rId2289" ref="S2302"/>
    <hyperlink r:id="rId2290" ref="S2303"/>
    <hyperlink r:id="rId2291" ref="S2304"/>
    <hyperlink r:id="rId2292" ref="S2305"/>
    <hyperlink r:id="rId2293" ref="S2306"/>
    <hyperlink r:id="rId2294" ref="S2307"/>
    <hyperlink r:id="rId2295" ref="S2308"/>
    <hyperlink r:id="rId2296" ref="S2309"/>
    <hyperlink r:id="rId2297" ref="S2310"/>
    <hyperlink r:id="rId2298" ref="S2311"/>
    <hyperlink r:id="rId2299" ref="S2312"/>
    <hyperlink r:id="rId2300" ref="S2313"/>
    <hyperlink r:id="rId2301" ref="S2314"/>
    <hyperlink r:id="rId2302" ref="S2315"/>
    <hyperlink r:id="rId2303" ref="S2316"/>
    <hyperlink r:id="rId2304" ref="S2317"/>
    <hyperlink r:id="rId2305" ref="S2318"/>
    <hyperlink r:id="rId2306" ref="S2319"/>
    <hyperlink r:id="rId2307" ref="S2320"/>
    <hyperlink r:id="rId2308" ref="S2321"/>
    <hyperlink r:id="rId2309" ref="S2322"/>
    <hyperlink r:id="rId2310" ref="S2323"/>
    <hyperlink r:id="rId2311" ref="S2324"/>
    <hyperlink r:id="rId2312" ref="S2325"/>
    <hyperlink r:id="rId2313" ref="S2326"/>
    <hyperlink r:id="rId2314" ref="S2327"/>
    <hyperlink r:id="rId2315" ref="S2328"/>
    <hyperlink r:id="rId2316" ref="S2329"/>
    <hyperlink r:id="rId2317" ref="S2330"/>
    <hyperlink r:id="rId2318" ref="S2331"/>
    <hyperlink r:id="rId2319" ref="S2332"/>
    <hyperlink r:id="rId2320" ref="S2333"/>
    <hyperlink r:id="rId2321" ref="S2334"/>
    <hyperlink r:id="rId2322" ref="S2335"/>
    <hyperlink r:id="rId2323" ref="S2336"/>
    <hyperlink r:id="rId2324" ref="S2337"/>
    <hyperlink r:id="rId2325" ref="S2338"/>
    <hyperlink r:id="rId2326" ref="S2339"/>
    <hyperlink r:id="rId2327" ref="S2340"/>
    <hyperlink r:id="rId2328" ref="S2341"/>
    <hyperlink r:id="rId2329" ref="S2342"/>
    <hyperlink r:id="rId2330" ref="S2343"/>
    <hyperlink r:id="rId2331" ref="S2344"/>
    <hyperlink r:id="rId2332" ref="S2345"/>
    <hyperlink r:id="rId2333" ref="S2346"/>
    <hyperlink r:id="rId2334" ref="S2347"/>
    <hyperlink r:id="rId2335" ref="S2348"/>
    <hyperlink r:id="rId2336" ref="S2349"/>
    <hyperlink r:id="rId2337" ref="S2350"/>
    <hyperlink r:id="rId2338" ref="S2351"/>
    <hyperlink r:id="rId2339" ref="S2352"/>
    <hyperlink r:id="rId2340" ref="S2353"/>
    <hyperlink r:id="rId2341" ref="S2354"/>
    <hyperlink r:id="rId2342" ref="S2355"/>
    <hyperlink r:id="rId2343" ref="S2356"/>
    <hyperlink r:id="rId2344" ref="S2357"/>
    <hyperlink r:id="rId2345" ref="S2358"/>
    <hyperlink r:id="rId2346" ref="S2359"/>
    <hyperlink r:id="rId2347" ref="S2360"/>
    <hyperlink r:id="rId2348" ref="S2361"/>
    <hyperlink r:id="rId2349" ref="S2362"/>
    <hyperlink r:id="rId2350" ref="S2363"/>
    <hyperlink r:id="rId2351" ref="S2364"/>
    <hyperlink r:id="rId2352" ref="S2365"/>
    <hyperlink r:id="rId2353" ref="S2366"/>
    <hyperlink r:id="rId2354" ref="S2367"/>
    <hyperlink r:id="rId2355" ref="S2368"/>
    <hyperlink r:id="rId2356" ref="S2369"/>
    <hyperlink r:id="rId2357" ref="S2370"/>
    <hyperlink r:id="rId2358" ref="S2371"/>
    <hyperlink r:id="rId2359" ref="S2372"/>
    <hyperlink r:id="rId2360" ref="S2373"/>
    <hyperlink r:id="rId2361" ref="S2374"/>
    <hyperlink r:id="rId2362" location="Pricing" ref="S2375"/>
    <hyperlink r:id="rId2363" ref="S2376"/>
    <hyperlink r:id="rId2364" location="Pricing" ref="S2377"/>
    <hyperlink r:id="rId2365" location="Pricing" ref="S2378"/>
    <hyperlink r:id="rId2366" location="Pricing" ref="S2379"/>
    <hyperlink r:id="rId2367" location="Pricing" ref="S2380"/>
    <hyperlink r:id="rId2368" location="Pricing" ref="S2381"/>
    <hyperlink r:id="rId2369" location="Pricing" ref="S2382"/>
    <hyperlink r:id="rId2370" location="Pricing" ref="S2383"/>
    <hyperlink r:id="rId2371" location="Pricing" ref="S2384"/>
    <hyperlink r:id="rId2372" ref="S2385"/>
    <hyperlink r:id="rId2373" ref="S2386"/>
    <hyperlink r:id="rId2374" location="Pricing" ref="S2387"/>
    <hyperlink r:id="rId2375" ref="S2388"/>
    <hyperlink r:id="rId2376" ref="S2389"/>
    <hyperlink r:id="rId2377" location="Pricing" ref="S2390"/>
    <hyperlink r:id="rId2378" location="Pricing" ref="S2391"/>
    <hyperlink r:id="rId2379" ref="S2392"/>
    <hyperlink r:id="rId2380" location="Pricing" ref="S2393"/>
    <hyperlink r:id="rId2381" location="Pricing" ref="S2394"/>
    <hyperlink r:id="rId2382" location="Pricing" ref="S2395"/>
    <hyperlink r:id="rId2383" location="Pricing" ref="S2396"/>
    <hyperlink r:id="rId2384" location="Pricing" ref="S2397"/>
    <hyperlink r:id="rId2385" location="Pricing" ref="S2398"/>
    <hyperlink r:id="rId2386" location="Pricing" ref="S2399"/>
    <hyperlink r:id="rId2387" location="Pricing" ref="S2400"/>
    <hyperlink r:id="rId2388" ref="S2401"/>
    <hyperlink r:id="rId2389" ref="S2402"/>
    <hyperlink r:id="rId2390" ref="S2403"/>
    <hyperlink r:id="rId2391" ref="S2404"/>
    <hyperlink r:id="rId2392" ref="S2405"/>
    <hyperlink r:id="rId2393" ref="S2406"/>
    <hyperlink r:id="rId2394" ref="S2407"/>
    <hyperlink r:id="rId2395" ref="S2408"/>
    <hyperlink r:id="rId2396" ref="S2409"/>
    <hyperlink r:id="rId2397" ref="S2410"/>
    <hyperlink r:id="rId2398" ref="S2411"/>
    <hyperlink r:id="rId2399" ref="S2412"/>
    <hyperlink r:id="rId2400" ref="S2413"/>
    <hyperlink r:id="rId2401" ref="S2414"/>
    <hyperlink r:id="rId2402" ref="S2415"/>
    <hyperlink r:id="rId2403" ref="S2416"/>
    <hyperlink r:id="rId2404" ref="S2417"/>
    <hyperlink r:id="rId2405" ref="S2418"/>
    <hyperlink r:id="rId2406" ref="S2419"/>
    <hyperlink r:id="rId2407" ref="S2420"/>
    <hyperlink r:id="rId2408" ref="S2421"/>
    <hyperlink r:id="rId2409" ref="S2422"/>
    <hyperlink r:id="rId2410" ref="S2423"/>
    <hyperlink r:id="rId2411" ref="S2424"/>
    <hyperlink r:id="rId2412" ref="S2425"/>
    <hyperlink r:id="rId2413" ref="S2426"/>
    <hyperlink r:id="rId2414" ref="S2427"/>
    <hyperlink r:id="rId2415" ref="S2428"/>
    <hyperlink r:id="rId2416" ref="S2429"/>
    <hyperlink r:id="rId2417" ref="S2430"/>
    <hyperlink r:id="rId2418" ref="S2431"/>
    <hyperlink r:id="rId2419" ref="S2432"/>
    <hyperlink r:id="rId2420" ref="S2433"/>
    <hyperlink r:id="rId2421" ref="S2434"/>
    <hyperlink r:id="rId2422" ref="S2435"/>
    <hyperlink r:id="rId2423" ref="S2436"/>
    <hyperlink r:id="rId2424" ref="S2437"/>
    <hyperlink r:id="rId2425" ref="S2438"/>
    <hyperlink r:id="rId2426" ref="S2439"/>
    <hyperlink r:id="rId2427" ref="S2440"/>
    <hyperlink r:id="rId2428" ref="S2441"/>
    <hyperlink r:id="rId2429" ref="S2442"/>
    <hyperlink r:id="rId2430" ref="S2443"/>
    <hyperlink r:id="rId2431" ref="S2444"/>
    <hyperlink r:id="rId2432" ref="S2445"/>
    <hyperlink r:id="rId2433" ref="S2446"/>
    <hyperlink r:id="rId2434" ref="S2447"/>
    <hyperlink r:id="rId2435" ref="S2448"/>
    <hyperlink r:id="rId2436" ref="S2449"/>
    <hyperlink r:id="rId2437" ref="S2450"/>
    <hyperlink r:id="rId2438" ref="S2451"/>
    <hyperlink r:id="rId2439" ref="S2452"/>
    <hyperlink r:id="rId2440" ref="S2453"/>
    <hyperlink r:id="rId2441" ref="S2454"/>
    <hyperlink r:id="rId2442" ref="S2455"/>
    <hyperlink r:id="rId2443" ref="S2456"/>
    <hyperlink r:id="rId2444" ref="S2457"/>
    <hyperlink r:id="rId2445" ref="S2458"/>
    <hyperlink r:id="rId2446" ref="S2459"/>
    <hyperlink r:id="rId2447" ref="S2460"/>
    <hyperlink r:id="rId2448" ref="S2461"/>
    <hyperlink r:id="rId2449" ref="S2462"/>
    <hyperlink r:id="rId2450" ref="S2463"/>
    <hyperlink r:id="rId2451" ref="S2464"/>
    <hyperlink r:id="rId2452" ref="S2465"/>
    <hyperlink r:id="rId2453" ref="S2466"/>
    <hyperlink r:id="rId2454" ref="S2467"/>
    <hyperlink r:id="rId2455" ref="S2468"/>
    <hyperlink r:id="rId2456" ref="S2469"/>
    <hyperlink r:id="rId2457" ref="S2470"/>
    <hyperlink r:id="rId2458" ref="S2471"/>
    <hyperlink r:id="rId2459" ref="S2472"/>
    <hyperlink r:id="rId2460" ref="S2473"/>
    <hyperlink r:id="rId2461" ref="S2474"/>
    <hyperlink r:id="rId2462" ref="S2475"/>
    <hyperlink r:id="rId2463" location="Pricing" ref="S2476"/>
    <hyperlink r:id="rId2464" ref="S2477"/>
    <hyperlink r:id="rId2465" ref="S2478"/>
    <hyperlink r:id="rId2466" ref="S2479"/>
    <hyperlink r:id="rId2467" ref="S2480"/>
    <hyperlink r:id="rId2468" ref="S2481"/>
    <hyperlink r:id="rId2469" ref="S2482"/>
    <hyperlink r:id="rId2470" ref="S2483"/>
    <hyperlink r:id="rId2471" ref="S2484"/>
    <hyperlink r:id="rId2472" ref="S2485"/>
    <hyperlink r:id="rId2473" ref="S2486"/>
    <hyperlink r:id="rId2474" ref="S2487"/>
    <hyperlink r:id="rId2475" ref="S2488"/>
    <hyperlink r:id="rId2476" ref="S2489"/>
    <hyperlink r:id="rId2477" ref="S2490"/>
    <hyperlink r:id="rId2478" ref="S2491"/>
    <hyperlink r:id="rId2479" ref="S2492"/>
    <hyperlink r:id="rId2480" ref="S2493"/>
    <hyperlink r:id="rId2481" ref="S2494"/>
    <hyperlink r:id="rId2482" ref="S2495"/>
    <hyperlink r:id="rId2483" ref="S2496"/>
    <hyperlink r:id="rId2484" ref="S2497"/>
    <hyperlink r:id="rId2485" ref="S2498"/>
    <hyperlink r:id="rId2486" ref="S2499"/>
    <hyperlink r:id="rId2487" ref="S2500"/>
    <hyperlink r:id="rId2488" ref="S2501"/>
    <hyperlink r:id="rId2489" ref="S2502"/>
    <hyperlink r:id="rId2490" ref="S2503"/>
    <hyperlink r:id="rId2491" ref="S2504"/>
    <hyperlink r:id="rId2492" ref="S2505"/>
    <hyperlink r:id="rId2493" ref="S2506"/>
    <hyperlink r:id="rId2494" ref="S2507"/>
    <hyperlink r:id="rId2495" ref="S2508"/>
    <hyperlink r:id="rId2496" ref="S2509"/>
    <hyperlink r:id="rId2497" ref="S2510"/>
    <hyperlink r:id="rId2498" ref="S2511"/>
    <hyperlink r:id="rId2499" ref="S2512"/>
    <hyperlink r:id="rId2500" ref="S2513"/>
    <hyperlink r:id="rId2501" ref="S2514"/>
    <hyperlink r:id="rId2502" ref="S2515"/>
    <hyperlink r:id="rId2503" ref="S2516"/>
    <hyperlink r:id="rId2504" ref="S2517"/>
    <hyperlink r:id="rId2505" ref="S2518"/>
    <hyperlink r:id="rId2506" ref="S2519"/>
    <hyperlink r:id="rId2507" ref="S2520"/>
    <hyperlink r:id="rId2508" ref="S2521"/>
    <hyperlink r:id="rId2509" ref="S2522"/>
    <hyperlink r:id="rId2510" ref="S2523"/>
    <hyperlink r:id="rId2511" ref="S2524"/>
    <hyperlink r:id="rId2512" ref="S2525"/>
    <hyperlink r:id="rId2513" ref="S2526"/>
    <hyperlink r:id="rId2514" ref="S2527"/>
    <hyperlink r:id="rId2515" ref="S2528"/>
    <hyperlink r:id="rId2516" ref="S2529"/>
    <hyperlink r:id="rId2517" ref="S2530"/>
    <hyperlink r:id="rId2518" ref="S2531"/>
    <hyperlink r:id="rId2519" ref="S2532"/>
    <hyperlink r:id="rId2520" ref="S2533"/>
    <hyperlink r:id="rId2521" ref="S2534"/>
    <hyperlink r:id="rId2522" ref="S2535"/>
    <hyperlink r:id="rId2523" ref="S2536"/>
    <hyperlink r:id="rId2524" ref="S2537"/>
    <hyperlink r:id="rId2525" ref="S2538"/>
    <hyperlink r:id="rId2526" ref="S2539"/>
    <hyperlink r:id="rId2527" ref="S2540"/>
    <hyperlink r:id="rId2528" ref="S2541"/>
    <hyperlink r:id="rId2529" ref="S2542"/>
    <hyperlink r:id="rId2530" ref="S2543"/>
    <hyperlink r:id="rId2531" ref="S2544"/>
    <hyperlink r:id="rId2532" ref="S2545"/>
    <hyperlink r:id="rId2533" ref="S2546"/>
    <hyperlink r:id="rId2534" ref="S2547"/>
    <hyperlink r:id="rId2535" ref="S2548"/>
    <hyperlink r:id="rId2536" ref="S2549"/>
    <hyperlink r:id="rId2537" ref="S2550"/>
    <hyperlink r:id="rId2538" ref="S2551"/>
    <hyperlink r:id="rId2539" ref="S2552"/>
    <hyperlink r:id="rId2540" ref="S2553"/>
    <hyperlink r:id="rId2541" ref="S2554"/>
    <hyperlink r:id="rId2542" ref="S2555"/>
    <hyperlink r:id="rId2543" ref="S2556"/>
    <hyperlink r:id="rId2544" ref="S2557"/>
    <hyperlink r:id="rId2545" ref="S2558"/>
    <hyperlink r:id="rId2546" ref="S2559"/>
    <hyperlink r:id="rId2547" ref="S2560"/>
    <hyperlink r:id="rId2548" ref="S2561"/>
    <hyperlink r:id="rId2549" ref="S2562"/>
    <hyperlink r:id="rId2550" ref="S2563"/>
    <hyperlink r:id="rId2551" ref="S2564"/>
    <hyperlink r:id="rId2552" ref="S2565"/>
    <hyperlink r:id="rId2553" ref="S2566"/>
    <hyperlink r:id="rId2554" ref="S2567"/>
    <hyperlink r:id="rId2555" ref="S2568"/>
    <hyperlink r:id="rId2556" ref="S2569"/>
    <hyperlink r:id="rId2557" ref="S2570"/>
    <hyperlink r:id="rId2558" ref="S2571"/>
    <hyperlink r:id="rId2559" ref="S2572"/>
    <hyperlink r:id="rId2560" ref="S2573"/>
    <hyperlink r:id="rId2561" ref="S2574"/>
    <hyperlink r:id="rId2562" ref="S2575"/>
    <hyperlink r:id="rId2563" ref="S2576"/>
    <hyperlink r:id="rId2564" ref="S2577"/>
    <hyperlink r:id="rId2565" location="Pricing" ref="S2578"/>
    <hyperlink r:id="rId2566" location="Pricing" ref="S2610"/>
    <hyperlink r:id="rId2567" location="Pricing" ref="S2611"/>
    <hyperlink r:id="rId2568" location="Pricing" ref="S2612"/>
    <hyperlink r:id="rId2569" location="Pricing" ref="S2613"/>
    <hyperlink r:id="rId2570" location="Pricing" ref="S2614"/>
    <hyperlink r:id="rId2571" location="Pricing" ref="S2615"/>
    <hyperlink r:id="rId2572" location="Pricing" ref="S2618"/>
    <hyperlink r:id="rId2573" location="Pricing" ref="S2619"/>
    <hyperlink r:id="rId2574" location="Pricing" ref="S2620"/>
    <hyperlink r:id="rId2575" location="Pricing" ref="S2622"/>
    <hyperlink r:id="rId2576" location="Pricing" ref="S2623"/>
    <hyperlink r:id="rId2577" location="Pricing" ref="S2624"/>
    <hyperlink r:id="rId2578" location="Pricing" ref="S2625"/>
    <hyperlink r:id="rId2579" location="Pricing" ref="S2626"/>
    <hyperlink r:id="rId2580" location="Pricing" ref="S2627"/>
    <hyperlink r:id="rId2581" location="Pricing" ref="S2629"/>
    <hyperlink r:id="rId2582" location="Pricing" ref="S2630"/>
    <hyperlink r:id="rId2583" location="Pricing" ref="S2631"/>
    <hyperlink r:id="rId2584" location="Pricing" ref="S2632"/>
    <hyperlink r:id="rId2585" location="Pricing" ref="S2633"/>
    <hyperlink r:id="rId2586" location="Pricing" ref="S2634"/>
    <hyperlink r:id="rId2587" location="Pricing" ref="S2635"/>
    <hyperlink r:id="rId2588" location="Pricing" ref="S2636"/>
    <hyperlink r:id="rId2589" location="Pricing" ref="S2637"/>
    <hyperlink r:id="rId2590" location="Pricing" ref="S2638"/>
    <hyperlink r:id="rId2591" location="Pricing" ref="S2639"/>
    <hyperlink r:id="rId2592" location="Pricing" ref="S2640"/>
    <hyperlink r:id="rId2593" location="Pricing" ref="S2641"/>
    <hyperlink r:id="rId2594" location="Pricing" ref="S2642"/>
    <hyperlink r:id="rId2595" location="Pricing" ref="S2643"/>
    <hyperlink r:id="rId2596" location="Pricing" ref="S2644"/>
    <hyperlink r:id="rId2597" location="Pricing" ref="S2645"/>
    <hyperlink r:id="rId2598" location="Pricing" ref="S2646"/>
    <hyperlink r:id="rId2599" location="Pricing" ref="S2647"/>
    <hyperlink r:id="rId2600" location="Pricing" ref="S2648"/>
    <hyperlink r:id="rId2601" location="Pricing" ref="S2649"/>
    <hyperlink r:id="rId2602" location="Pricing" ref="S2650"/>
    <hyperlink r:id="rId2603" location="Pricing" ref="S2651"/>
    <hyperlink r:id="rId2604" location="Pricing" ref="S2652"/>
    <hyperlink r:id="rId2605" location="Pricing" ref="S2653"/>
    <hyperlink r:id="rId2606" location="Pricing" ref="S2654"/>
    <hyperlink r:id="rId2607" location="Pricing" ref="S2655"/>
    <hyperlink r:id="rId2608" location="Pricing" ref="S2656"/>
    <hyperlink r:id="rId2609" ref="S2657"/>
    <hyperlink r:id="rId2610" ref="S2658"/>
    <hyperlink r:id="rId2611" ref="S2659"/>
    <hyperlink r:id="rId2612" ref="S2660"/>
    <hyperlink r:id="rId2613" ref="S2661"/>
    <hyperlink r:id="rId2614" ref="S2662"/>
    <hyperlink r:id="rId2615" ref="S2663"/>
    <hyperlink r:id="rId2616" ref="S2664"/>
    <hyperlink r:id="rId2617" location="Pricing" ref="S2665"/>
    <hyperlink r:id="rId2618" ref="S2666"/>
    <hyperlink r:id="rId2619" ref="S2667"/>
    <hyperlink r:id="rId2620" ref="S2668"/>
    <hyperlink r:id="rId2621" ref="S2669"/>
    <hyperlink r:id="rId2622" ref="S2670"/>
    <hyperlink r:id="rId2623" ref="S2671"/>
    <hyperlink r:id="rId2624" ref="S2672"/>
    <hyperlink r:id="rId2625" location="Pricing" ref="S2673"/>
    <hyperlink r:id="rId2626" ref="S2674"/>
    <hyperlink r:id="rId2627" ref="S2675"/>
    <hyperlink r:id="rId2628" ref="S2676"/>
    <hyperlink r:id="rId2629" location="Pricing" ref="S2677"/>
    <hyperlink r:id="rId2630" ref="S2678"/>
    <hyperlink r:id="rId2631" ref="S2679"/>
    <hyperlink r:id="rId2632" location="Pricing" ref="S2680"/>
    <hyperlink r:id="rId2633" ref="S2681"/>
    <hyperlink r:id="rId2634" location="Pricing" ref="S2682"/>
    <hyperlink r:id="rId2635" location="Pricing" ref="S2683"/>
    <hyperlink r:id="rId2636" ref="S2684"/>
    <hyperlink r:id="rId2637" location="Pricing" ref="S2685"/>
    <hyperlink r:id="rId2638" ref="S2686"/>
    <hyperlink r:id="rId2639" location="Pricing" ref="S2687"/>
    <hyperlink r:id="rId2640" ref="S2688"/>
    <hyperlink r:id="rId2641" ref="S2689"/>
    <hyperlink r:id="rId2642" ref="S2690"/>
    <hyperlink r:id="rId2643" ref="S2691"/>
    <hyperlink r:id="rId2644" location="Pricing" ref="S2692"/>
    <hyperlink r:id="rId2645" ref="S2693"/>
    <hyperlink r:id="rId2646" ref="S2694"/>
    <hyperlink r:id="rId2647" ref="S2695"/>
    <hyperlink r:id="rId2648" ref="S2696"/>
    <hyperlink r:id="rId2649" ref="S2697"/>
    <hyperlink r:id="rId2650" ref="S2698"/>
    <hyperlink r:id="rId2651" ref="S2699"/>
    <hyperlink r:id="rId2652" ref="S2700"/>
    <hyperlink r:id="rId2653" ref="S2701"/>
    <hyperlink r:id="rId2654" ref="S2702"/>
    <hyperlink r:id="rId2655" ref="S2703"/>
    <hyperlink r:id="rId2656" ref="S2704"/>
    <hyperlink r:id="rId2657" ref="S2705"/>
    <hyperlink r:id="rId2658" ref="S2706"/>
    <hyperlink r:id="rId2659" ref="S2707"/>
    <hyperlink r:id="rId2660" ref="S2708"/>
    <hyperlink r:id="rId2661" ref="S2709"/>
    <hyperlink r:id="rId2662" ref="S2710"/>
    <hyperlink r:id="rId2663" ref="S2711"/>
    <hyperlink r:id="rId2664" ref="S2712"/>
    <hyperlink r:id="rId2665" ref="S2713"/>
    <hyperlink r:id="rId2666" ref="S2714"/>
    <hyperlink r:id="rId2667" ref="S2715"/>
    <hyperlink r:id="rId2668" ref="S2716"/>
    <hyperlink r:id="rId2669" ref="S2717"/>
    <hyperlink r:id="rId2670" ref="S2718"/>
    <hyperlink r:id="rId2671" ref="S2719"/>
    <hyperlink r:id="rId2672" ref="S2720"/>
    <hyperlink r:id="rId2673" ref="S2721"/>
    <hyperlink r:id="rId2674" ref="S2722"/>
    <hyperlink r:id="rId2675" ref="S2723"/>
    <hyperlink r:id="rId2676" ref="S2724"/>
    <hyperlink r:id="rId2677" ref="S2725"/>
    <hyperlink r:id="rId2678" ref="S2726"/>
    <hyperlink r:id="rId2679" ref="S2727"/>
    <hyperlink r:id="rId2680" ref="S2728"/>
    <hyperlink r:id="rId2681" ref="S2729"/>
    <hyperlink r:id="rId2682" ref="S2730"/>
    <hyperlink r:id="rId2683" ref="S2731"/>
    <hyperlink r:id="rId2684" ref="S2732"/>
    <hyperlink r:id="rId2685" ref="S2733"/>
    <hyperlink r:id="rId2686" ref="S2734"/>
    <hyperlink r:id="rId2687" ref="S2735"/>
    <hyperlink r:id="rId2688" ref="S2736"/>
    <hyperlink r:id="rId2689" ref="S2737"/>
    <hyperlink r:id="rId2690" ref="S2738"/>
    <hyperlink r:id="rId2691" ref="S2739"/>
    <hyperlink r:id="rId2692" ref="S2740"/>
    <hyperlink r:id="rId2693" ref="S2741"/>
    <hyperlink r:id="rId2694" ref="S2742"/>
    <hyperlink r:id="rId2695" ref="S2743"/>
    <hyperlink r:id="rId2696" ref="S2744"/>
    <hyperlink r:id="rId2697" ref="S2745"/>
    <hyperlink r:id="rId2698" ref="S2746"/>
    <hyperlink r:id="rId2699" ref="S2747"/>
    <hyperlink r:id="rId2700" ref="S2748"/>
    <hyperlink r:id="rId2701" ref="S2749"/>
    <hyperlink r:id="rId2702" location="Pricing" ref="S2751"/>
  </hyperlinks>
  <drawing r:id="rId270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54</v>
      </c>
      <c r="B1" s="1" t="s">
        <v>55</v>
      </c>
      <c r="C1" s="15" t="str">
        <f t="shared" ref="C1:C5009" si="1">CONCAT(A1,B1)</f>
        <v>emailcontact</v>
      </c>
      <c r="D1" s="16" t="s">
        <v>6695</v>
      </c>
    </row>
    <row r="2">
      <c r="A2" s="1" t="s">
        <v>6696</v>
      </c>
      <c r="B2" s="15">
        <f>+919841696000</f>
        <v>919841696000</v>
      </c>
      <c r="C2" s="15" t="str">
        <f t="shared" si="1"/>
        <v>kesavanp_77@yahoo.co.in919841696000</v>
      </c>
      <c r="D2" s="16" t="s">
        <v>6697</v>
      </c>
      <c r="E2" s="16" t="s">
        <v>74</v>
      </c>
    </row>
    <row r="3">
      <c r="A3" s="1" t="s">
        <v>3299</v>
      </c>
      <c r="B3" s="15">
        <f>+919136513535</f>
        <v>919136513535</v>
      </c>
      <c r="C3" s="15" t="str">
        <f t="shared" si="1"/>
        <v>srishtituteja08@gmail.com919136513535</v>
      </c>
      <c r="D3" s="16" t="s">
        <v>6698</v>
      </c>
      <c r="E3" s="16" t="s">
        <v>68</v>
      </c>
    </row>
    <row r="4">
      <c r="A4" s="1" t="s">
        <v>6699</v>
      </c>
      <c r="B4" s="15">
        <f>+919718917696</f>
        <v>919718917696</v>
      </c>
      <c r="C4" s="15" t="str">
        <f t="shared" si="1"/>
        <v>yesha.aftab@gmail.com919718917696</v>
      </c>
      <c r="D4" s="16" t="s">
        <v>6700</v>
      </c>
      <c r="E4" s="16" t="s">
        <v>68</v>
      </c>
    </row>
    <row r="5">
      <c r="A5" s="1" t="s">
        <v>6566</v>
      </c>
      <c r="B5" s="15">
        <f>+919949979809</f>
        <v>919949979809</v>
      </c>
      <c r="C5" s="15" t="str">
        <f t="shared" si="1"/>
        <v>saikishore809@gmail.com919949979809</v>
      </c>
      <c r="D5" s="16" t="s">
        <v>6701</v>
      </c>
      <c r="E5" s="16" t="s">
        <v>68</v>
      </c>
    </row>
    <row r="6">
      <c r="A6" s="1" t="s">
        <v>6590</v>
      </c>
      <c r="B6" s="15">
        <f>+917538888132</f>
        <v>917538888132</v>
      </c>
      <c r="C6" s="15" t="str">
        <f t="shared" si="1"/>
        <v>kamaliganapathy1998@gmail.com917538888132</v>
      </c>
      <c r="D6" s="16" t="s">
        <v>6702</v>
      </c>
      <c r="E6" s="16" t="s">
        <v>68</v>
      </c>
    </row>
    <row r="7">
      <c r="A7" s="1" t="s">
        <v>3313</v>
      </c>
      <c r="B7" s="15">
        <f t="shared" ref="B7:B9" si="2">+919888470272</f>
        <v>919888470272</v>
      </c>
      <c r="C7" s="15" t="str">
        <f t="shared" si="1"/>
        <v>himanshusaleria@gmail.com919888470272</v>
      </c>
      <c r="D7" s="16" t="s">
        <v>6703</v>
      </c>
      <c r="E7" s="16" t="s">
        <v>68</v>
      </c>
    </row>
    <row r="8">
      <c r="A8" s="1" t="s">
        <v>3313</v>
      </c>
      <c r="B8" s="15">
        <f t="shared" si="2"/>
        <v>919888470272</v>
      </c>
      <c r="C8" s="15" t="str">
        <f t="shared" si="1"/>
        <v>himanshusaleria@gmail.com919888470272</v>
      </c>
      <c r="D8" s="16" t="s">
        <v>6704</v>
      </c>
      <c r="E8" s="16" t="s">
        <v>68</v>
      </c>
    </row>
    <row r="9">
      <c r="A9" s="1" t="s">
        <v>3313</v>
      </c>
      <c r="B9" s="15">
        <f t="shared" si="2"/>
        <v>919888470272</v>
      </c>
      <c r="C9" s="15" t="str">
        <f t="shared" si="1"/>
        <v>himanshusaleria@gmail.com919888470272</v>
      </c>
      <c r="D9" s="16" t="s">
        <v>6705</v>
      </c>
      <c r="E9" s="16" t="s">
        <v>68</v>
      </c>
    </row>
    <row r="10">
      <c r="A10" s="1" t="s">
        <v>3056</v>
      </c>
      <c r="B10" s="15">
        <f>+919205219728</f>
        <v>919205219728</v>
      </c>
      <c r="C10" s="15" t="str">
        <f t="shared" si="1"/>
        <v>msnidhi.sharma09@gmail.com919205219728</v>
      </c>
      <c r="D10" s="16" t="s">
        <v>6706</v>
      </c>
      <c r="E10" s="16" t="s">
        <v>68</v>
      </c>
    </row>
    <row r="11">
      <c r="A11" s="1" t="s">
        <v>6467</v>
      </c>
      <c r="B11" s="15">
        <f>+919322296996</f>
        <v>919322296996</v>
      </c>
      <c r="C11" s="15" t="str">
        <f t="shared" si="1"/>
        <v>9322296996@tempuser.com919322296996</v>
      </c>
      <c r="D11" s="16" t="s">
        <v>6707</v>
      </c>
      <c r="E11" s="16" t="s">
        <v>74</v>
      </c>
    </row>
    <row r="12">
      <c r="A12" s="1" t="s">
        <v>6708</v>
      </c>
      <c r="B12" s="15">
        <f>+919893352854</f>
        <v>919893352854</v>
      </c>
      <c r="C12" s="15" t="str">
        <f t="shared" si="1"/>
        <v>biswas.manjushree@gmail.com919893352854</v>
      </c>
      <c r="D12" s="16" t="s">
        <v>6709</v>
      </c>
      <c r="E12" s="16" t="s">
        <v>97</v>
      </c>
    </row>
    <row r="13">
      <c r="A13" s="1" t="s">
        <v>6710</v>
      </c>
      <c r="B13" s="15">
        <f>+917208157797</f>
        <v>917208157797</v>
      </c>
      <c r="C13" s="15" t="str">
        <f t="shared" si="1"/>
        <v>mihirjoshi42@gmail.com917208157797</v>
      </c>
      <c r="D13" s="16" t="s">
        <v>6711</v>
      </c>
      <c r="E13" s="16" t="s">
        <v>68</v>
      </c>
    </row>
    <row r="14">
      <c r="A14" s="1" t="s">
        <v>5708</v>
      </c>
      <c r="B14" s="15">
        <f>+919910448040</f>
        <v>919910448040</v>
      </c>
      <c r="C14" s="15" t="str">
        <f t="shared" si="1"/>
        <v>jyotsnab@mdi.ac.in919910448040</v>
      </c>
      <c r="D14" s="16" t="s">
        <v>6712</v>
      </c>
      <c r="E14" s="16" t="s">
        <v>68</v>
      </c>
    </row>
    <row r="15">
      <c r="A15" s="1" t="s">
        <v>6713</v>
      </c>
      <c r="B15" s="15">
        <f>+918860206844</f>
        <v>918860206844</v>
      </c>
      <c r="C15" s="15" t="str">
        <f t="shared" si="1"/>
        <v>saurabhprwl0@gmail.com918860206844</v>
      </c>
      <c r="D15" s="16" t="s">
        <v>6714</v>
      </c>
      <c r="E15" s="16" t="s">
        <v>151</v>
      </c>
    </row>
    <row r="16">
      <c r="A16" s="1" t="s">
        <v>2703</v>
      </c>
      <c r="B16" s="15">
        <f>+917838168936</f>
        <v>917838168936</v>
      </c>
      <c r="C16" s="15" t="str">
        <f t="shared" si="1"/>
        <v>akshita.bpsmv@gmail.com917838168936</v>
      </c>
      <c r="D16" s="16" t="s">
        <v>6715</v>
      </c>
      <c r="E16" s="16" t="s">
        <v>68</v>
      </c>
    </row>
    <row r="17">
      <c r="A17" s="1" t="s">
        <v>2456</v>
      </c>
      <c r="B17" s="15">
        <f>+919582439852</f>
        <v>919582439852</v>
      </c>
      <c r="C17" s="15" t="str">
        <f t="shared" si="1"/>
        <v>tara.lanba1999@gmail.com919582439852</v>
      </c>
      <c r="D17" s="16" t="s">
        <v>6716</v>
      </c>
      <c r="E17" s="16" t="s">
        <v>68</v>
      </c>
    </row>
    <row r="18">
      <c r="A18" s="1" t="s">
        <v>5509</v>
      </c>
      <c r="B18" s="15">
        <f>+919650225768</f>
        <v>919650225768</v>
      </c>
      <c r="C18" s="15" t="str">
        <f t="shared" si="1"/>
        <v>kushagra249@gmail.com919650225768</v>
      </c>
      <c r="D18" s="16" t="s">
        <v>6717</v>
      </c>
      <c r="E18" s="16" t="s">
        <v>68</v>
      </c>
    </row>
    <row r="19">
      <c r="A19" s="1" t="s">
        <v>6693</v>
      </c>
      <c r="B19" s="15">
        <f>+919958112731</f>
        <v>919958112731</v>
      </c>
      <c r="C19" s="15" t="str">
        <f t="shared" si="1"/>
        <v>jai.lanba@likeminds.community919958112731</v>
      </c>
      <c r="D19" s="16" t="s">
        <v>6718</v>
      </c>
      <c r="E19" s="16" t="s">
        <v>68</v>
      </c>
    </row>
    <row r="20">
      <c r="A20" s="1" t="s">
        <v>6468</v>
      </c>
      <c r="B20" s="15">
        <f>+919840609903</f>
        <v>919840609903</v>
      </c>
      <c r="C20" s="15" t="str">
        <f t="shared" si="1"/>
        <v>mukta@mfinserve.co.in919840609903</v>
      </c>
      <c r="D20" s="16" t="s">
        <v>6719</v>
      </c>
      <c r="E20" s="16" t="s">
        <v>68</v>
      </c>
    </row>
    <row r="21">
      <c r="A21" s="1" t="s">
        <v>6185</v>
      </c>
      <c r="B21" s="15">
        <f>+917566220220</f>
        <v>917566220220</v>
      </c>
      <c r="C21" s="15" t="str">
        <f t="shared" si="1"/>
        <v>manasgarg28@gmail.com917566220220</v>
      </c>
      <c r="D21" s="16" t="s">
        <v>6720</v>
      </c>
      <c r="E21" s="16" t="s">
        <v>68</v>
      </c>
    </row>
    <row r="22">
      <c r="A22" s="1" t="s">
        <v>2458</v>
      </c>
      <c r="B22" s="15">
        <f t="shared" ref="B22:B23" si="3">+919416173796</f>
        <v>919416173796</v>
      </c>
      <c r="C22" s="15" t="str">
        <f t="shared" si="1"/>
        <v>mahirgupta98@gmail.com919416173796</v>
      </c>
      <c r="D22" s="16" t="s">
        <v>6721</v>
      </c>
      <c r="E22" s="16" t="s">
        <v>68</v>
      </c>
    </row>
    <row r="23">
      <c r="A23" s="1" t="s">
        <v>2458</v>
      </c>
      <c r="B23" s="15">
        <f t="shared" si="3"/>
        <v>919416173796</v>
      </c>
      <c r="C23" s="15" t="str">
        <f t="shared" si="1"/>
        <v>mahirgupta98@gmail.com919416173796</v>
      </c>
      <c r="D23" s="16" t="s">
        <v>6722</v>
      </c>
      <c r="E23" s="16" t="s">
        <v>68</v>
      </c>
    </row>
    <row r="24">
      <c r="A24" s="1" t="s">
        <v>6723</v>
      </c>
      <c r="B24" s="15">
        <f>+919344873993</f>
        <v>919344873993</v>
      </c>
      <c r="C24" s="15" t="str">
        <f t="shared" si="1"/>
        <v>jaimaran20@gmail.com919344873993</v>
      </c>
      <c r="D24" s="16" t="s">
        <v>6724</v>
      </c>
      <c r="E24" s="16" t="s">
        <v>97</v>
      </c>
    </row>
    <row r="25">
      <c r="A25" s="1" t="s">
        <v>2433</v>
      </c>
      <c r="B25" s="15">
        <f>+917209943488</f>
        <v>917209943488</v>
      </c>
      <c r="C25" s="15" t="str">
        <f t="shared" si="1"/>
        <v>nrjmshr14@gmail.com917209943488</v>
      </c>
      <c r="D25" s="16" t="s">
        <v>6725</v>
      </c>
      <c r="E25" s="16" t="s">
        <v>74</v>
      </c>
    </row>
    <row r="26">
      <c r="A26" s="1" t="s">
        <v>2459</v>
      </c>
      <c r="B26" s="15">
        <f>+919969893269</f>
        <v>919969893269</v>
      </c>
      <c r="C26" s="15" t="str">
        <f t="shared" si="1"/>
        <v>tanvimhatre001@gmail.com919969893269</v>
      </c>
      <c r="D26" s="16" t="s">
        <v>6726</v>
      </c>
      <c r="E26" s="16" t="s">
        <v>74</v>
      </c>
    </row>
    <row r="27">
      <c r="A27" s="1" t="s">
        <v>5182</v>
      </c>
      <c r="B27" s="15">
        <f t="shared" ref="B27:B28" si="4">+917721012926</f>
        <v>917721012926</v>
      </c>
      <c r="C27" s="15" t="str">
        <f t="shared" si="1"/>
        <v>nandanvangardensolutions@gmail.com917721012926</v>
      </c>
      <c r="D27" s="16" t="s">
        <v>6727</v>
      </c>
      <c r="E27" s="16" t="s">
        <v>68</v>
      </c>
    </row>
    <row r="28">
      <c r="A28" s="1" t="s">
        <v>5182</v>
      </c>
      <c r="B28" s="15">
        <f t="shared" si="4"/>
        <v>917721012926</v>
      </c>
      <c r="C28" s="15" t="str">
        <f t="shared" si="1"/>
        <v>nandanvangardensolutions@gmail.com917721012926</v>
      </c>
      <c r="D28" s="16" t="s">
        <v>6728</v>
      </c>
      <c r="E28" s="16" t="s">
        <v>68</v>
      </c>
    </row>
    <row r="29">
      <c r="A29" s="1" t="s">
        <v>6469</v>
      </c>
      <c r="B29" s="15">
        <f>+919538601160</f>
        <v>919538601160</v>
      </c>
      <c r="C29" s="15" t="str">
        <f t="shared" si="1"/>
        <v>krishnakis@gmail.com919538601160</v>
      </c>
      <c r="D29" s="16" t="s">
        <v>6729</v>
      </c>
      <c r="E29" s="16" t="s">
        <v>151</v>
      </c>
    </row>
    <row r="30">
      <c r="A30" s="1" t="s">
        <v>2464</v>
      </c>
      <c r="B30" s="15">
        <f>+919711341773</f>
        <v>919711341773</v>
      </c>
      <c r="C30" s="15" t="str">
        <f t="shared" si="1"/>
        <v>abhijit.jha33@gmail.com919711341773</v>
      </c>
      <c r="D30" s="16" t="s">
        <v>6730</v>
      </c>
      <c r="E30" s="16" t="s">
        <v>68</v>
      </c>
    </row>
    <row r="31">
      <c r="A31" s="1" t="s">
        <v>4423</v>
      </c>
      <c r="B31" s="15">
        <f>+919999861974</f>
        <v>919999861974</v>
      </c>
      <c r="C31" s="15" t="str">
        <f t="shared" si="1"/>
        <v>spoojac@outlook.com919999861974</v>
      </c>
      <c r="D31" s="16" t="s">
        <v>6731</v>
      </c>
      <c r="E31" s="16" t="s">
        <v>68</v>
      </c>
    </row>
    <row r="32">
      <c r="A32" s="1" t="s">
        <v>3887</v>
      </c>
      <c r="B32" s="15">
        <f>+917389999990</f>
        <v>917389999990</v>
      </c>
      <c r="C32" s="15" t="str">
        <f t="shared" si="1"/>
        <v>dcbs13simranbajaj@gmail.com917389999990</v>
      </c>
      <c r="D32" s="16" t="s">
        <v>6732</v>
      </c>
      <c r="E32" s="16" t="s">
        <v>68</v>
      </c>
    </row>
    <row r="33">
      <c r="A33" s="1" t="s">
        <v>2460</v>
      </c>
      <c r="B33" s="15">
        <f>+919819252511</f>
        <v>919819252511</v>
      </c>
      <c r="C33" s="15" t="str">
        <f t="shared" si="1"/>
        <v>nawatheygaurav@gmail.com919819252511</v>
      </c>
      <c r="D33" s="16" t="s">
        <v>6733</v>
      </c>
      <c r="E33" s="16" t="s">
        <v>68</v>
      </c>
    </row>
    <row r="34">
      <c r="A34" s="1" t="s">
        <v>2461</v>
      </c>
      <c r="B34" s="15">
        <f>+918600964699</f>
        <v>918600964699</v>
      </c>
      <c r="C34" s="15" t="str">
        <f t="shared" si="1"/>
        <v>leshanimehra1998@gmail.com918600964699</v>
      </c>
      <c r="D34" s="16" t="s">
        <v>6734</v>
      </c>
      <c r="E34" s="16" t="s">
        <v>68</v>
      </c>
    </row>
    <row r="35">
      <c r="A35" s="1" t="s">
        <v>6735</v>
      </c>
      <c r="B35" s="15">
        <f t="shared" ref="B35:B37" si="5">+919643061385</f>
        <v>919643061385</v>
      </c>
      <c r="C35" s="15" t="str">
        <f t="shared" si="1"/>
        <v>jainprachi1385@gmail.com919643061385</v>
      </c>
      <c r="D35" s="16" t="s">
        <v>6736</v>
      </c>
      <c r="E35" s="16" t="s">
        <v>68</v>
      </c>
    </row>
    <row r="36">
      <c r="A36" s="1" t="s">
        <v>6735</v>
      </c>
      <c r="B36" s="15">
        <f t="shared" si="5"/>
        <v>919643061385</v>
      </c>
      <c r="C36" s="15" t="str">
        <f t="shared" si="1"/>
        <v>jainprachi1385@gmail.com919643061385</v>
      </c>
      <c r="D36" s="16" t="s">
        <v>6737</v>
      </c>
      <c r="E36" s="16" t="s">
        <v>68</v>
      </c>
    </row>
    <row r="37">
      <c r="A37" s="1" t="s">
        <v>6735</v>
      </c>
      <c r="B37" s="15">
        <f t="shared" si="5"/>
        <v>919643061385</v>
      </c>
      <c r="C37" s="15" t="str">
        <f t="shared" si="1"/>
        <v>jainprachi1385@gmail.com919643061385</v>
      </c>
      <c r="D37" s="16" t="s">
        <v>6738</v>
      </c>
      <c r="E37" s="16" t="s">
        <v>68</v>
      </c>
    </row>
    <row r="38">
      <c r="A38" s="1" t="s">
        <v>2462</v>
      </c>
      <c r="B38" s="15">
        <f>+919561542950</f>
        <v>919561542950</v>
      </c>
      <c r="C38" s="15" t="str">
        <f t="shared" si="1"/>
        <v>dezikakol@gmail.com919561542950</v>
      </c>
      <c r="D38" s="16" t="s">
        <v>6739</v>
      </c>
      <c r="E38" s="16" t="s">
        <v>97</v>
      </c>
    </row>
    <row r="39">
      <c r="A39" s="1" t="s">
        <v>2463</v>
      </c>
      <c r="B39" s="15">
        <f>+918129282453</f>
        <v>918129282453</v>
      </c>
      <c r="C39" s="15" t="str">
        <f t="shared" si="1"/>
        <v>iamagsusfreak@gmail.com918129282453</v>
      </c>
      <c r="D39" s="16" t="s">
        <v>6740</v>
      </c>
      <c r="E39" s="16" t="s">
        <v>68</v>
      </c>
    </row>
    <row r="40">
      <c r="A40" s="1" t="s">
        <v>3327</v>
      </c>
      <c r="B40" s="15">
        <f>+919380605339</f>
        <v>919380605339</v>
      </c>
      <c r="C40" s="15" t="str">
        <f t="shared" si="1"/>
        <v>kalyanee.bhake@gmail.com919380605339</v>
      </c>
      <c r="D40" s="16" t="s">
        <v>6741</v>
      </c>
      <c r="E40" s="16" t="s">
        <v>68</v>
      </c>
    </row>
    <row r="41">
      <c r="A41" s="1" t="s">
        <v>5184</v>
      </c>
      <c r="B41" s="15">
        <f>+919962281591</f>
        <v>919962281591</v>
      </c>
      <c r="C41" s="15" t="str">
        <f t="shared" si="1"/>
        <v>adeshtdesigner@gmail.com919962281591</v>
      </c>
      <c r="D41" s="16" t="s">
        <v>6742</v>
      </c>
      <c r="E41" s="16" t="s">
        <v>68</v>
      </c>
    </row>
    <row r="42">
      <c r="A42" s="1" t="s">
        <v>6743</v>
      </c>
      <c r="B42" s="15">
        <f>+917348940343</f>
        <v>917348940343</v>
      </c>
      <c r="C42" s="15" t="str">
        <f t="shared" si="1"/>
        <v>kartiktrogon@gmail.com917348940343</v>
      </c>
      <c r="D42" s="16" t="s">
        <v>6744</v>
      </c>
      <c r="E42" s="16" t="s">
        <v>68</v>
      </c>
    </row>
    <row r="43">
      <c r="A43" s="1" t="s">
        <v>3196</v>
      </c>
      <c r="B43" s="15">
        <f t="shared" ref="B43:B47" si="6">+919481150184</f>
        <v>919481150184</v>
      </c>
      <c r="C43" s="15" t="str">
        <f t="shared" si="1"/>
        <v>abhinav.ux@gmail.com919481150184</v>
      </c>
      <c r="D43" s="16" t="s">
        <v>6745</v>
      </c>
      <c r="E43" s="16" t="s">
        <v>151</v>
      </c>
    </row>
    <row r="44">
      <c r="A44" s="1" t="s">
        <v>3196</v>
      </c>
      <c r="B44" s="15">
        <f t="shared" si="6"/>
        <v>919481150184</v>
      </c>
      <c r="C44" s="15" t="str">
        <f t="shared" si="1"/>
        <v>abhinav.ux@gmail.com919481150184</v>
      </c>
      <c r="D44" s="16" t="s">
        <v>6746</v>
      </c>
      <c r="E44" s="16" t="s">
        <v>151</v>
      </c>
    </row>
    <row r="45">
      <c r="A45" s="1" t="s">
        <v>3196</v>
      </c>
      <c r="B45" s="15">
        <f t="shared" si="6"/>
        <v>919481150184</v>
      </c>
      <c r="C45" s="15" t="str">
        <f t="shared" si="1"/>
        <v>abhinav.ux@gmail.com919481150184</v>
      </c>
      <c r="D45" s="16" t="s">
        <v>6747</v>
      </c>
      <c r="E45" s="16" t="s">
        <v>151</v>
      </c>
    </row>
    <row r="46">
      <c r="A46" s="1" t="s">
        <v>3196</v>
      </c>
      <c r="B46" s="15">
        <f t="shared" si="6"/>
        <v>919481150184</v>
      </c>
      <c r="C46" s="15" t="str">
        <f t="shared" si="1"/>
        <v>abhinav.ux@gmail.com919481150184</v>
      </c>
      <c r="D46" s="16" t="s">
        <v>6748</v>
      </c>
      <c r="E46" s="16" t="s">
        <v>151</v>
      </c>
    </row>
    <row r="47">
      <c r="A47" s="1" t="s">
        <v>3196</v>
      </c>
      <c r="B47" s="15">
        <f t="shared" si="6"/>
        <v>919481150184</v>
      </c>
      <c r="C47" s="15" t="str">
        <f t="shared" si="1"/>
        <v>abhinav.ux@gmail.com919481150184</v>
      </c>
      <c r="D47" s="16" t="s">
        <v>6749</v>
      </c>
      <c r="E47" s="16" t="s">
        <v>68</v>
      </c>
    </row>
    <row r="48">
      <c r="A48" s="1" t="s">
        <v>5185</v>
      </c>
      <c r="B48" s="15">
        <f>+919920113130</f>
        <v>919920113130</v>
      </c>
      <c r="C48" s="15" t="str">
        <f t="shared" si="1"/>
        <v>lilitm@live.com919920113130</v>
      </c>
      <c r="D48" s="16" t="s">
        <v>6750</v>
      </c>
      <c r="E48" s="16" t="s">
        <v>97</v>
      </c>
    </row>
    <row r="49">
      <c r="A49" s="1" t="s">
        <v>5322</v>
      </c>
      <c r="B49" s="15">
        <f>+919866992056</f>
        <v>919866992056</v>
      </c>
      <c r="C49" s="15" t="str">
        <f t="shared" si="1"/>
        <v>mammai.sravanthi@gmail.com919866992056</v>
      </c>
      <c r="D49" s="16" t="s">
        <v>6751</v>
      </c>
      <c r="E49" s="16" t="s">
        <v>68</v>
      </c>
    </row>
    <row r="50">
      <c r="A50" s="1" t="s">
        <v>5444</v>
      </c>
      <c r="B50" s="15">
        <f>+918240806728</f>
        <v>918240806728</v>
      </c>
      <c r="C50" s="15" t="str">
        <f t="shared" si="1"/>
        <v>pakhi.chakraborty@outlook.com918240806728</v>
      </c>
      <c r="D50" s="16" t="s">
        <v>6752</v>
      </c>
      <c r="E50" s="16" t="s">
        <v>68</v>
      </c>
    </row>
    <row r="51">
      <c r="A51" s="1" t="s">
        <v>6470</v>
      </c>
      <c r="B51" s="15">
        <f t="shared" ref="B51:B52" si="7">+919210883828</f>
        <v>919210883828</v>
      </c>
      <c r="C51" s="15" t="str">
        <f t="shared" si="1"/>
        <v>dhirjaspreet8@gmail.com919210883828</v>
      </c>
      <c r="D51" s="16" t="s">
        <v>6753</v>
      </c>
      <c r="E51" s="16" t="s">
        <v>68</v>
      </c>
    </row>
    <row r="52">
      <c r="A52" s="1" t="s">
        <v>6470</v>
      </c>
      <c r="B52" s="15">
        <f t="shared" si="7"/>
        <v>919210883828</v>
      </c>
      <c r="C52" s="15" t="str">
        <f t="shared" si="1"/>
        <v>dhirjaspreet8@gmail.com919210883828</v>
      </c>
      <c r="D52" s="16" t="s">
        <v>6754</v>
      </c>
      <c r="E52" s="16" t="s">
        <v>68</v>
      </c>
    </row>
    <row r="53">
      <c r="A53" s="1" t="s">
        <v>6755</v>
      </c>
      <c r="B53" s="15">
        <f>+916304264925</f>
        <v>916304264925</v>
      </c>
      <c r="C53" s="15" t="str">
        <f t="shared" si="1"/>
        <v>sharvarinilesh83@gmail.com916304264925</v>
      </c>
      <c r="D53" s="16" t="s">
        <v>6756</v>
      </c>
      <c r="E53" s="16" t="s">
        <v>68</v>
      </c>
    </row>
    <row r="54">
      <c r="A54" s="1" t="s">
        <v>6757</v>
      </c>
      <c r="B54" s="15">
        <f>+919594874054</f>
        <v>919594874054</v>
      </c>
      <c r="C54" s="15" t="str">
        <f t="shared" si="1"/>
        <v>saurabhbudhaulia@gmail.com919594874054</v>
      </c>
      <c r="D54" s="16" t="s">
        <v>6758</v>
      </c>
      <c r="E54" s="16" t="s">
        <v>68</v>
      </c>
    </row>
    <row r="55">
      <c r="A55" s="1" t="s">
        <v>6759</v>
      </c>
      <c r="B55" s="15">
        <f>+919840045101</f>
        <v>919840045101</v>
      </c>
      <c r="C55" s="15" t="str">
        <f t="shared" si="1"/>
        <v>karthiyes1974@gmail.com919840045101</v>
      </c>
      <c r="D55" s="16" t="s">
        <v>6760</v>
      </c>
      <c r="E55" s="16" t="s">
        <v>74</v>
      </c>
    </row>
    <row r="56">
      <c r="A56" s="1" t="s">
        <v>3198</v>
      </c>
      <c r="B56" s="15">
        <f>+919008118984</f>
        <v>919008118984</v>
      </c>
      <c r="C56" s="15" t="str">
        <f t="shared" si="1"/>
        <v>saumyaswarup1997@gmail.com919008118984</v>
      </c>
      <c r="D56" s="16" t="s">
        <v>6761</v>
      </c>
      <c r="E56" s="16" t="s">
        <v>68</v>
      </c>
    </row>
    <row r="57">
      <c r="A57" s="1" t="s">
        <v>6762</v>
      </c>
      <c r="B57" s="15">
        <f>+919030643339</f>
        <v>919030643339</v>
      </c>
      <c r="C57" s="15" t="str">
        <f t="shared" si="1"/>
        <v>ganeshreddy032@gmail.com919030643339</v>
      </c>
      <c r="D57" s="16" t="s">
        <v>6763</v>
      </c>
      <c r="E57" s="16" t="s">
        <v>74</v>
      </c>
    </row>
    <row r="58">
      <c r="A58" s="1" t="s">
        <v>6759</v>
      </c>
      <c r="B58" s="15">
        <f>+919840045101</f>
        <v>919840045101</v>
      </c>
      <c r="C58" s="15" t="str">
        <f t="shared" si="1"/>
        <v>karthiyes1974@gmail.com919840045101</v>
      </c>
      <c r="D58" s="16" t="s">
        <v>6764</v>
      </c>
      <c r="E58" s="16" t="s">
        <v>68</v>
      </c>
    </row>
    <row r="59">
      <c r="A59" s="1" t="s">
        <v>6762</v>
      </c>
      <c r="B59" s="15">
        <f t="shared" ref="B59:B61" si="8">+919030643339</f>
        <v>919030643339</v>
      </c>
      <c r="C59" s="15" t="str">
        <f t="shared" si="1"/>
        <v>ganeshreddy032@gmail.com919030643339</v>
      </c>
      <c r="D59" s="16" t="s">
        <v>6765</v>
      </c>
      <c r="E59" s="16" t="s">
        <v>74</v>
      </c>
    </row>
    <row r="60">
      <c r="A60" s="1" t="s">
        <v>6762</v>
      </c>
      <c r="B60" s="15">
        <f t="shared" si="8"/>
        <v>919030643339</v>
      </c>
      <c r="C60" s="15" t="str">
        <f t="shared" si="1"/>
        <v>ganeshreddy032@gmail.com919030643339</v>
      </c>
      <c r="D60" s="16" t="s">
        <v>6766</v>
      </c>
      <c r="E60" s="16" t="s">
        <v>151</v>
      </c>
    </row>
    <row r="61">
      <c r="A61" s="1" t="s">
        <v>6762</v>
      </c>
      <c r="B61" s="15">
        <f t="shared" si="8"/>
        <v>919030643339</v>
      </c>
      <c r="C61" s="15" t="str">
        <f t="shared" si="1"/>
        <v>ganeshreddy032@gmail.com919030643339</v>
      </c>
      <c r="D61" s="16" t="s">
        <v>6767</v>
      </c>
      <c r="E61" s="16" t="s">
        <v>151</v>
      </c>
    </row>
    <row r="62">
      <c r="A62" s="1" t="s">
        <v>1687</v>
      </c>
      <c r="B62" s="15">
        <f>+918850267427</f>
        <v>918850267427</v>
      </c>
      <c r="C62" s="15" t="str">
        <f t="shared" si="1"/>
        <v>asudi1003@gmail.com918850267427</v>
      </c>
      <c r="D62" s="16" t="s">
        <v>6768</v>
      </c>
      <c r="E62" s="16" t="s">
        <v>68</v>
      </c>
    </row>
    <row r="63">
      <c r="A63" s="1" t="s">
        <v>5115</v>
      </c>
      <c r="B63" s="15">
        <f t="shared" ref="B63:B64" si="9">+919886180731</f>
        <v>919886180731</v>
      </c>
      <c r="C63" s="15" t="str">
        <f t="shared" si="1"/>
        <v>tobindiya@gmail.com919886180731</v>
      </c>
      <c r="D63" s="16" t="s">
        <v>6769</v>
      </c>
      <c r="E63" s="16" t="s">
        <v>151</v>
      </c>
    </row>
    <row r="64">
      <c r="A64" s="1" t="s">
        <v>5115</v>
      </c>
      <c r="B64" s="15">
        <f t="shared" si="9"/>
        <v>919886180731</v>
      </c>
      <c r="C64" s="15" t="str">
        <f t="shared" si="1"/>
        <v>tobindiya@gmail.com919886180731</v>
      </c>
      <c r="D64" s="16" t="s">
        <v>6770</v>
      </c>
      <c r="E64" s="16" t="s">
        <v>68</v>
      </c>
    </row>
    <row r="65">
      <c r="A65" s="1" t="s">
        <v>5401</v>
      </c>
      <c r="B65" s="15">
        <f>+918755661125</f>
        <v>918755661125</v>
      </c>
      <c r="C65" s="15" t="str">
        <f t="shared" si="1"/>
        <v>drpallawibishnoi@gmail.com918755661125</v>
      </c>
      <c r="D65" s="16" t="s">
        <v>6771</v>
      </c>
      <c r="E65" s="16" t="s">
        <v>68</v>
      </c>
    </row>
    <row r="66">
      <c r="A66" s="1" t="s">
        <v>5403</v>
      </c>
      <c r="B66" s="15">
        <f>+918109272227</f>
        <v>918109272227</v>
      </c>
      <c r="C66" s="15" t="str">
        <f t="shared" si="1"/>
        <v>jasleen2892@gmail.com918109272227</v>
      </c>
      <c r="D66" s="16" t="s">
        <v>6772</v>
      </c>
      <c r="E66" s="16" t="s">
        <v>68</v>
      </c>
    </row>
    <row r="67">
      <c r="A67" s="1" t="s">
        <v>6773</v>
      </c>
      <c r="B67" s="15">
        <f>+919711351917</f>
        <v>919711351917</v>
      </c>
      <c r="C67" s="15" t="str">
        <f t="shared" si="1"/>
        <v>singh.renu2310@gmail.com919711351917</v>
      </c>
      <c r="D67" s="16" t="s">
        <v>6774</v>
      </c>
      <c r="E67" s="16" t="s">
        <v>74</v>
      </c>
    </row>
    <row r="68">
      <c r="A68" s="1" t="s">
        <v>5324</v>
      </c>
      <c r="B68" s="15">
        <f>+917888699913</f>
        <v>917888699913</v>
      </c>
      <c r="C68" s="15" t="str">
        <f t="shared" si="1"/>
        <v>drashtiartistry@gmail.com917888699913</v>
      </c>
      <c r="D68" s="16" t="s">
        <v>6775</v>
      </c>
      <c r="E68" s="16" t="s">
        <v>74</v>
      </c>
    </row>
    <row r="69">
      <c r="A69" s="1" t="s">
        <v>6776</v>
      </c>
      <c r="B69" s="15">
        <f>+919820157581</f>
        <v>919820157581</v>
      </c>
      <c r="C69" s="15" t="str">
        <f t="shared" si="1"/>
        <v>ravurimadhavi@ymail.com919820157581</v>
      </c>
      <c r="D69" s="16" t="s">
        <v>6777</v>
      </c>
      <c r="E69" s="16" t="s">
        <v>151</v>
      </c>
    </row>
    <row r="70">
      <c r="A70" s="1" t="s">
        <v>4562</v>
      </c>
      <c r="B70" s="15">
        <f>+919845345383</f>
        <v>919845345383</v>
      </c>
      <c r="C70" s="15" t="str">
        <f t="shared" si="1"/>
        <v>ashajohns@gmail.com919845345383</v>
      </c>
      <c r="D70" s="16" t="s">
        <v>6778</v>
      </c>
      <c r="E70" s="16" t="s">
        <v>68</v>
      </c>
    </row>
    <row r="71">
      <c r="A71" s="1" t="s">
        <v>4619</v>
      </c>
      <c r="B71" s="15">
        <f>+918792100662</f>
        <v>918792100662</v>
      </c>
      <c r="C71" s="15" t="str">
        <f t="shared" si="1"/>
        <v>m.dharan85@gmail.com918792100662</v>
      </c>
      <c r="D71" s="16" t="s">
        <v>6779</v>
      </c>
      <c r="E71" s="16" t="s">
        <v>68</v>
      </c>
    </row>
    <row r="72">
      <c r="A72" s="1" t="s">
        <v>2705</v>
      </c>
      <c r="B72" s="15">
        <f>+917584018683</f>
        <v>917584018683</v>
      </c>
      <c r="C72" s="15" t="str">
        <f t="shared" si="1"/>
        <v>freelanceryunesh@gmail.com917584018683</v>
      </c>
      <c r="D72" s="16" t="s">
        <v>6780</v>
      </c>
      <c r="E72" s="16" t="s">
        <v>74</v>
      </c>
    </row>
    <row r="73">
      <c r="A73" s="1" t="s">
        <v>6781</v>
      </c>
      <c r="B73" s="15">
        <f t="shared" ref="B73:B76" si="10">+917307203410</f>
        <v>917307203410</v>
      </c>
      <c r="C73" s="15" t="str">
        <f t="shared" si="1"/>
        <v>deepikasha101@gmail.com917307203410</v>
      </c>
      <c r="D73" s="16" t="s">
        <v>6782</v>
      </c>
      <c r="E73" s="16" t="s">
        <v>68</v>
      </c>
    </row>
    <row r="74">
      <c r="A74" s="1" t="s">
        <v>6781</v>
      </c>
      <c r="B74" s="15">
        <f t="shared" si="10"/>
        <v>917307203410</v>
      </c>
      <c r="C74" s="15" t="str">
        <f t="shared" si="1"/>
        <v>deepikasha101@gmail.com917307203410</v>
      </c>
      <c r="D74" s="16" t="s">
        <v>6783</v>
      </c>
      <c r="E74" s="16" t="s">
        <v>68</v>
      </c>
    </row>
    <row r="75">
      <c r="A75" s="1" t="s">
        <v>6781</v>
      </c>
      <c r="B75" s="15">
        <f t="shared" si="10"/>
        <v>917307203410</v>
      </c>
      <c r="C75" s="15" t="str">
        <f t="shared" si="1"/>
        <v>deepikasha101@gmail.com917307203410</v>
      </c>
      <c r="D75" s="16" t="s">
        <v>6784</v>
      </c>
      <c r="E75" s="16" t="s">
        <v>68</v>
      </c>
    </row>
    <row r="76">
      <c r="A76" s="1" t="s">
        <v>6781</v>
      </c>
      <c r="B76" s="15">
        <f t="shared" si="10"/>
        <v>917307203410</v>
      </c>
      <c r="C76" s="15" t="str">
        <f t="shared" si="1"/>
        <v>deepikasha101@gmail.com917307203410</v>
      </c>
      <c r="D76" s="16" t="s">
        <v>6785</v>
      </c>
      <c r="E76" s="16" t="s">
        <v>68</v>
      </c>
    </row>
    <row r="77">
      <c r="A77" s="1" t="s">
        <v>6786</v>
      </c>
      <c r="B77" s="15">
        <f>+919619523948</f>
        <v>919619523948</v>
      </c>
      <c r="C77" s="15" t="str">
        <f t="shared" si="1"/>
        <v>pawsomelove10@gmail.com919619523948</v>
      </c>
      <c r="D77" s="16" t="s">
        <v>6787</v>
      </c>
      <c r="E77" s="16" t="s">
        <v>74</v>
      </c>
    </row>
    <row r="78">
      <c r="A78" s="1" t="s">
        <v>2465</v>
      </c>
      <c r="B78" s="15">
        <f>+919330771104</f>
        <v>919330771104</v>
      </c>
      <c r="C78" s="15" t="str">
        <f t="shared" si="1"/>
        <v>crupam714@gmail.com919330771104</v>
      </c>
      <c r="D78" s="16" t="s">
        <v>6788</v>
      </c>
      <c r="E78" s="16" t="s">
        <v>68</v>
      </c>
    </row>
    <row r="79">
      <c r="A79" s="1" t="s">
        <v>3611</v>
      </c>
      <c r="B79" s="15">
        <f>+917337511411</f>
        <v>917337511411</v>
      </c>
      <c r="C79" s="15" t="str">
        <f t="shared" si="1"/>
        <v>rohan.reginald@gmail.com917337511411</v>
      </c>
      <c r="D79" s="16" t="s">
        <v>6789</v>
      </c>
      <c r="E79" s="16" t="s">
        <v>68</v>
      </c>
    </row>
    <row r="80">
      <c r="A80" s="1" t="s">
        <v>6790</v>
      </c>
      <c r="B80" s="15">
        <f>+919849871751</f>
        <v>919849871751</v>
      </c>
      <c r="C80" s="15" t="str">
        <f t="shared" si="1"/>
        <v>kasagani.swetha@gmail.com919849871751</v>
      </c>
      <c r="D80" s="16" t="s">
        <v>6791</v>
      </c>
      <c r="E80" s="16" t="s">
        <v>74</v>
      </c>
    </row>
    <row r="81">
      <c r="A81" s="1" t="s">
        <v>6762</v>
      </c>
      <c r="B81" s="15">
        <f>+919030643339</f>
        <v>919030643339</v>
      </c>
      <c r="C81" s="15" t="str">
        <f t="shared" si="1"/>
        <v>ganeshreddy032@gmail.com919030643339</v>
      </c>
      <c r="D81" s="16" t="s">
        <v>6792</v>
      </c>
      <c r="E81" s="16" t="s">
        <v>151</v>
      </c>
    </row>
    <row r="82">
      <c r="A82" s="1" t="s">
        <v>3613</v>
      </c>
      <c r="B82" s="15">
        <f>+918328361154</f>
        <v>918328361154</v>
      </c>
      <c r="C82" s="15" t="str">
        <f t="shared" si="1"/>
        <v>yoshitha.k11@gmail.com918328361154</v>
      </c>
      <c r="D82" s="16" t="s">
        <v>6793</v>
      </c>
      <c r="E82" s="16" t="s">
        <v>68</v>
      </c>
    </row>
    <row r="83">
      <c r="A83" s="1" t="s">
        <v>6473</v>
      </c>
      <c r="B83" s="15">
        <f t="shared" ref="B83:B84" si="11">+919873965908</f>
        <v>919873965908</v>
      </c>
      <c r="C83" s="15" t="str">
        <f t="shared" si="1"/>
        <v>pallavi.dua008@gmail.com919873965908</v>
      </c>
      <c r="D83" s="16" t="s">
        <v>6794</v>
      </c>
      <c r="E83" s="16" t="s">
        <v>68</v>
      </c>
    </row>
    <row r="84">
      <c r="A84" s="1" t="s">
        <v>6473</v>
      </c>
      <c r="B84" s="15">
        <f t="shared" si="11"/>
        <v>919873965908</v>
      </c>
      <c r="C84" s="15" t="str">
        <f t="shared" si="1"/>
        <v>pallavi.dua008@gmail.com919873965908</v>
      </c>
      <c r="D84" s="16" t="s">
        <v>6795</v>
      </c>
      <c r="E84" s="16" t="s">
        <v>68</v>
      </c>
    </row>
    <row r="85">
      <c r="A85" s="1" t="s">
        <v>6475</v>
      </c>
      <c r="B85" s="15">
        <f t="shared" ref="B85:B86" si="12">+919738738229</f>
        <v>919738738229</v>
      </c>
      <c r="C85" s="15" t="str">
        <f t="shared" si="1"/>
        <v>saravanaraaj@rediffmail.com919738738229</v>
      </c>
      <c r="D85" s="16" t="s">
        <v>6796</v>
      </c>
      <c r="E85" s="16" t="s">
        <v>97</v>
      </c>
    </row>
    <row r="86">
      <c r="A86" s="1" t="s">
        <v>6475</v>
      </c>
      <c r="B86" s="15">
        <f t="shared" si="12"/>
        <v>919738738229</v>
      </c>
      <c r="C86" s="15" t="str">
        <f t="shared" si="1"/>
        <v>saravanaraaj@rediffmail.com919738738229</v>
      </c>
      <c r="D86" s="16" t="s">
        <v>6797</v>
      </c>
      <c r="E86" s="16" t="s">
        <v>97</v>
      </c>
    </row>
    <row r="87">
      <c r="A87" s="1" t="s">
        <v>2466</v>
      </c>
      <c r="B87" s="15">
        <f>+919860729292</f>
        <v>919860729292</v>
      </c>
      <c r="C87" s="15" t="str">
        <f t="shared" si="1"/>
        <v>benadikam@gmail.com919860729292</v>
      </c>
      <c r="D87" s="16" t="s">
        <v>6798</v>
      </c>
      <c r="E87" s="16" t="s">
        <v>68</v>
      </c>
    </row>
    <row r="88">
      <c r="A88" s="1" t="s">
        <v>3058</v>
      </c>
      <c r="B88" s="15">
        <f>+919717661421</f>
        <v>919717661421</v>
      </c>
      <c r="C88" s="15" t="str">
        <f t="shared" si="1"/>
        <v>charakmandalrahul@gmail.com919717661421</v>
      </c>
      <c r="D88" s="16" t="s">
        <v>6799</v>
      </c>
      <c r="E88" s="16" t="s">
        <v>68</v>
      </c>
    </row>
    <row r="89">
      <c r="A89" s="1" t="s">
        <v>6800</v>
      </c>
      <c r="B89" s="15">
        <f>+919890414205</f>
        <v>919890414205</v>
      </c>
      <c r="C89" s="15" t="str">
        <f t="shared" si="1"/>
        <v>meenamundada@gmail.com919890414205</v>
      </c>
      <c r="D89" s="16" t="s">
        <v>6801</v>
      </c>
      <c r="E89" s="16" t="s">
        <v>74</v>
      </c>
    </row>
    <row r="90">
      <c r="A90" s="1" t="s">
        <v>6802</v>
      </c>
      <c r="B90" s="15">
        <f>+918439332423</f>
        <v>918439332423</v>
      </c>
      <c r="C90" s="15" t="str">
        <f t="shared" si="1"/>
        <v>shreymaheshwari007@gmail.com918439332423</v>
      </c>
      <c r="D90" s="16" t="s">
        <v>6803</v>
      </c>
      <c r="E90" s="16" t="s">
        <v>74</v>
      </c>
    </row>
    <row r="91">
      <c r="A91" s="1" t="s">
        <v>5094</v>
      </c>
      <c r="B91" s="15">
        <f>+918377880192</f>
        <v>918377880192</v>
      </c>
      <c r="C91" s="15" t="str">
        <f t="shared" si="1"/>
        <v>dikshajhamtani01@gmail.com918377880192</v>
      </c>
      <c r="D91" s="16" t="s">
        <v>6804</v>
      </c>
      <c r="E91" s="16" t="s">
        <v>68</v>
      </c>
    </row>
    <row r="92">
      <c r="A92" s="1" t="s">
        <v>5187</v>
      </c>
      <c r="B92" s="15">
        <f>+919673390777</f>
        <v>919673390777</v>
      </c>
      <c r="C92" s="15" t="str">
        <f t="shared" si="1"/>
        <v>kavita.rudagi@gmail.com919673390777</v>
      </c>
      <c r="D92" s="16" t="s">
        <v>6805</v>
      </c>
      <c r="E92" s="16" t="s">
        <v>68</v>
      </c>
    </row>
    <row r="93">
      <c r="A93" s="1" t="s">
        <v>6806</v>
      </c>
      <c r="B93" s="15">
        <f t="shared" ref="B93:B94" si="13">+917780528356</f>
        <v>917780528356</v>
      </c>
      <c r="C93" s="15" t="str">
        <f t="shared" si="1"/>
        <v>bahulika26@gmail.com917780528356</v>
      </c>
      <c r="D93" s="16" t="s">
        <v>6807</v>
      </c>
      <c r="E93" s="16" t="s">
        <v>68</v>
      </c>
    </row>
    <row r="94">
      <c r="A94" s="1" t="s">
        <v>6806</v>
      </c>
      <c r="B94" s="15">
        <f t="shared" si="13"/>
        <v>917780528356</v>
      </c>
      <c r="C94" s="15" t="str">
        <f t="shared" si="1"/>
        <v>bahulika26@gmail.com917780528356</v>
      </c>
      <c r="D94" s="16" t="s">
        <v>6808</v>
      </c>
      <c r="E94" s="16" t="s">
        <v>68</v>
      </c>
    </row>
    <row r="95">
      <c r="A95" s="1" t="s">
        <v>6809</v>
      </c>
      <c r="B95" s="15">
        <f>+918826765482</f>
        <v>918826765482</v>
      </c>
      <c r="C95" s="15" t="str">
        <f t="shared" si="1"/>
        <v>niveditachaudhary7@gmail.com918826765482</v>
      </c>
      <c r="D95" s="16" t="s">
        <v>6810</v>
      </c>
      <c r="E95" s="16" t="s">
        <v>151</v>
      </c>
    </row>
    <row r="96">
      <c r="A96" s="1" t="s">
        <v>6811</v>
      </c>
      <c r="B96" s="15">
        <f>+917760876077</f>
        <v>917760876077</v>
      </c>
      <c r="C96" s="15" t="str">
        <f t="shared" si="1"/>
        <v>rathinandhu8378@gmail.com917760876077</v>
      </c>
      <c r="D96" s="16" t="s">
        <v>6812</v>
      </c>
      <c r="E96" s="16" t="s">
        <v>97</v>
      </c>
    </row>
    <row r="97">
      <c r="A97" s="1" t="s">
        <v>6813</v>
      </c>
      <c r="B97" s="15">
        <f>+919599577212</f>
        <v>919599577212</v>
      </c>
      <c r="C97" s="15" t="str">
        <f t="shared" si="1"/>
        <v>rajpreettomar@gmail.com919599577212</v>
      </c>
      <c r="D97" s="16" t="s">
        <v>6814</v>
      </c>
      <c r="E97" s="16" t="s">
        <v>74</v>
      </c>
    </row>
    <row r="98">
      <c r="A98" s="1" t="s">
        <v>2467</v>
      </c>
      <c r="B98" s="15">
        <f>+919998728170</f>
        <v>919998728170</v>
      </c>
      <c r="C98" s="15" t="str">
        <f t="shared" si="1"/>
        <v>travelwithfreddie@gmail.com919998728170</v>
      </c>
      <c r="D98" s="16" t="s">
        <v>6815</v>
      </c>
      <c r="E98" s="16" t="s">
        <v>68</v>
      </c>
    </row>
    <row r="99">
      <c r="A99" s="1" t="s">
        <v>5189</v>
      </c>
      <c r="B99" s="15">
        <f>+919182060469</f>
        <v>919182060469</v>
      </c>
      <c r="C99" s="15" t="str">
        <f t="shared" si="1"/>
        <v>supriyaladdu97@gmail.com919182060469</v>
      </c>
      <c r="D99" s="16" t="s">
        <v>6816</v>
      </c>
      <c r="E99" s="16" t="s">
        <v>68</v>
      </c>
    </row>
    <row r="100">
      <c r="A100" s="1" t="s">
        <v>5118</v>
      </c>
      <c r="B100" s="15">
        <f>+919840374939</f>
        <v>919840374939</v>
      </c>
      <c r="C100" s="15" t="str">
        <f t="shared" si="1"/>
        <v>sparvathi28@gmail.com919840374939</v>
      </c>
      <c r="D100" s="16" t="s">
        <v>6817</v>
      </c>
      <c r="E100" s="16" t="s">
        <v>68</v>
      </c>
    </row>
    <row r="101">
      <c r="A101" s="1" t="s">
        <v>6818</v>
      </c>
      <c r="B101" s="15">
        <f>+917905719080</f>
        <v>917905719080</v>
      </c>
      <c r="C101" s="15" t="str">
        <f t="shared" si="1"/>
        <v>yugsingh210@gmail.com917905719080</v>
      </c>
      <c r="D101" s="16" t="s">
        <v>6819</v>
      </c>
      <c r="E101" s="16" t="s">
        <v>74</v>
      </c>
    </row>
    <row r="102">
      <c r="A102" s="1" t="s">
        <v>2762</v>
      </c>
      <c r="B102" s="15">
        <f>+919967655017</f>
        <v>919967655017</v>
      </c>
      <c r="C102" s="15" t="str">
        <f t="shared" si="1"/>
        <v>arunanilgupta@gmail.com919967655017</v>
      </c>
      <c r="D102" s="16" t="s">
        <v>6820</v>
      </c>
      <c r="E102" s="16" t="s">
        <v>68</v>
      </c>
    </row>
    <row r="103">
      <c r="A103" s="1" t="s">
        <v>5446</v>
      </c>
      <c r="B103" s="15">
        <f>+919978976779</f>
        <v>919978976779</v>
      </c>
      <c r="C103" s="15" t="str">
        <f t="shared" si="1"/>
        <v>ashutoshpatelhp22@gmail.com919978976779</v>
      </c>
      <c r="D103" s="16" t="s">
        <v>6821</v>
      </c>
      <c r="E103" s="16" t="s">
        <v>68</v>
      </c>
    </row>
    <row r="104">
      <c r="A104" s="1" t="s">
        <v>2744</v>
      </c>
      <c r="B104" s="15">
        <f>+919952003388</f>
        <v>919952003388</v>
      </c>
      <c r="C104" s="15" t="str">
        <f t="shared" si="1"/>
        <v>swethareddyv@gmail.com919952003388</v>
      </c>
      <c r="D104" s="16" t="s">
        <v>6822</v>
      </c>
      <c r="E104" s="16" t="s">
        <v>68</v>
      </c>
    </row>
    <row r="105">
      <c r="A105" s="1" t="s">
        <v>2746</v>
      </c>
      <c r="B105" s="15">
        <f>+919999255528</f>
        <v>919999255528</v>
      </c>
      <c r="C105" s="15" t="str">
        <f t="shared" si="1"/>
        <v>nehadhamija126@gmail.com919999255528</v>
      </c>
      <c r="D105" s="16" t="s">
        <v>6823</v>
      </c>
      <c r="E105" s="16" t="s">
        <v>68</v>
      </c>
    </row>
    <row r="106">
      <c r="A106" s="1" t="s">
        <v>6824</v>
      </c>
      <c r="B106" s="15">
        <f t="shared" ref="B106:B107" si="14">+919845547410</f>
        <v>919845547410</v>
      </c>
      <c r="C106" s="15" t="str">
        <f t="shared" si="1"/>
        <v>sphurthygattu@gmail.com919845547410</v>
      </c>
      <c r="D106" s="16" t="s">
        <v>6825</v>
      </c>
      <c r="E106" s="16" t="s">
        <v>74</v>
      </c>
    </row>
    <row r="107">
      <c r="A107" s="1" t="s">
        <v>6824</v>
      </c>
      <c r="B107" s="15">
        <f t="shared" si="14"/>
        <v>919845547410</v>
      </c>
      <c r="C107" s="15" t="str">
        <f t="shared" si="1"/>
        <v>sphurthygattu@gmail.com919845547410</v>
      </c>
      <c r="D107" s="16" t="s">
        <v>6826</v>
      </c>
      <c r="E107" s="16" t="s">
        <v>74</v>
      </c>
    </row>
    <row r="108">
      <c r="A108" s="1" t="s">
        <v>3329</v>
      </c>
      <c r="B108" s="15">
        <f>+919619773565</f>
        <v>919619773565</v>
      </c>
      <c r="C108" s="15" t="str">
        <f t="shared" si="1"/>
        <v>shwetakarkera.sk@gmail.com919619773565</v>
      </c>
      <c r="D108" s="16" t="s">
        <v>6827</v>
      </c>
      <c r="E108" s="16" t="s">
        <v>68</v>
      </c>
    </row>
    <row r="109">
      <c r="A109" s="1" t="s">
        <v>5097</v>
      </c>
      <c r="B109" s="15">
        <f>+918375897657</f>
        <v>918375897657</v>
      </c>
      <c r="C109" s="15" t="str">
        <f t="shared" si="1"/>
        <v>thakur.raghav1993m@gmail.com918375897657</v>
      </c>
      <c r="D109" s="16" t="s">
        <v>6828</v>
      </c>
      <c r="E109" s="16" t="s">
        <v>97</v>
      </c>
    </row>
    <row r="110">
      <c r="A110" s="1" t="s">
        <v>3612</v>
      </c>
      <c r="B110" s="15">
        <f>+919987757185</f>
        <v>919987757185</v>
      </c>
      <c r="C110" s="15" t="str">
        <f t="shared" si="1"/>
        <v>aditya.ketan@gmail.com919987757185</v>
      </c>
      <c r="D110" s="16" t="s">
        <v>6829</v>
      </c>
      <c r="E110" s="16" t="s">
        <v>68</v>
      </c>
    </row>
    <row r="111">
      <c r="A111" s="1" t="s">
        <v>2747</v>
      </c>
      <c r="B111" s="15">
        <f>+919711032395</f>
        <v>919711032395</v>
      </c>
      <c r="C111" s="15" t="str">
        <f t="shared" si="1"/>
        <v>bindiya.anurudh@gmail.com919711032395</v>
      </c>
      <c r="D111" s="16" t="s">
        <v>6830</v>
      </c>
      <c r="E111" s="16" t="s">
        <v>68</v>
      </c>
    </row>
    <row r="112">
      <c r="A112" s="1" t="s">
        <v>4564</v>
      </c>
      <c r="B112" s="15">
        <f>+919004388288</f>
        <v>919004388288</v>
      </c>
      <c r="C112" s="15" t="str">
        <f t="shared" si="1"/>
        <v>priya.u911@gmail.com919004388288</v>
      </c>
      <c r="D112" s="16" t="s">
        <v>6831</v>
      </c>
      <c r="E112" s="16" t="s">
        <v>74</v>
      </c>
    </row>
    <row r="113">
      <c r="A113" s="1" t="s">
        <v>5447</v>
      </c>
      <c r="B113" s="15">
        <f>+918007064140</f>
        <v>918007064140</v>
      </c>
      <c r="C113" s="15" t="str">
        <f t="shared" si="1"/>
        <v>tusharkamat123@gmail.com918007064140</v>
      </c>
      <c r="D113" s="16" t="s">
        <v>6832</v>
      </c>
      <c r="E113" s="16" t="s">
        <v>68</v>
      </c>
    </row>
    <row r="114">
      <c r="A114" s="1" t="s">
        <v>6833</v>
      </c>
      <c r="B114" s="15">
        <f>+919741225015</f>
        <v>919741225015</v>
      </c>
      <c r="C114" s="15" t="str">
        <f t="shared" si="1"/>
        <v>sherenesoris@gmail.com919741225015</v>
      </c>
      <c r="D114" s="16" t="s">
        <v>6834</v>
      </c>
      <c r="E114" s="16" t="s">
        <v>74</v>
      </c>
    </row>
    <row r="115">
      <c r="A115" s="1" t="s">
        <v>5117</v>
      </c>
      <c r="B115" s="15">
        <f>+917798181051</f>
        <v>917798181051</v>
      </c>
      <c r="C115" s="15" t="str">
        <f t="shared" si="1"/>
        <v>iyer.priya92@gmail.com917798181051</v>
      </c>
      <c r="D115" s="16" t="s">
        <v>6835</v>
      </c>
      <c r="E115" s="16" t="s">
        <v>68</v>
      </c>
    </row>
    <row r="116">
      <c r="A116" s="1" t="s">
        <v>4234</v>
      </c>
      <c r="B116" s="15">
        <f>+918983081469</f>
        <v>918983081469</v>
      </c>
      <c r="C116" s="15" t="str">
        <f t="shared" si="1"/>
        <v>rashmijagtap63@gmail.com918983081469</v>
      </c>
      <c r="D116" s="16" t="s">
        <v>6836</v>
      </c>
      <c r="E116" s="16" t="s">
        <v>68</v>
      </c>
    </row>
    <row r="117">
      <c r="A117" s="1" t="s">
        <v>6471</v>
      </c>
      <c r="B117" s="15">
        <f>+919789423350</f>
        <v>919789423350</v>
      </c>
      <c r="C117" s="15" t="str">
        <f t="shared" si="1"/>
        <v>ishukrish21@gmail.com919789423350</v>
      </c>
      <c r="D117" s="16" t="s">
        <v>6837</v>
      </c>
      <c r="E117" s="16" t="s">
        <v>97</v>
      </c>
    </row>
    <row r="118">
      <c r="A118" s="1" t="s">
        <v>6472</v>
      </c>
      <c r="B118" s="15">
        <f>+918793012341</f>
        <v>918793012341</v>
      </c>
      <c r="C118" s="15" t="str">
        <f t="shared" si="1"/>
        <v>sagaryawale143@gmail.com918793012341</v>
      </c>
      <c r="D118" s="16" t="s">
        <v>6838</v>
      </c>
      <c r="E118" s="16" t="s">
        <v>74</v>
      </c>
    </row>
    <row r="119">
      <c r="A119" s="1" t="s">
        <v>6368</v>
      </c>
      <c r="B119" s="15">
        <f>+918527412305</f>
        <v>918527412305</v>
      </c>
      <c r="C119" s="15" t="str">
        <f t="shared" si="1"/>
        <v>mohita.rastogi@hotmail.com918527412305</v>
      </c>
      <c r="D119" s="16" t="s">
        <v>6839</v>
      </c>
      <c r="E119" s="16" t="s">
        <v>68</v>
      </c>
    </row>
    <row r="120">
      <c r="A120" s="1" t="s">
        <v>6474</v>
      </c>
      <c r="B120" s="15">
        <f t="shared" ref="B120:B121" si="15">+918428056052</f>
        <v>918428056052</v>
      </c>
      <c r="C120" s="15" t="str">
        <f t="shared" si="1"/>
        <v>venkatsaipriya1@gmail.com918428056052</v>
      </c>
      <c r="D120" s="16" t="s">
        <v>6840</v>
      </c>
      <c r="E120" s="16" t="s">
        <v>74</v>
      </c>
    </row>
    <row r="121">
      <c r="A121" s="1" t="s">
        <v>6474</v>
      </c>
      <c r="B121" s="15">
        <f t="shared" si="15"/>
        <v>918428056052</v>
      </c>
      <c r="C121" s="15" t="str">
        <f t="shared" si="1"/>
        <v>venkatsaipriya1@gmail.com918428056052</v>
      </c>
      <c r="D121" s="16" t="s">
        <v>6841</v>
      </c>
      <c r="E121" s="16" t="s">
        <v>68</v>
      </c>
    </row>
    <row r="122">
      <c r="A122" s="1" t="s">
        <v>6476</v>
      </c>
      <c r="B122" s="15">
        <f t="shared" ref="B122:B123" si="16">+919811316353</f>
        <v>919811316353</v>
      </c>
      <c r="C122" s="15" t="str">
        <f t="shared" si="1"/>
        <v>parulmehra84@gmail.com919811316353</v>
      </c>
      <c r="D122" s="16" t="s">
        <v>6842</v>
      </c>
      <c r="E122" s="16" t="s">
        <v>151</v>
      </c>
    </row>
    <row r="123">
      <c r="A123" s="1" t="s">
        <v>6476</v>
      </c>
      <c r="B123" s="15">
        <f t="shared" si="16"/>
        <v>919811316353</v>
      </c>
      <c r="C123" s="15" t="str">
        <f t="shared" si="1"/>
        <v>parulmehra84@gmail.com919811316353</v>
      </c>
      <c r="D123" s="16" t="s">
        <v>6843</v>
      </c>
      <c r="E123" s="16" t="s">
        <v>97</v>
      </c>
    </row>
    <row r="124">
      <c r="A124" s="1" t="s">
        <v>6477</v>
      </c>
      <c r="B124" s="15">
        <f t="shared" ref="B124:B126" si="17">+919910595084</f>
        <v>919910595084</v>
      </c>
      <c r="C124" s="15" t="str">
        <f t="shared" si="1"/>
        <v>rakhibandhu.rb@gmail.com919910595084</v>
      </c>
      <c r="D124" s="16" t="s">
        <v>6844</v>
      </c>
      <c r="E124" s="16" t="s">
        <v>68</v>
      </c>
    </row>
    <row r="125">
      <c r="A125" s="1" t="s">
        <v>6477</v>
      </c>
      <c r="B125" s="15">
        <f t="shared" si="17"/>
        <v>919910595084</v>
      </c>
      <c r="C125" s="15" t="str">
        <f t="shared" si="1"/>
        <v>rakhibandhu.rb@gmail.com919910595084</v>
      </c>
      <c r="D125" s="16" t="s">
        <v>6845</v>
      </c>
      <c r="E125" s="16" t="s">
        <v>68</v>
      </c>
    </row>
    <row r="126">
      <c r="A126" s="1" t="s">
        <v>6477</v>
      </c>
      <c r="B126" s="15">
        <f t="shared" si="17"/>
        <v>919910595084</v>
      </c>
      <c r="C126" s="15" t="str">
        <f t="shared" si="1"/>
        <v>rakhibandhu.rb@gmail.com919910595084</v>
      </c>
      <c r="D126" s="16" t="s">
        <v>6846</v>
      </c>
      <c r="E126" s="16" t="s">
        <v>68</v>
      </c>
    </row>
    <row r="127">
      <c r="A127" s="1" t="s">
        <v>5186</v>
      </c>
      <c r="B127" s="15">
        <f>+919617069909</f>
        <v>919617069909</v>
      </c>
      <c r="C127" s="15" t="str">
        <f t="shared" si="1"/>
        <v>aapkaameet@gmail.com919617069909</v>
      </c>
      <c r="D127" s="16" t="s">
        <v>6847</v>
      </c>
      <c r="E127" s="16" t="s">
        <v>68</v>
      </c>
    </row>
    <row r="128">
      <c r="A128" s="1" t="s">
        <v>1617</v>
      </c>
      <c r="B128" s="15">
        <f>+918017771061</f>
        <v>918017771061</v>
      </c>
      <c r="C128" s="15" t="str">
        <f t="shared" si="1"/>
        <v>shalinipaul.17@gmail.com918017771061</v>
      </c>
      <c r="D128" s="16" t="s">
        <v>6848</v>
      </c>
      <c r="E128" s="16" t="s">
        <v>68</v>
      </c>
    </row>
    <row r="129">
      <c r="A129" s="1" t="s">
        <v>5448</v>
      </c>
      <c r="B129" s="15">
        <f>+917708772815</f>
        <v>917708772815</v>
      </c>
      <c r="C129" s="15" t="str">
        <f t="shared" si="1"/>
        <v>manoharimeenakshi1904@gmail.com917708772815</v>
      </c>
      <c r="D129" s="16" t="s">
        <v>6849</v>
      </c>
      <c r="E129" s="16" t="s">
        <v>68</v>
      </c>
    </row>
    <row r="130">
      <c r="A130" s="1" t="s">
        <v>6478</v>
      </c>
      <c r="B130" s="15">
        <f>+919036755270</f>
        <v>919036755270</v>
      </c>
      <c r="C130" s="15" t="str">
        <f t="shared" si="1"/>
        <v>sunderr20@gmail.com919036755270</v>
      </c>
      <c r="D130" s="16" t="s">
        <v>6850</v>
      </c>
      <c r="E130" s="16" t="s">
        <v>97</v>
      </c>
    </row>
    <row r="131">
      <c r="A131" s="1" t="s">
        <v>6851</v>
      </c>
      <c r="B131" s="15">
        <f>+918884047443</f>
        <v>918884047443</v>
      </c>
      <c r="C131" s="15" t="str">
        <f t="shared" si="1"/>
        <v>saileshbhupalam@gmail.com918884047443</v>
      </c>
      <c r="D131" s="16" t="s">
        <v>6852</v>
      </c>
      <c r="E131" s="16" t="s">
        <v>74</v>
      </c>
    </row>
    <row r="132">
      <c r="A132" s="1" t="s">
        <v>5449</v>
      </c>
      <c r="B132" s="15">
        <f>+919709040428</f>
        <v>919709040428</v>
      </c>
      <c r="C132" s="15" t="str">
        <f t="shared" si="1"/>
        <v>surindivyarani@gmail.com919709040428</v>
      </c>
      <c r="D132" s="16" t="s">
        <v>6853</v>
      </c>
      <c r="E132" s="16" t="s">
        <v>68</v>
      </c>
    </row>
    <row r="133">
      <c r="A133" s="1" t="s">
        <v>5188</v>
      </c>
      <c r="B133" s="15">
        <f>+919818049647</f>
        <v>919818049647</v>
      </c>
      <c r="C133" s="15" t="str">
        <f t="shared" si="1"/>
        <v>arn76881@gmail.comcom919818049647</v>
      </c>
      <c r="D133" s="16" t="s">
        <v>6854</v>
      </c>
      <c r="E133" s="16" t="s">
        <v>68</v>
      </c>
    </row>
    <row r="134">
      <c r="A134" s="1" t="s">
        <v>2764</v>
      </c>
      <c r="B134" s="15">
        <f>+919051684807</f>
        <v>919051684807</v>
      </c>
      <c r="C134" s="15" t="str">
        <f t="shared" si="1"/>
        <v>asish.aryan@gmail.com919051684807</v>
      </c>
      <c r="D134" s="16" t="s">
        <v>6855</v>
      </c>
      <c r="E134" s="16" t="s">
        <v>68</v>
      </c>
    </row>
    <row r="135">
      <c r="A135" s="1" t="s">
        <v>6479</v>
      </c>
      <c r="B135" s="15">
        <f>+919899972124</f>
        <v>919899972124</v>
      </c>
      <c r="C135" s="15" t="str">
        <f t="shared" si="1"/>
        <v>palak1507@gmail.com919899972124</v>
      </c>
      <c r="D135" s="16" t="s">
        <v>6856</v>
      </c>
      <c r="E135" s="16" t="s">
        <v>68</v>
      </c>
    </row>
    <row r="136">
      <c r="A136" s="1" t="s">
        <v>3300</v>
      </c>
      <c r="B136" s="15">
        <f>+918237771225</f>
        <v>918237771225</v>
      </c>
      <c r="C136" s="15" t="str">
        <f t="shared" si="1"/>
        <v>pkb.bijoy@gmail.com918237771225</v>
      </c>
      <c r="D136" s="16" t="s">
        <v>6857</v>
      </c>
      <c r="E136" s="16" t="s">
        <v>68</v>
      </c>
    </row>
    <row r="137">
      <c r="A137" s="1" t="s">
        <v>2706</v>
      </c>
      <c r="B137" s="15">
        <f>+918208537763</f>
        <v>918208537763</v>
      </c>
      <c r="C137" s="15" t="str">
        <f t="shared" si="1"/>
        <v>drsumeetneurology@gmail.com918208537763</v>
      </c>
      <c r="D137" s="16" t="s">
        <v>6858</v>
      </c>
      <c r="E137" s="16" t="s">
        <v>68</v>
      </c>
    </row>
    <row r="138">
      <c r="A138" s="1" t="s">
        <v>6859</v>
      </c>
      <c r="B138" s="15">
        <f t="shared" ref="B138:B139" si="18">+919605856374</f>
        <v>919605856374</v>
      </c>
      <c r="C138" s="15" t="str">
        <f t="shared" si="1"/>
        <v>jeninreji@gmail.com919605856374</v>
      </c>
      <c r="D138" s="16" t="s">
        <v>6860</v>
      </c>
      <c r="E138" s="16" t="s">
        <v>68</v>
      </c>
    </row>
    <row r="139">
      <c r="A139" s="1" t="s">
        <v>6859</v>
      </c>
      <c r="B139" s="15">
        <f t="shared" si="18"/>
        <v>919605856374</v>
      </c>
      <c r="C139" s="15" t="str">
        <f t="shared" si="1"/>
        <v>jeninreji@gmail.com919605856374</v>
      </c>
      <c r="D139" s="16" t="s">
        <v>6861</v>
      </c>
      <c r="E139" s="16" t="s">
        <v>68</v>
      </c>
    </row>
    <row r="140">
      <c r="A140" s="1" t="s">
        <v>2766</v>
      </c>
      <c r="B140" s="15">
        <f>+919555554704</f>
        <v>919555554704</v>
      </c>
      <c r="C140" s="15" t="str">
        <f t="shared" si="1"/>
        <v>manlaksh.inc@gmail.com919555554704</v>
      </c>
      <c r="D140" s="16" t="s">
        <v>6862</v>
      </c>
      <c r="E140" s="16" t="s">
        <v>68</v>
      </c>
    </row>
    <row r="141">
      <c r="A141" s="1" t="s">
        <v>3009</v>
      </c>
      <c r="B141" s="15">
        <f>+919896034231</f>
        <v>919896034231</v>
      </c>
      <c r="C141" s="15" t="str">
        <f t="shared" si="1"/>
        <v>pjcommerceacademy@gmail.com919896034231</v>
      </c>
      <c r="D141" s="16" t="s">
        <v>6863</v>
      </c>
      <c r="E141" s="16" t="s">
        <v>74</v>
      </c>
    </row>
    <row r="142">
      <c r="A142" s="1" t="s">
        <v>3301</v>
      </c>
      <c r="B142" s="15">
        <f>+919307638450</f>
        <v>919307638450</v>
      </c>
      <c r="C142" s="15" t="str">
        <f t="shared" si="1"/>
        <v>vaidyasaurabh97@gmail.com919307638450</v>
      </c>
      <c r="D142" s="16" t="s">
        <v>6864</v>
      </c>
      <c r="E142" s="16" t="s">
        <v>68</v>
      </c>
    </row>
    <row r="143">
      <c r="A143" s="1" t="s">
        <v>3302</v>
      </c>
      <c r="B143" s="15">
        <f>+918961374865</f>
        <v>918961374865</v>
      </c>
      <c r="C143" s="15" t="str">
        <f t="shared" si="1"/>
        <v>victor89roy21@gmail.com918961374865</v>
      </c>
      <c r="D143" s="16" t="s">
        <v>6865</v>
      </c>
      <c r="E143" s="16" t="s">
        <v>74</v>
      </c>
    </row>
    <row r="144">
      <c r="A144" s="1" t="s">
        <v>6866</v>
      </c>
      <c r="B144" s="15">
        <f t="shared" ref="B144:B145" si="19">+919686437197</f>
        <v>919686437197</v>
      </c>
      <c r="C144" s="15" t="str">
        <f t="shared" si="1"/>
        <v>vasumathi.mohanram@outlook.com919686437197</v>
      </c>
      <c r="D144" s="16" t="s">
        <v>6867</v>
      </c>
      <c r="E144" s="16" t="s">
        <v>74</v>
      </c>
    </row>
    <row r="145">
      <c r="A145" s="1" t="s">
        <v>6866</v>
      </c>
      <c r="B145" s="15">
        <f t="shared" si="19"/>
        <v>919686437197</v>
      </c>
      <c r="C145" s="15" t="str">
        <f t="shared" si="1"/>
        <v>vasumathi.mohanram@outlook.com919686437197</v>
      </c>
      <c r="D145" s="16" t="s">
        <v>6868</v>
      </c>
      <c r="E145" s="16" t="s">
        <v>74</v>
      </c>
    </row>
    <row r="146">
      <c r="A146" s="1" t="s">
        <v>5190</v>
      </c>
      <c r="B146" s="15">
        <f>+919972593853</f>
        <v>919972593853</v>
      </c>
      <c r="C146" s="15" t="str">
        <f t="shared" si="1"/>
        <v>prisspa@gmail.com919972593853</v>
      </c>
      <c r="D146" s="16" t="s">
        <v>6869</v>
      </c>
      <c r="E146" s="16" t="s">
        <v>68</v>
      </c>
    </row>
    <row r="147">
      <c r="A147" s="1" t="s">
        <v>3303</v>
      </c>
      <c r="B147" s="15">
        <f>+918019888930</f>
        <v>918019888930</v>
      </c>
      <c r="C147" s="15" t="str">
        <f t="shared" si="1"/>
        <v>srikarchintalapally@gmail.com918019888930</v>
      </c>
      <c r="D147" s="16" t="s">
        <v>6870</v>
      </c>
      <c r="E147" s="16" t="s">
        <v>68</v>
      </c>
    </row>
    <row r="148">
      <c r="A148" s="1" t="s">
        <v>3304</v>
      </c>
      <c r="B148" s="15">
        <f>+917085885820</f>
        <v>917085885820</v>
      </c>
      <c r="C148" s="15" t="str">
        <f t="shared" si="1"/>
        <v>shreesinha2000@gmail.com917085885820</v>
      </c>
      <c r="D148" s="16" t="s">
        <v>6871</v>
      </c>
      <c r="E148" s="16" t="s">
        <v>68</v>
      </c>
    </row>
    <row r="149">
      <c r="A149" s="1" t="s">
        <v>6486</v>
      </c>
      <c r="B149" s="15">
        <f>+919840718371</f>
        <v>919840718371</v>
      </c>
      <c r="C149" s="15" t="str">
        <f t="shared" si="1"/>
        <v>nishith@shreefinancial.com919840718371</v>
      </c>
      <c r="D149" s="16" t="s">
        <v>6872</v>
      </c>
      <c r="E149" s="16" t="s">
        <v>68</v>
      </c>
    </row>
    <row r="150">
      <c r="A150" s="1" t="s">
        <v>5730</v>
      </c>
      <c r="B150" s="15">
        <f>+919901755533</f>
        <v>919901755533</v>
      </c>
      <c r="C150" s="15" t="str">
        <f t="shared" si="1"/>
        <v>ajaychalam.m@gmail.com919901755533</v>
      </c>
      <c r="D150" s="16" t="s">
        <v>6873</v>
      </c>
      <c r="E150" s="16" t="s">
        <v>74</v>
      </c>
    </row>
    <row r="151">
      <c r="A151" s="1" t="s">
        <v>3011</v>
      </c>
      <c r="B151" s="15">
        <f>+919486338104</f>
        <v>919486338104</v>
      </c>
      <c r="C151" s="15" t="str">
        <f t="shared" si="1"/>
        <v>raj_mayura68@yahoo.com919486338104</v>
      </c>
      <c r="D151" s="16" t="s">
        <v>6874</v>
      </c>
      <c r="E151" s="16" t="s">
        <v>68</v>
      </c>
    </row>
    <row r="152">
      <c r="A152" s="1" t="s">
        <v>6488</v>
      </c>
      <c r="B152" s="15">
        <f>+918295901664</f>
        <v>918295901664</v>
      </c>
      <c r="C152" s="15" t="str">
        <f t="shared" si="1"/>
        <v>vivekarora1705@gmail.com918295901664</v>
      </c>
      <c r="D152" s="16" t="s">
        <v>6875</v>
      </c>
      <c r="E152" s="16" t="s">
        <v>74</v>
      </c>
    </row>
    <row r="153">
      <c r="A153" s="1" t="s">
        <v>6876</v>
      </c>
      <c r="B153" s="15">
        <f>+919789316974</f>
        <v>919789316974</v>
      </c>
      <c r="C153" s="15" t="str">
        <f t="shared" si="1"/>
        <v>pavithrasandeep257@gmail.com919789316974</v>
      </c>
      <c r="D153" s="16" t="s">
        <v>6877</v>
      </c>
      <c r="E153" s="16" t="s">
        <v>74</v>
      </c>
    </row>
    <row r="154">
      <c r="A154" s="1" t="s">
        <v>3331</v>
      </c>
      <c r="B154" s="15">
        <f>+918087614327</f>
        <v>918087614327</v>
      </c>
      <c r="C154" s="15" t="str">
        <f t="shared" si="1"/>
        <v>123tanveen@gmail.com918087614327</v>
      </c>
      <c r="D154" s="16" t="s">
        <v>6878</v>
      </c>
      <c r="E154" s="16" t="s">
        <v>68</v>
      </c>
    </row>
    <row r="155">
      <c r="A155" s="1" t="s">
        <v>6879</v>
      </c>
      <c r="B155" s="15">
        <f t="shared" ref="B155:B156" si="20">+916394480010</f>
        <v>916394480010</v>
      </c>
      <c r="C155" s="15" t="str">
        <f t="shared" si="1"/>
        <v>kavita.feb3@gmail.com916394480010</v>
      </c>
      <c r="D155" s="16" t="s">
        <v>6880</v>
      </c>
      <c r="E155" s="16" t="s">
        <v>74</v>
      </c>
    </row>
    <row r="156">
      <c r="A156" s="1" t="s">
        <v>6879</v>
      </c>
      <c r="B156" s="15">
        <f t="shared" si="20"/>
        <v>916394480010</v>
      </c>
      <c r="C156" s="15" t="str">
        <f t="shared" si="1"/>
        <v>kavita.feb3@gmail.com916394480010</v>
      </c>
      <c r="D156" s="16" t="s">
        <v>6881</v>
      </c>
      <c r="E156" s="16" t="s">
        <v>74</v>
      </c>
    </row>
    <row r="157">
      <c r="A157" s="1" t="s">
        <v>2470</v>
      </c>
      <c r="B157" s="15">
        <f>+917980675481</f>
        <v>917980675481</v>
      </c>
      <c r="C157" s="15" t="str">
        <f t="shared" si="1"/>
        <v>contact.nandini01@gmail.com917980675481</v>
      </c>
      <c r="D157" s="16" t="s">
        <v>6882</v>
      </c>
      <c r="E157" s="16" t="s">
        <v>68</v>
      </c>
    </row>
    <row r="158">
      <c r="A158" s="1" t="s">
        <v>3615</v>
      </c>
      <c r="B158" s="15">
        <f>+916291779883</f>
        <v>916291779883</v>
      </c>
      <c r="C158" s="15" t="str">
        <f t="shared" si="1"/>
        <v>prernasaraf7@gmail.com916291779883</v>
      </c>
      <c r="D158" s="16" t="s">
        <v>6883</v>
      </c>
      <c r="E158" s="16" t="s">
        <v>68</v>
      </c>
    </row>
    <row r="159">
      <c r="A159" s="1" t="s">
        <v>6884</v>
      </c>
      <c r="B159" s="15">
        <f>+919599945201</f>
        <v>919599945201</v>
      </c>
      <c r="C159" s="15" t="str">
        <f t="shared" si="1"/>
        <v>kapoor.jaigopal@gmail.com919599945201</v>
      </c>
      <c r="D159" s="16" t="s">
        <v>6885</v>
      </c>
      <c r="E159" s="16" t="s">
        <v>151</v>
      </c>
    </row>
    <row r="160">
      <c r="A160" s="1" t="s">
        <v>5710</v>
      </c>
      <c r="B160" s="15">
        <f>+919971724494</f>
        <v>919971724494</v>
      </c>
      <c r="C160" s="15" t="str">
        <f t="shared" si="1"/>
        <v>amanpreet.singh1085@gmail.com919971724494</v>
      </c>
      <c r="D160" s="16" t="s">
        <v>6886</v>
      </c>
      <c r="E160" s="16" t="s">
        <v>97</v>
      </c>
    </row>
    <row r="161">
      <c r="A161" s="1" t="s">
        <v>6887</v>
      </c>
      <c r="B161" s="15">
        <f>+919971230960</f>
        <v>919971230960</v>
      </c>
      <c r="C161" s="15" t="str">
        <f t="shared" si="1"/>
        <v>gudoomalik@gmail.com919971230960</v>
      </c>
      <c r="D161" s="16" t="s">
        <v>6888</v>
      </c>
      <c r="E161" s="16" t="s">
        <v>151</v>
      </c>
    </row>
    <row r="162">
      <c r="A162" s="1" t="s">
        <v>4565</v>
      </c>
      <c r="B162" s="15">
        <f>+919820358107</f>
        <v>919820358107</v>
      </c>
      <c r="C162" s="15" t="str">
        <f t="shared" si="1"/>
        <v>saurabhhsingh1@gmail.com919820358107</v>
      </c>
      <c r="D162" s="16" t="s">
        <v>6889</v>
      </c>
      <c r="E162" s="16" t="s">
        <v>68</v>
      </c>
    </row>
    <row r="163">
      <c r="A163" s="1" t="s">
        <v>1983</v>
      </c>
      <c r="B163" s="15">
        <f>+919712769928</f>
        <v>919712769928</v>
      </c>
      <c r="C163" s="15" t="str">
        <f t="shared" si="1"/>
        <v>shreeya.kharbanda@gmail.com919712769928</v>
      </c>
      <c r="D163" s="16" t="s">
        <v>6890</v>
      </c>
      <c r="E163" s="16" t="s">
        <v>68</v>
      </c>
    </row>
    <row r="164">
      <c r="A164" s="1" t="s">
        <v>6489</v>
      </c>
      <c r="B164" s="15">
        <f>+919899837660</f>
        <v>919899837660</v>
      </c>
      <c r="C164" s="15" t="str">
        <f t="shared" si="1"/>
        <v>ma.arora@yahoo.in919899837660</v>
      </c>
      <c r="D164" s="16" t="s">
        <v>6891</v>
      </c>
      <c r="E164" s="16" t="s">
        <v>68</v>
      </c>
    </row>
    <row r="165">
      <c r="A165" s="1" t="s">
        <v>6892</v>
      </c>
      <c r="B165" s="15">
        <f>+919773932529</f>
        <v>919773932529</v>
      </c>
      <c r="C165" s="15" t="str">
        <f t="shared" si="1"/>
        <v>prernajain1309@gmail.com919773932529</v>
      </c>
      <c r="D165" s="16" t="s">
        <v>6893</v>
      </c>
      <c r="E165" s="16" t="s">
        <v>68</v>
      </c>
    </row>
    <row r="166">
      <c r="A166" s="1" t="s">
        <v>3614</v>
      </c>
      <c r="B166" s="15">
        <f>+918591340000</f>
        <v>918591340000</v>
      </c>
      <c r="C166" s="15" t="str">
        <f t="shared" si="1"/>
        <v>dhanpreet@apexemail.net918591340000</v>
      </c>
      <c r="D166" s="16" t="s">
        <v>6894</v>
      </c>
      <c r="E166" s="16" t="s">
        <v>74</v>
      </c>
    </row>
    <row r="167">
      <c r="A167" s="1" t="s">
        <v>6895</v>
      </c>
      <c r="B167" s="15">
        <f t="shared" ref="B167:B169" si="21">+918972484843</f>
        <v>918972484843</v>
      </c>
      <c r="C167" s="15" t="str">
        <f t="shared" si="1"/>
        <v>braingrinding@gmail.com918972484843</v>
      </c>
      <c r="D167" s="16" t="s">
        <v>6896</v>
      </c>
      <c r="E167" s="16" t="s">
        <v>74</v>
      </c>
    </row>
    <row r="168">
      <c r="A168" s="1" t="s">
        <v>6895</v>
      </c>
      <c r="B168" s="15">
        <f t="shared" si="21"/>
        <v>918972484843</v>
      </c>
      <c r="C168" s="15" t="str">
        <f t="shared" si="1"/>
        <v>braingrinding@gmail.com918972484843</v>
      </c>
      <c r="D168" s="16" t="s">
        <v>6897</v>
      </c>
      <c r="E168" s="16" t="s">
        <v>74</v>
      </c>
    </row>
    <row r="169">
      <c r="A169" s="1" t="s">
        <v>6895</v>
      </c>
      <c r="B169" s="15">
        <f t="shared" si="21"/>
        <v>918972484843</v>
      </c>
      <c r="C169" s="15" t="str">
        <f t="shared" si="1"/>
        <v>braingrinding@gmail.com918972484843</v>
      </c>
      <c r="D169" s="16" t="s">
        <v>6898</v>
      </c>
      <c r="E169" s="16" t="s">
        <v>74</v>
      </c>
    </row>
    <row r="170">
      <c r="A170" s="1" t="s">
        <v>4621</v>
      </c>
      <c r="B170" s="15">
        <f>+919584966693</f>
        <v>919584966693</v>
      </c>
      <c r="C170" s="15" t="str">
        <f t="shared" si="1"/>
        <v>pranaviarora19@gmail.com919584966693</v>
      </c>
      <c r="D170" s="16" t="s">
        <v>6899</v>
      </c>
      <c r="E170" s="16" t="s">
        <v>68</v>
      </c>
    </row>
    <row r="171">
      <c r="A171" s="1" t="s">
        <v>6900</v>
      </c>
      <c r="B171" s="15">
        <f>+919862779860</f>
        <v>919862779860</v>
      </c>
      <c r="C171" s="15" t="str">
        <f t="shared" si="1"/>
        <v>mamoii.khiangte@gmail.com919862779860</v>
      </c>
      <c r="D171" s="16" t="s">
        <v>6901</v>
      </c>
      <c r="E171" s="16" t="s">
        <v>74</v>
      </c>
    </row>
    <row r="172">
      <c r="A172" s="1" t="s">
        <v>3330</v>
      </c>
      <c r="B172" s="15">
        <f>+918221068717</f>
        <v>918221068717</v>
      </c>
      <c r="C172" s="15" t="str">
        <f t="shared" si="1"/>
        <v>bhavikadenod28@gmail.com918221068717</v>
      </c>
      <c r="D172" s="16" t="s">
        <v>6902</v>
      </c>
      <c r="E172" s="16" t="s">
        <v>68</v>
      </c>
    </row>
    <row r="173">
      <c r="A173" s="1" t="s">
        <v>6903</v>
      </c>
      <c r="B173" s="15">
        <f>+917351005015</f>
        <v>917351005015</v>
      </c>
      <c r="C173" s="15" t="str">
        <f t="shared" si="1"/>
        <v>edifiedlearners@gmail.com917351005015</v>
      </c>
      <c r="D173" s="16" t="s">
        <v>6904</v>
      </c>
      <c r="E173" s="16" t="s">
        <v>97</v>
      </c>
    </row>
    <row r="174">
      <c r="A174" s="1" t="s">
        <v>6905</v>
      </c>
      <c r="B174" s="15">
        <f>+918016608039</f>
        <v>918016608039</v>
      </c>
      <c r="C174" s="15" t="str">
        <f t="shared" si="1"/>
        <v>labonimitra9@gmail.com918016608039</v>
      </c>
      <c r="D174" s="16" t="s">
        <v>6906</v>
      </c>
      <c r="E174" s="16" t="s">
        <v>68</v>
      </c>
    </row>
    <row r="175">
      <c r="A175" s="1" t="s">
        <v>6480</v>
      </c>
      <c r="B175" s="15">
        <f>+919636433336</f>
        <v>919636433336</v>
      </c>
      <c r="C175" s="15" t="str">
        <f t="shared" si="1"/>
        <v>tanjain3008@gmail.com919636433336</v>
      </c>
      <c r="D175" s="16" t="s">
        <v>6907</v>
      </c>
      <c r="E175" s="16" t="s">
        <v>97</v>
      </c>
    </row>
    <row r="176">
      <c r="A176" s="1" t="s">
        <v>4342</v>
      </c>
      <c r="B176" s="15">
        <f>+917330993304</f>
        <v>917330993304</v>
      </c>
      <c r="C176" s="15" t="str">
        <f t="shared" si="1"/>
        <v>nittalayamini@gmail.com917330993304</v>
      </c>
      <c r="D176" s="16" t="s">
        <v>6908</v>
      </c>
      <c r="E176" s="16" t="s">
        <v>68</v>
      </c>
    </row>
    <row r="177">
      <c r="A177" s="1" t="s">
        <v>5325</v>
      </c>
      <c r="B177" s="15">
        <f>+917623850524</f>
        <v>917623850524</v>
      </c>
      <c r="C177" s="15" t="str">
        <f t="shared" si="1"/>
        <v>sohinistill21@gmail.com917623850524</v>
      </c>
      <c r="D177" s="16" t="s">
        <v>6909</v>
      </c>
      <c r="E177" s="16" t="s">
        <v>68</v>
      </c>
    </row>
    <row r="178">
      <c r="A178" s="1" t="s">
        <v>6910</v>
      </c>
      <c r="B178" s="15">
        <f>+919650900262</f>
        <v>919650900262</v>
      </c>
      <c r="C178" s="15" t="str">
        <f t="shared" si="1"/>
        <v>priyabhagey@gmail.com919650900262</v>
      </c>
      <c r="D178" s="16" t="s">
        <v>6911</v>
      </c>
      <c r="E178" s="16" t="s">
        <v>68</v>
      </c>
    </row>
    <row r="179">
      <c r="A179" s="1" t="s">
        <v>2458</v>
      </c>
      <c r="B179" s="15">
        <f>+919416173796</f>
        <v>919416173796</v>
      </c>
      <c r="C179" s="15" t="str">
        <f t="shared" si="1"/>
        <v>mahirgupta98@gmail.com919416173796</v>
      </c>
      <c r="D179" s="16" t="s">
        <v>6912</v>
      </c>
      <c r="E179" s="16" t="s">
        <v>68</v>
      </c>
    </row>
    <row r="180">
      <c r="A180" s="1" t="s">
        <v>6913</v>
      </c>
      <c r="B180" s="15">
        <f t="shared" ref="B180:B183" si="22">+917011154707</f>
        <v>917011154707</v>
      </c>
      <c r="C180" s="15" t="str">
        <f t="shared" si="1"/>
        <v>sujatatanwar1886@gmail.com917011154707</v>
      </c>
      <c r="D180" s="16" t="s">
        <v>6914</v>
      </c>
      <c r="E180" s="16" t="s">
        <v>151</v>
      </c>
    </row>
    <row r="181">
      <c r="A181" s="1" t="s">
        <v>6913</v>
      </c>
      <c r="B181" s="15">
        <f t="shared" si="22"/>
        <v>917011154707</v>
      </c>
      <c r="C181" s="15" t="str">
        <f t="shared" si="1"/>
        <v>sujatatanwar1886@gmail.com917011154707</v>
      </c>
      <c r="D181" s="16" t="s">
        <v>6915</v>
      </c>
      <c r="E181" s="16" t="s">
        <v>68</v>
      </c>
    </row>
    <row r="182">
      <c r="A182" s="1" t="s">
        <v>6913</v>
      </c>
      <c r="B182" s="15">
        <f t="shared" si="22"/>
        <v>917011154707</v>
      </c>
      <c r="C182" s="15" t="str">
        <f t="shared" si="1"/>
        <v>sujatatanwar1886@gmail.com917011154707</v>
      </c>
      <c r="D182" s="16" t="s">
        <v>6916</v>
      </c>
      <c r="E182" s="16" t="s">
        <v>68</v>
      </c>
    </row>
    <row r="183">
      <c r="A183" s="1" t="s">
        <v>6913</v>
      </c>
      <c r="B183" s="15">
        <f t="shared" si="22"/>
        <v>917011154707</v>
      </c>
      <c r="C183" s="15" t="str">
        <f t="shared" si="1"/>
        <v>sujatatanwar1886@gmail.com917011154707</v>
      </c>
      <c r="D183" s="16" t="s">
        <v>6917</v>
      </c>
      <c r="E183" s="16" t="s">
        <v>68</v>
      </c>
    </row>
    <row r="184">
      <c r="A184" s="1" t="s">
        <v>5450</v>
      </c>
      <c r="B184" s="15">
        <f>+917366912904</f>
        <v>917366912904</v>
      </c>
      <c r="C184" s="15" t="str">
        <f t="shared" si="1"/>
        <v>shivani.singh6980@gmail.com917366912904</v>
      </c>
      <c r="D184" s="16" t="s">
        <v>6918</v>
      </c>
      <c r="E184" s="16" t="s">
        <v>68</v>
      </c>
    </row>
    <row r="185">
      <c r="A185" s="1" t="s">
        <v>6900</v>
      </c>
      <c r="B185" s="15">
        <f>+919862779860</f>
        <v>919862779860</v>
      </c>
      <c r="C185" s="15" t="str">
        <f t="shared" si="1"/>
        <v>mamoii.khiangte@gmail.com919862779860</v>
      </c>
      <c r="D185" s="16" t="s">
        <v>6919</v>
      </c>
      <c r="E185" s="16" t="s">
        <v>74</v>
      </c>
    </row>
    <row r="186">
      <c r="A186" s="1" t="s">
        <v>2707</v>
      </c>
      <c r="B186" s="15">
        <f>+919886534084</f>
        <v>919886534084</v>
      </c>
      <c r="C186" s="15" t="str">
        <f t="shared" si="1"/>
        <v>roopak@ncredibles.com919886534084</v>
      </c>
      <c r="D186" s="16" t="s">
        <v>6920</v>
      </c>
      <c r="E186" s="16" t="s">
        <v>68</v>
      </c>
    </row>
    <row r="187">
      <c r="A187" s="1" t="s">
        <v>6481</v>
      </c>
      <c r="B187" s="15">
        <f t="shared" ref="B187:B188" si="23">+919911525487</f>
        <v>919911525487</v>
      </c>
      <c r="C187" s="15" t="str">
        <f t="shared" si="1"/>
        <v>anjanakhanna1169@gmail.com919911525487</v>
      </c>
      <c r="D187" s="16" t="s">
        <v>6921</v>
      </c>
      <c r="E187" s="16" t="s">
        <v>74</v>
      </c>
    </row>
    <row r="188">
      <c r="A188" s="1" t="s">
        <v>6481</v>
      </c>
      <c r="B188" s="15">
        <f t="shared" si="23"/>
        <v>919911525487</v>
      </c>
      <c r="C188" s="15" t="str">
        <f t="shared" si="1"/>
        <v>anjanakhanna1169@gmail.com919911525487</v>
      </c>
      <c r="D188" s="16" t="s">
        <v>6922</v>
      </c>
      <c r="E188" s="16" t="s">
        <v>74</v>
      </c>
    </row>
    <row r="189">
      <c r="A189" s="1" t="s">
        <v>2765</v>
      </c>
      <c r="B189" s="15">
        <f t="shared" ref="B189:B190" si="24">+919619806040</f>
        <v>919619806040</v>
      </c>
      <c r="C189" s="15" t="str">
        <f t="shared" si="1"/>
        <v>surabhi_rana21@yahoo.com919619806040</v>
      </c>
      <c r="D189" s="16" t="s">
        <v>6923</v>
      </c>
      <c r="E189" s="16" t="s">
        <v>74</v>
      </c>
    </row>
    <row r="190">
      <c r="A190" s="1" t="s">
        <v>2765</v>
      </c>
      <c r="B190" s="15">
        <f t="shared" si="24"/>
        <v>919619806040</v>
      </c>
      <c r="C190" s="15" t="str">
        <f t="shared" si="1"/>
        <v>surabhi_rana21@yahoo.com919619806040</v>
      </c>
      <c r="D190" s="16" t="s">
        <v>6924</v>
      </c>
      <c r="E190" s="16" t="s">
        <v>74</v>
      </c>
    </row>
    <row r="191">
      <c r="A191" s="1" t="s">
        <v>6482</v>
      </c>
      <c r="B191" s="15">
        <f>+918527343510</f>
        <v>918527343510</v>
      </c>
      <c r="C191" s="15" t="str">
        <f t="shared" si="1"/>
        <v>camabhisnehal@gmail.com918527343510</v>
      </c>
      <c r="D191" s="16" t="s">
        <v>6925</v>
      </c>
      <c r="E191" s="16" t="s">
        <v>97</v>
      </c>
    </row>
    <row r="192">
      <c r="A192" s="1" t="s">
        <v>3059</v>
      </c>
      <c r="B192" s="15">
        <f>+918953547813</f>
        <v>918953547813</v>
      </c>
      <c r="C192" s="15" t="str">
        <f t="shared" si="1"/>
        <v>ajitrai.ajit@gmail.com918953547813</v>
      </c>
      <c r="D192" s="16" t="s">
        <v>6926</v>
      </c>
      <c r="E192" s="16" t="s">
        <v>68</v>
      </c>
    </row>
    <row r="193">
      <c r="A193" s="1" t="s">
        <v>6483</v>
      </c>
      <c r="B193" s="15">
        <f>+919448847519</f>
        <v>919448847519</v>
      </c>
      <c r="C193" s="15" t="str">
        <f t="shared" si="1"/>
        <v>inv.anshu@gmail.com919448847519</v>
      </c>
      <c r="D193" s="16" t="s">
        <v>6927</v>
      </c>
      <c r="E193" s="16" t="s">
        <v>68</v>
      </c>
    </row>
    <row r="194">
      <c r="A194" s="1" t="s">
        <v>6484</v>
      </c>
      <c r="B194" s="15">
        <f>+919560319957</f>
        <v>919560319957</v>
      </c>
      <c r="C194" s="15" t="str">
        <f t="shared" si="1"/>
        <v>humakhanvirgo@gmail.com919560319957</v>
      </c>
      <c r="D194" s="16" t="s">
        <v>6928</v>
      </c>
      <c r="E194" s="16" t="s">
        <v>68</v>
      </c>
    </row>
    <row r="195">
      <c r="A195" s="1" t="s">
        <v>6485</v>
      </c>
      <c r="B195" s="15">
        <f t="shared" ref="B195:B196" si="25">+918447208914</f>
        <v>918447208914</v>
      </c>
      <c r="C195" s="15" t="str">
        <f t="shared" si="1"/>
        <v>annusmail@gmail.com918447208914</v>
      </c>
      <c r="D195" s="16" t="s">
        <v>6929</v>
      </c>
      <c r="E195" s="16" t="s">
        <v>97</v>
      </c>
    </row>
    <row r="196">
      <c r="A196" s="1" t="s">
        <v>6485</v>
      </c>
      <c r="B196" s="15">
        <f t="shared" si="25"/>
        <v>918447208914</v>
      </c>
      <c r="C196" s="15" t="str">
        <f t="shared" si="1"/>
        <v>annusmail@gmail.com918447208914</v>
      </c>
      <c r="D196" s="16" t="s">
        <v>6930</v>
      </c>
      <c r="E196" s="16" t="s">
        <v>74</v>
      </c>
    </row>
    <row r="197">
      <c r="A197" s="1" t="s">
        <v>5191</v>
      </c>
      <c r="B197" s="15">
        <f>+917989972789</f>
        <v>917989972789</v>
      </c>
      <c r="C197" s="15" t="str">
        <f t="shared" si="1"/>
        <v>bandibhargavi97@gmail.com917989972789</v>
      </c>
      <c r="D197" s="16" t="s">
        <v>6931</v>
      </c>
      <c r="E197" s="16" t="s">
        <v>68</v>
      </c>
    </row>
    <row r="198">
      <c r="A198" s="1" t="s">
        <v>6932</v>
      </c>
      <c r="B198" s="15">
        <f>+919705905440</f>
        <v>919705905440</v>
      </c>
      <c r="C198" s="15" t="str">
        <f t="shared" si="1"/>
        <v>nitishaceles07@gmail.com919705905440</v>
      </c>
      <c r="D198" s="16" t="s">
        <v>6933</v>
      </c>
      <c r="E198" s="16" t="s">
        <v>68</v>
      </c>
    </row>
    <row r="199">
      <c r="A199" s="1" t="s">
        <v>5119</v>
      </c>
      <c r="B199" s="15">
        <f>+919886525300</f>
        <v>919886525300</v>
      </c>
      <c r="C199" s="15" t="str">
        <f t="shared" si="1"/>
        <v>aparnabhat.14@gmail.com919886525300</v>
      </c>
      <c r="D199" s="16" t="s">
        <v>6934</v>
      </c>
      <c r="E199" s="16" t="s">
        <v>68</v>
      </c>
    </row>
    <row r="200">
      <c r="A200" s="1" t="s">
        <v>6487</v>
      </c>
      <c r="B200" s="15">
        <f>+919540023838</f>
        <v>919540023838</v>
      </c>
      <c r="C200" s="15" t="str">
        <f t="shared" si="1"/>
        <v>mishra.prabhatlko@gmail.com919540023838</v>
      </c>
      <c r="D200" s="16" t="s">
        <v>6935</v>
      </c>
      <c r="E200" s="16" t="s">
        <v>97</v>
      </c>
    </row>
    <row r="201">
      <c r="A201" s="1" t="s">
        <v>2708</v>
      </c>
      <c r="B201" s="15">
        <f>+919503168128</f>
        <v>919503168128</v>
      </c>
      <c r="C201" s="15" t="str">
        <f t="shared" si="1"/>
        <v>chawat.ravi@gmail.com919503168128</v>
      </c>
      <c r="D201" s="16" t="s">
        <v>6936</v>
      </c>
      <c r="E201" s="16" t="s">
        <v>68</v>
      </c>
    </row>
    <row r="202">
      <c r="A202" s="1" t="s">
        <v>5404</v>
      </c>
      <c r="B202" s="15">
        <f t="shared" ref="B202:B203" si="26">+919711990351</f>
        <v>919711990351</v>
      </c>
      <c r="C202" s="15" t="str">
        <f t="shared" si="1"/>
        <v>meghavirdi89@gmail.com919711990351</v>
      </c>
      <c r="D202" s="16" t="s">
        <v>6937</v>
      </c>
      <c r="E202" s="16" t="s">
        <v>68</v>
      </c>
    </row>
    <row r="203">
      <c r="A203" s="1" t="s">
        <v>5404</v>
      </c>
      <c r="B203" s="15">
        <f t="shared" si="26"/>
        <v>919711990351</v>
      </c>
      <c r="C203" s="15" t="str">
        <f t="shared" si="1"/>
        <v>meghavirdi89@gmail.com919711990351</v>
      </c>
      <c r="D203" s="16" t="s">
        <v>6938</v>
      </c>
      <c r="E203" s="16" t="s">
        <v>68</v>
      </c>
    </row>
    <row r="204">
      <c r="A204" s="1" t="s">
        <v>2458</v>
      </c>
      <c r="B204" s="15">
        <f>+919416173796</f>
        <v>919416173796</v>
      </c>
      <c r="C204" s="15" t="str">
        <f t="shared" si="1"/>
        <v>mahirgupta98@gmail.com919416173796</v>
      </c>
      <c r="D204" s="16" t="s">
        <v>6939</v>
      </c>
      <c r="E204" s="16" t="s">
        <v>68</v>
      </c>
    </row>
    <row r="205">
      <c r="A205" s="1" t="s">
        <v>2468</v>
      </c>
      <c r="B205" s="15">
        <f>+917838604128</f>
        <v>917838604128</v>
      </c>
      <c r="C205" s="15" t="str">
        <f t="shared" si="1"/>
        <v>pallspallavi56789@gmail.com917838604128</v>
      </c>
      <c r="D205" s="16" t="s">
        <v>6940</v>
      </c>
      <c r="E205" s="16" t="s">
        <v>68</v>
      </c>
    </row>
    <row r="206">
      <c r="A206" s="1" t="s">
        <v>5098</v>
      </c>
      <c r="B206" s="15">
        <f>+919666850360</f>
        <v>919666850360</v>
      </c>
      <c r="C206" s="15" t="str">
        <f t="shared" si="1"/>
        <v>sailpatnala@gmail.com919666850360</v>
      </c>
      <c r="D206" s="16" t="s">
        <v>6941</v>
      </c>
      <c r="E206" s="16" t="s">
        <v>68</v>
      </c>
    </row>
    <row r="207">
      <c r="A207" s="1" t="s">
        <v>3012</v>
      </c>
      <c r="B207" s="15">
        <f>+919820237817</f>
        <v>919820237817</v>
      </c>
      <c r="C207" s="15" t="str">
        <f t="shared" si="1"/>
        <v>energenieacademy@gmail.com919820237817</v>
      </c>
      <c r="D207" s="16" t="s">
        <v>6942</v>
      </c>
      <c r="E207" s="16" t="s">
        <v>74</v>
      </c>
    </row>
    <row r="208">
      <c r="A208" s="1" t="s">
        <v>2469</v>
      </c>
      <c r="B208" s="15">
        <f>+919804294752</f>
        <v>919804294752</v>
      </c>
      <c r="C208" s="15" t="str">
        <f t="shared" si="1"/>
        <v>debajyoti_wr@hotmail.com919804294752</v>
      </c>
      <c r="D208" s="16" t="s">
        <v>6943</v>
      </c>
      <c r="E208" s="16" t="s">
        <v>68</v>
      </c>
    </row>
    <row r="209">
      <c r="A209" s="1" t="s">
        <v>4622</v>
      </c>
      <c r="B209" s="15">
        <f>+919746889346</f>
        <v>919746889346</v>
      </c>
      <c r="C209" s="15" t="str">
        <f t="shared" si="1"/>
        <v>najeebnajiya1@gmail.com919746889346</v>
      </c>
      <c r="D209" s="16" t="s">
        <v>6944</v>
      </c>
      <c r="E209" s="16" t="s">
        <v>68</v>
      </c>
    </row>
    <row r="210">
      <c r="A210" s="1" t="s">
        <v>6945</v>
      </c>
      <c r="B210" s="15">
        <f t="shared" ref="B210:B211" si="27">+917006568878</f>
        <v>917006568878</v>
      </c>
      <c r="C210" s="15" t="str">
        <f t="shared" si="1"/>
        <v>nabeelanabz56@gmail.com917006568878</v>
      </c>
      <c r="D210" s="16" t="s">
        <v>6946</v>
      </c>
      <c r="E210" s="16" t="s">
        <v>74</v>
      </c>
    </row>
    <row r="211">
      <c r="A211" s="1" t="s">
        <v>6945</v>
      </c>
      <c r="B211" s="15">
        <f t="shared" si="27"/>
        <v>917006568878</v>
      </c>
      <c r="C211" s="15" t="str">
        <f t="shared" si="1"/>
        <v>nabeelanabz56@gmail.com917006568878</v>
      </c>
      <c r="D211" s="16" t="s">
        <v>6947</v>
      </c>
      <c r="E211" s="16" t="s">
        <v>74</v>
      </c>
    </row>
    <row r="212">
      <c r="A212" s="1" t="s">
        <v>2471</v>
      </c>
      <c r="B212" s="15">
        <f>+919261615151</f>
        <v>919261615151</v>
      </c>
      <c r="C212" s="15" t="str">
        <f t="shared" si="1"/>
        <v>kartikbalwan@gmail.com919261615151</v>
      </c>
      <c r="D212" s="16" t="s">
        <v>6948</v>
      </c>
      <c r="E212" s="16" t="s">
        <v>68</v>
      </c>
    </row>
    <row r="213">
      <c r="A213" s="1" t="s">
        <v>6949</v>
      </c>
      <c r="B213" s="15">
        <f>+918411019911</f>
        <v>918411019911</v>
      </c>
      <c r="C213" s="15" t="str">
        <f t="shared" si="1"/>
        <v>piya2492@gmail.com918411019911</v>
      </c>
      <c r="D213" s="16" t="s">
        <v>6950</v>
      </c>
      <c r="E213" s="16" t="s">
        <v>74</v>
      </c>
    </row>
    <row r="214">
      <c r="A214" s="1" t="s">
        <v>5732</v>
      </c>
      <c r="B214" s="15">
        <f>+917603039107</f>
        <v>917603039107</v>
      </c>
      <c r="C214" s="15" t="str">
        <f t="shared" si="1"/>
        <v>mahatopanchanan@gmail.com917603039107</v>
      </c>
      <c r="D214" s="16" t="s">
        <v>6951</v>
      </c>
      <c r="E214" s="16" t="s">
        <v>68</v>
      </c>
    </row>
    <row r="215">
      <c r="A215" s="1" t="s">
        <v>3332</v>
      </c>
      <c r="B215" s="15">
        <f>+917829398430</f>
        <v>917829398430</v>
      </c>
      <c r="C215" s="15" t="str">
        <f t="shared" si="1"/>
        <v>maglinarun04@gmail.com917829398430</v>
      </c>
      <c r="D215" s="16" t="s">
        <v>6952</v>
      </c>
      <c r="E215" s="16" t="s">
        <v>68</v>
      </c>
    </row>
    <row r="216">
      <c r="A216" s="1" t="s">
        <v>6953</v>
      </c>
      <c r="B216" s="15">
        <f t="shared" ref="B216:B217" si="28">+918014124312</f>
        <v>918014124312</v>
      </c>
      <c r="C216" s="15" t="str">
        <f t="shared" si="1"/>
        <v>kimiamang@gmail.com918014124312</v>
      </c>
      <c r="D216" s="16" t="s">
        <v>6954</v>
      </c>
      <c r="E216" s="16" t="s">
        <v>151</v>
      </c>
    </row>
    <row r="217">
      <c r="A217" s="1" t="s">
        <v>6953</v>
      </c>
      <c r="B217" s="15">
        <f t="shared" si="28"/>
        <v>918014124312</v>
      </c>
      <c r="C217" s="15" t="str">
        <f t="shared" si="1"/>
        <v>kimiamang@gmail.com918014124312</v>
      </c>
      <c r="D217" s="16" t="s">
        <v>6955</v>
      </c>
      <c r="E217" s="16" t="s">
        <v>151</v>
      </c>
    </row>
    <row r="218">
      <c r="A218" s="1" t="s">
        <v>5099</v>
      </c>
      <c r="B218" s="15">
        <f>+916366025511</f>
        <v>916366025511</v>
      </c>
      <c r="C218" s="15" t="str">
        <f t="shared" si="1"/>
        <v>sakshig98@gmail.com916366025511</v>
      </c>
      <c r="D218" s="16" t="s">
        <v>6956</v>
      </c>
      <c r="E218" s="16" t="s">
        <v>68</v>
      </c>
    </row>
    <row r="219">
      <c r="A219" s="1" t="s">
        <v>5733</v>
      </c>
      <c r="B219" s="15">
        <f>+919167180092</f>
        <v>919167180092</v>
      </c>
      <c r="C219" s="15" t="str">
        <f t="shared" si="1"/>
        <v>tchirag1996@gmail.com919167180092</v>
      </c>
      <c r="D219" s="16" t="s">
        <v>6957</v>
      </c>
      <c r="E219" s="16" t="s">
        <v>68</v>
      </c>
    </row>
    <row r="220">
      <c r="A220" s="1" t="s">
        <v>5327</v>
      </c>
      <c r="B220" s="15">
        <f>+919871780649</f>
        <v>919871780649</v>
      </c>
      <c r="C220" s="15" t="str">
        <f t="shared" si="1"/>
        <v>adv.akansha@gmail.com919871780649</v>
      </c>
      <c r="D220" s="16" t="s">
        <v>6958</v>
      </c>
      <c r="E220" s="16" t="s">
        <v>68</v>
      </c>
    </row>
    <row r="221">
      <c r="A221" s="1" t="s">
        <v>5120</v>
      </c>
      <c r="B221" s="15">
        <f>+919820371222</f>
        <v>919820371222</v>
      </c>
      <c r="C221" s="15" t="str">
        <f t="shared" si="1"/>
        <v>ssarita4484@gmail.com919820371222</v>
      </c>
      <c r="D221" s="16" t="s">
        <v>6959</v>
      </c>
      <c r="E221" s="16" t="s">
        <v>68</v>
      </c>
    </row>
    <row r="222">
      <c r="A222" s="1" t="s">
        <v>3060</v>
      </c>
      <c r="B222" s="15">
        <f t="shared" ref="B222:B223" si="29">+918140716273</f>
        <v>918140716273</v>
      </c>
      <c r="C222" s="15" t="str">
        <f t="shared" si="1"/>
        <v>pratikbh14@gmail.com918140716273</v>
      </c>
      <c r="D222" s="16" t="s">
        <v>6960</v>
      </c>
      <c r="E222" s="16" t="s">
        <v>68</v>
      </c>
    </row>
    <row r="223">
      <c r="A223" s="1" t="s">
        <v>3060</v>
      </c>
      <c r="B223" s="15">
        <f t="shared" si="29"/>
        <v>918140716273</v>
      </c>
      <c r="C223" s="15" t="str">
        <f t="shared" si="1"/>
        <v>pratikbh14@gmail.com918140716273</v>
      </c>
      <c r="D223" s="16" t="s">
        <v>6961</v>
      </c>
      <c r="E223" s="16" t="s">
        <v>68</v>
      </c>
    </row>
    <row r="224">
      <c r="A224" s="1" t="s">
        <v>4568</v>
      </c>
      <c r="B224" s="15">
        <f>+919880448333</f>
        <v>919880448333</v>
      </c>
      <c r="C224" s="15" t="str">
        <f t="shared" si="1"/>
        <v>vivekn.19@gmail.com919880448333</v>
      </c>
      <c r="D224" s="16" t="s">
        <v>6962</v>
      </c>
      <c r="E224" s="16" t="s">
        <v>68</v>
      </c>
    </row>
    <row r="225">
      <c r="A225" s="1" t="s">
        <v>5957</v>
      </c>
      <c r="B225" s="15">
        <f>+919652934444</f>
        <v>919652934444</v>
      </c>
      <c r="C225" s="15" t="str">
        <f t="shared" si="1"/>
        <v>irprerna@gmail.com919652934444</v>
      </c>
      <c r="D225" s="16" t="s">
        <v>6963</v>
      </c>
      <c r="E225" s="16" t="s">
        <v>68</v>
      </c>
    </row>
    <row r="226">
      <c r="A226" s="1" t="s">
        <v>3306</v>
      </c>
      <c r="B226" s="15">
        <f>+919810736629</f>
        <v>919810736629</v>
      </c>
      <c r="C226" s="15" t="str">
        <f t="shared" si="1"/>
        <v>ridhima7@gmail.com919810736629</v>
      </c>
      <c r="D226" s="16" t="s">
        <v>6964</v>
      </c>
      <c r="E226" s="16" t="s">
        <v>74</v>
      </c>
    </row>
    <row r="227">
      <c r="A227" s="1" t="s">
        <v>2752</v>
      </c>
      <c r="B227" s="15">
        <f>+919987960414</f>
        <v>919987960414</v>
      </c>
      <c r="C227" s="15" t="str">
        <f t="shared" si="1"/>
        <v>sailidxt22@gmail.com919987960414</v>
      </c>
      <c r="D227" s="16" t="s">
        <v>6965</v>
      </c>
      <c r="E227" s="16" t="s">
        <v>68</v>
      </c>
    </row>
    <row r="228">
      <c r="A228" s="1" t="s">
        <v>3061</v>
      </c>
      <c r="B228" s="15">
        <f>+919990308687</f>
        <v>919990308687</v>
      </c>
      <c r="C228" s="15" t="str">
        <f t="shared" si="1"/>
        <v>varun.vkm@gmail.com919990308687</v>
      </c>
      <c r="D228" s="16" t="s">
        <v>6966</v>
      </c>
      <c r="E228" s="16" t="s">
        <v>68</v>
      </c>
    </row>
    <row r="229">
      <c r="A229" s="1" t="s">
        <v>2474</v>
      </c>
      <c r="B229" s="15">
        <f t="shared" ref="B229:B230" si="30">+916290860709</f>
        <v>916290860709</v>
      </c>
      <c r="C229" s="15" t="str">
        <f t="shared" si="1"/>
        <v>raimap994@gmail.com916290860709</v>
      </c>
      <c r="D229" s="16" t="s">
        <v>6967</v>
      </c>
      <c r="E229" s="16" t="s">
        <v>68</v>
      </c>
    </row>
    <row r="230">
      <c r="A230" s="1" t="s">
        <v>2474</v>
      </c>
      <c r="B230" s="15">
        <f t="shared" si="30"/>
        <v>916290860709</v>
      </c>
      <c r="C230" s="15" t="str">
        <f t="shared" si="1"/>
        <v>raimap994@gmail.com916290860709</v>
      </c>
      <c r="D230" s="16" t="s">
        <v>6968</v>
      </c>
      <c r="E230" s="16" t="s">
        <v>68</v>
      </c>
    </row>
    <row r="231">
      <c r="A231" s="1" t="s">
        <v>4569</v>
      </c>
      <c r="B231" s="15">
        <f>+919823395598</f>
        <v>919823395598</v>
      </c>
      <c r="C231" s="15" t="str">
        <f t="shared" si="1"/>
        <v>rahulraghavan94@gmail.com919823395598</v>
      </c>
      <c r="D231" s="16" t="s">
        <v>6969</v>
      </c>
      <c r="E231" s="16" t="s">
        <v>68</v>
      </c>
    </row>
    <row r="232">
      <c r="A232" s="1" t="s">
        <v>2770</v>
      </c>
      <c r="B232" s="15">
        <f>+919819940660</f>
        <v>919819940660</v>
      </c>
      <c r="C232" s="15" t="str">
        <f t="shared" si="1"/>
        <v>saifsyd92@gmail.com919819940660</v>
      </c>
      <c r="D232" s="16" t="s">
        <v>6970</v>
      </c>
      <c r="E232" s="16" t="s">
        <v>68</v>
      </c>
    </row>
    <row r="233">
      <c r="A233" s="1" t="s">
        <v>5100</v>
      </c>
      <c r="B233" s="15">
        <f>+918971283989</f>
        <v>918971283989</v>
      </c>
      <c r="C233" s="15" t="str">
        <f t="shared" si="1"/>
        <v>prajwalbs76@gmail.com918971283989</v>
      </c>
      <c r="D233" s="16" t="s">
        <v>6971</v>
      </c>
      <c r="E233" s="16" t="s">
        <v>68</v>
      </c>
    </row>
    <row r="234">
      <c r="A234" s="1" t="s">
        <v>5121</v>
      </c>
      <c r="B234" s="15">
        <f>+919920770763</f>
        <v>919920770763</v>
      </c>
      <c r="C234" s="15" t="str">
        <f t="shared" si="1"/>
        <v>capt_prerna@yahoo.com919920770763</v>
      </c>
      <c r="D234" s="16" t="s">
        <v>6972</v>
      </c>
      <c r="E234" s="16" t="s">
        <v>68</v>
      </c>
    </row>
    <row r="235">
      <c r="A235" s="1" t="s">
        <v>5973</v>
      </c>
      <c r="B235" s="15">
        <f t="shared" ref="B235:B236" si="31">+918610733174</f>
        <v>918610733174</v>
      </c>
      <c r="C235" s="15" t="str">
        <f t="shared" si="1"/>
        <v>vickiejerry94@gmail.com918610733174</v>
      </c>
      <c r="D235" s="16" t="s">
        <v>6973</v>
      </c>
      <c r="E235" s="16" t="s">
        <v>74</v>
      </c>
    </row>
    <row r="236">
      <c r="A236" s="1" t="s">
        <v>5973</v>
      </c>
      <c r="B236" s="15">
        <f t="shared" si="31"/>
        <v>918610733174</v>
      </c>
      <c r="C236" s="15" t="str">
        <f t="shared" si="1"/>
        <v>vickiejerry94@gmail.com918610733174</v>
      </c>
      <c r="D236" s="16" t="s">
        <v>6974</v>
      </c>
      <c r="E236" s="16" t="s">
        <v>74</v>
      </c>
    </row>
    <row r="237">
      <c r="A237" s="1" t="s">
        <v>6975</v>
      </c>
      <c r="B237" s="15">
        <f>+917032912188</f>
        <v>917032912188</v>
      </c>
      <c r="C237" s="15" t="str">
        <f t="shared" si="1"/>
        <v>niharika.devagupthapu@gmail.com917032912188</v>
      </c>
      <c r="D237" s="16" t="s">
        <v>6976</v>
      </c>
      <c r="E237" s="16" t="s">
        <v>68</v>
      </c>
    </row>
    <row r="238">
      <c r="A238" s="1" t="s">
        <v>5737</v>
      </c>
      <c r="B238" s="15">
        <f>+919000590078</f>
        <v>919000590078</v>
      </c>
      <c r="C238" s="15" t="str">
        <f t="shared" si="1"/>
        <v>prashanthkasthuri@gmail.com919000590078</v>
      </c>
      <c r="D238" s="16" t="s">
        <v>6977</v>
      </c>
      <c r="E238" s="16" t="s">
        <v>68</v>
      </c>
    </row>
    <row r="239">
      <c r="A239" s="1" t="s">
        <v>6978</v>
      </c>
      <c r="B239" s="15">
        <f t="shared" ref="B239:B240" si="32">+917503088726</f>
        <v>917503088726</v>
      </c>
      <c r="C239" s="15" t="str">
        <f t="shared" si="1"/>
        <v>geetasharma72938@gmail.com917503088726</v>
      </c>
      <c r="D239" s="16" t="s">
        <v>6979</v>
      </c>
      <c r="E239" s="16" t="s">
        <v>151</v>
      </c>
    </row>
    <row r="240">
      <c r="A240" s="1" t="s">
        <v>6978</v>
      </c>
      <c r="B240" s="15">
        <f t="shared" si="32"/>
        <v>917503088726</v>
      </c>
      <c r="C240" s="15" t="str">
        <f t="shared" si="1"/>
        <v>geetasharma72938@gmail.com917503088726</v>
      </c>
      <c r="D240" s="16" t="s">
        <v>6980</v>
      </c>
      <c r="E240" s="16" t="s">
        <v>151</v>
      </c>
    </row>
    <row r="241">
      <c r="A241" s="1" t="s">
        <v>5101</v>
      </c>
      <c r="B241" s="15">
        <f>+919999752377</f>
        <v>919999752377</v>
      </c>
      <c r="C241" s="15" t="str">
        <f t="shared" si="1"/>
        <v>samarthchugh99@gmail.com919999752377</v>
      </c>
      <c r="D241" s="16" t="s">
        <v>6981</v>
      </c>
      <c r="E241" s="16" t="s">
        <v>68</v>
      </c>
    </row>
    <row r="242">
      <c r="A242" s="1" t="s">
        <v>4626</v>
      </c>
      <c r="B242" s="15">
        <f>+918511503178</f>
        <v>918511503178</v>
      </c>
      <c r="C242" s="15" t="str">
        <f t="shared" si="1"/>
        <v>prakashd9991@gmail.com918511503178</v>
      </c>
      <c r="D242" s="16" t="s">
        <v>6982</v>
      </c>
      <c r="E242" s="16" t="s">
        <v>74</v>
      </c>
    </row>
    <row r="243">
      <c r="A243" s="1" t="s">
        <v>2458</v>
      </c>
      <c r="B243" s="15">
        <f>+919416173796</f>
        <v>919416173796</v>
      </c>
      <c r="C243" s="15" t="str">
        <f t="shared" si="1"/>
        <v>mahirgupta98@gmail.com919416173796</v>
      </c>
      <c r="D243" s="16" t="s">
        <v>6983</v>
      </c>
      <c r="E243" s="16" t="s">
        <v>68</v>
      </c>
    </row>
    <row r="244">
      <c r="A244" s="1" t="s">
        <v>5329</v>
      </c>
      <c r="B244" s="15">
        <f>+918454989633</f>
        <v>918454989633</v>
      </c>
      <c r="C244" s="15" t="str">
        <f t="shared" si="1"/>
        <v>leenasarode24@gmail.com918454989633</v>
      </c>
      <c r="D244" s="16" t="s">
        <v>6984</v>
      </c>
      <c r="E244" s="16" t="s">
        <v>74</v>
      </c>
    </row>
    <row r="245">
      <c r="A245" s="1" t="s">
        <v>6985</v>
      </c>
      <c r="B245" s="15">
        <f t="shared" ref="B245:B246" si="33">+919776426241</f>
        <v>919776426241</v>
      </c>
      <c r="C245" s="15" t="str">
        <f t="shared" si="1"/>
        <v>sanjit.moh@gmail.com919776426241</v>
      </c>
      <c r="D245" s="16" t="s">
        <v>6986</v>
      </c>
      <c r="E245" s="16" t="s">
        <v>68</v>
      </c>
    </row>
    <row r="246">
      <c r="A246" s="1" t="s">
        <v>6985</v>
      </c>
      <c r="B246" s="15">
        <f t="shared" si="33"/>
        <v>919776426241</v>
      </c>
      <c r="C246" s="15" t="str">
        <f t="shared" si="1"/>
        <v>sanjit.moh@gmail.com919776426241</v>
      </c>
      <c r="D246" s="16" t="s">
        <v>6987</v>
      </c>
      <c r="E246" s="16" t="s">
        <v>68</v>
      </c>
    </row>
    <row r="247">
      <c r="A247" s="1" t="s">
        <v>4570</v>
      </c>
      <c r="B247" s="15">
        <f>+917002297663</f>
        <v>917002297663</v>
      </c>
      <c r="C247" s="15" t="str">
        <f t="shared" si="1"/>
        <v>priyankad.july@gmail.com917002297663</v>
      </c>
      <c r="D247" s="16" t="s">
        <v>6988</v>
      </c>
      <c r="E247" s="16" t="s">
        <v>74</v>
      </c>
    </row>
    <row r="248">
      <c r="A248" s="1" t="s">
        <v>4571</v>
      </c>
      <c r="B248" s="15">
        <f>+918826627323</f>
        <v>918826627323</v>
      </c>
      <c r="C248" s="15" t="str">
        <f t="shared" si="1"/>
        <v>rustagivipul@gmail.com918826627323</v>
      </c>
      <c r="D248" s="16" t="s">
        <v>6989</v>
      </c>
      <c r="E248" s="16" t="s">
        <v>68</v>
      </c>
    </row>
    <row r="249">
      <c r="A249" s="1" t="s">
        <v>6220</v>
      </c>
      <c r="B249" s="15">
        <f>+918208377191</f>
        <v>918208377191</v>
      </c>
      <c r="C249" s="15" t="str">
        <f t="shared" si="1"/>
        <v>aparnaahir@yahoo.com918208377191</v>
      </c>
      <c r="D249" s="16" t="s">
        <v>6990</v>
      </c>
      <c r="E249" s="16" t="s">
        <v>68</v>
      </c>
    </row>
    <row r="250">
      <c r="A250" s="1" t="s">
        <v>5330</v>
      </c>
      <c r="B250" s="15">
        <f>+918319965657</f>
        <v>918319965657</v>
      </c>
      <c r="C250" s="15" t="str">
        <f t="shared" si="1"/>
        <v>sabrigain17@gmail.com918319965657</v>
      </c>
      <c r="D250" s="16" t="s">
        <v>6991</v>
      </c>
      <c r="E250" s="16" t="s">
        <v>68</v>
      </c>
    </row>
    <row r="251">
      <c r="A251" s="1" t="s">
        <v>3335</v>
      </c>
      <c r="B251" s="15">
        <f>+918208545560</f>
        <v>918208545560</v>
      </c>
      <c r="C251" s="15" t="str">
        <f t="shared" si="1"/>
        <v>ankithnair05@gmail.com918208545560</v>
      </c>
      <c r="D251" s="16" t="s">
        <v>6992</v>
      </c>
      <c r="E251" s="16" t="s">
        <v>68</v>
      </c>
    </row>
    <row r="252">
      <c r="A252" s="1" t="s">
        <v>6993</v>
      </c>
      <c r="B252" s="15">
        <f>+918971353765</f>
        <v>918971353765</v>
      </c>
      <c r="C252" s="15" t="str">
        <f t="shared" si="1"/>
        <v>devpushpa@rediffmail.com918971353765</v>
      </c>
      <c r="D252" s="16" t="s">
        <v>6994</v>
      </c>
      <c r="E252" s="16" t="s">
        <v>74</v>
      </c>
    </row>
    <row r="253">
      <c r="A253" s="1" t="s">
        <v>6995</v>
      </c>
      <c r="B253" s="15">
        <f>+919495957272</f>
        <v>919495957272</v>
      </c>
      <c r="C253" s="15" t="str">
        <f t="shared" si="1"/>
        <v>chandyoommen@gmail.com919495957272</v>
      </c>
      <c r="D253" s="16" t="s">
        <v>6996</v>
      </c>
      <c r="E253" s="16" t="s">
        <v>74</v>
      </c>
    </row>
    <row r="254">
      <c r="A254" s="1" t="s">
        <v>5827</v>
      </c>
      <c r="B254" s="15">
        <f>+919980809118</f>
        <v>919980809118</v>
      </c>
      <c r="C254" s="15" t="str">
        <f t="shared" si="1"/>
        <v>rahuldev_sahu@yahoo.com919980809118</v>
      </c>
      <c r="D254" s="16" t="s">
        <v>6997</v>
      </c>
      <c r="E254" s="16" t="s">
        <v>74</v>
      </c>
    </row>
    <row r="255">
      <c r="A255" s="1" t="s">
        <v>6995</v>
      </c>
      <c r="B255" s="15">
        <f>+919495957272</f>
        <v>919495957272</v>
      </c>
      <c r="C255" s="15" t="str">
        <f t="shared" si="1"/>
        <v>chandyoommen@gmail.com919495957272</v>
      </c>
      <c r="D255" s="16" t="s">
        <v>6998</v>
      </c>
      <c r="E255" s="16" t="s">
        <v>74</v>
      </c>
    </row>
    <row r="256">
      <c r="A256" s="1" t="s">
        <v>2748</v>
      </c>
      <c r="B256" s="15">
        <f>+919833482111</f>
        <v>919833482111</v>
      </c>
      <c r="C256" s="15" t="str">
        <f t="shared" si="1"/>
        <v>shoppersadda2020@gmail.com919833482111</v>
      </c>
      <c r="D256" s="16" t="s">
        <v>6999</v>
      </c>
      <c r="E256" s="16" t="s">
        <v>68</v>
      </c>
    </row>
    <row r="257">
      <c r="A257" s="1" t="s">
        <v>4623</v>
      </c>
      <c r="B257" s="15">
        <f>+919099901115</f>
        <v>919099901115</v>
      </c>
      <c r="C257" s="15" t="str">
        <f t="shared" si="1"/>
        <v>krupapanchal1999@gmail.com919099901115</v>
      </c>
      <c r="D257" s="16" t="s">
        <v>7000</v>
      </c>
      <c r="E257" s="16" t="s">
        <v>68</v>
      </c>
    </row>
    <row r="258">
      <c r="A258" s="1" t="s">
        <v>5405</v>
      </c>
      <c r="B258" s="15">
        <f>+918888306660</f>
        <v>918888306660</v>
      </c>
      <c r="C258" s="15" t="str">
        <f t="shared" si="1"/>
        <v>ashwineemodak2006@gmail.com918888306660</v>
      </c>
      <c r="D258" s="16" t="s">
        <v>7001</v>
      </c>
      <c r="E258" s="16" t="s">
        <v>74</v>
      </c>
    </row>
    <row r="259">
      <c r="A259" s="1" t="s">
        <v>6370</v>
      </c>
      <c r="B259" s="15">
        <f t="shared" ref="B259:B260" si="34">+919703710132</f>
        <v>919703710132</v>
      </c>
      <c r="C259" s="15" t="str">
        <f t="shared" si="1"/>
        <v>puramsridharbabu@gmail.com919703710132</v>
      </c>
      <c r="D259" s="16" t="s">
        <v>7002</v>
      </c>
      <c r="E259" s="16" t="s">
        <v>68</v>
      </c>
    </row>
    <row r="260">
      <c r="A260" s="1" t="s">
        <v>6370</v>
      </c>
      <c r="B260" s="15">
        <f t="shared" si="34"/>
        <v>919703710132</v>
      </c>
      <c r="C260" s="15" t="str">
        <f t="shared" si="1"/>
        <v>puramsridharbabu@gmail.com919703710132</v>
      </c>
      <c r="D260" s="16" t="s">
        <v>7003</v>
      </c>
      <c r="E260" s="16" t="s">
        <v>68</v>
      </c>
    </row>
    <row r="261">
      <c r="A261" s="1" t="s">
        <v>2472</v>
      </c>
      <c r="B261" s="15">
        <f>+918547452646</f>
        <v>918547452646</v>
      </c>
      <c r="C261" s="15" t="str">
        <f t="shared" si="1"/>
        <v>ajaypanampet@gmail.com918547452646</v>
      </c>
      <c r="D261" s="16" t="s">
        <v>7004</v>
      </c>
      <c r="E261" s="16" t="s">
        <v>68</v>
      </c>
    </row>
    <row r="262">
      <c r="A262" s="1" t="s">
        <v>2767</v>
      </c>
      <c r="B262" s="15">
        <f>+919619302126</f>
        <v>919619302126</v>
      </c>
      <c r="C262" s="15" t="str">
        <f t="shared" si="1"/>
        <v>nanwanipoonam@gmail.com919619302126</v>
      </c>
      <c r="D262" s="16" t="s">
        <v>7005</v>
      </c>
      <c r="E262" s="16" t="s">
        <v>151</v>
      </c>
    </row>
    <row r="263">
      <c r="A263" s="1" t="s">
        <v>2767</v>
      </c>
      <c r="B263" s="15">
        <f>+917738595010</f>
        <v>917738595010</v>
      </c>
      <c r="C263" s="15" t="str">
        <f t="shared" si="1"/>
        <v>nanwanipoonam@gmail.com917738595010</v>
      </c>
      <c r="D263" s="16" t="s">
        <v>7006</v>
      </c>
      <c r="E263" s="16" t="s">
        <v>68</v>
      </c>
    </row>
    <row r="264">
      <c r="A264" s="1" t="s">
        <v>5326</v>
      </c>
      <c r="B264" s="15">
        <f t="shared" ref="B264:B265" si="35">+919820044067</f>
        <v>919820044067</v>
      </c>
      <c r="C264" s="15" t="str">
        <f t="shared" si="1"/>
        <v>mamta.taliwala2@gmail.com919820044067</v>
      </c>
      <c r="D264" s="16" t="s">
        <v>7007</v>
      </c>
      <c r="E264" s="16" t="s">
        <v>74</v>
      </c>
    </row>
    <row r="265">
      <c r="A265" s="1" t="s">
        <v>5326</v>
      </c>
      <c r="B265" s="15">
        <f t="shared" si="35"/>
        <v>919820044067</v>
      </c>
      <c r="C265" s="15" t="str">
        <f t="shared" si="1"/>
        <v>mamta.taliwala2@gmail.com919820044067</v>
      </c>
      <c r="D265" s="16" t="s">
        <v>7008</v>
      </c>
      <c r="E265" s="16" t="s">
        <v>68</v>
      </c>
    </row>
    <row r="266">
      <c r="A266" s="1" t="s">
        <v>2473</v>
      </c>
      <c r="B266" s="15">
        <f t="shared" ref="B266:B268" si="36">+919071865890</f>
        <v>919071865890</v>
      </c>
      <c r="C266" s="15" t="str">
        <f t="shared" si="1"/>
        <v>ritusmita01@gmail.com919071865890</v>
      </c>
      <c r="D266" s="16" t="s">
        <v>7009</v>
      </c>
      <c r="E266" s="16" t="s">
        <v>68</v>
      </c>
    </row>
    <row r="267">
      <c r="A267" s="1" t="s">
        <v>2473</v>
      </c>
      <c r="B267" s="15">
        <f t="shared" si="36"/>
        <v>919071865890</v>
      </c>
      <c r="C267" s="15" t="str">
        <f t="shared" si="1"/>
        <v>ritusmita01@gmail.com919071865890</v>
      </c>
      <c r="D267" s="16" t="s">
        <v>7010</v>
      </c>
      <c r="E267" s="16" t="s">
        <v>68</v>
      </c>
    </row>
    <row r="268">
      <c r="A268" s="1" t="s">
        <v>2473</v>
      </c>
      <c r="B268" s="15">
        <f t="shared" si="36"/>
        <v>919071865890</v>
      </c>
      <c r="C268" s="15" t="str">
        <f t="shared" si="1"/>
        <v>ritusmita01@gmail.com919071865890</v>
      </c>
      <c r="D268" s="16" t="s">
        <v>7011</v>
      </c>
      <c r="E268" s="16" t="s">
        <v>68</v>
      </c>
    </row>
    <row r="269">
      <c r="A269" s="1" t="s">
        <v>4353</v>
      </c>
      <c r="B269" s="15">
        <f t="shared" ref="B269:B270" si="37">+919620029222</f>
        <v>919620029222</v>
      </c>
      <c r="C269" s="15" t="str">
        <f t="shared" si="1"/>
        <v>venkat247@gmail.com919620029222</v>
      </c>
      <c r="D269" s="16" t="s">
        <v>7012</v>
      </c>
      <c r="E269" s="16" t="s">
        <v>68</v>
      </c>
    </row>
    <row r="270">
      <c r="A270" s="1" t="s">
        <v>4353</v>
      </c>
      <c r="B270" s="15">
        <f t="shared" si="37"/>
        <v>919620029222</v>
      </c>
      <c r="C270" s="15" t="str">
        <f t="shared" si="1"/>
        <v>venkat247@gmail.com919620029222</v>
      </c>
      <c r="D270" s="16" t="s">
        <v>7013</v>
      </c>
      <c r="E270" s="16" t="s">
        <v>68</v>
      </c>
    </row>
    <row r="271">
      <c r="A271" s="1" t="s">
        <v>5734</v>
      </c>
      <c r="B271" s="15">
        <f>+917021536708</f>
        <v>917021536708</v>
      </c>
      <c r="C271" s="15" t="str">
        <f t="shared" si="1"/>
        <v>ramana.saps4hana@gmail.com917021536708</v>
      </c>
      <c r="D271" s="16" t="s">
        <v>7014</v>
      </c>
      <c r="E271" s="16" t="s">
        <v>68</v>
      </c>
    </row>
    <row r="272">
      <c r="A272" s="1" t="s">
        <v>3305</v>
      </c>
      <c r="B272" s="15">
        <f>+917708066310</f>
        <v>917708066310</v>
      </c>
      <c r="C272" s="15" t="str">
        <f t="shared" si="1"/>
        <v>harinsrini@gmail.com917708066310</v>
      </c>
      <c r="D272" s="16" t="s">
        <v>7015</v>
      </c>
      <c r="E272" s="16" t="s">
        <v>68</v>
      </c>
    </row>
    <row r="273">
      <c r="A273" s="1" t="s">
        <v>2709</v>
      </c>
      <c r="B273" s="15">
        <f>+919677373660</f>
        <v>919677373660</v>
      </c>
      <c r="C273" s="15" t="str">
        <f t="shared" si="1"/>
        <v>toprpr@gmail.com919677373660</v>
      </c>
      <c r="D273" s="16" t="s">
        <v>7016</v>
      </c>
      <c r="E273" s="16" t="s">
        <v>68</v>
      </c>
    </row>
    <row r="274">
      <c r="A274" s="1" t="s">
        <v>5823</v>
      </c>
      <c r="B274" s="15">
        <f>+919871365510</f>
        <v>919871365510</v>
      </c>
      <c r="C274" s="15" t="str">
        <f t="shared" si="1"/>
        <v>chugharleen@gmail.com919871365510</v>
      </c>
      <c r="D274" s="16" t="s">
        <v>7017</v>
      </c>
      <c r="E274" s="16" t="s">
        <v>74</v>
      </c>
    </row>
    <row r="275">
      <c r="A275" s="1" t="s">
        <v>7018</v>
      </c>
      <c r="B275" s="15">
        <f>+919324526724</f>
        <v>919324526724</v>
      </c>
      <c r="C275" s="15" t="str">
        <f t="shared" si="1"/>
        <v>ameya@paradigmplus.in919324526724</v>
      </c>
      <c r="D275" s="16" t="s">
        <v>7019</v>
      </c>
      <c r="E275" s="16" t="s">
        <v>74</v>
      </c>
    </row>
    <row r="276">
      <c r="A276" s="1" t="s">
        <v>2749</v>
      </c>
      <c r="B276" s="15">
        <f>+919819422902</f>
        <v>919819422902</v>
      </c>
      <c r="C276" s="15" t="str">
        <f t="shared" si="1"/>
        <v>ritusky2@gmail.com919819422902</v>
      </c>
      <c r="D276" s="16" t="s">
        <v>7020</v>
      </c>
      <c r="E276" s="16" t="s">
        <v>74</v>
      </c>
    </row>
    <row r="277">
      <c r="A277" s="1" t="s">
        <v>2768</v>
      </c>
      <c r="B277" s="15">
        <f>+919868133035</f>
        <v>919868133035</v>
      </c>
      <c r="C277" s="15" t="str">
        <f t="shared" si="1"/>
        <v>anjalityagi2014@gmail.com919868133035</v>
      </c>
      <c r="D277" s="16" t="s">
        <v>7021</v>
      </c>
      <c r="E277" s="16" t="s">
        <v>68</v>
      </c>
    </row>
    <row r="278">
      <c r="A278" s="1" t="s">
        <v>2750</v>
      </c>
      <c r="B278" s="15">
        <f>+917708930197</f>
        <v>917708930197</v>
      </c>
      <c r="C278" s="15" t="str">
        <f t="shared" si="1"/>
        <v>jm.2907@gmail.com917708930197</v>
      </c>
      <c r="D278" s="16" t="s">
        <v>7022</v>
      </c>
      <c r="E278" s="16" t="s">
        <v>74</v>
      </c>
    </row>
    <row r="279">
      <c r="A279" s="1" t="s">
        <v>4624</v>
      </c>
      <c r="B279" s="15">
        <f>+918956586014</f>
        <v>918956586014</v>
      </c>
      <c r="C279" s="15" t="str">
        <f t="shared" si="1"/>
        <v>aritrikap123@gmail.com918956586014</v>
      </c>
      <c r="D279" s="16" t="s">
        <v>7023</v>
      </c>
      <c r="E279" s="16" t="s">
        <v>68</v>
      </c>
    </row>
    <row r="280">
      <c r="A280" s="1" t="s">
        <v>2769</v>
      </c>
      <c r="B280" s="15">
        <f>+918978112244</f>
        <v>918978112244</v>
      </c>
      <c r="C280" s="15" t="str">
        <f t="shared" si="1"/>
        <v>chethna.p@gmail.com918978112244</v>
      </c>
      <c r="D280" s="16" t="s">
        <v>7024</v>
      </c>
      <c r="E280" s="16" t="s">
        <v>68</v>
      </c>
    </row>
    <row r="281">
      <c r="A281" s="1" t="s">
        <v>3333</v>
      </c>
      <c r="B281" s="15">
        <f>+918318936170</f>
        <v>918318936170</v>
      </c>
      <c r="C281" s="15" t="str">
        <f t="shared" si="1"/>
        <v>omi.sini.7492@gmail.com918318936170</v>
      </c>
      <c r="D281" s="16" t="s">
        <v>7025</v>
      </c>
      <c r="E281" s="16" t="s">
        <v>68</v>
      </c>
    </row>
    <row r="282">
      <c r="A282" s="1" t="s">
        <v>6218</v>
      </c>
      <c r="B282" s="15">
        <f>+919560256001</f>
        <v>919560256001</v>
      </c>
      <c r="C282" s="15" t="str">
        <f t="shared" si="1"/>
        <v>preeti.manchanda74@gmail.com919560256001</v>
      </c>
      <c r="D282" s="16" t="s">
        <v>7026</v>
      </c>
      <c r="E282" s="16" t="s">
        <v>68</v>
      </c>
    </row>
    <row r="283">
      <c r="A283" s="1" t="s">
        <v>7027</v>
      </c>
      <c r="B283" s="15">
        <f t="shared" ref="B283:B287" si="38">+919982671205</f>
        <v>919982671205</v>
      </c>
      <c r="C283" s="15" t="str">
        <f t="shared" si="1"/>
        <v>ashok.jeenwal@gmail.com919982671205</v>
      </c>
      <c r="D283" s="16" t="s">
        <v>7028</v>
      </c>
      <c r="E283" s="16" t="s">
        <v>74</v>
      </c>
    </row>
    <row r="284">
      <c r="A284" s="1" t="s">
        <v>7027</v>
      </c>
      <c r="B284" s="15">
        <f t="shared" si="38"/>
        <v>919982671205</v>
      </c>
      <c r="C284" s="15" t="str">
        <f t="shared" si="1"/>
        <v>ashok.jeenwal@gmail.com919982671205</v>
      </c>
      <c r="D284" s="16" t="s">
        <v>7029</v>
      </c>
      <c r="E284" s="16" t="s">
        <v>74</v>
      </c>
    </row>
    <row r="285">
      <c r="A285" s="1" t="s">
        <v>7027</v>
      </c>
      <c r="B285" s="15">
        <f t="shared" si="38"/>
        <v>919982671205</v>
      </c>
      <c r="C285" s="15" t="str">
        <f t="shared" si="1"/>
        <v>ashok.jeenwal@gmail.com919982671205</v>
      </c>
      <c r="D285" s="16" t="s">
        <v>7030</v>
      </c>
      <c r="E285" s="16" t="s">
        <v>74</v>
      </c>
    </row>
    <row r="286">
      <c r="A286" s="1" t="s">
        <v>7027</v>
      </c>
      <c r="B286" s="15">
        <f t="shared" si="38"/>
        <v>919982671205</v>
      </c>
      <c r="C286" s="15" t="str">
        <f t="shared" si="1"/>
        <v>ashok.jeenwal@gmail.com919982671205</v>
      </c>
      <c r="D286" s="16" t="s">
        <v>7031</v>
      </c>
      <c r="E286" s="16" t="s">
        <v>74</v>
      </c>
    </row>
    <row r="287">
      <c r="A287" s="1" t="s">
        <v>7027</v>
      </c>
      <c r="B287" s="15">
        <f t="shared" si="38"/>
        <v>919982671205</v>
      </c>
      <c r="C287" s="15" t="str">
        <f t="shared" si="1"/>
        <v>ashok.jeenwal@gmail.com919982671205</v>
      </c>
      <c r="D287" s="16" t="s">
        <v>7032</v>
      </c>
      <c r="E287" s="16" t="s">
        <v>74</v>
      </c>
    </row>
    <row r="288">
      <c r="A288" s="1" t="s">
        <v>7033</v>
      </c>
      <c r="B288" s="15">
        <f>+917507048718</f>
        <v>917507048718</v>
      </c>
      <c r="C288" s="15" t="str">
        <f t="shared" si="1"/>
        <v>gautami.gangawane30@gmail.com917507048718</v>
      </c>
      <c r="D288" s="16" t="s">
        <v>7034</v>
      </c>
      <c r="E288" s="16" t="s">
        <v>68</v>
      </c>
    </row>
    <row r="289">
      <c r="A289" s="1" t="s">
        <v>4625</v>
      </c>
      <c r="B289" s="15">
        <f>+919512047001</f>
        <v>919512047001</v>
      </c>
      <c r="C289" s="15" t="str">
        <f t="shared" si="1"/>
        <v>sarjitchoksi950@gmail.com919512047001</v>
      </c>
      <c r="D289" s="16" t="s">
        <v>7035</v>
      </c>
      <c r="E289" s="16" t="s">
        <v>74</v>
      </c>
    </row>
    <row r="290">
      <c r="A290" s="1" t="s">
        <v>7036</v>
      </c>
      <c r="B290" s="15">
        <f>+919429029078</f>
        <v>919429029078</v>
      </c>
      <c r="C290" s="15" t="str">
        <f t="shared" si="1"/>
        <v>kansarakomal@gmail.com919429029078</v>
      </c>
      <c r="D290" s="16" t="s">
        <v>7037</v>
      </c>
      <c r="E290" s="16" t="s">
        <v>68</v>
      </c>
    </row>
    <row r="291">
      <c r="A291" s="1" t="s">
        <v>4566</v>
      </c>
      <c r="B291" s="15">
        <f>+919980191207</f>
        <v>919980191207</v>
      </c>
      <c r="C291" s="15" t="str">
        <f t="shared" si="1"/>
        <v>shirisha.yadav@gmail.com919980191207</v>
      </c>
      <c r="D291" s="16" t="s">
        <v>7038</v>
      </c>
      <c r="E291" s="16" t="s">
        <v>68</v>
      </c>
    </row>
    <row r="292">
      <c r="A292" s="1" t="s">
        <v>4567</v>
      </c>
      <c r="B292" s="15">
        <f t="shared" ref="B292:B293" si="39">+919873643575</f>
        <v>919873643575</v>
      </c>
      <c r="C292" s="15" t="str">
        <f t="shared" si="1"/>
        <v>sksurendraiitb3@gmail.com919873643575</v>
      </c>
      <c r="D292" s="16" t="s">
        <v>7039</v>
      </c>
      <c r="E292" s="16" t="s">
        <v>151</v>
      </c>
    </row>
    <row r="293">
      <c r="A293" s="1" t="s">
        <v>4567</v>
      </c>
      <c r="B293" s="15">
        <f t="shared" si="39"/>
        <v>919873643575</v>
      </c>
      <c r="C293" s="15" t="str">
        <f t="shared" si="1"/>
        <v>sksurendraiitb3@gmail.com919873643575</v>
      </c>
      <c r="D293" s="16" t="s">
        <v>7040</v>
      </c>
      <c r="E293" s="16" t="s">
        <v>151</v>
      </c>
    </row>
    <row r="294">
      <c r="A294" s="1" t="s">
        <v>5735</v>
      </c>
      <c r="B294" s="15">
        <f>+919967317033</f>
        <v>919967317033</v>
      </c>
      <c r="C294" s="15" t="str">
        <f t="shared" si="1"/>
        <v>guptaravi374@gmail.com919967317033</v>
      </c>
      <c r="D294" s="16" t="s">
        <v>7041</v>
      </c>
      <c r="E294" s="16" t="s">
        <v>74</v>
      </c>
    </row>
    <row r="295">
      <c r="A295" s="1" t="s">
        <v>5711</v>
      </c>
      <c r="B295" s="15">
        <f>+917042102011</f>
        <v>917042102011</v>
      </c>
      <c r="C295" s="15" t="str">
        <f t="shared" si="1"/>
        <v>pallavi@alokindustries.com917042102011</v>
      </c>
      <c r="D295" s="16" t="s">
        <v>7042</v>
      </c>
      <c r="E295" s="16" t="s">
        <v>97</v>
      </c>
    </row>
    <row r="296">
      <c r="A296" s="1" t="s">
        <v>2751</v>
      </c>
      <c r="B296" s="15">
        <f>+919811834466</f>
        <v>919811834466</v>
      </c>
      <c r="C296" s="15" t="str">
        <f t="shared" si="1"/>
        <v>chavibehl@gmail.com919811834466</v>
      </c>
      <c r="D296" s="16" t="s">
        <v>7043</v>
      </c>
      <c r="E296" s="16" t="s">
        <v>68</v>
      </c>
    </row>
    <row r="297">
      <c r="A297" s="1" t="s">
        <v>6859</v>
      </c>
      <c r="B297" s="15">
        <f>+919605856374</f>
        <v>919605856374</v>
      </c>
      <c r="C297" s="15" t="str">
        <f t="shared" si="1"/>
        <v>jeninreji@gmail.com919605856374</v>
      </c>
      <c r="D297" s="16" t="s">
        <v>7044</v>
      </c>
      <c r="E297" s="16" t="s">
        <v>68</v>
      </c>
    </row>
    <row r="298">
      <c r="A298" s="1" t="s">
        <v>5825</v>
      </c>
      <c r="B298" s="15">
        <f>+918627846157</f>
        <v>918627846157</v>
      </c>
      <c r="C298" s="15" t="str">
        <f t="shared" si="1"/>
        <v>kaushalavantika15@gmail.com918627846157</v>
      </c>
      <c r="D298" s="16" t="s">
        <v>7045</v>
      </c>
      <c r="E298" s="16" t="s">
        <v>68</v>
      </c>
    </row>
    <row r="299">
      <c r="A299" s="1" t="s">
        <v>3334</v>
      </c>
      <c r="B299" s="15">
        <f>+919815342594</f>
        <v>919815342594</v>
      </c>
      <c r="C299" s="15" t="str">
        <f t="shared" si="1"/>
        <v>sonalghai24@gmail.com919815342594</v>
      </c>
      <c r="D299" s="16" t="s">
        <v>7046</v>
      </c>
      <c r="E299" s="16" t="s">
        <v>74</v>
      </c>
    </row>
    <row r="300">
      <c r="A300" s="1" t="s">
        <v>5328</v>
      </c>
      <c r="B300" s="15">
        <f>+918779493309</f>
        <v>918779493309</v>
      </c>
      <c r="C300" s="15" t="str">
        <f t="shared" si="1"/>
        <v>blessypvgeorge@gmail.com918779493309</v>
      </c>
      <c r="D300" s="16" t="s">
        <v>7047</v>
      </c>
      <c r="E300" s="16" t="s">
        <v>68</v>
      </c>
    </row>
    <row r="301">
      <c r="A301" s="1" t="s">
        <v>5168</v>
      </c>
      <c r="B301" s="15">
        <f>+919911380600</f>
        <v>919911380600</v>
      </c>
      <c r="C301" s="15" t="str">
        <f t="shared" si="1"/>
        <v>tuliruchika89@gmail.com919911380600</v>
      </c>
      <c r="D301" s="16" t="s">
        <v>7048</v>
      </c>
      <c r="E301" s="16" t="s">
        <v>68</v>
      </c>
    </row>
    <row r="302">
      <c r="A302" s="1" t="s">
        <v>5736</v>
      </c>
      <c r="B302" s="15">
        <f>+919703030473</f>
        <v>919703030473</v>
      </c>
      <c r="C302" s="15" t="str">
        <f t="shared" si="1"/>
        <v>ashwinraod@gmail.com919703030473</v>
      </c>
      <c r="D302" s="16" t="s">
        <v>7049</v>
      </c>
      <c r="E302" s="16" t="s">
        <v>68</v>
      </c>
    </row>
    <row r="303">
      <c r="A303" s="1" t="s">
        <v>2710</v>
      </c>
      <c r="B303" s="15">
        <f>+918198012777</f>
        <v>918198012777</v>
      </c>
      <c r="C303" s="15" t="str">
        <f t="shared" si="1"/>
        <v>amanvashist@gmail.com918198012777</v>
      </c>
      <c r="D303" s="16" t="s">
        <v>7050</v>
      </c>
      <c r="E303" s="16" t="s">
        <v>68</v>
      </c>
    </row>
    <row r="304">
      <c r="A304" s="1" t="s">
        <v>5826</v>
      </c>
      <c r="B304" s="15">
        <f>+918279464936</f>
        <v>918279464936</v>
      </c>
      <c r="C304" s="15" t="str">
        <f t="shared" si="1"/>
        <v>manleenk07@gmail.com918279464936</v>
      </c>
      <c r="D304" s="16" t="s">
        <v>7051</v>
      </c>
      <c r="E304" s="16" t="s">
        <v>68</v>
      </c>
    </row>
    <row r="305">
      <c r="A305" s="1" t="s">
        <v>5451</v>
      </c>
      <c r="B305" s="15">
        <f>+918001976830</f>
        <v>918001976830</v>
      </c>
      <c r="C305" s="15" t="str">
        <f t="shared" si="1"/>
        <v>gourab93dey@gmail.com918001976830</v>
      </c>
      <c r="D305" s="16" t="s">
        <v>7052</v>
      </c>
      <c r="E305" s="16" t="s">
        <v>151</v>
      </c>
    </row>
    <row r="306">
      <c r="A306" s="1" t="s">
        <v>3775</v>
      </c>
      <c r="B306" s="15">
        <f t="shared" ref="B306:B307" si="40">+917675899818</f>
        <v>917675899818</v>
      </c>
      <c r="C306" s="15" t="str">
        <f t="shared" si="1"/>
        <v>tech.tejesh76@gmail.com917675899818</v>
      </c>
      <c r="D306" s="16" t="s">
        <v>7053</v>
      </c>
      <c r="E306" s="16" t="s">
        <v>68</v>
      </c>
    </row>
    <row r="307">
      <c r="A307" s="1" t="s">
        <v>3775</v>
      </c>
      <c r="B307" s="15">
        <f t="shared" si="40"/>
        <v>917675899818</v>
      </c>
      <c r="C307" s="15" t="str">
        <f t="shared" si="1"/>
        <v>tech.tejesh76@gmail.com917675899818</v>
      </c>
      <c r="D307" s="16" t="s">
        <v>7054</v>
      </c>
      <c r="E307" s="16" t="s">
        <v>68</v>
      </c>
    </row>
    <row r="308">
      <c r="A308" s="1" t="s">
        <v>5122</v>
      </c>
      <c r="B308" s="15">
        <f>+919885021219</f>
        <v>919885021219</v>
      </c>
      <c r="C308" s="15" t="str">
        <f t="shared" si="1"/>
        <v>nehasingh.vijayrajindia@gmail.com919885021219</v>
      </c>
      <c r="D308" s="16" t="s">
        <v>7055</v>
      </c>
      <c r="E308" s="16" t="s">
        <v>74</v>
      </c>
    </row>
    <row r="309">
      <c r="A309" s="1" t="s">
        <v>5406</v>
      </c>
      <c r="B309" s="15">
        <f>+919788178548</f>
        <v>919788178548</v>
      </c>
      <c r="C309" s="15" t="str">
        <f t="shared" si="1"/>
        <v>gowsisekar.29@yahoo.com919788178548</v>
      </c>
      <c r="D309" s="16" t="s">
        <v>7056</v>
      </c>
      <c r="E309" s="16" t="s">
        <v>68</v>
      </c>
    </row>
    <row r="310">
      <c r="A310" s="1" t="s">
        <v>5096</v>
      </c>
      <c r="B310" s="15">
        <f>+918097012720</f>
        <v>918097012720</v>
      </c>
      <c r="C310" s="15" t="str">
        <f t="shared" si="1"/>
        <v>anushka51200@gmail.com918097012720</v>
      </c>
      <c r="D310" s="16" t="s">
        <v>7057</v>
      </c>
      <c r="E310" s="16" t="s">
        <v>68</v>
      </c>
    </row>
    <row r="311">
      <c r="A311" s="1" t="s">
        <v>5741</v>
      </c>
      <c r="B311" s="15">
        <f>+917204595392</f>
        <v>917204595392</v>
      </c>
      <c r="C311" s="15" t="str">
        <f t="shared" si="1"/>
        <v>kulkarnikaustubh017@gmail.com917204595392</v>
      </c>
      <c r="D311" s="16" t="s">
        <v>7058</v>
      </c>
      <c r="E311" s="16" t="s">
        <v>68</v>
      </c>
    </row>
    <row r="312">
      <c r="A312" s="1" t="s">
        <v>4631</v>
      </c>
      <c r="B312" s="15">
        <f>+919769493632</f>
        <v>919769493632</v>
      </c>
      <c r="C312" s="15" t="str">
        <f t="shared" si="1"/>
        <v>connect@tejassarvankar.com919769493632</v>
      </c>
      <c r="D312" s="16" t="s">
        <v>7059</v>
      </c>
      <c r="E312" s="16" t="s">
        <v>68</v>
      </c>
    </row>
    <row r="313">
      <c r="A313" s="1" t="s">
        <v>2753</v>
      </c>
      <c r="B313" s="15">
        <f>+919742366473</f>
        <v>919742366473</v>
      </c>
      <c r="C313" s="15" t="str">
        <f t="shared" si="1"/>
        <v>sheensimon33@gmail.com919742366473</v>
      </c>
      <c r="D313" s="16" t="s">
        <v>7060</v>
      </c>
      <c r="E313" s="16" t="s">
        <v>68</v>
      </c>
    </row>
    <row r="314">
      <c r="A314" s="1" t="s">
        <v>7061</v>
      </c>
      <c r="B314" s="15">
        <f>+919892050530</f>
        <v>919892050530</v>
      </c>
      <c r="C314" s="15" t="str">
        <f t="shared" si="1"/>
        <v>monasanghvi79@gmail.com919892050530</v>
      </c>
      <c r="D314" s="16" t="s">
        <v>7062</v>
      </c>
      <c r="E314" s="16" t="s">
        <v>68</v>
      </c>
    </row>
    <row r="315">
      <c r="A315" s="1" t="s">
        <v>2818</v>
      </c>
      <c r="B315" s="15">
        <f>+919861041424</f>
        <v>919861041424</v>
      </c>
      <c r="C315" s="15" t="str">
        <f t="shared" si="1"/>
        <v>adyaanuragdas@gmail.com919861041424</v>
      </c>
      <c r="D315" s="16" t="s">
        <v>7063</v>
      </c>
      <c r="E315" s="16" t="s">
        <v>68</v>
      </c>
    </row>
    <row r="316">
      <c r="A316" s="1" t="s">
        <v>5738</v>
      </c>
      <c r="B316" s="15">
        <f t="shared" ref="B316:B317" si="41">+919873108915</f>
        <v>919873108915</v>
      </c>
      <c r="C316" s="15" t="str">
        <f t="shared" si="1"/>
        <v>aveshmishra345@gmail.com919873108915</v>
      </c>
      <c r="D316" s="16" t="s">
        <v>7064</v>
      </c>
      <c r="E316" s="16" t="s">
        <v>68</v>
      </c>
    </row>
    <row r="317">
      <c r="A317" s="1" t="s">
        <v>5738</v>
      </c>
      <c r="B317" s="15">
        <f t="shared" si="41"/>
        <v>919873108915</v>
      </c>
      <c r="C317" s="15" t="str">
        <f t="shared" si="1"/>
        <v>aveshmishra345@gmail.com919873108915</v>
      </c>
      <c r="D317" s="16" t="s">
        <v>7065</v>
      </c>
      <c r="E317" s="16" t="s">
        <v>68</v>
      </c>
    </row>
    <row r="318">
      <c r="A318" s="1" t="s">
        <v>5332</v>
      </c>
      <c r="B318" s="15">
        <f>+916281238063</f>
        <v>916281238063</v>
      </c>
      <c r="C318" s="15" t="str">
        <f t="shared" si="1"/>
        <v>princezzmaahi45@gmail.com916281238063</v>
      </c>
      <c r="D318" s="16" t="s">
        <v>7066</v>
      </c>
      <c r="E318" s="16" t="s">
        <v>68</v>
      </c>
    </row>
    <row r="319">
      <c r="A319" s="1" t="s">
        <v>7067</v>
      </c>
      <c r="B319" s="15">
        <f>+919654783140</f>
        <v>919654783140</v>
      </c>
      <c r="C319" s="15" t="str">
        <f t="shared" si="1"/>
        <v>ashok_anand000@yahoo.co.in919654783140</v>
      </c>
      <c r="D319" s="16" t="s">
        <v>7068</v>
      </c>
      <c r="E319" s="16" t="s">
        <v>74</v>
      </c>
    </row>
    <row r="320">
      <c r="A320" s="1" t="s">
        <v>4888</v>
      </c>
      <c r="B320" s="15">
        <f>+918852549108</f>
        <v>918852549108</v>
      </c>
      <c r="C320" s="15" t="str">
        <f t="shared" si="1"/>
        <v>devilsheel@gmail.com918852549108</v>
      </c>
      <c r="D320" s="16" t="s">
        <v>7069</v>
      </c>
      <c r="E320" s="16" t="s">
        <v>68</v>
      </c>
    </row>
    <row r="321">
      <c r="A321" s="1" t="s">
        <v>5830</v>
      </c>
      <c r="B321" s="15">
        <f>+917977507964</f>
        <v>917977507964</v>
      </c>
      <c r="C321" s="15" t="str">
        <f t="shared" si="1"/>
        <v>kenashah204@gmail.com917977507964</v>
      </c>
      <c r="D321" s="16" t="s">
        <v>7070</v>
      </c>
      <c r="E321" s="16" t="s">
        <v>68</v>
      </c>
    </row>
    <row r="322">
      <c r="A322" s="1" t="s">
        <v>5095</v>
      </c>
      <c r="B322" s="15">
        <f>+919074278580</f>
        <v>919074278580</v>
      </c>
      <c r="C322" s="15" t="str">
        <f t="shared" si="1"/>
        <v>meclinejosefl@gmail.com919074278580</v>
      </c>
      <c r="D322" s="16" t="s">
        <v>7071</v>
      </c>
      <c r="E322" s="16" t="s">
        <v>68</v>
      </c>
    </row>
    <row r="323">
      <c r="A323" s="1" t="s">
        <v>6492</v>
      </c>
      <c r="B323" s="15">
        <f t="shared" ref="B323:B327" si="42">+919892190142</f>
        <v>919892190142</v>
      </c>
      <c r="C323" s="15" t="str">
        <f t="shared" si="1"/>
        <v>piyu30mamta@gmail.com919892190142</v>
      </c>
      <c r="D323" s="16" t="s">
        <v>7072</v>
      </c>
      <c r="E323" s="16" t="s">
        <v>151</v>
      </c>
    </row>
    <row r="324">
      <c r="A324" s="1" t="s">
        <v>6492</v>
      </c>
      <c r="B324" s="15">
        <f t="shared" si="42"/>
        <v>919892190142</v>
      </c>
      <c r="C324" s="15" t="str">
        <f t="shared" si="1"/>
        <v>piyu30mamta@gmail.com919892190142</v>
      </c>
      <c r="D324" s="16" t="s">
        <v>7073</v>
      </c>
      <c r="E324" s="16" t="s">
        <v>151</v>
      </c>
    </row>
    <row r="325">
      <c r="A325" s="1" t="s">
        <v>6492</v>
      </c>
      <c r="B325" s="15">
        <f t="shared" si="42"/>
        <v>919892190142</v>
      </c>
      <c r="C325" s="15" t="str">
        <f t="shared" si="1"/>
        <v>piyu30mamta@gmail.com919892190142</v>
      </c>
      <c r="D325" s="16" t="s">
        <v>7074</v>
      </c>
      <c r="E325" s="16" t="s">
        <v>151</v>
      </c>
    </row>
    <row r="326">
      <c r="A326" s="1" t="s">
        <v>6492</v>
      </c>
      <c r="B326" s="15">
        <f t="shared" si="42"/>
        <v>919892190142</v>
      </c>
      <c r="C326" s="15" t="str">
        <f t="shared" si="1"/>
        <v>piyu30mamta@gmail.com919892190142</v>
      </c>
      <c r="D326" s="16" t="s">
        <v>7075</v>
      </c>
      <c r="E326" s="16" t="s">
        <v>151</v>
      </c>
    </row>
    <row r="327">
      <c r="A327" s="1" t="s">
        <v>6492</v>
      </c>
      <c r="B327" s="15">
        <f t="shared" si="42"/>
        <v>919892190142</v>
      </c>
      <c r="C327" s="15" t="str">
        <f t="shared" si="1"/>
        <v>piyu30mamta@gmail.com919892190142</v>
      </c>
      <c r="D327" s="16" t="s">
        <v>7076</v>
      </c>
      <c r="E327" s="16" t="s">
        <v>74</v>
      </c>
    </row>
    <row r="328">
      <c r="A328" s="1" t="s">
        <v>3063</v>
      </c>
      <c r="B328" s="15">
        <f>+918940161192</f>
        <v>918940161192</v>
      </c>
      <c r="C328" s="15" t="str">
        <f t="shared" si="1"/>
        <v>srinidhiisriram712@gmail.com918940161192</v>
      </c>
      <c r="D328" s="16" t="s">
        <v>7077</v>
      </c>
      <c r="E328" s="16" t="s">
        <v>68</v>
      </c>
    </row>
    <row r="329">
      <c r="A329" s="1" t="s">
        <v>3336</v>
      </c>
      <c r="B329" s="15">
        <f>+919567535747</f>
        <v>919567535747</v>
      </c>
      <c r="C329" s="15" t="str">
        <f t="shared" si="1"/>
        <v>shyamjithuralath2211@gmail.com919567535747</v>
      </c>
      <c r="D329" s="16" t="s">
        <v>7078</v>
      </c>
      <c r="E329" s="16" t="s">
        <v>68</v>
      </c>
    </row>
    <row r="330">
      <c r="A330" s="1" t="s">
        <v>7079</v>
      </c>
      <c r="B330" s="15">
        <f>+919871507426</f>
        <v>919871507426</v>
      </c>
      <c r="C330" s="15" t="str">
        <f t="shared" si="1"/>
        <v>lalyogeta8@gmail.com919871507426</v>
      </c>
      <c r="D330" s="16" t="s">
        <v>7080</v>
      </c>
      <c r="E330" s="16" t="s">
        <v>151</v>
      </c>
    </row>
    <row r="331">
      <c r="A331" s="1" t="s">
        <v>7081</v>
      </c>
      <c r="B331" s="15">
        <f>+917618034379</f>
        <v>917618034379</v>
      </c>
      <c r="C331" s="15" t="str">
        <f t="shared" si="1"/>
        <v>adnanafridi000786@gmail.com917618034379</v>
      </c>
      <c r="D331" s="16" t="s">
        <v>7082</v>
      </c>
      <c r="E331" s="16" t="s">
        <v>68</v>
      </c>
    </row>
    <row r="332">
      <c r="A332" s="1" t="s">
        <v>6173</v>
      </c>
      <c r="B332" s="15">
        <f>+919860450668</f>
        <v>919860450668</v>
      </c>
      <c r="C332" s="15" t="str">
        <f t="shared" si="1"/>
        <v>mansun1507@gmail.com919860450668</v>
      </c>
      <c r="D332" s="16" t="s">
        <v>7083</v>
      </c>
      <c r="E332" s="16" t="s">
        <v>68</v>
      </c>
    </row>
    <row r="333">
      <c r="A333" s="1" t="s">
        <v>5831</v>
      </c>
      <c r="B333" s="15">
        <f>+919810038459</f>
        <v>919810038459</v>
      </c>
      <c r="C333" s="15" t="str">
        <f t="shared" si="1"/>
        <v>rajsaini.kumar@gmail.com919810038459</v>
      </c>
      <c r="D333" s="16" t="s">
        <v>7084</v>
      </c>
      <c r="E333" s="16" t="s">
        <v>68</v>
      </c>
    </row>
    <row r="334">
      <c r="A334" s="1" t="s">
        <v>4629</v>
      </c>
      <c r="B334" s="15">
        <f>+919632670331</f>
        <v>919632670331</v>
      </c>
      <c r="C334" s="15" t="str">
        <f t="shared" si="1"/>
        <v>kumar.avinab@yahoo.com919632670331</v>
      </c>
      <c r="D334" s="16" t="s">
        <v>7085</v>
      </c>
      <c r="E334" s="16" t="s">
        <v>151</v>
      </c>
    </row>
    <row r="335">
      <c r="A335" s="1" t="s">
        <v>4344</v>
      </c>
      <c r="B335" s="15">
        <f>+919742197987</f>
        <v>919742197987</v>
      </c>
      <c r="C335" s="15" t="str">
        <f t="shared" si="1"/>
        <v>s.swethadri@gmail.com919742197987</v>
      </c>
      <c r="D335" s="16" t="s">
        <v>7086</v>
      </c>
      <c r="E335" s="16" t="s">
        <v>68</v>
      </c>
    </row>
    <row r="336">
      <c r="A336" s="1" t="s">
        <v>3064</v>
      </c>
      <c r="B336" s="15">
        <f>+918308431044</f>
        <v>918308431044</v>
      </c>
      <c r="C336" s="15" t="str">
        <f t="shared" si="1"/>
        <v>shreyaskamble2019@gmail.com918308431044</v>
      </c>
      <c r="D336" s="16" t="s">
        <v>7087</v>
      </c>
      <c r="E336" s="16" t="s">
        <v>74</v>
      </c>
    </row>
    <row r="337">
      <c r="A337" s="1" t="s">
        <v>4629</v>
      </c>
      <c r="B337" s="15">
        <f>+919632670331</f>
        <v>919632670331</v>
      </c>
      <c r="C337" s="15" t="str">
        <f t="shared" si="1"/>
        <v>kumar.avinab@yahoo.com919632670331</v>
      </c>
      <c r="D337" s="16" t="s">
        <v>7088</v>
      </c>
      <c r="E337" s="16" t="s">
        <v>151</v>
      </c>
    </row>
    <row r="338">
      <c r="A338" s="1" t="s">
        <v>4630</v>
      </c>
      <c r="B338" s="15">
        <f t="shared" ref="B338:B339" si="43">+917389533624</f>
        <v>917389533624</v>
      </c>
      <c r="C338" s="15" t="str">
        <f t="shared" si="1"/>
        <v>jaysingh.1999jay@gmail.com917389533624</v>
      </c>
      <c r="D338" s="16" t="s">
        <v>7089</v>
      </c>
      <c r="E338" s="16" t="s">
        <v>68</v>
      </c>
    </row>
    <row r="339">
      <c r="A339" s="1" t="s">
        <v>4630</v>
      </c>
      <c r="B339" s="15">
        <f t="shared" si="43"/>
        <v>917389533624</v>
      </c>
      <c r="C339" s="15" t="str">
        <f t="shared" si="1"/>
        <v>jaysingh.1999jay@gmail.com917389533624</v>
      </c>
      <c r="D339" s="16" t="s">
        <v>7090</v>
      </c>
      <c r="E339" s="16" t="s">
        <v>68</v>
      </c>
    </row>
    <row r="340">
      <c r="A340" s="1" t="s">
        <v>7091</v>
      </c>
      <c r="B340" s="15">
        <f>+919021982020</f>
        <v>919021982020</v>
      </c>
      <c r="C340" s="15" t="str">
        <f t="shared" si="1"/>
        <v>gulamkhanpathan020@gmail.com919021982020</v>
      </c>
      <c r="D340" s="16" t="s">
        <v>7092</v>
      </c>
      <c r="E340" s="16" t="s">
        <v>97</v>
      </c>
    </row>
    <row r="341">
      <c r="A341" s="1" t="s">
        <v>3065</v>
      </c>
      <c r="B341" s="15">
        <f>+919849373988</f>
        <v>919849373988</v>
      </c>
      <c r="C341" s="15" t="str">
        <f t="shared" si="1"/>
        <v>dbschandana14@gmail.com919849373988</v>
      </c>
      <c r="D341" s="16" t="s">
        <v>7093</v>
      </c>
      <c r="E341" s="16" t="s">
        <v>74</v>
      </c>
    </row>
    <row r="342">
      <c r="A342" s="1" t="s">
        <v>7091</v>
      </c>
      <c r="B342" s="15">
        <f t="shared" ref="B342:B343" si="44">+919021982020</f>
        <v>919021982020</v>
      </c>
      <c r="C342" s="15" t="str">
        <f t="shared" si="1"/>
        <v>gulamkhanpathan020@gmail.com919021982020</v>
      </c>
      <c r="D342" s="16" t="s">
        <v>7094</v>
      </c>
      <c r="E342" s="16" t="s">
        <v>151</v>
      </c>
    </row>
    <row r="343">
      <c r="A343" s="1" t="s">
        <v>7091</v>
      </c>
      <c r="B343" s="15">
        <f t="shared" si="44"/>
        <v>919021982020</v>
      </c>
      <c r="C343" s="15" t="str">
        <f t="shared" si="1"/>
        <v>gulamkhanpathan020@gmail.com919021982020</v>
      </c>
      <c r="D343" s="16" t="s">
        <v>7095</v>
      </c>
      <c r="E343" s="16" t="s">
        <v>151</v>
      </c>
    </row>
    <row r="344">
      <c r="A344" s="1" t="s">
        <v>6493</v>
      </c>
      <c r="B344" s="15">
        <f t="shared" ref="B344:B345" si="45">+919898956482</f>
        <v>919898956482</v>
      </c>
      <c r="C344" s="15" t="str">
        <f t="shared" si="1"/>
        <v>rishiti.rao_11@rediffmail.com919898956482</v>
      </c>
      <c r="D344" s="16" t="s">
        <v>7096</v>
      </c>
      <c r="E344" s="16" t="s">
        <v>151</v>
      </c>
    </row>
    <row r="345">
      <c r="A345" s="1" t="s">
        <v>6493</v>
      </c>
      <c r="B345" s="15">
        <f t="shared" si="45"/>
        <v>919898956482</v>
      </c>
      <c r="C345" s="15" t="str">
        <f t="shared" si="1"/>
        <v>rishiti.rao_11@rediffmail.com919898956482</v>
      </c>
      <c r="D345" s="16" t="s">
        <v>7097</v>
      </c>
      <c r="E345" s="16" t="s">
        <v>74</v>
      </c>
    </row>
    <row r="346">
      <c r="A346" s="1" t="s">
        <v>5959</v>
      </c>
      <c r="B346" s="15">
        <f t="shared" ref="B346:B348" si="46">+919879959719</f>
        <v>919879959719</v>
      </c>
      <c r="C346" s="15" t="str">
        <f t="shared" si="1"/>
        <v>staruchika@gmail.com919879959719</v>
      </c>
      <c r="D346" s="16" t="s">
        <v>7098</v>
      </c>
      <c r="E346" s="16" t="s">
        <v>74</v>
      </c>
    </row>
    <row r="347">
      <c r="A347" s="1" t="s">
        <v>5959</v>
      </c>
      <c r="B347" s="15">
        <f t="shared" si="46"/>
        <v>919879959719</v>
      </c>
      <c r="C347" s="15" t="str">
        <f t="shared" si="1"/>
        <v>staruchika@gmail.com919879959719</v>
      </c>
      <c r="D347" s="16" t="s">
        <v>7099</v>
      </c>
      <c r="E347" s="16" t="s">
        <v>74</v>
      </c>
    </row>
    <row r="348">
      <c r="A348" s="1" t="s">
        <v>5959</v>
      </c>
      <c r="B348" s="15">
        <f t="shared" si="46"/>
        <v>919879959719</v>
      </c>
      <c r="C348" s="15" t="str">
        <f t="shared" si="1"/>
        <v>staruchika@gmail.com919879959719</v>
      </c>
      <c r="D348" s="16" t="s">
        <v>7100</v>
      </c>
      <c r="E348" s="16" t="s">
        <v>74</v>
      </c>
    </row>
    <row r="349">
      <c r="A349" s="1" t="s">
        <v>6321</v>
      </c>
      <c r="B349" s="15">
        <f>+918886237899</f>
        <v>918886237899</v>
      </c>
      <c r="C349" s="15" t="str">
        <f t="shared" si="1"/>
        <v>gladiators.eternity@gmail.com918886237899</v>
      </c>
      <c r="D349" s="16" t="s">
        <v>7101</v>
      </c>
      <c r="E349" s="16" t="s">
        <v>68</v>
      </c>
    </row>
    <row r="350">
      <c r="A350" s="1" t="s">
        <v>7102</v>
      </c>
      <c r="B350" s="15">
        <f>+919146027263</f>
        <v>919146027263</v>
      </c>
      <c r="C350" s="15" t="str">
        <f t="shared" si="1"/>
        <v>aniketkirkan@gmail.com919146027263</v>
      </c>
      <c r="D350" s="16" t="s">
        <v>7103</v>
      </c>
      <c r="E350" s="16" t="s">
        <v>68</v>
      </c>
    </row>
    <row r="351">
      <c r="A351" s="1" t="s">
        <v>7104</v>
      </c>
      <c r="B351" s="15">
        <f t="shared" ref="B351:B352" si="47">+919819930890</f>
        <v>919819930890</v>
      </c>
      <c r="C351" s="15" t="str">
        <f t="shared" si="1"/>
        <v>aishwaryakrishnan1819@gmail.com919819930890</v>
      </c>
      <c r="D351" s="16" t="s">
        <v>7105</v>
      </c>
      <c r="E351" s="16" t="s">
        <v>74</v>
      </c>
    </row>
    <row r="352">
      <c r="A352" s="1" t="s">
        <v>5331</v>
      </c>
      <c r="B352" s="15">
        <f t="shared" si="47"/>
        <v>919819930890</v>
      </c>
      <c r="C352" s="15" t="str">
        <f t="shared" si="1"/>
        <v>hachikocharlie1822@gmail.com919819930890</v>
      </c>
      <c r="D352" s="16" t="s">
        <v>7106</v>
      </c>
      <c r="E352" s="16" t="s">
        <v>68</v>
      </c>
    </row>
    <row r="353">
      <c r="A353" s="1" t="s">
        <v>3287</v>
      </c>
      <c r="B353" s="15">
        <f>+919928017990</f>
        <v>919928017990</v>
      </c>
      <c r="C353" s="15" t="str">
        <f t="shared" si="1"/>
        <v>techp911@gmail.com919928017990</v>
      </c>
      <c r="D353" s="16" t="s">
        <v>7107</v>
      </c>
      <c r="E353" s="16" t="s">
        <v>68</v>
      </c>
    </row>
    <row r="354">
      <c r="A354" s="1" t="s">
        <v>7108</v>
      </c>
      <c r="B354" s="15">
        <f>+917017435702</f>
        <v>917017435702</v>
      </c>
      <c r="C354" s="15" t="str">
        <f t="shared" si="1"/>
        <v>chinmaigoyal7@gmail.com917017435702</v>
      </c>
      <c r="D354" s="16" t="s">
        <v>7109</v>
      </c>
      <c r="E354" s="16" t="s">
        <v>151</v>
      </c>
    </row>
    <row r="355">
      <c r="A355" s="1" t="s">
        <v>5828</v>
      </c>
      <c r="B355" s="15">
        <f>+919346456765</f>
        <v>919346456765</v>
      </c>
      <c r="C355" s="15" t="str">
        <f t="shared" si="1"/>
        <v>vamsiskrisshnaa@gmail.com919346456765</v>
      </c>
      <c r="D355" s="16" t="s">
        <v>7110</v>
      </c>
      <c r="E355" s="16" t="s">
        <v>68</v>
      </c>
    </row>
    <row r="356">
      <c r="A356" s="1" t="s">
        <v>4572</v>
      </c>
      <c r="B356" s="15">
        <f>+919322798720</f>
        <v>919322798720</v>
      </c>
      <c r="C356" s="15" t="str">
        <f t="shared" si="1"/>
        <v>guptamona911@gmail.com919322798720</v>
      </c>
      <c r="D356" s="16" t="s">
        <v>7111</v>
      </c>
      <c r="E356" s="16" t="s">
        <v>74</v>
      </c>
    </row>
    <row r="357">
      <c r="A357" s="1" t="s">
        <v>7112</v>
      </c>
      <c r="B357" s="15">
        <f t="shared" ref="B357:B359" si="48">+918420562779</f>
        <v>918420562779</v>
      </c>
      <c r="C357" s="15" t="str">
        <f t="shared" si="1"/>
        <v>brewertiffany30@gmail.com918420562779</v>
      </c>
      <c r="D357" s="16" t="s">
        <v>7113</v>
      </c>
      <c r="E357" s="16" t="s">
        <v>68</v>
      </c>
    </row>
    <row r="358">
      <c r="A358" s="1" t="s">
        <v>7112</v>
      </c>
      <c r="B358" s="15">
        <f t="shared" si="48"/>
        <v>918420562779</v>
      </c>
      <c r="C358" s="15" t="str">
        <f t="shared" si="1"/>
        <v>brewertiffany30@gmail.com918420562779</v>
      </c>
      <c r="D358" s="16" t="s">
        <v>7114</v>
      </c>
      <c r="E358" s="16" t="s">
        <v>68</v>
      </c>
    </row>
    <row r="359">
      <c r="A359" s="1" t="s">
        <v>7112</v>
      </c>
      <c r="B359" s="15">
        <f t="shared" si="48"/>
        <v>918420562779</v>
      </c>
      <c r="C359" s="15" t="str">
        <f t="shared" si="1"/>
        <v>brewertiffany30@gmail.com918420562779</v>
      </c>
      <c r="D359" s="16" t="s">
        <v>7115</v>
      </c>
      <c r="E359" s="16" t="s">
        <v>68</v>
      </c>
    </row>
    <row r="360">
      <c r="A360" s="1" t="s">
        <v>5829</v>
      </c>
      <c r="B360" s="15">
        <f>+919767251168</f>
        <v>919767251168</v>
      </c>
      <c r="C360" s="15" t="str">
        <f t="shared" si="1"/>
        <v>rashmi.s.sadavarte@gmail.com919767251168</v>
      </c>
      <c r="D360" s="16" t="s">
        <v>7116</v>
      </c>
      <c r="E360" s="16" t="s">
        <v>68</v>
      </c>
    </row>
    <row r="361">
      <c r="A361" s="1" t="s">
        <v>3194</v>
      </c>
      <c r="B361" s="15">
        <f t="shared" ref="B361:B363" si="49">+919902670157</f>
        <v>919902670157</v>
      </c>
      <c r="C361" s="15" t="str">
        <f t="shared" si="1"/>
        <v>sanchit@likeminds.community919902670157</v>
      </c>
      <c r="D361" s="16" t="s">
        <v>7117</v>
      </c>
      <c r="E361" s="16" t="s">
        <v>151</v>
      </c>
    </row>
    <row r="362">
      <c r="A362" s="1" t="s">
        <v>3194</v>
      </c>
      <c r="B362" s="15">
        <f t="shared" si="49"/>
        <v>919902670157</v>
      </c>
      <c r="C362" s="15" t="str">
        <f t="shared" si="1"/>
        <v>sanchit@likeminds.community919902670157</v>
      </c>
      <c r="D362" s="16" t="s">
        <v>7118</v>
      </c>
      <c r="E362" s="16" t="s">
        <v>151</v>
      </c>
    </row>
    <row r="363">
      <c r="A363" s="1" t="s">
        <v>3194</v>
      </c>
      <c r="B363" s="15">
        <f t="shared" si="49"/>
        <v>919902670157</v>
      </c>
      <c r="C363" s="15" t="str">
        <f t="shared" si="1"/>
        <v>sanchit@likeminds.community919902670157</v>
      </c>
      <c r="D363" s="16" t="s">
        <v>7119</v>
      </c>
      <c r="E363" s="16" t="s">
        <v>68</v>
      </c>
    </row>
    <row r="364">
      <c r="A364" s="1" t="s">
        <v>5452</v>
      </c>
      <c r="B364" s="15">
        <f>+918830205595</f>
        <v>918830205595</v>
      </c>
      <c r="C364" s="15" t="str">
        <f t="shared" si="1"/>
        <v>drayeshashah786@gmail.com918830205595</v>
      </c>
      <c r="D364" s="16" t="s">
        <v>7120</v>
      </c>
      <c r="E364" s="16" t="s">
        <v>68</v>
      </c>
    </row>
    <row r="365">
      <c r="A365" s="1" t="s">
        <v>4573</v>
      </c>
      <c r="B365" s="15">
        <f>+919821227594</f>
        <v>919821227594</v>
      </c>
      <c r="C365" s="15" t="str">
        <f t="shared" si="1"/>
        <v>harsha.mehrotra@gmail.com919821227594</v>
      </c>
      <c r="D365" s="16" t="s">
        <v>7121</v>
      </c>
      <c r="E365" s="16" t="s">
        <v>74</v>
      </c>
    </row>
    <row r="366">
      <c r="A366" s="1" t="s">
        <v>6813</v>
      </c>
      <c r="B366" s="15">
        <f>+919599577212</f>
        <v>919599577212</v>
      </c>
      <c r="C366" s="15" t="str">
        <f t="shared" si="1"/>
        <v>rajpreettomar@gmail.com919599577212</v>
      </c>
      <c r="D366" s="16" t="s">
        <v>7122</v>
      </c>
      <c r="E366" s="16" t="s">
        <v>74</v>
      </c>
    </row>
    <row r="367">
      <c r="A367" s="1" t="s">
        <v>5975</v>
      </c>
      <c r="B367" s="15">
        <f>+919582683029</f>
        <v>919582683029</v>
      </c>
      <c r="C367" s="15" t="str">
        <f t="shared" si="1"/>
        <v>iddishapandey@gmail.com919582683029</v>
      </c>
      <c r="D367" s="16" t="s">
        <v>7123</v>
      </c>
      <c r="E367" s="16" t="s">
        <v>68</v>
      </c>
    </row>
    <row r="368">
      <c r="A368" s="1" t="s">
        <v>5453</v>
      </c>
      <c r="B368" s="15">
        <f>+916392121375</f>
        <v>916392121375</v>
      </c>
      <c r="C368" s="15" t="str">
        <f t="shared" si="1"/>
        <v>guptaanand1009@gmail.com916392121375</v>
      </c>
      <c r="D368" s="16" t="s">
        <v>7124</v>
      </c>
      <c r="E368" s="16" t="s">
        <v>68</v>
      </c>
    </row>
    <row r="369">
      <c r="A369" s="1" t="s">
        <v>7125</v>
      </c>
      <c r="B369" s="15">
        <f>+919819455932</f>
        <v>919819455932</v>
      </c>
      <c r="C369" s="15" t="str">
        <f t="shared" si="1"/>
        <v>c.priyanka16@gmail.com919819455932</v>
      </c>
      <c r="D369" s="16" t="s">
        <v>7126</v>
      </c>
      <c r="E369" s="16" t="s">
        <v>68</v>
      </c>
    </row>
    <row r="370">
      <c r="A370" s="1" t="s">
        <v>6813</v>
      </c>
      <c r="B370" s="15">
        <f t="shared" ref="B370:B371" si="50">+919599577212</f>
        <v>919599577212</v>
      </c>
      <c r="C370" s="15" t="str">
        <f t="shared" si="1"/>
        <v>rajpreettomar@gmail.com919599577212</v>
      </c>
      <c r="D370" s="16" t="s">
        <v>7127</v>
      </c>
      <c r="E370" s="16" t="s">
        <v>74</v>
      </c>
    </row>
    <row r="371">
      <c r="A371" s="1" t="s">
        <v>6813</v>
      </c>
      <c r="B371" s="15">
        <f t="shared" si="50"/>
        <v>919599577212</v>
      </c>
      <c r="C371" s="15" t="str">
        <f t="shared" si="1"/>
        <v>rajpreettomar@gmail.com919599577212</v>
      </c>
      <c r="D371" s="16" t="s">
        <v>7128</v>
      </c>
      <c r="E371" s="16" t="s">
        <v>74</v>
      </c>
    </row>
    <row r="372">
      <c r="A372" s="1" t="s">
        <v>5976</v>
      </c>
      <c r="B372" s="15">
        <f>+919711468915</f>
        <v>919711468915</v>
      </c>
      <c r="C372" s="15" t="str">
        <f t="shared" si="1"/>
        <v>rahulchadha80@yahoo.com919711468915</v>
      </c>
      <c r="D372" s="16" t="s">
        <v>7129</v>
      </c>
      <c r="E372" s="16" t="s">
        <v>68</v>
      </c>
    </row>
    <row r="373">
      <c r="A373" s="1" t="s">
        <v>4627</v>
      </c>
      <c r="B373" s="15">
        <f>+919986703892</f>
        <v>919986703892</v>
      </c>
      <c r="C373" s="15" t="str">
        <f t="shared" si="1"/>
        <v>arjuncshetty@gmail.com919986703892</v>
      </c>
      <c r="D373" s="16" t="s">
        <v>7130</v>
      </c>
      <c r="E373" s="16" t="s">
        <v>68</v>
      </c>
    </row>
    <row r="374">
      <c r="A374" s="1" t="s">
        <v>5739</v>
      </c>
      <c r="B374" s="15">
        <f>+919011231676</f>
        <v>919011231676</v>
      </c>
      <c r="C374" s="15" t="str">
        <f t="shared" si="1"/>
        <v>mayurlokhande584@gmail.com919011231676</v>
      </c>
      <c r="D374" s="16" t="s">
        <v>7131</v>
      </c>
      <c r="E374" s="16" t="s">
        <v>68</v>
      </c>
    </row>
    <row r="375">
      <c r="A375" s="1" t="s">
        <v>7132</v>
      </c>
      <c r="B375" s="15">
        <f>+919730574055</f>
        <v>919730574055</v>
      </c>
      <c r="C375" s="15" t="str">
        <f t="shared" si="1"/>
        <v>anuya.umate@gmail.com919730574055</v>
      </c>
      <c r="D375" s="16" t="s">
        <v>7133</v>
      </c>
      <c r="E375" s="16" t="s">
        <v>68</v>
      </c>
    </row>
    <row r="376">
      <c r="A376" s="1" t="s">
        <v>7134</v>
      </c>
      <c r="B376" s="15">
        <f>+918638311434</f>
        <v>918638311434</v>
      </c>
      <c r="C376" s="15" t="str">
        <f t="shared" si="1"/>
        <v>romabarman17@gmail.com918638311434</v>
      </c>
      <c r="D376" s="16" t="s">
        <v>7135</v>
      </c>
      <c r="E376" s="16" t="s">
        <v>74</v>
      </c>
    </row>
    <row r="377">
      <c r="A377" s="1" t="s">
        <v>3062</v>
      </c>
      <c r="B377" s="15">
        <f>+918921054861</f>
        <v>918921054861</v>
      </c>
      <c r="C377" s="15" t="str">
        <f t="shared" si="1"/>
        <v>vishaltaswin25@gmail.com918921054861</v>
      </c>
      <c r="D377" s="16" t="s">
        <v>7136</v>
      </c>
      <c r="E377" s="16" t="s">
        <v>68</v>
      </c>
    </row>
    <row r="378">
      <c r="A378" s="1" t="s">
        <v>7137</v>
      </c>
      <c r="B378" s="15">
        <f t="shared" ref="B378:B379" si="51">+919709373111</f>
        <v>919709373111</v>
      </c>
      <c r="C378" s="15" t="str">
        <f t="shared" si="1"/>
        <v>kashyapsaharsh@gmail.com919709373111</v>
      </c>
      <c r="D378" s="16" t="s">
        <v>7138</v>
      </c>
      <c r="E378" s="16" t="s">
        <v>74</v>
      </c>
    </row>
    <row r="379">
      <c r="A379" s="1" t="s">
        <v>7137</v>
      </c>
      <c r="B379" s="15">
        <f t="shared" si="51"/>
        <v>919709373111</v>
      </c>
      <c r="C379" s="15" t="str">
        <f t="shared" si="1"/>
        <v>kashyapsaharsh@gmail.com919709373111</v>
      </c>
      <c r="D379" s="16" t="s">
        <v>7139</v>
      </c>
      <c r="E379" s="16" t="s">
        <v>74</v>
      </c>
    </row>
    <row r="380">
      <c r="A380" s="1" t="s">
        <v>4277</v>
      </c>
      <c r="B380" s="15">
        <f>+917045001199</f>
        <v>917045001199</v>
      </c>
      <c r="C380" s="15" t="str">
        <f t="shared" si="1"/>
        <v>jeevikamehta@gmail.com917045001199</v>
      </c>
      <c r="D380" s="16" t="s">
        <v>7140</v>
      </c>
      <c r="E380" s="16" t="s">
        <v>74</v>
      </c>
    </row>
    <row r="381">
      <c r="A381" s="1" t="s">
        <v>7141</v>
      </c>
      <c r="B381" s="15">
        <f>+919680009784</f>
        <v>919680009784</v>
      </c>
      <c r="C381" s="15" t="str">
        <f t="shared" si="1"/>
        <v>vmk.vibha@outlook.com919680009784</v>
      </c>
      <c r="D381" s="16" t="s">
        <v>7142</v>
      </c>
      <c r="E381" s="16" t="s">
        <v>68</v>
      </c>
    </row>
    <row r="382">
      <c r="A382" s="1" t="s">
        <v>7143</v>
      </c>
      <c r="B382" s="15">
        <f t="shared" ref="B382:B384" si="52">+919953228869</f>
        <v>919953228869</v>
      </c>
      <c r="C382" s="15" t="str">
        <f t="shared" si="1"/>
        <v>vashisht.aparna@gmail.com919953228869</v>
      </c>
      <c r="D382" s="16" t="s">
        <v>7144</v>
      </c>
      <c r="E382" s="16" t="s">
        <v>151</v>
      </c>
    </row>
    <row r="383">
      <c r="A383" s="1" t="s">
        <v>7143</v>
      </c>
      <c r="B383" s="15">
        <f t="shared" si="52"/>
        <v>919953228869</v>
      </c>
      <c r="C383" s="15" t="str">
        <f t="shared" si="1"/>
        <v>vashisht.aparna@gmail.com919953228869</v>
      </c>
      <c r="D383" s="16" t="s">
        <v>7145</v>
      </c>
      <c r="E383" s="16" t="s">
        <v>151</v>
      </c>
    </row>
    <row r="384">
      <c r="A384" s="1" t="s">
        <v>7143</v>
      </c>
      <c r="B384" s="15">
        <f t="shared" si="52"/>
        <v>919953228869</v>
      </c>
      <c r="C384" s="15" t="str">
        <f t="shared" si="1"/>
        <v>vashisht.aparna@gmail.com919953228869</v>
      </c>
      <c r="D384" s="16" t="s">
        <v>7146</v>
      </c>
      <c r="E384" s="16" t="s">
        <v>151</v>
      </c>
    </row>
    <row r="385">
      <c r="A385" s="1" t="s">
        <v>7147</v>
      </c>
      <c r="B385" s="15">
        <f>+919833973494</f>
        <v>919833973494</v>
      </c>
      <c r="C385" s="15" t="str">
        <f t="shared" si="1"/>
        <v>theresakamath@gmail.com919833973494</v>
      </c>
      <c r="D385" s="16" t="s">
        <v>7148</v>
      </c>
      <c r="E385" s="16" t="s">
        <v>74</v>
      </c>
    </row>
    <row r="386">
      <c r="A386" s="1" t="s">
        <v>3776</v>
      </c>
      <c r="B386" s="15">
        <f t="shared" ref="B386:B387" si="53">+919398906120</f>
        <v>919398906120</v>
      </c>
      <c r="C386" s="15" t="str">
        <f t="shared" si="1"/>
        <v>bhargav.thota18@gmail.com919398906120</v>
      </c>
      <c r="D386" s="16" t="s">
        <v>7149</v>
      </c>
      <c r="E386" s="16" t="s">
        <v>68</v>
      </c>
    </row>
    <row r="387">
      <c r="A387" s="1" t="s">
        <v>3776</v>
      </c>
      <c r="B387" s="15">
        <f t="shared" si="53"/>
        <v>919398906120</v>
      </c>
      <c r="C387" s="15" t="str">
        <f t="shared" si="1"/>
        <v>bhargav.thota18@gmail.com919398906120</v>
      </c>
      <c r="D387" s="16" t="s">
        <v>7150</v>
      </c>
      <c r="E387" s="16" t="s">
        <v>68</v>
      </c>
    </row>
    <row r="388">
      <c r="A388" s="1" t="s">
        <v>7151</v>
      </c>
      <c r="B388" s="15">
        <f>+919850960854</f>
        <v>919850960854</v>
      </c>
      <c r="C388" s="15" t="str">
        <f t="shared" si="1"/>
        <v>yogeshdorwat2006@gmail.com919850960854</v>
      </c>
      <c r="D388" s="16" t="s">
        <v>7152</v>
      </c>
      <c r="E388" s="16" t="s">
        <v>68</v>
      </c>
    </row>
    <row r="389">
      <c r="A389" s="1" t="s">
        <v>6490</v>
      </c>
      <c r="B389" s="15">
        <f>+919844939825</f>
        <v>919844939825</v>
      </c>
      <c r="C389" s="15" t="str">
        <f t="shared" si="1"/>
        <v>bharathipaddy@gmail.com919844939825</v>
      </c>
      <c r="D389" s="16" t="s">
        <v>7153</v>
      </c>
      <c r="E389" s="16" t="s">
        <v>151</v>
      </c>
    </row>
    <row r="390">
      <c r="A390" s="1" t="s">
        <v>7154</v>
      </c>
      <c r="B390" s="15">
        <f>+919890913337</f>
        <v>919890913337</v>
      </c>
      <c r="C390" s="15" t="str">
        <f t="shared" si="1"/>
        <v>shahejad2813@gmail.com919890913337</v>
      </c>
      <c r="D390" s="16" t="s">
        <v>7155</v>
      </c>
      <c r="E390" s="16" t="s">
        <v>68</v>
      </c>
    </row>
    <row r="391">
      <c r="A391" s="1" t="s">
        <v>7156</v>
      </c>
      <c r="B391" s="15">
        <f t="shared" ref="B391:B393" si="54">+918861203241</f>
        <v>918861203241</v>
      </c>
      <c r="C391" s="15" t="str">
        <f t="shared" si="1"/>
        <v>madhumohan4514@gmail.com918861203241</v>
      </c>
      <c r="D391" s="16" t="s">
        <v>7157</v>
      </c>
      <c r="E391" s="16" t="s">
        <v>74</v>
      </c>
    </row>
    <row r="392">
      <c r="A392" s="1" t="s">
        <v>7156</v>
      </c>
      <c r="B392" s="15">
        <f t="shared" si="54"/>
        <v>918861203241</v>
      </c>
      <c r="C392" s="15" t="str">
        <f t="shared" si="1"/>
        <v>madhumohan4514@gmail.com918861203241</v>
      </c>
      <c r="D392" s="16" t="s">
        <v>7158</v>
      </c>
      <c r="E392" s="16" t="s">
        <v>74</v>
      </c>
    </row>
    <row r="393">
      <c r="A393" s="1" t="s">
        <v>7156</v>
      </c>
      <c r="B393" s="15">
        <f t="shared" si="54"/>
        <v>918861203241</v>
      </c>
      <c r="C393" s="15" t="str">
        <f t="shared" si="1"/>
        <v>madhumohan4514@gmail.com918861203241</v>
      </c>
      <c r="D393" s="16" t="s">
        <v>7159</v>
      </c>
      <c r="E393" s="16" t="s">
        <v>74</v>
      </c>
    </row>
    <row r="394">
      <c r="A394" s="1" t="s">
        <v>6491</v>
      </c>
      <c r="B394" s="15">
        <f>+919696046295</f>
        <v>919696046295</v>
      </c>
      <c r="C394" s="15" t="str">
        <f t="shared" si="1"/>
        <v>singhvineeta.786@gmail.com919696046295</v>
      </c>
      <c r="D394" s="16" t="s">
        <v>7160</v>
      </c>
      <c r="E394" s="16" t="s">
        <v>97</v>
      </c>
    </row>
    <row r="395">
      <c r="A395" s="1" t="s">
        <v>7161</v>
      </c>
      <c r="B395" s="15">
        <f t="shared" ref="B395:B397" si="55">+917800601365</f>
        <v>917800601365</v>
      </c>
      <c r="C395" s="15" t="str">
        <f t="shared" si="1"/>
        <v>nupur.lyfz@gmail.com917800601365</v>
      </c>
      <c r="D395" s="16" t="s">
        <v>7162</v>
      </c>
      <c r="E395" s="16" t="s">
        <v>151</v>
      </c>
    </row>
    <row r="396">
      <c r="A396" s="1" t="s">
        <v>7161</v>
      </c>
      <c r="B396" s="15">
        <f t="shared" si="55"/>
        <v>917800601365</v>
      </c>
      <c r="C396" s="15" t="str">
        <f t="shared" si="1"/>
        <v>nupur.lyfz@gmail.com917800601365</v>
      </c>
      <c r="D396" s="16" t="s">
        <v>7163</v>
      </c>
      <c r="E396" s="16" t="s">
        <v>151</v>
      </c>
    </row>
    <row r="397">
      <c r="A397" s="1" t="s">
        <v>7161</v>
      </c>
      <c r="B397" s="15">
        <f t="shared" si="55"/>
        <v>917800601365</v>
      </c>
      <c r="C397" s="15" t="str">
        <f t="shared" si="1"/>
        <v>nupur.lyfz@gmail.com917800601365</v>
      </c>
      <c r="D397" s="16" t="s">
        <v>7164</v>
      </c>
      <c r="E397" s="16" t="s">
        <v>68</v>
      </c>
    </row>
    <row r="398">
      <c r="A398" s="1" t="s">
        <v>7165</v>
      </c>
      <c r="B398" s="15">
        <f t="shared" ref="B398:B399" si="56">+918008530007</f>
        <v>918008530007</v>
      </c>
      <c r="C398" s="15" t="str">
        <f t="shared" si="1"/>
        <v>sukanya.banerjee0908@gmail.com918008530007</v>
      </c>
      <c r="D398" s="16" t="s">
        <v>7166</v>
      </c>
      <c r="E398" s="16" t="s">
        <v>74</v>
      </c>
    </row>
    <row r="399">
      <c r="A399" s="1" t="s">
        <v>7165</v>
      </c>
      <c r="B399" s="15">
        <f t="shared" si="56"/>
        <v>918008530007</v>
      </c>
      <c r="C399" s="15" t="str">
        <f t="shared" si="1"/>
        <v>sukanya.banerjee0908@gmail.com918008530007</v>
      </c>
      <c r="D399" s="16" t="s">
        <v>7167</v>
      </c>
      <c r="E399" s="16" t="s">
        <v>74</v>
      </c>
    </row>
    <row r="400">
      <c r="A400" s="1" t="s">
        <v>2754</v>
      </c>
      <c r="B400" s="15">
        <f>+919769977777</f>
        <v>919769977777</v>
      </c>
      <c r="C400" s="15" t="str">
        <f t="shared" si="1"/>
        <v>sahiba1bajaj@gmail.com919769977777</v>
      </c>
      <c r="D400" s="16" t="s">
        <v>7168</v>
      </c>
      <c r="E400" s="16" t="s">
        <v>68</v>
      </c>
    </row>
    <row r="401">
      <c r="A401" s="1" t="s">
        <v>7169</v>
      </c>
      <c r="B401" s="15">
        <f>+917587020752</f>
        <v>917587020752</v>
      </c>
      <c r="C401" s="15" t="str">
        <f t="shared" si="1"/>
        <v>sanjaysahoo55555@gmail.com917587020752</v>
      </c>
      <c r="D401" s="16" t="s">
        <v>7170</v>
      </c>
      <c r="E401" s="16" t="s">
        <v>74</v>
      </c>
    </row>
    <row r="402">
      <c r="A402" s="1" t="s">
        <v>6251</v>
      </c>
      <c r="B402" s="15">
        <f>+919516735835</f>
        <v>919516735835</v>
      </c>
      <c r="C402" s="15" t="str">
        <f t="shared" si="1"/>
        <v>yshiv3040@gmail.com919516735835</v>
      </c>
      <c r="D402" s="16" t="s">
        <v>7171</v>
      </c>
      <c r="E402" s="16" t="s">
        <v>68</v>
      </c>
    </row>
    <row r="403">
      <c r="A403" s="1" t="s">
        <v>5740</v>
      </c>
      <c r="B403" s="15">
        <f t="shared" ref="B403:B404" si="57">+919366144046</f>
        <v>919366144046</v>
      </c>
      <c r="C403" s="15" t="str">
        <f t="shared" si="1"/>
        <v>lipoktoshilongkumer@gmail.com919366144046</v>
      </c>
      <c r="D403" s="16" t="s">
        <v>7172</v>
      </c>
      <c r="E403" s="16" t="s">
        <v>68</v>
      </c>
    </row>
    <row r="404">
      <c r="A404" s="1" t="s">
        <v>5740</v>
      </c>
      <c r="B404" s="15">
        <f t="shared" si="57"/>
        <v>919366144046</v>
      </c>
      <c r="C404" s="15" t="str">
        <f t="shared" si="1"/>
        <v>lipoktoshilongkumer@gmail.com919366144046</v>
      </c>
      <c r="D404" s="16" t="s">
        <v>7173</v>
      </c>
      <c r="E404" s="16" t="s">
        <v>68</v>
      </c>
    </row>
    <row r="405">
      <c r="A405" s="1" t="s">
        <v>4434</v>
      </c>
      <c r="B405" s="15">
        <f>+919573145697</f>
        <v>919573145697</v>
      </c>
      <c r="C405" s="15" t="str">
        <f t="shared" si="1"/>
        <v>yogitha0b47@gmail.com919573145697</v>
      </c>
      <c r="D405" s="16" t="s">
        <v>7174</v>
      </c>
      <c r="E405" s="16" t="s">
        <v>68</v>
      </c>
    </row>
    <row r="406">
      <c r="A406" s="1" t="s">
        <v>4353</v>
      </c>
      <c r="B406" s="15">
        <f t="shared" ref="B406:B407" si="58">+919620029222</f>
        <v>919620029222</v>
      </c>
      <c r="C406" s="15" t="str">
        <f t="shared" si="1"/>
        <v>venkat247@gmail.com919620029222</v>
      </c>
      <c r="D406" s="16" t="s">
        <v>7175</v>
      </c>
      <c r="E406" s="16" t="s">
        <v>68</v>
      </c>
    </row>
    <row r="407">
      <c r="A407" s="1" t="s">
        <v>4353</v>
      </c>
      <c r="B407" s="15">
        <f t="shared" si="58"/>
        <v>919620029222</v>
      </c>
      <c r="C407" s="15" t="str">
        <f t="shared" si="1"/>
        <v>venkat247@gmail.com919620029222</v>
      </c>
      <c r="D407" s="16" t="s">
        <v>7176</v>
      </c>
      <c r="E407" s="16" t="s">
        <v>68</v>
      </c>
    </row>
    <row r="408">
      <c r="A408" s="1" t="s">
        <v>5407</v>
      </c>
      <c r="B408" s="15">
        <f>+918806098215</f>
        <v>918806098215</v>
      </c>
      <c r="C408" s="15" t="str">
        <f t="shared" si="1"/>
        <v>amrutachavan306@gmail.com918806098215</v>
      </c>
      <c r="D408" s="16" t="s">
        <v>7177</v>
      </c>
      <c r="E408" s="16" t="s">
        <v>68</v>
      </c>
    </row>
    <row r="409">
      <c r="A409" s="1" t="s">
        <v>7178</v>
      </c>
      <c r="B409" s="15">
        <f t="shared" ref="B409:B410" si="59">+919535051802</f>
        <v>919535051802</v>
      </c>
      <c r="C409" s="15" t="str">
        <f t="shared" si="1"/>
        <v>nagalakshmi_n@yahoo.com919535051802</v>
      </c>
      <c r="D409" s="16" t="s">
        <v>7179</v>
      </c>
      <c r="E409" s="16" t="s">
        <v>151</v>
      </c>
    </row>
    <row r="410">
      <c r="A410" s="1" t="s">
        <v>7178</v>
      </c>
      <c r="B410" s="15">
        <f t="shared" si="59"/>
        <v>919535051802</v>
      </c>
      <c r="C410" s="15" t="str">
        <f t="shared" si="1"/>
        <v>nagalakshmi_n@yahoo.com919535051802</v>
      </c>
      <c r="D410" s="16" t="s">
        <v>7180</v>
      </c>
      <c r="E410" s="16" t="s">
        <v>151</v>
      </c>
    </row>
    <row r="411">
      <c r="A411" s="1" t="s">
        <v>2755</v>
      </c>
      <c r="B411" s="15">
        <f>+919954229499</f>
        <v>919954229499</v>
      </c>
      <c r="C411" s="15" t="str">
        <f t="shared" si="1"/>
        <v>ratnapurkayastha7@gmail.com919954229499</v>
      </c>
      <c r="D411" s="16" t="s">
        <v>7181</v>
      </c>
      <c r="E411" s="16" t="s">
        <v>68</v>
      </c>
    </row>
    <row r="412">
      <c r="A412" s="1" t="s">
        <v>5123</v>
      </c>
      <c r="B412" s="15">
        <f>+917208480059</f>
        <v>917208480059</v>
      </c>
      <c r="C412" s="15" t="str">
        <f t="shared" si="1"/>
        <v>yogitalabrath@gmail.com917208480059</v>
      </c>
      <c r="D412" s="16" t="s">
        <v>7182</v>
      </c>
      <c r="E412" s="16" t="s">
        <v>68</v>
      </c>
    </row>
    <row r="413">
      <c r="A413" s="1" t="s">
        <v>4890</v>
      </c>
      <c r="B413" s="15">
        <f>+918595475583</f>
        <v>918595475583</v>
      </c>
      <c r="C413" s="15" t="str">
        <f t="shared" si="1"/>
        <v>anuranjanverma9@gmail.com918595475583</v>
      </c>
      <c r="D413" s="16" t="s">
        <v>7183</v>
      </c>
      <c r="E413" s="16" t="s">
        <v>68</v>
      </c>
    </row>
    <row r="414">
      <c r="A414" s="1" t="s">
        <v>4628</v>
      </c>
      <c r="B414" s="15">
        <f>+919908137370</f>
        <v>919908137370</v>
      </c>
      <c r="C414" s="15" t="str">
        <f t="shared" si="1"/>
        <v>lakshmi.illinda05@gmail.com919908137370</v>
      </c>
      <c r="D414" s="16" t="s">
        <v>7184</v>
      </c>
      <c r="E414" s="16" t="s">
        <v>68</v>
      </c>
    </row>
    <row r="415">
      <c r="A415" s="1" t="s">
        <v>3289</v>
      </c>
      <c r="B415" s="15">
        <f>+919067637673</f>
        <v>919067637673</v>
      </c>
      <c r="C415" s="15" t="str">
        <f t="shared" si="1"/>
        <v>swarask98@gmail.com919067637673</v>
      </c>
      <c r="D415" s="16" t="s">
        <v>7185</v>
      </c>
      <c r="E415" s="16" t="s">
        <v>68</v>
      </c>
    </row>
    <row r="416">
      <c r="A416" s="1" t="s">
        <v>5333</v>
      </c>
      <c r="B416" s="15">
        <f>+917036057450</f>
        <v>917036057450</v>
      </c>
      <c r="C416" s="15" t="str">
        <f t="shared" si="1"/>
        <v>mainactually@gmail.com917036057450</v>
      </c>
      <c r="D416" s="16" t="s">
        <v>7186</v>
      </c>
      <c r="E416" s="16" t="s">
        <v>74</v>
      </c>
    </row>
    <row r="417">
      <c r="A417" s="1" t="s">
        <v>7187</v>
      </c>
      <c r="B417" s="15">
        <f>+917895990836</f>
        <v>917895990836</v>
      </c>
      <c r="C417" s="15" t="str">
        <f t="shared" si="1"/>
        <v>ambi.goel@yahoo.com917895990836</v>
      </c>
      <c r="D417" s="16" t="s">
        <v>7188</v>
      </c>
      <c r="E417" s="16" t="s">
        <v>68</v>
      </c>
    </row>
    <row r="418">
      <c r="A418" s="1" t="s">
        <v>5333</v>
      </c>
      <c r="B418" s="15">
        <f>+917036057450</f>
        <v>917036057450</v>
      </c>
      <c r="C418" s="15" t="str">
        <f t="shared" si="1"/>
        <v>mainactually@gmail.com917036057450</v>
      </c>
      <c r="D418" s="16" t="s">
        <v>7189</v>
      </c>
      <c r="E418" s="16" t="s">
        <v>68</v>
      </c>
    </row>
    <row r="419">
      <c r="A419" s="1" t="s">
        <v>3777</v>
      </c>
      <c r="B419" s="15">
        <f>+917837668477</f>
        <v>917837668477</v>
      </c>
      <c r="C419" s="15" t="str">
        <f t="shared" si="1"/>
        <v>singhsagar65@gmail.com917837668477</v>
      </c>
      <c r="D419" s="16" t="s">
        <v>7190</v>
      </c>
      <c r="E419" s="16" t="s">
        <v>68</v>
      </c>
    </row>
    <row r="420">
      <c r="A420" s="1" t="s">
        <v>4578</v>
      </c>
      <c r="B420" s="15">
        <f>+919036333975</f>
        <v>919036333975</v>
      </c>
      <c r="C420" s="15" t="str">
        <f t="shared" si="1"/>
        <v>umasnairassocham@gmail.com919036333975</v>
      </c>
      <c r="D420" s="16" t="s">
        <v>7191</v>
      </c>
      <c r="E420" s="16" t="s">
        <v>68</v>
      </c>
    </row>
    <row r="421">
      <c r="A421" s="1" t="s">
        <v>5511</v>
      </c>
      <c r="B421" s="15">
        <f>+919999033033</f>
        <v>919999033033</v>
      </c>
      <c r="C421" s="15" t="str">
        <f t="shared" si="1"/>
        <v>arpanhsingh@gmail.com919999033033</v>
      </c>
      <c r="D421" s="16" t="s">
        <v>7192</v>
      </c>
      <c r="E421" s="16" t="s">
        <v>68</v>
      </c>
    </row>
    <row r="422">
      <c r="A422" s="1" t="s">
        <v>3778</v>
      </c>
      <c r="B422" s="15">
        <f>+917021755072</f>
        <v>917021755072</v>
      </c>
      <c r="C422" s="15" t="str">
        <f t="shared" si="1"/>
        <v>gawdeakshay28@gmail.com917021755072</v>
      </c>
      <c r="D422" s="16" t="s">
        <v>7193</v>
      </c>
      <c r="E422" s="16" t="s">
        <v>68</v>
      </c>
    </row>
    <row r="423">
      <c r="A423" s="1" t="s">
        <v>5124</v>
      </c>
      <c r="B423" s="15">
        <f>+918588830840</f>
        <v>918588830840</v>
      </c>
      <c r="C423" s="15" t="str">
        <f t="shared" si="1"/>
        <v>sugandhi.dawar@gmail.com918588830840</v>
      </c>
      <c r="D423" s="16" t="s">
        <v>7194</v>
      </c>
      <c r="E423" s="16" t="s">
        <v>68</v>
      </c>
    </row>
    <row r="424">
      <c r="A424" s="1" t="s">
        <v>6813</v>
      </c>
      <c r="B424" s="15">
        <f t="shared" ref="B424:B427" si="60">+919599577212</f>
        <v>919599577212</v>
      </c>
      <c r="C424" s="15" t="str">
        <f t="shared" si="1"/>
        <v>rajpreettomar@gmail.com919599577212</v>
      </c>
      <c r="D424" s="16" t="s">
        <v>7195</v>
      </c>
      <c r="E424" s="16" t="s">
        <v>74</v>
      </c>
    </row>
    <row r="425">
      <c r="A425" s="1" t="s">
        <v>6813</v>
      </c>
      <c r="B425" s="15">
        <f t="shared" si="60"/>
        <v>919599577212</v>
      </c>
      <c r="C425" s="15" t="str">
        <f t="shared" si="1"/>
        <v>rajpreettomar@gmail.com919599577212</v>
      </c>
      <c r="D425" s="16" t="s">
        <v>7196</v>
      </c>
      <c r="E425" s="16" t="s">
        <v>74</v>
      </c>
    </row>
    <row r="426">
      <c r="A426" s="1" t="s">
        <v>6813</v>
      </c>
      <c r="B426" s="15">
        <f t="shared" si="60"/>
        <v>919599577212</v>
      </c>
      <c r="C426" s="15" t="str">
        <f t="shared" si="1"/>
        <v>rajpreettomar@gmail.com919599577212</v>
      </c>
      <c r="D426" s="16" t="s">
        <v>7197</v>
      </c>
      <c r="E426" s="16" t="s">
        <v>74</v>
      </c>
    </row>
    <row r="427">
      <c r="A427" s="1" t="s">
        <v>6813</v>
      </c>
      <c r="B427" s="15">
        <f t="shared" si="60"/>
        <v>919599577212</v>
      </c>
      <c r="C427" s="15" t="str">
        <f t="shared" si="1"/>
        <v>rajpreettomar@gmail.com919599577212</v>
      </c>
      <c r="D427" s="16" t="s">
        <v>7198</v>
      </c>
      <c r="E427" s="16" t="s">
        <v>74</v>
      </c>
    </row>
    <row r="428">
      <c r="A428" s="1" t="s">
        <v>6945</v>
      </c>
      <c r="B428" s="15">
        <f t="shared" ref="B428:B429" si="61">+917006568878</f>
        <v>917006568878</v>
      </c>
      <c r="C428" s="15" t="str">
        <f t="shared" si="1"/>
        <v>nabeelanabz56@gmail.com917006568878</v>
      </c>
      <c r="D428" s="16" t="s">
        <v>7199</v>
      </c>
      <c r="E428" s="16" t="s">
        <v>74</v>
      </c>
    </row>
    <row r="429">
      <c r="A429" s="1" t="s">
        <v>6945</v>
      </c>
      <c r="B429" s="15">
        <f t="shared" si="61"/>
        <v>917006568878</v>
      </c>
      <c r="C429" s="15" t="str">
        <f t="shared" si="1"/>
        <v>nabeelanabz56@gmail.com917006568878</v>
      </c>
      <c r="D429" s="16" t="s">
        <v>7200</v>
      </c>
      <c r="E429" s="16" t="s">
        <v>74</v>
      </c>
    </row>
    <row r="430">
      <c r="A430" s="1" t="s">
        <v>7201</v>
      </c>
      <c r="B430" s="15">
        <f>+919811272138</f>
        <v>919811272138</v>
      </c>
      <c r="C430" s="15" t="str">
        <f t="shared" si="1"/>
        <v>sbhasin.2009@gmail.com919811272138</v>
      </c>
      <c r="D430" s="16" t="s">
        <v>7202</v>
      </c>
      <c r="E430" s="16" t="s">
        <v>151</v>
      </c>
    </row>
    <row r="431">
      <c r="A431" s="1" t="s">
        <v>4574</v>
      </c>
      <c r="B431" s="15">
        <f>+919892531810</f>
        <v>919892531810</v>
      </c>
      <c r="C431" s="15" t="str">
        <f t="shared" si="1"/>
        <v>diptipadhye7@gmail.com919892531810</v>
      </c>
      <c r="D431" s="16" t="s">
        <v>7203</v>
      </c>
      <c r="E431" s="16" t="s">
        <v>68</v>
      </c>
    </row>
    <row r="432">
      <c r="A432" s="1" t="s">
        <v>3308</v>
      </c>
      <c r="B432" s="15">
        <f>+919945189438</f>
        <v>919945189438</v>
      </c>
      <c r="C432" s="15" t="str">
        <f t="shared" si="1"/>
        <v>kalsfru@gmail.com919945189438</v>
      </c>
      <c r="D432" s="16" t="s">
        <v>7204</v>
      </c>
      <c r="E432" s="16" t="s">
        <v>151</v>
      </c>
    </row>
    <row r="433">
      <c r="A433" s="1" t="s">
        <v>6813</v>
      </c>
      <c r="B433" s="15">
        <f>+919599577212</f>
        <v>919599577212</v>
      </c>
      <c r="C433" s="15" t="str">
        <f t="shared" si="1"/>
        <v>rajpreettomar@gmail.com919599577212</v>
      </c>
      <c r="D433" s="16" t="s">
        <v>7205</v>
      </c>
      <c r="E433" s="16" t="s">
        <v>74</v>
      </c>
    </row>
    <row r="434">
      <c r="A434" s="1" t="s">
        <v>6323</v>
      </c>
      <c r="B434" s="15">
        <f>+919820395010</f>
        <v>919820395010</v>
      </c>
      <c r="C434" s="15" t="str">
        <f t="shared" si="1"/>
        <v>jesal3ster@gmail.com919820395010</v>
      </c>
      <c r="D434" s="16" t="s">
        <v>7206</v>
      </c>
      <c r="E434" s="16" t="s">
        <v>68</v>
      </c>
    </row>
    <row r="435">
      <c r="A435" s="1" t="s">
        <v>3309</v>
      </c>
      <c r="B435" s="15">
        <f>+919521426840</f>
        <v>919521426840</v>
      </c>
      <c r="C435" s="15" t="str">
        <f t="shared" si="1"/>
        <v>yash.vyas53@gmail.com919521426840</v>
      </c>
      <c r="D435" s="16" t="s">
        <v>7207</v>
      </c>
      <c r="E435" s="16" t="s">
        <v>68</v>
      </c>
    </row>
    <row r="436">
      <c r="A436" s="1" t="s">
        <v>4632</v>
      </c>
      <c r="B436" s="15">
        <f>+919167707178</f>
        <v>919167707178</v>
      </c>
      <c r="C436" s="15" t="str">
        <f t="shared" si="1"/>
        <v>sharafatmulla@gmail.com919167707178</v>
      </c>
      <c r="D436" s="16" t="s">
        <v>7208</v>
      </c>
      <c r="E436" s="16" t="s">
        <v>68</v>
      </c>
    </row>
    <row r="437">
      <c r="A437" s="1" t="s">
        <v>7209</v>
      </c>
      <c r="B437" s="15">
        <f t="shared" ref="B437:B442" si="62">+919833099962</f>
        <v>919833099962</v>
      </c>
      <c r="C437" s="15" t="str">
        <f t="shared" si="1"/>
        <v>bhumi.s@vaisansar.in919833099962</v>
      </c>
      <c r="D437" s="16" t="s">
        <v>7210</v>
      </c>
      <c r="E437" s="16" t="s">
        <v>151</v>
      </c>
    </row>
    <row r="438">
      <c r="A438" s="1" t="s">
        <v>7211</v>
      </c>
      <c r="B438" s="15">
        <f t="shared" si="62"/>
        <v>919833099962</v>
      </c>
      <c r="C438" s="15" t="str">
        <f t="shared" si="1"/>
        <v>bhumisheth786@gmail.com919833099962</v>
      </c>
      <c r="D438" s="16" t="s">
        <v>7212</v>
      </c>
      <c r="E438" s="16" t="s">
        <v>151</v>
      </c>
    </row>
    <row r="439">
      <c r="A439" s="1" t="s">
        <v>7211</v>
      </c>
      <c r="B439" s="15">
        <f t="shared" si="62"/>
        <v>919833099962</v>
      </c>
      <c r="C439" s="15" t="str">
        <f t="shared" si="1"/>
        <v>bhumisheth786@gmail.com919833099962</v>
      </c>
      <c r="D439" s="16" t="s">
        <v>7213</v>
      </c>
      <c r="E439" s="16" t="s">
        <v>151</v>
      </c>
    </row>
    <row r="440">
      <c r="A440" s="1" t="s">
        <v>7211</v>
      </c>
      <c r="B440" s="15">
        <f t="shared" si="62"/>
        <v>919833099962</v>
      </c>
      <c r="C440" s="15" t="str">
        <f t="shared" si="1"/>
        <v>bhumisheth786@gmail.com919833099962</v>
      </c>
      <c r="D440" s="16" t="s">
        <v>7214</v>
      </c>
      <c r="E440" s="16" t="s">
        <v>151</v>
      </c>
    </row>
    <row r="441">
      <c r="A441" s="1" t="s">
        <v>7211</v>
      </c>
      <c r="B441" s="15">
        <f t="shared" si="62"/>
        <v>919833099962</v>
      </c>
      <c r="C441" s="15" t="str">
        <f t="shared" si="1"/>
        <v>bhumisheth786@gmail.com919833099962</v>
      </c>
      <c r="D441" s="16" t="s">
        <v>7215</v>
      </c>
      <c r="E441" s="16" t="s">
        <v>151</v>
      </c>
    </row>
    <row r="442">
      <c r="A442" s="1" t="s">
        <v>7211</v>
      </c>
      <c r="B442" s="15">
        <f t="shared" si="62"/>
        <v>919833099962</v>
      </c>
      <c r="C442" s="15" t="str">
        <f t="shared" si="1"/>
        <v>bhumisheth786@gmail.com919833099962</v>
      </c>
      <c r="D442" s="16" t="s">
        <v>7216</v>
      </c>
      <c r="E442" s="16" t="s">
        <v>151</v>
      </c>
    </row>
    <row r="443">
      <c r="A443" s="1" t="s">
        <v>7217</v>
      </c>
      <c r="B443" s="15">
        <f t="shared" ref="B443:B444" si="63">+919342256208</f>
        <v>919342256208</v>
      </c>
      <c r="C443" s="15" t="str">
        <f t="shared" si="1"/>
        <v>rachusam17@gmail.com919342256208</v>
      </c>
      <c r="D443" s="16" t="s">
        <v>7218</v>
      </c>
      <c r="E443" s="16" t="s">
        <v>68</v>
      </c>
    </row>
    <row r="444">
      <c r="A444" s="1" t="s">
        <v>7217</v>
      </c>
      <c r="B444" s="15">
        <f t="shared" si="63"/>
        <v>919342256208</v>
      </c>
      <c r="C444" s="15" t="str">
        <f t="shared" si="1"/>
        <v>rachusam17@gmail.com919342256208</v>
      </c>
      <c r="D444" s="16" t="s">
        <v>7219</v>
      </c>
      <c r="E444" s="16" t="s">
        <v>74</v>
      </c>
    </row>
    <row r="445">
      <c r="A445" s="1" t="s">
        <v>6254</v>
      </c>
      <c r="B445" s="15">
        <f>+918669123501</f>
        <v>918669123501</v>
      </c>
      <c r="C445" s="15" t="str">
        <f t="shared" si="1"/>
        <v>naman0035@gmail.com918669123501</v>
      </c>
      <c r="D445" s="16" t="s">
        <v>7220</v>
      </c>
      <c r="E445" s="16" t="s">
        <v>68</v>
      </c>
    </row>
    <row r="446">
      <c r="A446" s="1" t="s">
        <v>4633</v>
      </c>
      <c r="B446" s="15">
        <f>+918743022033</f>
        <v>918743022033</v>
      </c>
      <c r="C446" s="15" t="str">
        <f t="shared" si="1"/>
        <v>surya.aqu10@gmail.com918743022033</v>
      </c>
      <c r="D446" s="16" t="s">
        <v>7221</v>
      </c>
      <c r="E446" s="16" t="s">
        <v>74</v>
      </c>
    </row>
    <row r="447">
      <c r="A447" s="1" t="s">
        <v>7137</v>
      </c>
      <c r="B447" s="15">
        <f>+919709373111</f>
        <v>919709373111</v>
      </c>
      <c r="C447" s="15" t="str">
        <f t="shared" si="1"/>
        <v>kashyapsaharsh@gmail.com919709373111</v>
      </c>
      <c r="D447" s="16" t="s">
        <v>7222</v>
      </c>
      <c r="E447" s="16" t="s">
        <v>74</v>
      </c>
    </row>
    <row r="448">
      <c r="A448" s="1" t="s">
        <v>2475</v>
      </c>
      <c r="B448" s="15">
        <f>+919012341187</f>
        <v>919012341187</v>
      </c>
      <c r="C448" s="15" t="str">
        <f t="shared" si="1"/>
        <v>devrahulsingh2104@gmail.com919012341187</v>
      </c>
      <c r="D448" s="16" t="s">
        <v>7223</v>
      </c>
      <c r="E448" s="16" t="s">
        <v>68</v>
      </c>
    </row>
    <row r="449">
      <c r="A449" s="1" t="s">
        <v>7224</v>
      </c>
      <c r="B449" s="15">
        <f>+917207521669</f>
        <v>917207521669</v>
      </c>
      <c r="C449" s="15" t="str">
        <f t="shared" si="1"/>
        <v>ramisettysau@gmail.com917207521669</v>
      </c>
      <c r="D449" s="16" t="s">
        <v>7225</v>
      </c>
      <c r="E449" s="16" t="s">
        <v>151</v>
      </c>
    </row>
    <row r="450">
      <c r="A450" s="1" t="s">
        <v>7226</v>
      </c>
      <c r="B450" s="15">
        <f>+919958801801</f>
        <v>919958801801</v>
      </c>
      <c r="C450" s="15" t="str">
        <f t="shared" si="1"/>
        <v>samta.dhamija@gmail.com919958801801</v>
      </c>
      <c r="D450" s="16" t="s">
        <v>7227</v>
      </c>
      <c r="E450" s="16" t="s">
        <v>151</v>
      </c>
    </row>
    <row r="451">
      <c r="A451" s="1" t="s">
        <v>7112</v>
      </c>
      <c r="B451" s="15">
        <f t="shared" ref="B451:B453" si="64">+918420562779</f>
        <v>918420562779</v>
      </c>
      <c r="C451" s="15" t="str">
        <f t="shared" si="1"/>
        <v>brewertiffany30@gmail.com918420562779</v>
      </c>
      <c r="D451" s="16" t="s">
        <v>7228</v>
      </c>
      <c r="E451" s="16" t="s">
        <v>68</v>
      </c>
    </row>
    <row r="452">
      <c r="A452" s="1" t="s">
        <v>7112</v>
      </c>
      <c r="B452" s="15">
        <f t="shared" si="64"/>
        <v>918420562779</v>
      </c>
      <c r="C452" s="15" t="str">
        <f t="shared" si="1"/>
        <v>brewertiffany30@gmail.com918420562779</v>
      </c>
      <c r="D452" s="16" t="s">
        <v>7229</v>
      </c>
      <c r="E452" s="16" t="s">
        <v>68</v>
      </c>
    </row>
    <row r="453">
      <c r="A453" s="1" t="s">
        <v>7112</v>
      </c>
      <c r="B453" s="15">
        <f t="shared" si="64"/>
        <v>918420562779</v>
      </c>
      <c r="C453" s="15" t="str">
        <f t="shared" si="1"/>
        <v>brewertiffany30@gmail.com918420562779</v>
      </c>
      <c r="D453" s="16" t="s">
        <v>7230</v>
      </c>
      <c r="E453" s="16" t="s">
        <v>68</v>
      </c>
    </row>
    <row r="454">
      <c r="A454" s="1" t="s">
        <v>7231</v>
      </c>
      <c r="B454" s="15">
        <f>+918283817337</f>
        <v>918283817337</v>
      </c>
      <c r="C454" s="15" t="str">
        <f t="shared" si="1"/>
        <v>bhavnaprabhu76@gmail.com918283817337</v>
      </c>
      <c r="D454" s="16" t="s">
        <v>7232</v>
      </c>
      <c r="E454" s="16" t="s">
        <v>74</v>
      </c>
    </row>
    <row r="455">
      <c r="A455" s="1" t="s">
        <v>4436</v>
      </c>
      <c r="B455" s="15">
        <f>+919949655132</f>
        <v>919949655132</v>
      </c>
      <c r="C455" s="15" t="str">
        <f t="shared" si="1"/>
        <v>udspat1964@gmail.com919949655132</v>
      </c>
      <c r="D455" s="16" t="s">
        <v>7233</v>
      </c>
      <c r="E455" s="16" t="s">
        <v>74</v>
      </c>
    </row>
    <row r="456">
      <c r="A456" s="1" t="s">
        <v>3339</v>
      </c>
      <c r="B456" s="15">
        <f>+919560947484</f>
        <v>919560947484</v>
      </c>
      <c r="C456" s="15" t="str">
        <f t="shared" si="1"/>
        <v>imrexankit@gmail.com919560947484</v>
      </c>
      <c r="D456" s="16" t="s">
        <v>7234</v>
      </c>
      <c r="E456" s="16" t="s">
        <v>68</v>
      </c>
    </row>
    <row r="457">
      <c r="A457" s="1" t="s">
        <v>7235</v>
      </c>
      <c r="B457" s="15">
        <f>+918593012243</f>
        <v>918593012243</v>
      </c>
      <c r="C457" s="15" t="str">
        <f t="shared" si="1"/>
        <v>bismi1480@gmail.com918593012243</v>
      </c>
      <c r="D457" s="16" t="s">
        <v>7236</v>
      </c>
      <c r="E457" s="16" t="s">
        <v>74</v>
      </c>
    </row>
    <row r="458">
      <c r="A458" s="1" t="s">
        <v>5745</v>
      </c>
      <c r="B458" s="15">
        <f>+917903896049</f>
        <v>917903896049</v>
      </c>
      <c r="C458" s="15" t="str">
        <f t="shared" si="1"/>
        <v>ravijeet106@gmail.com917903896049</v>
      </c>
      <c r="D458" s="16" t="s">
        <v>7237</v>
      </c>
      <c r="E458" s="16" t="s">
        <v>68</v>
      </c>
    </row>
    <row r="459">
      <c r="A459" s="1" t="s">
        <v>7238</v>
      </c>
      <c r="B459" s="15">
        <f>+918593012243</f>
        <v>918593012243</v>
      </c>
      <c r="C459" s="15" t="str">
        <f t="shared" si="1"/>
        <v>bismikamaruddin@gmail.com918593012243</v>
      </c>
      <c r="D459" s="16" t="s">
        <v>7239</v>
      </c>
      <c r="E459" s="16" t="s">
        <v>74</v>
      </c>
    </row>
    <row r="460">
      <c r="A460" s="1" t="s">
        <v>7240</v>
      </c>
      <c r="B460" s="15">
        <f>+918368947002</f>
        <v>918368947002</v>
      </c>
      <c r="C460" s="15" t="str">
        <f t="shared" si="1"/>
        <v>debosri.biswas@gmail.com918368947002</v>
      </c>
      <c r="D460" s="16" t="s">
        <v>7241</v>
      </c>
      <c r="E460" s="16" t="s">
        <v>74</v>
      </c>
    </row>
    <row r="461">
      <c r="A461" s="1" t="s">
        <v>5336</v>
      </c>
      <c r="B461" s="15">
        <f>+919740537949</f>
        <v>919740537949</v>
      </c>
      <c r="C461" s="15" t="str">
        <f t="shared" si="1"/>
        <v>fouziapkhan24@gmail.com919740537949</v>
      </c>
      <c r="D461" s="16" t="s">
        <v>7242</v>
      </c>
      <c r="E461" s="16" t="s">
        <v>68</v>
      </c>
    </row>
    <row r="462">
      <c r="A462" s="1" t="s">
        <v>4576</v>
      </c>
      <c r="B462" s="15">
        <f>+918287573990</f>
        <v>918287573990</v>
      </c>
      <c r="C462" s="15" t="str">
        <f t="shared" si="1"/>
        <v>veshakha.gulati@gmail.com918287573990</v>
      </c>
      <c r="D462" s="16" t="s">
        <v>7243</v>
      </c>
      <c r="E462" s="16" t="s">
        <v>68</v>
      </c>
    </row>
    <row r="463">
      <c r="A463" s="1" t="s">
        <v>5746</v>
      </c>
      <c r="B463" s="15">
        <f>+918484824494</f>
        <v>918484824494</v>
      </c>
      <c r="C463" s="15" t="str">
        <f t="shared" si="1"/>
        <v>sy205112055@gmail.com918484824494</v>
      </c>
      <c r="D463" s="16" t="s">
        <v>7244</v>
      </c>
      <c r="E463" s="16" t="s">
        <v>74</v>
      </c>
    </row>
    <row r="464">
      <c r="A464" s="1" t="s">
        <v>5836</v>
      </c>
      <c r="B464" s="15">
        <f>+918249097433</f>
        <v>918249097433</v>
      </c>
      <c r="C464" s="15" t="str">
        <f t="shared" si="1"/>
        <v>nirakardas.tu2@gmail.com918249097433</v>
      </c>
      <c r="D464" s="16" t="s">
        <v>7245</v>
      </c>
      <c r="E464" s="16" t="s">
        <v>68</v>
      </c>
    </row>
    <row r="465">
      <c r="A465" s="1" t="s">
        <v>5746</v>
      </c>
      <c r="B465" s="15">
        <f>+918484824494</f>
        <v>918484824494</v>
      </c>
      <c r="C465" s="15" t="str">
        <f t="shared" si="1"/>
        <v>sy205112055@gmail.com918484824494</v>
      </c>
      <c r="D465" s="16" t="s">
        <v>7246</v>
      </c>
      <c r="E465" s="16" t="s">
        <v>74</v>
      </c>
    </row>
    <row r="466">
      <c r="A466" s="1" t="s">
        <v>5836</v>
      </c>
      <c r="B466" s="15">
        <f>+918249097433</f>
        <v>918249097433</v>
      </c>
      <c r="C466" s="15" t="str">
        <f t="shared" si="1"/>
        <v>nirakardas.tu2@gmail.com918249097433</v>
      </c>
      <c r="D466" s="16" t="s">
        <v>7247</v>
      </c>
      <c r="E466" s="16" t="s">
        <v>68</v>
      </c>
    </row>
    <row r="467">
      <c r="A467" s="1" t="s">
        <v>2477</v>
      </c>
      <c r="B467" s="15">
        <f>+918601624514</f>
        <v>918601624514</v>
      </c>
      <c r="C467" s="15" t="str">
        <f t="shared" si="1"/>
        <v>anuradhashukla143@gmail.com918601624514</v>
      </c>
      <c r="D467" s="16" t="s">
        <v>7248</v>
      </c>
      <c r="E467" s="16" t="s">
        <v>68</v>
      </c>
    </row>
    <row r="468">
      <c r="A468" s="1" t="s">
        <v>4577</v>
      </c>
      <c r="B468" s="15">
        <f>+919846554389</f>
        <v>919846554389</v>
      </c>
      <c r="C468" s="15" t="str">
        <f t="shared" si="1"/>
        <v>fareeda.i.k@gmail.com919846554389</v>
      </c>
      <c r="D468" s="16" t="s">
        <v>7249</v>
      </c>
      <c r="E468" s="16" t="s">
        <v>68</v>
      </c>
    </row>
    <row r="469">
      <c r="A469" s="1" t="s">
        <v>5337</v>
      </c>
      <c r="B469" s="15">
        <f>+919888298806</f>
        <v>919888298806</v>
      </c>
      <c r="C469" s="15" t="str">
        <f t="shared" si="1"/>
        <v>harpreet.hunjan29@gmail.com919888298806</v>
      </c>
      <c r="D469" s="16" t="s">
        <v>7250</v>
      </c>
      <c r="E469" s="16" t="s">
        <v>68</v>
      </c>
    </row>
    <row r="470">
      <c r="A470" s="1" t="s">
        <v>7251</v>
      </c>
      <c r="B470" s="15">
        <f>+919903955300</f>
        <v>919903955300</v>
      </c>
      <c r="C470" s="15" t="str">
        <f t="shared" si="1"/>
        <v>raheetvts@gmail.com919903955300</v>
      </c>
      <c r="D470" s="16" t="s">
        <v>7252</v>
      </c>
      <c r="E470" s="16" t="s">
        <v>74</v>
      </c>
    </row>
    <row r="471">
      <c r="A471" s="1" t="s">
        <v>5747</v>
      </c>
      <c r="B471" s="15">
        <f>+919818071446</f>
        <v>919818071446</v>
      </c>
      <c r="C471" s="15" t="str">
        <f t="shared" si="1"/>
        <v>mayank.anku@gmail.com919818071446</v>
      </c>
      <c r="D471" s="16" t="s">
        <v>7253</v>
      </c>
      <c r="E471" s="16" t="s">
        <v>74</v>
      </c>
    </row>
    <row r="472">
      <c r="A472" s="1" t="s">
        <v>7251</v>
      </c>
      <c r="B472" s="15">
        <f>+919903955300</f>
        <v>919903955300</v>
      </c>
      <c r="C472" s="15" t="str">
        <f t="shared" si="1"/>
        <v>raheetvts@gmail.com919903955300</v>
      </c>
      <c r="D472" s="16" t="s">
        <v>7254</v>
      </c>
      <c r="E472" s="16" t="s">
        <v>74</v>
      </c>
    </row>
    <row r="473">
      <c r="A473" s="1" t="s">
        <v>5837</v>
      </c>
      <c r="B473" s="15">
        <f>+919075491730</f>
        <v>919075491730</v>
      </c>
      <c r="C473" s="15" t="str">
        <f t="shared" si="1"/>
        <v>vneha416@gmail.com919075491730</v>
      </c>
      <c r="D473" s="16" t="s">
        <v>7255</v>
      </c>
      <c r="E473" s="16" t="s">
        <v>68</v>
      </c>
    </row>
    <row r="474">
      <c r="A474" s="1" t="s">
        <v>6221</v>
      </c>
      <c r="B474" s="15">
        <f>+919844982111</f>
        <v>919844982111</v>
      </c>
      <c r="C474" s="15" t="str">
        <f t="shared" si="1"/>
        <v>nagnishanth94@gmail.com919844982111</v>
      </c>
      <c r="D474" s="16" t="s">
        <v>7256</v>
      </c>
      <c r="E474" s="16" t="s">
        <v>68</v>
      </c>
    </row>
    <row r="475">
      <c r="A475" s="1" t="s">
        <v>5748</v>
      </c>
      <c r="B475" s="15">
        <f>+919531868088</f>
        <v>919531868088</v>
      </c>
      <c r="C475" s="15" t="str">
        <f t="shared" si="1"/>
        <v>madhureddy2019cse@gmail.com919531868088</v>
      </c>
      <c r="D475" s="16" t="s">
        <v>7257</v>
      </c>
      <c r="E475" s="16" t="s">
        <v>68</v>
      </c>
    </row>
    <row r="476">
      <c r="A476" s="1" t="s">
        <v>4345</v>
      </c>
      <c r="B476" s="15">
        <f>+917888328650</f>
        <v>917888328650</v>
      </c>
      <c r="C476" s="15" t="str">
        <f t="shared" si="1"/>
        <v>sonalmtech89@gmail.com917888328650</v>
      </c>
      <c r="D476" s="16" t="s">
        <v>7258</v>
      </c>
      <c r="E476" s="16" t="s">
        <v>68</v>
      </c>
    </row>
    <row r="477">
      <c r="A477" s="1" t="s">
        <v>7141</v>
      </c>
      <c r="B477" s="15">
        <f>+919680009784</f>
        <v>919680009784</v>
      </c>
      <c r="C477" s="15" t="str">
        <f t="shared" si="1"/>
        <v>vmk.vibha@outlook.com919680009784</v>
      </c>
      <c r="D477" s="16" t="s">
        <v>7259</v>
      </c>
      <c r="E477" s="16" t="s">
        <v>68</v>
      </c>
    </row>
    <row r="478">
      <c r="A478" s="1" t="s">
        <v>6372</v>
      </c>
      <c r="B478" s="15">
        <f>+919912683968</f>
        <v>919912683968</v>
      </c>
      <c r="C478" s="15" t="str">
        <f t="shared" si="1"/>
        <v>sateeshgovind@gmail.com919912683968</v>
      </c>
      <c r="D478" s="16" t="s">
        <v>7260</v>
      </c>
      <c r="E478" s="16" t="s">
        <v>68</v>
      </c>
    </row>
    <row r="479">
      <c r="A479" s="1" t="s">
        <v>5749</v>
      </c>
      <c r="B479" s="15">
        <f>+919819871361</f>
        <v>919819871361</v>
      </c>
      <c r="C479" s="15" t="str">
        <f t="shared" si="1"/>
        <v>dkumar2105@gmail.com919819871361</v>
      </c>
      <c r="D479" s="16" t="s">
        <v>7261</v>
      </c>
      <c r="E479" s="16" t="s">
        <v>68</v>
      </c>
    </row>
    <row r="480">
      <c r="A480" s="1" t="s">
        <v>3341</v>
      </c>
      <c r="B480" s="15">
        <f>+919660030025</f>
        <v>919660030025</v>
      </c>
      <c r="C480" s="15" t="str">
        <f t="shared" si="1"/>
        <v>kamalsandhu35@icloud.com919660030025</v>
      </c>
      <c r="D480" s="16" t="s">
        <v>7262</v>
      </c>
      <c r="E480" s="16" t="s">
        <v>68</v>
      </c>
    </row>
    <row r="481">
      <c r="A481" s="1" t="s">
        <v>5832</v>
      </c>
      <c r="B481" s="15">
        <f>+918860704290</f>
        <v>918860704290</v>
      </c>
      <c r="C481" s="15" t="str">
        <f t="shared" si="1"/>
        <v>ravi.kapoor2289@gmail.com918860704290</v>
      </c>
      <c r="D481" s="16" t="s">
        <v>7263</v>
      </c>
      <c r="E481" s="16" t="s">
        <v>68</v>
      </c>
    </row>
    <row r="482">
      <c r="A482" s="1" t="s">
        <v>5977</v>
      </c>
      <c r="B482" s="15">
        <f>+919223161718</f>
        <v>919223161718</v>
      </c>
      <c r="C482" s="15" t="str">
        <f t="shared" si="1"/>
        <v>suhaswpanchal@gmail.com919223161718</v>
      </c>
      <c r="D482" s="16" t="s">
        <v>7264</v>
      </c>
      <c r="E482" s="16" t="s">
        <v>68</v>
      </c>
    </row>
    <row r="483">
      <c r="A483" s="1" t="s">
        <v>3337</v>
      </c>
      <c r="B483" s="15">
        <f>+917022971161</f>
        <v>917022971161</v>
      </c>
      <c r="C483" s="15" t="str">
        <f t="shared" si="1"/>
        <v>ashwani.acharya.che11@itbhu.ac.in917022971161</v>
      </c>
      <c r="D483" s="16" t="s">
        <v>7265</v>
      </c>
      <c r="E483" s="16" t="s">
        <v>68</v>
      </c>
    </row>
    <row r="484">
      <c r="A484" s="1" t="s">
        <v>3307</v>
      </c>
      <c r="B484" s="15">
        <f>+919666364632</f>
        <v>919666364632</v>
      </c>
      <c r="C484" s="15" t="str">
        <f t="shared" si="1"/>
        <v>nagarjunaedx@gmail.com919666364632</v>
      </c>
      <c r="D484" s="16" t="s">
        <v>7266</v>
      </c>
      <c r="E484" s="16" t="s">
        <v>68</v>
      </c>
    </row>
    <row r="485">
      <c r="A485" s="1" t="s">
        <v>7267</v>
      </c>
      <c r="B485" s="15">
        <f t="shared" ref="B485:B486" si="65">+919840810379</f>
        <v>919840810379</v>
      </c>
      <c r="C485" s="15" t="str">
        <f t="shared" si="1"/>
        <v>krish.parthi@gmail.com919840810379</v>
      </c>
      <c r="D485" s="16" t="s">
        <v>7268</v>
      </c>
      <c r="E485" s="16" t="s">
        <v>68</v>
      </c>
    </row>
    <row r="486">
      <c r="A486" s="1" t="s">
        <v>7267</v>
      </c>
      <c r="B486" s="15">
        <f t="shared" si="65"/>
        <v>919840810379</v>
      </c>
      <c r="C486" s="15" t="str">
        <f t="shared" si="1"/>
        <v>krish.parthi@gmail.com919840810379</v>
      </c>
      <c r="D486" s="16" t="s">
        <v>7269</v>
      </c>
      <c r="E486" s="16" t="s">
        <v>68</v>
      </c>
    </row>
    <row r="487">
      <c r="A487" s="1" t="s">
        <v>5454</v>
      </c>
      <c r="B487" s="15">
        <f>+919539707907</f>
        <v>919539707907</v>
      </c>
      <c r="C487" s="15" t="str">
        <f t="shared" si="1"/>
        <v>4489005@gmail.com919539707907</v>
      </c>
      <c r="D487" s="16" t="s">
        <v>7270</v>
      </c>
      <c r="E487" s="16" t="s">
        <v>68</v>
      </c>
    </row>
    <row r="488">
      <c r="A488" s="1" t="s">
        <v>5102</v>
      </c>
      <c r="B488" s="15">
        <f>+919830059596</f>
        <v>919830059596</v>
      </c>
      <c r="C488" s="15" t="str">
        <f t="shared" si="1"/>
        <v>mohit.damani@ymail.com919830059596</v>
      </c>
      <c r="D488" s="16" t="s">
        <v>7271</v>
      </c>
      <c r="E488" s="16" t="s">
        <v>68</v>
      </c>
    </row>
    <row r="489">
      <c r="A489" s="1" t="s">
        <v>7272</v>
      </c>
      <c r="B489" s="15">
        <f>+917777924999</f>
        <v>917777924999</v>
      </c>
      <c r="C489" s="15" t="str">
        <f t="shared" si="1"/>
        <v>sidrabari94@gmail.com917777924999</v>
      </c>
      <c r="D489" s="16" t="s">
        <v>7273</v>
      </c>
      <c r="E489" s="16" t="s">
        <v>74</v>
      </c>
    </row>
    <row r="490">
      <c r="A490" s="1" t="s">
        <v>5334</v>
      </c>
      <c r="B490" s="15">
        <f>+919958275458</f>
        <v>919958275458</v>
      </c>
      <c r="C490" s="15" t="str">
        <f t="shared" si="1"/>
        <v>neha.goyal.1190@gmail.com919958275458</v>
      </c>
      <c r="D490" s="16" t="s">
        <v>7274</v>
      </c>
      <c r="E490" s="16" t="s">
        <v>68</v>
      </c>
    </row>
    <row r="491">
      <c r="A491" s="1" t="s">
        <v>7275</v>
      </c>
      <c r="B491" s="15">
        <f>+919831338888</f>
        <v>919831338888</v>
      </c>
      <c r="C491" s="15" t="str">
        <f t="shared" si="1"/>
        <v>abhishekiem4@gmail.com919831338888</v>
      </c>
      <c r="D491" s="16" t="s">
        <v>7276</v>
      </c>
      <c r="E491" s="16" t="s">
        <v>151</v>
      </c>
    </row>
    <row r="492">
      <c r="A492" s="1" t="s">
        <v>7277</v>
      </c>
      <c r="B492" s="15">
        <f>+919741112084</f>
        <v>919741112084</v>
      </c>
      <c r="C492" s="15" t="str">
        <f t="shared" si="1"/>
        <v>simransadhwani@gmail.com919741112084</v>
      </c>
      <c r="D492" s="16" t="s">
        <v>7278</v>
      </c>
      <c r="E492" s="16" t="s">
        <v>74</v>
      </c>
    </row>
    <row r="493">
      <c r="A493" s="1" t="s">
        <v>2756</v>
      </c>
      <c r="B493" s="15">
        <f t="shared" ref="B493:B495" si="66">+918073019575</f>
        <v>918073019575</v>
      </c>
      <c r="C493" s="15" t="str">
        <f t="shared" si="1"/>
        <v>anjalivijayakumar26@gmail.com918073019575</v>
      </c>
      <c r="D493" s="16" t="s">
        <v>7279</v>
      </c>
      <c r="E493" s="16" t="s">
        <v>74</v>
      </c>
    </row>
    <row r="494">
      <c r="A494" s="1" t="s">
        <v>2756</v>
      </c>
      <c r="B494" s="15">
        <f t="shared" si="66"/>
        <v>918073019575</v>
      </c>
      <c r="C494" s="15" t="str">
        <f t="shared" si="1"/>
        <v>anjalivijayakumar26@gmail.com918073019575</v>
      </c>
      <c r="D494" s="16" t="s">
        <v>7280</v>
      </c>
      <c r="E494" s="16" t="s">
        <v>74</v>
      </c>
    </row>
    <row r="495">
      <c r="A495" s="1" t="s">
        <v>2756</v>
      </c>
      <c r="B495" s="15">
        <f t="shared" si="66"/>
        <v>918073019575</v>
      </c>
      <c r="C495" s="15" t="str">
        <f t="shared" si="1"/>
        <v>anjalivijayakumar26@gmail.com918073019575</v>
      </c>
      <c r="D495" s="16" t="s">
        <v>7281</v>
      </c>
      <c r="E495" s="16" t="s">
        <v>74</v>
      </c>
    </row>
    <row r="496">
      <c r="A496" s="1" t="s">
        <v>5833</v>
      </c>
      <c r="B496" s="15">
        <f>+919871014612</f>
        <v>919871014612</v>
      </c>
      <c r="C496" s="15" t="str">
        <f t="shared" si="1"/>
        <v>joggaasingh@gmail.com919871014612</v>
      </c>
      <c r="D496" s="16" t="s">
        <v>7282</v>
      </c>
      <c r="E496" s="16" t="s">
        <v>68</v>
      </c>
    </row>
    <row r="497">
      <c r="A497" s="1" t="s">
        <v>7283</v>
      </c>
      <c r="B497" s="15">
        <f t="shared" ref="B497:B498" si="67">+919166106191</f>
        <v>919166106191</v>
      </c>
      <c r="C497" s="15" t="str">
        <f t="shared" si="1"/>
        <v>rastogivishal00011@gmail.com919166106191</v>
      </c>
      <c r="D497" s="16" t="s">
        <v>7284</v>
      </c>
      <c r="E497" s="16" t="s">
        <v>151</v>
      </c>
    </row>
    <row r="498">
      <c r="A498" s="1" t="s">
        <v>7283</v>
      </c>
      <c r="B498" s="15">
        <f t="shared" si="67"/>
        <v>919166106191</v>
      </c>
      <c r="C498" s="15" t="str">
        <f t="shared" si="1"/>
        <v>rastogivishal00011@gmail.com919166106191</v>
      </c>
      <c r="D498" s="16" t="s">
        <v>7285</v>
      </c>
      <c r="E498" s="16" t="s">
        <v>151</v>
      </c>
    </row>
    <row r="499">
      <c r="A499" s="1" t="s">
        <v>5833</v>
      </c>
      <c r="B499" s="15">
        <f>+919871014612</f>
        <v>919871014612</v>
      </c>
      <c r="C499" s="15" t="str">
        <f t="shared" si="1"/>
        <v>joggaasingh@gmail.com919871014612</v>
      </c>
      <c r="D499" s="16" t="s">
        <v>7286</v>
      </c>
      <c r="E499" s="16" t="s">
        <v>68</v>
      </c>
    </row>
    <row r="500">
      <c r="A500" s="1" t="s">
        <v>6570</v>
      </c>
      <c r="B500" s="15">
        <f t="shared" ref="B500:B501" si="68">+919818148156</f>
        <v>919818148156</v>
      </c>
      <c r="C500" s="15" t="str">
        <f t="shared" si="1"/>
        <v>monika300383@gmail.com919818148156</v>
      </c>
      <c r="D500" s="16" t="s">
        <v>7287</v>
      </c>
      <c r="E500" s="16" t="s">
        <v>151</v>
      </c>
    </row>
    <row r="501">
      <c r="A501" s="1" t="s">
        <v>6570</v>
      </c>
      <c r="B501" s="15">
        <f t="shared" si="68"/>
        <v>919818148156</v>
      </c>
      <c r="C501" s="15" t="str">
        <f t="shared" si="1"/>
        <v>monika300383@gmail.com919818148156</v>
      </c>
      <c r="D501" s="16" t="s">
        <v>7288</v>
      </c>
      <c r="E501" s="16" t="s">
        <v>151</v>
      </c>
    </row>
    <row r="502">
      <c r="A502" s="1" t="s">
        <v>6371</v>
      </c>
      <c r="B502" s="15">
        <f>+917972793242</f>
        <v>917972793242</v>
      </c>
      <c r="C502" s="15" t="str">
        <f t="shared" si="1"/>
        <v>sanket.kondekar4@gmail.com917972793242</v>
      </c>
      <c r="D502" s="16" t="s">
        <v>7289</v>
      </c>
      <c r="E502" s="16" t="s">
        <v>68</v>
      </c>
    </row>
    <row r="503">
      <c r="A503" s="1" t="s">
        <v>3310</v>
      </c>
      <c r="B503" s="15">
        <f>+918105403746</f>
        <v>918105403746</v>
      </c>
      <c r="C503" s="15" t="str">
        <f t="shared" si="1"/>
        <v>veonaveo@gmail.com918105403746</v>
      </c>
      <c r="D503" s="16" t="s">
        <v>7290</v>
      </c>
      <c r="E503" s="16" t="s">
        <v>68</v>
      </c>
    </row>
    <row r="504">
      <c r="A504" s="1" t="s">
        <v>3338</v>
      </c>
      <c r="B504" s="15">
        <f>+918527778472</f>
        <v>918527778472</v>
      </c>
      <c r="C504" s="15" t="str">
        <f t="shared" si="1"/>
        <v>srish2225@gmail.com918527778472</v>
      </c>
      <c r="D504" s="16" t="s">
        <v>7291</v>
      </c>
      <c r="E504" s="16" t="s">
        <v>68</v>
      </c>
    </row>
    <row r="505">
      <c r="A505" s="1" t="s">
        <v>6253</v>
      </c>
      <c r="B505" s="15">
        <f>+919713435860</f>
        <v>919713435860</v>
      </c>
      <c r="C505" s="15" t="str">
        <f t="shared" si="1"/>
        <v>kratirajak971@gmail.com919713435860</v>
      </c>
      <c r="D505" s="16" t="s">
        <v>7292</v>
      </c>
      <c r="E505" s="16" t="s">
        <v>68</v>
      </c>
    </row>
    <row r="506">
      <c r="A506" s="1" t="s">
        <v>5742</v>
      </c>
      <c r="B506" s="15">
        <f>+919867990322</f>
        <v>919867990322</v>
      </c>
      <c r="C506" s="15" t="str">
        <f t="shared" si="1"/>
        <v>khan.anwar1994@gmail.com919867990322</v>
      </c>
      <c r="D506" s="16" t="s">
        <v>7293</v>
      </c>
      <c r="E506" s="16" t="s">
        <v>68</v>
      </c>
    </row>
    <row r="507">
      <c r="A507" s="1" t="s">
        <v>5743</v>
      </c>
      <c r="B507" s="15">
        <f>+919654249733</f>
        <v>919654249733</v>
      </c>
      <c r="C507" s="15" t="str">
        <f t="shared" si="1"/>
        <v>ritwikkumar1412@gmail.com919654249733</v>
      </c>
      <c r="D507" s="16" t="s">
        <v>7294</v>
      </c>
      <c r="E507" s="16" t="s">
        <v>68</v>
      </c>
    </row>
    <row r="508">
      <c r="A508" s="1" t="s">
        <v>4575</v>
      </c>
      <c r="B508" s="15">
        <f t="shared" ref="B508:B509" si="69">+917003319678</f>
        <v>917003319678</v>
      </c>
      <c r="C508" s="15" t="str">
        <f t="shared" si="1"/>
        <v>pattanayakargha@gmail.com917003319678</v>
      </c>
      <c r="D508" s="16" t="s">
        <v>7295</v>
      </c>
      <c r="E508" s="16" t="s">
        <v>151</v>
      </c>
    </row>
    <row r="509">
      <c r="A509" s="1" t="s">
        <v>4575</v>
      </c>
      <c r="B509" s="15">
        <f t="shared" si="69"/>
        <v>917003319678</v>
      </c>
      <c r="C509" s="15" t="str">
        <f t="shared" si="1"/>
        <v>pattanayakargha@gmail.com917003319678</v>
      </c>
      <c r="D509" s="16" t="s">
        <v>7296</v>
      </c>
      <c r="E509" s="16" t="s">
        <v>68</v>
      </c>
    </row>
    <row r="510">
      <c r="A510" s="1" t="s">
        <v>7297</v>
      </c>
      <c r="B510" s="15">
        <f t="shared" ref="B510:B511" si="70">+918861303183</f>
        <v>918861303183</v>
      </c>
      <c r="C510" s="15" t="str">
        <f t="shared" si="1"/>
        <v>pallavi4291@gmail.com918861303183</v>
      </c>
      <c r="D510" s="16" t="s">
        <v>7298</v>
      </c>
      <c r="E510" s="16" t="s">
        <v>74</v>
      </c>
    </row>
    <row r="511">
      <c r="A511" s="1" t="s">
        <v>7297</v>
      </c>
      <c r="B511" s="15">
        <f t="shared" si="70"/>
        <v>918861303183</v>
      </c>
      <c r="C511" s="15" t="str">
        <f t="shared" si="1"/>
        <v>pallavi4291@gmail.com918861303183</v>
      </c>
      <c r="D511" s="16" t="s">
        <v>7299</v>
      </c>
      <c r="E511" s="16" t="s">
        <v>74</v>
      </c>
    </row>
    <row r="512">
      <c r="A512" s="1" t="s">
        <v>4278</v>
      </c>
      <c r="B512" s="15">
        <f>+919742733472</f>
        <v>919742733472</v>
      </c>
      <c r="C512" s="15" t="str">
        <f t="shared" si="1"/>
        <v>sonalavarku@gmail.com919742733472</v>
      </c>
      <c r="D512" s="16" t="s">
        <v>7300</v>
      </c>
      <c r="E512" s="16" t="s">
        <v>68</v>
      </c>
    </row>
    <row r="513">
      <c r="A513" s="1" t="s">
        <v>4344</v>
      </c>
      <c r="B513" s="15">
        <f>+919742197987</f>
        <v>919742197987</v>
      </c>
      <c r="C513" s="15" t="str">
        <f t="shared" si="1"/>
        <v>s.swethadri@gmail.com919742197987</v>
      </c>
      <c r="D513" s="16" t="s">
        <v>7301</v>
      </c>
      <c r="E513" s="16" t="s">
        <v>68</v>
      </c>
    </row>
    <row r="514">
      <c r="A514" s="1" t="s">
        <v>3013</v>
      </c>
      <c r="B514" s="15">
        <f>+917769040442</f>
        <v>917769040442</v>
      </c>
      <c r="C514" s="15" t="str">
        <f t="shared" si="1"/>
        <v>kaushika.badal@gmail.com917769040442</v>
      </c>
      <c r="D514" s="16" t="s">
        <v>7302</v>
      </c>
      <c r="E514" s="16" t="s">
        <v>68</v>
      </c>
    </row>
    <row r="515">
      <c r="A515" s="1" t="s">
        <v>5834</v>
      </c>
      <c r="B515" s="15">
        <f>+919993209318</f>
        <v>919993209318</v>
      </c>
      <c r="C515" s="15" t="str">
        <f t="shared" si="1"/>
        <v>gaurav.sindhiya@gmail.com919993209318</v>
      </c>
      <c r="D515" s="16" t="s">
        <v>7303</v>
      </c>
      <c r="E515" s="16" t="s">
        <v>151</v>
      </c>
    </row>
    <row r="516">
      <c r="A516" s="1" t="s">
        <v>3856</v>
      </c>
      <c r="B516" s="15">
        <f>+919968938999</f>
        <v>919968938999</v>
      </c>
      <c r="C516" s="15" t="str">
        <f t="shared" si="1"/>
        <v>bharat.oberoi.9@gmail.com919968938999</v>
      </c>
      <c r="D516" s="16" t="s">
        <v>7304</v>
      </c>
      <c r="E516" s="16" t="s">
        <v>74</v>
      </c>
    </row>
    <row r="517">
      <c r="A517" s="1" t="s">
        <v>5335</v>
      </c>
      <c r="B517" s="15">
        <f>+919873695983</f>
        <v>919873695983</v>
      </c>
      <c r="C517" s="15" t="str">
        <f t="shared" si="1"/>
        <v>nivedita.krishnan@ymail.com919873695983</v>
      </c>
      <c r="D517" s="16" t="s">
        <v>7305</v>
      </c>
      <c r="E517" s="16" t="s">
        <v>68</v>
      </c>
    </row>
    <row r="518">
      <c r="A518" s="1" t="s">
        <v>7306</v>
      </c>
      <c r="B518" s="15">
        <f>+917778994318</f>
        <v>917778994318</v>
      </c>
      <c r="C518" s="15" t="str">
        <f t="shared" si="1"/>
        <v>rumamahanti96@gmail.com917778994318</v>
      </c>
      <c r="D518" s="16" t="s">
        <v>7307</v>
      </c>
      <c r="E518" s="16" t="s">
        <v>74</v>
      </c>
    </row>
    <row r="519">
      <c r="A519" s="1" t="s">
        <v>431</v>
      </c>
      <c r="B519" s="15">
        <f t="shared" ref="B519:B520" si="71">+919912636113</f>
        <v>919912636113</v>
      </c>
      <c r="C519" s="15" t="str">
        <f t="shared" si="1"/>
        <v>lakshmimadeti23@gmail.com919912636113</v>
      </c>
      <c r="D519" s="16" t="s">
        <v>7308</v>
      </c>
      <c r="E519" s="16" t="s">
        <v>68</v>
      </c>
    </row>
    <row r="520">
      <c r="A520" s="1" t="s">
        <v>431</v>
      </c>
      <c r="B520" s="15">
        <f t="shared" si="71"/>
        <v>919912636113</v>
      </c>
      <c r="C520" s="15" t="str">
        <f t="shared" si="1"/>
        <v>lakshmimadeti23@gmail.com919912636113</v>
      </c>
      <c r="D520" s="16" t="s">
        <v>7309</v>
      </c>
      <c r="E520" s="16" t="s">
        <v>68</v>
      </c>
    </row>
    <row r="521">
      <c r="A521" s="1" t="s">
        <v>7310</v>
      </c>
      <c r="B521" s="15">
        <f t="shared" ref="B521:B522" si="72">+919980238179</f>
        <v>919980238179</v>
      </c>
      <c r="C521" s="15" t="str">
        <f t="shared" si="1"/>
        <v>anuradha.n68@gmail.com919980238179</v>
      </c>
      <c r="D521" s="16" t="s">
        <v>7311</v>
      </c>
      <c r="E521" s="16" t="s">
        <v>151</v>
      </c>
    </row>
    <row r="522">
      <c r="A522" s="1" t="s">
        <v>7310</v>
      </c>
      <c r="B522" s="15">
        <f t="shared" si="72"/>
        <v>919980238179</v>
      </c>
      <c r="C522" s="15" t="str">
        <f t="shared" si="1"/>
        <v>anuradha.n68@gmail.com919980238179</v>
      </c>
      <c r="D522" s="16" t="s">
        <v>7312</v>
      </c>
      <c r="E522" s="16" t="s">
        <v>151</v>
      </c>
    </row>
    <row r="523">
      <c r="A523" s="1" t="s">
        <v>4292</v>
      </c>
      <c r="B523" s="15">
        <f>+919953295925</f>
        <v>919953295925</v>
      </c>
      <c r="C523" s="15" t="str">
        <f t="shared" si="1"/>
        <v>sanya.sabharwal@gmail.com919953295925</v>
      </c>
      <c r="D523" s="16" t="s">
        <v>7313</v>
      </c>
      <c r="E523" s="16" t="s">
        <v>68</v>
      </c>
    </row>
    <row r="524">
      <c r="A524" s="1" t="s">
        <v>7310</v>
      </c>
      <c r="B524" s="15">
        <f>+919980238179</f>
        <v>919980238179</v>
      </c>
      <c r="C524" s="15" t="str">
        <f t="shared" si="1"/>
        <v>anuradha.n68@gmail.com919980238179</v>
      </c>
      <c r="D524" s="16" t="s">
        <v>7314</v>
      </c>
      <c r="E524" s="16" t="s">
        <v>151</v>
      </c>
    </row>
    <row r="525">
      <c r="A525" s="1" t="s">
        <v>4739</v>
      </c>
      <c r="B525" s="15">
        <f>+919756031125</f>
        <v>919756031125</v>
      </c>
      <c r="C525" s="15" t="str">
        <f t="shared" si="1"/>
        <v>singhsangeet120@gmail.com919756031125</v>
      </c>
      <c r="D525" s="16" t="s">
        <v>7315</v>
      </c>
      <c r="E525" s="16" t="s">
        <v>68</v>
      </c>
    </row>
    <row r="526">
      <c r="A526" s="1" t="s">
        <v>4572</v>
      </c>
      <c r="B526" s="15">
        <f t="shared" ref="B526:B527" si="73">+919322798720</f>
        <v>919322798720</v>
      </c>
      <c r="C526" s="15" t="str">
        <f t="shared" si="1"/>
        <v>guptamona911@gmail.com919322798720</v>
      </c>
      <c r="D526" s="16" t="s">
        <v>7316</v>
      </c>
      <c r="E526" s="16" t="s">
        <v>74</v>
      </c>
    </row>
    <row r="527">
      <c r="A527" s="1" t="s">
        <v>4572</v>
      </c>
      <c r="B527" s="15">
        <f t="shared" si="73"/>
        <v>919322798720</v>
      </c>
      <c r="C527" s="15" t="str">
        <f t="shared" si="1"/>
        <v>guptamona911@gmail.com919322798720</v>
      </c>
      <c r="D527" s="16" t="s">
        <v>7317</v>
      </c>
      <c r="E527" s="16" t="s">
        <v>74</v>
      </c>
    </row>
    <row r="528">
      <c r="A528" s="1" t="s">
        <v>7318</v>
      </c>
      <c r="B528" s="15">
        <f t="shared" ref="B528:B530" si="74">+919246340028</f>
        <v>919246340028</v>
      </c>
      <c r="C528" s="15" t="str">
        <f t="shared" si="1"/>
        <v>pothinenirajani@gmail.com919246340028</v>
      </c>
      <c r="D528" s="16" t="s">
        <v>7319</v>
      </c>
      <c r="E528" s="16" t="s">
        <v>74</v>
      </c>
    </row>
    <row r="529">
      <c r="A529" s="1" t="s">
        <v>7318</v>
      </c>
      <c r="B529" s="15">
        <f t="shared" si="74"/>
        <v>919246340028</v>
      </c>
      <c r="C529" s="15" t="str">
        <f t="shared" si="1"/>
        <v>pothinenirajani@gmail.com919246340028</v>
      </c>
      <c r="D529" s="16" t="s">
        <v>7320</v>
      </c>
      <c r="E529" s="16" t="s">
        <v>74</v>
      </c>
    </row>
    <row r="530">
      <c r="A530" s="1" t="s">
        <v>7318</v>
      </c>
      <c r="B530" s="15">
        <f t="shared" si="74"/>
        <v>919246340028</v>
      </c>
      <c r="C530" s="15" t="str">
        <f t="shared" si="1"/>
        <v>pothinenirajani@gmail.com919246340028</v>
      </c>
      <c r="D530" s="16" t="s">
        <v>7321</v>
      </c>
      <c r="E530" s="16" t="s">
        <v>74</v>
      </c>
    </row>
    <row r="531">
      <c r="A531" s="1" t="s">
        <v>5744</v>
      </c>
      <c r="B531" s="15">
        <f>+917331128150</f>
        <v>917331128150</v>
      </c>
      <c r="C531" s="15" t="str">
        <f t="shared" si="1"/>
        <v>zainahmedd@gmail.com917331128150</v>
      </c>
      <c r="D531" s="16" t="s">
        <v>7322</v>
      </c>
      <c r="E531" s="16" t="s">
        <v>74</v>
      </c>
    </row>
    <row r="532">
      <c r="A532" s="1" t="s">
        <v>7112</v>
      </c>
      <c r="B532" s="15">
        <f t="shared" ref="B532:B536" si="75">+918420562779</f>
        <v>918420562779</v>
      </c>
      <c r="C532" s="15" t="str">
        <f t="shared" si="1"/>
        <v>brewertiffany30@gmail.com918420562779</v>
      </c>
      <c r="D532" s="16" t="s">
        <v>7323</v>
      </c>
      <c r="E532" s="16" t="s">
        <v>151</v>
      </c>
    </row>
    <row r="533">
      <c r="A533" s="1" t="s">
        <v>7112</v>
      </c>
      <c r="B533" s="15">
        <f t="shared" si="75"/>
        <v>918420562779</v>
      </c>
      <c r="C533" s="15" t="str">
        <f t="shared" si="1"/>
        <v>brewertiffany30@gmail.com918420562779</v>
      </c>
      <c r="D533" s="16" t="s">
        <v>7324</v>
      </c>
      <c r="E533" s="16" t="s">
        <v>151</v>
      </c>
    </row>
    <row r="534">
      <c r="A534" s="1" t="s">
        <v>7112</v>
      </c>
      <c r="B534" s="15">
        <f t="shared" si="75"/>
        <v>918420562779</v>
      </c>
      <c r="C534" s="15" t="str">
        <f t="shared" si="1"/>
        <v>brewertiffany30@gmail.com918420562779</v>
      </c>
      <c r="D534" s="16" t="s">
        <v>7325</v>
      </c>
      <c r="E534" s="16" t="s">
        <v>151</v>
      </c>
    </row>
    <row r="535">
      <c r="A535" s="1" t="s">
        <v>7112</v>
      </c>
      <c r="B535" s="15">
        <f t="shared" si="75"/>
        <v>918420562779</v>
      </c>
      <c r="C535" s="15" t="str">
        <f t="shared" si="1"/>
        <v>brewertiffany30@gmail.com918420562779</v>
      </c>
      <c r="D535" s="16" t="s">
        <v>7326</v>
      </c>
      <c r="E535" s="16" t="s">
        <v>68</v>
      </c>
    </row>
    <row r="536">
      <c r="A536" s="1" t="s">
        <v>7112</v>
      </c>
      <c r="B536" s="15">
        <f t="shared" si="75"/>
        <v>918420562779</v>
      </c>
      <c r="C536" s="15" t="str">
        <f t="shared" si="1"/>
        <v>brewertiffany30@gmail.com918420562779</v>
      </c>
      <c r="D536" s="16" t="s">
        <v>7327</v>
      </c>
      <c r="E536" s="16" t="s">
        <v>68</v>
      </c>
    </row>
    <row r="537">
      <c r="A537" s="1" t="s">
        <v>2476</v>
      </c>
      <c r="B537" s="15">
        <f>+919030736603</f>
        <v>919030736603</v>
      </c>
      <c r="C537" s="15" t="str">
        <f t="shared" si="1"/>
        <v>sachin225sandy@gmail.com919030736603</v>
      </c>
      <c r="D537" s="16" t="s">
        <v>7328</v>
      </c>
      <c r="E537" s="16" t="s">
        <v>74</v>
      </c>
    </row>
    <row r="538">
      <c r="A538" s="1" t="s">
        <v>3199</v>
      </c>
      <c r="B538" s="15">
        <f>+919821906559</f>
        <v>919821906559</v>
      </c>
      <c r="C538" s="15" t="str">
        <f t="shared" si="1"/>
        <v>shinjinimudgil@gmail.com919821906559</v>
      </c>
      <c r="D538" s="16" t="s">
        <v>7329</v>
      </c>
      <c r="E538" s="16" t="s">
        <v>68</v>
      </c>
    </row>
    <row r="539">
      <c r="A539" s="1" t="s">
        <v>2647</v>
      </c>
      <c r="B539" s="15">
        <f>+918454949008</f>
        <v>918454949008</v>
      </c>
      <c r="C539" s="15" t="str">
        <f t="shared" si="1"/>
        <v>padmaja.sreerangam@gmail.com918454949008</v>
      </c>
      <c r="D539" s="16" t="s">
        <v>7330</v>
      </c>
      <c r="E539" s="16" t="s">
        <v>74</v>
      </c>
    </row>
    <row r="540">
      <c r="A540" s="1" t="s">
        <v>5103</v>
      </c>
      <c r="B540" s="15">
        <f>+919701840023</f>
        <v>919701840023</v>
      </c>
      <c r="C540" s="15" t="str">
        <f t="shared" si="1"/>
        <v>tanyamuralibpl@gmail.com919701840023</v>
      </c>
      <c r="D540" s="16" t="s">
        <v>7331</v>
      </c>
      <c r="E540" s="16" t="s">
        <v>68</v>
      </c>
    </row>
    <row r="541">
      <c r="A541" s="1" t="s">
        <v>4891</v>
      </c>
      <c r="B541" s="15">
        <f>+918349435577</f>
        <v>918349435577</v>
      </c>
      <c r="C541" s="15" t="str">
        <f t="shared" si="1"/>
        <v>dhwaani@gmail.com918349435577</v>
      </c>
      <c r="D541" s="16" t="s">
        <v>7332</v>
      </c>
      <c r="E541" s="16" t="s">
        <v>68</v>
      </c>
    </row>
    <row r="542">
      <c r="A542" s="1" t="s">
        <v>5835</v>
      </c>
      <c r="B542" s="15">
        <f>+918375983569</f>
        <v>918375983569</v>
      </c>
      <c r="C542" s="15" t="str">
        <f t="shared" si="1"/>
        <v>manjotkaurrathore@gmail.com918375983569</v>
      </c>
      <c r="D542" s="16" t="s">
        <v>7333</v>
      </c>
      <c r="E542" s="16" t="s">
        <v>74</v>
      </c>
    </row>
    <row r="543">
      <c r="A543" s="1" t="s">
        <v>5960</v>
      </c>
      <c r="B543" s="15">
        <f>+919999058863</f>
        <v>919999058863</v>
      </c>
      <c r="C543" s="15" t="str">
        <f t="shared" si="1"/>
        <v>preeti2910@gmail.com919999058863</v>
      </c>
      <c r="D543" s="16" t="s">
        <v>7334</v>
      </c>
      <c r="E543" s="16" t="s">
        <v>74</v>
      </c>
    </row>
    <row r="544">
      <c r="A544" s="1" t="s">
        <v>3340</v>
      </c>
      <c r="B544" s="15">
        <f>+918332850364</f>
        <v>918332850364</v>
      </c>
      <c r="C544" s="15" t="str">
        <f t="shared" si="1"/>
        <v>shivalikakant@gmail.com918332850364</v>
      </c>
      <c r="D544" s="16" t="s">
        <v>7335</v>
      </c>
      <c r="E544" s="16" t="s">
        <v>74</v>
      </c>
    </row>
    <row r="545">
      <c r="A545" s="1" t="s">
        <v>4634</v>
      </c>
      <c r="B545" s="15">
        <f>+919482182652</f>
        <v>919482182652</v>
      </c>
      <c r="C545" s="15" t="str">
        <f t="shared" si="1"/>
        <v>samartha2899@gmail.com919482182652</v>
      </c>
      <c r="D545" s="16" t="s">
        <v>7336</v>
      </c>
      <c r="E545" s="16" t="s">
        <v>68</v>
      </c>
    </row>
    <row r="546">
      <c r="A546" s="1" t="s">
        <v>2757</v>
      </c>
      <c r="B546" s="15">
        <f>+919101404824</f>
        <v>919101404824</v>
      </c>
      <c r="C546" s="15" t="str">
        <f t="shared" si="1"/>
        <v>dimpysharma2008@gmail.com919101404824</v>
      </c>
      <c r="D546" s="16" t="s">
        <v>7337</v>
      </c>
      <c r="E546" s="16" t="s">
        <v>74</v>
      </c>
    </row>
    <row r="547">
      <c r="A547" s="1" t="s">
        <v>3311</v>
      </c>
      <c r="B547" s="15">
        <f>+919560118830</f>
        <v>919560118830</v>
      </c>
      <c r="C547" s="15" t="str">
        <f t="shared" si="1"/>
        <v>martinjoseph26@gmail.com919560118830</v>
      </c>
      <c r="D547" s="16" t="s">
        <v>7338</v>
      </c>
      <c r="E547" s="16" t="s">
        <v>68</v>
      </c>
    </row>
    <row r="548">
      <c r="A548" s="1" t="s">
        <v>7339</v>
      </c>
      <c r="B548" s="15">
        <f>+919888781738</f>
        <v>919888781738</v>
      </c>
      <c r="C548" s="15" t="str">
        <f t="shared" si="1"/>
        <v>vineetshukla0910@gmail.com919888781738</v>
      </c>
      <c r="D548" s="16" t="s">
        <v>7340</v>
      </c>
      <c r="E548" s="16" t="s">
        <v>74</v>
      </c>
    </row>
    <row r="549">
      <c r="A549" s="1" t="s">
        <v>5755</v>
      </c>
      <c r="B549" s="15">
        <f>+919398229415</f>
        <v>919398229415</v>
      </c>
      <c r="C549" s="15" t="str">
        <f t="shared" si="1"/>
        <v>hemu.monu3@gmail.com919398229415</v>
      </c>
      <c r="D549" s="16" t="s">
        <v>7341</v>
      </c>
      <c r="E549" s="16" t="s">
        <v>68</v>
      </c>
    </row>
    <row r="550">
      <c r="A550" s="1" t="s">
        <v>4640</v>
      </c>
      <c r="B550" s="15">
        <f>+917489050790</f>
        <v>917489050790</v>
      </c>
      <c r="C550" s="15" t="str">
        <f t="shared" si="1"/>
        <v>hrkambsinha@outlook.com917489050790</v>
      </c>
      <c r="D550" s="16" t="s">
        <v>7342</v>
      </c>
      <c r="E550" s="16" t="s">
        <v>68</v>
      </c>
    </row>
    <row r="551">
      <c r="A551" s="1" t="s">
        <v>6617</v>
      </c>
      <c r="B551" s="15">
        <f>+919899916145</f>
        <v>919899916145</v>
      </c>
      <c r="C551" s="15" t="str">
        <f t="shared" si="1"/>
        <v>simple.gp7@gmail.com919899916145</v>
      </c>
      <c r="D551" s="16" t="s">
        <v>7343</v>
      </c>
      <c r="E551" s="16" t="s">
        <v>68</v>
      </c>
    </row>
    <row r="552">
      <c r="A552" s="1" t="s">
        <v>7344</v>
      </c>
      <c r="B552" s="15">
        <f>+919310818126</f>
        <v>919310818126</v>
      </c>
      <c r="C552" s="15" t="str">
        <f t="shared" si="1"/>
        <v>thebakery1509@gmail.com919310818126</v>
      </c>
      <c r="D552" s="16" t="s">
        <v>7345</v>
      </c>
      <c r="E552" s="16" t="s">
        <v>68</v>
      </c>
    </row>
    <row r="553">
      <c r="A553" s="1" t="s">
        <v>7346</v>
      </c>
      <c r="B553" s="15">
        <f>+918500769773</f>
        <v>918500769773</v>
      </c>
      <c r="C553" s="15" t="str">
        <f t="shared" si="1"/>
        <v>murukuti.sudhakar@gmail.com918500769773</v>
      </c>
      <c r="D553" s="16" t="s">
        <v>7347</v>
      </c>
      <c r="E553" s="16" t="s">
        <v>68</v>
      </c>
    </row>
    <row r="554">
      <c r="A554" s="1" t="s">
        <v>3342</v>
      </c>
      <c r="B554" s="15">
        <f>+917000398370</f>
        <v>917000398370</v>
      </c>
      <c r="C554" s="15" t="str">
        <f t="shared" si="1"/>
        <v>rahulluthra8819@gmail.com917000398370</v>
      </c>
      <c r="D554" s="16" t="s">
        <v>7348</v>
      </c>
      <c r="E554" s="16" t="s">
        <v>68</v>
      </c>
    </row>
    <row r="555">
      <c r="A555" s="1" t="s">
        <v>5455</v>
      </c>
      <c r="B555" s="15">
        <f>+918686808655</f>
        <v>918686808655</v>
      </c>
      <c r="C555" s="15" t="str">
        <f t="shared" si="1"/>
        <v>rxshah14@gmail.com918686808655</v>
      </c>
      <c r="D555" s="16" t="s">
        <v>7349</v>
      </c>
      <c r="E555" s="16" t="s">
        <v>68</v>
      </c>
    </row>
    <row r="556">
      <c r="A556" s="1" t="s">
        <v>5750</v>
      </c>
      <c r="B556" s="15">
        <f>+919100876678</f>
        <v>919100876678</v>
      </c>
      <c r="C556" s="15" t="str">
        <f t="shared" si="1"/>
        <v>ysivakireeti@gmail.com919100876678</v>
      </c>
      <c r="D556" s="16" t="s">
        <v>7350</v>
      </c>
      <c r="E556" s="16" t="s">
        <v>68</v>
      </c>
    </row>
    <row r="557">
      <c r="A557" s="1" t="s">
        <v>7351</v>
      </c>
      <c r="B557" s="15">
        <f>+918075643996</f>
        <v>918075643996</v>
      </c>
      <c r="C557" s="15" t="str">
        <f t="shared" si="1"/>
        <v>shivshankarjayanth@gmail.com918075643996</v>
      </c>
      <c r="D557" s="16" t="s">
        <v>7352</v>
      </c>
      <c r="E557" s="16" t="s">
        <v>68</v>
      </c>
    </row>
    <row r="558">
      <c r="A558" s="1" t="s">
        <v>7351</v>
      </c>
      <c r="B558" s="15">
        <f>+919446318384</f>
        <v>919446318384</v>
      </c>
      <c r="C558" s="15" t="str">
        <f t="shared" si="1"/>
        <v>shivshankarjayanth@gmail.com919446318384</v>
      </c>
      <c r="D558" s="16" t="s">
        <v>7353</v>
      </c>
      <c r="E558" s="16" t="s">
        <v>68</v>
      </c>
    </row>
    <row r="559">
      <c r="A559" s="1" t="s">
        <v>3344</v>
      </c>
      <c r="B559" s="15">
        <f>+919987903824</f>
        <v>919987903824</v>
      </c>
      <c r="C559" s="15" t="str">
        <f t="shared" si="1"/>
        <v>kunder.akshay3@gmail.com919987903824</v>
      </c>
      <c r="D559" s="16" t="s">
        <v>7354</v>
      </c>
      <c r="E559" s="16" t="s">
        <v>68</v>
      </c>
    </row>
    <row r="560">
      <c r="A560" s="1" t="s">
        <v>4637</v>
      </c>
      <c r="B560" s="15">
        <f t="shared" ref="B560:B561" si="76">+918938061732</f>
        <v>918938061732</v>
      </c>
      <c r="C560" s="15" t="str">
        <f t="shared" si="1"/>
        <v>mskohly@gmail.com918938061732</v>
      </c>
      <c r="D560" s="16" t="s">
        <v>7355</v>
      </c>
      <c r="E560" s="16" t="s">
        <v>74</v>
      </c>
    </row>
    <row r="561">
      <c r="A561" s="1" t="s">
        <v>4637</v>
      </c>
      <c r="B561" s="15">
        <f t="shared" si="76"/>
        <v>918938061732</v>
      </c>
      <c r="C561" s="15" t="str">
        <f t="shared" si="1"/>
        <v>mskohly@gmail.com918938061732</v>
      </c>
      <c r="D561" s="16" t="s">
        <v>7356</v>
      </c>
      <c r="E561" s="16" t="s">
        <v>74</v>
      </c>
    </row>
    <row r="562">
      <c r="A562" s="1" t="s">
        <v>5408</v>
      </c>
      <c r="B562" s="15">
        <f>+919916909335</f>
        <v>919916909335</v>
      </c>
      <c r="C562" s="15" t="str">
        <f t="shared" si="1"/>
        <v>satheeshurs@gmail.com919916909335</v>
      </c>
      <c r="D562" s="16" t="s">
        <v>7357</v>
      </c>
      <c r="E562" s="16" t="s">
        <v>68</v>
      </c>
    </row>
    <row r="563">
      <c r="A563" s="1" t="s">
        <v>7358</v>
      </c>
      <c r="B563" s="15">
        <f t="shared" ref="B563:B567" si="77">+919930845215</f>
        <v>919930845215</v>
      </c>
      <c r="C563" s="15" t="str">
        <f t="shared" si="1"/>
        <v>gitika.gharpure@gmail.com919930845215</v>
      </c>
      <c r="D563" s="16" t="s">
        <v>7359</v>
      </c>
      <c r="E563" s="16" t="s">
        <v>151</v>
      </c>
    </row>
    <row r="564">
      <c r="A564" s="1" t="s">
        <v>7358</v>
      </c>
      <c r="B564" s="15">
        <f t="shared" si="77"/>
        <v>919930845215</v>
      </c>
      <c r="C564" s="15" t="str">
        <f t="shared" si="1"/>
        <v>gitika.gharpure@gmail.com919930845215</v>
      </c>
      <c r="D564" s="16" t="s">
        <v>7360</v>
      </c>
      <c r="E564" s="16" t="s">
        <v>151</v>
      </c>
    </row>
    <row r="565">
      <c r="A565" s="1" t="s">
        <v>7358</v>
      </c>
      <c r="B565" s="15">
        <f t="shared" si="77"/>
        <v>919930845215</v>
      </c>
      <c r="C565" s="15" t="str">
        <f t="shared" si="1"/>
        <v>gitika.gharpure@gmail.com919930845215</v>
      </c>
      <c r="D565" s="16" t="s">
        <v>7361</v>
      </c>
      <c r="E565" s="16" t="s">
        <v>151</v>
      </c>
    </row>
    <row r="566">
      <c r="A566" s="1" t="s">
        <v>7358</v>
      </c>
      <c r="B566" s="15">
        <f t="shared" si="77"/>
        <v>919930845215</v>
      </c>
      <c r="C566" s="15" t="str">
        <f t="shared" si="1"/>
        <v>gitika.gharpure@gmail.com919930845215</v>
      </c>
      <c r="D566" s="16" t="s">
        <v>7362</v>
      </c>
      <c r="E566" s="16" t="s">
        <v>151</v>
      </c>
    </row>
    <row r="567">
      <c r="A567" s="1" t="s">
        <v>7358</v>
      </c>
      <c r="B567" s="15">
        <f t="shared" si="77"/>
        <v>919930845215</v>
      </c>
      <c r="C567" s="15" t="str">
        <f t="shared" si="1"/>
        <v>gitika.gharpure@gmail.com919930845215</v>
      </c>
      <c r="D567" s="16" t="s">
        <v>7363</v>
      </c>
      <c r="E567" s="16" t="s">
        <v>151</v>
      </c>
    </row>
    <row r="568">
      <c r="A568" s="1" t="s">
        <v>4638</v>
      </c>
      <c r="B568" s="15">
        <f>+919567570277</f>
        <v>919567570277</v>
      </c>
      <c r="C568" s="15" t="str">
        <f t="shared" si="1"/>
        <v>torakeshr@gmail.com919567570277</v>
      </c>
      <c r="D568" s="16" t="s">
        <v>7364</v>
      </c>
      <c r="E568" s="16" t="s">
        <v>68</v>
      </c>
    </row>
    <row r="569">
      <c r="A569" s="1" t="s">
        <v>7365</v>
      </c>
      <c r="B569" s="15">
        <f>+919898077441</f>
        <v>919898077441</v>
      </c>
      <c r="C569" s="15" t="str">
        <f t="shared" si="1"/>
        <v>jyotipchauhan@gmail.com919898077441</v>
      </c>
      <c r="D569" s="16" t="s">
        <v>7366</v>
      </c>
      <c r="E569" s="16" t="s">
        <v>68</v>
      </c>
    </row>
    <row r="570">
      <c r="A570" s="1" t="s">
        <v>4579</v>
      </c>
      <c r="B570" s="15">
        <f>+917014289144</f>
        <v>917014289144</v>
      </c>
      <c r="C570" s="15" t="str">
        <f t="shared" si="1"/>
        <v>subh.85sharma@gmail.com917014289144</v>
      </c>
      <c r="D570" s="16" t="s">
        <v>7367</v>
      </c>
      <c r="E570" s="16" t="s">
        <v>74</v>
      </c>
    </row>
    <row r="571">
      <c r="A571" s="1" t="s">
        <v>5840</v>
      </c>
      <c r="B571" s="15">
        <f>+917753070876</f>
        <v>917753070876</v>
      </c>
      <c r="C571" s="15" t="str">
        <f t="shared" si="1"/>
        <v>leo.utkarsh.pandey@gmail.com917753070876</v>
      </c>
      <c r="D571" s="16" t="s">
        <v>7368</v>
      </c>
      <c r="E571" s="16" t="s">
        <v>68</v>
      </c>
    </row>
    <row r="572">
      <c r="A572" s="1" t="s">
        <v>2771</v>
      </c>
      <c r="B572" s="15">
        <f>+918884582987</f>
        <v>918884582987</v>
      </c>
      <c r="C572" s="15" t="str">
        <f t="shared" si="1"/>
        <v>soujannyadiwan121@gmail.com918884582987</v>
      </c>
      <c r="D572" s="16" t="s">
        <v>7369</v>
      </c>
      <c r="E572" s="16" t="s">
        <v>74</v>
      </c>
    </row>
    <row r="573">
      <c r="A573" s="1" t="s">
        <v>5752</v>
      </c>
      <c r="B573" s="15">
        <f>+919506976416</f>
        <v>919506976416</v>
      </c>
      <c r="C573" s="15" t="str">
        <f t="shared" si="1"/>
        <v>pdc11011@gmail.com919506976416</v>
      </c>
      <c r="D573" s="16" t="s">
        <v>7370</v>
      </c>
      <c r="E573" s="16" t="s">
        <v>68</v>
      </c>
    </row>
    <row r="574">
      <c r="A574" s="1" t="s">
        <v>5512</v>
      </c>
      <c r="B574" s="15">
        <f>+919723231499</f>
        <v>919723231499</v>
      </c>
      <c r="C574" s="15" t="str">
        <f t="shared" si="1"/>
        <v>omprakashutaha@gmail.com919723231499</v>
      </c>
      <c r="D574" s="16" t="s">
        <v>7371</v>
      </c>
      <c r="E574" s="16" t="s">
        <v>68</v>
      </c>
    </row>
    <row r="575">
      <c r="A575" s="1" t="s">
        <v>7231</v>
      </c>
      <c r="B575" s="15">
        <f>+918283817337</f>
        <v>918283817337</v>
      </c>
      <c r="C575" s="15" t="str">
        <f t="shared" si="1"/>
        <v>bhavnaprabhu76@gmail.com918283817337</v>
      </c>
      <c r="D575" s="16" t="s">
        <v>7372</v>
      </c>
      <c r="E575" s="16" t="s">
        <v>74</v>
      </c>
    </row>
    <row r="576">
      <c r="A576" s="1" t="s">
        <v>4438</v>
      </c>
      <c r="B576" s="15">
        <f>+919171168888</f>
        <v>919171168888</v>
      </c>
      <c r="C576" s="15" t="str">
        <f t="shared" si="1"/>
        <v>purvikhandelwal.pk@gmail.com919171168888</v>
      </c>
      <c r="D576" s="16" t="s">
        <v>7373</v>
      </c>
      <c r="E576" s="16" t="s">
        <v>68</v>
      </c>
    </row>
    <row r="577">
      <c r="A577" s="1" t="s">
        <v>2711</v>
      </c>
      <c r="B577" s="15">
        <f>+919742862306</f>
        <v>919742862306</v>
      </c>
      <c r="C577" s="15" t="str">
        <f t="shared" si="1"/>
        <v>research_kriti12@yahoo.co.in919742862306</v>
      </c>
      <c r="D577" s="16" t="s">
        <v>7374</v>
      </c>
      <c r="E577" s="16" t="s">
        <v>68</v>
      </c>
    </row>
    <row r="578">
      <c r="A578" s="1" t="s">
        <v>7375</v>
      </c>
      <c r="B578" s="15">
        <f t="shared" ref="B578:B580" si="78">+919158156670</f>
        <v>919158156670</v>
      </c>
      <c r="C578" s="15" t="str">
        <f t="shared" si="1"/>
        <v>apsprabhu2011@gmail.com919158156670</v>
      </c>
      <c r="D578" s="16" t="s">
        <v>7376</v>
      </c>
      <c r="E578" s="16" t="s">
        <v>74</v>
      </c>
    </row>
    <row r="579">
      <c r="A579" s="1" t="s">
        <v>7375</v>
      </c>
      <c r="B579" s="15">
        <f t="shared" si="78"/>
        <v>919158156670</v>
      </c>
      <c r="C579" s="15" t="str">
        <f t="shared" si="1"/>
        <v>apsprabhu2011@gmail.com919158156670</v>
      </c>
      <c r="D579" s="16" t="s">
        <v>7377</v>
      </c>
      <c r="E579" s="16" t="s">
        <v>74</v>
      </c>
    </row>
    <row r="580">
      <c r="A580" s="1" t="s">
        <v>7375</v>
      </c>
      <c r="B580" s="15">
        <f t="shared" si="78"/>
        <v>919158156670</v>
      </c>
      <c r="C580" s="15" t="str">
        <f t="shared" si="1"/>
        <v>apsprabhu2011@gmail.com919158156670</v>
      </c>
      <c r="D580" s="16" t="s">
        <v>7378</v>
      </c>
      <c r="E580" s="16" t="s">
        <v>74</v>
      </c>
    </row>
    <row r="581">
      <c r="A581" s="1" t="s">
        <v>4439</v>
      </c>
      <c r="B581" s="15">
        <f>+918985811279</f>
        <v>918985811279</v>
      </c>
      <c r="C581" s="15" t="str">
        <f t="shared" si="1"/>
        <v>sravan93.davagni@gmail.com918985811279</v>
      </c>
      <c r="D581" s="16" t="s">
        <v>7379</v>
      </c>
      <c r="E581" s="16" t="s">
        <v>68</v>
      </c>
    </row>
    <row r="582">
      <c r="A582" s="1" t="s">
        <v>7375</v>
      </c>
      <c r="B582" s="15">
        <f t="shared" ref="B582:B583" si="79">+919158156670</f>
        <v>919158156670</v>
      </c>
      <c r="C582" s="15" t="str">
        <f t="shared" si="1"/>
        <v>apsprabhu2011@gmail.com919158156670</v>
      </c>
      <c r="D582" s="16" t="s">
        <v>7380</v>
      </c>
      <c r="E582" s="16" t="s">
        <v>74</v>
      </c>
    </row>
    <row r="583">
      <c r="A583" s="1" t="s">
        <v>7375</v>
      </c>
      <c r="B583" s="15">
        <f t="shared" si="79"/>
        <v>919158156670</v>
      </c>
      <c r="C583" s="15" t="str">
        <f t="shared" si="1"/>
        <v>apsprabhu2011@gmail.com919158156670</v>
      </c>
      <c r="D583" s="16" t="s">
        <v>7381</v>
      </c>
      <c r="E583" s="16" t="s">
        <v>74</v>
      </c>
    </row>
    <row r="584">
      <c r="A584" s="1" t="s">
        <v>5961</v>
      </c>
      <c r="B584" s="15">
        <f>+919930406174</f>
        <v>919930406174</v>
      </c>
      <c r="C584" s="15" t="str">
        <f t="shared" si="1"/>
        <v>nidhiscatering@gmail.com919930406174</v>
      </c>
      <c r="D584" s="16" t="s">
        <v>7382</v>
      </c>
      <c r="E584" s="16" t="s">
        <v>74</v>
      </c>
    </row>
    <row r="585">
      <c r="A585" s="1" t="s">
        <v>2694</v>
      </c>
      <c r="B585" s="15">
        <f>+918374556150</f>
        <v>918374556150</v>
      </c>
      <c r="C585" s="15" t="str">
        <f t="shared" si="1"/>
        <v>navyachandragiri.nc@gmail.com918374556150</v>
      </c>
      <c r="D585" s="16" t="s">
        <v>7383</v>
      </c>
      <c r="E585" s="16" t="s">
        <v>68</v>
      </c>
    </row>
    <row r="586">
      <c r="A586" s="1" t="s">
        <v>5754</v>
      </c>
      <c r="B586" s="15">
        <f>+917671883672</f>
        <v>917671883672</v>
      </c>
      <c r="C586" s="15" t="str">
        <f t="shared" si="1"/>
        <v>rayillasaiprakash@gmail.com917671883672</v>
      </c>
      <c r="D586" s="16" t="s">
        <v>7384</v>
      </c>
      <c r="E586" s="16" t="s">
        <v>68</v>
      </c>
    </row>
    <row r="587">
      <c r="A587" s="1" t="s">
        <v>2771</v>
      </c>
      <c r="B587" s="15">
        <f t="shared" ref="B587:B589" si="80">+918884582987</f>
        <v>918884582987</v>
      </c>
      <c r="C587" s="15" t="str">
        <f t="shared" si="1"/>
        <v>soujannyadiwan121@gmail.com918884582987</v>
      </c>
      <c r="D587" s="16" t="s">
        <v>7385</v>
      </c>
      <c r="E587" s="16" t="s">
        <v>74</v>
      </c>
    </row>
    <row r="588">
      <c r="A588" s="1" t="s">
        <v>2771</v>
      </c>
      <c r="B588" s="15">
        <f t="shared" si="80"/>
        <v>918884582987</v>
      </c>
      <c r="C588" s="15" t="str">
        <f t="shared" si="1"/>
        <v>soujannyadiwan121@gmail.com918884582987</v>
      </c>
      <c r="D588" s="16" t="s">
        <v>7386</v>
      </c>
      <c r="E588" s="16" t="s">
        <v>74</v>
      </c>
    </row>
    <row r="589">
      <c r="A589" s="1" t="s">
        <v>2771</v>
      </c>
      <c r="B589" s="15">
        <f t="shared" si="80"/>
        <v>918884582987</v>
      </c>
      <c r="C589" s="15" t="str">
        <f t="shared" si="1"/>
        <v>soujannyadiwan121@gmail.com918884582987</v>
      </c>
      <c r="D589" s="16" t="s">
        <v>7387</v>
      </c>
      <c r="E589" s="16" t="s">
        <v>74</v>
      </c>
    </row>
    <row r="590">
      <c r="A590" s="1" t="s">
        <v>7388</v>
      </c>
      <c r="B590" s="15">
        <f>+917976518596</f>
        <v>917976518596</v>
      </c>
      <c r="C590" s="15" t="str">
        <f t="shared" si="1"/>
        <v>vidushichoudhary16@gmail.com917976518596</v>
      </c>
      <c r="D590" s="16" t="s">
        <v>7389</v>
      </c>
      <c r="E590" s="16" t="s">
        <v>68</v>
      </c>
    </row>
    <row r="591">
      <c r="A591" s="1" t="s">
        <v>2771</v>
      </c>
      <c r="B591" s="15">
        <f>+918884582987</f>
        <v>918884582987</v>
      </c>
      <c r="C591" s="15" t="str">
        <f t="shared" si="1"/>
        <v>soujannyadiwan121@gmail.com918884582987</v>
      </c>
      <c r="D591" s="16" t="s">
        <v>7390</v>
      </c>
      <c r="E591" s="16" t="s">
        <v>74</v>
      </c>
    </row>
    <row r="592">
      <c r="A592" s="1" t="s">
        <v>7388</v>
      </c>
      <c r="B592" s="15">
        <f>+917976518596</f>
        <v>917976518596</v>
      </c>
      <c r="C592" s="15" t="str">
        <f t="shared" si="1"/>
        <v>vidushichoudhary16@gmail.com917976518596</v>
      </c>
      <c r="D592" s="16" t="s">
        <v>7391</v>
      </c>
      <c r="E592" s="16" t="s">
        <v>74</v>
      </c>
    </row>
    <row r="593">
      <c r="A593" s="1" t="s">
        <v>2773</v>
      </c>
      <c r="B593" s="15">
        <f>+919447672239</f>
        <v>919447672239</v>
      </c>
      <c r="C593" s="15" t="str">
        <f t="shared" si="1"/>
        <v>sanjunairis444@gmail.com919447672239</v>
      </c>
      <c r="D593" s="16" t="s">
        <v>7392</v>
      </c>
      <c r="E593" s="16" t="s">
        <v>68</v>
      </c>
    </row>
    <row r="594">
      <c r="A594" s="1" t="s">
        <v>2774</v>
      </c>
      <c r="B594" s="15">
        <f>+918910129204</f>
        <v>918910129204</v>
      </c>
      <c r="C594" s="15" t="str">
        <f t="shared" si="1"/>
        <v>suk1997.ma@gmail.com918910129204</v>
      </c>
      <c r="D594" s="16" t="s">
        <v>7393</v>
      </c>
      <c r="E594" s="16" t="s">
        <v>68</v>
      </c>
    </row>
    <row r="595">
      <c r="A595" s="1" t="s">
        <v>5712</v>
      </c>
      <c r="B595" s="15">
        <f>+919540645352</f>
        <v>919540645352</v>
      </c>
      <c r="C595" s="15" t="str">
        <f t="shared" si="1"/>
        <v>shipra@alokindustries.com919540645352</v>
      </c>
      <c r="D595" s="16" t="s">
        <v>7394</v>
      </c>
      <c r="E595" s="16" t="s">
        <v>68</v>
      </c>
    </row>
    <row r="596">
      <c r="A596" s="1" t="s">
        <v>7395</v>
      </c>
      <c r="B596" s="15">
        <f>+918770979440</f>
        <v>918770979440</v>
      </c>
      <c r="C596" s="15" t="str">
        <f t="shared" si="1"/>
        <v>istpsnoopy@gmail.com918770979440</v>
      </c>
      <c r="D596" s="16" t="s">
        <v>7396</v>
      </c>
      <c r="E596" s="16" t="s">
        <v>151</v>
      </c>
    </row>
    <row r="597">
      <c r="A597" s="1" t="s">
        <v>4369</v>
      </c>
      <c r="B597" s="15">
        <f>+919899824290</f>
        <v>919899824290</v>
      </c>
      <c r="C597" s="15" t="str">
        <f t="shared" si="1"/>
        <v>divya.batraconnect@gmail.com919899824290</v>
      </c>
      <c r="D597" s="16" t="s">
        <v>7397</v>
      </c>
      <c r="E597" s="16" t="s">
        <v>68</v>
      </c>
    </row>
    <row r="598">
      <c r="A598" s="1" t="s">
        <v>4279</v>
      </c>
      <c r="B598" s="15">
        <f>+917995154137</f>
        <v>917995154137</v>
      </c>
      <c r="C598" s="15" t="str">
        <f t="shared" si="1"/>
        <v>asrithagrace123@gmail.com917995154137</v>
      </c>
      <c r="D598" s="16" t="s">
        <v>7398</v>
      </c>
      <c r="E598" s="16" t="s">
        <v>68</v>
      </c>
    </row>
    <row r="599">
      <c r="A599" s="1" t="s">
        <v>5841</v>
      </c>
      <c r="B599" s="15">
        <f>+919575409311</f>
        <v>919575409311</v>
      </c>
      <c r="C599" s="15" t="str">
        <f t="shared" si="1"/>
        <v>shruti.dmt@gmail.com919575409311</v>
      </c>
      <c r="D599" s="16" t="s">
        <v>7399</v>
      </c>
      <c r="E599" s="16" t="s">
        <v>68</v>
      </c>
    </row>
    <row r="600">
      <c r="A600" s="1" t="s">
        <v>7400</v>
      </c>
      <c r="B600" s="15">
        <f>+919769656727</f>
        <v>919769656727</v>
      </c>
      <c r="C600" s="15" t="str">
        <f t="shared" si="1"/>
        <v>rsruchi.28@gmail.com919769656727</v>
      </c>
      <c r="D600" s="16" t="s">
        <v>7401</v>
      </c>
      <c r="E600" s="16" t="s">
        <v>151</v>
      </c>
    </row>
    <row r="601">
      <c r="A601" s="1" t="s">
        <v>2760</v>
      </c>
      <c r="B601" s="15">
        <f>+919929355554</f>
        <v>919929355554</v>
      </c>
      <c r="C601" s="15" t="str">
        <f t="shared" si="1"/>
        <v>pragatisachan2507@gmail.com919929355554</v>
      </c>
      <c r="D601" s="16" t="s">
        <v>7402</v>
      </c>
      <c r="E601" s="16" t="s">
        <v>68</v>
      </c>
    </row>
    <row r="602">
      <c r="A602" s="1" t="s">
        <v>7403</v>
      </c>
      <c r="B602" s="15">
        <f>+919836111993</f>
        <v>919836111993</v>
      </c>
      <c r="C602" s="15" t="str">
        <f t="shared" si="1"/>
        <v>shamimakhtar2294@gmail.com919836111993</v>
      </c>
      <c r="D602" s="16" t="s">
        <v>7404</v>
      </c>
      <c r="E602" s="16" t="s">
        <v>151</v>
      </c>
    </row>
    <row r="603">
      <c r="A603" s="1" t="s">
        <v>4635</v>
      </c>
      <c r="B603" s="15">
        <f>+918296942644</f>
        <v>918296942644</v>
      </c>
      <c r="C603" s="15" t="str">
        <f t="shared" si="1"/>
        <v>harshmsharma00@gmail.com918296942644</v>
      </c>
      <c r="D603" s="16" t="s">
        <v>7405</v>
      </c>
      <c r="E603" s="16" t="s">
        <v>68</v>
      </c>
    </row>
    <row r="604">
      <c r="A604" s="1" t="s">
        <v>7406</v>
      </c>
      <c r="B604" s="15">
        <f>+919769446730</f>
        <v>919769446730</v>
      </c>
      <c r="C604" s="15" t="str">
        <f t="shared" si="1"/>
        <v>belindaf11@gmail.com919769446730</v>
      </c>
      <c r="D604" s="16" t="s">
        <v>7407</v>
      </c>
      <c r="E604" s="16" t="s">
        <v>68</v>
      </c>
    </row>
    <row r="605">
      <c r="A605" s="1" t="s">
        <v>5839</v>
      </c>
      <c r="B605" s="15">
        <f>+918424938300</f>
        <v>918424938300</v>
      </c>
      <c r="C605" s="15" t="str">
        <f t="shared" si="1"/>
        <v>kamleshganguly1@gmail.com918424938300</v>
      </c>
      <c r="D605" s="16" t="s">
        <v>7408</v>
      </c>
      <c r="E605" s="16" t="s">
        <v>74</v>
      </c>
    </row>
    <row r="606">
      <c r="A606" s="1" t="s">
        <v>6616</v>
      </c>
      <c r="B606" s="15">
        <f>+918806414520</f>
        <v>918806414520</v>
      </c>
      <c r="C606" s="15" t="str">
        <f t="shared" si="1"/>
        <v>14.priyankaghosh@gmail.com918806414520</v>
      </c>
      <c r="D606" s="16" t="s">
        <v>7409</v>
      </c>
      <c r="E606" s="16" t="s">
        <v>151</v>
      </c>
    </row>
    <row r="607">
      <c r="A607" s="1" t="s">
        <v>4346</v>
      </c>
      <c r="B607" s="15">
        <f>+919098703100</f>
        <v>919098703100</v>
      </c>
      <c r="C607" s="15" t="str">
        <f t="shared" si="1"/>
        <v>awasthiswapnil@gmail.com919098703100</v>
      </c>
      <c r="D607" s="16" t="s">
        <v>7410</v>
      </c>
      <c r="E607" s="16" t="s">
        <v>68</v>
      </c>
    </row>
    <row r="608">
      <c r="A608" s="1" t="s">
        <v>2771</v>
      </c>
      <c r="B608" s="15">
        <f>+918884582987</f>
        <v>918884582987</v>
      </c>
      <c r="C608" s="15" t="str">
        <f t="shared" si="1"/>
        <v>soujannyadiwan121@gmail.com918884582987</v>
      </c>
      <c r="D608" s="16" t="s">
        <v>7411</v>
      </c>
      <c r="E608" s="16" t="s">
        <v>151</v>
      </c>
    </row>
    <row r="609">
      <c r="A609" s="1" t="s">
        <v>5978</v>
      </c>
      <c r="B609" s="15">
        <f>+919094235480</f>
        <v>919094235480</v>
      </c>
      <c r="C609" s="15" t="str">
        <f t="shared" si="1"/>
        <v>aashy909@gmail.com919094235480</v>
      </c>
      <c r="D609" s="16" t="s">
        <v>7412</v>
      </c>
      <c r="E609" s="16" t="s">
        <v>68</v>
      </c>
    </row>
    <row r="610">
      <c r="A610" s="1" t="s">
        <v>5838</v>
      </c>
      <c r="B610" s="15">
        <f>+919595852995</f>
        <v>919595852995</v>
      </c>
      <c r="C610" s="15" t="str">
        <f t="shared" si="1"/>
        <v>anandagrawql073@gmail.com919595852995</v>
      </c>
      <c r="D610" s="16" t="s">
        <v>7413</v>
      </c>
      <c r="E610" s="16" t="s">
        <v>68</v>
      </c>
    </row>
    <row r="611">
      <c r="A611" s="1" t="s">
        <v>5839</v>
      </c>
      <c r="B611" s="15">
        <f>+918424938300</f>
        <v>918424938300</v>
      </c>
      <c r="C611" s="15" t="str">
        <f t="shared" si="1"/>
        <v>kamleshganguly1@gmail.com918424938300</v>
      </c>
      <c r="D611" s="16" t="s">
        <v>7414</v>
      </c>
      <c r="E611" s="16" t="s">
        <v>74</v>
      </c>
    </row>
    <row r="612">
      <c r="A612" s="1" t="s">
        <v>2757</v>
      </c>
      <c r="B612" s="15">
        <f>+919101404824</f>
        <v>919101404824</v>
      </c>
      <c r="C612" s="15" t="str">
        <f t="shared" si="1"/>
        <v>dimpysharma2008@gmail.com919101404824</v>
      </c>
      <c r="D612" s="16" t="s">
        <v>7415</v>
      </c>
      <c r="E612" s="16" t="s">
        <v>74</v>
      </c>
    </row>
    <row r="613">
      <c r="A613" s="1" t="s">
        <v>7416</v>
      </c>
      <c r="B613" s="15">
        <f>+919881121157</f>
        <v>919881121157</v>
      </c>
      <c r="C613" s="15" t="str">
        <f t="shared" si="1"/>
        <v>sagar.idbi@gmail.com919881121157</v>
      </c>
      <c r="D613" s="16" t="s">
        <v>7417</v>
      </c>
      <c r="E613" s="16" t="s">
        <v>74</v>
      </c>
    </row>
    <row r="614">
      <c r="A614" s="1" t="s">
        <v>2758</v>
      </c>
      <c r="B614" s="15">
        <f>+919828116779</f>
        <v>919828116779</v>
      </c>
      <c r="C614" s="15" t="str">
        <f t="shared" si="1"/>
        <v>sandhyapareek@gmail.com919828116779</v>
      </c>
      <c r="D614" s="16" t="s">
        <v>7418</v>
      </c>
      <c r="E614" s="16" t="s">
        <v>68</v>
      </c>
    </row>
    <row r="615">
      <c r="A615" s="1" t="s">
        <v>7419</v>
      </c>
      <c r="B615" s="15">
        <f>+919133725424</f>
        <v>919133725424</v>
      </c>
      <c r="C615" s="15" t="str">
        <f t="shared" si="1"/>
        <v>keziamaddila@gmail.com919133725424</v>
      </c>
      <c r="D615" s="16" t="s">
        <v>7420</v>
      </c>
      <c r="E615" s="16" t="s">
        <v>68</v>
      </c>
    </row>
    <row r="616">
      <c r="A616" s="1" t="s">
        <v>7421</v>
      </c>
      <c r="B616" s="15">
        <f t="shared" ref="B616:B618" si="81">+919425308887</f>
        <v>919425308887</v>
      </c>
      <c r="C616" s="15" t="str">
        <f t="shared" si="1"/>
        <v>pbgwalior@gmail.com919425308887</v>
      </c>
      <c r="D616" s="16" t="s">
        <v>7422</v>
      </c>
      <c r="E616" s="16" t="s">
        <v>151</v>
      </c>
    </row>
    <row r="617">
      <c r="A617" s="1" t="s">
        <v>7421</v>
      </c>
      <c r="B617" s="15">
        <f t="shared" si="81"/>
        <v>919425308887</v>
      </c>
      <c r="C617" s="15" t="str">
        <f t="shared" si="1"/>
        <v>pbgwalior@gmail.com919425308887</v>
      </c>
      <c r="D617" s="16" t="s">
        <v>7423</v>
      </c>
      <c r="E617" s="16" t="s">
        <v>74</v>
      </c>
    </row>
    <row r="618">
      <c r="A618" s="1" t="s">
        <v>7421</v>
      </c>
      <c r="B618" s="15">
        <f t="shared" si="81"/>
        <v>919425308887</v>
      </c>
      <c r="C618" s="15" t="str">
        <f t="shared" si="1"/>
        <v>pbgwalior@gmail.com919425308887</v>
      </c>
      <c r="D618" s="16" t="s">
        <v>7424</v>
      </c>
      <c r="E618" s="16" t="s">
        <v>74</v>
      </c>
    </row>
    <row r="619">
      <c r="A619" s="1" t="s">
        <v>2759</v>
      </c>
      <c r="B619" s="15">
        <f>+918238330529</f>
        <v>918238330529</v>
      </c>
      <c r="C619" s="15" t="str">
        <f t="shared" si="1"/>
        <v>pruthavdhr99@gmail.com918238330529</v>
      </c>
      <c r="D619" s="16" t="s">
        <v>7425</v>
      </c>
      <c r="E619" s="16" t="s">
        <v>68</v>
      </c>
    </row>
    <row r="620">
      <c r="A620" s="1" t="s">
        <v>5979</v>
      </c>
      <c r="B620" s="15">
        <f>+919980180634</f>
        <v>919980180634</v>
      </c>
      <c r="C620" s="15" t="str">
        <f t="shared" si="1"/>
        <v>nagarra_1982@yahoo.com919980180634</v>
      </c>
      <c r="D620" s="16" t="s">
        <v>7426</v>
      </c>
      <c r="E620" s="16" t="s">
        <v>68</v>
      </c>
    </row>
    <row r="621">
      <c r="A621" s="1" t="s">
        <v>6222</v>
      </c>
      <c r="B621" s="15">
        <f>+919449692235</f>
        <v>919449692235</v>
      </c>
      <c r="C621" s="15" t="str">
        <f t="shared" si="1"/>
        <v>santhosh8975@gmail.com919449692235</v>
      </c>
      <c r="D621" s="16" t="s">
        <v>7427</v>
      </c>
      <c r="E621" s="16" t="s">
        <v>68</v>
      </c>
    </row>
    <row r="622">
      <c r="A622" s="1" t="s">
        <v>3313</v>
      </c>
      <c r="B622" s="15">
        <f t="shared" ref="B622:B624" si="82">+919888470272</f>
        <v>919888470272</v>
      </c>
      <c r="C622" s="15" t="str">
        <f t="shared" si="1"/>
        <v>himanshusaleria@gmail.com919888470272</v>
      </c>
      <c r="D622" s="16" t="s">
        <v>7428</v>
      </c>
      <c r="E622" s="16" t="s">
        <v>68</v>
      </c>
    </row>
    <row r="623">
      <c r="A623" s="1" t="s">
        <v>3313</v>
      </c>
      <c r="B623" s="15">
        <f t="shared" si="82"/>
        <v>919888470272</v>
      </c>
      <c r="C623" s="15" t="str">
        <f t="shared" si="1"/>
        <v>himanshusaleria@gmail.com919888470272</v>
      </c>
      <c r="D623" s="16" t="s">
        <v>7429</v>
      </c>
      <c r="E623" s="16" t="s">
        <v>68</v>
      </c>
    </row>
    <row r="624">
      <c r="A624" s="1" t="s">
        <v>3313</v>
      </c>
      <c r="B624" s="15">
        <f t="shared" si="82"/>
        <v>919888470272</v>
      </c>
      <c r="C624" s="15" t="str">
        <f t="shared" si="1"/>
        <v>himanshusaleria@gmail.com919888470272</v>
      </c>
      <c r="D624" s="16" t="s">
        <v>7430</v>
      </c>
      <c r="E624" s="16" t="s">
        <v>151</v>
      </c>
    </row>
    <row r="625">
      <c r="A625" s="1" t="s">
        <v>3889</v>
      </c>
      <c r="B625" s="15">
        <f>+919912344886</f>
        <v>919912344886</v>
      </c>
      <c r="C625" s="15" t="str">
        <f t="shared" si="1"/>
        <v>trade4anand@gmail.com919912344886</v>
      </c>
      <c r="D625" s="16" t="s">
        <v>7431</v>
      </c>
      <c r="E625" s="16" t="s">
        <v>68</v>
      </c>
    </row>
    <row r="626">
      <c r="A626" s="1" t="s">
        <v>7432</v>
      </c>
      <c r="B626" s="15">
        <f t="shared" ref="B626:B628" si="83">+917795511099</f>
        <v>917795511099</v>
      </c>
      <c r="C626" s="15" t="str">
        <f t="shared" si="1"/>
        <v>ramramsiddesh@gmail.com917795511099</v>
      </c>
      <c r="D626" s="16" t="s">
        <v>7433</v>
      </c>
      <c r="E626" s="16" t="s">
        <v>151</v>
      </c>
    </row>
    <row r="627">
      <c r="A627" s="1" t="s">
        <v>7432</v>
      </c>
      <c r="B627" s="15">
        <f t="shared" si="83"/>
        <v>917795511099</v>
      </c>
      <c r="C627" s="15" t="str">
        <f t="shared" si="1"/>
        <v>ramramsiddesh@gmail.com917795511099</v>
      </c>
      <c r="D627" s="16" t="s">
        <v>7434</v>
      </c>
      <c r="E627" s="16" t="s">
        <v>74</v>
      </c>
    </row>
    <row r="628">
      <c r="A628" s="1" t="s">
        <v>7432</v>
      </c>
      <c r="B628" s="15">
        <f t="shared" si="83"/>
        <v>917795511099</v>
      </c>
      <c r="C628" s="15" t="str">
        <f t="shared" si="1"/>
        <v>ramramsiddesh@gmail.com917795511099</v>
      </c>
      <c r="D628" s="16" t="s">
        <v>7435</v>
      </c>
      <c r="E628" s="16" t="s">
        <v>74</v>
      </c>
    </row>
    <row r="629">
      <c r="A629" s="1" t="s">
        <v>7436</v>
      </c>
      <c r="B629" s="15">
        <f>+917738766794</f>
        <v>917738766794</v>
      </c>
      <c r="C629" s="15" t="str">
        <f t="shared" si="1"/>
        <v>meenumaheshwari@gmail.com917738766794</v>
      </c>
      <c r="D629" s="16" t="s">
        <v>7437</v>
      </c>
      <c r="E629" s="16" t="s">
        <v>97</v>
      </c>
    </row>
    <row r="630">
      <c r="A630" s="1" t="s">
        <v>3343</v>
      </c>
      <c r="B630" s="15">
        <f>+919841558806</f>
        <v>919841558806</v>
      </c>
      <c r="C630" s="15" t="str">
        <f t="shared" si="1"/>
        <v>gc.shyam@gmail.com919841558806</v>
      </c>
      <c r="D630" s="16" t="s">
        <v>7438</v>
      </c>
      <c r="E630" s="16" t="s">
        <v>68</v>
      </c>
    </row>
    <row r="631">
      <c r="A631" s="1" t="s">
        <v>7432</v>
      </c>
      <c r="B631" s="15">
        <f t="shared" ref="B631:B633" si="84">+917795511099</f>
        <v>917795511099</v>
      </c>
      <c r="C631" s="15" t="str">
        <f t="shared" si="1"/>
        <v>ramramsiddesh@gmail.com917795511099</v>
      </c>
      <c r="D631" s="16" t="s">
        <v>7439</v>
      </c>
      <c r="E631" s="16" t="s">
        <v>68</v>
      </c>
    </row>
    <row r="632">
      <c r="A632" s="1" t="s">
        <v>7432</v>
      </c>
      <c r="B632" s="15">
        <f t="shared" si="84"/>
        <v>917795511099</v>
      </c>
      <c r="C632" s="15" t="str">
        <f t="shared" si="1"/>
        <v>ramramsiddesh@gmail.com917795511099</v>
      </c>
      <c r="D632" s="16" t="s">
        <v>7440</v>
      </c>
      <c r="E632" s="16" t="s">
        <v>68</v>
      </c>
    </row>
    <row r="633">
      <c r="A633" s="1" t="s">
        <v>7432</v>
      </c>
      <c r="B633" s="15">
        <f t="shared" si="84"/>
        <v>917795511099</v>
      </c>
      <c r="C633" s="15" t="str">
        <f t="shared" si="1"/>
        <v>ramramsiddesh@gmail.com917795511099</v>
      </c>
      <c r="D633" s="16" t="s">
        <v>7441</v>
      </c>
      <c r="E633" s="16" t="s">
        <v>74</v>
      </c>
    </row>
    <row r="634">
      <c r="A634" s="1" t="s">
        <v>4636</v>
      </c>
      <c r="B634" s="15">
        <f t="shared" ref="B634:B636" si="85">+919890185241</f>
        <v>919890185241</v>
      </c>
      <c r="C634" s="15" t="str">
        <f t="shared" si="1"/>
        <v>khushiaher@gmail.com919890185241</v>
      </c>
      <c r="D634" s="16" t="s">
        <v>7442</v>
      </c>
      <c r="E634" s="16" t="s">
        <v>68</v>
      </c>
    </row>
    <row r="635">
      <c r="A635" s="1" t="s">
        <v>4636</v>
      </c>
      <c r="B635" s="15">
        <f t="shared" si="85"/>
        <v>919890185241</v>
      </c>
      <c r="C635" s="15" t="str">
        <f t="shared" si="1"/>
        <v>khushiaher@gmail.com919890185241</v>
      </c>
      <c r="D635" s="16" t="s">
        <v>7443</v>
      </c>
      <c r="E635" s="16" t="s">
        <v>68</v>
      </c>
    </row>
    <row r="636">
      <c r="A636" s="1" t="s">
        <v>4636</v>
      </c>
      <c r="B636" s="15">
        <f t="shared" si="85"/>
        <v>919890185241</v>
      </c>
      <c r="C636" s="15" t="str">
        <f t="shared" si="1"/>
        <v>khushiaher@gmail.com919890185241</v>
      </c>
      <c r="D636" s="16" t="s">
        <v>7444</v>
      </c>
      <c r="E636" s="16" t="s">
        <v>74</v>
      </c>
    </row>
    <row r="637">
      <c r="A637" s="1" t="s">
        <v>4437</v>
      </c>
      <c r="B637" s="15">
        <f t="shared" ref="B637:B640" si="86">+917204041202</f>
        <v>917204041202</v>
      </c>
      <c r="C637" s="15" t="str">
        <f t="shared" si="1"/>
        <v>baggapavan@hotmail.com917204041202</v>
      </c>
      <c r="D637" s="16" t="s">
        <v>7445</v>
      </c>
      <c r="E637" s="16" t="s">
        <v>74</v>
      </c>
    </row>
    <row r="638">
      <c r="A638" s="1" t="s">
        <v>4437</v>
      </c>
      <c r="B638" s="15">
        <f t="shared" si="86"/>
        <v>917204041202</v>
      </c>
      <c r="C638" s="15" t="str">
        <f t="shared" si="1"/>
        <v>baggapavan@hotmail.com917204041202</v>
      </c>
      <c r="D638" s="16" t="s">
        <v>7446</v>
      </c>
      <c r="E638" s="16" t="s">
        <v>68</v>
      </c>
    </row>
    <row r="639">
      <c r="A639" s="1" t="s">
        <v>4437</v>
      </c>
      <c r="B639" s="15">
        <f t="shared" si="86"/>
        <v>917204041202</v>
      </c>
      <c r="C639" s="15" t="str">
        <f t="shared" si="1"/>
        <v>baggapavan@hotmail.com917204041202</v>
      </c>
      <c r="D639" s="16" t="s">
        <v>7447</v>
      </c>
      <c r="E639" s="16" t="s">
        <v>68</v>
      </c>
    </row>
    <row r="640">
      <c r="A640" s="1" t="s">
        <v>4437</v>
      </c>
      <c r="B640" s="15">
        <f t="shared" si="86"/>
        <v>917204041202</v>
      </c>
      <c r="C640" s="15" t="str">
        <f t="shared" si="1"/>
        <v>baggapavan@hotmail.com917204041202</v>
      </c>
      <c r="D640" s="16" t="s">
        <v>7448</v>
      </c>
      <c r="E640" s="16" t="s">
        <v>74</v>
      </c>
    </row>
    <row r="641">
      <c r="A641" s="1" t="s">
        <v>7449</v>
      </c>
      <c r="B641" s="15">
        <f>+919871981974</f>
        <v>919871981974</v>
      </c>
      <c r="C641" s="15" t="str">
        <f t="shared" si="1"/>
        <v>simrankaurghai1997@gmail.com919871981974</v>
      </c>
      <c r="D641" s="16" t="s">
        <v>7450</v>
      </c>
      <c r="E641" s="16" t="s">
        <v>68</v>
      </c>
    </row>
    <row r="642">
      <c r="A642" s="1" t="s">
        <v>5125</v>
      </c>
      <c r="B642" s="15">
        <f>+919619857736</f>
        <v>919619857736</v>
      </c>
      <c r="C642" s="15" t="str">
        <f t="shared" si="1"/>
        <v>shefalipoojary@gmail.com919619857736</v>
      </c>
      <c r="D642" s="16" t="s">
        <v>7451</v>
      </c>
      <c r="E642" s="16" t="s">
        <v>74</v>
      </c>
    </row>
    <row r="643">
      <c r="A643" s="1" t="s">
        <v>7452</v>
      </c>
      <c r="B643" s="15">
        <f>+919783218235</f>
        <v>919783218235</v>
      </c>
      <c r="C643" s="15" t="str">
        <f t="shared" si="1"/>
        <v>toshariqueahmed@gmail.com919783218235</v>
      </c>
      <c r="D643" s="16" t="s">
        <v>7453</v>
      </c>
      <c r="E643" s="16" t="s">
        <v>74</v>
      </c>
    </row>
    <row r="644">
      <c r="A644" s="1" t="s">
        <v>5125</v>
      </c>
      <c r="B644" s="15">
        <f t="shared" ref="B644:B645" si="87">+919619857736</f>
        <v>919619857736</v>
      </c>
      <c r="C644" s="15" t="str">
        <f t="shared" si="1"/>
        <v>shefalipoojary@gmail.com919619857736</v>
      </c>
      <c r="D644" s="16" t="s">
        <v>7454</v>
      </c>
      <c r="E644" s="16" t="s">
        <v>74</v>
      </c>
    </row>
    <row r="645">
      <c r="A645" s="1" t="s">
        <v>5125</v>
      </c>
      <c r="B645" s="15">
        <f t="shared" si="87"/>
        <v>919619857736</v>
      </c>
      <c r="C645" s="15" t="str">
        <f t="shared" si="1"/>
        <v>shefalipoojary@gmail.com919619857736</v>
      </c>
      <c r="D645" s="16" t="s">
        <v>7455</v>
      </c>
      <c r="E645" s="16" t="s">
        <v>74</v>
      </c>
    </row>
    <row r="646">
      <c r="A646" s="1" t="s">
        <v>5751</v>
      </c>
      <c r="B646" s="15">
        <f>+919464091279</f>
        <v>919464091279</v>
      </c>
      <c r="C646" s="15" t="str">
        <f t="shared" si="1"/>
        <v>avvariraviraja@gmail.com919464091279</v>
      </c>
      <c r="D646" s="16" t="s">
        <v>7456</v>
      </c>
      <c r="E646" s="16" t="s">
        <v>68</v>
      </c>
    </row>
    <row r="647">
      <c r="A647" s="1" t="s">
        <v>6494</v>
      </c>
      <c r="B647" s="15">
        <f>+919560575373</f>
        <v>919560575373</v>
      </c>
      <c r="C647" s="15" t="str">
        <f t="shared" si="1"/>
        <v>drtulikasen@gmail.com919560575373</v>
      </c>
      <c r="D647" s="16" t="s">
        <v>7457</v>
      </c>
      <c r="E647" s="16" t="s">
        <v>74</v>
      </c>
    </row>
    <row r="648">
      <c r="A648" s="1" t="s">
        <v>3367</v>
      </c>
      <c r="B648" s="15">
        <f>+919425308887</f>
        <v>919425308887</v>
      </c>
      <c r="C648" s="15" t="str">
        <f t="shared" si="1"/>
        <v>prvnbhtngr@gmail.com919425308887</v>
      </c>
      <c r="D648" s="16" t="s">
        <v>7458</v>
      </c>
      <c r="E648" s="16" t="s">
        <v>68</v>
      </c>
    </row>
    <row r="649">
      <c r="A649" s="1" t="s">
        <v>2918</v>
      </c>
      <c r="B649" s="15">
        <f t="shared" ref="B649:B650" si="88">+919511794862</f>
        <v>919511794862</v>
      </c>
      <c r="C649" s="15" t="str">
        <f t="shared" si="1"/>
        <v>joecoolvikram@gmail.com919511794862</v>
      </c>
      <c r="D649" s="16" t="s">
        <v>7459</v>
      </c>
      <c r="E649" s="16" t="s">
        <v>151</v>
      </c>
    </row>
    <row r="650">
      <c r="A650" s="1" t="s">
        <v>2918</v>
      </c>
      <c r="B650" s="15">
        <f t="shared" si="88"/>
        <v>919511794862</v>
      </c>
      <c r="C650" s="15" t="str">
        <f t="shared" si="1"/>
        <v>joecoolvikram@gmail.com919511794862</v>
      </c>
      <c r="D650" s="16" t="s">
        <v>7460</v>
      </c>
      <c r="E650" s="16" t="s">
        <v>68</v>
      </c>
    </row>
    <row r="651">
      <c r="A651" s="1" t="s">
        <v>2912</v>
      </c>
      <c r="B651" s="15">
        <f>+919818705363</f>
        <v>919818705363</v>
      </c>
      <c r="C651" s="15" t="str">
        <f t="shared" si="1"/>
        <v>drkirtigehlot@yahoo.com919818705363</v>
      </c>
      <c r="D651" s="16" t="s">
        <v>7461</v>
      </c>
      <c r="E651" s="16" t="s">
        <v>68</v>
      </c>
    </row>
    <row r="652">
      <c r="A652" s="1" t="s">
        <v>7462</v>
      </c>
      <c r="B652" s="15">
        <f>+917017909207</f>
        <v>917017909207</v>
      </c>
      <c r="C652" s="15" t="str">
        <f t="shared" si="1"/>
        <v>sanjayrao.yadav99@gmail.com917017909207</v>
      </c>
      <c r="D652" s="16" t="s">
        <v>7463</v>
      </c>
      <c r="E652" s="16" t="s">
        <v>68</v>
      </c>
    </row>
    <row r="653">
      <c r="A653" s="1" t="s">
        <v>2914</v>
      </c>
      <c r="B653" s="15">
        <f>+919623275666</f>
        <v>919623275666</v>
      </c>
      <c r="C653" s="15" t="str">
        <f t="shared" si="1"/>
        <v>ashutosh.phadke@outlook.com919623275666</v>
      </c>
      <c r="D653" s="16" t="s">
        <v>7464</v>
      </c>
      <c r="E653" s="16" t="s">
        <v>68</v>
      </c>
    </row>
    <row r="654">
      <c r="A654" s="1" t="s">
        <v>2915</v>
      </c>
      <c r="B654" s="15">
        <f>+919920996619</f>
        <v>919920996619</v>
      </c>
      <c r="C654" s="15" t="str">
        <f t="shared" si="1"/>
        <v>sumedhapunkar@gmail.com919920996619</v>
      </c>
      <c r="D654" s="16" t="s">
        <v>7465</v>
      </c>
      <c r="E654" s="16" t="s">
        <v>74</v>
      </c>
    </row>
    <row r="655">
      <c r="A655" s="1" t="s">
        <v>6223</v>
      </c>
      <c r="B655" s="15">
        <f>+917278662309</f>
        <v>917278662309</v>
      </c>
      <c r="C655" s="15" t="str">
        <f t="shared" si="1"/>
        <v>trinaghosh30@yahoo.co.in917278662309</v>
      </c>
      <c r="D655" s="16" t="s">
        <v>7466</v>
      </c>
      <c r="E655" s="16" t="s">
        <v>68</v>
      </c>
    </row>
    <row r="656">
      <c r="A656" s="1" t="s">
        <v>2478</v>
      </c>
      <c r="B656" s="15">
        <f>+916380865060</f>
        <v>916380865060</v>
      </c>
      <c r="C656" s="15" t="str">
        <f t="shared" si="1"/>
        <v>sandhya.rajan03@gmail.com916380865060</v>
      </c>
      <c r="D656" s="16" t="s">
        <v>7467</v>
      </c>
      <c r="E656" s="16" t="s">
        <v>68</v>
      </c>
    </row>
    <row r="657">
      <c r="A657" s="1" t="s">
        <v>5126</v>
      </c>
      <c r="B657" s="15">
        <f>+919820551086</f>
        <v>919820551086</v>
      </c>
      <c r="C657" s="15" t="str">
        <f t="shared" si="1"/>
        <v>udeesha@gmail.com919820551086</v>
      </c>
      <c r="D657" s="16" t="s">
        <v>7468</v>
      </c>
      <c r="E657" s="16" t="s">
        <v>74</v>
      </c>
    </row>
    <row r="658">
      <c r="A658" s="1" t="s">
        <v>5456</v>
      </c>
      <c r="B658" s="15">
        <f>+917993308196</f>
        <v>917993308196</v>
      </c>
      <c r="C658" s="15" t="str">
        <f t="shared" si="1"/>
        <v>rahila.gulnazwork@gmail.com917993308196</v>
      </c>
      <c r="D658" s="16" t="s">
        <v>7469</v>
      </c>
      <c r="E658" s="16" t="s">
        <v>68</v>
      </c>
    </row>
    <row r="659">
      <c r="A659" s="1" t="s">
        <v>7470</v>
      </c>
      <c r="B659" s="15">
        <f>+918106121938</f>
        <v>918106121938</v>
      </c>
      <c r="C659" s="15" t="str">
        <f t="shared" si="1"/>
        <v>deepu_gdh@yahoo.com918106121938</v>
      </c>
      <c r="D659" s="16" t="s">
        <v>7471</v>
      </c>
      <c r="E659" s="16" t="s">
        <v>151</v>
      </c>
    </row>
    <row r="660">
      <c r="A660" s="1" t="s">
        <v>2916</v>
      </c>
      <c r="B660" s="15">
        <f>+919592142724</f>
        <v>919592142724</v>
      </c>
      <c r="C660" s="15" t="str">
        <f t="shared" si="1"/>
        <v>ujjwalakasbekar70@gmail.com919592142724</v>
      </c>
      <c r="D660" s="16" t="s">
        <v>7472</v>
      </c>
      <c r="E660" s="16" t="s">
        <v>68</v>
      </c>
    </row>
    <row r="661">
      <c r="A661" s="1" t="s">
        <v>5753</v>
      </c>
      <c r="B661" s="15">
        <f t="shared" ref="B661:B662" si="89">+919108408591</f>
        <v>919108408591</v>
      </c>
      <c r="C661" s="15" t="str">
        <f t="shared" si="1"/>
        <v>dilkash.azam@gmail.com919108408591</v>
      </c>
      <c r="D661" s="16" t="s">
        <v>7473</v>
      </c>
      <c r="E661" s="16" t="s">
        <v>68</v>
      </c>
    </row>
    <row r="662">
      <c r="A662" s="1" t="s">
        <v>5753</v>
      </c>
      <c r="B662" s="15">
        <f t="shared" si="89"/>
        <v>919108408591</v>
      </c>
      <c r="C662" s="15" t="str">
        <f t="shared" si="1"/>
        <v>dilkash.azam@gmail.com919108408591</v>
      </c>
      <c r="D662" s="16" t="s">
        <v>7474</v>
      </c>
      <c r="E662" s="16" t="s">
        <v>68</v>
      </c>
    </row>
    <row r="663">
      <c r="A663" s="1" t="s">
        <v>3890</v>
      </c>
      <c r="B663" s="15">
        <f>+917010617577</f>
        <v>917010617577</v>
      </c>
      <c r="C663" s="15" t="str">
        <f t="shared" si="1"/>
        <v>kovarthan2603@gmail.com917010617577</v>
      </c>
      <c r="D663" s="16" t="s">
        <v>7475</v>
      </c>
      <c r="E663" s="16" t="s">
        <v>68</v>
      </c>
    </row>
    <row r="664">
      <c r="A664" s="1" t="s">
        <v>5104</v>
      </c>
      <c r="B664" s="15">
        <f>+918787611930</f>
        <v>918787611930</v>
      </c>
      <c r="C664" s="15" t="str">
        <f t="shared" si="1"/>
        <v>nivedita.roy03@gmail.com918787611930</v>
      </c>
      <c r="D664" s="16" t="s">
        <v>7476</v>
      </c>
      <c r="E664" s="16" t="s">
        <v>68</v>
      </c>
    </row>
    <row r="665">
      <c r="A665" s="1" t="s">
        <v>3345</v>
      </c>
      <c r="B665" s="15">
        <f>+919948814777</f>
        <v>919948814777</v>
      </c>
      <c r="C665" s="15" t="str">
        <f t="shared" si="1"/>
        <v>harshita.sripada@gmail.com919948814777</v>
      </c>
      <c r="D665" s="16" t="s">
        <v>7477</v>
      </c>
      <c r="E665" s="16" t="s">
        <v>68</v>
      </c>
    </row>
    <row r="666">
      <c r="A666" s="1" t="s">
        <v>5338</v>
      </c>
      <c r="B666" s="15">
        <f t="shared" ref="B666:B667" si="90">+918123595843</f>
        <v>918123595843</v>
      </c>
      <c r="C666" s="15" t="str">
        <f t="shared" si="1"/>
        <v>ambikanaiky@gmail.com918123595843</v>
      </c>
      <c r="D666" s="16" t="s">
        <v>7478</v>
      </c>
      <c r="E666" s="16" t="s">
        <v>68</v>
      </c>
    </row>
    <row r="667">
      <c r="A667" s="1" t="s">
        <v>5338</v>
      </c>
      <c r="B667" s="15">
        <f t="shared" si="90"/>
        <v>918123595843</v>
      </c>
      <c r="C667" s="15" t="str">
        <f t="shared" si="1"/>
        <v>ambikanaiky@gmail.com918123595843</v>
      </c>
      <c r="D667" s="16" t="s">
        <v>7479</v>
      </c>
      <c r="E667" s="16" t="s">
        <v>68</v>
      </c>
    </row>
    <row r="668">
      <c r="A668" s="1" t="s">
        <v>7480</v>
      </c>
      <c r="B668" s="15">
        <f>+919815920939</f>
        <v>919815920939</v>
      </c>
      <c r="C668" s="15" t="str">
        <f t="shared" si="1"/>
        <v>nishu.sbedi@gmail.com919815920939</v>
      </c>
      <c r="D668" s="16" t="s">
        <v>7481</v>
      </c>
      <c r="E668" s="16" t="s">
        <v>68</v>
      </c>
    </row>
    <row r="669">
      <c r="A669" s="1" t="s">
        <v>5338</v>
      </c>
      <c r="B669" s="15">
        <f t="shared" ref="B669:B670" si="91">+918123595843</f>
        <v>918123595843</v>
      </c>
      <c r="C669" s="15" t="str">
        <f t="shared" si="1"/>
        <v>ambikanaiky@gmail.com918123595843</v>
      </c>
      <c r="D669" s="16" t="s">
        <v>7482</v>
      </c>
      <c r="E669" s="16" t="s">
        <v>74</v>
      </c>
    </row>
    <row r="670">
      <c r="A670" s="1" t="s">
        <v>5338</v>
      </c>
      <c r="B670" s="15">
        <f t="shared" si="91"/>
        <v>918123595843</v>
      </c>
      <c r="C670" s="15" t="str">
        <f t="shared" si="1"/>
        <v>ambikanaiky@gmail.com918123595843</v>
      </c>
      <c r="D670" s="16" t="s">
        <v>7483</v>
      </c>
      <c r="E670" s="16" t="s">
        <v>68</v>
      </c>
    </row>
    <row r="671">
      <c r="A671" s="1" t="s">
        <v>3313</v>
      </c>
      <c r="B671" s="15">
        <f t="shared" ref="B671:B672" si="92">+919888470272</f>
        <v>919888470272</v>
      </c>
      <c r="C671" s="15" t="str">
        <f t="shared" si="1"/>
        <v>himanshusaleria@gmail.com919888470272</v>
      </c>
      <c r="D671" s="16" t="s">
        <v>7484</v>
      </c>
      <c r="E671" s="16" t="s">
        <v>151</v>
      </c>
    </row>
    <row r="672">
      <c r="A672" s="1" t="s">
        <v>3313</v>
      </c>
      <c r="B672" s="15">
        <f t="shared" si="92"/>
        <v>919888470272</v>
      </c>
      <c r="C672" s="15" t="str">
        <f t="shared" si="1"/>
        <v>himanshusaleria@gmail.com919888470272</v>
      </c>
      <c r="D672" s="16" t="s">
        <v>7485</v>
      </c>
      <c r="E672" s="16" t="s">
        <v>151</v>
      </c>
    </row>
    <row r="673">
      <c r="A673" s="1" t="s">
        <v>7486</v>
      </c>
      <c r="B673" s="15">
        <f>+917406865522</f>
        <v>917406865522</v>
      </c>
      <c r="C673" s="15" t="str">
        <f t="shared" si="1"/>
        <v>sandhyasreenivas0606@gmail.com917406865522</v>
      </c>
      <c r="D673" s="16" t="s">
        <v>7487</v>
      </c>
      <c r="E673" s="16" t="s">
        <v>68</v>
      </c>
    </row>
    <row r="674">
      <c r="A674" s="1" t="s">
        <v>5457</v>
      </c>
      <c r="B674" s="15">
        <f>+917702780527</f>
        <v>917702780527</v>
      </c>
      <c r="C674" s="15" t="str">
        <f t="shared" si="1"/>
        <v>sparsha.srinivas27595@gmail.com917702780527</v>
      </c>
      <c r="D674" s="16" t="s">
        <v>7488</v>
      </c>
      <c r="E674" s="16" t="s">
        <v>74</v>
      </c>
    </row>
    <row r="675">
      <c r="A675" s="1" t="s">
        <v>2916</v>
      </c>
      <c r="B675" s="15">
        <f>+919592142724</f>
        <v>919592142724</v>
      </c>
      <c r="C675" s="15" t="str">
        <f t="shared" si="1"/>
        <v>ujjwalakasbekar70@gmail.com919592142724</v>
      </c>
      <c r="D675" s="16" t="s">
        <v>7489</v>
      </c>
      <c r="E675" s="16" t="s">
        <v>68</v>
      </c>
    </row>
    <row r="676">
      <c r="A676" s="1" t="s">
        <v>2479</v>
      </c>
      <c r="B676" s="15">
        <f>+919587884155</f>
        <v>919587884155</v>
      </c>
      <c r="C676" s="15" t="str">
        <f t="shared" si="1"/>
        <v>opgodara93@gmail.com919587884155</v>
      </c>
      <c r="D676" s="16" t="s">
        <v>7490</v>
      </c>
      <c r="E676" s="16" t="s">
        <v>68</v>
      </c>
    </row>
    <row r="677">
      <c r="A677" s="1" t="s">
        <v>3014</v>
      </c>
      <c r="B677" s="15">
        <f>+917798824980</f>
        <v>917798824980</v>
      </c>
      <c r="C677" s="15" t="str">
        <f t="shared" si="1"/>
        <v>jayashree.raut2911@gmail.com917798824980</v>
      </c>
      <c r="D677" s="16" t="s">
        <v>7491</v>
      </c>
      <c r="E677" s="16" t="s">
        <v>68</v>
      </c>
    </row>
    <row r="678">
      <c r="A678" s="1" t="s">
        <v>5192</v>
      </c>
      <c r="B678" s="15">
        <f>+919822158892</f>
        <v>919822158892</v>
      </c>
      <c r="C678" s="15" t="str">
        <f t="shared" si="1"/>
        <v>pritirajsheth@gmail.com919822158892</v>
      </c>
      <c r="D678" s="16" t="s">
        <v>7492</v>
      </c>
      <c r="E678" s="16" t="s">
        <v>74</v>
      </c>
    </row>
    <row r="679">
      <c r="A679" s="1" t="s">
        <v>3346</v>
      </c>
      <c r="B679" s="15">
        <f>+918826793818</f>
        <v>918826793818</v>
      </c>
      <c r="C679" s="15" t="str">
        <f t="shared" si="1"/>
        <v>meenakshimanuja@gmail.com918826793818</v>
      </c>
      <c r="D679" s="16" t="s">
        <v>7493</v>
      </c>
      <c r="E679" s="16" t="s">
        <v>68</v>
      </c>
    </row>
    <row r="680">
      <c r="A680" s="1" t="s">
        <v>7494</v>
      </c>
      <c r="B680" s="15">
        <f>+919848570140</f>
        <v>919848570140</v>
      </c>
      <c r="C680" s="15" t="str">
        <f t="shared" si="1"/>
        <v>alchemyinart@gmail.com919848570140</v>
      </c>
      <c r="D680" s="16" t="s">
        <v>7495</v>
      </c>
      <c r="E680" s="16" t="s">
        <v>68</v>
      </c>
    </row>
    <row r="681">
      <c r="A681" s="1" t="s">
        <v>3346</v>
      </c>
      <c r="B681" s="15">
        <f>+918826793818</f>
        <v>918826793818</v>
      </c>
      <c r="C681" s="15" t="str">
        <f t="shared" si="1"/>
        <v>meenakshimanuja@gmail.com918826793818</v>
      </c>
      <c r="D681" s="16" t="s">
        <v>7496</v>
      </c>
      <c r="E681" s="16" t="s">
        <v>74</v>
      </c>
    </row>
    <row r="682">
      <c r="A682" s="1" t="s">
        <v>3312</v>
      </c>
      <c r="B682" s="15">
        <f>+918888854828</f>
        <v>918888854828</v>
      </c>
      <c r="C682" s="15" t="str">
        <f t="shared" si="1"/>
        <v>ujagtap@gmail.com918888854828</v>
      </c>
      <c r="D682" s="16" t="s">
        <v>7497</v>
      </c>
      <c r="E682" s="16" t="s">
        <v>68</v>
      </c>
    </row>
    <row r="683">
      <c r="A683" s="1" t="s">
        <v>6255</v>
      </c>
      <c r="B683" s="15">
        <f>+917489431071</f>
        <v>917489431071</v>
      </c>
      <c r="C683" s="15" t="str">
        <f t="shared" si="1"/>
        <v>pawansikarwar1999@gmail.com917489431071</v>
      </c>
      <c r="D683" s="16" t="s">
        <v>7498</v>
      </c>
      <c r="E683" s="16" t="s">
        <v>68</v>
      </c>
    </row>
    <row r="684">
      <c r="A684" s="1" t="s">
        <v>2458</v>
      </c>
      <c r="B684" s="15">
        <f>+919416173796</f>
        <v>919416173796</v>
      </c>
      <c r="C684" s="15" t="str">
        <f t="shared" si="1"/>
        <v>mahirgupta98@gmail.com919416173796</v>
      </c>
      <c r="D684" s="16" t="s">
        <v>7499</v>
      </c>
      <c r="E684" s="16" t="s">
        <v>68</v>
      </c>
    </row>
    <row r="685">
      <c r="A685" s="1" t="s">
        <v>7500</v>
      </c>
      <c r="B685" s="15">
        <f>+919820113059</f>
        <v>919820113059</v>
      </c>
      <c r="C685" s="15" t="str">
        <f t="shared" si="1"/>
        <v>karish_shah@hotmail.com919820113059</v>
      </c>
      <c r="D685" s="16" t="s">
        <v>7501</v>
      </c>
      <c r="E685" s="16" t="s">
        <v>151</v>
      </c>
    </row>
    <row r="686">
      <c r="A686" s="1" t="s">
        <v>5753</v>
      </c>
      <c r="B686" s="15">
        <f>+919108408591</f>
        <v>919108408591</v>
      </c>
      <c r="C686" s="15" t="str">
        <f t="shared" si="1"/>
        <v>dilkash.azam@gmail.com919108408591</v>
      </c>
      <c r="D686" s="16" t="s">
        <v>7502</v>
      </c>
      <c r="E686" s="16" t="s">
        <v>68</v>
      </c>
    </row>
    <row r="687">
      <c r="A687" s="1" t="s">
        <v>2772</v>
      </c>
      <c r="B687" s="15">
        <f t="shared" ref="B687:B689" si="93">+919953163759</f>
        <v>919953163759</v>
      </c>
      <c r="C687" s="15" t="str">
        <f t="shared" si="1"/>
        <v>zulfikar.ahmed1@hotmail.com919953163759</v>
      </c>
      <c r="D687" s="16" t="s">
        <v>7503</v>
      </c>
      <c r="E687" s="16" t="s">
        <v>74</v>
      </c>
    </row>
    <row r="688">
      <c r="A688" s="1" t="s">
        <v>2772</v>
      </c>
      <c r="B688" s="15">
        <f t="shared" si="93"/>
        <v>919953163759</v>
      </c>
      <c r="C688" s="15" t="str">
        <f t="shared" si="1"/>
        <v>zulfikar.ahmed1@hotmail.com919953163759</v>
      </c>
      <c r="D688" s="16" t="s">
        <v>7504</v>
      </c>
      <c r="E688" s="16" t="s">
        <v>74</v>
      </c>
    </row>
    <row r="689">
      <c r="A689" s="1" t="s">
        <v>2772</v>
      </c>
      <c r="B689" s="15">
        <f t="shared" si="93"/>
        <v>919953163759</v>
      </c>
      <c r="C689" s="15" t="str">
        <f t="shared" si="1"/>
        <v>zulfikar.ahmed1@hotmail.com919953163759</v>
      </c>
      <c r="D689" s="16" t="s">
        <v>7505</v>
      </c>
      <c r="E689" s="16" t="s">
        <v>74</v>
      </c>
    </row>
    <row r="690">
      <c r="A690" s="1" t="s">
        <v>7500</v>
      </c>
      <c r="B690" s="15">
        <f t="shared" ref="B690:B695" si="94">+919820113059</f>
        <v>919820113059</v>
      </c>
      <c r="C690" s="15" t="str">
        <f t="shared" si="1"/>
        <v>karish_shah@hotmail.com919820113059</v>
      </c>
      <c r="D690" s="16" t="s">
        <v>7506</v>
      </c>
      <c r="E690" s="16" t="s">
        <v>151</v>
      </c>
    </row>
    <row r="691">
      <c r="A691" s="1" t="s">
        <v>7500</v>
      </c>
      <c r="B691" s="15">
        <f t="shared" si="94"/>
        <v>919820113059</v>
      </c>
      <c r="C691" s="15" t="str">
        <f t="shared" si="1"/>
        <v>karish_shah@hotmail.com919820113059</v>
      </c>
      <c r="D691" s="16" t="s">
        <v>7507</v>
      </c>
      <c r="E691" s="16" t="s">
        <v>74</v>
      </c>
    </row>
    <row r="692">
      <c r="A692" s="1" t="s">
        <v>7500</v>
      </c>
      <c r="B692" s="15">
        <f t="shared" si="94"/>
        <v>919820113059</v>
      </c>
      <c r="C692" s="15" t="str">
        <f t="shared" si="1"/>
        <v>karish_shah@hotmail.com919820113059</v>
      </c>
      <c r="D692" s="16" t="s">
        <v>7508</v>
      </c>
      <c r="E692" s="16" t="s">
        <v>74</v>
      </c>
    </row>
    <row r="693">
      <c r="A693" s="1" t="s">
        <v>7500</v>
      </c>
      <c r="B693" s="15">
        <f t="shared" si="94"/>
        <v>919820113059</v>
      </c>
      <c r="C693" s="15" t="str">
        <f t="shared" si="1"/>
        <v>karish_shah@hotmail.com919820113059</v>
      </c>
      <c r="D693" s="16" t="s">
        <v>7509</v>
      </c>
      <c r="E693" s="16" t="s">
        <v>151</v>
      </c>
    </row>
    <row r="694">
      <c r="A694" s="1" t="s">
        <v>7500</v>
      </c>
      <c r="B694" s="15">
        <f t="shared" si="94"/>
        <v>919820113059</v>
      </c>
      <c r="C694" s="15" t="str">
        <f t="shared" si="1"/>
        <v>karish_shah@hotmail.com919820113059</v>
      </c>
      <c r="D694" s="16" t="s">
        <v>7510</v>
      </c>
      <c r="E694" s="16" t="s">
        <v>74</v>
      </c>
    </row>
    <row r="695">
      <c r="A695" s="1" t="s">
        <v>7500</v>
      </c>
      <c r="B695" s="15">
        <f t="shared" si="94"/>
        <v>919820113059</v>
      </c>
      <c r="C695" s="15" t="str">
        <f t="shared" si="1"/>
        <v>karish_shah@hotmail.com919820113059</v>
      </c>
      <c r="D695" s="16" t="s">
        <v>7511</v>
      </c>
      <c r="E695" s="16" t="s">
        <v>97</v>
      </c>
    </row>
    <row r="696">
      <c r="A696" s="1" t="s">
        <v>7310</v>
      </c>
      <c r="B696" s="15">
        <f>+919980238179</f>
        <v>919980238179</v>
      </c>
      <c r="C696" s="15" t="str">
        <f t="shared" si="1"/>
        <v>anuradha.n68@gmail.com919980238179</v>
      </c>
      <c r="D696" s="16" t="s">
        <v>7512</v>
      </c>
      <c r="E696" s="16" t="s">
        <v>151</v>
      </c>
    </row>
    <row r="697">
      <c r="A697" s="1" t="s">
        <v>7137</v>
      </c>
      <c r="B697" s="15">
        <f>+919709373111</f>
        <v>919709373111</v>
      </c>
      <c r="C697" s="15" t="str">
        <f t="shared" si="1"/>
        <v>kashyapsaharsh@gmail.com919709373111</v>
      </c>
      <c r="D697" s="16" t="s">
        <v>7513</v>
      </c>
      <c r="E697" s="16" t="s">
        <v>74</v>
      </c>
    </row>
    <row r="698">
      <c r="A698" s="1" t="s">
        <v>7514</v>
      </c>
      <c r="B698" s="15">
        <f>+919980804814</f>
        <v>919980804814</v>
      </c>
      <c r="C698" s="15" t="str">
        <f t="shared" si="1"/>
        <v>shreya.red9@gmail.com919980804814</v>
      </c>
      <c r="D698" s="16" t="s">
        <v>7515</v>
      </c>
      <c r="E698" s="16" t="s">
        <v>68</v>
      </c>
    </row>
    <row r="699">
      <c r="A699" s="1" t="s">
        <v>6618</v>
      </c>
      <c r="B699" s="15">
        <f>+917053411349</f>
        <v>917053411349</v>
      </c>
      <c r="C699" s="15" t="str">
        <f t="shared" si="1"/>
        <v>ravi.srivastava0307@gmail.com917053411349</v>
      </c>
      <c r="D699" s="16" t="s">
        <v>7516</v>
      </c>
      <c r="E699" s="16" t="s">
        <v>68</v>
      </c>
    </row>
    <row r="700">
      <c r="A700" s="1" t="s">
        <v>7517</v>
      </c>
      <c r="B700" s="15">
        <f>+919630219254</f>
        <v>919630219254</v>
      </c>
      <c r="C700" s="15" t="str">
        <f t="shared" si="1"/>
        <v>bhavanapawar175@gmail.com919630219254</v>
      </c>
      <c r="D700" s="16" t="s">
        <v>7518</v>
      </c>
      <c r="E700" s="16" t="s">
        <v>68</v>
      </c>
    </row>
    <row r="701">
      <c r="A701" s="1" t="s">
        <v>3347</v>
      </c>
      <c r="B701" s="15">
        <f t="shared" ref="B701:B702" si="95">+919527121752</f>
        <v>919527121752</v>
      </c>
      <c r="C701" s="15" t="str">
        <f t="shared" si="1"/>
        <v>cherrykittu06@gmail.com919527121752</v>
      </c>
      <c r="D701" s="16" t="s">
        <v>7519</v>
      </c>
      <c r="E701" s="16" t="s">
        <v>68</v>
      </c>
    </row>
    <row r="702">
      <c r="A702" s="1" t="s">
        <v>3347</v>
      </c>
      <c r="B702" s="15">
        <f t="shared" si="95"/>
        <v>919527121752</v>
      </c>
      <c r="C702" s="15" t="str">
        <f t="shared" si="1"/>
        <v>cherrykittu06@gmail.com919527121752</v>
      </c>
      <c r="D702" s="16" t="s">
        <v>7520</v>
      </c>
      <c r="E702" s="16" t="s">
        <v>74</v>
      </c>
    </row>
    <row r="703">
      <c r="A703" s="1" t="s">
        <v>7521</v>
      </c>
      <c r="B703" s="15">
        <f>+917259288877</f>
        <v>917259288877</v>
      </c>
      <c r="C703" s="15" t="str">
        <f t="shared" si="1"/>
        <v>ramyanairobi@gmail.com917259288877</v>
      </c>
      <c r="D703" s="16" t="s">
        <v>7522</v>
      </c>
      <c r="E703" s="16" t="s">
        <v>68</v>
      </c>
    </row>
    <row r="704">
      <c r="A704" s="1" t="s">
        <v>5513</v>
      </c>
      <c r="B704" s="15">
        <f>+918010983627</f>
        <v>918010983627</v>
      </c>
      <c r="C704" s="15" t="str">
        <f t="shared" si="1"/>
        <v>naikanil0831@gmail.com918010983627</v>
      </c>
      <c r="D704" s="16" t="s">
        <v>7523</v>
      </c>
      <c r="E704" s="16" t="s">
        <v>68</v>
      </c>
    </row>
    <row r="705">
      <c r="A705" s="1" t="s">
        <v>7524</v>
      </c>
      <c r="B705" s="15">
        <f>+919223427369</f>
        <v>919223427369</v>
      </c>
      <c r="C705" s="15" t="str">
        <f t="shared" si="1"/>
        <v>dinesh19544@gmail.com919223427369</v>
      </c>
      <c r="D705" s="16" t="s">
        <v>7525</v>
      </c>
      <c r="E705" s="16" t="s">
        <v>74</v>
      </c>
    </row>
    <row r="706">
      <c r="A706" s="1" t="s">
        <v>2695</v>
      </c>
      <c r="B706" s="15">
        <f>+918075814326</f>
        <v>918075814326</v>
      </c>
      <c r="C706" s="15" t="str">
        <f t="shared" si="1"/>
        <v>sreelkshmy@gmail.com918075814326</v>
      </c>
      <c r="D706" s="16" t="s">
        <v>7526</v>
      </c>
      <c r="E706" s="16" t="s">
        <v>68</v>
      </c>
    </row>
    <row r="707">
      <c r="A707" s="1" t="s">
        <v>7524</v>
      </c>
      <c r="B707" s="15">
        <f t="shared" ref="B707:B709" si="96">+919223427369</f>
        <v>919223427369</v>
      </c>
      <c r="C707" s="15" t="str">
        <f t="shared" si="1"/>
        <v>dinesh19544@gmail.com919223427369</v>
      </c>
      <c r="D707" s="16" t="s">
        <v>7527</v>
      </c>
      <c r="E707" s="16" t="s">
        <v>74</v>
      </c>
    </row>
    <row r="708">
      <c r="A708" s="1" t="s">
        <v>7524</v>
      </c>
      <c r="B708" s="15">
        <f t="shared" si="96"/>
        <v>919223427369</v>
      </c>
      <c r="C708" s="15" t="str">
        <f t="shared" si="1"/>
        <v>dinesh19544@gmail.com919223427369</v>
      </c>
      <c r="D708" s="16" t="s">
        <v>7528</v>
      </c>
      <c r="E708" s="16" t="s">
        <v>74</v>
      </c>
    </row>
    <row r="709">
      <c r="A709" s="1" t="s">
        <v>7524</v>
      </c>
      <c r="B709" s="15">
        <f t="shared" si="96"/>
        <v>919223427369</v>
      </c>
      <c r="C709" s="15" t="str">
        <f t="shared" si="1"/>
        <v>dinesh19544@gmail.com919223427369</v>
      </c>
      <c r="D709" s="16" t="s">
        <v>7529</v>
      </c>
      <c r="E709" s="16" t="s">
        <v>74</v>
      </c>
    </row>
    <row r="710">
      <c r="A710" s="1" t="s">
        <v>4347</v>
      </c>
      <c r="B710" s="15">
        <f>+917875438507</f>
        <v>917875438507</v>
      </c>
      <c r="C710" s="15" t="str">
        <f t="shared" si="1"/>
        <v>amit.m.waghmare@gmail.com917875438507</v>
      </c>
      <c r="D710" s="16" t="s">
        <v>7530</v>
      </c>
      <c r="E710" s="16" t="s">
        <v>74</v>
      </c>
    </row>
    <row r="711">
      <c r="A711" s="1" t="s">
        <v>4639</v>
      </c>
      <c r="B711" s="15">
        <f>+919411530305</f>
        <v>919411530305</v>
      </c>
      <c r="C711" s="15" t="str">
        <f t="shared" si="1"/>
        <v>rachanayadav3july@gmail.com919411530305</v>
      </c>
      <c r="D711" s="16" t="s">
        <v>7531</v>
      </c>
      <c r="E711" s="16" t="s">
        <v>68</v>
      </c>
    </row>
    <row r="712">
      <c r="A712" s="1" t="s">
        <v>7112</v>
      </c>
      <c r="B712" s="15">
        <f t="shared" ref="B712:B714" si="97">+918420562779</f>
        <v>918420562779</v>
      </c>
      <c r="C712" s="15" t="str">
        <f t="shared" si="1"/>
        <v>brewertiffany30@gmail.com918420562779</v>
      </c>
      <c r="D712" s="16" t="s">
        <v>7532</v>
      </c>
      <c r="E712" s="16" t="s">
        <v>151</v>
      </c>
    </row>
    <row r="713">
      <c r="A713" s="1" t="s">
        <v>7112</v>
      </c>
      <c r="B713" s="15">
        <f t="shared" si="97"/>
        <v>918420562779</v>
      </c>
      <c r="C713" s="15" t="str">
        <f t="shared" si="1"/>
        <v>brewertiffany30@gmail.com918420562779</v>
      </c>
      <c r="D713" s="16" t="s">
        <v>7533</v>
      </c>
      <c r="E713" s="16" t="s">
        <v>68</v>
      </c>
    </row>
    <row r="714">
      <c r="A714" s="1" t="s">
        <v>7112</v>
      </c>
      <c r="B714" s="15">
        <f t="shared" si="97"/>
        <v>918420562779</v>
      </c>
      <c r="C714" s="15" t="str">
        <f t="shared" si="1"/>
        <v>brewertiffany30@gmail.com918420562779</v>
      </c>
      <c r="D714" s="16" t="s">
        <v>7534</v>
      </c>
      <c r="E714" s="16" t="s">
        <v>68</v>
      </c>
    </row>
    <row r="715">
      <c r="A715" s="1" t="s">
        <v>632</v>
      </c>
      <c r="B715" s="15">
        <f>+919989716007</f>
        <v>919989716007</v>
      </c>
      <c r="C715" s="15" t="str">
        <f t="shared" si="1"/>
        <v>buntyboy.1990@gmail.com919989716007</v>
      </c>
      <c r="D715" s="16" t="s">
        <v>7535</v>
      </c>
      <c r="E715" s="16" t="s">
        <v>68</v>
      </c>
    </row>
    <row r="716">
      <c r="A716" s="1" t="s">
        <v>7536</v>
      </c>
      <c r="B716" s="15">
        <f>+918420562779</f>
        <v>918420562779</v>
      </c>
      <c r="C716" s="15" t="str">
        <f t="shared" si="1"/>
        <v>garima.yadav@likeminds.community918420562779</v>
      </c>
      <c r="D716" s="16" t="s">
        <v>7537</v>
      </c>
      <c r="E716" s="16" t="s">
        <v>68</v>
      </c>
    </row>
    <row r="717">
      <c r="A717" s="1" t="s">
        <v>7538</v>
      </c>
      <c r="B717" s="15">
        <f>+919895066000</f>
        <v>919895066000</v>
      </c>
      <c r="C717" s="15" t="str">
        <f t="shared" si="1"/>
        <v>chitra.menon1988@gmail.com919895066000</v>
      </c>
      <c r="D717" s="16" t="s">
        <v>7539</v>
      </c>
      <c r="E717" s="16" t="s">
        <v>74</v>
      </c>
    </row>
    <row r="718">
      <c r="A718" s="1" t="s">
        <v>3316</v>
      </c>
      <c r="B718" s="15">
        <f t="shared" ref="B718:B719" si="98">+919163066773</f>
        <v>919163066773</v>
      </c>
      <c r="C718" s="15" t="str">
        <f t="shared" si="1"/>
        <v>sendsayan1@gmail.com919163066773</v>
      </c>
      <c r="D718" s="16" t="s">
        <v>7540</v>
      </c>
      <c r="E718" s="16" t="s">
        <v>68</v>
      </c>
    </row>
    <row r="719">
      <c r="A719" s="1" t="s">
        <v>3316</v>
      </c>
      <c r="B719" s="15">
        <f t="shared" si="98"/>
        <v>919163066773</v>
      </c>
      <c r="C719" s="15" t="str">
        <f t="shared" si="1"/>
        <v>sendsayan1@gmail.com919163066773</v>
      </c>
      <c r="D719" s="16" t="s">
        <v>7541</v>
      </c>
      <c r="E719" s="16" t="s">
        <v>68</v>
      </c>
    </row>
    <row r="720">
      <c r="A720" s="1" t="s">
        <v>7542</v>
      </c>
      <c r="B720" s="15">
        <f>+919011830300</f>
        <v>919011830300</v>
      </c>
      <c r="C720" s="15" t="str">
        <f t="shared" si="1"/>
        <v>shruticgandhi@gmail.com919011830300</v>
      </c>
      <c r="D720" s="16" t="s">
        <v>7543</v>
      </c>
      <c r="E720" s="16" t="s">
        <v>151</v>
      </c>
    </row>
    <row r="721">
      <c r="A721" s="1" t="s">
        <v>5193</v>
      </c>
      <c r="B721" s="15">
        <f>+919632948226</f>
        <v>919632948226</v>
      </c>
      <c r="C721" s="15" t="str">
        <f t="shared" si="1"/>
        <v>prithvibabu9@gmail.com919632948226</v>
      </c>
      <c r="D721" s="16" t="s">
        <v>7544</v>
      </c>
      <c r="E721" s="16" t="s">
        <v>68</v>
      </c>
    </row>
    <row r="722">
      <c r="A722" s="1" t="s">
        <v>4580</v>
      </c>
      <c r="B722" s="15">
        <f>+918892009696</f>
        <v>918892009696</v>
      </c>
      <c r="C722" s="15" t="str">
        <f t="shared" si="1"/>
        <v>amahante@gmail.com918892009696</v>
      </c>
      <c r="D722" s="16" t="s">
        <v>7545</v>
      </c>
      <c r="E722" s="16" t="s">
        <v>68</v>
      </c>
    </row>
    <row r="723">
      <c r="A723" s="1" t="s">
        <v>5127</v>
      </c>
      <c r="B723" s="15">
        <f>+919930121303</f>
        <v>919930121303</v>
      </c>
      <c r="C723" s="15" t="str">
        <f t="shared" si="1"/>
        <v>dr.sofia77@gmail.com919930121303</v>
      </c>
      <c r="D723" s="16" t="s">
        <v>7546</v>
      </c>
      <c r="E723" s="16" t="s">
        <v>68</v>
      </c>
    </row>
    <row r="724">
      <c r="A724" s="1" t="s">
        <v>7547</v>
      </c>
      <c r="B724" s="15">
        <f>+919427219602</f>
        <v>919427219602</v>
      </c>
      <c r="C724" s="15" t="str">
        <f t="shared" si="1"/>
        <v>maitripjoshi@gmail.com919427219602</v>
      </c>
      <c r="D724" s="16" t="s">
        <v>7548</v>
      </c>
      <c r="E724" s="16" t="s">
        <v>68</v>
      </c>
    </row>
    <row r="725">
      <c r="A725" s="1" t="s">
        <v>6256</v>
      </c>
      <c r="B725" s="15">
        <f>+917424839905</f>
        <v>917424839905</v>
      </c>
      <c r="C725" s="15" t="str">
        <f t="shared" si="1"/>
        <v>ajay27550@gmail.com917424839905</v>
      </c>
      <c r="D725" s="16" t="s">
        <v>7549</v>
      </c>
      <c r="E725" s="16" t="s">
        <v>68</v>
      </c>
    </row>
    <row r="726">
      <c r="A726" s="1" t="s">
        <v>2696</v>
      </c>
      <c r="B726" s="15">
        <f>+918919172518</f>
        <v>918919172518</v>
      </c>
      <c r="C726" s="15" t="str">
        <f t="shared" si="1"/>
        <v>soldiernida@gmail.com918919172518</v>
      </c>
      <c r="D726" s="16" t="s">
        <v>7550</v>
      </c>
      <c r="E726" s="16" t="s">
        <v>68</v>
      </c>
    </row>
    <row r="727">
      <c r="A727" s="1" t="s">
        <v>2697</v>
      </c>
      <c r="B727" s="15">
        <f>+918789218952</f>
        <v>918789218952</v>
      </c>
      <c r="C727" s="15" t="str">
        <f t="shared" si="1"/>
        <v>purnimaroy0807@gmail.com918789218952</v>
      </c>
      <c r="D727" s="16" t="s">
        <v>7551</v>
      </c>
      <c r="E727" s="16" t="s">
        <v>68</v>
      </c>
    </row>
    <row r="728">
      <c r="A728" s="1" t="s">
        <v>2920</v>
      </c>
      <c r="B728" s="15">
        <f>+917506179949</f>
        <v>917506179949</v>
      </c>
      <c r="C728" s="15" t="str">
        <f t="shared" si="1"/>
        <v>madhavisoham7@gmail.com917506179949</v>
      </c>
      <c r="D728" s="16" t="s">
        <v>7552</v>
      </c>
      <c r="E728" s="16" t="s">
        <v>97</v>
      </c>
    </row>
    <row r="729">
      <c r="A729" s="1" t="s">
        <v>7553</v>
      </c>
      <c r="B729" s="15">
        <f t="shared" ref="B729:B731" si="99">+917773944470</f>
        <v>917773944470</v>
      </c>
      <c r="C729" s="15" t="str">
        <f t="shared" si="1"/>
        <v>pvarma0001@gmail.com917773944470</v>
      </c>
      <c r="D729" s="16" t="s">
        <v>7554</v>
      </c>
      <c r="E729" s="16" t="s">
        <v>151</v>
      </c>
    </row>
    <row r="730">
      <c r="A730" s="1" t="s">
        <v>7553</v>
      </c>
      <c r="B730" s="15">
        <f t="shared" si="99"/>
        <v>917773944470</v>
      </c>
      <c r="C730" s="15" t="str">
        <f t="shared" si="1"/>
        <v>pvarma0001@gmail.com917773944470</v>
      </c>
      <c r="D730" s="16" t="s">
        <v>7555</v>
      </c>
      <c r="E730" s="16" t="s">
        <v>151</v>
      </c>
    </row>
    <row r="731">
      <c r="A731" s="1" t="s">
        <v>7553</v>
      </c>
      <c r="B731" s="15">
        <f t="shared" si="99"/>
        <v>917773944470</v>
      </c>
      <c r="C731" s="15" t="str">
        <f t="shared" si="1"/>
        <v>pvarma0001@gmail.com917773944470</v>
      </c>
      <c r="D731" s="16" t="s">
        <v>7556</v>
      </c>
      <c r="E731" s="16" t="s">
        <v>74</v>
      </c>
    </row>
    <row r="732">
      <c r="A732" s="1" t="s">
        <v>6257</v>
      </c>
      <c r="B732" s="15">
        <f>+919829993867</f>
        <v>919829993867</v>
      </c>
      <c r="C732" s="15" t="str">
        <f t="shared" si="1"/>
        <v>harshanama28@gmail.com919829993867</v>
      </c>
      <c r="D732" s="16" t="s">
        <v>7557</v>
      </c>
      <c r="E732" s="16" t="s">
        <v>68</v>
      </c>
    </row>
    <row r="733">
      <c r="A733" s="1" t="s">
        <v>3314</v>
      </c>
      <c r="B733" s="15">
        <f>+919886346066</f>
        <v>919886346066</v>
      </c>
      <c r="C733" s="15" t="str">
        <f t="shared" si="1"/>
        <v>vinay.vinay.v@gmail.com919886346066</v>
      </c>
      <c r="D733" s="16" t="s">
        <v>7558</v>
      </c>
      <c r="E733" s="16" t="s">
        <v>74</v>
      </c>
    </row>
    <row r="734">
      <c r="A734" s="1" t="s">
        <v>3315</v>
      </c>
      <c r="B734" s="15">
        <f>+919985198322</f>
        <v>919985198322</v>
      </c>
      <c r="C734" s="15" t="str">
        <f t="shared" si="1"/>
        <v>subhakalak@gmail.com919985198322</v>
      </c>
      <c r="D734" s="16" t="s">
        <v>7559</v>
      </c>
      <c r="E734" s="16" t="s">
        <v>68</v>
      </c>
    </row>
    <row r="735">
      <c r="A735" s="1" t="s">
        <v>2917</v>
      </c>
      <c r="B735" s="15">
        <f t="shared" ref="B735:B737" si="100">+919560291944</f>
        <v>919560291944</v>
      </c>
      <c r="C735" s="15" t="str">
        <f t="shared" si="1"/>
        <v>am3100753@gmail.com919560291944</v>
      </c>
      <c r="D735" s="16" t="s">
        <v>7560</v>
      </c>
      <c r="E735" s="16" t="s">
        <v>151</v>
      </c>
    </row>
    <row r="736">
      <c r="A736" s="1" t="s">
        <v>2917</v>
      </c>
      <c r="B736" s="15">
        <f t="shared" si="100"/>
        <v>919560291944</v>
      </c>
      <c r="C736" s="15" t="str">
        <f t="shared" si="1"/>
        <v>am3100753@gmail.com919560291944</v>
      </c>
      <c r="D736" s="16" t="s">
        <v>7561</v>
      </c>
      <c r="E736" s="16" t="s">
        <v>151</v>
      </c>
    </row>
    <row r="737">
      <c r="A737" s="1" t="s">
        <v>2917</v>
      </c>
      <c r="B737" s="15">
        <f t="shared" si="100"/>
        <v>919560291944</v>
      </c>
      <c r="C737" s="15" t="str">
        <f t="shared" si="1"/>
        <v>am3100753@gmail.com919560291944</v>
      </c>
      <c r="D737" s="16" t="s">
        <v>7562</v>
      </c>
      <c r="E737" s="16" t="s">
        <v>151</v>
      </c>
    </row>
    <row r="738">
      <c r="A738" s="1" t="s">
        <v>6813</v>
      </c>
      <c r="B738" s="15">
        <f>+919599577212</f>
        <v>919599577212</v>
      </c>
      <c r="C738" s="15" t="str">
        <f t="shared" si="1"/>
        <v>rajpreettomar@gmail.com919599577212</v>
      </c>
      <c r="D738" s="16" t="s">
        <v>7563</v>
      </c>
      <c r="E738" s="16" t="s">
        <v>74</v>
      </c>
    </row>
    <row r="739">
      <c r="A739" s="1" t="s">
        <v>5125</v>
      </c>
      <c r="B739" s="15">
        <f>+919619857736</f>
        <v>919619857736</v>
      </c>
      <c r="C739" s="15" t="str">
        <f t="shared" si="1"/>
        <v>shefalipoojary@gmail.com919619857736</v>
      </c>
      <c r="D739" s="16" t="s">
        <v>7564</v>
      </c>
      <c r="E739" s="16" t="s">
        <v>74</v>
      </c>
    </row>
    <row r="740">
      <c r="A740" s="1" t="s">
        <v>7565</v>
      </c>
      <c r="B740" s="15">
        <f>+919662074525</f>
        <v>919662074525</v>
      </c>
      <c r="C740" s="15" t="str">
        <f t="shared" si="1"/>
        <v>devanshibhatt766@gmail.com919662074525</v>
      </c>
      <c r="D740" s="16" t="s">
        <v>7566</v>
      </c>
      <c r="E740" s="16" t="s">
        <v>68</v>
      </c>
    </row>
    <row r="741">
      <c r="A741" s="1" t="s">
        <v>6324</v>
      </c>
      <c r="B741" s="15">
        <f t="shared" ref="B741:B743" si="101">+918104097757</f>
        <v>918104097757</v>
      </c>
      <c r="C741" s="15" t="str">
        <f t="shared" si="1"/>
        <v>muskanjain2189@gmail.com918104097757</v>
      </c>
      <c r="D741" s="16" t="s">
        <v>7567</v>
      </c>
      <c r="E741" s="16" t="s">
        <v>97</v>
      </c>
    </row>
    <row r="742">
      <c r="A742" s="1" t="s">
        <v>6324</v>
      </c>
      <c r="B742" s="15">
        <f t="shared" si="101"/>
        <v>918104097757</v>
      </c>
      <c r="C742" s="15" t="str">
        <f t="shared" si="1"/>
        <v>muskanjain2189@gmail.com918104097757</v>
      </c>
      <c r="D742" s="16" t="s">
        <v>7568</v>
      </c>
      <c r="E742" s="16" t="s">
        <v>97</v>
      </c>
    </row>
    <row r="743">
      <c r="A743" s="1" t="s">
        <v>6324</v>
      </c>
      <c r="B743" s="15">
        <f t="shared" si="101"/>
        <v>918104097757</v>
      </c>
      <c r="C743" s="15" t="str">
        <f t="shared" si="1"/>
        <v>muskanjain2189@gmail.com918104097757</v>
      </c>
      <c r="D743" s="16" t="s">
        <v>7569</v>
      </c>
      <c r="E743" s="16" t="s">
        <v>74</v>
      </c>
    </row>
    <row r="744">
      <c r="A744" s="1" t="s">
        <v>1709</v>
      </c>
      <c r="B744" s="15">
        <f>+919833152010</f>
        <v>919833152010</v>
      </c>
      <c r="C744" s="15" t="str">
        <f t="shared" si="1"/>
        <v>skinjal84@gmail.com919833152010</v>
      </c>
      <c r="D744" s="16" t="s">
        <v>7570</v>
      </c>
      <c r="E744" s="16" t="s">
        <v>97</v>
      </c>
    </row>
    <row r="745">
      <c r="A745" s="1" t="s">
        <v>2917</v>
      </c>
      <c r="B745" s="15">
        <f>+919560291944</f>
        <v>919560291944</v>
      </c>
      <c r="C745" s="15" t="str">
        <f t="shared" si="1"/>
        <v>am3100753@gmail.com919560291944</v>
      </c>
      <c r="D745" s="16" t="s">
        <v>7571</v>
      </c>
      <c r="E745" s="16" t="s">
        <v>97</v>
      </c>
    </row>
    <row r="746">
      <c r="A746" s="1" t="s">
        <v>7572</v>
      </c>
      <c r="B746" s="15">
        <f t="shared" ref="B746:B747" si="102">+919940078344</f>
        <v>919940078344</v>
      </c>
      <c r="C746" s="15" t="str">
        <f t="shared" si="1"/>
        <v>ramyashree.v@gmail.com919940078344</v>
      </c>
      <c r="D746" s="16" t="s">
        <v>7573</v>
      </c>
      <c r="E746" s="16" t="s">
        <v>74</v>
      </c>
    </row>
    <row r="747">
      <c r="A747" s="1" t="s">
        <v>7572</v>
      </c>
      <c r="B747" s="15">
        <f t="shared" si="102"/>
        <v>919940078344</v>
      </c>
      <c r="C747" s="15" t="str">
        <f t="shared" si="1"/>
        <v>ramyashree.v@gmail.com919940078344</v>
      </c>
      <c r="D747" s="16" t="s">
        <v>7574</v>
      </c>
      <c r="E747" s="16" t="s">
        <v>74</v>
      </c>
    </row>
    <row r="748">
      <c r="A748" s="1" t="s">
        <v>3891</v>
      </c>
      <c r="B748" s="15">
        <f>+919945586643</f>
        <v>919945586643</v>
      </c>
      <c r="C748" s="15" t="str">
        <f t="shared" si="1"/>
        <v>anirudhkishore188@gmail.com919945586643</v>
      </c>
      <c r="D748" s="16" t="s">
        <v>7575</v>
      </c>
      <c r="E748" s="16" t="s">
        <v>68</v>
      </c>
    </row>
    <row r="749">
      <c r="A749" s="1" t="s">
        <v>3313</v>
      </c>
      <c r="B749" s="15">
        <f t="shared" ref="B749:B750" si="103">+919888470272</f>
        <v>919888470272</v>
      </c>
      <c r="C749" s="15" t="str">
        <f t="shared" si="1"/>
        <v>himanshusaleria@gmail.com919888470272</v>
      </c>
      <c r="D749" s="16" t="s">
        <v>7576</v>
      </c>
      <c r="E749" s="16" t="s">
        <v>68</v>
      </c>
    </row>
    <row r="750">
      <c r="A750" s="1" t="s">
        <v>3313</v>
      </c>
      <c r="B750" s="15">
        <f t="shared" si="103"/>
        <v>919888470272</v>
      </c>
      <c r="C750" s="15" t="str">
        <f t="shared" si="1"/>
        <v>himanshusaleria@gmail.com919888470272</v>
      </c>
      <c r="D750" s="16" t="s">
        <v>7577</v>
      </c>
      <c r="E750" s="16" t="s">
        <v>68</v>
      </c>
    </row>
    <row r="751">
      <c r="A751" s="1" t="s">
        <v>2775</v>
      </c>
      <c r="B751" s="15">
        <f>+918610147050</f>
        <v>918610147050</v>
      </c>
      <c r="C751" s="15" t="str">
        <f t="shared" si="1"/>
        <v>hariprasad3785@gmail.com918610147050</v>
      </c>
      <c r="D751" s="16" t="s">
        <v>7578</v>
      </c>
      <c r="E751" s="16" t="s">
        <v>68</v>
      </c>
    </row>
    <row r="752">
      <c r="A752" s="1" t="s">
        <v>3348</v>
      </c>
      <c r="B752" s="15">
        <f>+919980531190</f>
        <v>919980531190</v>
      </c>
      <c r="C752" s="15" t="str">
        <f t="shared" si="1"/>
        <v>darshiniaa@gmail.com919980531190</v>
      </c>
      <c r="D752" s="16" t="s">
        <v>7579</v>
      </c>
      <c r="E752" s="16" t="s">
        <v>74</v>
      </c>
    </row>
    <row r="753">
      <c r="A753" s="1" t="s">
        <v>6199</v>
      </c>
      <c r="B753" s="15">
        <f t="shared" ref="B753:B754" si="104">+917002416110</f>
        <v>917002416110</v>
      </c>
      <c r="C753" s="15" t="str">
        <f t="shared" si="1"/>
        <v>shashwat.kothari1@gmail.com917002416110</v>
      </c>
      <c r="D753" s="16" t="s">
        <v>7580</v>
      </c>
      <c r="E753" s="16" t="s">
        <v>68</v>
      </c>
    </row>
    <row r="754">
      <c r="A754" s="1" t="s">
        <v>6199</v>
      </c>
      <c r="B754" s="15">
        <f t="shared" si="104"/>
        <v>917002416110</v>
      </c>
      <c r="C754" s="15" t="str">
        <f t="shared" si="1"/>
        <v>shashwat.kothari1@gmail.com917002416110</v>
      </c>
      <c r="D754" s="16" t="s">
        <v>7581</v>
      </c>
      <c r="E754" s="16" t="s">
        <v>68</v>
      </c>
    </row>
    <row r="755">
      <c r="A755" s="1" t="s">
        <v>2918</v>
      </c>
      <c r="B755" s="15">
        <f>+919511794862</f>
        <v>919511794862</v>
      </c>
      <c r="C755" s="15" t="str">
        <f t="shared" si="1"/>
        <v>joecoolvikram@gmail.com919511794862</v>
      </c>
      <c r="D755" s="16" t="s">
        <v>7582</v>
      </c>
      <c r="E755" s="16" t="s">
        <v>68</v>
      </c>
    </row>
    <row r="756">
      <c r="A756" s="1" t="s">
        <v>1086</v>
      </c>
      <c r="B756" s="15">
        <f>+917978295558</f>
        <v>917978295558</v>
      </c>
      <c r="C756" s="15" t="str">
        <f t="shared" si="1"/>
        <v>sulagna.kaushik@gmail.com917978295558</v>
      </c>
      <c r="D756" s="16" t="s">
        <v>7583</v>
      </c>
      <c r="E756" s="16" t="s">
        <v>74</v>
      </c>
    </row>
    <row r="757">
      <c r="A757" s="1" t="s">
        <v>2919</v>
      </c>
      <c r="B757" s="15">
        <f>+919466128319</f>
        <v>919466128319</v>
      </c>
      <c r="C757" s="15" t="str">
        <f t="shared" si="1"/>
        <v>ronakdahiya8@gmail.com919466128319</v>
      </c>
      <c r="D757" s="16" t="s">
        <v>7584</v>
      </c>
      <c r="E757" s="16" t="s">
        <v>151</v>
      </c>
    </row>
    <row r="758">
      <c r="A758" s="1" t="s">
        <v>3015</v>
      </c>
      <c r="B758" s="15">
        <f>+916283015033</f>
        <v>916283015033</v>
      </c>
      <c r="C758" s="15" t="str">
        <f t="shared" si="1"/>
        <v>hemanthkumarjitta8912@gmail.com916283015033</v>
      </c>
      <c r="D758" s="16" t="s">
        <v>7585</v>
      </c>
      <c r="E758" s="16" t="s">
        <v>68</v>
      </c>
    </row>
    <row r="759">
      <c r="A759" s="1" t="s">
        <v>2921</v>
      </c>
      <c r="B759" s="15">
        <f>+919962025450</f>
        <v>919962025450</v>
      </c>
      <c r="C759" s="15" t="str">
        <f t="shared" si="1"/>
        <v>snvetri@gmail.com919962025450</v>
      </c>
      <c r="D759" s="16" t="s">
        <v>7586</v>
      </c>
      <c r="E759" s="16" t="s">
        <v>68</v>
      </c>
    </row>
    <row r="760">
      <c r="A760" s="1" t="s">
        <v>5056</v>
      </c>
      <c r="B760" s="15">
        <f>+919872897180</f>
        <v>919872897180</v>
      </c>
      <c r="C760" s="15" t="str">
        <f t="shared" si="1"/>
        <v>nishj456@gmail.com919872897180</v>
      </c>
      <c r="D760" s="16" t="s">
        <v>7587</v>
      </c>
      <c r="E760" s="16" t="s">
        <v>74</v>
      </c>
    </row>
    <row r="761">
      <c r="A761" s="1" t="s">
        <v>6495</v>
      </c>
      <c r="B761" s="15">
        <f>+919820986092</f>
        <v>919820986092</v>
      </c>
      <c r="C761" s="15" t="str">
        <f t="shared" si="1"/>
        <v>avanticas@gmail.com919820986092</v>
      </c>
      <c r="D761" s="16" t="s">
        <v>7588</v>
      </c>
      <c r="E761" s="16" t="s">
        <v>97</v>
      </c>
    </row>
    <row r="762">
      <c r="A762" s="1" t="s">
        <v>6694</v>
      </c>
      <c r="B762" s="15">
        <f>+919100183323</f>
        <v>919100183323</v>
      </c>
      <c r="C762" s="15" t="str">
        <f t="shared" si="1"/>
        <v>amartyasaradhi@gmail.com919100183323</v>
      </c>
      <c r="D762" s="16" t="s">
        <v>7589</v>
      </c>
      <c r="E762" s="16" t="s">
        <v>68</v>
      </c>
    </row>
    <row r="763">
      <c r="A763" s="1" t="s">
        <v>2922</v>
      </c>
      <c r="B763" s="15">
        <f>+919757231721</f>
        <v>919757231721</v>
      </c>
      <c r="C763" s="15" t="str">
        <f t="shared" si="1"/>
        <v>its_prabha@rediffmail.com919757231721</v>
      </c>
      <c r="D763" s="16" t="s">
        <v>7590</v>
      </c>
      <c r="E763" s="16" t="s">
        <v>97</v>
      </c>
    </row>
    <row r="764">
      <c r="A764" s="1" t="s">
        <v>6258</v>
      </c>
      <c r="B764" s="15">
        <f t="shared" ref="B764:B766" si="105">+919527216353</f>
        <v>919527216353</v>
      </c>
      <c r="C764" s="15" t="str">
        <f t="shared" si="1"/>
        <v>ayushsinha120@gmail.com919527216353</v>
      </c>
      <c r="D764" s="16" t="s">
        <v>7591</v>
      </c>
      <c r="E764" s="16" t="s">
        <v>68</v>
      </c>
    </row>
    <row r="765">
      <c r="A765" s="1" t="s">
        <v>6258</v>
      </c>
      <c r="B765" s="15">
        <f t="shared" si="105"/>
        <v>919527216353</v>
      </c>
      <c r="C765" s="15" t="str">
        <f t="shared" si="1"/>
        <v>ayushsinha120@gmail.com919527216353</v>
      </c>
      <c r="D765" s="16" t="s">
        <v>7592</v>
      </c>
      <c r="E765" s="16" t="s">
        <v>68</v>
      </c>
    </row>
    <row r="766">
      <c r="A766" s="1" t="s">
        <v>6258</v>
      </c>
      <c r="B766" s="15">
        <f t="shared" si="105"/>
        <v>919527216353</v>
      </c>
      <c r="C766" s="15" t="str">
        <f t="shared" si="1"/>
        <v>ayushsinha120@gmail.com919527216353</v>
      </c>
      <c r="D766" s="16" t="s">
        <v>7593</v>
      </c>
      <c r="E766" s="16" t="s">
        <v>68</v>
      </c>
    </row>
    <row r="767">
      <c r="A767" s="1" t="s">
        <v>5128</v>
      </c>
      <c r="B767" s="15">
        <f>+919619640929</f>
        <v>919619640929</v>
      </c>
      <c r="C767" s="15" t="str">
        <f t="shared" si="1"/>
        <v>panditpaulomi@gmail.com919619640929</v>
      </c>
      <c r="D767" s="16" t="s">
        <v>7594</v>
      </c>
      <c r="E767" s="16" t="s">
        <v>74</v>
      </c>
    </row>
    <row r="768">
      <c r="A768" s="1" t="s">
        <v>7595</v>
      </c>
      <c r="B768" s="15">
        <f>+919213564999</f>
        <v>919213564999</v>
      </c>
      <c r="C768" s="15" t="str">
        <f t="shared" si="1"/>
        <v>nikitayadav1970@gmail.com919213564999</v>
      </c>
      <c r="D768" s="16" t="s">
        <v>7596</v>
      </c>
      <c r="E768" s="16" t="s">
        <v>68</v>
      </c>
    </row>
    <row r="769">
      <c r="A769" s="1" t="s">
        <v>6503</v>
      </c>
      <c r="B769" s="15">
        <f>+919915425644</f>
        <v>919915425644</v>
      </c>
      <c r="C769" s="15" t="str">
        <f t="shared" si="1"/>
        <v>rpreet8@gmail.com919915425644</v>
      </c>
      <c r="D769" s="16" t="s">
        <v>7597</v>
      </c>
      <c r="E769" s="16" t="s">
        <v>68</v>
      </c>
    </row>
    <row r="770">
      <c r="A770" s="1" t="s">
        <v>2776</v>
      </c>
      <c r="B770" s="15">
        <f>+919004209182</f>
        <v>919004209182</v>
      </c>
      <c r="C770" s="15" t="str">
        <f t="shared" si="1"/>
        <v>singh199386@gmail.com919004209182</v>
      </c>
      <c r="D770" s="16" t="s">
        <v>7598</v>
      </c>
      <c r="E770" s="16" t="s">
        <v>68</v>
      </c>
    </row>
    <row r="771">
      <c r="A771" s="1" t="s">
        <v>6504</v>
      </c>
      <c r="B771" s="15">
        <f>+919935000200</f>
        <v>919935000200</v>
      </c>
      <c r="C771" s="15" t="str">
        <f t="shared" si="1"/>
        <v>neerudwivedi@gmail.com919935000200</v>
      </c>
      <c r="D771" s="16" t="s">
        <v>7599</v>
      </c>
      <c r="E771" s="16" t="s">
        <v>74</v>
      </c>
    </row>
    <row r="772">
      <c r="A772" s="1" t="s">
        <v>5129</v>
      </c>
      <c r="B772" s="15">
        <f>+919662074525</f>
        <v>919662074525</v>
      </c>
      <c r="C772" s="15" t="str">
        <f t="shared" si="1"/>
        <v>devanshi_bhatt2004@yahoo.com919662074525</v>
      </c>
      <c r="D772" s="16" t="s">
        <v>7600</v>
      </c>
      <c r="E772" s="16" t="s">
        <v>68</v>
      </c>
    </row>
    <row r="773">
      <c r="A773" s="1" t="s">
        <v>2777</v>
      </c>
      <c r="B773" s="15">
        <f>+919757063488</f>
        <v>919757063488</v>
      </c>
      <c r="C773" s="15" t="str">
        <f t="shared" si="1"/>
        <v>phebethomas02@gmail.com919757063488</v>
      </c>
      <c r="D773" s="16" t="s">
        <v>7601</v>
      </c>
      <c r="E773" s="16" t="s">
        <v>68</v>
      </c>
    </row>
    <row r="774">
      <c r="A774" s="1" t="s">
        <v>5129</v>
      </c>
      <c r="B774" s="15">
        <f>+919662074525</f>
        <v>919662074525</v>
      </c>
      <c r="C774" s="15" t="str">
        <f t="shared" si="1"/>
        <v>devanshi_bhatt2004@yahoo.com919662074525</v>
      </c>
      <c r="D774" s="16" t="s">
        <v>7602</v>
      </c>
      <c r="E774" s="16" t="s">
        <v>68</v>
      </c>
    </row>
    <row r="775">
      <c r="A775" s="1" t="s">
        <v>2712</v>
      </c>
      <c r="B775" s="15">
        <f t="shared" ref="B775:B776" si="106">+919944405570</f>
        <v>919944405570</v>
      </c>
      <c r="C775" s="15" t="str">
        <f t="shared" si="1"/>
        <v>poornibubloo25@gmail.com919944405570</v>
      </c>
      <c r="D775" s="16" t="s">
        <v>7603</v>
      </c>
      <c r="E775" s="16" t="s">
        <v>151</v>
      </c>
    </row>
    <row r="776">
      <c r="A776" s="1" t="s">
        <v>2712</v>
      </c>
      <c r="B776" s="15">
        <f t="shared" si="106"/>
        <v>919944405570</v>
      </c>
      <c r="C776" s="15" t="str">
        <f t="shared" si="1"/>
        <v>poornibubloo25@gmail.com919944405570</v>
      </c>
      <c r="D776" s="16" t="s">
        <v>7604</v>
      </c>
      <c r="E776" s="16" t="s">
        <v>74</v>
      </c>
    </row>
    <row r="777">
      <c r="A777" s="1" t="s">
        <v>4280</v>
      </c>
      <c r="B777" s="15">
        <f>+919167106193</f>
        <v>919167106193</v>
      </c>
      <c r="C777" s="15" t="str">
        <f t="shared" si="1"/>
        <v>nandanijaiswal193@gmail.com919167106193</v>
      </c>
      <c r="D777" s="16" t="s">
        <v>7605</v>
      </c>
      <c r="E777" s="16" t="s">
        <v>68</v>
      </c>
    </row>
    <row r="778">
      <c r="A778" s="1" t="s">
        <v>6496</v>
      </c>
      <c r="B778" s="15">
        <f t="shared" ref="B778:B779" si="107">+917639449933</f>
        <v>917639449933</v>
      </c>
      <c r="C778" s="15" t="str">
        <f t="shared" si="1"/>
        <v>muthumozhian@gmail.com917639449933</v>
      </c>
      <c r="D778" s="16" t="s">
        <v>7606</v>
      </c>
      <c r="E778" s="16" t="s">
        <v>151</v>
      </c>
    </row>
    <row r="779">
      <c r="A779" s="1" t="s">
        <v>6496</v>
      </c>
      <c r="B779" s="15">
        <f t="shared" si="107"/>
        <v>917639449933</v>
      </c>
      <c r="C779" s="15" t="str">
        <f t="shared" si="1"/>
        <v>muthumozhian@gmail.com917639449933</v>
      </c>
      <c r="D779" s="16" t="s">
        <v>7607</v>
      </c>
      <c r="E779" s="16" t="s">
        <v>151</v>
      </c>
    </row>
    <row r="780">
      <c r="A780" s="1" t="s">
        <v>3290</v>
      </c>
      <c r="B780" s="15">
        <f>+919322845591</f>
        <v>919322845591</v>
      </c>
      <c r="C780" s="15" t="str">
        <f t="shared" si="1"/>
        <v>vrushtimehta05@gmail.com919322845591</v>
      </c>
      <c r="D780" s="16" t="s">
        <v>7608</v>
      </c>
      <c r="E780" s="16" t="s">
        <v>68</v>
      </c>
    </row>
    <row r="781">
      <c r="A781" s="1" t="s">
        <v>4300</v>
      </c>
      <c r="B781" s="15">
        <f>+917715861705</f>
        <v>917715861705</v>
      </c>
      <c r="C781" s="15" t="str">
        <f t="shared" si="1"/>
        <v>vksndhle@gmail.com917715861705</v>
      </c>
      <c r="D781" s="16" t="s">
        <v>7609</v>
      </c>
      <c r="E781" s="16" t="s">
        <v>68</v>
      </c>
    </row>
    <row r="782">
      <c r="A782" s="1" t="s">
        <v>6498</v>
      </c>
      <c r="B782" s="15">
        <f t="shared" ref="B782:B783" si="108">+919595822206</f>
        <v>919595822206</v>
      </c>
      <c r="C782" s="15" t="str">
        <f t="shared" si="1"/>
        <v>nupurakhot8@gmail.com919595822206</v>
      </c>
      <c r="D782" s="16" t="s">
        <v>7610</v>
      </c>
      <c r="E782" s="16" t="s">
        <v>68</v>
      </c>
    </row>
    <row r="783">
      <c r="A783" s="1" t="s">
        <v>6498</v>
      </c>
      <c r="B783" s="15">
        <f t="shared" si="108"/>
        <v>919595822206</v>
      </c>
      <c r="C783" s="15" t="str">
        <f t="shared" si="1"/>
        <v>nupurakhot8@gmail.com919595822206</v>
      </c>
      <c r="D783" s="16" t="s">
        <v>7611</v>
      </c>
      <c r="E783" s="16" t="s">
        <v>151</v>
      </c>
    </row>
    <row r="784">
      <c r="A784" s="1" t="s">
        <v>6499</v>
      </c>
      <c r="B784" s="15">
        <f t="shared" ref="B784:B785" si="109">+918790446089</f>
        <v>918790446089</v>
      </c>
      <c r="C784" s="15" t="str">
        <f t="shared" si="1"/>
        <v>divyablu7@gmail.com918790446089</v>
      </c>
      <c r="D784" s="16" t="s">
        <v>7612</v>
      </c>
      <c r="E784" s="16" t="s">
        <v>68</v>
      </c>
    </row>
    <row r="785">
      <c r="A785" s="1" t="s">
        <v>6499</v>
      </c>
      <c r="B785" s="15">
        <f t="shared" si="109"/>
        <v>918790446089</v>
      </c>
      <c r="C785" s="15" t="str">
        <f t="shared" si="1"/>
        <v>divyablu7@gmail.com918790446089</v>
      </c>
      <c r="D785" s="16" t="s">
        <v>7613</v>
      </c>
      <c r="E785" s="16" t="s">
        <v>68</v>
      </c>
    </row>
    <row r="786">
      <c r="A786" s="1" t="s">
        <v>6500</v>
      </c>
      <c r="B786" s="15">
        <f>+919884976841</f>
        <v>919884976841</v>
      </c>
      <c r="C786" s="15" t="str">
        <f t="shared" si="1"/>
        <v>novonilghosh84@gmail.com919884976841</v>
      </c>
      <c r="D786" s="16" t="s">
        <v>7614</v>
      </c>
      <c r="E786" s="16" t="s">
        <v>74</v>
      </c>
    </row>
    <row r="787">
      <c r="A787" s="1" t="s">
        <v>6501</v>
      </c>
      <c r="B787" s="15">
        <f>+919593380027</f>
        <v>919593380027</v>
      </c>
      <c r="C787" s="15" t="str">
        <f t="shared" si="1"/>
        <v>sreeparnadasnath2015@gmail.com919593380027</v>
      </c>
      <c r="D787" s="16" t="s">
        <v>7615</v>
      </c>
      <c r="E787" s="16" t="s">
        <v>74</v>
      </c>
    </row>
    <row r="788">
      <c r="A788" s="1" t="s">
        <v>6502</v>
      </c>
      <c r="B788" s="15">
        <f t="shared" ref="B788:B791" si="110">+917042110059</f>
        <v>917042110059</v>
      </c>
      <c r="C788" s="15" t="str">
        <f t="shared" si="1"/>
        <v>nidhisharma1921@gmail.com917042110059</v>
      </c>
      <c r="D788" s="16" t="s">
        <v>7616</v>
      </c>
      <c r="E788" s="16" t="s">
        <v>151</v>
      </c>
    </row>
    <row r="789">
      <c r="A789" s="1" t="s">
        <v>6502</v>
      </c>
      <c r="B789" s="15">
        <f t="shared" si="110"/>
        <v>917042110059</v>
      </c>
      <c r="C789" s="15" t="str">
        <f t="shared" si="1"/>
        <v>nidhisharma1921@gmail.com917042110059</v>
      </c>
      <c r="D789" s="16" t="s">
        <v>7617</v>
      </c>
      <c r="E789" s="16" t="s">
        <v>151</v>
      </c>
    </row>
    <row r="790">
      <c r="A790" s="1" t="s">
        <v>6502</v>
      </c>
      <c r="B790" s="15">
        <f t="shared" si="110"/>
        <v>917042110059</v>
      </c>
      <c r="C790" s="15" t="str">
        <f t="shared" si="1"/>
        <v>nidhisharma1921@gmail.com917042110059</v>
      </c>
      <c r="D790" s="16" t="s">
        <v>7618</v>
      </c>
      <c r="E790" s="16" t="s">
        <v>74</v>
      </c>
    </row>
    <row r="791">
      <c r="A791" s="1" t="s">
        <v>6502</v>
      </c>
      <c r="B791" s="15">
        <f t="shared" si="110"/>
        <v>917042110059</v>
      </c>
      <c r="C791" s="15" t="str">
        <f t="shared" si="1"/>
        <v>nidhisharma1921@gmail.com917042110059</v>
      </c>
      <c r="D791" s="16" t="s">
        <v>7619</v>
      </c>
      <c r="E791" s="16" t="s">
        <v>74</v>
      </c>
    </row>
    <row r="792">
      <c r="A792" s="1" t="s">
        <v>2923</v>
      </c>
      <c r="B792" s="15">
        <f>+919424884821</f>
        <v>919424884821</v>
      </c>
      <c r="C792" s="15" t="str">
        <f t="shared" si="1"/>
        <v>sonali.karnik19@gmail.com919424884821</v>
      </c>
      <c r="D792" s="16" t="s">
        <v>7620</v>
      </c>
      <c r="E792" s="16" t="s">
        <v>68</v>
      </c>
    </row>
    <row r="793">
      <c r="A793" s="1" t="s">
        <v>3317</v>
      </c>
      <c r="B793" s="15">
        <f>+919082137034</f>
        <v>919082137034</v>
      </c>
      <c r="C793" s="15" t="str">
        <f t="shared" si="1"/>
        <v>gangurde.sumit34@gmail.com919082137034</v>
      </c>
      <c r="D793" s="16" t="s">
        <v>7621</v>
      </c>
      <c r="E793" s="16" t="s">
        <v>68</v>
      </c>
    </row>
    <row r="794">
      <c r="A794" s="1" t="s">
        <v>6687</v>
      </c>
      <c r="B794" s="15">
        <f>+917389787872</f>
        <v>917389787872</v>
      </c>
      <c r="C794" s="15" t="str">
        <f t="shared" si="1"/>
        <v>sparsh.roc1@gmail.com917389787872</v>
      </c>
      <c r="D794" s="16" t="s">
        <v>7622</v>
      </c>
      <c r="E794" s="16" t="s">
        <v>68</v>
      </c>
    </row>
    <row r="795">
      <c r="A795" s="1" t="s">
        <v>6505</v>
      </c>
      <c r="B795" s="15">
        <f t="shared" ref="B795:B798" si="111">+919840530764</f>
        <v>919840530764</v>
      </c>
      <c r="C795" s="15" t="str">
        <f t="shared" si="1"/>
        <v>rameshveenu@gmail.com919840530764</v>
      </c>
      <c r="D795" s="16" t="s">
        <v>7623</v>
      </c>
      <c r="E795" s="16" t="s">
        <v>68</v>
      </c>
    </row>
    <row r="796">
      <c r="A796" s="1" t="s">
        <v>6505</v>
      </c>
      <c r="B796" s="15">
        <f t="shared" si="111"/>
        <v>919840530764</v>
      </c>
      <c r="C796" s="15" t="str">
        <f t="shared" si="1"/>
        <v>rameshveenu@gmail.com919840530764</v>
      </c>
      <c r="D796" s="16" t="s">
        <v>7624</v>
      </c>
      <c r="E796" s="16" t="s">
        <v>68</v>
      </c>
    </row>
    <row r="797">
      <c r="A797" s="1" t="s">
        <v>6505</v>
      </c>
      <c r="B797" s="15">
        <f t="shared" si="111"/>
        <v>919840530764</v>
      </c>
      <c r="C797" s="15" t="str">
        <f t="shared" si="1"/>
        <v>rameshveenu@gmail.com919840530764</v>
      </c>
      <c r="D797" s="16" t="s">
        <v>7625</v>
      </c>
      <c r="E797" s="16" t="s">
        <v>68</v>
      </c>
    </row>
    <row r="798">
      <c r="A798" s="1" t="s">
        <v>6505</v>
      </c>
      <c r="B798" s="15">
        <f t="shared" si="111"/>
        <v>919840530764</v>
      </c>
      <c r="C798" s="15" t="str">
        <f t="shared" si="1"/>
        <v>rameshveenu@gmail.com919840530764</v>
      </c>
      <c r="D798" s="16" t="s">
        <v>7626</v>
      </c>
      <c r="E798" s="16" t="s">
        <v>68</v>
      </c>
    </row>
    <row r="799">
      <c r="A799" s="1" t="s">
        <v>3349</v>
      </c>
      <c r="B799" s="15">
        <f>+919611666005</f>
        <v>919611666005</v>
      </c>
      <c r="C799" s="15" t="str">
        <f t="shared" si="1"/>
        <v>pavan_7719@yahoo.co.in919611666005</v>
      </c>
      <c r="D799" s="16" t="s">
        <v>7627</v>
      </c>
      <c r="E799" s="16" t="s">
        <v>74</v>
      </c>
    </row>
    <row r="800">
      <c r="A800" s="1" t="s">
        <v>3351</v>
      </c>
      <c r="B800" s="15">
        <f>+919337258173</f>
        <v>919337258173</v>
      </c>
      <c r="C800" s="15" t="str">
        <f t="shared" si="1"/>
        <v>shibangidas119@gmail.com919337258173</v>
      </c>
      <c r="D800" s="16" t="s">
        <v>7628</v>
      </c>
      <c r="E800" s="16" t="s">
        <v>68</v>
      </c>
    </row>
    <row r="801">
      <c r="A801" s="1" t="s">
        <v>3353</v>
      </c>
      <c r="B801" s="15">
        <f>+919765000553</f>
        <v>919765000553</v>
      </c>
      <c r="C801" s="15" t="str">
        <f t="shared" si="1"/>
        <v>abhilasha.namdeo24@gmail.com919765000553</v>
      </c>
      <c r="D801" s="16" t="s">
        <v>7629</v>
      </c>
      <c r="E801" s="16" t="s">
        <v>68</v>
      </c>
    </row>
    <row r="802">
      <c r="A802" s="1" t="s">
        <v>3355</v>
      </c>
      <c r="B802" s="15">
        <f>+917980057695</f>
        <v>917980057695</v>
      </c>
      <c r="C802" s="15" t="str">
        <f t="shared" si="1"/>
        <v>arpanprasadrakshit@gmail.com917980057695</v>
      </c>
      <c r="D802" s="16" t="s">
        <v>7630</v>
      </c>
      <c r="E802" s="16" t="s">
        <v>68</v>
      </c>
    </row>
    <row r="803">
      <c r="A803" s="1" t="s">
        <v>2928</v>
      </c>
      <c r="B803" s="15">
        <f>+919920048346</f>
        <v>919920048346</v>
      </c>
      <c r="C803" s="15" t="str">
        <f t="shared" si="1"/>
        <v>achadha59@gmail.com919920048346</v>
      </c>
      <c r="D803" s="16" t="s">
        <v>7631</v>
      </c>
      <c r="E803" s="16" t="s">
        <v>97</v>
      </c>
    </row>
    <row r="804">
      <c r="A804" s="1" t="s">
        <v>7632</v>
      </c>
      <c r="B804" s="15">
        <f>+916377004250</f>
        <v>916377004250</v>
      </c>
      <c r="C804" s="15" t="str">
        <f t="shared" si="1"/>
        <v>msen63390@gmail.com916377004250</v>
      </c>
      <c r="D804" s="16" t="s">
        <v>7633</v>
      </c>
      <c r="E804" s="16" t="s">
        <v>97</v>
      </c>
    </row>
    <row r="805">
      <c r="A805" s="1" t="s">
        <v>7634</v>
      </c>
      <c r="B805" s="15">
        <f>+917085496035</f>
        <v>917085496035</v>
      </c>
      <c r="C805" s="15" t="str">
        <f t="shared" si="1"/>
        <v>chizoaluyi@gmail.com917085496035</v>
      </c>
      <c r="D805" s="16" t="s">
        <v>7635</v>
      </c>
      <c r="E805" s="16" t="s">
        <v>151</v>
      </c>
    </row>
    <row r="806">
      <c r="A806" s="1" t="s">
        <v>2778</v>
      </c>
      <c r="B806" s="15">
        <f>+919971589988</f>
        <v>919971589988</v>
      </c>
      <c r="C806" s="15" t="str">
        <f t="shared" si="1"/>
        <v>getmanas.ghosh@gmail.com919971589988</v>
      </c>
      <c r="D806" s="16" t="s">
        <v>7636</v>
      </c>
      <c r="E806" s="16" t="s">
        <v>97</v>
      </c>
    </row>
    <row r="807">
      <c r="A807" s="1" t="s">
        <v>2924</v>
      </c>
      <c r="B807" s="15">
        <f>+919900933095</f>
        <v>919900933095</v>
      </c>
      <c r="C807" s="15" t="str">
        <f t="shared" si="1"/>
        <v>karaashilp@gmail.com919900933095</v>
      </c>
      <c r="D807" s="16" t="s">
        <v>7637</v>
      </c>
      <c r="E807" s="16" t="s">
        <v>68</v>
      </c>
    </row>
    <row r="808">
      <c r="A808" s="1" t="s">
        <v>3357</v>
      </c>
      <c r="B808" s="15">
        <f>+919850060068</f>
        <v>919850060068</v>
      </c>
      <c r="C808" s="15" t="str">
        <f t="shared" si="1"/>
        <v>sunitachaudhari3@gmail.com919850060068</v>
      </c>
      <c r="D808" s="16" t="s">
        <v>7638</v>
      </c>
      <c r="E808" s="16" t="s">
        <v>68</v>
      </c>
    </row>
    <row r="809">
      <c r="A809" s="1" t="s">
        <v>3359</v>
      </c>
      <c r="B809" s="15">
        <f t="shared" ref="B809:B811" si="112">+918859876060</f>
        <v>918859876060</v>
      </c>
      <c r="C809" s="15" t="str">
        <f t="shared" si="1"/>
        <v>swati.khandelwal4@gmail.com918859876060</v>
      </c>
      <c r="D809" s="16" t="s">
        <v>7639</v>
      </c>
      <c r="E809" s="16" t="s">
        <v>68</v>
      </c>
    </row>
    <row r="810">
      <c r="A810" s="1" t="s">
        <v>3359</v>
      </c>
      <c r="B810" s="15">
        <f t="shared" si="112"/>
        <v>918859876060</v>
      </c>
      <c r="C810" s="15" t="str">
        <f t="shared" si="1"/>
        <v>swati.khandelwal4@gmail.com918859876060</v>
      </c>
      <c r="D810" s="16" t="s">
        <v>7640</v>
      </c>
      <c r="E810" s="16" t="s">
        <v>68</v>
      </c>
    </row>
    <row r="811">
      <c r="A811" s="1" t="s">
        <v>3359</v>
      </c>
      <c r="B811" s="15">
        <f t="shared" si="112"/>
        <v>918859876060</v>
      </c>
      <c r="C811" s="15" t="str">
        <f t="shared" si="1"/>
        <v>swati.khandelwal4@gmail.com918859876060</v>
      </c>
      <c r="D811" s="16" t="s">
        <v>7641</v>
      </c>
      <c r="E811" s="16" t="s">
        <v>97</v>
      </c>
    </row>
    <row r="812">
      <c r="A812" s="1" t="s">
        <v>3361</v>
      </c>
      <c r="B812" s="15">
        <f>+917987396421</f>
        <v>917987396421</v>
      </c>
      <c r="C812" s="15" t="str">
        <f t="shared" si="1"/>
        <v>rajeevnayan1632@gmail.com917987396421</v>
      </c>
      <c r="D812" s="16" t="s">
        <v>7642</v>
      </c>
      <c r="E812" s="16" t="s">
        <v>97</v>
      </c>
    </row>
    <row r="813">
      <c r="A813" s="1" t="s">
        <v>3363</v>
      </c>
      <c r="B813" s="15">
        <f>+919841835351</f>
        <v>919841835351</v>
      </c>
      <c r="C813" s="15" t="str">
        <f t="shared" si="1"/>
        <v>royalnavin@gmail.com919841835351</v>
      </c>
      <c r="D813" s="16" t="s">
        <v>7643</v>
      </c>
      <c r="E813" s="16" t="s">
        <v>74</v>
      </c>
    </row>
    <row r="814">
      <c r="A814" s="1" t="s">
        <v>2926</v>
      </c>
      <c r="B814" s="15">
        <f t="shared" ref="B814:B816" si="113">+919205450954</f>
        <v>919205450954</v>
      </c>
      <c r="C814" s="15" t="str">
        <f t="shared" si="1"/>
        <v>vatsshreedevi@gmail.com919205450954</v>
      </c>
      <c r="D814" s="16" t="s">
        <v>7644</v>
      </c>
      <c r="E814" s="16" t="s">
        <v>68</v>
      </c>
    </row>
    <row r="815">
      <c r="A815" s="1" t="s">
        <v>2926</v>
      </c>
      <c r="B815" s="15">
        <f t="shared" si="113"/>
        <v>919205450954</v>
      </c>
      <c r="C815" s="15" t="str">
        <f t="shared" si="1"/>
        <v>vatsshreedevi@gmail.com919205450954</v>
      </c>
      <c r="D815" s="16" t="s">
        <v>7645</v>
      </c>
      <c r="E815" s="16" t="s">
        <v>68</v>
      </c>
    </row>
    <row r="816">
      <c r="A816" s="1" t="s">
        <v>2926</v>
      </c>
      <c r="B816" s="15">
        <f t="shared" si="113"/>
        <v>919205450954</v>
      </c>
      <c r="C816" s="15" t="str">
        <f t="shared" si="1"/>
        <v>vatsshreedevi@gmail.com919205450954</v>
      </c>
      <c r="D816" s="16" t="s">
        <v>7646</v>
      </c>
      <c r="E816" s="16" t="s">
        <v>151</v>
      </c>
    </row>
    <row r="817">
      <c r="A817" s="1" t="s">
        <v>2458</v>
      </c>
      <c r="B817" s="15">
        <f>+919416173796</f>
        <v>919416173796</v>
      </c>
      <c r="C817" s="15" t="str">
        <f t="shared" si="1"/>
        <v>mahirgupta98@gmail.com919416173796</v>
      </c>
      <c r="D817" s="16" t="s">
        <v>7647</v>
      </c>
      <c r="E817" s="16" t="s">
        <v>68</v>
      </c>
    </row>
    <row r="818">
      <c r="A818" s="1" t="s">
        <v>3365</v>
      </c>
      <c r="B818" s="15">
        <f>+919007150286</f>
        <v>919007150286</v>
      </c>
      <c r="C818" s="15" t="str">
        <f t="shared" si="1"/>
        <v>titasg2013@gmail.com919007150286</v>
      </c>
      <c r="D818" s="16" t="s">
        <v>7648</v>
      </c>
      <c r="E818" s="16" t="s">
        <v>74</v>
      </c>
    </row>
    <row r="819">
      <c r="A819" s="1" t="s">
        <v>5339</v>
      </c>
      <c r="B819" s="15">
        <f>+918657906445</f>
        <v>918657906445</v>
      </c>
      <c r="C819" s="15" t="str">
        <f t="shared" si="1"/>
        <v>vdhvr15@gmail.com918657906445</v>
      </c>
      <c r="D819" s="16" t="s">
        <v>7649</v>
      </c>
      <c r="E819" s="16" t="s">
        <v>68</v>
      </c>
    </row>
    <row r="820">
      <c r="A820" s="1" t="s">
        <v>7650</v>
      </c>
      <c r="B820" s="15">
        <f>+917619673218</f>
        <v>917619673218</v>
      </c>
      <c r="C820" s="15" t="str">
        <f t="shared" si="1"/>
        <v>sreekar1808@gmail.com917619673218</v>
      </c>
      <c r="D820" s="16" t="s">
        <v>7651</v>
      </c>
      <c r="E820" s="16" t="s">
        <v>68</v>
      </c>
    </row>
    <row r="821">
      <c r="A821" s="1" t="s">
        <v>6200</v>
      </c>
      <c r="B821" s="15">
        <f>+919742453575</f>
        <v>919742453575</v>
      </c>
      <c r="C821" s="15" t="str">
        <f t="shared" si="1"/>
        <v>charanraj862@gmail.com919742453575</v>
      </c>
      <c r="D821" s="16" t="s">
        <v>7652</v>
      </c>
      <c r="E821" s="16" t="s">
        <v>68</v>
      </c>
    </row>
    <row r="822">
      <c r="A822" s="1" t="s">
        <v>3367</v>
      </c>
      <c r="B822" s="15">
        <f>+919425308887</f>
        <v>919425308887</v>
      </c>
      <c r="C822" s="15" t="str">
        <f t="shared" si="1"/>
        <v>prvnbhtngr@gmail.com919425308887</v>
      </c>
      <c r="D822" s="16" t="s">
        <v>7653</v>
      </c>
      <c r="E822" s="16" t="s">
        <v>68</v>
      </c>
    </row>
    <row r="823">
      <c r="A823" s="1" t="s">
        <v>2775</v>
      </c>
      <c r="B823" s="15">
        <f>+918610147050</f>
        <v>918610147050</v>
      </c>
      <c r="C823" s="15" t="str">
        <f t="shared" si="1"/>
        <v>hariprasad3785@gmail.com918610147050</v>
      </c>
      <c r="D823" s="16" t="s">
        <v>7654</v>
      </c>
      <c r="E823" s="16" t="s">
        <v>68</v>
      </c>
    </row>
    <row r="824">
      <c r="A824" s="1" t="s">
        <v>7655</v>
      </c>
      <c r="B824" s="15">
        <f t="shared" ref="B824:B825" si="114">+918169941366</f>
        <v>918169941366</v>
      </c>
      <c r="C824" s="15" t="str">
        <f t="shared" si="1"/>
        <v>truptibobade8@gmail.com918169941366</v>
      </c>
      <c r="D824" s="16" t="s">
        <v>7656</v>
      </c>
      <c r="E824" s="16" t="s">
        <v>68</v>
      </c>
    </row>
    <row r="825">
      <c r="A825" s="1" t="s">
        <v>7655</v>
      </c>
      <c r="B825" s="15">
        <f t="shared" si="114"/>
        <v>918169941366</v>
      </c>
      <c r="C825" s="15" t="str">
        <f t="shared" si="1"/>
        <v>truptibobade8@gmail.com918169941366</v>
      </c>
      <c r="D825" s="16" t="s">
        <v>7657</v>
      </c>
      <c r="E825" s="16" t="s">
        <v>68</v>
      </c>
    </row>
    <row r="826">
      <c r="A826" s="1" t="s">
        <v>7658</v>
      </c>
      <c r="B826" s="15">
        <f>+918547921486</f>
        <v>918547921486</v>
      </c>
      <c r="C826" s="15" t="str">
        <f t="shared" si="1"/>
        <v>leenasaju2323@gmail.com918547921486</v>
      </c>
      <c r="D826" s="16" t="s">
        <v>7659</v>
      </c>
      <c r="E826" s="16" t="s">
        <v>151</v>
      </c>
    </row>
    <row r="827">
      <c r="A827" s="1" t="s">
        <v>5758</v>
      </c>
      <c r="B827" s="15">
        <f>+918802901588</f>
        <v>918802901588</v>
      </c>
      <c r="C827" s="15" t="str">
        <f t="shared" si="1"/>
        <v>abuzar.ansari2010@gmail.com918802901588</v>
      </c>
      <c r="D827" s="16" t="s">
        <v>7660</v>
      </c>
      <c r="E827" s="16" t="s">
        <v>68</v>
      </c>
    </row>
    <row r="828">
      <c r="A828" s="1" t="s">
        <v>5132</v>
      </c>
      <c r="B828" s="15">
        <f>+918888086354</f>
        <v>918888086354</v>
      </c>
      <c r="C828" s="15" t="str">
        <f t="shared" si="1"/>
        <v>diveatwal94@gmail.com918888086354</v>
      </c>
      <c r="D828" s="16" t="s">
        <v>7661</v>
      </c>
      <c r="E828" s="16" t="s">
        <v>68</v>
      </c>
    </row>
    <row r="829">
      <c r="A829" s="1" t="s">
        <v>5756</v>
      </c>
      <c r="B829" s="15">
        <f>+918088385240</f>
        <v>918088385240</v>
      </c>
      <c r="C829" s="15" t="str">
        <f t="shared" si="1"/>
        <v>amitabh.verma21@gmail.com918088385240</v>
      </c>
      <c r="D829" s="16" t="s">
        <v>7662</v>
      </c>
      <c r="E829" s="16" t="s">
        <v>68</v>
      </c>
    </row>
    <row r="830">
      <c r="A830" s="1" t="s">
        <v>7663</v>
      </c>
      <c r="B830" s="15">
        <f>+919633361991</f>
        <v>919633361991</v>
      </c>
      <c r="C830" s="15" t="str">
        <f t="shared" si="1"/>
        <v>ushamuthiyeril@gmail.com919633361991</v>
      </c>
      <c r="D830" s="16" t="s">
        <v>7664</v>
      </c>
      <c r="E830" s="16" t="s">
        <v>151</v>
      </c>
    </row>
    <row r="831">
      <c r="A831" s="1" t="s">
        <v>3375</v>
      </c>
      <c r="B831" s="15">
        <f>+917019983344</f>
        <v>917019983344</v>
      </c>
      <c r="C831" s="15" t="str">
        <f t="shared" si="1"/>
        <v>arajasantosh.16@gmail.com917019983344</v>
      </c>
      <c r="D831" s="16" t="s">
        <v>7665</v>
      </c>
      <c r="E831" s="16" t="s">
        <v>68</v>
      </c>
    </row>
    <row r="832">
      <c r="A832" s="1" t="s">
        <v>5134</v>
      </c>
      <c r="B832" s="15">
        <f>+919527338136</f>
        <v>919527338136</v>
      </c>
      <c r="C832" s="15" t="str">
        <f t="shared" si="1"/>
        <v>patulitengg@gmail.com919527338136</v>
      </c>
      <c r="D832" s="16" t="s">
        <v>7666</v>
      </c>
      <c r="E832" s="16" t="s">
        <v>68</v>
      </c>
    </row>
    <row r="833">
      <c r="A833" s="1" t="s">
        <v>2787</v>
      </c>
      <c r="B833" s="15">
        <f t="shared" ref="B833:B834" si="115">+919067656403</f>
        <v>919067656403</v>
      </c>
      <c r="C833" s="15" t="str">
        <f t="shared" si="1"/>
        <v>putrada.kulkarni@gmail.com919067656403</v>
      </c>
      <c r="D833" s="16" t="s">
        <v>7667</v>
      </c>
      <c r="E833" s="16" t="s">
        <v>68</v>
      </c>
    </row>
    <row r="834">
      <c r="A834" s="1" t="s">
        <v>2787</v>
      </c>
      <c r="B834" s="15">
        <f t="shared" si="115"/>
        <v>919067656403</v>
      </c>
      <c r="C834" s="15" t="str">
        <f t="shared" si="1"/>
        <v>putrada.kulkarni@gmail.com919067656403</v>
      </c>
      <c r="D834" s="16" t="s">
        <v>7668</v>
      </c>
      <c r="E834" s="16" t="s">
        <v>68</v>
      </c>
    </row>
    <row r="835">
      <c r="A835" s="1" t="s">
        <v>6204</v>
      </c>
      <c r="B835" s="15">
        <f>+916260676070</f>
        <v>916260676070</v>
      </c>
      <c r="C835" s="15" t="str">
        <f t="shared" si="1"/>
        <v>shivendwivedi1236@gmail.com916260676070</v>
      </c>
      <c r="D835" s="16" t="s">
        <v>7669</v>
      </c>
      <c r="E835" s="16" t="s">
        <v>68</v>
      </c>
    </row>
    <row r="836">
      <c r="A836" s="1" t="s">
        <v>3377</v>
      </c>
      <c r="B836" s="15">
        <f>+919096622911</f>
        <v>919096622911</v>
      </c>
      <c r="C836" s="15" t="str">
        <f t="shared" si="1"/>
        <v>amol.joshi.v@gmail.com919096622911</v>
      </c>
      <c r="D836" s="16" t="s">
        <v>7670</v>
      </c>
      <c r="E836" s="16" t="s">
        <v>68</v>
      </c>
    </row>
    <row r="837">
      <c r="A837" s="1" t="s">
        <v>7671</v>
      </c>
      <c r="B837" s="15">
        <f>+919390949314</f>
        <v>919390949314</v>
      </c>
      <c r="C837" s="15" t="str">
        <f t="shared" si="1"/>
        <v>gadigenikhil17890@gmail.com919390949314</v>
      </c>
      <c r="D837" s="16" t="s">
        <v>7672</v>
      </c>
      <c r="E837" s="16" t="s">
        <v>68</v>
      </c>
    </row>
    <row r="838">
      <c r="A838" s="1" t="s">
        <v>3068</v>
      </c>
      <c r="B838" s="15">
        <f>+919917711101</f>
        <v>919917711101</v>
      </c>
      <c r="C838" s="15" t="str">
        <f t="shared" si="1"/>
        <v>rmkshyp.rk@gmail.com919917711101</v>
      </c>
      <c r="D838" s="16" t="s">
        <v>7673</v>
      </c>
      <c r="E838" s="16" t="s">
        <v>97</v>
      </c>
    </row>
    <row r="839">
      <c r="A839" s="1" t="s">
        <v>7671</v>
      </c>
      <c r="B839" s="15">
        <f>+919390949314</f>
        <v>919390949314</v>
      </c>
      <c r="C839" s="15" t="str">
        <f t="shared" si="1"/>
        <v>gadigenikhil17890@gmail.com919390949314</v>
      </c>
      <c r="D839" s="16" t="s">
        <v>7674</v>
      </c>
      <c r="E839" s="16" t="s">
        <v>68</v>
      </c>
    </row>
    <row r="840">
      <c r="A840" s="1" t="s">
        <v>3379</v>
      </c>
      <c r="B840" s="15">
        <f>+919443100747</f>
        <v>919443100747</v>
      </c>
      <c r="C840" s="15" t="str">
        <f t="shared" si="1"/>
        <v>duraickkd@gmail.com919443100747</v>
      </c>
      <c r="D840" s="16" t="s">
        <v>7675</v>
      </c>
      <c r="E840" s="16" t="s">
        <v>74</v>
      </c>
    </row>
    <row r="841">
      <c r="A841" s="1" t="s">
        <v>7676</v>
      </c>
      <c r="B841" s="15">
        <f>+919765224566</f>
        <v>919765224566</v>
      </c>
      <c r="C841" s="15" t="str">
        <f t="shared" si="1"/>
        <v>shreelataadep@gmail.com919765224566</v>
      </c>
      <c r="D841" s="16" t="s">
        <v>7677</v>
      </c>
      <c r="E841" s="16" t="s">
        <v>68</v>
      </c>
    </row>
    <row r="842">
      <c r="A842" s="1" t="s">
        <v>5416</v>
      </c>
      <c r="B842" s="15">
        <f t="shared" ref="B842:B843" si="116">+918374433210</f>
        <v>918374433210</v>
      </c>
      <c r="C842" s="15" t="str">
        <f t="shared" si="1"/>
        <v>nehaaraja0804@gmail.com918374433210</v>
      </c>
      <c r="D842" s="16" t="s">
        <v>7678</v>
      </c>
      <c r="E842" s="16" t="s">
        <v>74</v>
      </c>
    </row>
    <row r="843">
      <c r="A843" s="1" t="s">
        <v>5416</v>
      </c>
      <c r="B843" s="15">
        <f t="shared" si="116"/>
        <v>918374433210</v>
      </c>
      <c r="C843" s="15" t="str">
        <f t="shared" si="1"/>
        <v>nehaaraja0804@gmail.com918374433210</v>
      </c>
      <c r="D843" s="16" t="s">
        <v>7679</v>
      </c>
      <c r="E843" s="16" t="s">
        <v>74</v>
      </c>
    </row>
    <row r="844">
      <c r="A844" s="1" t="s">
        <v>3381</v>
      </c>
      <c r="B844" s="15">
        <f>+918383924883</f>
        <v>918383924883</v>
      </c>
      <c r="C844" s="15" t="str">
        <f t="shared" si="1"/>
        <v>rohankalonia@gmail.com918383924883</v>
      </c>
      <c r="D844" s="16" t="s">
        <v>7680</v>
      </c>
      <c r="E844" s="16" t="s">
        <v>68</v>
      </c>
    </row>
    <row r="845">
      <c r="A845" s="1" t="s">
        <v>3383</v>
      </c>
      <c r="B845" s="15">
        <f>+919998930457</f>
        <v>919998930457</v>
      </c>
      <c r="C845" s="15" t="str">
        <f t="shared" si="1"/>
        <v>thehirald@gmail.com919998930457</v>
      </c>
      <c r="D845" s="16" t="s">
        <v>7681</v>
      </c>
      <c r="E845" s="16" t="s">
        <v>74</v>
      </c>
    </row>
    <row r="846">
      <c r="A846" s="1" t="s">
        <v>7682</v>
      </c>
      <c r="B846" s="15">
        <f>+919121096735</f>
        <v>919121096735</v>
      </c>
      <c r="C846" s="15" t="str">
        <f t="shared" si="1"/>
        <v>gaddamsrinuvasarao6007@yahoo.com919121096735</v>
      </c>
      <c r="D846" s="16" t="s">
        <v>7683</v>
      </c>
      <c r="E846" s="16" t="s">
        <v>151</v>
      </c>
    </row>
    <row r="847">
      <c r="A847" s="1" t="s">
        <v>3385</v>
      </c>
      <c r="B847" s="15">
        <f t="shared" ref="B847:B849" si="117">+918754406926</f>
        <v>918754406926</v>
      </c>
      <c r="C847" s="15" t="str">
        <f t="shared" si="1"/>
        <v>saruna24@gmail.com918754406926</v>
      </c>
      <c r="D847" s="16" t="s">
        <v>7684</v>
      </c>
      <c r="E847" s="16" t="s">
        <v>68</v>
      </c>
    </row>
    <row r="848">
      <c r="A848" s="1" t="s">
        <v>3385</v>
      </c>
      <c r="B848" s="15">
        <f t="shared" si="117"/>
        <v>918754406926</v>
      </c>
      <c r="C848" s="15" t="str">
        <f t="shared" si="1"/>
        <v>saruna24@gmail.com918754406926</v>
      </c>
      <c r="D848" s="16" t="s">
        <v>7685</v>
      </c>
      <c r="E848" s="16" t="s">
        <v>68</v>
      </c>
    </row>
    <row r="849">
      <c r="A849" s="1" t="s">
        <v>3385</v>
      </c>
      <c r="B849" s="15">
        <f t="shared" si="117"/>
        <v>918754406926</v>
      </c>
      <c r="C849" s="15" t="str">
        <f t="shared" si="1"/>
        <v>saruna24@gmail.com918754406926</v>
      </c>
      <c r="D849" s="16" t="s">
        <v>7686</v>
      </c>
      <c r="E849" s="16" t="s">
        <v>68</v>
      </c>
    </row>
    <row r="850">
      <c r="A850" s="1" t="s">
        <v>7687</v>
      </c>
      <c r="B850" s="15">
        <f>+918220930370</f>
        <v>918220930370</v>
      </c>
      <c r="C850" s="15" t="str">
        <f t="shared" si="1"/>
        <v>manimekalais0703@gmail.com918220930370</v>
      </c>
      <c r="D850" s="16" t="s">
        <v>7688</v>
      </c>
      <c r="E850" s="16" t="s">
        <v>68</v>
      </c>
    </row>
    <row r="851">
      <c r="A851" s="1" t="s">
        <v>7689</v>
      </c>
      <c r="B851" s="15">
        <f>+917853816478</f>
        <v>917853816478</v>
      </c>
      <c r="C851" s="15" t="str">
        <f t="shared" si="1"/>
        <v>ratnakarbhatra16@gmail.com917853816478</v>
      </c>
      <c r="D851" s="16" t="s">
        <v>7690</v>
      </c>
      <c r="E851" s="16" t="s">
        <v>97</v>
      </c>
    </row>
    <row r="852">
      <c r="A852" s="1" t="s">
        <v>7691</v>
      </c>
      <c r="B852" s="15">
        <f>+919501354237</f>
        <v>919501354237</v>
      </c>
      <c r="C852" s="15" t="str">
        <f t="shared" si="1"/>
        <v>9501354237shreya@gmail.com919501354237</v>
      </c>
      <c r="D852" s="16" t="s">
        <v>7692</v>
      </c>
      <c r="E852" s="16" t="s">
        <v>151</v>
      </c>
    </row>
    <row r="853">
      <c r="A853" s="1" t="s">
        <v>7693</v>
      </c>
      <c r="B853" s="15">
        <f>+919654300402</f>
        <v>919654300402</v>
      </c>
      <c r="C853" s="15" t="str">
        <f t="shared" si="1"/>
        <v>rashmeetvirk@outlook.com919654300402</v>
      </c>
      <c r="D853" s="16" t="s">
        <v>7694</v>
      </c>
      <c r="E853" s="16" t="s">
        <v>68</v>
      </c>
    </row>
    <row r="854">
      <c r="A854" s="1" t="s">
        <v>3369</v>
      </c>
      <c r="B854" s="15">
        <f>+917432060844</f>
        <v>917432060844</v>
      </c>
      <c r="C854" s="15" t="str">
        <f t="shared" si="1"/>
        <v>ghoshalsuchismita019@gmail.com917432060844</v>
      </c>
      <c r="D854" s="16" t="s">
        <v>7695</v>
      </c>
      <c r="E854" s="16" t="s">
        <v>68</v>
      </c>
    </row>
    <row r="855">
      <c r="A855" s="1" t="s">
        <v>3371</v>
      </c>
      <c r="B855" s="15">
        <f t="shared" ref="B855:B857" si="118">+917760461129</f>
        <v>917760461129</v>
      </c>
      <c r="C855" s="15" t="str">
        <f t="shared" si="1"/>
        <v>workemails.93@gmail.com917760461129</v>
      </c>
      <c r="D855" s="16" t="s">
        <v>7696</v>
      </c>
      <c r="E855" s="16" t="s">
        <v>68</v>
      </c>
    </row>
    <row r="856">
      <c r="A856" s="1" t="s">
        <v>3371</v>
      </c>
      <c r="B856" s="15">
        <f t="shared" si="118"/>
        <v>917760461129</v>
      </c>
      <c r="C856" s="15" t="str">
        <f t="shared" si="1"/>
        <v>workemails.93@gmail.com917760461129</v>
      </c>
      <c r="D856" s="16" t="s">
        <v>7697</v>
      </c>
      <c r="E856" s="16" t="s">
        <v>68</v>
      </c>
    </row>
    <row r="857">
      <c r="A857" s="1" t="s">
        <v>3371</v>
      </c>
      <c r="B857" s="15">
        <f t="shared" si="118"/>
        <v>917760461129</v>
      </c>
      <c r="C857" s="15" t="str">
        <f t="shared" si="1"/>
        <v>workemails.93@gmail.com917760461129</v>
      </c>
      <c r="D857" s="16" t="s">
        <v>7698</v>
      </c>
      <c r="E857" s="16" t="s">
        <v>68</v>
      </c>
    </row>
    <row r="858">
      <c r="A858" s="1" t="s">
        <v>3016</v>
      </c>
      <c r="B858" s="15">
        <f>+919335925927</f>
        <v>919335925927</v>
      </c>
      <c r="C858" s="15" t="str">
        <f t="shared" si="1"/>
        <v>chandwanisudham@gmail.com919335925927</v>
      </c>
      <c r="D858" s="16" t="s">
        <v>7699</v>
      </c>
      <c r="E858" s="16" t="s">
        <v>68</v>
      </c>
    </row>
    <row r="859">
      <c r="A859" s="1" t="s">
        <v>4797</v>
      </c>
      <c r="B859" s="15">
        <f>+919701797790</f>
        <v>919701797790</v>
      </c>
      <c r="C859" s="15" t="str">
        <f t="shared" si="1"/>
        <v>ppruthvi09@gmail.com919701797790</v>
      </c>
      <c r="D859" s="16" t="s">
        <v>7700</v>
      </c>
      <c r="E859" s="16" t="s">
        <v>68</v>
      </c>
    </row>
    <row r="860">
      <c r="A860" s="1" t="s">
        <v>2713</v>
      </c>
      <c r="B860" s="15">
        <f>+917458863325</f>
        <v>917458863325</v>
      </c>
      <c r="C860" s="15" t="str">
        <f t="shared" si="1"/>
        <v>sambeetraman12@gmail.com917458863325</v>
      </c>
      <c r="D860" s="16" t="s">
        <v>7701</v>
      </c>
      <c r="E860" s="16" t="s">
        <v>68</v>
      </c>
    </row>
    <row r="861">
      <c r="A861" s="1" t="s">
        <v>7702</v>
      </c>
      <c r="B861" s="15">
        <f>+919323334769</f>
        <v>919323334769</v>
      </c>
      <c r="C861" s="15" t="str">
        <f t="shared" si="1"/>
        <v>manishanirmal247@gmail.com919323334769</v>
      </c>
      <c r="D861" s="16" t="s">
        <v>7703</v>
      </c>
      <c r="E861" s="16" t="s">
        <v>68</v>
      </c>
    </row>
    <row r="862">
      <c r="A862" s="1" t="s">
        <v>5842</v>
      </c>
      <c r="B862" s="15">
        <f>+919818604766</f>
        <v>919818604766</v>
      </c>
      <c r="C862" s="15" t="str">
        <f t="shared" si="1"/>
        <v>juunejapreiti@gmail.com919818604766</v>
      </c>
      <c r="D862" s="16" t="s">
        <v>7704</v>
      </c>
      <c r="E862" s="16" t="s">
        <v>74</v>
      </c>
    </row>
    <row r="863">
      <c r="A863" s="1" t="s">
        <v>2715</v>
      </c>
      <c r="B863" s="15">
        <f>+917725919392</f>
        <v>917725919392</v>
      </c>
      <c r="C863" s="15" t="str">
        <f t="shared" si="1"/>
        <v>pulkitsankhla95@gamil.com917725919392</v>
      </c>
      <c r="D863" s="16" t="s">
        <v>7705</v>
      </c>
      <c r="E863" s="16" t="s">
        <v>68</v>
      </c>
    </row>
    <row r="864">
      <c r="A864" s="1" t="s">
        <v>3200</v>
      </c>
      <c r="B864" s="15">
        <f>+919790880026</f>
        <v>919790880026</v>
      </c>
      <c r="C864" s="15" t="str">
        <f t="shared" si="1"/>
        <v>shreeyogalakkumi1998@gmail.com919790880026</v>
      </c>
      <c r="D864" s="16" t="s">
        <v>7706</v>
      </c>
      <c r="E864" s="16" t="s">
        <v>68</v>
      </c>
    </row>
    <row r="865">
      <c r="A865" s="1" t="s">
        <v>2780</v>
      </c>
      <c r="B865" s="15">
        <f>+919823895856</f>
        <v>919823895856</v>
      </c>
      <c r="C865" s="15" t="str">
        <f t="shared" si="1"/>
        <v>ayushipandey925@gmail.com919823895856</v>
      </c>
      <c r="D865" s="16" t="s">
        <v>7707</v>
      </c>
      <c r="E865" s="16" t="s">
        <v>68</v>
      </c>
    </row>
    <row r="866">
      <c r="A866" s="1" t="s">
        <v>5409</v>
      </c>
      <c r="B866" s="15">
        <f>+919818251764</f>
        <v>919818251764</v>
      </c>
      <c r="C866" s="15" t="str">
        <f t="shared" si="1"/>
        <v>gaursam@yahoo.in919818251764</v>
      </c>
      <c r="D866" s="16" t="s">
        <v>7708</v>
      </c>
      <c r="E866" s="16" t="s">
        <v>74</v>
      </c>
    </row>
    <row r="867">
      <c r="A867" s="1" t="s">
        <v>5341</v>
      </c>
      <c r="B867" s="15">
        <f>+919994759191</f>
        <v>919994759191</v>
      </c>
      <c r="C867" s="15" t="str">
        <f t="shared" si="1"/>
        <v>navinait@aol.com919994759191</v>
      </c>
      <c r="D867" s="16" t="s">
        <v>7709</v>
      </c>
      <c r="E867" s="16" t="s">
        <v>74</v>
      </c>
    </row>
    <row r="868">
      <c r="A868" s="1" t="s">
        <v>7710</v>
      </c>
      <c r="B868" s="15">
        <f>+919177000967</f>
        <v>919177000967</v>
      </c>
      <c r="C868" s="15" t="str">
        <f t="shared" si="1"/>
        <v>sirisha22budi@gmail.com919177000967</v>
      </c>
      <c r="D868" s="16" t="s">
        <v>7711</v>
      </c>
      <c r="E868" s="16" t="s">
        <v>74</v>
      </c>
    </row>
    <row r="869">
      <c r="A869" s="1" t="s">
        <v>5343</v>
      </c>
      <c r="B869" s="15">
        <f>+918524887557</f>
        <v>918524887557</v>
      </c>
      <c r="C869" s="15" t="str">
        <f t="shared" si="1"/>
        <v>srisriabinayasri11998@gmail.com918524887557</v>
      </c>
      <c r="D869" s="16" t="s">
        <v>7712</v>
      </c>
      <c r="E869" s="16" t="s">
        <v>74</v>
      </c>
    </row>
    <row r="870">
      <c r="A870" s="1" t="s">
        <v>5843</v>
      </c>
      <c r="B870" s="15">
        <f>+919971389859</f>
        <v>919971389859</v>
      </c>
      <c r="C870" s="15" t="str">
        <f t="shared" si="1"/>
        <v>sachinnbhallla@hotmail.com919971389859</v>
      </c>
      <c r="D870" s="16" t="s">
        <v>7713</v>
      </c>
      <c r="E870" s="16" t="s">
        <v>68</v>
      </c>
    </row>
    <row r="871">
      <c r="A871" s="1" t="s">
        <v>7714</v>
      </c>
      <c r="B871" s="15">
        <f t="shared" ref="B871:B872" si="119">+971504815499</f>
        <v>971504815499</v>
      </c>
      <c r="C871" s="15" t="str">
        <f t="shared" si="1"/>
        <v>shambavisspectrum@gmail.com971504815499</v>
      </c>
      <c r="D871" s="16" t="s">
        <v>7715</v>
      </c>
      <c r="E871" s="16" t="s">
        <v>97</v>
      </c>
    </row>
    <row r="872">
      <c r="A872" s="1" t="s">
        <v>2930</v>
      </c>
      <c r="B872" s="15">
        <f t="shared" si="119"/>
        <v>971504815499</v>
      </c>
      <c r="C872" s="15" t="str">
        <f t="shared" si="1"/>
        <v>shambavsspectrum@gmail.com971504815499</v>
      </c>
      <c r="D872" s="16" t="s">
        <v>7716</v>
      </c>
      <c r="E872" s="16" t="s">
        <v>97</v>
      </c>
    </row>
    <row r="873">
      <c r="A873" s="1" t="s">
        <v>2932</v>
      </c>
      <c r="B873" s="15">
        <f>+918897657529</f>
        <v>918897657529</v>
      </c>
      <c r="C873" s="15" t="str">
        <f t="shared" si="1"/>
        <v>santosh.akellas@gmail.com918897657529</v>
      </c>
      <c r="D873" s="16" t="s">
        <v>7717</v>
      </c>
      <c r="E873" s="16" t="s">
        <v>68</v>
      </c>
    </row>
    <row r="874">
      <c r="A874" s="1" t="s">
        <v>5130</v>
      </c>
      <c r="B874" s="15">
        <f>+917275024631</f>
        <v>917275024631</v>
      </c>
      <c r="C874" s="15" t="str">
        <f t="shared" si="1"/>
        <v>research_kriti12@uahoo.co.in917275024631</v>
      </c>
      <c r="D874" s="16" t="s">
        <v>7718</v>
      </c>
      <c r="E874" s="16" t="s">
        <v>68</v>
      </c>
    </row>
    <row r="875">
      <c r="A875" s="1" t="s">
        <v>2934</v>
      </c>
      <c r="B875" s="15">
        <f>+919821470299</f>
        <v>919821470299</v>
      </c>
      <c r="C875" s="15" t="str">
        <f t="shared" si="1"/>
        <v>nishant1211@gmail.com919821470299</v>
      </c>
      <c r="D875" s="16" t="s">
        <v>7719</v>
      </c>
      <c r="E875" s="16" t="s">
        <v>68</v>
      </c>
    </row>
    <row r="876">
      <c r="A876" s="1" t="s">
        <v>7720</v>
      </c>
      <c r="B876" s="15">
        <f>+918447692940</f>
        <v>918447692940</v>
      </c>
      <c r="C876" s="15" t="str">
        <f t="shared" si="1"/>
        <v>meghamishra08@gmail.com918447692940</v>
      </c>
      <c r="D876" s="16" t="s">
        <v>7721</v>
      </c>
      <c r="E876" s="16" t="s">
        <v>68</v>
      </c>
    </row>
    <row r="877">
      <c r="A877" s="1" t="s">
        <v>7722</v>
      </c>
      <c r="B877" s="15">
        <f>+918905207219</f>
        <v>918905207219</v>
      </c>
      <c r="C877" s="15" t="str">
        <f t="shared" si="1"/>
        <v>luniaankit0@gmail.com918905207219</v>
      </c>
      <c r="D877" s="16" t="s">
        <v>7723</v>
      </c>
      <c r="E877" s="16" t="s">
        <v>151</v>
      </c>
    </row>
    <row r="878">
      <c r="A878" s="1" t="s">
        <v>2458</v>
      </c>
      <c r="B878" s="15">
        <f>+919416173796</f>
        <v>919416173796</v>
      </c>
      <c r="C878" s="15" t="str">
        <f t="shared" si="1"/>
        <v>mahirgupta98@gmail.com919416173796</v>
      </c>
      <c r="D878" s="16" t="s">
        <v>7724</v>
      </c>
      <c r="E878" s="16" t="s">
        <v>68</v>
      </c>
    </row>
    <row r="879">
      <c r="A879" s="1" t="s">
        <v>5411</v>
      </c>
      <c r="B879" s="15">
        <f>+919999769481</f>
        <v>919999769481</v>
      </c>
      <c r="C879" s="15" t="str">
        <f t="shared" si="1"/>
        <v>kushwah.akansha@gmail.com919999769481</v>
      </c>
      <c r="D879" s="16" t="s">
        <v>7725</v>
      </c>
      <c r="E879" s="16" t="s">
        <v>68</v>
      </c>
    </row>
    <row r="880">
      <c r="A880" s="1" t="s">
        <v>2936</v>
      </c>
      <c r="B880" s="15">
        <f>+919619615401</f>
        <v>919619615401</v>
      </c>
      <c r="C880" s="15" t="str">
        <f t="shared" si="1"/>
        <v>adwaitpitkar@rediffmail.com919619615401</v>
      </c>
      <c r="D880" s="16" t="s">
        <v>7726</v>
      </c>
      <c r="E880" s="16" t="s">
        <v>74</v>
      </c>
    </row>
    <row r="881">
      <c r="A881" s="1" t="s">
        <v>2938</v>
      </c>
      <c r="B881" s="15">
        <f>+919004601048</f>
        <v>919004601048</v>
      </c>
      <c r="C881" s="15" t="str">
        <f t="shared" si="1"/>
        <v>dashrath.koli@gmail.com919004601048</v>
      </c>
      <c r="D881" s="16" t="s">
        <v>7727</v>
      </c>
      <c r="E881" s="16" t="s">
        <v>68</v>
      </c>
    </row>
    <row r="882">
      <c r="A882" s="1" t="s">
        <v>6202</v>
      </c>
      <c r="B882" s="15">
        <f>+919810386533</f>
        <v>919810386533</v>
      </c>
      <c r="C882" s="15" t="str">
        <f t="shared" si="1"/>
        <v>rahulguha.business@gmail.com919810386533</v>
      </c>
      <c r="D882" s="16" t="s">
        <v>7728</v>
      </c>
      <c r="E882" s="16" t="s">
        <v>68</v>
      </c>
    </row>
    <row r="883">
      <c r="A883" s="1" t="s">
        <v>5412</v>
      </c>
      <c r="B883" s="15">
        <f>+919560049420</f>
        <v>919560049420</v>
      </c>
      <c r="C883" s="15" t="str">
        <f t="shared" si="1"/>
        <v>nabonitaa@gmail.com919560049420</v>
      </c>
      <c r="D883" s="16" t="s">
        <v>7729</v>
      </c>
      <c r="E883" s="16" t="s">
        <v>68</v>
      </c>
    </row>
    <row r="884">
      <c r="A884" s="1" t="s">
        <v>2211</v>
      </c>
      <c r="B884" s="15">
        <f>+919830775774</f>
        <v>919830775774</v>
      </c>
      <c r="C884" s="15" t="str">
        <f t="shared" si="1"/>
        <v>dhanam1956@gmail.com919830775774</v>
      </c>
      <c r="D884" s="16" t="s">
        <v>7730</v>
      </c>
      <c r="E884" s="16" t="s">
        <v>74</v>
      </c>
    </row>
    <row r="885">
      <c r="A885" s="1" t="s">
        <v>7731</v>
      </c>
      <c r="B885" s="15">
        <f>+919949689393</f>
        <v>919949689393</v>
      </c>
      <c r="C885" s="15" t="str">
        <f t="shared" si="1"/>
        <v>ksnivas267@gmail.com919949689393</v>
      </c>
      <c r="D885" s="16" t="s">
        <v>7732</v>
      </c>
      <c r="E885" s="16" t="s">
        <v>68</v>
      </c>
    </row>
    <row r="886">
      <c r="A886" s="1" t="s">
        <v>6259</v>
      </c>
      <c r="B886" s="15">
        <f>+919036230336</f>
        <v>919036230336</v>
      </c>
      <c r="C886" s="15" t="str">
        <f t="shared" si="1"/>
        <v>harshitha.k2736@gmail.com919036230336</v>
      </c>
      <c r="D886" s="16" t="s">
        <v>7733</v>
      </c>
      <c r="E886" s="16" t="s">
        <v>68</v>
      </c>
    </row>
    <row r="887">
      <c r="A887" s="1" t="s">
        <v>3373</v>
      </c>
      <c r="B887" s="15">
        <f>+917978907149</f>
        <v>917978907149</v>
      </c>
      <c r="C887" s="15" t="str">
        <f t="shared" si="1"/>
        <v>skarchie09@gmail.com917978907149</v>
      </c>
      <c r="D887" s="16" t="s">
        <v>7734</v>
      </c>
      <c r="E887" s="16" t="s">
        <v>68</v>
      </c>
    </row>
    <row r="888">
      <c r="A888" s="1" t="s">
        <v>2940</v>
      </c>
      <c r="B888" s="15">
        <f>+919489214408</f>
        <v>919489214408</v>
      </c>
      <c r="C888" s="15" t="str">
        <f t="shared" si="1"/>
        <v>fif@mediclownacademy.org919489214408</v>
      </c>
      <c r="D888" s="16" t="s">
        <v>7735</v>
      </c>
      <c r="E888" s="16" t="s">
        <v>74</v>
      </c>
    </row>
    <row r="889">
      <c r="A889" s="1" t="s">
        <v>2940</v>
      </c>
      <c r="B889" s="15">
        <f>+919488846408</f>
        <v>919488846408</v>
      </c>
      <c r="C889" s="15" t="str">
        <f t="shared" si="1"/>
        <v>fif@mediclownacademy.org919488846408</v>
      </c>
      <c r="D889" s="16" t="s">
        <v>7736</v>
      </c>
      <c r="E889" s="16" t="s">
        <v>74</v>
      </c>
    </row>
    <row r="890">
      <c r="A890" s="1" t="s">
        <v>2942</v>
      </c>
      <c r="B890" s="15">
        <f>+919886757329</f>
        <v>919886757329</v>
      </c>
      <c r="C890" s="15" t="str">
        <f t="shared" si="1"/>
        <v>heenadani76@gmail.com919886757329</v>
      </c>
      <c r="D890" s="16" t="s">
        <v>7737</v>
      </c>
      <c r="E890" s="16" t="s">
        <v>151</v>
      </c>
    </row>
    <row r="891">
      <c r="A891" s="1" t="s">
        <v>2944</v>
      </c>
      <c r="B891" s="15">
        <f>+919648323842</f>
        <v>919648323842</v>
      </c>
      <c r="C891" s="15" t="str">
        <f t="shared" si="1"/>
        <v>ushatammu@gmail.com919648323842</v>
      </c>
      <c r="D891" s="16" t="s">
        <v>7738</v>
      </c>
      <c r="E891" s="16" t="s">
        <v>68</v>
      </c>
    </row>
    <row r="892">
      <c r="A892" s="1" t="s">
        <v>2945</v>
      </c>
      <c r="B892" s="15">
        <f>+919732370358</f>
        <v>919732370358</v>
      </c>
      <c r="C892" s="15" t="str">
        <f t="shared" si="1"/>
        <v>debobanib@gmail.com919732370358</v>
      </c>
      <c r="D892" s="16" t="s">
        <v>7739</v>
      </c>
      <c r="E892" s="16" t="s">
        <v>74</v>
      </c>
    </row>
    <row r="893">
      <c r="A893" s="1" t="s">
        <v>2783</v>
      </c>
      <c r="B893" s="15">
        <f t="shared" ref="B893:B894" si="120">+919390664591</f>
        <v>919390664591</v>
      </c>
      <c r="C893" s="15" t="str">
        <f t="shared" si="1"/>
        <v>ejanthkarh@gmail.com919390664591</v>
      </c>
      <c r="D893" s="16" t="s">
        <v>7740</v>
      </c>
      <c r="E893" s="16" t="s">
        <v>68</v>
      </c>
    </row>
    <row r="894">
      <c r="A894" s="1" t="s">
        <v>2783</v>
      </c>
      <c r="B894" s="15">
        <f t="shared" si="120"/>
        <v>919390664591</v>
      </c>
      <c r="C894" s="15" t="str">
        <f t="shared" si="1"/>
        <v>ejanthkarh@gmail.com919390664591</v>
      </c>
      <c r="D894" s="16" t="s">
        <v>7741</v>
      </c>
      <c r="E894" s="16" t="s">
        <v>74</v>
      </c>
    </row>
    <row r="895">
      <c r="A895" s="1" t="s">
        <v>6508</v>
      </c>
      <c r="B895" s="15">
        <f>+919894070542</f>
        <v>919894070542</v>
      </c>
      <c r="C895" s="15" t="str">
        <f t="shared" si="1"/>
        <v>chitraleena@gmail.com919894070542</v>
      </c>
      <c r="D895" s="16" t="s">
        <v>7742</v>
      </c>
      <c r="E895" s="16" t="s">
        <v>97</v>
      </c>
    </row>
    <row r="896">
      <c r="A896" s="1" t="s">
        <v>2785</v>
      </c>
      <c r="B896" s="15">
        <f t="shared" ref="B896:B897" si="121">+919899969848</f>
        <v>919899969848</v>
      </c>
      <c r="C896" s="15" t="str">
        <f t="shared" si="1"/>
        <v>mahakmittal0526@gmail.com919899969848</v>
      </c>
      <c r="D896" s="16" t="s">
        <v>7743</v>
      </c>
      <c r="E896" s="16" t="s">
        <v>151</v>
      </c>
    </row>
    <row r="897">
      <c r="A897" s="1" t="s">
        <v>2785</v>
      </c>
      <c r="B897" s="15">
        <f t="shared" si="121"/>
        <v>919899969848</v>
      </c>
      <c r="C897" s="15" t="str">
        <f t="shared" si="1"/>
        <v>mahakmittal0526@gmail.com919899969848</v>
      </c>
      <c r="D897" s="16" t="s">
        <v>7744</v>
      </c>
      <c r="E897" s="16" t="s">
        <v>68</v>
      </c>
    </row>
    <row r="898">
      <c r="A898" s="1" t="s">
        <v>6261</v>
      </c>
      <c r="B898" s="15">
        <f>+917871725079</f>
        <v>917871725079</v>
      </c>
      <c r="C898" s="15" t="str">
        <f t="shared" si="1"/>
        <v>kavithiru151096@outlook.com917871725079</v>
      </c>
      <c r="D898" s="16" t="s">
        <v>7745</v>
      </c>
      <c r="E898" s="16" t="s">
        <v>68</v>
      </c>
    </row>
    <row r="899">
      <c r="A899" s="1" t="s">
        <v>2947</v>
      </c>
      <c r="B899" s="15">
        <f>+919849104433</f>
        <v>919849104433</v>
      </c>
      <c r="C899" s="15" t="str">
        <f t="shared" si="1"/>
        <v>nanichouty@gmail.com919849104433</v>
      </c>
      <c r="D899" s="16" t="s">
        <v>7746</v>
      </c>
      <c r="E899" s="16" t="s">
        <v>97</v>
      </c>
    </row>
    <row r="900">
      <c r="A900" s="1" t="s">
        <v>3066</v>
      </c>
      <c r="B900" s="15">
        <f>+917755913456</f>
        <v>917755913456</v>
      </c>
      <c r="C900" s="15" t="str">
        <f t="shared" si="1"/>
        <v>neelimakaur84@gmail.com917755913456</v>
      </c>
      <c r="D900" s="16" t="s">
        <v>7747</v>
      </c>
      <c r="E900" s="16" t="s">
        <v>68</v>
      </c>
    </row>
    <row r="901">
      <c r="A901" s="1" t="s">
        <v>3070</v>
      </c>
      <c r="B901" s="15">
        <f>+919492427301</f>
        <v>919492427301</v>
      </c>
      <c r="C901" s="15" t="str">
        <f t="shared" si="1"/>
        <v>emunipalli@gmail.com919492427301</v>
      </c>
      <c r="D901" s="16" t="s">
        <v>7748</v>
      </c>
      <c r="E901" s="16" t="s">
        <v>68</v>
      </c>
    </row>
    <row r="902">
      <c r="A902" s="1" t="s">
        <v>5414</v>
      </c>
      <c r="B902" s="15">
        <f t="shared" ref="B902:B903" si="122">+919538494409</f>
        <v>919538494409</v>
      </c>
      <c r="C902" s="15" t="str">
        <f t="shared" si="1"/>
        <v>shreejitahh@gmail.com919538494409</v>
      </c>
      <c r="D902" s="16" t="s">
        <v>7749</v>
      </c>
      <c r="E902" s="16" t="s">
        <v>151</v>
      </c>
    </row>
    <row r="903">
      <c r="A903" s="1" t="s">
        <v>5414</v>
      </c>
      <c r="B903" s="15">
        <f t="shared" si="122"/>
        <v>919538494409</v>
      </c>
      <c r="C903" s="15" t="str">
        <f t="shared" si="1"/>
        <v>shreejitahh@gmail.com919538494409</v>
      </c>
      <c r="D903" s="16" t="s">
        <v>7750</v>
      </c>
      <c r="E903" s="16" t="s">
        <v>68</v>
      </c>
    </row>
    <row r="904">
      <c r="A904" s="1" t="s">
        <v>2602</v>
      </c>
      <c r="B904" s="15">
        <f>+918975595892</f>
        <v>918975595892</v>
      </c>
      <c r="C904" s="15" t="str">
        <f t="shared" si="1"/>
        <v>prajaktathakre8@gmail.com918975595892</v>
      </c>
      <c r="D904" s="16" t="s">
        <v>7751</v>
      </c>
      <c r="E904" s="16" t="s">
        <v>74</v>
      </c>
    </row>
    <row r="905">
      <c r="A905" s="1" t="s">
        <v>5414</v>
      </c>
      <c r="B905" s="15">
        <f>+919538494409</f>
        <v>919538494409</v>
      </c>
      <c r="C905" s="15" t="str">
        <f t="shared" si="1"/>
        <v>shreejitahh@gmail.com919538494409</v>
      </c>
      <c r="D905" s="16" t="s">
        <v>7752</v>
      </c>
      <c r="E905" s="16" t="s">
        <v>68</v>
      </c>
    </row>
    <row r="906">
      <c r="A906" s="1" t="s">
        <v>2602</v>
      </c>
      <c r="B906" s="15">
        <f t="shared" ref="B906:B909" si="123">+918975595892</f>
        <v>918975595892</v>
      </c>
      <c r="C906" s="15" t="str">
        <f t="shared" si="1"/>
        <v>prajaktathakre8@gmail.com918975595892</v>
      </c>
      <c r="D906" s="16" t="s">
        <v>7753</v>
      </c>
      <c r="E906" s="16" t="s">
        <v>68</v>
      </c>
    </row>
    <row r="907">
      <c r="A907" s="1" t="s">
        <v>2602</v>
      </c>
      <c r="B907" s="15">
        <f t="shared" si="123"/>
        <v>918975595892</v>
      </c>
      <c r="C907" s="15" t="str">
        <f t="shared" si="1"/>
        <v>prajaktathakre8@gmail.com918975595892</v>
      </c>
      <c r="D907" s="16" t="s">
        <v>7754</v>
      </c>
      <c r="E907" s="16" t="s">
        <v>151</v>
      </c>
    </row>
    <row r="908">
      <c r="A908" s="1" t="s">
        <v>2602</v>
      </c>
      <c r="B908" s="15">
        <f t="shared" si="123"/>
        <v>918975595892</v>
      </c>
      <c r="C908" s="15" t="str">
        <f t="shared" si="1"/>
        <v>prajaktathakre8@gmail.com918975595892</v>
      </c>
      <c r="D908" s="16" t="s">
        <v>7755</v>
      </c>
      <c r="E908" s="16" t="s">
        <v>74</v>
      </c>
    </row>
    <row r="909">
      <c r="A909" s="1" t="s">
        <v>2602</v>
      </c>
      <c r="B909" s="15">
        <f t="shared" si="123"/>
        <v>918975595892</v>
      </c>
      <c r="C909" s="15" t="str">
        <f t="shared" si="1"/>
        <v>prajaktathakre8@gmail.com918975595892</v>
      </c>
      <c r="D909" s="16" t="s">
        <v>7756</v>
      </c>
      <c r="E909" s="16" t="s">
        <v>74</v>
      </c>
    </row>
    <row r="910">
      <c r="A910" s="1" t="s">
        <v>3072</v>
      </c>
      <c r="B910" s="15">
        <f>+919032873077</f>
        <v>919032873077</v>
      </c>
      <c r="C910" s="15" t="str">
        <f t="shared" si="1"/>
        <v>deepthi.thirukovela@gmail.com919032873077</v>
      </c>
      <c r="D910" s="16" t="s">
        <v>7757</v>
      </c>
      <c r="E910" s="16" t="s">
        <v>68</v>
      </c>
    </row>
    <row r="911">
      <c r="A911" s="1" t="s">
        <v>3395</v>
      </c>
      <c r="B911" s="15">
        <f>+919921834904</f>
        <v>919921834904</v>
      </c>
      <c r="C911" s="15" t="str">
        <f t="shared" si="1"/>
        <v>ameykavathekar12@gmail.com919921834904</v>
      </c>
      <c r="D911" s="16" t="s">
        <v>7758</v>
      </c>
      <c r="E911" s="16" t="s">
        <v>68</v>
      </c>
    </row>
    <row r="912">
      <c r="A912" s="1" t="s">
        <v>4583</v>
      </c>
      <c r="B912" s="15">
        <f t="shared" ref="B912:B913" si="124">+919844400981</f>
        <v>919844400981</v>
      </c>
      <c r="C912" s="15" t="str">
        <f t="shared" si="1"/>
        <v>ramagopal.nr65@gmail.com919844400981</v>
      </c>
      <c r="D912" s="16" t="s">
        <v>7759</v>
      </c>
      <c r="E912" s="16" t="s">
        <v>74</v>
      </c>
    </row>
    <row r="913">
      <c r="A913" s="1" t="s">
        <v>4583</v>
      </c>
      <c r="B913" s="15">
        <f t="shared" si="124"/>
        <v>919844400981</v>
      </c>
      <c r="C913" s="15" t="str">
        <f t="shared" si="1"/>
        <v>ramagopal.nr65@gmail.com919844400981</v>
      </c>
      <c r="D913" s="16" t="s">
        <v>7760</v>
      </c>
      <c r="E913" s="16" t="s">
        <v>74</v>
      </c>
    </row>
    <row r="914">
      <c r="A914" s="1" t="s">
        <v>4348</v>
      </c>
      <c r="B914" s="15">
        <f t="shared" ref="B914:B918" si="125">+919003024509</f>
        <v>919003024509</v>
      </c>
      <c r="C914" s="15" t="str">
        <f t="shared" si="1"/>
        <v>alagates@gmail.com919003024509</v>
      </c>
      <c r="D914" s="16" t="s">
        <v>7761</v>
      </c>
      <c r="E914" s="16" t="s">
        <v>74</v>
      </c>
    </row>
    <row r="915">
      <c r="A915" s="1" t="s">
        <v>4348</v>
      </c>
      <c r="B915" s="15">
        <f t="shared" si="125"/>
        <v>919003024509</v>
      </c>
      <c r="C915" s="15" t="str">
        <f t="shared" si="1"/>
        <v>alagates@gmail.com919003024509</v>
      </c>
      <c r="D915" s="16" t="s">
        <v>7762</v>
      </c>
      <c r="E915" s="16" t="s">
        <v>74</v>
      </c>
    </row>
    <row r="916">
      <c r="A916" s="1" t="s">
        <v>4348</v>
      </c>
      <c r="B916" s="15">
        <f t="shared" si="125"/>
        <v>919003024509</v>
      </c>
      <c r="C916" s="15" t="str">
        <f t="shared" si="1"/>
        <v>alagates@gmail.com919003024509</v>
      </c>
      <c r="D916" s="16" t="s">
        <v>7763</v>
      </c>
      <c r="E916" s="16" t="s">
        <v>74</v>
      </c>
    </row>
    <row r="917">
      <c r="A917" s="1" t="s">
        <v>4348</v>
      </c>
      <c r="B917" s="15">
        <f t="shared" si="125"/>
        <v>919003024509</v>
      </c>
      <c r="C917" s="15" t="str">
        <f t="shared" si="1"/>
        <v>alagates@gmail.com919003024509</v>
      </c>
      <c r="D917" s="16" t="s">
        <v>7764</v>
      </c>
      <c r="E917" s="16" t="s">
        <v>74</v>
      </c>
    </row>
    <row r="918">
      <c r="A918" s="1" t="s">
        <v>4348</v>
      </c>
      <c r="B918" s="15">
        <f t="shared" si="125"/>
        <v>919003024509</v>
      </c>
      <c r="C918" s="15" t="str">
        <f t="shared" si="1"/>
        <v>alagates@gmail.com919003024509</v>
      </c>
      <c r="D918" s="16" t="s">
        <v>7765</v>
      </c>
      <c r="E918" s="16" t="s">
        <v>74</v>
      </c>
    </row>
    <row r="919">
      <c r="A919" s="1" t="s">
        <v>5760</v>
      </c>
      <c r="B919" s="15">
        <f>+919600072984</f>
        <v>919600072984</v>
      </c>
      <c r="C919" s="15" t="str">
        <f t="shared" si="1"/>
        <v>sushil.saprukm@gmail.com919600072984</v>
      </c>
      <c r="D919" s="16" t="s">
        <v>7766</v>
      </c>
      <c r="E919" s="16" t="s">
        <v>68</v>
      </c>
    </row>
    <row r="920">
      <c r="A920" s="1" t="s">
        <v>2949</v>
      </c>
      <c r="B920" s="15">
        <f>+919869403282</f>
        <v>919869403282</v>
      </c>
      <c r="C920" s="15" t="str">
        <f t="shared" si="1"/>
        <v>vinayakj@proexceltech.com919869403282</v>
      </c>
      <c r="D920" s="16" t="s">
        <v>7767</v>
      </c>
      <c r="E920" s="16" t="s">
        <v>68</v>
      </c>
    </row>
    <row r="921">
      <c r="A921" s="1" t="s">
        <v>7768</v>
      </c>
      <c r="B921" s="15">
        <f>+918840878528</f>
        <v>918840878528</v>
      </c>
      <c r="C921" s="15" t="str">
        <f t="shared" si="1"/>
        <v>asamansri9@gmail.com918840878528</v>
      </c>
      <c r="D921" s="16" t="s">
        <v>7769</v>
      </c>
      <c r="E921" s="16" t="s">
        <v>68</v>
      </c>
    </row>
    <row r="922">
      <c r="A922" s="1" t="s">
        <v>3074</v>
      </c>
      <c r="B922" s="15">
        <f t="shared" ref="B922:B924" si="126">+919121776076</f>
        <v>919121776076</v>
      </c>
      <c r="C922" s="15" t="str">
        <f t="shared" si="1"/>
        <v>karimlakhani99@gmail.com919121776076</v>
      </c>
      <c r="D922" s="16" t="s">
        <v>7770</v>
      </c>
      <c r="E922" s="16" t="s">
        <v>151</v>
      </c>
    </row>
    <row r="923">
      <c r="A923" s="1" t="s">
        <v>3074</v>
      </c>
      <c r="B923" s="15">
        <f t="shared" si="126"/>
        <v>919121776076</v>
      </c>
      <c r="C923" s="15" t="str">
        <f t="shared" si="1"/>
        <v>karimlakhani99@gmail.com919121776076</v>
      </c>
      <c r="D923" s="16" t="s">
        <v>7771</v>
      </c>
      <c r="E923" s="16" t="s">
        <v>68</v>
      </c>
    </row>
    <row r="924">
      <c r="A924" s="1" t="s">
        <v>3074</v>
      </c>
      <c r="B924" s="15">
        <f t="shared" si="126"/>
        <v>919121776076</v>
      </c>
      <c r="C924" s="15" t="str">
        <f t="shared" si="1"/>
        <v>karimlakhani99@gmail.com919121776076</v>
      </c>
      <c r="D924" s="16" t="s">
        <v>7772</v>
      </c>
      <c r="E924" s="16" t="s">
        <v>68</v>
      </c>
    </row>
    <row r="925">
      <c r="A925" s="1" t="s">
        <v>2111</v>
      </c>
      <c r="B925" s="15">
        <f>+919606619902</f>
        <v>919606619902</v>
      </c>
      <c r="C925" s="15" t="str">
        <f t="shared" si="1"/>
        <v>neha30may98@gmail.com919606619902</v>
      </c>
      <c r="D925" s="16" t="s">
        <v>7773</v>
      </c>
      <c r="E925" s="16" t="s">
        <v>68</v>
      </c>
    </row>
    <row r="926">
      <c r="A926" s="1" t="s">
        <v>4892</v>
      </c>
      <c r="B926" s="15">
        <f>+919987777281</f>
        <v>919987777281</v>
      </c>
      <c r="C926" s="15" t="str">
        <f t="shared" si="1"/>
        <v>navinmax@gmail.com919987777281</v>
      </c>
      <c r="D926" s="16" t="s">
        <v>7774</v>
      </c>
      <c r="E926" s="16" t="s">
        <v>68</v>
      </c>
    </row>
    <row r="927">
      <c r="A927" s="1" t="s">
        <v>4894</v>
      </c>
      <c r="B927" s="15">
        <f>+917669668688</f>
        <v>917669668688</v>
      </c>
      <c r="C927" s="15" t="str">
        <f t="shared" si="1"/>
        <v>siddharthnair350@gmail.com917669668688</v>
      </c>
      <c r="D927" s="16" t="s">
        <v>7775</v>
      </c>
      <c r="E927" s="16" t="s">
        <v>74</v>
      </c>
    </row>
    <row r="928">
      <c r="A928" s="1" t="s">
        <v>6373</v>
      </c>
      <c r="B928" s="15">
        <f>+919818760906</f>
        <v>919818760906</v>
      </c>
      <c r="C928" s="15" t="str">
        <f t="shared" si="1"/>
        <v>lamokbagga.92@gmail.com919818760906</v>
      </c>
      <c r="D928" s="16" t="s">
        <v>7776</v>
      </c>
      <c r="E928" s="16" t="s">
        <v>68</v>
      </c>
    </row>
    <row r="929">
      <c r="A929" s="1" t="s">
        <v>3076</v>
      </c>
      <c r="B929" s="15">
        <f>+917004217876</f>
        <v>917004217876</v>
      </c>
      <c r="C929" s="15" t="str">
        <f t="shared" si="1"/>
        <v>ritvik014@gmail.com917004217876</v>
      </c>
      <c r="D929" s="16" t="s">
        <v>7777</v>
      </c>
      <c r="E929" s="16" t="s">
        <v>68</v>
      </c>
    </row>
    <row r="930">
      <c r="A930" s="1" t="s">
        <v>5962</v>
      </c>
      <c r="B930" s="15">
        <f>+917675978917</f>
        <v>917675978917</v>
      </c>
      <c r="C930" s="15" t="str">
        <f t="shared" si="1"/>
        <v>k.thapaswi@gmail.com917675978917</v>
      </c>
      <c r="D930" s="16" t="s">
        <v>7778</v>
      </c>
      <c r="E930" s="16" t="s">
        <v>74</v>
      </c>
    </row>
    <row r="931">
      <c r="A931" s="1" t="s">
        <v>2607</v>
      </c>
      <c r="B931" s="15">
        <f>+918130499381</f>
        <v>918130499381</v>
      </c>
      <c r="C931" s="15" t="str">
        <f t="shared" si="1"/>
        <v>akshitas1706@gmail.com918130499381</v>
      </c>
      <c r="D931" s="16" t="s">
        <v>7779</v>
      </c>
      <c r="E931" s="16" t="s">
        <v>68</v>
      </c>
    </row>
    <row r="932">
      <c r="A932" s="1" t="s">
        <v>5962</v>
      </c>
      <c r="B932" s="15">
        <f t="shared" ref="B932:B937" si="127">+917675978917</f>
        <v>917675978917</v>
      </c>
      <c r="C932" s="15" t="str">
        <f t="shared" si="1"/>
        <v>k.thapaswi@gmail.com917675978917</v>
      </c>
      <c r="D932" s="16" t="s">
        <v>7780</v>
      </c>
      <c r="E932" s="16" t="s">
        <v>74</v>
      </c>
    </row>
    <row r="933">
      <c r="A933" s="1" t="s">
        <v>5962</v>
      </c>
      <c r="B933" s="15">
        <f t="shared" si="127"/>
        <v>917675978917</v>
      </c>
      <c r="C933" s="15" t="str">
        <f t="shared" si="1"/>
        <v>k.thapaswi@gmail.com917675978917</v>
      </c>
      <c r="D933" s="16" t="s">
        <v>7781</v>
      </c>
      <c r="E933" s="16" t="s">
        <v>74</v>
      </c>
    </row>
    <row r="934">
      <c r="A934" s="1" t="s">
        <v>5962</v>
      </c>
      <c r="B934" s="15">
        <f t="shared" si="127"/>
        <v>917675978917</v>
      </c>
      <c r="C934" s="15" t="str">
        <f t="shared" si="1"/>
        <v>k.thapaswi@gmail.com917675978917</v>
      </c>
      <c r="D934" s="16" t="s">
        <v>7782</v>
      </c>
      <c r="E934" s="16" t="s">
        <v>74</v>
      </c>
    </row>
    <row r="935">
      <c r="A935" s="1" t="s">
        <v>5962</v>
      </c>
      <c r="B935" s="15">
        <f t="shared" si="127"/>
        <v>917675978917</v>
      </c>
      <c r="C935" s="15" t="str">
        <f t="shared" si="1"/>
        <v>k.thapaswi@gmail.com917675978917</v>
      </c>
      <c r="D935" s="16" t="s">
        <v>7783</v>
      </c>
      <c r="E935" s="16" t="s">
        <v>74</v>
      </c>
    </row>
    <row r="936">
      <c r="A936" s="1" t="s">
        <v>5962</v>
      </c>
      <c r="B936" s="15">
        <f t="shared" si="127"/>
        <v>917675978917</v>
      </c>
      <c r="C936" s="15" t="str">
        <f t="shared" si="1"/>
        <v>k.thapaswi@gmail.com917675978917</v>
      </c>
      <c r="D936" s="16" t="s">
        <v>7784</v>
      </c>
      <c r="E936" s="16" t="s">
        <v>74</v>
      </c>
    </row>
    <row r="937">
      <c r="A937" s="1" t="s">
        <v>5962</v>
      </c>
      <c r="B937" s="15">
        <f t="shared" si="127"/>
        <v>917675978917</v>
      </c>
      <c r="C937" s="15" t="str">
        <f t="shared" si="1"/>
        <v>k.thapaswi@gmail.com917675978917</v>
      </c>
      <c r="D937" s="16" t="s">
        <v>7785</v>
      </c>
      <c r="E937" s="16" t="s">
        <v>74</v>
      </c>
    </row>
    <row r="938">
      <c r="A938" s="1" t="s">
        <v>5422</v>
      </c>
      <c r="B938" s="15">
        <f>+918106251858</f>
        <v>918106251858</v>
      </c>
      <c r="C938" s="15" t="str">
        <f t="shared" si="1"/>
        <v>vineelaammu9@gmail.com918106251858</v>
      </c>
      <c r="D938" s="16" t="s">
        <v>7786</v>
      </c>
      <c r="E938" s="16" t="s">
        <v>68</v>
      </c>
    </row>
    <row r="939">
      <c r="A939" s="1" t="s">
        <v>5772</v>
      </c>
      <c r="B939" s="15">
        <f>+916382080532</f>
        <v>916382080532</v>
      </c>
      <c r="C939" s="15" t="str">
        <f t="shared" si="1"/>
        <v>keesswinharis@gmail.com916382080532</v>
      </c>
      <c r="D939" s="16" t="s">
        <v>7787</v>
      </c>
      <c r="E939" s="16" t="s">
        <v>151</v>
      </c>
    </row>
    <row r="940">
      <c r="A940" s="1" t="s">
        <v>3391</v>
      </c>
      <c r="B940" s="15">
        <f>+918168592496</f>
        <v>918168592496</v>
      </c>
      <c r="C940" s="15" t="str">
        <f t="shared" si="1"/>
        <v>akreddu065@gmail.com918168592496</v>
      </c>
      <c r="D940" s="16" t="s">
        <v>7788</v>
      </c>
      <c r="E940" s="16" t="s">
        <v>74</v>
      </c>
    </row>
    <row r="941">
      <c r="A941" s="1" t="s">
        <v>3393</v>
      </c>
      <c r="B941" s="15">
        <f>+919420147211</f>
        <v>919420147211</v>
      </c>
      <c r="C941" s="15" t="str">
        <f t="shared" si="1"/>
        <v>skkady@gmail.com919420147211</v>
      </c>
      <c r="D941" s="16" t="s">
        <v>7789</v>
      </c>
      <c r="E941" s="16" t="s">
        <v>68</v>
      </c>
    </row>
    <row r="942">
      <c r="A942" s="1" t="s">
        <v>6190</v>
      </c>
      <c r="B942" s="15">
        <f>+919899327756</f>
        <v>919899327756</v>
      </c>
      <c r="C942" s="15" t="str">
        <f t="shared" si="1"/>
        <v>samraat.018@gmail.com919899327756</v>
      </c>
      <c r="D942" s="16" t="s">
        <v>7790</v>
      </c>
      <c r="E942" s="16" t="s">
        <v>74</v>
      </c>
    </row>
    <row r="943">
      <c r="A943" s="1" t="s">
        <v>7791</v>
      </c>
      <c r="B943" s="15">
        <f>+918248598784</f>
        <v>918248598784</v>
      </c>
      <c r="C943" s="15" t="str">
        <f t="shared" si="1"/>
        <v>sabarigirish28@gmail.com918248598784</v>
      </c>
      <c r="D943" s="16" t="s">
        <v>7792</v>
      </c>
      <c r="E943" s="16" t="s">
        <v>151</v>
      </c>
    </row>
    <row r="944">
      <c r="A944" s="1" t="s">
        <v>4351</v>
      </c>
      <c r="B944" s="15">
        <f>+919844997400</f>
        <v>919844997400</v>
      </c>
      <c r="C944" s="15" t="str">
        <f t="shared" si="1"/>
        <v>amritap004@gmail.com919844997400</v>
      </c>
      <c r="D944" s="16" t="s">
        <v>7793</v>
      </c>
      <c r="E944" s="16" t="s">
        <v>68</v>
      </c>
    </row>
    <row r="945">
      <c r="A945" s="1" t="s">
        <v>4802</v>
      </c>
      <c r="B945" s="15">
        <f>+918778533799</f>
        <v>918778533799</v>
      </c>
      <c r="C945" s="15" t="str">
        <f t="shared" si="1"/>
        <v>deepikajananibala@gmail.com918778533799</v>
      </c>
      <c r="D945" s="16" t="s">
        <v>7794</v>
      </c>
      <c r="E945" s="16" t="s">
        <v>68</v>
      </c>
    </row>
    <row r="946">
      <c r="A946" s="1" t="s">
        <v>4802</v>
      </c>
      <c r="B946" s="15">
        <f>+919444690098</f>
        <v>919444690098</v>
      </c>
      <c r="C946" s="15" t="str">
        <f t="shared" si="1"/>
        <v>deepikajananibala@gmail.com919444690098</v>
      </c>
      <c r="D946" s="16" t="s">
        <v>7795</v>
      </c>
      <c r="E946" s="16" t="s">
        <v>68</v>
      </c>
    </row>
    <row r="947">
      <c r="A947" s="1" t="s">
        <v>4583</v>
      </c>
      <c r="B947" s="15">
        <f>+919844400981</f>
        <v>919844400981</v>
      </c>
      <c r="C947" s="15" t="str">
        <f t="shared" si="1"/>
        <v>ramagopal.nr65@gmail.com919844400981</v>
      </c>
      <c r="D947" s="16" t="s">
        <v>7796</v>
      </c>
      <c r="E947" s="16" t="s">
        <v>97</v>
      </c>
    </row>
    <row r="948">
      <c r="A948" s="1" t="s">
        <v>7797</v>
      </c>
      <c r="B948" s="15">
        <f>+919964999244</f>
        <v>919964999244</v>
      </c>
      <c r="C948" s="15" t="str">
        <f t="shared" si="1"/>
        <v>phanindra.mba@gmail.com919964999244</v>
      </c>
      <c r="D948" s="16" t="s">
        <v>7798</v>
      </c>
      <c r="E948" s="16" t="s">
        <v>68</v>
      </c>
    </row>
    <row r="949">
      <c r="A949" s="1" t="s">
        <v>5845</v>
      </c>
      <c r="B949" s="15">
        <f>+919987090322</f>
        <v>919987090322</v>
      </c>
      <c r="C949" s="15" t="str">
        <f t="shared" si="1"/>
        <v>apekshamishra999@gmail.com919987090322</v>
      </c>
      <c r="D949" s="16" t="s">
        <v>7799</v>
      </c>
      <c r="E949" s="16" t="s">
        <v>74</v>
      </c>
    </row>
    <row r="950">
      <c r="A950" s="1" t="s">
        <v>5713</v>
      </c>
      <c r="B950" s="15">
        <f>+919338214450</f>
        <v>919338214450</v>
      </c>
      <c r="C950" s="15" t="str">
        <f t="shared" si="1"/>
        <v>laxhminarayan@yahoo.com919338214450</v>
      </c>
      <c r="D950" s="16" t="s">
        <v>7800</v>
      </c>
      <c r="E950" s="16" t="s">
        <v>68</v>
      </c>
    </row>
    <row r="951">
      <c r="A951" s="1" t="s">
        <v>6510</v>
      </c>
      <c r="B951" s="15">
        <f>+919500100504</f>
        <v>919500100504</v>
      </c>
      <c r="C951" s="15" t="str">
        <f t="shared" si="1"/>
        <v>aarthinatraj2418@gmail.com919500100504</v>
      </c>
      <c r="D951" s="16" t="s">
        <v>7801</v>
      </c>
      <c r="E951" s="16" t="s">
        <v>68</v>
      </c>
    </row>
    <row r="952">
      <c r="A952" s="1" t="s">
        <v>3387</v>
      </c>
      <c r="B952" s="15">
        <f>+919831992287</f>
        <v>919831992287</v>
      </c>
      <c r="C952" s="15" t="str">
        <f t="shared" si="1"/>
        <v>iacharya1998@gmail.com919831992287</v>
      </c>
      <c r="D952" s="16" t="s">
        <v>7802</v>
      </c>
      <c r="E952" s="16" t="s">
        <v>68</v>
      </c>
    </row>
    <row r="953">
      <c r="A953" s="1" t="s">
        <v>3389</v>
      </c>
      <c r="B953" s="15">
        <f>+919737405025</f>
        <v>919737405025</v>
      </c>
      <c r="C953" s="15" t="str">
        <f t="shared" si="1"/>
        <v>p20ashish@iimnagpur.ac.in919737405025</v>
      </c>
      <c r="D953" s="16" t="s">
        <v>7803</v>
      </c>
      <c r="E953" s="16" t="s">
        <v>68</v>
      </c>
    </row>
    <row r="954">
      <c r="A954" s="1" t="s">
        <v>5418</v>
      </c>
      <c r="B954" s="15">
        <f t="shared" ref="B954:B955" si="128">+918399944838</f>
        <v>918399944838</v>
      </c>
      <c r="C954" s="15" t="str">
        <f t="shared" si="1"/>
        <v>apc1253@yahoo.com918399944838</v>
      </c>
      <c r="D954" s="16" t="s">
        <v>7804</v>
      </c>
      <c r="E954" s="16" t="s">
        <v>68</v>
      </c>
    </row>
    <row r="955">
      <c r="A955" s="1" t="s">
        <v>5418</v>
      </c>
      <c r="B955" s="15">
        <f t="shared" si="128"/>
        <v>918399944838</v>
      </c>
      <c r="C955" s="15" t="str">
        <f t="shared" si="1"/>
        <v>apc1253@yahoo.com918399944838</v>
      </c>
      <c r="D955" s="16" t="s">
        <v>7805</v>
      </c>
      <c r="E955" s="16" t="s">
        <v>68</v>
      </c>
    </row>
    <row r="956">
      <c r="A956" s="1" t="s">
        <v>2605</v>
      </c>
      <c r="B956" s="15">
        <f>+919873232570</f>
        <v>919873232570</v>
      </c>
      <c r="C956" s="15" t="str">
        <f t="shared" si="1"/>
        <v>vickysharma3@gmail.com919873232570</v>
      </c>
      <c r="D956" s="16" t="s">
        <v>7806</v>
      </c>
      <c r="E956" s="16" t="s">
        <v>68</v>
      </c>
    </row>
    <row r="957">
      <c r="A957" s="1" t="s">
        <v>5762</v>
      </c>
      <c r="B957" s="15">
        <f>+917207197980</f>
        <v>917207197980</v>
      </c>
      <c r="C957" s="15" t="str">
        <f t="shared" si="1"/>
        <v>devendrapratheek@gmail.com917207197980</v>
      </c>
      <c r="D957" s="16" t="s">
        <v>7807</v>
      </c>
      <c r="E957" s="16" t="s">
        <v>68</v>
      </c>
    </row>
    <row r="958">
      <c r="A958" s="1" t="s">
        <v>6206</v>
      </c>
      <c r="B958" s="15">
        <f>+919972039931</f>
        <v>919972039931</v>
      </c>
      <c r="C958" s="15" t="str">
        <f t="shared" si="1"/>
        <v>rahul.h.desai@outlook.com919972039931</v>
      </c>
      <c r="D958" s="16" t="s">
        <v>7808</v>
      </c>
      <c r="E958" s="16" t="s">
        <v>68</v>
      </c>
    </row>
    <row r="959">
      <c r="A959" s="1" t="s">
        <v>6512</v>
      </c>
      <c r="B959" s="15">
        <f>+919819599898</f>
        <v>919819599898</v>
      </c>
      <c r="C959" s="15" t="str">
        <f t="shared" si="1"/>
        <v>rk.neurekar@gmail.com919819599898</v>
      </c>
      <c r="D959" s="16" t="s">
        <v>7809</v>
      </c>
      <c r="E959" s="16" t="s">
        <v>68</v>
      </c>
    </row>
    <row r="960">
      <c r="A960" s="1" t="s">
        <v>6514</v>
      </c>
      <c r="B960" s="15">
        <f t="shared" ref="B960:B961" si="129">+919460030274</f>
        <v>919460030274</v>
      </c>
      <c r="C960" s="15" t="str">
        <f t="shared" si="1"/>
        <v>drgarimasaxena@gmail.com919460030274</v>
      </c>
      <c r="D960" s="16" t="s">
        <v>7810</v>
      </c>
      <c r="E960" s="16" t="s">
        <v>68</v>
      </c>
    </row>
    <row r="961">
      <c r="A961" s="1" t="s">
        <v>6514</v>
      </c>
      <c r="B961" s="15">
        <f t="shared" si="129"/>
        <v>919460030274</v>
      </c>
      <c r="C961" s="15" t="str">
        <f t="shared" si="1"/>
        <v>drgarimasaxena@gmail.com919460030274</v>
      </c>
      <c r="D961" s="16" t="s">
        <v>7811</v>
      </c>
      <c r="E961" s="16" t="s">
        <v>97</v>
      </c>
    </row>
    <row r="962">
      <c r="A962" s="1" t="s">
        <v>5962</v>
      </c>
      <c r="B962" s="15">
        <f>+917675978917</f>
        <v>917675978917</v>
      </c>
      <c r="C962" s="15" t="str">
        <f t="shared" si="1"/>
        <v>k.thapaswi@gmail.com917675978917</v>
      </c>
      <c r="D962" s="16" t="s">
        <v>7812</v>
      </c>
      <c r="E962" s="16" t="s">
        <v>74</v>
      </c>
    </row>
    <row r="963">
      <c r="A963" s="1" t="s">
        <v>5964</v>
      </c>
      <c r="B963" s="15">
        <f>+919008073399</f>
        <v>919008073399</v>
      </c>
      <c r="C963" s="15" t="str">
        <f t="shared" si="1"/>
        <v>dr.rangolitripathi@gmail.com919008073399</v>
      </c>
      <c r="D963" s="16" t="s">
        <v>7813</v>
      </c>
      <c r="E963" s="16" t="s">
        <v>151</v>
      </c>
    </row>
    <row r="964">
      <c r="A964" s="1" t="s">
        <v>6208</v>
      </c>
      <c r="B964" s="15">
        <f>+919029362879</f>
        <v>919029362879</v>
      </c>
      <c r="C964" s="15" t="str">
        <f t="shared" si="1"/>
        <v>harshmodipersonal@gmail.com919029362879</v>
      </c>
      <c r="D964" s="16" t="s">
        <v>7814</v>
      </c>
      <c r="E964" s="16" t="s">
        <v>68</v>
      </c>
    </row>
    <row r="965">
      <c r="A965" s="1" t="s">
        <v>7815</v>
      </c>
      <c r="B965" s="15">
        <f>+919506772189</f>
        <v>919506772189</v>
      </c>
      <c r="C965" s="15" t="str">
        <f t="shared" si="1"/>
        <v>raajeev.ranjann@gmail.com919506772189</v>
      </c>
      <c r="D965" s="16" t="s">
        <v>7816</v>
      </c>
      <c r="E965" s="16" t="s">
        <v>68</v>
      </c>
    </row>
    <row r="966">
      <c r="A966" s="1" t="s">
        <v>6210</v>
      </c>
      <c r="B966" s="15">
        <f>+919952820016</f>
        <v>919952820016</v>
      </c>
      <c r="C966" s="15" t="str">
        <f t="shared" si="1"/>
        <v>ppalannijaikumar@gmail.com919952820016</v>
      </c>
      <c r="D966" s="16" t="s">
        <v>7817</v>
      </c>
      <c r="E966" s="16" t="s">
        <v>74</v>
      </c>
    </row>
    <row r="967">
      <c r="A967" s="1" t="s">
        <v>5194</v>
      </c>
      <c r="B967" s="15">
        <f>+919589008911</f>
        <v>919589008911</v>
      </c>
      <c r="C967" s="15" t="str">
        <f t="shared" si="1"/>
        <v>pyushkankane1994@gmail.com919589008911</v>
      </c>
      <c r="D967" s="16" t="s">
        <v>7818</v>
      </c>
      <c r="E967" s="16" t="s">
        <v>68</v>
      </c>
    </row>
    <row r="968">
      <c r="A968" s="1" t="s">
        <v>5764</v>
      </c>
      <c r="B968" s="15">
        <f>+919246464653</f>
        <v>919246464653</v>
      </c>
      <c r="C968" s="15" t="str">
        <f t="shared" si="1"/>
        <v>chekka.kesava41@gmail.com919246464653</v>
      </c>
      <c r="D968" s="16" t="s">
        <v>7819</v>
      </c>
      <c r="E968" s="16" t="s">
        <v>68</v>
      </c>
    </row>
    <row r="969">
      <c r="A969" s="1" t="s">
        <v>6210</v>
      </c>
      <c r="B969" s="15">
        <f>+919952820016</f>
        <v>919952820016</v>
      </c>
      <c r="C969" s="15" t="str">
        <f t="shared" si="1"/>
        <v>ppalannijaikumar@gmail.com919952820016</v>
      </c>
      <c r="D969" s="16" t="s">
        <v>7820</v>
      </c>
      <c r="E969" s="16" t="s">
        <v>68</v>
      </c>
    </row>
    <row r="970">
      <c r="A970" s="1" t="s">
        <v>2951</v>
      </c>
      <c r="B970" s="15">
        <f>+919535574231</f>
        <v>919535574231</v>
      </c>
      <c r="C970" s="15" t="str">
        <f t="shared" si="1"/>
        <v>pavithra@accrescentlpo.com919535574231</v>
      </c>
      <c r="D970" s="16" t="s">
        <v>7821</v>
      </c>
      <c r="E970" s="16" t="s">
        <v>97</v>
      </c>
    </row>
    <row r="971">
      <c r="A971" s="1" t="s">
        <v>2953</v>
      </c>
      <c r="B971" s="15">
        <f>+917007650421</f>
        <v>917007650421</v>
      </c>
      <c r="C971" s="15" t="str">
        <f t="shared" si="1"/>
        <v>author.tissh.lafp@gmail.com917007650421</v>
      </c>
      <c r="D971" s="16" t="s">
        <v>7822</v>
      </c>
      <c r="E971" s="16" t="s">
        <v>68</v>
      </c>
    </row>
    <row r="972">
      <c r="A972" s="1" t="s">
        <v>4425</v>
      </c>
      <c r="B972" s="15">
        <f t="shared" ref="B972:B975" si="130">+919899259874</f>
        <v>919899259874</v>
      </c>
      <c r="C972" s="15" t="str">
        <f t="shared" si="1"/>
        <v>yugantika2313@gmail.con919899259874</v>
      </c>
      <c r="D972" s="16" t="s">
        <v>7823</v>
      </c>
      <c r="E972" s="16" t="s">
        <v>68</v>
      </c>
    </row>
    <row r="973">
      <c r="A973" s="1" t="s">
        <v>4425</v>
      </c>
      <c r="B973" s="15">
        <f t="shared" si="130"/>
        <v>919899259874</v>
      </c>
      <c r="C973" s="15" t="str">
        <f t="shared" si="1"/>
        <v>yugantika2313@gmail.con919899259874</v>
      </c>
      <c r="D973" s="16" t="s">
        <v>7824</v>
      </c>
      <c r="E973" s="16" t="s">
        <v>68</v>
      </c>
    </row>
    <row r="974">
      <c r="A974" s="1" t="s">
        <v>4425</v>
      </c>
      <c r="B974" s="15">
        <f t="shared" si="130"/>
        <v>919899259874</v>
      </c>
      <c r="C974" s="15" t="str">
        <f t="shared" si="1"/>
        <v>yugantika2313@gmail.con919899259874</v>
      </c>
      <c r="D974" s="16" t="s">
        <v>7825</v>
      </c>
      <c r="E974" s="16" t="s">
        <v>68</v>
      </c>
    </row>
    <row r="975">
      <c r="A975" s="1" t="s">
        <v>4425</v>
      </c>
      <c r="B975" s="15">
        <f t="shared" si="130"/>
        <v>919899259874</v>
      </c>
      <c r="C975" s="15" t="str">
        <f t="shared" si="1"/>
        <v>yugantika2313@gmail.con919899259874</v>
      </c>
      <c r="D975" s="16" t="s">
        <v>7826</v>
      </c>
      <c r="E975" s="16" t="s">
        <v>68</v>
      </c>
    </row>
    <row r="976">
      <c r="A976" s="1" t="s">
        <v>6187</v>
      </c>
      <c r="B976" s="15">
        <f>+919886573200</f>
        <v>919886573200</v>
      </c>
      <c r="C976" s="15" t="str">
        <f t="shared" si="1"/>
        <v>geeks_techies@yahoo.com919886573200</v>
      </c>
      <c r="D976" s="16" t="s">
        <v>7827</v>
      </c>
      <c r="E976" s="16" t="s">
        <v>74</v>
      </c>
    </row>
    <row r="977">
      <c r="A977" s="1" t="s">
        <v>6263</v>
      </c>
      <c r="B977" s="15">
        <f t="shared" ref="B977:B978" si="131">+918125184631</f>
        <v>918125184631</v>
      </c>
      <c r="C977" s="15" t="str">
        <f t="shared" si="1"/>
        <v>tarunreddi04@gmail.com918125184631</v>
      </c>
      <c r="D977" s="16" t="s">
        <v>7828</v>
      </c>
      <c r="E977" s="16" t="s">
        <v>68</v>
      </c>
    </row>
    <row r="978">
      <c r="A978" s="1" t="s">
        <v>6263</v>
      </c>
      <c r="B978" s="15">
        <f t="shared" si="131"/>
        <v>918125184631</v>
      </c>
      <c r="C978" s="15" t="str">
        <f t="shared" si="1"/>
        <v>tarunreddi04@gmail.com918125184631</v>
      </c>
      <c r="D978" s="16" t="s">
        <v>7829</v>
      </c>
      <c r="E978" s="16" t="s">
        <v>68</v>
      </c>
    </row>
    <row r="979">
      <c r="A979" s="1" t="s">
        <v>6188</v>
      </c>
      <c r="B979" s="15">
        <f t="shared" ref="B979:B980" si="132">+919002860215</f>
        <v>919002860215</v>
      </c>
      <c r="C979" s="15" t="str">
        <f t="shared" si="1"/>
        <v>talukdar.soumen25@gmail.com919002860215</v>
      </c>
      <c r="D979" s="16" t="s">
        <v>7830</v>
      </c>
      <c r="E979" s="16" t="s">
        <v>68</v>
      </c>
    </row>
    <row r="980">
      <c r="A980" s="1" t="s">
        <v>6188</v>
      </c>
      <c r="B980" s="15">
        <f t="shared" si="132"/>
        <v>919002860215</v>
      </c>
      <c r="C980" s="15" t="str">
        <f t="shared" si="1"/>
        <v>talukdar.soumen25@gmail.com919002860215</v>
      </c>
      <c r="D980" s="16" t="s">
        <v>7831</v>
      </c>
      <c r="E980" s="16" t="s">
        <v>68</v>
      </c>
    </row>
    <row r="981">
      <c r="A981" s="1" t="s">
        <v>7832</v>
      </c>
      <c r="B981" s="15">
        <f>+916202274256</f>
        <v>916202274256</v>
      </c>
      <c r="C981" s="15" t="str">
        <f t="shared" si="1"/>
        <v>sameerdon082@gmail.com916202274256</v>
      </c>
      <c r="D981" s="16" t="s">
        <v>7833</v>
      </c>
      <c r="E981" s="16" t="s">
        <v>97</v>
      </c>
    </row>
    <row r="982">
      <c r="A982" s="1" t="s">
        <v>5715</v>
      </c>
      <c r="B982" s="15">
        <f>+917533851002</f>
        <v>917533851002</v>
      </c>
      <c r="C982" s="15" t="str">
        <f t="shared" si="1"/>
        <v>ankitrockstar321@gmail.com917533851002</v>
      </c>
      <c r="D982" s="16" t="s">
        <v>7834</v>
      </c>
      <c r="E982" s="16" t="s">
        <v>68</v>
      </c>
    </row>
    <row r="983">
      <c r="A983" s="1" t="s">
        <v>5420</v>
      </c>
      <c r="B983" s="15">
        <f>+919830125433</f>
        <v>919830125433</v>
      </c>
      <c r="C983" s="15" t="str">
        <f t="shared" si="1"/>
        <v>priyagc@yahoo.com919830125433</v>
      </c>
      <c r="D983" s="16" t="s">
        <v>7835</v>
      </c>
      <c r="E983" s="16" t="s">
        <v>68</v>
      </c>
    </row>
    <row r="984">
      <c r="A984" s="1" t="s">
        <v>7836</v>
      </c>
      <c r="B984" s="15">
        <f>+919981520714</f>
        <v>919981520714</v>
      </c>
      <c r="C984" s="15" t="str">
        <f t="shared" si="1"/>
        <v>samohapatra19@gmail.com919981520714</v>
      </c>
      <c r="D984" s="16" t="s">
        <v>7837</v>
      </c>
      <c r="E984" s="16" t="s">
        <v>68</v>
      </c>
    </row>
    <row r="985">
      <c r="A985" s="1" t="s">
        <v>5766</v>
      </c>
      <c r="B985" s="15">
        <f>+919007284107</f>
        <v>919007284107</v>
      </c>
      <c r="C985" s="15" t="str">
        <f t="shared" si="1"/>
        <v>abhi789b@gmail.com919007284107</v>
      </c>
      <c r="D985" s="16" t="s">
        <v>7838</v>
      </c>
      <c r="E985" s="16" t="s">
        <v>68</v>
      </c>
    </row>
    <row r="986">
      <c r="A986" s="1" t="s">
        <v>5346</v>
      </c>
      <c r="B986" s="15">
        <f>+918448759224</f>
        <v>918448759224</v>
      </c>
      <c r="C986" s="15" t="str">
        <f t="shared" si="1"/>
        <v>anushkapillai24@gmail.com918448759224</v>
      </c>
      <c r="D986" s="16" t="s">
        <v>7839</v>
      </c>
      <c r="E986" s="16" t="s">
        <v>68</v>
      </c>
    </row>
    <row r="987">
      <c r="A987" s="1" t="s">
        <v>2955</v>
      </c>
      <c r="B987" s="15">
        <f>+919901478725</f>
        <v>919901478725</v>
      </c>
      <c r="C987" s="15" t="str">
        <f t="shared" si="1"/>
        <v>cdrvijay123@yahoo.co.in919901478725</v>
      </c>
      <c r="D987" s="16" t="s">
        <v>7840</v>
      </c>
      <c r="E987" s="16" t="s">
        <v>97</v>
      </c>
    </row>
    <row r="988">
      <c r="A988" s="1" t="s">
        <v>5768</v>
      </c>
      <c r="B988" s="15">
        <f>+918105131224</f>
        <v>918105131224</v>
      </c>
      <c r="C988" s="15" t="str">
        <f t="shared" si="1"/>
        <v>raj.company88@gmail.com918105131224</v>
      </c>
      <c r="D988" s="16" t="s">
        <v>7841</v>
      </c>
      <c r="E988" s="16" t="s">
        <v>68</v>
      </c>
    </row>
    <row r="989">
      <c r="A989" s="1" t="s">
        <v>7842</v>
      </c>
      <c r="B989" s="15">
        <f>+918082201749</f>
        <v>918082201749</v>
      </c>
      <c r="C989" s="15" t="str">
        <f t="shared" si="1"/>
        <v>zakirhussainzakirhussain5804@gmail.com918082201749</v>
      </c>
      <c r="D989" s="16" t="s">
        <v>7843</v>
      </c>
      <c r="E989" s="16" t="s">
        <v>74</v>
      </c>
    </row>
    <row r="990">
      <c r="A990" s="1" t="s">
        <v>7844</v>
      </c>
      <c r="B990" s="15">
        <f>+918867221158</f>
        <v>918867221158</v>
      </c>
      <c r="C990" s="15" t="str">
        <f t="shared" si="1"/>
        <v>janakijanaki057@gmail.com918867221158</v>
      </c>
      <c r="D990" s="16" t="s">
        <v>7845</v>
      </c>
      <c r="E990" s="16" t="s">
        <v>97</v>
      </c>
    </row>
    <row r="991">
      <c r="A991" s="1" t="s">
        <v>7842</v>
      </c>
      <c r="B991" s="15">
        <f>+918082201749</f>
        <v>918082201749</v>
      </c>
      <c r="C991" s="15" t="str">
        <f t="shared" si="1"/>
        <v>zakirhussainzakirhussain5804@gmail.com918082201749</v>
      </c>
      <c r="D991" s="16" t="s">
        <v>7846</v>
      </c>
      <c r="E991" s="16" t="s">
        <v>74</v>
      </c>
    </row>
    <row r="992">
      <c r="A992" s="1" t="s">
        <v>7847</v>
      </c>
      <c r="B992" s="15">
        <f>+919899861961</f>
        <v>919899861961</v>
      </c>
      <c r="C992" s="15" t="str">
        <f t="shared" si="1"/>
        <v>misfitversion2.0@gmail.com919899861961</v>
      </c>
      <c r="D992" s="16" t="s">
        <v>7848</v>
      </c>
      <c r="E992" s="16" t="s">
        <v>68</v>
      </c>
    </row>
    <row r="993">
      <c r="A993" s="1" t="s">
        <v>7849</v>
      </c>
      <c r="B993" s="15">
        <f>+918929327423</f>
        <v>918929327423</v>
      </c>
      <c r="C993" s="15" t="str">
        <f t="shared" si="1"/>
        <v>khushishaikh249@gmail.com918929327423</v>
      </c>
      <c r="D993" s="16" t="s">
        <v>7850</v>
      </c>
      <c r="E993" s="16" t="s">
        <v>74</v>
      </c>
    </row>
    <row r="994">
      <c r="A994" s="1" t="s">
        <v>2480</v>
      </c>
      <c r="B994" s="15">
        <f>+919916242098</f>
        <v>919916242098</v>
      </c>
      <c r="C994" s="15" t="str">
        <f t="shared" si="1"/>
        <v>guru_3@yahoo.com919916242098</v>
      </c>
      <c r="D994" s="16" t="s">
        <v>7851</v>
      </c>
      <c r="E994" s="16" t="s">
        <v>68</v>
      </c>
    </row>
    <row r="995">
      <c r="A995" s="1" t="s">
        <v>6516</v>
      </c>
      <c r="B995" s="15">
        <f>+918974773790</f>
        <v>918974773790</v>
      </c>
      <c r="C995" s="15" t="str">
        <f t="shared" si="1"/>
        <v>a111freak@gmail.com918974773790</v>
      </c>
      <c r="D995" s="16" t="s">
        <v>7852</v>
      </c>
      <c r="E995" s="16" t="s">
        <v>68</v>
      </c>
    </row>
    <row r="996">
      <c r="A996" s="1" t="s">
        <v>5348</v>
      </c>
      <c r="B996" s="15">
        <f>+918414908487</f>
        <v>918414908487</v>
      </c>
      <c r="C996" s="15" t="str">
        <f t="shared" si="1"/>
        <v>dips161@gmail.com918414908487</v>
      </c>
      <c r="D996" s="16" t="s">
        <v>7853</v>
      </c>
      <c r="E996" s="16" t="s">
        <v>151</v>
      </c>
    </row>
    <row r="997">
      <c r="A997" s="1" t="s">
        <v>6518</v>
      </c>
      <c r="B997" s="15">
        <f>+918146310036</f>
        <v>918146310036</v>
      </c>
      <c r="C997" s="15" t="str">
        <f t="shared" si="1"/>
        <v>snaya85@gmail.com918146310036</v>
      </c>
      <c r="D997" s="16" t="s">
        <v>7854</v>
      </c>
      <c r="E997" s="16" t="s">
        <v>74</v>
      </c>
    </row>
    <row r="998">
      <c r="A998" s="1" t="s">
        <v>6520</v>
      </c>
      <c r="B998" s="15">
        <f t="shared" ref="B998:B999" si="133">+919490710175</f>
        <v>919490710175</v>
      </c>
      <c r="C998" s="15" t="str">
        <f t="shared" si="1"/>
        <v>rekhagupta.yoga@gmail.com919490710175</v>
      </c>
      <c r="D998" s="16" t="s">
        <v>7855</v>
      </c>
      <c r="E998" s="16" t="s">
        <v>68</v>
      </c>
    </row>
    <row r="999">
      <c r="A999" s="1" t="s">
        <v>6520</v>
      </c>
      <c r="B999" s="15">
        <f t="shared" si="133"/>
        <v>919490710175</v>
      </c>
      <c r="C999" s="15" t="str">
        <f t="shared" si="1"/>
        <v>rekhagupta.yoga@gmail.com919490710175</v>
      </c>
      <c r="D999" s="16" t="s">
        <v>7856</v>
      </c>
      <c r="E999" s="16" t="s">
        <v>68</v>
      </c>
    </row>
    <row r="1000">
      <c r="A1000" s="1" t="s">
        <v>5770</v>
      </c>
      <c r="B1000" s="15">
        <f t="shared" ref="B1000:B1001" si="134">+918805407352</f>
        <v>918805407352</v>
      </c>
      <c r="C1000" s="15" t="str">
        <f t="shared" si="1"/>
        <v>hemant.41073@gmail.com918805407352</v>
      </c>
      <c r="D1000" s="16" t="s">
        <v>7857</v>
      </c>
      <c r="E1000" s="16" t="s">
        <v>74</v>
      </c>
    </row>
    <row r="1001">
      <c r="A1001" s="1" t="s">
        <v>5770</v>
      </c>
      <c r="B1001" s="15">
        <f t="shared" si="134"/>
        <v>918805407352</v>
      </c>
      <c r="C1001" s="15" t="str">
        <f t="shared" si="1"/>
        <v>hemant.41073@gmail.com918805407352</v>
      </c>
      <c r="D1001" s="16" t="s">
        <v>7858</v>
      </c>
      <c r="E1001" s="16" t="s">
        <v>74</v>
      </c>
    </row>
    <row r="1002">
      <c r="A1002" s="1" t="s">
        <v>5847</v>
      </c>
      <c r="B1002" s="15">
        <f>+919986777072</f>
        <v>919986777072</v>
      </c>
      <c r="C1002" s="15" t="str">
        <f t="shared" si="1"/>
        <v>akmuralee2@gmail.com919986777072</v>
      </c>
      <c r="D1002" s="16" t="s">
        <v>7859</v>
      </c>
      <c r="E1002" s="16" t="s">
        <v>68</v>
      </c>
    </row>
    <row r="1003">
      <c r="A1003" s="1" t="s">
        <v>5136</v>
      </c>
      <c r="B1003" s="15">
        <f>+918335898058</f>
        <v>918335898058</v>
      </c>
      <c r="C1003" s="15" t="str">
        <f t="shared" si="1"/>
        <v>drmanaswitabiswas@gmail.com918335898058</v>
      </c>
      <c r="D1003" s="16" t="s">
        <v>7860</v>
      </c>
      <c r="E1003" s="16" t="s">
        <v>68</v>
      </c>
    </row>
    <row r="1004">
      <c r="A1004" s="1" t="s">
        <v>5848</v>
      </c>
      <c r="B1004" s="15">
        <f t="shared" ref="B1004:B1005" si="135">+919106662610</f>
        <v>919106662610</v>
      </c>
      <c r="C1004" s="15" t="str">
        <f t="shared" si="1"/>
        <v>rashvas@gmail.com919106662610</v>
      </c>
      <c r="D1004" s="16" t="s">
        <v>7861</v>
      </c>
      <c r="E1004" s="16" t="s">
        <v>68</v>
      </c>
    </row>
    <row r="1005">
      <c r="A1005" s="1" t="s">
        <v>5848</v>
      </c>
      <c r="B1005" s="15">
        <f t="shared" si="135"/>
        <v>919106662610</v>
      </c>
      <c r="C1005" s="15" t="str">
        <f t="shared" si="1"/>
        <v>rashvas@gmail.com919106662610</v>
      </c>
      <c r="D1005" s="16" t="s">
        <v>7862</v>
      </c>
      <c r="E1005" s="16" t="s">
        <v>68</v>
      </c>
    </row>
    <row r="1006">
      <c r="A1006" s="1" t="s">
        <v>5350</v>
      </c>
      <c r="B1006" s="15">
        <f>+918095609662</f>
        <v>918095609662</v>
      </c>
      <c r="C1006" s="15" t="str">
        <f t="shared" si="1"/>
        <v>varshamakeup2927@gmail.com918095609662</v>
      </c>
      <c r="D1006" s="16" t="s">
        <v>7863</v>
      </c>
      <c r="E1006" s="16" t="s">
        <v>68</v>
      </c>
    </row>
    <row r="1007">
      <c r="A1007" s="1" t="s">
        <v>1838</v>
      </c>
      <c r="B1007" s="15">
        <f>+919582397824</f>
        <v>919582397824</v>
      </c>
      <c r="C1007" s="15" t="str">
        <f t="shared" si="1"/>
        <v>manasavisharma47@gmail.com919582397824</v>
      </c>
      <c r="D1007" s="16" t="s">
        <v>7864</v>
      </c>
      <c r="E1007" s="16" t="s">
        <v>68</v>
      </c>
    </row>
    <row r="1008">
      <c r="A1008" s="1" t="s">
        <v>4581</v>
      </c>
      <c r="B1008" s="15">
        <f>+919323302300</f>
        <v>919323302300</v>
      </c>
      <c r="C1008" s="15" t="str">
        <f t="shared" si="1"/>
        <v>visionandmission2021@gmail.com919323302300</v>
      </c>
      <c r="D1008" s="16" t="s">
        <v>7865</v>
      </c>
      <c r="E1008" s="16" t="s">
        <v>74</v>
      </c>
    </row>
    <row r="1009">
      <c r="A1009" s="1" t="s">
        <v>2609</v>
      </c>
      <c r="B1009" s="15">
        <f>+919029034977</f>
        <v>919029034977</v>
      </c>
      <c r="C1009" s="15" t="str">
        <f t="shared" si="1"/>
        <v>guptasaksham.87@gmail.com919029034977</v>
      </c>
      <c r="D1009" s="16" t="s">
        <v>7866</v>
      </c>
      <c r="E1009" s="16" t="s">
        <v>68</v>
      </c>
    </row>
    <row r="1010">
      <c r="A1010" s="1" t="s">
        <v>3291</v>
      </c>
      <c r="B1010" s="15">
        <f>+919162098228</f>
        <v>919162098228</v>
      </c>
      <c r="C1010" s="15" t="str">
        <f t="shared" si="1"/>
        <v>shivamtulsyan25@gmail.com919162098228</v>
      </c>
      <c r="D1010" s="16" t="s">
        <v>7867</v>
      </c>
      <c r="E1010" s="16" t="s">
        <v>68</v>
      </c>
    </row>
    <row r="1011">
      <c r="A1011" s="1" t="s">
        <v>4800</v>
      </c>
      <c r="B1011" s="15">
        <f>+919657703660</f>
        <v>919657703660</v>
      </c>
      <c r="C1011" s="15" t="str">
        <f t="shared" si="1"/>
        <v>atulbansilalpatil@yahoo.com919657703660</v>
      </c>
      <c r="D1011" s="16" t="s">
        <v>7868</v>
      </c>
      <c r="E1011" s="16" t="s">
        <v>68</v>
      </c>
    </row>
    <row r="1012">
      <c r="A1012" s="1" t="s">
        <v>6375</v>
      </c>
      <c r="B1012" s="15">
        <f>+918801850101</f>
        <v>918801850101</v>
      </c>
      <c r="C1012" s="15" t="str">
        <f t="shared" si="1"/>
        <v>sureshjv999@gmail.com918801850101</v>
      </c>
      <c r="D1012" s="16" t="s">
        <v>7869</v>
      </c>
      <c r="E1012" s="16" t="s">
        <v>151</v>
      </c>
    </row>
    <row r="1013">
      <c r="A1013" s="1" t="s">
        <v>5424</v>
      </c>
      <c r="B1013" s="15">
        <f>+919967023145</f>
        <v>919967023145</v>
      </c>
      <c r="C1013" s="15" t="str">
        <f t="shared" si="1"/>
        <v>jayanairp@rediffmail.com919967023145</v>
      </c>
      <c r="D1013" s="16" t="s">
        <v>7870</v>
      </c>
      <c r="E1013" s="16" t="s">
        <v>68</v>
      </c>
    </row>
    <row r="1014">
      <c r="A1014" s="1" t="s">
        <v>7871</v>
      </c>
      <c r="B1014" s="15">
        <f>+916287560577</f>
        <v>916287560577</v>
      </c>
      <c r="C1014" s="15" t="str">
        <f t="shared" si="1"/>
        <v>gahagava4@gmail.com916287560577</v>
      </c>
      <c r="D1014" s="16" t="s">
        <v>7872</v>
      </c>
      <c r="E1014" s="16" t="s">
        <v>151</v>
      </c>
    </row>
    <row r="1015">
      <c r="A1015" s="1" t="s">
        <v>7873</v>
      </c>
      <c r="B1015" s="15">
        <f>+919972473348</f>
        <v>919972473348</v>
      </c>
      <c r="C1015" s="15" t="str">
        <f t="shared" si="1"/>
        <v>shilpa.swarj@gmail.com919972473348</v>
      </c>
      <c r="D1015" s="16" t="s">
        <v>7874</v>
      </c>
      <c r="E1015" s="16" t="s">
        <v>68</v>
      </c>
    </row>
    <row r="1016">
      <c r="A1016" s="1" t="s">
        <v>6224</v>
      </c>
      <c r="B1016" s="15">
        <f t="shared" ref="B1016:B1017" si="136">+919552525348</f>
        <v>919552525348</v>
      </c>
      <c r="C1016" s="15" t="str">
        <f t="shared" si="1"/>
        <v>tabhijit99@gmail.com919552525348</v>
      </c>
      <c r="D1016" s="16" t="s">
        <v>7875</v>
      </c>
      <c r="E1016" s="16" t="s">
        <v>74</v>
      </c>
    </row>
    <row r="1017">
      <c r="A1017" s="1" t="s">
        <v>6224</v>
      </c>
      <c r="B1017" s="15">
        <f t="shared" si="136"/>
        <v>919552525348</v>
      </c>
      <c r="C1017" s="15" t="str">
        <f t="shared" si="1"/>
        <v>tabhijit99@gmail.com919552525348</v>
      </c>
      <c r="D1017" s="16" t="s">
        <v>7876</v>
      </c>
      <c r="E1017" s="16" t="s">
        <v>74</v>
      </c>
    </row>
    <row r="1018">
      <c r="A1018" s="1" t="s">
        <v>5782</v>
      </c>
      <c r="B1018" s="15">
        <f>+918932903881</f>
        <v>918932903881</v>
      </c>
      <c r="C1018" s="15" t="str">
        <f t="shared" si="1"/>
        <v>kush28shukla@gmail.com918932903881</v>
      </c>
      <c r="D1018" s="16" t="s">
        <v>7877</v>
      </c>
      <c r="E1018" s="16" t="s">
        <v>68</v>
      </c>
    </row>
    <row r="1019">
      <c r="A1019" s="1" t="s">
        <v>5138</v>
      </c>
      <c r="B1019" s="15">
        <f>+919910203221</f>
        <v>919910203221</v>
      </c>
      <c r="C1019" s="15" t="str">
        <f t="shared" si="1"/>
        <v>malhotrashikpa@gmail.com919910203221</v>
      </c>
      <c r="D1019" s="16" t="s">
        <v>7878</v>
      </c>
      <c r="E1019" s="16" t="s">
        <v>68</v>
      </c>
    </row>
    <row r="1020">
      <c r="A1020" s="1" t="s">
        <v>2717</v>
      </c>
      <c r="B1020" s="15">
        <f>+919966828276</f>
        <v>919966828276</v>
      </c>
      <c r="C1020" s="15" t="str">
        <f t="shared" si="1"/>
        <v>darpandatta.m@gmail.com919966828276</v>
      </c>
      <c r="D1020" s="16" t="s">
        <v>7879</v>
      </c>
      <c r="E1020" s="16" t="s">
        <v>68</v>
      </c>
    </row>
    <row r="1021">
      <c r="A1021" s="1" t="s">
        <v>7880</v>
      </c>
      <c r="B1021" s="15">
        <f>+919716375598</f>
        <v>919716375598</v>
      </c>
      <c r="C1021" s="15" t="str">
        <f t="shared" si="1"/>
        <v>pshankar209@gmail.com919716375598</v>
      </c>
      <c r="D1021" s="16" t="s">
        <v>7881</v>
      </c>
      <c r="E1021" s="16" t="s">
        <v>68</v>
      </c>
    </row>
    <row r="1022">
      <c r="A1022" s="1" t="s">
        <v>7882</v>
      </c>
      <c r="B1022" s="15">
        <f t="shared" ref="B1022:B1023" si="137">+919530138786</f>
        <v>919530138786</v>
      </c>
      <c r="C1022" s="15" t="str">
        <f t="shared" si="1"/>
        <v>khan.mohseen89@gmail.com919530138786</v>
      </c>
      <c r="D1022" s="16" t="s">
        <v>7883</v>
      </c>
      <c r="E1022" s="16" t="s">
        <v>74</v>
      </c>
    </row>
    <row r="1023">
      <c r="A1023" s="1" t="s">
        <v>7882</v>
      </c>
      <c r="B1023" s="15">
        <f t="shared" si="137"/>
        <v>919530138786</v>
      </c>
      <c r="C1023" s="15" t="str">
        <f t="shared" si="1"/>
        <v>khan.mohseen89@gmail.com919530138786</v>
      </c>
      <c r="D1023" s="16" t="s">
        <v>7884</v>
      </c>
      <c r="E1023" s="16" t="s">
        <v>74</v>
      </c>
    </row>
    <row r="1024">
      <c r="A1024" s="1" t="s">
        <v>2793</v>
      </c>
      <c r="B1024" s="15">
        <f>+918448861208</f>
        <v>918448861208</v>
      </c>
      <c r="C1024" s="15" t="str">
        <f t="shared" si="1"/>
        <v>vjanvi09@gmail.com918448861208</v>
      </c>
      <c r="D1024" s="16" t="s">
        <v>7885</v>
      </c>
      <c r="E1024" s="16" t="s">
        <v>74</v>
      </c>
    </row>
    <row r="1025">
      <c r="A1025" s="1" t="s">
        <v>5200</v>
      </c>
      <c r="B1025" s="15">
        <f>+918806666109</f>
        <v>918806666109</v>
      </c>
      <c r="C1025" s="15" t="str">
        <f t="shared" si="1"/>
        <v>priti.charate@gmail.com918806666109</v>
      </c>
      <c r="D1025" s="16" t="s">
        <v>7886</v>
      </c>
      <c r="E1025" s="16" t="s">
        <v>68</v>
      </c>
    </row>
    <row r="1026">
      <c r="A1026" s="1" t="s">
        <v>2482</v>
      </c>
      <c r="B1026" s="15">
        <f>+919739438900</f>
        <v>919739438900</v>
      </c>
      <c r="C1026" s="15" t="str">
        <f t="shared" si="1"/>
        <v>khyatimehta0@gmail.com919739438900</v>
      </c>
      <c r="D1026" s="16" t="s">
        <v>7887</v>
      </c>
      <c r="E1026" s="16" t="s">
        <v>68</v>
      </c>
    </row>
    <row r="1027">
      <c r="A1027" s="1" t="s">
        <v>5854</v>
      </c>
      <c r="B1027" s="15">
        <f>+918897543735</f>
        <v>918897543735</v>
      </c>
      <c r="C1027" s="15" t="str">
        <f t="shared" si="1"/>
        <v>docgalrama@gmail.com918897543735</v>
      </c>
      <c r="D1027" s="16" t="s">
        <v>7888</v>
      </c>
      <c r="E1027" s="16" t="s">
        <v>68</v>
      </c>
    </row>
    <row r="1028">
      <c r="A1028" s="1" t="s">
        <v>5358</v>
      </c>
      <c r="B1028" s="15">
        <f>+919943041950</f>
        <v>919943041950</v>
      </c>
      <c r="C1028" s="15" t="str">
        <f t="shared" si="1"/>
        <v>ayishaparveen1966@gmail.com919943041950</v>
      </c>
      <c r="D1028" s="16" t="s">
        <v>7889</v>
      </c>
      <c r="E1028" s="16" t="s">
        <v>74</v>
      </c>
    </row>
    <row r="1029">
      <c r="A1029" s="1" t="s">
        <v>4645</v>
      </c>
      <c r="B1029" s="15">
        <f>+917908490124</f>
        <v>917908490124</v>
      </c>
      <c r="C1029" s="15" t="str">
        <f t="shared" si="1"/>
        <v>sriyamdigitalmarketing@gmail.com917908490124</v>
      </c>
      <c r="D1029" s="16" t="s">
        <v>7890</v>
      </c>
      <c r="E1029" s="16" t="s">
        <v>68</v>
      </c>
    </row>
    <row r="1030">
      <c r="A1030" s="1" t="s">
        <v>5202</v>
      </c>
      <c r="B1030" s="15">
        <f>+919444587152</f>
        <v>919444587152</v>
      </c>
      <c r="C1030" s="15" t="str">
        <f t="shared" si="1"/>
        <v>krishnavenirao69@gmail.com919444587152</v>
      </c>
      <c r="D1030" s="16" t="s">
        <v>7891</v>
      </c>
      <c r="E1030" s="16" t="s">
        <v>68</v>
      </c>
    </row>
    <row r="1031">
      <c r="A1031" s="1" t="s">
        <v>6228</v>
      </c>
      <c r="B1031" s="15">
        <f>+919916965352</f>
        <v>919916965352</v>
      </c>
      <c r="C1031" s="15" t="str">
        <f t="shared" si="1"/>
        <v>avinash24490@gmail.com919916965352</v>
      </c>
      <c r="D1031" s="16" t="s">
        <v>7892</v>
      </c>
      <c r="E1031" s="16" t="s">
        <v>74</v>
      </c>
    </row>
    <row r="1032">
      <c r="A1032" s="1" t="s">
        <v>2484</v>
      </c>
      <c r="B1032" s="15">
        <f>+919818529598</f>
        <v>919818529598</v>
      </c>
      <c r="C1032" s="15" t="str">
        <f t="shared" si="1"/>
        <v>krishan.bora1990@gmail.com919818529598</v>
      </c>
      <c r="D1032" s="16" t="s">
        <v>7893</v>
      </c>
      <c r="E1032" s="16" t="s">
        <v>74</v>
      </c>
    </row>
    <row r="1033">
      <c r="A1033" s="1" t="s">
        <v>7894</v>
      </c>
      <c r="B1033" s="15">
        <f>+919848663317</f>
        <v>919848663317</v>
      </c>
      <c r="C1033" s="15" t="str">
        <f t="shared" si="1"/>
        <v>chakri2271995@gmail.com919848663317</v>
      </c>
      <c r="D1033" s="16" t="s">
        <v>7895</v>
      </c>
      <c r="E1033" s="16" t="s">
        <v>68</v>
      </c>
    </row>
    <row r="1034">
      <c r="A1034" s="1" t="s">
        <v>6230</v>
      </c>
      <c r="B1034" s="15">
        <f>+919945678119</f>
        <v>919945678119</v>
      </c>
      <c r="C1034" s="15" t="str">
        <f t="shared" si="1"/>
        <v>kuldeep.es@gmail.com919945678119</v>
      </c>
      <c r="D1034" s="16" t="s">
        <v>7896</v>
      </c>
      <c r="E1034" s="16" t="s">
        <v>68</v>
      </c>
    </row>
    <row r="1035">
      <c r="A1035" s="1" t="s">
        <v>5786</v>
      </c>
      <c r="B1035" s="15">
        <f>+919160091366</f>
        <v>919160091366</v>
      </c>
      <c r="C1035" s="15" t="str">
        <f t="shared" si="1"/>
        <v>prashanthchowdary258@gmail.com919160091366</v>
      </c>
      <c r="D1035" s="16" t="s">
        <v>7897</v>
      </c>
      <c r="E1035" s="16" t="s">
        <v>68</v>
      </c>
    </row>
    <row r="1036">
      <c r="A1036" s="1" t="s">
        <v>7898</v>
      </c>
      <c r="B1036" s="15">
        <f>+918108177555</f>
        <v>918108177555</v>
      </c>
      <c r="C1036" s="15" t="str">
        <f t="shared" si="1"/>
        <v>tasneemkhatri27@gmail.com918108177555</v>
      </c>
      <c r="D1036" s="16" t="s">
        <v>7899</v>
      </c>
      <c r="E1036" s="16" t="s">
        <v>68</v>
      </c>
    </row>
    <row r="1037">
      <c r="A1037" s="1" t="s">
        <v>2981</v>
      </c>
      <c r="B1037" s="15">
        <f>+919819784355</f>
        <v>919819784355</v>
      </c>
      <c r="C1037" s="15" t="str">
        <f t="shared" si="1"/>
        <v>amir@cynergi.org919819784355</v>
      </c>
      <c r="D1037" s="16" t="s">
        <v>7900</v>
      </c>
      <c r="E1037" s="16" t="s">
        <v>97</v>
      </c>
    </row>
    <row r="1038">
      <c r="A1038" s="1" t="s">
        <v>4589</v>
      </c>
      <c r="B1038" s="15">
        <f>+919742818903</f>
        <v>919742818903</v>
      </c>
      <c r="C1038" s="15" t="str">
        <f t="shared" si="1"/>
        <v>rsindhu79@yahoo.com919742818903</v>
      </c>
      <c r="D1038" s="16" t="s">
        <v>7901</v>
      </c>
      <c r="E1038" s="16" t="s">
        <v>68</v>
      </c>
    </row>
    <row r="1039">
      <c r="A1039" s="1" t="s">
        <v>4806</v>
      </c>
      <c r="B1039" s="15">
        <f t="shared" ref="B1039:B1040" si="138">+917405871754</f>
        <v>917405871754</v>
      </c>
      <c r="C1039" s="15" t="str">
        <f t="shared" si="1"/>
        <v>ktrsmart@gmail.com917405871754</v>
      </c>
      <c r="D1039" s="16" t="s">
        <v>7902</v>
      </c>
      <c r="E1039" s="16" t="s">
        <v>68</v>
      </c>
    </row>
    <row r="1040">
      <c r="A1040" s="1" t="s">
        <v>4806</v>
      </c>
      <c r="B1040" s="15">
        <f t="shared" si="138"/>
        <v>917405871754</v>
      </c>
      <c r="C1040" s="15" t="str">
        <f t="shared" si="1"/>
        <v>ktrsmart@gmail.com917405871754</v>
      </c>
      <c r="D1040" s="16" t="s">
        <v>7903</v>
      </c>
      <c r="E1040" s="16" t="s">
        <v>68</v>
      </c>
    </row>
    <row r="1041">
      <c r="A1041" s="1" t="s">
        <v>7904</v>
      </c>
      <c r="B1041" s="15">
        <f>+919025554397</f>
        <v>919025554397</v>
      </c>
      <c r="C1041" s="15" t="str">
        <f t="shared" si="1"/>
        <v>icubcaa16karthikeyan.g@gail.com919025554397</v>
      </c>
      <c r="D1041" s="16" t="s">
        <v>7905</v>
      </c>
      <c r="E1041" s="16" t="s">
        <v>151</v>
      </c>
    </row>
    <row r="1042">
      <c r="A1042" s="1" t="s">
        <v>5774</v>
      </c>
      <c r="B1042" s="15">
        <f>+919585863236</f>
        <v>919585863236</v>
      </c>
      <c r="C1042" s="15" t="str">
        <f t="shared" si="1"/>
        <v>route2rajkumar@gmail.com919585863236</v>
      </c>
      <c r="D1042" s="16" t="s">
        <v>7906</v>
      </c>
      <c r="E1042" s="16" t="s">
        <v>68</v>
      </c>
    </row>
    <row r="1043">
      <c r="A1043" s="1" t="s">
        <v>2611</v>
      </c>
      <c r="B1043" s="15">
        <f>+918101831766</f>
        <v>918101831766</v>
      </c>
      <c r="C1043" s="15" t="str">
        <f t="shared" si="1"/>
        <v>ektathirani07@gmail.com918101831766</v>
      </c>
      <c r="D1043" s="16" t="s">
        <v>7907</v>
      </c>
      <c r="E1043" s="16" t="s">
        <v>68</v>
      </c>
    </row>
    <row r="1044">
      <c r="A1044" s="1" t="s">
        <v>7908</v>
      </c>
      <c r="B1044" s="15">
        <f>+919944958235</f>
        <v>919944958235</v>
      </c>
      <c r="C1044" s="15" t="str">
        <f t="shared" si="1"/>
        <v>suhasini.counder@gmail.com919944958235</v>
      </c>
      <c r="D1044" s="16" t="s">
        <v>7909</v>
      </c>
      <c r="E1044" s="16" t="s">
        <v>151</v>
      </c>
    </row>
    <row r="1045">
      <c r="A1045" s="1" t="s">
        <v>6522</v>
      </c>
      <c r="B1045" s="15">
        <f>+919811437660</f>
        <v>919811437660</v>
      </c>
      <c r="C1045" s="15" t="str">
        <f t="shared" si="1"/>
        <v>ga.arora@yahoo.com919811437660</v>
      </c>
      <c r="D1045" s="16" t="s">
        <v>7910</v>
      </c>
      <c r="E1045" s="16" t="s">
        <v>97</v>
      </c>
    </row>
    <row r="1046">
      <c r="A1046" s="1" t="s">
        <v>6265</v>
      </c>
      <c r="B1046" s="15">
        <f>+917645063008</f>
        <v>917645063008</v>
      </c>
      <c r="C1046" s="15" t="str">
        <f t="shared" si="1"/>
        <v>simranisha.mallick@gmail.com917645063008</v>
      </c>
      <c r="D1046" s="16" t="s">
        <v>7911</v>
      </c>
      <c r="E1046" s="16" t="s">
        <v>74</v>
      </c>
    </row>
    <row r="1047">
      <c r="A1047" s="1" t="s">
        <v>2613</v>
      </c>
      <c r="B1047" s="15">
        <f>+918055101999</f>
        <v>918055101999</v>
      </c>
      <c r="C1047" s="15" t="str">
        <f t="shared" si="1"/>
        <v>sanatkothari1999@gmail.com918055101999</v>
      </c>
      <c r="D1047" s="16" t="s">
        <v>7912</v>
      </c>
      <c r="E1047" s="16" t="s">
        <v>68</v>
      </c>
    </row>
    <row r="1048">
      <c r="A1048" s="1" t="s">
        <v>7913</v>
      </c>
      <c r="B1048" s="15">
        <f>+919599278250</f>
        <v>919599278250</v>
      </c>
      <c r="C1048" s="15" t="str">
        <f t="shared" si="1"/>
        <v>pritipathak.pathak@gmail.com919599278250</v>
      </c>
      <c r="D1048" s="16" t="s">
        <v>7914</v>
      </c>
      <c r="E1048" s="16" t="s">
        <v>68</v>
      </c>
    </row>
    <row r="1049">
      <c r="A1049" s="1" t="s">
        <v>2789</v>
      </c>
      <c r="B1049" s="15">
        <f>+919884384943</f>
        <v>919884384943</v>
      </c>
      <c r="C1049" s="15" t="str">
        <f t="shared" si="1"/>
        <v>mano.aug89@gmail.com919884384943</v>
      </c>
      <c r="D1049" s="16" t="s">
        <v>7915</v>
      </c>
      <c r="E1049" s="16" t="s">
        <v>68</v>
      </c>
    </row>
    <row r="1050">
      <c r="A1050" s="1" t="s">
        <v>4641</v>
      </c>
      <c r="B1050" s="15">
        <f>+919941040811</f>
        <v>919941040811</v>
      </c>
      <c r="C1050" s="15" t="str">
        <f t="shared" si="1"/>
        <v>hvardhini1994@gmail.com919941040811</v>
      </c>
      <c r="D1050" s="16" t="s">
        <v>7916</v>
      </c>
      <c r="E1050" s="16" t="s">
        <v>68</v>
      </c>
    </row>
    <row r="1051">
      <c r="A1051" s="1" t="s">
        <v>5776</v>
      </c>
      <c r="B1051" s="15">
        <f>+918499888338</f>
        <v>918499888338</v>
      </c>
      <c r="C1051" s="15" t="str">
        <f t="shared" si="1"/>
        <v>satyakrishna.chitturi@gmail.com918499888338</v>
      </c>
      <c r="D1051" s="16" t="s">
        <v>7917</v>
      </c>
      <c r="E1051" s="16" t="s">
        <v>68</v>
      </c>
    </row>
    <row r="1052">
      <c r="A1052" s="1" t="s">
        <v>3405</v>
      </c>
      <c r="B1052" s="15">
        <f>+919110266512</f>
        <v>919110266512</v>
      </c>
      <c r="C1052" s="15" t="str">
        <f t="shared" si="1"/>
        <v>anubhat268@gmail.com919110266512</v>
      </c>
      <c r="D1052" s="16" t="s">
        <v>7918</v>
      </c>
      <c r="E1052" s="16" t="s">
        <v>68</v>
      </c>
    </row>
    <row r="1053">
      <c r="A1053" s="1" t="s">
        <v>3018</v>
      </c>
      <c r="B1053" s="15">
        <f>+918341799731</f>
        <v>918341799731</v>
      </c>
      <c r="C1053" s="15" t="str">
        <f t="shared" si="1"/>
        <v>shamsia2082@gmail.com918341799731</v>
      </c>
      <c r="D1053" s="16" t="s">
        <v>7919</v>
      </c>
      <c r="E1053" s="16" t="s">
        <v>68</v>
      </c>
    </row>
    <row r="1054">
      <c r="A1054" s="1" t="s">
        <v>5778</v>
      </c>
      <c r="B1054" s="15">
        <f t="shared" ref="B1054:B1055" si="139">+918074303019</f>
        <v>918074303019</v>
      </c>
      <c r="C1054" s="15" t="str">
        <f t="shared" si="1"/>
        <v>sreenidhpenta@gmail.com918074303019</v>
      </c>
      <c r="D1054" s="16" t="s">
        <v>7920</v>
      </c>
      <c r="E1054" s="16" t="s">
        <v>68</v>
      </c>
    </row>
    <row r="1055">
      <c r="A1055" s="1" t="s">
        <v>5778</v>
      </c>
      <c r="B1055" s="15">
        <f t="shared" si="139"/>
        <v>918074303019</v>
      </c>
      <c r="C1055" s="15" t="str">
        <f t="shared" si="1"/>
        <v>sreenidhpenta@gmail.com918074303019</v>
      </c>
      <c r="D1055" s="16" t="s">
        <v>7921</v>
      </c>
      <c r="E1055" s="16" t="s">
        <v>68</v>
      </c>
    </row>
    <row r="1056">
      <c r="A1056" s="1" t="s">
        <v>7922</v>
      </c>
      <c r="B1056" s="15">
        <f>+919573737590</f>
        <v>919573737590</v>
      </c>
      <c r="C1056" s="15" t="str">
        <f t="shared" si="1"/>
        <v>anusha.annem5@gmail.com919573737590</v>
      </c>
      <c r="D1056" s="16" t="s">
        <v>7923</v>
      </c>
      <c r="E1056" s="16" t="s">
        <v>68</v>
      </c>
    </row>
    <row r="1057">
      <c r="A1057" s="1" t="s">
        <v>5850</v>
      </c>
      <c r="B1057" s="15">
        <f>+918806611556</f>
        <v>918806611556</v>
      </c>
      <c r="C1057" s="15" t="str">
        <f t="shared" si="1"/>
        <v>rohit.kapoor@gmail.com918806611556</v>
      </c>
      <c r="D1057" s="16" t="s">
        <v>7924</v>
      </c>
      <c r="E1057" s="16" t="s">
        <v>68</v>
      </c>
    </row>
    <row r="1058">
      <c r="A1058" s="1" t="s">
        <v>7925</v>
      </c>
      <c r="B1058" s="15">
        <f>+919990829553</f>
        <v>919990829553</v>
      </c>
      <c r="C1058" s="15" t="str">
        <f t="shared" si="1"/>
        <v>2612swati@gmail.com919990829553</v>
      </c>
      <c r="D1058" s="16" t="s">
        <v>7926</v>
      </c>
      <c r="E1058" s="16" t="s">
        <v>151</v>
      </c>
    </row>
    <row r="1059">
      <c r="A1059" s="1" t="s">
        <v>4804</v>
      </c>
      <c r="B1059" s="15">
        <f>+919948774134</f>
        <v>919948774134</v>
      </c>
      <c r="C1059" s="15" t="str">
        <f t="shared" si="1"/>
        <v>santosmakam@gmail.com919948774134</v>
      </c>
      <c r="D1059" s="16" t="s">
        <v>7927</v>
      </c>
      <c r="E1059" s="16" t="s">
        <v>68</v>
      </c>
    </row>
    <row r="1060">
      <c r="A1060" s="1" t="s">
        <v>5852</v>
      </c>
      <c r="B1060" s="15">
        <f>+917980951261</f>
        <v>917980951261</v>
      </c>
      <c r="C1060" s="15" t="str">
        <f t="shared" si="1"/>
        <v>biswas.pratibha2411@gmail.com917980951261</v>
      </c>
      <c r="D1060" s="16" t="s">
        <v>7928</v>
      </c>
      <c r="E1060" s="16" t="s">
        <v>68</v>
      </c>
    </row>
    <row r="1061">
      <c r="A1061" s="1" t="s">
        <v>5962</v>
      </c>
      <c r="B1061" s="15">
        <f>+917675978917</f>
        <v>917675978917</v>
      </c>
      <c r="C1061" s="15" t="str">
        <f t="shared" si="1"/>
        <v>k.thapaswi@gmail.com917675978917</v>
      </c>
      <c r="D1061" s="16" t="s">
        <v>7929</v>
      </c>
      <c r="E1061" s="16" t="s">
        <v>74</v>
      </c>
    </row>
    <row r="1062">
      <c r="A1062" s="1" t="s">
        <v>7930</v>
      </c>
      <c r="B1062" s="15">
        <f>+919818093547</f>
        <v>919818093547</v>
      </c>
      <c r="C1062" s="15" t="str">
        <f t="shared" si="1"/>
        <v>piushsa@gmail.com919818093547</v>
      </c>
      <c r="D1062" s="16" t="s">
        <v>7931</v>
      </c>
      <c r="E1062" s="16" t="s">
        <v>74</v>
      </c>
    </row>
    <row r="1063">
      <c r="A1063" s="1" t="s">
        <v>2791</v>
      </c>
      <c r="B1063" s="15">
        <f>+919840103528</f>
        <v>919840103528</v>
      </c>
      <c r="C1063" s="15" t="str">
        <f t="shared" si="1"/>
        <v>divya.friendly1@gmail.com919840103528</v>
      </c>
      <c r="D1063" s="16" t="s">
        <v>7932</v>
      </c>
      <c r="E1063" s="16" t="s">
        <v>68</v>
      </c>
    </row>
    <row r="1064">
      <c r="A1064" s="1" t="s">
        <v>3020</v>
      </c>
      <c r="B1064" s="15">
        <f>+919850880232</f>
        <v>919850880232</v>
      </c>
      <c r="C1064" s="15" t="str">
        <f t="shared" si="1"/>
        <v>mepraviien@gmail.com919850880232</v>
      </c>
      <c r="D1064" s="16" t="s">
        <v>7933</v>
      </c>
      <c r="E1064" s="16" t="s">
        <v>68</v>
      </c>
    </row>
    <row r="1065">
      <c r="A1065" s="1" t="s">
        <v>5352</v>
      </c>
      <c r="B1065" s="15">
        <f>+917978906395</f>
        <v>917978906395</v>
      </c>
      <c r="C1065" s="15" t="str">
        <f t="shared" si="1"/>
        <v>susmita2128@gmail.com917978906395</v>
      </c>
      <c r="D1065" s="16" t="s">
        <v>7934</v>
      </c>
      <c r="E1065" s="16" t="s">
        <v>68</v>
      </c>
    </row>
    <row r="1066">
      <c r="A1066" s="1" t="s">
        <v>1966</v>
      </c>
      <c r="B1066" s="15">
        <f>+919873171765</f>
        <v>919873171765</v>
      </c>
      <c r="C1066" s="15" t="str">
        <f t="shared" si="1"/>
        <v>197sonal.badkur@gmail.com919873171765</v>
      </c>
      <c r="D1066" s="16" t="s">
        <v>7935</v>
      </c>
      <c r="E1066" s="16" t="s">
        <v>68</v>
      </c>
    </row>
    <row r="1067">
      <c r="A1067" s="1" t="s">
        <v>5196</v>
      </c>
      <c r="B1067" s="15">
        <f>+919841039449</f>
        <v>919841039449</v>
      </c>
      <c r="C1067" s="15" t="str">
        <f t="shared" si="1"/>
        <v>sunith@gehnaindia.com919841039449</v>
      </c>
      <c r="D1067" s="16" t="s">
        <v>7936</v>
      </c>
      <c r="E1067" s="16" t="s">
        <v>68</v>
      </c>
    </row>
    <row r="1068">
      <c r="A1068" s="1" t="s">
        <v>5780</v>
      </c>
      <c r="B1068" s="15">
        <f>+917706069096</f>
        <v>917706069096</v>
      </c>
      <c r="C1068" s="15" t="str">
        <f t="shared" si="1"/>
        <v>ravishuklawwe@gmail.com917706069096</v>
      </c>
      <c r="D1068" s="16" t="s">
        <v>7937</v>
      </c>
      <c r="E1068" s="16" t="s">
        <v>68</v>
      </c>
    </row>
    <row r="1069">
      <c r="A1069" s="1" t="s">
        <v>5198</v>
      </c>
      <c r="B1069" s="15">
        <f t="shared" ref="B1069:B1070" si="140">+916283424691</f>
        <v>916283424691</v>
      </c>
      <c r="C1069" s="15" t="str">
        <f t="shared" si="1"/>
        <v>n13mish@gmail.com916283424691</v>
      </c>
      <c r="D1069" s="16" t="s">
        <v>7938</v>
      </c>
      <c r="E1069" s="16" t="s">
        <v>68</v>
      </c>
    </row>
    <row r="1070">
      <c r="A1070" s="1" t="s">
        <v>5198</v>
      </c>
      <c r="B1070" s="15">
        <f t="shared" si="140"/>
        <v>916283424691</v>
      </c>
      <c r="C1070" s="15" t="str">
        <f t="shared" si="1"/>
        <v>n13mish@gmail.com916283424691</v>
      </c>
      <c r="D1070" s="16" t="s">
        <v>7939</v>
      </c>
      <c r="E1070" s="16" t="s">
        <v>68</v>
      </c>
    </row>
    <row r="1071">
      <c r="A1071" s="1" t="s">
        <v>3202</v>
      </c>
      <c r="B1071" s="15">
        <f t="shared" ref="B1071:B1073" si="141">+919681181123</f>
        <v>919681181123</v>
      </c>
      <c r="C1071" s="15" t="str">
        <f t="shared" si="1"/>
        <v>tania468m@yahoo.com919681181123</v>
      </c>
      <c r="D1071" s="16" t="s">
        <v>7940</v>
      </c>
      <c r="E1071" s="16" t="s">
        <v>74</v>
      </c>
    </row>
    <row r="1072">
      <c r="A1072" s="1" t="s">
        <v>3202</v>
      </c>
      <c r="B1072" s="15">
        <f t="shared" si="141"/>
        <v>919681181123</v>
      </c>
      <c r="C1072" s="15" t="str">
        <f t="shared" si="1"/>
        <v>tania468m@yahoo.com919681181123</v>
      </c>
      <c r="D1072" s="16" t="s">
        <v>7941</v>
      </c>
      <c r="E1072" s="16" t="s">
        <v>74</v>
      </c>
    </row>
    <row r="1073">
      <c r="A1073" s="1" t="s">
        <v>3202</v>
      </c>
      <c r="B1073" s="15">
        <f t="shared" si="141"/>
        <v>919681181123</v>
      </c>
      <c r="C1073" s="15" t="str">
        <f t="shared" si="1"/>
        <v>tania468m@yahoo.com919681181123</v>
      </c>
      <c r="D1073" s="16" t="s">
        <v>7942</v>
      </c>
      <c r="E1073" s="16" t="s">
        <v>74</v>
      </c>
    </row>
    <row r="1074">
      <c r="A1074" s="1" t="s">
        <v>7943</v>
      </c>
      <c r="B1074" s="15">
        <f>+919987248443</f>
        <v>919987248443</v>
      </c>
      <c r="C1074" s="15" t="str">
        <f t="shared" si="1"/>
        <v>prathameshskumble@gmail.com919987248443</v>
      </c>
      <c r="D1074" s="16" t="s">
        <v>7944</v>
      </c>
      <c r="E1074" s="16" t="s">
        <v>151</v>
      </c>
    </row>
    <row r="1075">
      <c r="A1075" s="1" t="s">
        <v>6212</v>
      </c>
      <c r="B1075" s="15">
        <f t="shared" ref="B1075:B1076" si="142">+917019924818</f>
        <v>917019924818</v>
      </c>
      <c r="C1075" s="15" t="str">
        <f t="shared" si="1"/>
        <v>dilipv31896@gmail.com917019924818</v>
      </c>
      <c r="D1075" s="16" t="s">
        <v>7945</v>
      </c>
      <c r="E1075" s="16" t="s">
        <v>68</v>
      </c>
    </row>
    <row r="1076">
      <c r="A1076" s="1" t="s">
        <v>6212</v>
      </c>
      <c r="B1076" s="15">
        <f t="shared" si="142"/>
        <v>917019924818</v>
      </c>
      <c r="C1076" s="15" t="str">
        <f t="shared" si="1"/>
        <v>dilipv31896@gmail.com917019924818</v>
      </c>
      <c r="D1076" s="16" t="s">
        <v>7946</v>
      </c>
      <c r="E1076" s="16" t="s">
        <v>68</v>
      </c>
    </row>
    <row r="1077">
      <c r="A1077" s="1" t="s">
        <v>4585</v>
      </c>
      <c r="B1077" s="15">
        <f>+917666516550</f>
        <v>917666516550</v>
      </c>
      <c r="C1077" s="15" t="str">
        <f t="shared" si="1"/>
        <v>jaipathre@gmail.com917666516550</v>
      </c>
      <c r="D1077" s="16" t="s">
        <v>7947</v>
      </c>
      <c r="E1077" s="16" t="s">
        <v>68</v>
      </c>
    </row>
    <row r="1078">
      <c r="A1078" s="1" t="s">
        <v>3313</v>
      </c>
      <c r="B1078" s="15">
        <f>+919888470272</f>
        <v>919888470272</v>
      </c>
      <c r="C1078" s="15" t="str">
        <f t="shared" si="1"/>
        <v>himanshusaleria@gmail.com919888470272</v>
      </c>
      <c r="D1078" s="16" t="s">
        <v>7948</v>
      </c>
      <c r="E1078" s="16" t="s">
        <v>68</v>
      </c>
    </row>
    <row r="1079">
      <c r="A1079" s="1" t="s">
        <v>2957</v>
      </c>
      <c r="B1079" s="15">
        <f>+919620901806</f>
        <v>919620901806</v>
      </c>
      <c r="C1079" s="15" t="str">
        <f t="shared" si="1"/>
        <v>yasmin.mondol@gmail.com919620901806</v>
      </c>
      <c r="D1079" s="16" t="s">
        <v>7949</v>
      </c>
      <c r="E1079" s="16" t="s">
        <v>74</v>
      </c>
    </row>
    <row r="1080">
      <c r="A1080" s="1" t="s">
        <v>4587</v>
      </c>
      <c r="B1080" s="15">
        <f>+919739654501</f>
        <v>919739654501</v>
      </c>
      <c r="C1080" s="15" t="str">
        <f t="shared" si="1"/>
        <v>sudharao63@gmail.com919739654501</v>
      </c>
      <c r="D1080" s="16" t="s">
        <v>7950</v>
      </c>
      <c r="E1080" s="16" t="s">
        <v>68</v>
      </c>
    </row>
    <row r="1081">
      <c r="A1081" s="1" t="s">
        <v>2961</v>
      </c>
      <c r="B1081" s="15">
        <f>+918420072488</f>
        <v>918420072488</v>
      </c>
      <c r="C1081" s="15" t="str">
        <f t="shared" si="1"/>
        <v>jitendrakumarbothra@gmail.com918420072488</v>
      </c>
      <c r="D1081" s="16" t="s">
        <v>7951</v>
      </c>
      <c r="E1081" s="16" t="s">
        <v>74</v>
      </c>
    </row>
    <row r="1082">
      <c r="A1082" s="1" t="s">
        <v>2959</v>
      </c>
      <c r="B1082" s="15">
        <f>+918401072115</f>
        <v>918401072115</v>
      </c>
      <c r="C1082" s="15" t="str">
        <f t="shared" si="1"/>
        <v>nvigneshamrita@gmail.com918401072115</v>
      </c>
      <c r="D1082" s="16" t="s">
        <v>7952</v>
      </c>
      <c r="E1082" s="16" t="s">
        <v>97</v>
      </c>
    </row>
    <row r="1083">
      <c r="A1083" s="1" t="s">
        <v>2961</v>
      </c>
      <c r="B1083" s="15">
        <f>+918420072488</f>
        <v>918420072488</v>
      </c>
      <c r="C1083" s="15" t="str">
        <f t="shared" si="1"/>
        <v>jitendrakumarbothra@gmail.com918420072488</v>
      </c>
      <c r="D1083" s="16" t="s">
        <v>7953</v>
      </c>
      <c r="E1083" s="16" t="s">
        <v>74</v>
      </c>
    </row>
    <row r="1084">
      <c r="A1084" s="1" t="s">
        <v>2963</v>
      </c>
      <c r="B1084" s="15">
        <f>+919743567339</f>
        <v>919743567339</v>
      </c>
      <c r="C1084" s="15" t="str">
        <f t="shared" si="1"/>
        <v>kazhar180606@gmail.com919743567339</v>
      </c>
      <c r="D1084" s="16" t="s">
        <v>7954</v>
      </c>
      <c r="E1084" s="16" t="s">
        <v>74</v>
      </c>
    </row>
    <row r="1085">
      <c r="A1085" s="1" t="s">
        <v>2965</v>
      </c>
      <c r="B1085" s="15">
        <f>+919820734962</f>
        <v>919820734962</v>
      </c>
      <c r="C1085" s="15" t="str">
        <f t="shared" si="1"/>
        <v>hetalr1982@gmail.com919820734962</v>
      </c>
      <c r="D1085" s="16" t="s">
        <v>7955</v>
      </c>
      <c r="E1085" s="16" t="s">
        <v>74</v>
      </c>
    </row>
    <row r="1086">
      <c r="A1086" s="1" t="s">
        <v>2966</v>
      </c>
      <c r="B1086" s="15">
        <f>+60123542236</f>
        <v>60123542236</v>
      </c>
      <c r="C1086" s="15" t="str">
        <f t="shared" si="1"/>
        <v>resolveasia@gmail.com60123542236</v>
      </c>
      <c r="D1086" s="16" t="s">
        <v>7956</v>
      </c>
      <c r="E1086" s="16" t="s">
        <v>74</v>
      </c>
    </row>
    <row r="1087">
      <c r="A1087" s="1" t="s">
        <v>2972</v>
      </c>
      <c r="B1087" s="15">
        <f>+919998011449</f>
        <v>919998011449</v>
      </c>
      <c r="C1087" s="15" t="str">
        <f t="shared" si="1"/>
        <v>mnbb9394@gmail.com919998011449</v>
      </c>
      <c r="D1087" s="16" t="s">
        <v>7957</v>
      </c>
      <c r="E1087" s="16" t="s">
        <v>97</v>
      </c>
    </row>
    <row r="1088">
      <c r="A1088" s="1" t="s">
        <v>2973</v>
      </c>
      <c r="B1088" s="15">
        <f>+919821156059</f>
        <v>919821156059</v>
      </c>
      <c r="C1088" s="15" t="str">
        <f t="shared" si="1"/>
        <v>lata3140@gmail.com919821156059</v>
      </c>
      <c r="D1088" s="16" t="s">
        <v>7958</v>
      </c>
      <c r="E1088" s="16" t="s">
        <v>97</v>
      </c>
    </row>
    <row r="1089">
      <c r="A1089" s="1" t="s">
        <v>2968</v>
      </c>
      <c r="B1089" s="15">
        <f>+919886154272</f>
        <v>919886154272</v>
      </c>
      <c r="C1089" s="15" t="str">
        <f t="shared" si="1"/>
        <v>radhika.ramakrishnan12@gmail.com919886154272</v>
      </c>
      <c r="D1089" s="16" t="s">
        <v>7959</v>
      </c>
      <c r="E1089" s="16" t="s">
        <v>97</v>
      </c>
    </row>
    <row r="1090">
      <c r="A1090" s="1" t="s">
        <v>2970</v>
      </c>
      <c r="B1090" s="15">
        <f>+919916011116</f>
        <v>919916011116</v>
      </c>
      <c r="C1090" s="15" t="str">
        <f t="shared" si="1"/>
        <v>vivektrivedi05@gmail.com919916011116</v>
      </c>
      <c r="D1090" s="16" t="s">
        <v>7960</v>
      </c>
      <c r="E1090" s="16" t="s">
        <v>97</v>
      </c>
    </row>
    <row r="1091">
      <c r="A1091" s="1" t="s">
        <v>2975</v>
      </c>
      <c r="B1091" s="15">
        <f>+919819148445</f>
        <v>919819148445</v>
      </c>
      <c r="C1091" s="15" t="str">
        <f t="shared" si="1"/>
        <v>soulfulyogafc@gmail.com919819148445</v>
      </c>
      <c r="D1091" s="16" t="s">
        <v>7961</v>
      </c>
      <c r="E1091" s="16" t="s">
        <v>68</v>
      </c>
    </row>
    <row r="1092">
      <c r="A1092" s="1" t="s">
        <v>2983</v>
      </c>
      <c r="B1092" s="15">
        <f>+919810341232</f>
        <v>919810341232</v>
      </c>
      <c r="C1092" s="15" t="str">
        <f t="shared" si="1"/>
        <v>kamalmehta17@hotmail.com919810341232</v>
      </c>
      <c r="D1092" s="16" t="s">
        <v>7962</v>
      </c>
      <c r="E1092" s="16" t="s">
        <v>74</v>
      </c>
    </row>
    <row r="1093">
      <c r="A1093" s="1" t="s">
        <v>6325</v>
      </c>
      <c r="B1093" s="15">
        <f t="shared" ref="B1093:B1095" si="143">+919900969993</f>
        <v>919900969993</v>
      </c>
      <c r="C1093" s="15" t="str">
        <f t="shared" si="1"/>
        <v>guruprasannaakash@gmail.com919900969993</v>
      </c>
      <c r="D1093" s="16" t="s">
        <v>7963</v>
      </c>
      <c r="E1093" s="16" t="s">
        <v>74</v>
      </c>
    </row>
    <row r="1094">
      <c r="A1094" s="1" t="s">
        <v>6325</v>
      </c>
      <c r="B1094" s="15">
        <f t="shared" si="143"/>
        <v>919900969993</v>
      </c>
      <c r="C1094" s="15" t="str">
        <f t="shared" si="1"/>
        <v>guruprasannaakash@gmail.com919900969993</v>
      </c>
      <c r="D1094" s="16" t="s">
        <v>7964</v>
      </c>
      <c r="E1094" s="16" t="s">
        <v>74</v>
      </c>
    </row>
    <row r="1095">
      <c r="A1095" s="1" t="s">
        <v>6325</v>
      </c>
      <c r="B1095" s="15">
        <f t="shared" si="143"/>
        <v>919900969993</v>
      </c>
      <c r="C1095" s="15" t="str">
        <f t="shared" si="1"/>
        <v>guruprasannaakash@gmail.com919900969993</v>
      </c>
      <c r="D1095" s="16" t="s">
        <v>7965</v>
      </c>
      <c r="E1095" s="16" t="s">
        <v>151</v>
      </c>
    </row>
    <row r="1096">
      <c r="A1096" s="1" t="s">
        <v>6524</v>
      </c>
      <c r="B1096" s="15">
        <f>+919819333766</f>
        <v>919819333766</v>
      </c>
      <c r="C1096" s="15" t="str">
        <f t="shared" si="1"/>
        <v>pratsingh@rediffmail.com919819333766</v>
      </c>
      <c r="D1096" s="16" t="s">
        <v>7966</v>
      </c>
      <c r="E1096" s="16" t="s">
        <v>74</v>
      </c>
    </row>
    <row r="1097">
      <c r="A1097" s="1" t="s">
        <v>6325</v>
      </c>
      <c r="B1097" s="15">
        <f t="shared" ref="B1097:B1100" si="144">+919900969993</f>
        <v>919900969993</v>
      </c>
      <c r="C1097" s="15" t="str">
        <f t="shared" si="1"/>
        <v>guruprasannaakash@gmail.com919900969993</v>
      </c>
      <c r="D1097" s="16" t="s">
        <v>7967</v>
      </c>
      <c r="E1097" s="16" t="s">
        <v>74</v>
      </c>
    </row>
    <row r="1098">
      <c r="A1098" s="1" t="s">
        <v>6325</v>
      </c>
      <c r="B1098" s="15">
        <f t="shared" si="144"/>
        <v>919900969993</v>
      </c>
      <c r="C1098" s="15" t="str">
        <f t="shared" si="1"/>
        <v>guruprasannaakash@gmail.com919900969993</v>
      </c>
      <c r="D1098" s="16" t="s">
        <v>7968</v>
      </c>
      <c r="E1098" s="16" t="s">
        <v>74</v>
      </c>
    </row>
    <row r="1099">
      <c r="A1099" s="1" t="s">
        <v>6325</v>
      </c>
      <c r="B1099" s="15">
        <f t="shared" si="144"/>
        <v>919900969993</v>
      </c>
      <c r="C1099" s="15" t="str">
        <f t="shared" si="1"/>
        <v>guruprasannaakash@gmail.com919900969993</v>
      </c>
      <c r="D1099" s="16" t="s">
        <v>7969</v>
      </c>
      <c r="E1099" s="16" t="s">
        <v>151</v>
      </c>
    </row>
    <row r="1100">
      <c r="A1100" s="1" t="s">
        <v>6325</v>
      </c>
      <c r="B1100" s="15">
        <f t="shared" si="144"/>
        <v>919900969993</v>
      </c>
      <c r="C1100" s="15" t="str">
        <f t="shared" si="1"/>
        <v>guruprasannaakash@gmail.com919900969993</v>
      </c>
      <c r="D1100" s="16" t="s">
        <v>7970</v>
      </c>
      <c r="E1100" s="16" t="s">
        <v>68</v>
      </c>
    </row>
    <row r="1101">
      <c r="A1101" s="1" t="s">
        <v>5784</v>
      </c>
      <c r="B1101" s="15">
        <f>+919004784288</f>
        <v>919004784288</v>
      </c>
      <c r="C1101" s="15" t="str">
        <f t="shared" si="1"/>
        <v>sagarpanchal2810@gmail.com919004784288</v>
      </c>
      <c r="D1101" s="16" t="s">
        <v>7971</v>
      </c>
      <c r="E1101" s="16" t="s">
        <v>68</v>
      </c>
    </row>
    <row r="1102">
      <c r="A1102" s="1" t="s">
        <v>2977</v>
      </c>
      <c r="B1102" s="15">
        <f>+919223248831</f>
        <v>919223248831</v>
      </c>
      <c r="C1102" s="15" t="str">
        <f t="shared" si="1"/>
        <v>dhrutidedhia.dd@gmail.com919223248831</v>
      </c>
      <c r="D1102" s="16" t="s">
        <v>7972</v>
      </c>
      <c r="E1102" s="16" t="s">
        <v>97</v>
      </c>
    </row>
    <row r="1103">
      <c r="A1103" s="1" t="s">
        <v>2795</v>
      </c>
      <c r="B1103" s="15">
        <f>+917020209901</f>
        <v>917020209901</v>
      </c>
      <c r="C1103" s="15" t="str">
        <f t="shared" si="1"/>
        <v>gaikwadabhishek5@gmail.com917020209901</v>
      </c>
      <c r="D1103" s="16" t="s">
        <v>7973</v>
      </c>
      <c r="E1103" s="16" t="s">
        <v>68</v>
      </c>
    </row>
    <row r="1104">
      <c r="A1104" s="1" t="s">
        <v>5856</v>
      </c>
      <c r="B1104" s="15">
        <f>+918504891130</f>
        <v>918504891130</v>
      </c>
      <c r="C1104" s="15" t="str">
        <f t="shared" si="1"/>
        <v>anjiip3004@gmail.com918504891130</v>
      </c>
      <c r="D1104" s="16" t="s">
        <v>7974</v>
      </c>
      <c r="E1104" s="16" t="s">
        <v>68</v>
      </c>
    </row>
    <row r="1105">
      <c r="A1105" s="1" t="s">
        <v>3078</v>
      </c>
      <c r="B1105" s="15">
        <f>+919182272042</f>
        <v>919182272042</v>
      </c>
      <c r="C1105" s="15" t="str">
        <f t="shared" si="1"/>
        <v>ghimakarreddy@gmail.com919182272042</v>
      </c>
      <c r="D1105" s="16" t="s">
        <v>7975</v>
      </c>
      <c r="E1105" s="16" t="s">
        <v>68</v>
      </c>
    </row>
    <row r="1106">
      <c r="A1106" s="1" t="s">
        <v>6226</v>
      </c>
      <c r="B1106" s="15">
        <f>+917744007007</f>
        <v>917744007007</v>
      </c>
      <c r="C1106" s="15" t="str">
        <f t="shared" si="1"/>
        <v>nikket@nikket.net917744007007</v>
      </c>
      <c r="D1106" s="16" t="s">
        <v>7976</v>
      </c>
      <c r="E1106" s="16" t="s">
        <v>68</v>
      </c>
    </row>
    <row r="1107">
      <c r="A1107" s="1" t="s">
        <v>2979</v>
      </c>
      <c r="B1107" s="15">
        <f>+919821269901</f>
        <v>919821269901</v>
      </c>
      <c r="C1107" s="15" t="str">
        <f t="shared" si="1"/>
        <v>alpashah5678@gmail.coml919821269901</v>
      </c>
      <c r="D1107" s="16" t="s">
        <v>7977</v>
      </c>
      <c r="E1107" s="16" t="s">
        <v>68</v>
      </c>
    </row>
    <row r="1108">
      <c r="A1108" s="1" t="s">
        <v>3022</v>
      </c>
      <c r="B1108" s="15">
        <f>+919818661390</f>
        <v>919818661390</v>
      </c>
      <c r="C1108" s="15" t="str">
        <f t="shared" si="1"/>
        <v>monaharjai@gmail.com919818661390</v>
      </c>
      <c r="D1108" s="16" t="s">
        <v>7978</v>
      </c>
      <c r="E1108" s="16" t="s">
        <v>74</v>
      </c>
    </row>
    <row r="1109">
      <c r="A1109" s="1" t="s">
        <v>4593</v>
      </c>
      <c r="B1109" s="15">
        <f>+919999002861</f>
        <v>919999002861</v>
      </c>
      <c r="C1109" s="15" t="str">
        <f t="shared" si="1"/>
        <v>anshikarana@outlook.com919999002861</v>
      </c>
      <c r="D1109" s="16" t="s">
        <v>7979</v>
      </c>
      <c r="E1109" s="16" t="s">
        <v>68</v>
      </c>
    </row>
    <row r="1110">
      <c r="A1110" s="1" t="s">
        <v>2615</v>
      </c>
      <c r="B1110" s="15">
        <f>+919444345450</f>
        <v>919444345450</v>
      </c>
      <c r="C1110" s="15" t="str">
        <f t="shared" si="1"/>
        <v>aksh.andavar@gmail.com919444345450</v>
      </c>
      <c r="D1110" s="16" t="s">
        <v>7980</v>
      </c>
      <c r="E1110" s="16" t="s">
        <v>68</v>
      </c>
    </row>
    <row r="1111">
      <c r="A1111" s="1" t="s">
        <v>5808</v>
      </c>
      <c r="B1111" s="15">
        <f>+918553620735</f>
        <v>918553620735</v>
      </c>
      <c r="C1111" s="15" t="str">
        <f t="shared" si="1"/>
        <v>itsanoop.07@gmail.com918553620735</v>
      </c>
      <c r="D1111" s="16" t="s">
        <v>7981</v>
      </c>
      <c r="E1111" s="16" t="s">
        <v>68</v>
      </c>
    </row>
    <row r="1112">
      <c r="A1112" s="1" t="s">
        <v>7982</v>
      </c>
      <c r="B1112" s="15">
        <f>+919867748186</f>
        <v>919867748186</v>
      </c>
      <c r="C1112" s="15" t="str">
        <f t="shared" si="1"/>
        <v>haldankarvijay@gmail.com919867748186</v>
      </c>
      <c r="D1112" s="16" t="s">
        <v>7983</v>
      </c>
      <c r="E1112" s="16" t="s">
        <v>151</v>
      </c>
    </row>
    <row r="1113">
      <c r="A1113" s="1" t="s">
        <v>2617</v>
      </c>
      <c r="B1113" s="15">
        <f>+919825043461</f>
        <v>919825043461</v>
      </c>
      <c r="C1113" s="15" t="str">
        <f t="shared" si="1"/>
        <v>itsminx@gmail.com919825043461</v>
      </c>
      <c r="D1113" s="16" t="s">
        <v>7984</v>
      </c>
      <c r="E1113" s="16" t="s">
        <v>74</v>
      </c>
    </row>
    <row r="1114">
      <c r="A1114" s="1" t="s">
        <v>5794</v>
      </c>
      <c r="B1114" s="15">
        <f>+919573955523</f>
        <v>919573955523</v>
      </c>
      <c r="C1114" s="15" t="str">
        <f t="shared" si="1"/>
        <v>eswarnagachinna@gmail.com919573955523</v>
      </c>
      <c r="D1114" s="16" t="s">
        <v>7985</v>
      </c>
      <c r="E1114" s="16" t="s">
        <v>68</v>
      </c>
    </row>
    <row r="1115">
      <c r="A1115" s="1" t="s">
        <v>4808</v>
      </c>
      <c r="B1115" s="15">
        <f>+919814812512</f>
        <v>919814812512</v>
      </c>
      <c r="C1115" s="15" t="str">
        <f t="shared" si="1"/>
        <v>paramhdfc@yahoo.com919814812512</v>
      </c>
      <c r="D1115" s="16" t="s">
        <v>7986</v>
      </c>
      <c r="E1115" s="16" t="s">
        <v>151</v>
      </c>
    </row>
    <row r="1116">
      <c r="A1116" s="1" t="s">
        <v>329</v>
      </c>
      <c r="B1116" s="15">
        <f>+918492928227</f>
        <v>918492928227</v>
      </c>
      <c r="C1116" s="15" t="str">
        <f t="shared" si="1"/>
        <v>gurmeet108@yahoo.com918492928227</v>
      </c>
      <c r="D1116" s="16" t="s">
        <v>7987</v>
      </c>
      <c r="E1116" s="16" t="s">
        <v>74</v>
      </c>
    </row>
    <row r="1117">
      <c r="A1117" s="1" t="s">
        <v>1607</v>
      </c>
      <c r="B1117" s="15">
        <f>+919811238689</f>
        <v>919811238689</v>
      </c>
      <c r="C1117" s="15" t="str">
        <f t="shared" si="1"/>
        <v>amitsingh.select@gmail.com919811238689</v>
      </c>
      <c r="D1117" s="16" t="s">
        <v>7988</v>
      </c>
      <c r="E1117" s="16" t="s">
        <v>68</v>
      </c>
    </row>
    <row r="1118">
      <c r="A1118" s="1" t="s">
        <v>2983</v>
      </c>
      <c r="B1118" s="15">
        <f>+919810341235</f>
        <v>919810341235</v>
      </c>
      <c r="C1118" s="15" t="str">
        <f t="shared" si="1"/>
        <v>kamalmehta17@hotmail.com919810341235</v>
      </c>
      <c r="D1118" s="16" t="s">
        <v>7989</v>
      </c>
      <c r="E1118" s="16" t="s">
        <v>151</v>
      </c>
    </row>
    <row r="1119">
      <c r="A1119" s="1" t="s">
        <v>2983</v>
      </c>
      <c r="B1119" s="15">
        <f t="shared" ref="B1119:B1120" si="145">+919810341232</f>
        <v>919810341232</v>
      </c>
      <c r="C1119" s="15" t="str">
        <f t="shared" si="1"/>
        <v>kamalmehta17@hotmail.com919810341232</v>
      </c>
      <c r="D1119" s="16" t="s">
        <v>7990</v>
      </c>
      <c r="E1119" s="16" t="s">
        <v>151</v>
      </c>
    </row>
    <row r="1120">
      <c r="A1120" s="1" t="s">
        <v>2983</v>
      </c>
      <c r="B1120" s="15">
        <f t="shared" si="145"/>
        <v>919810341232</v>
      </c>
      <c r="C1120" s="15" t="str">
        <f t="shared" si="1"/>
        <v>kamalmehta17@hotmail.com919810341232</v>
      </c>
      <c r="D1120" s="16" t="s">
        <v>7991</v>
      </c>
      <c r="E1120" s="16" t="s">
        <v>151</v>
      </c>
    </row>
    <row r="1121">
      <c r="A1121" s="1" t="s">
        <v>7992</v>
      </c>
      <c r="B1121" s="15">
        <f>+919651571818</f>
        <v>919651571818</v>
      </c>
      <c r="C1121" s="15" t="str">
        <f t="shared" si="1"/>
        <v>royalprateek2015@gmail.com919651571818</v>
      </c>
      <c r="D1121" s="16" t="s">
        <v>7993</v>
      </c>
      <c r="E1121" s="16" t="s">
        <v>151</v>
      </c>
    </row>
    <row r="1122">
      <c r="A1122" s="1" t="s">
        <v>6329</v>
      </c>
      <c r="B1122" s="15">
        <f>+919910133144</f>
        <v>919910133144</v>
      </c>
      <c r="C1122" s="15" t="str">
        <f t="shared" si="1"/>
        <v>parul4us@gmail.com919910133144</v>
      </c>
      <c r="D1122" s="16" t="s">
        <v>7994</v>
      </c>
      <c r="E1122" s="16" t="s">
        <v>68</v>
      </c>
    </row>
    <row r="1123">
      <c r="A1123" s="1" t="s">
        <v>2983</v>
      </c>
      <c r="B1123" s="15">
        <f>+919810341232</f>
        <v>919810341232</v>
      </c>
      <c r="C1123" s="15" t="str">
        <f t="shared" si="1"/>
        <v>kamalmehta17@hotmail.com919810341232</v>
      </c>
      <c r="D1123" s="16" t="s">
        <v>7995</v>
      </c>
      <c r="E1123" s="16" t="s">
        <v>74</v>
      </c>
    </row>
    <row r="1124">
      <c r="A1124" s="1" t="s">
        <v>5798</v>
      </c>
      <c r="B1124" s="15">
        <f>+917506182957</f>
        <v>917506182957</v>
      </c>
      <c r="C1124" s="15" t="str">
        <f t="shared" si="1"/>
        <v>satyasri777@gmail.com917506182957</v>
      </c>
      <c r="D1124" s="16" t="s">
        <v>7996</v>
      </c>
      <c r="E1124" s="16" t="s">
        <v>68</v>
      </c>
    </row>
    <row r="1125">
      <c r="A1125" s="1" t="s">
        <v>2983</v>
      </c>
      <c r="B1125" s="15">
        <f>+919810341232</f>
        <v>919810341232</v>
      </c>
      <c r="C1125" s="15" t="str">
        <f t="shared" si="1"/>
        <v>kamalmehta17@hotmail.com919810341232</v>
      </c>
      <c r="D1125" s="16" t="s">
        <v>7997</v>
      </c>
      <c r="E1125" s="16" t="s">
        <v>74</v>
      </c>
    </row>
    <row r="1126">
      <c r="A1126" s="1" t="s">
        <v>5800</v>
      </c>
      <c r="B1126" s="15">
        <f>+918850229627</f>
        <v>918850229627</v>
      </c>
      <c r="C1126" s="15" t="str">
        <f t="shared" si="1"/>
        <v>smoolya17@gmail.com918850229627</v>
      </c>
      <c r="D1126" s="16" t="s">
        <v>7998</v>
      </c>
      <c r="E1126" s="16" t="s">
        <v>68</v>
      </c>
    </row>
    <row r="1127">
      <c r="A1127" s="1" t="s">
        <v>7999</v>
      </c>
      <c r="B1127" s="15">
        <f>+919538331430</f>
        <v>919538331430</v>
      </c>
      <c r="C1127" s="15" t="str">
        <f t="shared" si="1"/>
        <v>joe.cherian05@gmail.com919538331430</v>
      </c>
      <c r="D1127" s="16" t="s">
        <v>8000</v>
      </c>
      <c r="E1127" s="16" t="s">
        <v>68</v>
      </c>
    </row>
    <row r="1128">
      <c r="A1128" s="1" t="s">
        <v>5860</v>
      </c>
      <c r="B1128" s="15">
        <f>+919000775707</f>
        <v>919000775707</v>
      </c>
      <c r="C1128" s="15" t="str">
        <f t="shared" si="1"/>
        <v>ubasanthi@gmail.com919000775707</v>
      </c>
      <c r="D1128" s="16" t="s">
        <v>8001</v>
      </c>
      <c r="E1128" s="16" t="s">
        <v>68</v>
      </c>
    </row>
    <row r="1129">
      <c r="A1129" s="1" t="s">
        <v>3024</v>
      </c>
      <c r="B1129" s="15">
        <f>+917006391899</f>
        <v>917006391899</v>
      </c>
      <c r="C1129" s="15" t="str">
        <f t="shared" si="1"/>
        <v>naserr.mak2017@gmail.com917006391899</v>
      </c>
      <c r="D1129" s="16" t="s">
        <v>8002</v>
      </c>
      <c r="E1129" s="16" t="s">
        <v>74</v>
      </c>
    </row>
    <row r="1130">
      <c r="A1130" s="1" t="s">
        <v>297</v>
      </c>
      <c r="B1130" s="15">
        <f>+919866723714</f>
        <v>919866723714</v>
      </c>
      <c r="C1130" s="15" t="str">
        <f t="shared" si="1"/>
        <v>nkrishnakishore@gmail.com919866723714</v>
      </c>
      <c r="D1130" s="16" t="s">
        <v>8003</v>
      </c>
      <c r="E1130" s="16" t="s">
        <v>68</v>
      </c>
    </row>
    <row r="1131">
      <c r="A1131" s="1" t="s">
        <v>5802</v>
      </c>
      <c r="B1131" s="15">
        <f>+919515989352</f>
        <v>919515989352</v>
      </c>
      <c r="C1131" s="15" t="str">
        <f t="shared" si="1"/>
        <v>nareshsailu2301@gmail.com919515989352</v>
      </c>
      <c r="D1131" s="16" t="s">
        <v>8004</v>
      </c>
      <c r="E1131" s="16" t="s">
        <v>68</v>
      </c>
    </row>
    <row r="1132">
      <c r="A1132" s="1" t="s">
        <v>5206</v>
      </c>
      <c r="B1132" s="15">
        <f t="shared" ref="B1132:B1137" si="146">+919820008542</f>
        <v>919820008542</v>
      </c>
      <c r="C1132" s="15" t="str">
        <f t="shared" si="1"/>
        <v>sindhundk@gmail.com919820008542</v>
      </c>
      <c r="D1132" s="16" t="s">
        <v>8005</v>
      </c>
      <c r="E1132" s="16" t="s">
        <v>74</v>
      </c>
    </row>
    <row r="1133">
      <c r="A1133" s="1" t="s">
        <v>5206</v>
      </c>
      <c r="B1133" s="15">
        <f t="shared" si="146"/>
        <v>919820008542</v>
      </c>
      <c r="C1133" s="15" t="str">
        <f t="shared" si="1"/>
        <v>sindhundk@gmail.com919820008542</v>
      </c>
      <c r="D1133" s="16" t="s">
        <v>8006</v>
      </c>
      <c r="E1133" s="16" t="s">
        <v>74</v>
      </c>
    </row>
    <row r="1134">
      <c r="A1134" s="1" t="s">
        <v>5206</v>
      </c>
      <c r="B1134" s="15">
        <f t="shared" si="146"/>
        <v>919820008542</v>
      </c>
      <c r="C1134" s="15" t="str">
        <f t="shared" si="1"/>
        <v>sindhundk@gmail.com919820008542</v>
      </c>
      <c r="D1134" s="16" t="s">
        <v>8007</v>
      </c>
      <c r="E1134" s="16" t="s">
        <v>74</v>
      </c>
    </row>
    <row r="1135">
      <c r="A1135" s="1" t="s">
        <v>5206</v>
      </c>
      <c r="B1135" s="15">
        <f t="shared" si="146"/>
        <v>919820008542</v>
      </c>
      <c r="C1135" s="15" t="str">
        <f t="shared" si="1"/>
        <v>sindhundk@gmail.com919820008542</v>
      </c>
      <c r="D1135" s="16" t="s">
        <v>8008</v>
      </c>
      <c r="E1135" s="16" t="s">
        <v>74</v>
      </c>
    </row>
    <row r="1136">
      <c r="A1136" s="1" t="s">
        <v>5206</v>
      </c>
      <c r="B1136" s="15">
        <f t="shared" si="146"/>
        <v>919820008542</v>
      </c>
      <c r="C1136" s="15" t="str">
        <f t="shared" si="1"/>
        <v>sindhundk@gmail.com919820008542</v>
      </c>
      <c r="D1136" s="16" t="s">
        <v>8009</v>
      </c>
      <c r="E1136" s="16" t="s">
        <v>74</v>
      </c>
    </row>
    <row r="1137">
      <c r="A1137" s="1" t="s">
        <v>5206</v>
      </c>
      <c r="B1137" s="15">
        <f t="shared" si="146"/>
        <v>919820008542</v>
      </c>
      <c r="C1137" s="15" t="str">
        <f t="shared" si="1"/>
        <v>sindhundk@gmail.com919820008542</v>
      </c>
      <c r="D1137" s="16" t="s">
        <v>8010</v>
      </c>
      <c r="E1137" s="16" t="s">
        <v>74</v>
      </c>
    </row>
    <row r="1138">
      <c r="A1138" s="1" t="s">
        <v>5804</v>
      </c>
      <c r="B1138" s="15">
        <f>+919448697744</f>
        <v>919448697744</v>
      </c>
      <c r="C1138" s="15" t="str">
        <f t="shared" si="1"/>
        <v>sndp110491@gmail.com919448697744</v>
      </c>
      <c r="D1138" s="16" t="s">
        <v>8011</v>
      </c>
      <c r="E1138" s="16" t="s">
        <v>68</v>
      </c>
    </row>
    <row r="1139">
      <c r="A1139" s="1" t="s">
        <v>8012</v>
      </c>
      <c r="B1139" s="15">
        <f>+918837205466</f>
        <v>918837205466</v>
      </c>
      <c r="C1139" s="15" t="str">
        <f t="shared" si="1"/>
        <v>memtombithokchom71@gmail.com918837205466</v>
      </c>
      <c r="D1139" s="16" t="s">
        <v>8013</v>
      </c>
      <c r="E1139" s="16" t="s">
        <v>151</v>
      </c>
    </row>
    <row r="1140">
      <c r="A1140" s="1" t="s">
        <v>5806</v>
      </c>
      <c r="B1140" s="15">
        <f>+917678111688</f>
        <v>917678111688</v>
      </c>
      <c r="C1140" s="15" t="str">
        <f t="shared" si="1"/>
        <v>nakulstar95@gmail.com917678111688</v>
      </c>
      <c r="D1140" s="16" t="s">
        <v>8014</v>
      </c>
      <c r="E1140" s="16" t="s">
        <v>68</v>
      </c>
    </row>
    <row r="1141">
      <c r="A1141" s="1" t="s">
        <v>8015</v>
      </c>
      <c r="B1141" s="15">
        <f>+918815159239</f>
        <v>918815159239</v>
      </c>
      <c r="C1141" s="15" t="str">
        <f t="shared" si="1"/>
        <v>arvindk41577@gmail.com918815159239</v>
      </c>
      <c r="D1141" s="16" t="s">
        <v>8016</v>
      </c>
      <c r="E1141" s="16" t="s">
        <v>151</v>
      </c>
    </row>
    <row r="1142">
      <c r="A1142" s="1" t="s">
        <v>4591</v>
      </c>
      <c r="B1142" s="15">
        <f>+917827888080</f>
        <v>917827888080</v>
      </c>
      <c r="C1142" s="15" t="str">
        <f t="shared" si="1"/>
        <v>manushka49@gmail.com917827888080</v>
      </c>
      <c r="D1142" s="16" t="s">
        <v>8017</v>
      </c>
      <c r="E1142" s="16" t="s">
        <v>68</v>
      </c>
    </row>
    <row r="1143">
      <c r="A1143" s="1" t="s">
        <v>4647</v>
      </c>
      <c r="B1143" s="15">
        <f>+919436213925</f>
        <v>919436213925</v>
      </c>
      <c r="C1143" s="15" t="str">
        <f t="shared" si="1"/>
        <v>awdpawan@gmail.com919436213925</v>
      </c>
      <c r="D1143" s="16" t="s">
        <v>8018</v>
      </c>
      <c r="E1143" s="16" t="s">
        <v>68</v>
      </c>
    </row>
    <row r="1144">
      <c r="A1144" s="1" t="s">
        <v>8019</v>
      </c>
      <c r="B1144" s="15">
        <f>+919867394228</f>
        <v>919867394228</v>
      </c>
      <c r="C1144" s="15" t="str">
        <f t="shared" si="1"/>
        <v>pradnyadhole2@gmail.com919867394228</v>
      </c>
      <c r="D1144" s="16" t="s">
        <v>8020</v>
      </c>
      <c r="E1144" s="16" t="s">
        <v>74</v>
      </c>
    </row>
    <row r="1145">
      <c r="A1145" s="1" t="s">
        <v>8021</v>
      </c>
      <c r="B1145" s="15">
        <f>+918591252355</f>
        <v>918591252355</v>
      </c>
      <c r="C1145" s="15" t="str">
        <f t="shared" si="1"/>
        <v>eisha.r.mhatre@gmail.com918591252355</v>
      </c>
      <c r="D1145" s="16" t="s">
        <v>8022</v>
      </c>
      <c r="E1145" s="16" t="s">
        <v>74</v>
      </c>
    </row>
    <row r="1146">
      <c r="A1146" s="1" t="s">
        <v>8019</v>
      </c>
      <c r="B1146" s="15">
        <f t="shared" ref="B1146:B1147" si="147">+919867394228</f>
        <v>919867394228</v>
      </c>
      <c r="C1146" s="15" t="str">
        <f t="shared" si="1"/>
        <v>pradnyadhole2@gmail.com919867394228</v>
      </c>
      <c r="D1146" s="16" t="s">
        <v>8023</v>
      </c>
      <c r="E1146" s="16" t="s">
        <v>74</v>
      </c>
    </row>
    <row r="1147">
      <c r="A1147" s="1" t="s">
        <v>8019</v>
      </c>
      <c r="B1147" s="15">
        <f t="shared" si="147"/>
        <v>919867394228</v>
      </c>
      <c r="C1147" s="15" t="str">
        <f t="shared" si="1"/>
        <v>pradnyadhole2@gmail.com919867394228</v>
      </c>
      <c r="D1147" s="16" t="s">
        <v>8024</v>
      </c>
      <c r="E1147" s="16" t="s">
        <v>74</v>
      </c>
    </row>
    <row r="1148">
      <c r="A1148" s="1" t="s">
        <v>8025</v>
      </c>
      <c r="B1148" s="15">
        <f t="shared" ref="B1148:B1152" si="148">+919884832784</f>
        <v>919884832784</v>
      </c>
      <c r="C1148" s="15" t="str">
        <f t="shared" si="1"/>
        <v>muthu2648@outlook.com919884832784</v>
      </c>
      <c r="D1148" s="16" t="s">
        <v>8026</v>
      </c>
      <c r="E1148" s="16" t="s">
        <v>151</v>
      </c>
    </row>
    <row r="1149">
      <c r="A1149" s="1" t="s">
        <v>8025</v>
      </c>
      <c r="B1149" s="15">
        <f t="shared" si="148"/>
        <v>919884832784</v>
      </c>
      <c r="C1149" s="15" t="str">
        <f t="shared" si="1"/>
        <v>muthu2648@outlook.com919884832784</v>
      </c>
      <c r="D1149" s="16" t="s">
        <v>8027</v>
      </c>
      <c r="E1149" s="16" t="s">
        <v>68</v>
      </c>
    </row>
    <row r="1150">
      <c r="A1150" s="1" t="s">
        <v>5796</v>
      </c>
      <c r="B1150" s="15">
        <f t="shared" si="148"/>
        <v>919884832784</v>
      </c>
      <c r="C1150" s="15" t="str">
        <f t="shared" si="1"/>
        <v>muthu2648@gmail.com919884832784</v>
      </c>
      <c r="D1150" s="16" t="s">
        <v>8028</v>
      </c>
      <c r="E1150" s="16" t="s">
        <v>74</v>
      </c>
    </row>
    <row r="1151">
      <c r="A1151" s="1" t="s">
        <v>5796</v>
      </c>
      <c r="B1151" s="15">
        <f t="shared" si="148"/>
        <v>919884832784</v>
      </c>
      <c r="C1151" s="15" t="str">
        <f t="shared" si="1"/>
        <v>muthu2648@gmail.com919884832784</v>
      </c>
      <c r="D1151" s="16" t="s">
        <v>8029</v>
      </c>
      <c r="E1151" s="16" t="s">
        <v>74</v>
      </c>
    </row>
    <row r="1152">
      <c r="A1152" s="1" t="s">
        <v>5796</v>
      </c>
      <c r="B1152" s="15">
        <f t="shared" si="148"/>
        <v>919884832784</v>
      </c>
      <c r="C1152" s="15" t="str">
        <f t="shared" si="1"/>
        <v>muthu2648@gmail.com919884832784</v>
      </c>
      <c r="D1152" s="16" t="s">
        <v>8030</v>
      </c>
      <c r="E1152" s="16" t="s">
        <v>74</v>
      </c>
    </row>
    <row r="1153">
      <c r="A1153" s="1" t="s">
        <v>3399</v>
      </c>
      <c r="B1153" s="15">
        <f>+918489914323</f>
        <v>918489914323</v>
      </c>
      <c r="C1153" s="15" t="str">
        <f t="shared" si="1"/>
        <v>jacob.reshma@gmail.com918489914323</v>
      </c>
      <c r="D1153" s="16" t="s">
        <v>8031</v>
      </c>
      <c r="E1153" s="16" t="s">
        <v>74</v>
      </c>
    </row>
    <row r="1154">
      <c r="A1154" s="1" t="s">
        <v>5788</v>
      </c>
      <c r="B1154" s="15">
        <f>+917013767675</f>
        <v>917013767675</v>
      </c>
      <c r="C1154" s="15" t="str">
        <f t="shared" si="1"/>
        <v>abhirambeem@gmail.com917013767675</v>
      </c>
      <c r="D1154" s="16" t="s">
        <v>8032</v>
      </c>
      <c r="E1154" s="16" t="s">
        <v>68</v>
      </c>
    </row>
    <row r="1155">
      <c r="A1155" s="1" t="s">
        <v>6327</v>
      </c>
      <c r="B1155" s="15">
        <f>+918697728601</f>
        <v>918697728601</v>
      </c>
      <c r="C1155" s="15" t="str">
        <f t="shared" si="1"/>
        <v>kinkini.dasgupta9@gmail.com918697728601</v>
      </c>
      <c r="D1155" s="16" t="s">
        <v>8033</v>
      </c>
      <c r="E1155" s="16" t="s">
        <v>74</v>
      </c>
    </row>
    <row r="1156">
      <c r="A1156" s="1" t="s">
        <v>5858</v>
      </c>
      <c r="B1156" s="15">
        <f>+919567976696</f>
        <v>919567976696</v>
      </c>
      <c r="C1156" s="15" t="str">
        <f t="shared" si="1"/>
        <v>ajith191@gmail.com919567976696</v>
      </c>
      <c r="D1156" s="16" t="s">
        <v>8034</v>
      </c>
      <c r="E1156" s="16" t="s">
        <v>68</v>
      </c>
    </row>
    <row r="1157">
      <c r="A1157" s="1" t="s">
        <v>8035</v>
      </c>
      <c r="B1157" s="15">
        <f>+919657781142</f>
        <v>919657781142</v>
      </c>
      <c r="C1157" s="15" t="str">
        <f t="shared" si="1"/>
        <v>mehreenlove9@gmail.com919657781142</v>
      </c>
      <c r="D1157" s="16" t="s">
        <v>8036</v>
      </c>
      <c r="E1157" s="16" t="s">
        <v>151</v>
      </c>
    </row>
    <row r="1158">
      <c r="A1158" s="1" t="s">
        <v>5426</v>
      </c>
      <c r="B1158" s="15">
        <f>+919999443105</f>
        <v>919999443105</v>
      </c>
      <c r="C1158" s="15" t="str">
        <f t="shared" si="1"/>
        <v>mansiaggarwal1004@gmail.com919999443105</v>
      </c>
      <c r="D1158" s="16" t="s">
        <v>8037</v>
      </c>
      <c r="E1158" s="16" t="s">
        <v>68</v>
      </c>
    </row>
    <row r="1159">
      <c r="A1159" s="1" t="s">
        <v>8038</v>
      </c>
      <c r="B1159" s="15">
        <f>+918102274471</f>
        <v>918102274471</v>
      </c>
      <c r="C1159" s="15" t="str">
        <f t="shared" si="1"/>
        <v>tanyafromktr@gmail.com918102274471</v>
      </c>
      <c r="D1159" s="16" t="s">
        <v>8039</v>
      </c>
      <c r="E1159" s="16" t="s">
        <v>151</v>
      </c>
    </row>
    <row r="1160">
      <c r="A1160" s="1" t="s">
        <v>8040</v>
      </c>
      <c r="B1160" s="15">
        <f>+918902115569</f>
        <v>918902115569</v>
      </c>
      <c r="C1160" s="15" t="str">
        <f t="shared" si="1"/>
        <v>vijoysankar97@gmail.com918902115569</v>
      </c>
      <c r="D1160" s="16" t="s">
        <v>8041</v>
      </c>
      <c r="E1160" s="16" t="s">
        <v>74</v>
      </c>
    </row>
    <row r="1161">
      <c r="A1161" s="1" t="s">
        <v>3293</v>
      </c>
      <c r="B1161" s="15">
        <f>+919625381774</f>
        <v>919625381774</v>
      </c>
      <c r="C1161" s="15" t="str">
        <f t="shared" si="1"/>
        <v>bejaditi@gmail.com919625381774</v>
      </c>
      <c r="D1161" s="16" t="s">
        <v>8042</v>
      </c>
      <c r="E1161" s="16" t="s">
        <v>74</v>
      </c>
    </row>
    <row r="1162">
      <c r="A1162" s="1" t="s">
        <v>5790</v>
      </c>
      <c r="B1162" s="15">
        <f>+917200287691</f>
        <v>917200287691</v>
      </c>
      <c r="C1162" s="15" t="str">
        <f t="shared" si="1"/>
        <v>navinkr431@gmail.com917200287691</v>
      </c>
      <c r="D1162" s="16" t="s">
        <v>8043</v>
      </c>
      <c r="E1162" s="16" t="s">
        <v>68</v>
      </c>
    </row>
    <row r="1163">
      <c r="A1163" s="1" t="s">
        <v>5792</v>
      </c>
      <c r="B1163" s="15">
        <f>+917737533313</f>
        <v>917737533313</v>
      </c>
      <c r="C1163" s="15" t="str">
        <f t="shared" si="1"/>
        <v>ervarunpratap@gmail.com917737533313</v>
      </c>
      <c r="D1163" s="16" t="s">
        <v>8044</v>
      </c>
      <c r="E1163" s="16" t="s">
        <v>68</v>
      </c>
    </row>
    <row r="1164">
      <c r="A1164" s="1" t="s">
        <v>5796</v>
      </c>
      <c r="B1164" s="15">
        <f>+919884832784</f>
        <v>919884832784</v>
      </c>
      <c r="C1164" s="15" t="str">
        <f t="shared" si="1"/>
        <v>muthu2648@gmail.com919884832784</v>
      </c>
      <c r="D1164" s="16" t="s">
        <v>8045</v>
      </c>
      <c r="E1164" s="16" t="s">
        <v>68</v>
      </c>
    </row>
    <row r="1165">
      <c r="A1165" s="1" t="s">
        <v>2486</v>
      </c>
      <c r="B1165" s="15">
        <f>+918425046969</f>
        <v>918425046969</v>
      </c>
      <c r="C1165" s="15" t="str">
        <f t="shared" si="1"/>
        <v>princeparmar6@gmail.com918425046969</v>
      </c>
      <c r="D1165" s="16" t="s">
        <v>8046</v>
      </c>
      <c r="E1165" s="16" t="s">
        <v>68</v>
      </c>
    </row>
    <row r="1166">
      <c r="A1166" s="1" t="s">
        <v>6215</v>
      </c>
      <c r="B1166" s="15">
        <f>+917741972081</f>
        <v>917741972081</v>
      </c>
      <c r="C1166" s="15" t="str">
        <f t="shared" si="1"/>
        <v>obedkbenjamin.ob@gmail.com917741972081</v>
      </c>
      <c r="D1166" s="16" t="s">
        <v>8047</v>
      </c>
      <c r="E1166" s="16" t="s">
        <v>74</v>
      </c>
    </row>
    <row r="1167">
      <c r="A1167" s="1" t="s">
        <v>3082</v>
      </c>
      <c r="B1167" s="15">
        <f>+919024596452</f>
        <v>919024596452</v>
      </c>
      <c r="C1167" s="15" t="str">
        <f t="shared" si="1"/>
        <v>malviaravi0000@gmail.com919024596452</v>
      </c>
      <c r="D1167" s="16" t="s">
        <v>8048</v>
      </c>
      <c r="E1167" s="16" t="s">
        <v>68</v>
      </c>
    </row>
    <row r="1168">
      <c r="A1168" s="1" t="s">
        <v>2617</v>
      </c>
      <c r="B1168" s="15">
        <f>+919825043461</f>
        <v>919825043461</v>
      </c>
      <c r="C1168" s="15" t="str">
        <f t="shared" si="1"/>
        <v>itsminx@gmail.com919825043461</v>
      </c>
      <c r="D1168" s="16" t="s">
        <v>8049</v>
      </c>
      <c r="E1168" s="16" t="s">
        <v>74</v>
      </c>
    </row>
    <row r="1169">
      <c r="A1169" s="1" t="s">
        <v>3082</v>
      </c>
      <c r="B1169" s="15">
        <f>+919024596452</f>
        <v>919024596452</v>
      </c>
      <c r="C1169" s="15" t="str">
        <f t="shared" si="1"/>
        <v>malviaravi0000@gmail.com919024596452</v>
      </c>
      <c r="D1169" s="16" t="s">
        <v>8050</v>
      </c>
      <c r="E1169" s="16" t="s">
        <v>68</v>
      </c>
    </row>
    <row r="1170">
      <c r="A1170" s="1" t="s">
        <v>5862</v>
      </c>
      <c r="B1170" s="15">
        <f>+917905958635</f>
        <v>917905958635</v>
      </c>
      <c r="C1170" s="15" t="str">
        <f t="shared" si="1"/>
        <v>kumar.sushil.sushil625@gmail.com917905958635</v>
      </c>
      <c r="D1170" s="16" t="s">
        <v>8051</v>
      </c>
      <c r="E1170" s="16" t="s">
        <v>68</v>
      </c>
    </row>
    <row r="1171">
      <c r="A1171" s="1" t="s">
        <v>5810</v>
      </c>
      <c r="B1171" s="15">
        <f>+918454804369</f>
        <v>918454804369</v>
      </c>
      <c r="C1171" s="15" t="str">
        <f t="shared" si="1"/>
        <v>jneha4298@gmail.com918454804369</v>
      </c>
      <c r="D1171" s="16" t="s">
        <v>8052</v>
      </c>
      <c r="E1171" s="16" t="s">
        <v>68</v>
      </c>
    </row>
    <row r="1172">
      <c r="A1172" s="1" t="s">
        <v>2991</v>
      </c>
      <c r="B1172" s="15">
        <f t="shared" ref="B1172:B1173" si="149">+919930333673</f>
        <v>919930333673</v>
      </c>
      <c r="C1172" s="15" t="str">
        <f t="shared" si="1"/>
        <v>poojavsharma25@gmail.com919930333673</v>
      </c>
      <c r="D1172" s="16" t="s">
        <v>8053</v>
      </c>
      <c r="E1172" s="16" t="s">
        <v>97</v>
      </c>
    </row>
    <row r="1173">
      <c r="A1173" s="1" t="s">
        <v>2991</v>
      </c>
      <c r="B1173" s="15">
        <f t="shared" si="149"/>
        <v>919930333673</v>
      </c>
      <c r="C1173" s="15" t="str">
        <f t="shared" si="1"/>
        <v>poojavsharma25@gmail.com919930333673</v>
      </c>
      <c r="D1173" s="16" t="s">
        <v>8054</v>
      </c>
      <c r="E1173" s="16" t="s">
        <v>97</v>
      </c>
    </row>
    <row r="1174">
      <c r="A1174" s="1" t="s">
        <v>4595</v>
      </c>
      <c r="B1174" s="15">
        <f>+919049070044</f>
        <v>919049070044</v>
      </c>
      <c r="C1174" s="15" t="str">
        <f t="shared" si="1"/>
        <v>abhilasha.shah27@gmail.com919049070044</v>
      </c>
      <c r="D1174" s="16" t="s">
        <v>8055</v>
      </c>
      <c r="E1174" s="16" t="s">
        <v>68</v>
      </c>
    </row>
    <row r="1175">
      <c r="A1175" s="1" t="s">
        <v>2768</v>
      </c>
      <c r="B1175" s="15">
        <f>+919868133035</f>
        <v>919868133035</v>
      </c>
      <c r="C1175" s="15" t="str">
        <f t="shared" si="1"/>
        <v>anjalityagi2014@gmail.com919868133035</v>
      </c>
      <c r="D1175" s="16" t="s">
        <v>8056</v>
      </c>
      <c r="E1175" s="16" t="s">
        <v>68</v>
      </c>
    </row>
    <row r="1176">
      <c r="A1176" s="1" t="s">
        <v>8057</v>
      </c>
      <c r="B1176" s="15">
        <f>+919561123344</f>
        <v>919561123344</v>
      </c>
      <c r="C1176" s="15" t="str">
        <f t="shared" si="1"/>
        <v>smrutic@gmail.com919561123344</v>
      </c>
      <c r="D1176" s="16" t="s">
        <v>8058</v>
      </c>
      <c r="E1176" s="16" t="s">
        <v>68</v>
      </c>
    </row>
    <row r="1177">
      <c r="A1177" s="1" t="s">
        <v>1687</v>
      </c>
      <c r="B1177" s="15">
        <f>+918850267427</f>
        <v>918850267427</v>
      </c>
      <c r="C1177" s="15" t="str">
        <f t="shared" si="1"/>
        <v>asudi1003@gmail.com918850267427</v>
      </c>
      <c r="D1177" s="16" t="s">
        <v>8059</v>
      </c>
      <c r="E1177" s="16" t="s">
        <v>74</v>
      </c>
    </row>
    <row r="1178">
      <c r="A1178" s="1" t="s">
        <v>5717</v>
      </c>
      <c r="B1178" s="15">
        <f>+917680997878</f>
        <v>917680997878</v>
      </c>
      <c r="C1178" s="15" t="str">
        <f t="shared" si="1"/>
        <v>beems9999@gmail.com917680997878</v>
      </c>
      <c r="D1178" s="16" t="s">
        <v>8060</v>
      </c>
      <c r="E1178" s="16" t="s">
        <v>68</v>
      </c>
    </row>
    <row r="1179">
      <c r="A1179" s="1" t="s">
        <v>4810</v>
      </c>
      <c r="B1179" s="15">
        <f>+919769472787</f>
        <v>919769472787</v>
      </c>
      <c r="C1179" s="15" t="str">
        <f t="shared" si="1"/>
        <v>sylvester.kunder@gmail.com919769472787</v>
      </c>
      <c r="D1179" s="16" t="s">
        <v>8061</v>
      </c>
      <c r="E1179" s="16" t="s">
        <v>68</v>
      </c>
    </row>
    <row r="1180">
      <c r="A1180" s="1" t="s">
        <v>8062</v>
      </c>
      <c r="B1180" s="15">
        <f>+918867911123</f>
        <v>918867911123</v>
      </c>
      <c r="C1180" s="15" t="str">
        <f t="shared" si="1"/>
        <v>hemavin23@gmail.com918867911123</v>
      </c>
      <c r="D1180" s="16" t="s">
        <v>8063</v>
      </c>
      <c r="E1180" s="16" t="s">
        <v>97</v>
      </c>
    </row>
    <row r="1181">
      <c r="A1181" s="1" t="s">
        <v>8064</v>
      </c>
      <c r="B1181" s="15">
        <f>+919987680616</f>
        <v>919987680616</v>
      </c>
      <c r="C1181" s="15" t="str">
        <f t="shared" si="1"/>
        <v>poonam.b7292@gmail.com919987680616</v>
      </c>
      <c r="D1181" s="16" t="s">
        <v>8065</v>
      </c>
      <c r="E1181" s="16" t="s">
        <v>97</v>
      </c>
    </row>
    <row r="1182">
      <c r="A1182" s="1" t="s">
        <v>6267</v>
      </c>
      <c r="B1182" s="15">
        <f t="shared" ref="B1182:B1183" si="150">+918105675089</f>
        <v>918105675089</v>
      </c>
      <c r="C1182" s="15" t="str">
        <f t="shared" si="1"/>
        <v>nikhilgnikku2123@gmail.com918105675089</v>
      </c>
      <c r="D1182" s="16" t="s">
        <v>8066</v>
      </c>
      <c r="E1182" s="16" t="s">
        <v>68</v>
      </c>
    </row>
    <row r="1183">
      <c r="A1183" s="1" t="s">
        <v>6267</v>
      </c>
      <c r="B1183" s="15">
        <f t="shared" si="150"/>
        <v>918105675089</v>
      </c>
      <c r="C1183" s="15" t="str">
        <f t="shared" si="1"/>
        <v>nikhilgnikku2123@gmail.com918105675089</v>
      </c>
      <c r="D1183" s="16" t="s">
        <v>8067</v>
      </c>
      <c r="E1183" s="16" t="s">
        <v>68</v>
      </c>
    </row>
    <row r="1184">
      <c r="A1184" s="1" t="s">
        <v>8068</v>
      </c>
      <c r="B1184" s="15">
        <f>+918788923170</f>
        <v>918788923170</v>
      </c>
      <c r="C1184" s="15" t="str">
        <f t="shared" si="1"/>
        <v>rvmuthal1999@gmail.com918788923170</v>
      </c>
      <c r="D1184" s="16" t="s">
        <v>8069</v>
      </c>
      <c r="E1184" s="16" t="s">
        <v>74</v>
      </c>
    </row>
    <row r="1185">
      <c r="A1185" s="1" t="s">
        <v>5111</v>
      </c>
      <c r="B1185" s="15">
        <f>+919666445582</f>
        <v>919666445582</v>
      </c>
      <c r="C1185" s="15" t="str">
        <f t="shared" si="1"/>
        <v>anurag.kesarwani1@gmail.com919666445582</v>
      </c>
      <c r="D1185" s="16" t="s">
        <v>8070</v>
      </c>
      <c r="E1185" s="16" t="s">
        <v>74</v>
      </c>
    </row>
    <row r="1186">
      <c r="A1186" s="1" t="s">
        <v>4597</v>
      </c>
      <c r="B1186" s="15">
        <f>+919971476969</f>
        <v>919971476969</v>
      </c>
      <c r="C1186" s="15" t="str">
        <f t="shared" si="1"/>
        <v>subbaramireddy305@gmail.com919971476969</v>
      </c>
      <c r="D1186" s="16" t="s">
        <v>8071</v>
      </c>
      <c r="E1186" s="16" t="s">
        <v>97</v>
      </c>
    </row>
    <row r="1187">
      <c r="A1187" s="1" t="s">
        <v>2619</v>
      </c>
      <c r="B1187" s="15">
        <f>+919711075336</f>
        <v>919711075336</v>
      </c>
      <c r="C1187" s="15" t="str">
        <f t="shared" si="1"/>
        <v>palakjain13@hotmail.com919711075336</v>
      </c>
      <c r="D1187" s="16" t="s">
        <v>8072</v>
      </c>
      <c r="E1187" s="16" t="s">
        <v>68</v>
      </c>
    </row>
    <row r="1188">
      <c r="A1188" s="1" t="s">
        <v>2991</v>
      </c>
      <c r="B1188" s="15">
        <f t="shared" ref="B1188:B1189" si="151">+919930333673</f>
        <v>919930333673</v>
      </c>
      <c r="C1188" s="15" t="str">
        <f t="shared" si="1"/>
        <v>poojavsharma25@gmail.com919930333673</v>
      </c>
      <c r="D1188" s="16" t="s">
        <v>8073</v>
      </c>
      <c r="E1188" s="16" t="s">
        <v>97</v>
      </c>
    </row>
    <row r="1189">
      <c r="A1189" s="1" t="s">
        <v>2991</v>
      </c>
      <c r="B1189" s="15">
        <f t="shared" si="151"/>
        <v>919930333673</v>
      </c>
      <c r="C1189" s="15" t="str">
        <f t="shared" si="1"/>
        <v>poojavsharma25@gmail.com919930333673</v>
      </c>
      <c r="D1189" s="16" t="s">
        <v>8074</v>
      </c>
      <c r="E1189" s="16" t="s">
        <v>97</v>
      </c>
    </row>
    <row r="1190">
      <c r="A1190" s="1" t="s">
        <v>4031</v>
      </c>
      <c r="B1190" s="15">
        <f t="shared" ref="B1190:B1191" si="152">+917259561002</f>
        <v>917259561002</v>
      </c>
      <c r="C1190" s="15" t="str">
        <f t="shared" si="1"/>
        <v>rao.diksha30@gmail.com917259561002</v>
      </c>
      <c r="D1190" s="16" t="s">
        <v>8075</v>
      </c>
      <c r="E1190" s="16" t="s">
        <v>151</v>
      </c>
    </row>
    <row r="1191">
      <c r="A1191" s="1" t="s">
        <v>4031</v>
      </c>
      <c r="B1191" s="15">
        <f t="shared" si="152"/>
        <v>917259561002</v>
      </c>
      <c r="C1191" s="15" t="str">
        <f t="shared" si="1"/>
        <v>rao.diksha30@gmail.com917259561002</v>
      </c>
      <c r="D1191" s="16" t="s">
        <v>8076</v>
      </c>
      <c r="E1191" s="16" t="s">
        <v>74</v>
      </c>
    </row>
    <row r="1192">
      <c r="A1192" s="1" t="s">
        <v>5354</v>
      </c>
      <c r="B1192" s="15">
        <f>+918287024066</f>
        <v>918287024066</v>
      </c>
      <c r="C1192" s="15" t="str">
        <f t="shared" si="1"/>
        <v>malikchaaru.25@gmail.com918287024066</v>
      </c>
      <c r="D1192" s="16" t="s">
        <v>8077</v>
      </c>
      <c r="E1192" s="16" t="s">
        <v>68</v>
      </c>
    </row>
    <row r="1193">
      <c r="A1193" s="1" t="s">
        <v>3083</v>
      </c>
      <c r="B1193" s="15">
        <f>+919711131631</f>
        <v>919711131631</v>
      </c>
      <c r="C1193" s="15" t="str">
        <f t="shared" si="1"/>
        <v>dipak.biswal@gmail.com919711131631</v>
      </c>
      <c r="D1193" s="16" t="s">
        <v>8078</v>
      </c>
      <c r="E1193" s="16" t="s">
        <v>68</v>
      </c>
    </row>
    <row r="1194">
      <c r="A1194" s="1" t="s">
        <v>5204</v>
      </c>
      <c r="B1194" s="15">
        <f>+919365112490</f>
        <v>919365112490</v>
      </c>
      <c r="C1194" s="15" t="str">
        <f t="shared" si="1"/>
        <v>mmmanjuliet84@gmail.com919365112490</v>
      </c>
      <c r="D1194" s="16" t="s">
        <v>8079</v>
      </c>
      <c r="E1194" s="16" t="s">
        <v>68</v>
      </c>
    </row>
    <row r="1195">
      <c r="A1195" s="1" t="s">
        <v>2458</v>
      </c>
      <c r="B1195" s="15">
        <f t="shared" ref="B1195:B1196" si="153">+919416173796</f>
        <v>919416173796</v>
      </c>
      <c r="C1195" s="15" t="str">
        <f t="shared" si="1"/>
        <v>mahirgupta98@gmail.com919416173796</v>
      </c>
      <c r="D1195" s="16" t="s">
        <v>8080</v>
      </c>
      <c r="E1195" s="16" t="s">
        <v>68</v>
      </c>
    </row>
    <row r="1196">
      <c r="A1196" s="1" t="s">
        <v>2458</v>
      </c>
      <c r="B1196" s="15">
        <f t="shared" si="153"/>
        <v>919416173796</v>
      </c>
      <c r="C1196" s="15" t="str">
        <f t="shared" si="1"/>
        <v>mahirgupta98@gmail.com919416173796</v>
      </c>
      <c r="D1196" s="16" t="s">
        <v>8081</v>
      </c>
      <c r="E1196" s="16" t="s">
        <v>68</v>
      </c>
    </row>
    <row r="1197">
      <c r="A1197" s="1" t="s">
        <v>2985</v>
      </c>
      <c r="B1197" s="15">
        <f>+919591545209</f>
        <v>919591545209</v>
      </c>
      <c r="C1197" s="15" t="str">
        <f t="shared" si="1"/>
        <v>deepthii.narayan@gmail.com919591545209</v>
      </c>
      <c r="D1197" s="16" t="s">
        <v>8082</v>
      </c>
      <c r="E1197" s="16" t="s">
        <v>68</v>
      </c>
    </row>
    <row r="1198">
      <c r="A1198" s="1" t="s">
        <v>4427</v>
      </c>
      <c r="B1198" s="15">
        <f>+919448378204</f>
        <v>919448378204</v>
      </c>
      <c r="C1198" s="15" t="str">
        <f t="shared" si="1"/>
        <v>smyk.kejriwal@gmail.com919448378204</v>
      </c>
      <c r="D1198" s="16" t="s">
        <v>8083</v>
      </c>
      <c r="E1198" s="16" t="s">
        <v>68</v>
      </c>
    </row>
    <row r="1199">
      <c r="A1199" s="1" t="s">
        <v>2987</v>
      </c>
      <c r="B1199" s="15">
        <f>+919823099320</f>
        <v>919823099320</v>
      </c>
      <c r="C1199" s="15" t="str">
        <f t="shared" si="1"/>
        <v>madhavisood@gmail.com919823099320</v>
      </c>
      <c r="D1199" s="16" t="s">
        <v>8084</v>
      </c>
      <c r="E1199" s="16" t="s">
        <v>74</v>
      </c>
    </row>
    <row r="1200">
      <c r="A1200" s="1" t="s">
        <v>8085</v>
      </c>
      <c r="B1200" s="15">
        <f>+919043388843</f>
        <v>919043388843</v>
      </c>
      <c r="C1200" s="15" t="str">
        <f t="shared" si="1"/>
        <v>prathap2k20@gmail.com919043388843</v>
      </c>
      <c r="D1200" s="16" t="s">
        <v>8086</v>
      </c>
      <c r="E1200" s="16" t="s">
        <v>68</v>
      </c>
    </row>
    <row r="1201">
      <c r="A1201" s="1" t="s">
        <v>2989</v>
      </c>
      <c r="B1201" s="15">
        <f>+919619069662</f>
        <v>919619069662</v>
      </c>
      <c r="C1201" s="15" t="str">
        <f t="shared" si="1"/>
        <v>otsfounder@gmail.com919619069662</v>
      </c>
      <c r="D1201" s="16" t="s">
        <v>8087</v>
      </c>
      <c r="E1201" s="16" t="s">
        <v>97</v>
      </c>
    </row>
    <row r="1202">
      <c r="A1202" s="1" t="s">
        <v>8088</v>
      </c>
      <c r="B1202" s="15">
        <f>+917019915151</f>
        <v>917019915151</v>
      </c>
      <c r="C1202" s="15" t="str">
        <f t="shared" si="1"/>
        <v>prakashpraku453@gmail.com917019915151</v>
      </c>
      <c r="D1202" s="16" t="s">
        <v>8089</v>
      </c>
      <c r="E1202" s="16" t="s">
        <v>68</v>
      </c>
    </row>
    <row r="1203">
      <c r="A1203" s="1" t="s">
        <v>8090</v>
      </c>
      <c r="B1203" s="15">
        <f>+917204404921</f>
        <v>917204404921</v>
      </c>
      <c r="C1203" s="15" t="str">
        <f t="shared" si="1"/>
        <v>abhijitbibhujit@gmail.com917204404921</v>
      </c>
      <c r="D1203" s="16" t="s">
        <v>8091</v>
      </c>
      <c r="E1203" s="16" t="s">
        <v>151</v>
      </c>
    </row>
    <row r="1204">
      <c r="A1204" s="1" t="s">
        <v>8088</v>
      </c>
      <c r="B1204" s="15">
        <f>+917019915151</f>
        <v>917019915151</v>
      </c>
      <c r="C1204" s="15" t="str">
        <f t="shared" si="1"/>
        <v>prakashpraku453@gmail.com917019915151</v>
      </c>
      <c r="D1204" s="16" t="s">
        <v>8092</v>
      </c>
      <c r="E1204" s="16" t="s">
        <v>68</v>
      </c>
    </row>
    <row r="1205">
      <c r="A1205" s="1" t="s">
        <v>8093</v>
      </c>
      <c r="B1205" s="15">
        <f>+917979960088</f>
        <v>917979960088</v>
      </c>
      <c r="C1205" s="15" t="str">
        <f t="shared" si="1"/>
        <v>subu0659@gmail.com917979960088</v>
      </c>
      <c r="D1205" s="16" t="s">
        <v>8094</v>
      </c>
      <c r="E1205" s="16" t="s">
        <v>68</v>
      </c>
    </row>
    <row r="1206">
      <c r="A1206" s="1" t="s">
        <v>8095</v>
      </c>
      <c r="B1206" s="15">
        <f>+919867799012</f>
        <v>919867799012</v>
      </c>
      <c r="C1206" s="15" t="str">
        <f t="shared" si="1"/>
        <v>monikapoor1404@gmail.com919867799012</v>
      </c>
      <c r="D1206" s="16" t="s">
        <v>8096</v>
      </c>
      <c r="E1206" s="16" t="s">
        <v>68</v>
      </c>
    </row>
    <row r="1207">
      <c r="A1207" s="1" t="s">
        <v>8097</v>
      </c>
      <c r="B1207" s="15">
        <f>+919871423201</f>
        <v>919871423201</v>
      </c>
      <c r="C1207" s="15" t="str">
        <f t="shared" si="1"/>
        <v>promila.pahuja@gmail.com919871423201</v>
      </c>
      <c r="D1207" s="16" t="s">
        <v>8098</v>
      </c>
      <c r="E1207" s="16" t="s">
        <v>68</v>
      </c>
    </row>
    <row r="1208">
      <c r="A1208" s="1" t="s">
        <v>6269</v>
      </c>
      <c r="B1208" s="15">
        <f>+919398365395</f>
        <v>919398365395</v>
      </c>
      <c r="C1208" s="15" t="str">
        <f t="shared" si="1"/>
        <v>tirumanyamsham@gmail.com919398365395</v>
      </c>
      <c r="D1208" s="16" t="s">
        <v>8099</v>
      </c>
      <c r="E1208" s="16" t="s">
        <v>68</v>
      </c>
    </row>
    <row r="1209">
      <c r="A1209" s="1" t="s">
        <v>2621</v>
      </c>
      <c r="B1209" s="15">
        <f>+918777742505</f>
        <v>918777742505</v>
      </c>
      <c r="C1209" s="15" t="str">
        <f t="shared" si="1"/>
        <v>arnavamaya5@gmail.com918777742505</v>
      </c>
      <c r="D1209" s="16" t="s">
        <v>8100</v>
      </c>
      <c r="E1209" s="16" t="s">
        <v>68</v>
      </c>
    </row>
    <row r="1210">
      <c r="A1210" s="1" t="s">
        <v>6271</v>
      </c>
      <c r="B1210" s="15">
        <f>+918760646622</f>
        <v>918760646622</v>
      </c>
      <c r="C1210" s="15" t="str">
        <f t="shared" si="1"/>
        <v>jf19072003@gmail.com918760646622</v>
      </c>
      <c r="D1210" s="16" t="s">
        <v>8101</v>
      </c>
      <c r="E1210" s="16" t="s">
        <v>68</v>
      </c>
    </row>
    <row r="1211">
      <c r="A1211" s="1" t="s">
        <v>2797</v>
      </c>
      <c r="B1211" s="15">
        <f>+918693075945</f>
        <v>918693075945</v>
      </c>
      <c r="C1211" s="15" t="str">
        <f t="shared" si="1"/>
        <v>spranali1417@gmail.com918693075945</v>
      </c>
      <c r="D1211" s="16" t="s">
        <v>8102</v>
      </c>
      <c r="E1211" s="16" t="s">
        <v>68</v>
      </c>
    </row>
    <row r="1212">
      <c r="A1212" s="1" t="s">
        <v>2623</v>
      </c>
      <c r="B1212" s="15">
        <f>+917876045967</f>
        <v>917876045967</v>
      </c>
      <c r="C1212" s="15" t="str">
        <f t="shared" si="1"/>
        <v>tsedol1959@gmail.com917876045967</v>
      </c>
      <c r="D1212" s="16" t="s">
        <v>8103</v>
      </c>
      <c r="E1212" s="16" t="s">
        <v>68</v>
      </c>
    </row>
    <row r="1213">
      <c r="A1213" s="1" t="s">
        <v>7231</v>
      </c>
      <c r="B1213" s="15">
        <f>+918283817337</f>
        <v>918283817337</v>
      </c>
      <c r="C1213" s="15" t="str">
        <f t="shared" si="1"/>
        <v>bhavnaprabhu76@gmail.com918283817337</v>
      </c>
      <c r="D1213" s="16" t="s">
        <v>8104</v>
      </c>
      <c r="E1213" s="16" t="s">
        <v>74</v>
      </c>
    </row>
    <row r="1214">
      <c r="A1214" s="1" t="s">
        <v>4599</v>
      </c>
      <c r="B1214" s="15">
        <f>+919972852522</f>
        <v>919972852522</v>
      </c>
      <c r="C1214" s="15" t="str">
        <f t="shared" si="1"/>
        <v>honeysibi@idrr.org919972852522</v>
      </c>
      <c r="D1214" s="16" t="s">
        <v>8105</v>
      </c>
      <c r="E1214" s="16" t="s">
        <v>68</v>
      </c>
    </row>
    <row r="1215">
      <c r="A1215" s="1" t="s">
        <v>8106</v>
      </c>
      <c r="B1215" s="15">
        <f>+918777866155</f>
        <v>918777866155</v>
      </c>
      <c r="C1215" s="15" t="str">
        <f t="shared" si="1"/>
        <v>momadada19@gmail.com918777866155</v>
      </c>
      <c r="D1215" s="16" t="s">
        <v>8107</v>
      </c>
      <c r="E1215" s="16" t="s">
        <v>97</v>
      </c>
    </row>
    <row r="1216">
      <c r="A1216" s="1" t="s">
        <v>2991</v>
      </c>
      <c r="B1216" s="15">
        <f>+919930333673</f>
        <v>919930333673</v>
      </c>
      <c r="C1216" s="15" t="str">
        <f t="shared" si="1"/>
        <v>poojavsharma25@gmail.com919930333673</v>
      </c>
      <c r="D1216" s="16" t="s">
        <v>8108</v>
      </c>
      <c r="E1216" s="16" t="s">
        <v>97</v>
      </c>
    </row>
    <row r="1217">
      <c r="A1217" s="1" t="s">
        <v>5356</v>
      </c>
      <c r="B1217" s="15">
        <f t="shared" ref="B1217:B1218" si="154">+917338767219</f>
        <v>917338767219</v>
      </c>
      <c r="C1217" s="15" t="str">
        <f t="shared" si="1"/>
        <v>shesamalinisivamani@gmail.com917338767219</v>
      </c>
      <c r="D1217" s="16" t="s">
        <v>8109</v>
      </c>
      <c r="E1217" s="16" t="s">
        <v>68</v>
      </c>
    </row>
    <row r="1218">
      <c r="A1218" s="1" t="s">
        <v>5356</v>
      </c>
      <c r="B1218" s="15">
        <f t="shared" si="154"/>
        <v>917338767219</v>
      </c>
      <c r="C1218" s="15" t="str">
        <f t="shared" si="1"/>
        <v>shesamalinisivamani@gmail.com917338767219</v>
      </c>
      <c r="D1218" s="16" t="s">
        <v>8110</v>
      </c>
      <c r="E1218" s="16" t="s">
        <v>68</v>
      </c>
    </row>
    <row r="1219">
      <c r="A1219" s="1" t="s">
        <v>3397</v>
      </c>
      <c r="B1219" s="15">
        <f>+918093785688</f>
        <v>918093785688</v>
      </c>
      <c r="C1219" s="15" t="str">
        <f t="shared" si="1"/>
        <v>ankitabehera73@gmail.com918093785688</v>
      </c>
      <c r="D1219" s="16" t="s">
        <v>8111</v>
      </c>
      <c r="E1219" s="16" t="s">
        <v>68</v>
      </c>
    </row>
    <row r="1220">
      <c r="A1220" s="1" t="s">
        <v>8106</v>
      </c>
      <c r="B1220" s="15">
        <f>+918777866155</f>
        <v>918777866155</v>
      </c>
      <c r="C1220" s="15" t="str">
        <f t="shared" si="1"/>
        <v>momadada19@gmail.com918777866155</v>
      </c>
      <c r="D1220" s="16" t="s">
        <v>8112</v>
      </c>
      <c r="E1220" s="16" t="s">
        <v>97</v>
      </c>
    </row>
    <row r="1221">
      <c r="A1221" s="1" t="s">
        <v>2458</v>
      </c>
      <c r="B1221" s="15">
        <f>+919416173796</f>
        <v>919416173796</v>
      </c>
      <c r="C1221" s="15" t="str">
        <f t="shared" si="1"/>
        <v>mahirgupta98@gmail.com919416173796</v>
      </c>
      <c r="D1221" s="16" t="s">
        <v>8113</v>
      </c>
      <c r="E1221" s="16" t="s">
        <v>68</v>
      </c>
    </row>
    <row r="1222">
      <c r="A1222" s="1" t="s">
        <v>3401</v>
      </c>
      <c r="B1222" s="15">
        <f>+919897045822</f>
        <v>919897045822</v>
      </c>
      <c r="C1222" s="15" t="str">
        <f t="shared" si="1"/>
        <v>ajay45822@gmail.com919897045822</v>
      </c>
      <c r="D1222" s="16" t="s">
        <v>8114</v>
      </c>
      <c r="E1222" s="16" t="s">
        <v>74</v>
      </c>
    </row>
    <row r="1223">
      <c r="A1223" s="1" t="s">
        <v>8115</v>
      </c>
      <c r="B1223" s="15">
        <f>+919003469890</f>
        <v>919003469890</v>
      </c>
      <c r="C1223" s="15" t="str">
        <f t="shared" si="1"/>
        <v>priyashree.jp123@gmail.com919003469890</v>
      </c>
      <c r="D1223" s="16" t="s">
        <v>8116</v>
      </c>
      <c r="E1223" s="16" t="s">
        <v>74</v>
      </c>
    </row>
    <row r="1224">
      <c r="A1224" s="1" t="s">
        <v>8057</v>
      </c>
      <c r="B1224" s="15">
        <f>+919561123344</f>
        <v>919561123344</v>
      </c>
      <c r="C1224" s="15" t="str">
        <f t="shared" si="1"/>
        <v>smrutic@gmail.com919561123344</v>
      </c>
      <c r="D1224" s="16" t="s">
        <v>8117</v>
      </c>
      <c r="E1224" s="16" t="s">
        <v>68</v>
      </c>
    </row>
    <row r="1225">
      <c r="A1225" s="1" t="s">
        <v>3085</v>
      </c>
      <c r="B1225" s="15">
        <f>+919987202924</f>
        <v>919987202924</v>
      </c>
      <c r="C1225" s="15" t="str">
        <f t="shared" si="1"/>
        <v>ashvgr8@gmail.com919987202924</v>
      </c>
      <c r="D1225" s="16" t="s">
        <v>8118</v>
      </c>
      <c r="E1225" s="16" t="s">
        <v>68</v>
      </c>
    </row>
    <row r="1226">
      <c r="A1226" s="1" t="s">
        <v>4810</v>
      </c>
      <c r="B1226" s="15">
        <f t="shared" ref="B1226:B1227" si="155">+919769472787</f>
        <v>919769472787</v>
      </c>
      <c r="C1226" s="15" t="str">
        <f t="shared" si="1"/>
        <v>sylvester.kunder@gmail.com919769472787</v>
      </c>
      <c r="D1226" s="16" t="s">
        <v>8119</v>
      </c>
      <c r="E1226" s="16" t="s">
        <v>97</v>
      </c>
    </row>
    <row r="1227">
      <c r="A1227" s="1" t="s">
        <v>4810</v>
      </c>
      <c r="B1227" s="15">
        <f t="shared" si="155"/>
        <v>919769472787</v>
      </c>
      <c r="C1227" s="15" t="str">
        <f t="shared" si="1"/>
        <v>sylvester.kunder@gmail.com919769472787</v>
      </c>
      <c r="D1227" s="16" t="s">
        <v>8120</v>
      </c>
      <c r="E1227" s="16" t="s">
        <v>97</v>
      </c>
    </row>
    <row r="1228">
      <c r="A1228" s="1" t="s">
        <v>4414</v>
      </c>
      <c r="B1228" s="15">
        <f>+918754541518</f>
        <v>918754541518</v>
      </c>
      <c r="C1228" s="15" t="str">
        <f t="shared" si="1"/>
        <v>arul.georginal@gmail.com918754541518</v>
      </c>
      <c r="D1228" s="16" t="s">
        <v>8121</v>
      </c>
      <c r="E1228" s="16" t="s">
        <v>68</v>
      </c>
    </row>
    <row r="1229">
      <c r="A1229" s="1" t="s">
        <v>3295</v>
      </c>
      <c r="B1229" s="15">
        <f>+919978799000</f>
        <v>919978799000</v>
      </c>
      <c r="C1229" s="15" t="str">
        <f t="shared" si="1"/>
        <v>geetameer88@gmail.com919978799000</v>
      </c>
      <c r="D1229" s="16" t="s">
        <v>8122</v>
      </c>
      <c r="E1229" s="16" t="s">
        <v>74</v>
      </c>
    </row>
    <row r="1230">
      <c r="A1230" s="1" t="s">
        <v>8123</v>
      </c>
      <c r="B1230" s="15">
        <f t="shared" ref="B1230:B1232" si="156">+919029286514</f>
        <v>919029286514</v>
      </c>
      <c r="C1230" s="15" t="str">
        <f t="shared" si="1"/>
        <v>nehabhatsmiles@gmail.com919029286514</v>
      </c>
      <c r="D1230" s="16" t="s">
        <v>8124</v>
      </c>
      <c r="E1230" s="16" t="s">
        <v>68</v>
      </c>
    </row>
    <row r="1231">
      <c r="A1231" s="1" t="s">
        <v>8123</v>
      </c>
      <c r="B1231" s="15">
        <f t="shared" si="156"/>
        <v>919029286514</v>
      </c>
      <c r="C1231" s="15" t="str">
        <f t="shared" si="1"/>
        <v>nehabhatsmiles@gmail.com919029286514</v>
      </c>
      <c r="D1231" s="16" t="s">
        <v>8125</v>
      </c>
      <c r="E1231" s="16" t="s">
        <v>68</v>
      </c>
    </row>
    <row r="1232">
      <c r="A1232" s="1" t="s">
        <v>8123</v>
      </c>
      <c r="B1232" s="15">
        <f t="shared" si="156"/>
        <v>919029286514</v>
      </c>
      <c r="C1232" s="15" t="str">
        <f t="shared" si="1"/>
        <v>nehabhatsmiles@gmail.com919029286514</v>
      </c>
      <c r="D1232" s="16" t="s">
        <v>8126</v>
      </c>
      <c r="E1232" s="16" t="s">
        <v>68</v>
      </c>
    </row>
    <row r="1233">
      <c r="A1233" s="1" t="s">
        <v>2997</v>
      </c>
      <c r="B1233" s="15">
        <f>+918779149037</f>
        <v>918779149037</v>
      </c>
      <c r="C1233" s="15" t="str">
        <f t="shared" si="1"/>
        <v>manidip.ganguly@gmail.com918779149037</v>
      </c>
      <c r="D1233" s="16" t="s">
        <v>8127</v>
      </c>
      <c r="E1233" s="16" t="s">
        <v>68</v>
      </c>
    </row>
    <row r="1234">
      <c r="A1234" s="1" t="s">
        <v>5206</v>
      </c>
      <c r="B1234" s="15">
        <f>+919820008542</f>
        <v>919820008542</v>
      </c>
      <c r="C1234" s="15" t="str">
        <f t="shared" si="1"/>
        <v>sindhundk@gmail.com919820008542</v>
      </c>
      <c r="D1234" s="16" t="s">
        <v>8128</v>
      </c>
      <c r="E1234" s="16" t="s">
        <v>74</v>
      </c>
    </row>
    <row r="1235">
      <c r="A1235" s="1" t="s">
        <v>2993</v>
      </c>
      <c r="B1235" s="15">
        <f>+917039019353</f>
        <v>917039019353</v>
      </c>
      <c r="C1235" s="15" t="str">
        <f t="shared" si="1"/>
        <v>abs_shri@yahoo.com917039019353</v>
      </c>
      <c r="D1235" s="16" t="s">
        <v>8129</v>
      </c>
      <c r="E1235" s="16" t="s">
        <v>68</v>
      </c>
    </row>
    <row r="1236">
      <c r="A1236" s="1" t="s">
        <v>4073</v>
      </c>
      <c r="B1236" s="15">
        <f>+919940873060</f>
        <v>919940873060</v>
      </c>
      <c r="C1236" s="15" t="str">
        <f t="shared" si="1"/>
        <v>dhivya1371999@gmail.com919940873060</v>
      </c>
      <c r="D1236" s="16" t="s">
        <v>8130</v>
      </c>
      <c r="E1236" s="16" t="s">
        <v>74</v>
      </c>
    </row>
    <row r="1237">
      <c r="A1237" s="1" t="s">
        <v>3087</v>
      </c>
      <c r="B1237" s="15">
        <f t="shared" ref="B1237:B1238" si="157">+919765037370</f>
        <v>919765037370</v>
      </c>
      <c r="C1237" s="15" t="str">
        <f t="shared" si="1"/>
        <v>skagarwal76@gmail.com919765037370</v>
      </c>
      <c r="D1237" s="16" t="s">
        <v>8131</v>
      </c>
      <c r="E1237" s="16" t="s">
        <v>74</v>
      </c>
    </row>
    <row r="1238">
      <c r="A1238" s="1" t="s">
        <v>3087</v>
      </c>
      <c r="B1238" s="15">
        <f t="shared" si="157"/>
        <v>919765037370</v>
      </c>
      <c r="C1238" s="15" t="str">
        <f t="shared" si="1"/>
        <v>skagarwal76@gmail.com919765037370</v>
      </c>
      <c r="D1238" s="16" t="s">
        <v>8132</v>
      </c>
      <c r="E1238" s="16" t="s">
        <v>74</v>
      </c>
    </row>
    <row r="1239">
      <c r="A1239" s="1" t="s">
        <v>2995</v>
      </c>
      <c r="B1239" s="15">
        <f>+919822457246</f>
        <v>919822457246</v>
      </c>
      <c r="C1239" s="15" t="str">
        <f t="shared" si="1"/>
        <v>jyoti.g.tejwani@gmail.com919822457246</v>
      </c>
      <c r="D1239" s="16" t="s">
        <v>8133</v>
      </c>
      <c r="E1239" s="16" t="s">
        <v>68</v>
      </c>
    </row>
    <row r="1240">
      <c r="A1240" s="1" t="s">
        <v>2998</v>
      </c>
      <c r="B1240" s="15">
        <f t="shared" ref="B1240:B1242" si="158">+919959516713</f>
        <v>919959516713</v>
      </c>
      <c r="C1240" s="15" t="str">
        <f t="shared" si="1"/>
        <v>sh1@shnworld.in919959516713</v>
      </c>
      <c r="D1240" s="16" t="s">
        <v>8134</v>
      </c>
      <c r="E1240" s="16" t="s">
        <v>74</v>
      </c>
    </row>
    <row r="1241">
      <c r="A1241" s="1" t="s">
        <v>2998</v>
      </c>
      <c r="B1241" s="15">
        <f t="shared" si="158"/>
        <v>919959516713</v>
      </c>
      <c r="C1241" s="15" t="str">
        <f t="shared" si="1"/>
        <v>sh1@shnworld.in919959516713</v>
      </c>
      <c r="D1241" s="16" t="s">
        <v>8135</v>
      </c>
      <c r="E1241" s="16" t="s">
        <v>74</v>
      </c>
    </row>
    <row r="1242">
      <c r="A1242" s="1" t="s">
        <v>2998</v>
      </c>
      <c r="B1242" s="15">
        <f t="shared" si="158"/>
        <v>919959516713</v>
      </c>
      <c r="C1242" s="15" t="str">
        <f t="shared" si="1"/>
        <v>sh1@shnworld.in919959516713</v>
      </c>
      <c r="D1242" s="16" t="s">
        <v>8136</v>
      </c>
      <c r="E1242" s="16" t="s">
        <v>68</v>
      </c>
    </row>
    <row r="1243">
      <c r="A1243" s="1" t="s">
        <v>3087</v>
      </c>
      <c r="B1243" s="15">
        <f>+919765037370</f>
        <v>919765037370</v>
      </c>
      <c r="C1243" s="15" t="str">
        <f t="shared" si="1"/>
        <v>skagarwal76@gmail.com919765037370</v>
      </c>
      <c r="D1243" s="16" t="s">
        <v>8137</v>
      </c>
      <c r="E1243" s="16" t="s">
        <v>74</v>
      </c>
    </row>
    <row r="1244">
      <c r="A1244" s="1" t="s">
        <v>2625</v>
      </c>
      <c r="B1244" s="15">
        <f>+919146332493</f>
        <v>919146332493</v>
      </c>
      <c r="C1244" s="15" t="str">
        <f t="shared" si="1"/>
        <v>prasaadsurve@gmail.com919146332493</v>
      </c>
      <c r="D1244" s="16" t="s">
        <v>8138</v>
      </c>
      <c r="E1244" s="16" t="s">
        <v>68</v>
      </c>
    </row>
    <row r="1245">
      <c r="A1245" s="1" t="s">
        <v>8139</v>
      </c>
      <c r="B1245" s="15">
        <f>+919811005773</f>
        <v>919811005773</v>
      </c>
      <c r="C1245" s="15" t="str">
        <f t="shared" si="1"/>
        <v>missgunjanofficial@gmail.com919811005773</v>
      </c>
      <c r="D1245" s="16" t="s">
        <v>8140</v>
      </c>
      <c r="E1245" s="16" t="s">
        <v>74</v>
      </c>
    </row>
    <row r="1246">
      <c r="A1246" s="1" t="s">
        <v>8141</v>
      </c>
      <c r="B1246" s="15">
        <f>+1916299391986</f>
        <v>1916299391986</v>
      </c>
      <c r="C1246" s="15" t="str">
        <f t="shared" si="1"/>
        <v>islamansari252533@gmail.com1916299391986</v>
      </c>
      <c r="D1246" s="16" t="s">
        <v>8142</v>
      </c>
      <c r="E1246" s="16" t="s">
        <v>97</v>
      </c>
    </row>
    <row r="1247">
      <c r="A1247" s="1" t="s">
        <v>3313</v>
      </c>
      <c r="B1247" s="15">
        <f t="shared" ref="B1247:B1248" si="159">+919888470272</f>
        <v>919888470272</v>
      </c>
      <c r="C1247" s="15" t="str">
        <f t="shared" si="1"/>
        <v>himanshusaleria@gmail.com919888470272</v>
      </c>
      <c r="D1247" s="16" t="s">
        <v>8143</v>
      </c>
      <c r="E1247" s="16" t="s">
        <v>151</v>
      </c>
    </row>
    <row r="1248">
      <c r="A1248" s="1" t="s">
        <v>3313</v>
      </c>
      <c r="B1248" s="15">
        <f t="shared" si="159"/>
        <v>919888470272</v>
      </c>
      <c r="C1248" s="15" t="str">
        <f t="shared" si="1"/>
        <v>himanshusaleria@gmail.com919888470272</v>
      </c>
      <c r="D1248" s="16" t="s">
        <v>8144</v>
      </c>
      <c r="E1248" s="16" t="s">
        <v>151</v>
      </c>
    </row>
    <row r="1249">
      <c r="A1249" s="1" t="s">
        <v>8145</v>
      </c>
      <c r="B1249" s="15">
        <f t="shared" ref="B1249:B1250" si="160">+919009334731</f>
        <v>919009334731</v>
      </c>
      <c r="C1249" s="15" t="str">
        <f t="shared" si="1"/>
        <v>yoashish2002@gmail.com919009334731</v>
      </c>
      <c r="D1249" s="16" t="s">
        <v>8146</v>
      </c>
      <c r="E1249" s="16" t="s">
        <v>151</v>
      </c>
    </row>
    <row r="1250">
      <c r="A1250" s="1" t="s">
        <v>8145</v>
      </c>
      <c r="B1250" s="15">
        <f t="shared" si="160"/>
        <v>919009334731</v>
      </c>
      <c r="C1250" s="15" t="str">
        <f t="shared" si="1"/>
        <v>yoashish2002@gmail.com919009334731</v>
      </c>
      <c r="D1250" s="16" t="s">
        <v>8147</v>
      </c>
      <c r="E1250" s="16" t="s">
        <v>151</v>
      </c>
    </row>
    <row r="1251">
      <c r="A1251" s="1" t="s">
        <v>5208</v>
      </c>
      <c r="B1251" s="15">
        <f t="shared" ref="B1251:B1252" si="161">+919119393172</f>
        <v>919119393172</v>
      </c>
      <c r="C1251" s="15" t="str">
        <f t="shared" si="1"/>
        <v>tirthani.komal@gmail.com919119393172</v>
      </c>
      <c r="D1251" s="16" t="s">
        <v>8148</v>
      </c>
      <c r="E1251" s="16" t="s">
        <v>68</v>
      </c>
    </row>
    <row r="1252">
      <c r="A1252" s="1" t="s">
        <v>5208</v>
      </c>
      <c r="B1252" s="15">
        <f t="shared" si="161"/>
        <v>919119393172</v>
      </c>
      <c r="C1252" s="15" t="str">
        <f t="shared" si="1"/>
        <v>tirthani.komal@gmail.com919119393172</v>
      </c>
      <c r="D1252" s="16" t="s">
        <v>8149</v>
      </c>
      <c r="E1252" s="16" t="s">
        <v>68</v>
      </c>
    </row>
    <row r="1253">
      <c r="A1253" s="1" t="s">
        <v>8150</v>
      </c>
      <c r="B1253" s="15">
        <f t="shared" ref="B1253:B1254" si="162">+919787727048</f>
        <v>919787727048</v>
      </c>
      <c r="C1253" s="15" t="str">
        <f t="shared" si="1"/>
        <v>marveloushari@gmail.com919787727048</v>
      </c>
      <c r="D1253" s="16" t="s">
        <v>8151</v>
      </c>
      <c r="E1253" s="16" t="s">
        <v>74</v>
      </c>
    </row>
    <row r="1254">
      <c r="A1254" s="1" t="s">
        <v>8150</v>
      </c>
      <c r="B1254" s="15">
        <f t="shared" si="162"/>
        <v>919787727048</v>
      </c>
      <c r="C1254" s="15" t="str">
        <f t="shared" si="1"/>
        <v>marveloushari@gmail.com919787727048</v>
      </c>
      <c r="D1254" s="16" t="s">
        <v>8152</v>
      </c>
      <c r="E1254" s="16" t="s">
        <v>74</v>
      </c>
    </row>
    <row r="1255">
      <c r="A1255" s="1" t="s">
        <v>5358</v>
      </c>
      <c r="B1255" s="15">
        <f>+919943041950</f>
        <v>919943041950</v>
      </c>
      <c r="C1255" s="15" t="str">
        <f t="shared" si="1"/>
        <v>ayishaparveen1966@gmail.com919943041950</v>
      </c>
      <c r="D1255" s="16" t="s">
        <v>8153</v>
      </c>
      <c r="E1255" s="16" t="s">
        <v>74</v>
      </c>
    </row>
    <row r="1256">
      <c r="A1256" s="1" t="s">
        <v>3434</v>
      </c>
      <c r="B1256" s="15">
        <f t="shared" ref="B1256:B1257" si="163">+918308570267</f>
        <v>918308570267</v>
      </c>
      <c r="C1256" s="15" t="str">
        <f t="shared" si="1"/>
        <v>varunmahale1993@gmail.com918308570267</v>
      </c>
      <c r="D1256" s="16" t="s">
        <v>8154</v>
      </c>
      <c r="E1256" s="16" t="s">
        <v>74</v>
      </c>
    </row>
    <row r="1257">
      <c r="A1257" s="1" t="s">
        <v>3434</v>
      </c>
      <c r="B1257" s="15">
        <f t="shared" si="163"/>
        <v>918308570267</v>
      </c>
      <c r="C1257" s="15" t="str">
        <f t="shared" si="1"/>
        <v>varunmahale1993@gmail.com918308570267</v>
      </c>
      <c r="D1257" s="16" t="s">
        <v>8155</v>
      </c>
      <c r="E1257" s="16" t="s">
        <v>74</v>
      </c>
    </row>
    <row r="1258">
      <c r="A1258" s="1" t="s">
        <v>8156</v>
      </c>
      <c r="B1258" s="15">
        <f>+917893924248</f>
        <v>917893924248</v>
      </c>
      <c r="C1258" s="15" t="str">
        <f t="shared" si="1"/>
        <v>sreenoud@gmail.com917893924248</v>
      </c>
      <c r="D1258" s="16" t="s">
        <v>8157</v>
      </c>
      <c r="E1258" s="16" t="s">
        <v>97</v>
      </c>
    </row>
    <row r="1259">
      <c r="A1259" s="1" t="s">
        <v>5360</v>
      </c>
      <c r="B1259" s="15">
        <f>+919804232486</f>
        <v>919804232486</v>
      </c>
      <c r="C1259" s="15" t="str">
        <f t="shared" si="1"/>
        <v>alvina.megh27@gmail.com919804232486</v>
      </c>
      <c r="D1259" s="16" t="s">
        <v>8158</v>
      </c>
      <c r="E1259" s="16" t="s">
        <v>68</v>
      </c>
    </row>
    <row r="1260">
      <c r="A1260" s="1" t="s">
        <v>3313</v>
      </c>
      <c r="B1260" s="15">
        <f>+919888470272</f>
        <v>919888470272</v>
      </c>
      <c r="C1260" s="15" t="str">
        <f t="shared" si="1"/>
        <v>himanshusaleria@gmail.com919888470272</v>
      </c>
      <c r="D1260" s="16" t="s">
        <v>8159</v>
      </c>
      <c r="E1260" s="16" t="s">
        <v>151</v>
      </c>
    </row>
    <row r="1261">
      <c r="A1261" s="1" t="s">
        <v>6526</v>
      </c>
      <c r="B1261" s="15">
        <f>+919999304427</f>
        <v>919999304427</v>
      </c>
      <c r="C1261" s="15" t="str">
        <f t="shared" si="1"/>
        <v>yuktaanand@yahoo.co.in919999304427</v>
      </c>
      <c r="D1261" s="16" t="s">
        <v>8160</v>
      </c>
      <c r="E1261" s="16" t="s">
        <v>68</v>
      </c>
    </row>
    <row r="1262">
      <c r="A1262" s="1" t="s">
        <v>8161</v>
      </c>
      <c r="B1262" s="15">
        <f>+917457948735</f>
        <v>917457948735</v>
      </c>
      <c r="C1262" s="15" t="str">
        <f t="shared" si="1"/>
        <v>md.zulkaifahmad@gmail.com917457948735</v>
      </c>
      <c r="D1262" s="16" t="s">
        <v>8162</v>
      </c>
      <c r="E1262" s="16" t="s">
        <v>151</v>
      </c>
    </row>
    <row r="1263">
      <c r="A1263" s="1" t="s">
        <v>6526</v>
      </c>
      <c r="B1263" s="15">
        <f>+919999304427</f>
        <v>919999304427</v>
      </c>
      <c r="C1263" s="15" t="str">
        <f t="shared" si="1"/>
        <v>yuktaanand@yahoo.co.in919999304427</v>
      </c>
      <c r="D1263" s="16" t="s">
        <v>8163</v>
      </c>
      <c r="E1263" s="16" t="s">
        <v>68</v>
      </c>
    </row>
    <row r="1264">
      <c r="A1264" s="1" t="s">
        <v>6528</v>
      </c>
      <c r="B1264" s="15">
        <f>+919171112660</f>
        <v>919171112660</v>
      </c>
      <c r="C1264" s="15" t="str">
        <f t="shared" si="1"/>
        <v>namitakothari30@gmail.com919171112660</v>
      </c>
      <c r="D1264" s="16" t="s">
        <v>8164</v>
      </c>
      <c r="E1264" s="16" t="s">
        <v>68</v>
      </c>
    </row>
    <row r="1265">
      <c r="A1265" s="1" t="s">
        <v>8165</v>
      </c>
      <c r="B1265" s="15">
        <f>+919314488222</f>
        <v>919314488222</v>
      </c>
      <c r="C1265" s="15" t="str">
        <f t="shared" si="1"/>
        <v>dgoel0107@gmail.com919314488222</v>
      </c>
      <c r="D1265" s="16" t="s">
        <v>8166</v>
      </c>
      <c r="E1265" s="16" t="s">
        <v>74</v>
      </c>
    </row>
    <row r="1266">
      <c r="A1266" s="1" t="s">
        <v>8167</v>
      </c>
      <c r="B1266" s="15">
        <f>+917787979727</f>
        <v>917787979727</v>
      </c>
      <c r="C1266" s="15" t="str">
        <f t="shared" si="1"/>
        <v>barshapriyadarsanisamal@gmail.com917787979727</v>
      </c>
      <c r="D1266" s="16" t="s">
        <v>8168</v>
      </c>
      <c r="E1266" s="16" t="s">
        <v>151</v>
      </c>
    </row>
    <row r="1267">
      <c r="A1267" s="1" t="s">
        <v>6530</v>
      </c>
      <c r="B1267" s="15">
        <f>+919036404634</f>
        <v>919036404634</v>
      </c>
      <c r="C1267" s="15" t="str">
        <f t="shared" si="1"/>
        <v>kajuansh@gmail.com919036404634</v>
      </c>
      <c r="D1267" s="16" t="s">
        <v>8169</v>
      </c>
      <c r="E1267" s="16" t="s">
        <v>68</v>
      </c>
    </row>
    <row r="1268">
      <c r="A1268" s="1" t="s">
        <v>8170</v>
      </c>
      <c r="B1268" s="15">
        <f>+918970912570</f>
        <v>918970912570</v>
      </c>
      <c r="C1268" s="15" t="str">
        <f t="shared" si="1"/>
        <v>smanoj9844@gmail.com918970912570</v>
      </c>
      <c r="D1268" s="16" t="s">
        <v>8171</v>
      </c>
      <c r="E1268" s="16" t="s">
        <v>151</v>
      </c>
    </row>
    <row r="1269">
      <c r="A1269" s="1" t="s">
        <v>3892</v>
      </c>
      <c r="B1269" s="15">
        <f t="shared" ref="B1269:B1270" si="164">+919949426879</f>
        <v>919949426879</v>
      </c>
      <c r="C1269" s="15" t="str">
        <f t="shared" si="1"/>
        <v>thummala.ajayreddy@gmail.com919949426879</v>
      </c>
      <c r="D1269" s="16" t="s">
        <v>8172</v>
      </c>
      <c r="E1269" s="16" t="s">
        <v>151</v>
      </c>
    </row>
    <row r="1270">
      <c r="A1270" s="1" t="s">
        <v>3892</v>
      </c>
      <c r="B1270" s="15">
        <f t="shared" si="164"/>
        <v>919949426879</v>
      </c>
      <c r="C1270" s="15" t="str">
        <f t="shared" si="1"/>
        <v>thummala.ajayreddy@gmail.com919949426879</v>
      </c>
      <c r="D1270" s="16" t="s">
        <v>8173</v>
      </c>
      <c r="E1270" s="16" t="s">
        <v>151</v>
      </c>
    </row>
    <row r="1271">
      <c r="A1271" s="1" t="s">
        <v>2799</v>
      </c>
      <c r="B1271" s="15">
        <f>+919100161455</f>
        <v>919100161455</v>
      </c>
      <c r="C1271" s="15" t="str">
        <f t="shared" si="1"/>
        <v>saisree.ballarapu@gmail.com919100161455</v>
      </c>
      <c r="D1271" s="16" t="s">
        <v>8174</v>
      </c>
      <c r="E1271" s="16" t="s">
        <v>68</v>
      </c>
    </row>
    <row r="1272">
      <c r="A1272" s="1" t="s">
        <v>8175</v>
      </c>
      <c r="B1272" s="15">
        <f>+919509290210</f>
        <v>919509290210</v>
      </c>
      <c r="C1272" s="15" t="str">
        <f t="shared" si="1"/>
        <v>rm9509290210@gmail.com919509290210</v>
      </c>
      <c r="D1272" s="16" t="s">
        <v>8176</v>
      </c>
      <c r="E1272" s="16" t="s">
        <v>97</v>
      </c>
    </row>
    <row r="1273">
      <c r="A1273" s="1" t="s">
        <v>2719</v>
      </c>
      <c r="B1273" s="15">
        <f t="shared" ref="B1273:B1274" si="165">+918510048810</f>
        <v>918510048810</v>
      </c>
      <c r="C1273" s="15" t="str">
        <f t="shared" si="1"/>
        <v>bharatdivya.dhingra@gmail.com918510048810</v>
      </c>
      <c r="D1273" s="16" t="s">
        <v>8177</v>
      </c>
      <c r="E1273" s="16" t="s">
        <v>68</v>
      </c>
    </row>
    <row r="1274">
      <c r="A1274" s="1" t="s">
        <v>2719</v>
      </c>
      <c r="B1274" s="15">
        <f t="shared" si="165"/>
        <v>918510048810</v>
      </c>
      <c r="C1274" s="15" t="str">
        <f t="shared" si="1"/>
        <v>bharatdivya.dhingra@gmail.com918510048810</v>
      </c>
      <c r="D1274" s="16" t="s">
        <v>8178</v>
      </c>
      <c r="E1274" s="16" t="s">
        <v>68</v>
      </c>
    </row>
    <row r="1275">
      <c r="A1275" s="1" t="s">
        <v>987</v>
      </c>
      <c r="B1275" s="15">
        <f>+919579765697</f>
        <v>919579765697</v>
      </c>
      <c r="C1275" s="15" t="str">
        <f t="shared" si="1"/>
        <v>bpreynka1@yahoo.com919579765697</v>
      </c>
      <c r="D1275" s="16" t="s">
        <v>8179</v>
      </c>
      <c r="E1275" s="16" t="s">
        <v>68</v>
      </c>
    </row>
    <row r="1276">
      <c r="A1276" s="1" t="s">
        <v>5362</v>
      </c>
      <c r="B1276" s="15">
        <f>+919958533813</f>
        <v>919958533813</v>
      </c>
      <c r="C1276" s="15" t="str">
        <f t="shared" si="1"/>
        <v>faceandthefeast@gmail.com919958533813</v>
      </c>
      <c r="D1276" s="16" t="s">
        <v>8180</v>
      </c>
      <c r="E1276" s="16" t="s">
        <v>68</v>
      </c>
    </row>
    <row r="1277">
      <c r="A1277" s="1" t="s">
        <v>8181</v>
      </c>
      <c r="B1277" s="15">
        <f>+918800282060</f>
        <v>918800282060</v>
      </c>
      <c r="C1277" s="15" t="str">
        <f t="shared" si="1"/>
        <v>yashvardhanjain11@gmail.com918800282060</v>
      </c>
      <c r="D1277" s="16" t="s">
        <v>8182</v>
      </c>
      <c r="E1277" s="16" t="s">
        <v>74</v>
      </c>
    </row>
    <row r="1278">
      <c r="A1278" s="1" t="s">
        <v>6232</v>
      </c>
      <c r="B1278" s="15">
        <f>+918660259300</f>
        <v>918660259300</v>
      </c>
      <c r="C1278" s="15" t="str">
        <f t="shared" si="1"/>
        <v>nagarjunsk8@gmail.com918660259300</v>
      </c>
      <c r="D1278" s="16" t="s">
        <v>8183</v>
      </c>
      <c r="E1278" s="16" t="s">
        <v>68</v>
      </c>
    </row>
    <row r="1279">
      <c r="A1279" s="1" t="s">
        <v>2627</v>
      </c>
      <c r="B1279" s="15">
        <f>+919108627981</f>
        <v>919108627981</v>
      </c>
      <c r="C1279" s="15" t="str">
        <f t="shared" si="1"/>
        <v>sudhirgang99@gmail.com919108627981</v>
      </c>
      <c r="D1279" s="16" t="s">
        <v>8184</v>
      </c>
      <c r="E1279" s="16" t="s">
        <v>74</v>
      </c>
    </row>
    <row r="1280">
      <c r="A1280" s="1" t="s">
        <v>5864</v>
      </c>
      <c r="B1280" s="15">
        <f>+919845018723</f>
        <v>919845018723</v>
      </c>
      <c r="C1280" s="15" t="str">
        <f t="shared" si="1"/>
        <v>rashmisumanth@gmail.com919845018723</v>
      </c>
      <c r="D1280" s="16" t="s">
        <v>8185</v>
      </c>
      <c r="E1280" s="16" t="s">
        <v>68</v>
      </c>
    </row>
    <row r="1281">
      <c r="A1281" s="1" t="s">
        <v>2844</v>
      </c>
      <c r="B1281" s="15">
        <f t="shared" ref="B1281:B1283" si="166">+917093081109</f>
        <v>917093081109</v>
      </c>
      <c r="C1281" s="15" t="str">
        <f t="shared" si="1"/>
        <v>scarysai@gmail.com917093081109</v>
      </c>
      <c r="D1281" s="16" t="s">
        <v>8186</v>
      </c>
      <c r="E1281" s="16" t="s">
        <v>97</v>
      </c>
    </row>
    <row r="1282">
      <c r="A1282" s="1" t="s">
        <v>2844</v>
      </c>
      <c r="B1282" s="15">
        <f t="shared" si="166"/>
        <v>917093081109</v>
      </c>
      <c r="C1282" s="15" t="str">
        <f t="shared" si="1"/>
        <v>scarysai@gmail.com917093081109</v>
      </c>
      <c r="D1282" s="16" t="s">
        <v>8187</v>
      </c>
      <c r="E1282" s="16" t="s">
        <v>97</v>
      </c>
    </row>
    <row r="1283">
      <c r="A1283" s="1" t="s">
        <v>2844</v>
      </c>
      <c r="B1283" s="15">
        <f t="shared" si="166"/>
        <v>917093081109</v>
      </c>
      <c r="C1283" s="15" t="str">
        <f t="shared" si="1"/>
        <v>scarysai@gmail.com917093081109</v>
      </c>
      <c r="D1283" s="16" t="s">
        <v>8188</v>
      </c>
      <c r="E1283" s="16" t="s">
        <v>68</v>
      </c>
    </row>
    <row r="1284">
      <c r="A1284" s="1" t="s">
        <v>6532</v>
      </c>
      <c r="B1284" s="15">
        <f>+64226701308</f>
        <v>64226701308</v>
      </c>
      <c r="C1284" s="15" t="str">
        <f t="shared" si="1"/>
        <v>manish.makwana@live.com64226701308</v>
      </c>
      <c r="D1284" s="16" t="s">
        <v>8189</v>
      </c>
      <c r="E1284" s="16" t="s">
        <v>74</v>
      </c>
    </row>
    <row r="1285">
      <c r="A1285" s="1" t="s">
        <v>3204</v>
      </c>
      <c r="B1285" s="15">
        <f>+919008764932</f>
        <v>919008764932</v>
      </c>
      <c r="C1285" s="15" t="str">
        <f t="shared" si="1"/>
        <v>manyakumar.93@gmail.com919008764932</v>
      </c>
      <c r="D1285" s="16" t="s">
        <v>8190</v>
      </c>
      <c r="E1285" s="16" t="s">
        <v>68</v>
      </c>
    </row>
    <row r="1286">
      <c r="A1286" s="1" t="s">
        <v>6273</v>
      </c>
      <c r="B1286" s="15">
        <f>+918283960580</f>
        <v>918283960580</v>
      </c>
      <c r="C1286" s="15" t="str">
        <f t="shared" si="1"/>
        <v>christinagill084@gmail.com918283960580</v>
      </c>
      <c r="D1286" s="16" t="s">
        <v>8191</v>
      </c>
      <c r="E1286" s="16" t="s">
        <v>74</v>
      </c>
    </row>
    <row r="1287">
      <c r="A1287" s="1" t="s">
        <v>6273</v>
      </c>
      <c r="B1287" s="15">
        <f>+917973408661</f>
        <v>917973408661</v>
      </c>
      <c r="C1287" s="15" t="str">
        <f t="shared" si="1"/>
        <v>christinagill084@gmail.com917973408661</v>
      </c>
      <c r="D1287" s="16" t="s">
        <v>8192</v>
      </c>
      <c r="E1287" s="16" t="s">
        <v>74</v>
      </c>
    </row>
    <row r="1288">
      <c r="A1288" s="1" t="s">
        <v>8193</v>
      </c>
      <c r="B1288" s="15">
        <f>+917777777777</f>
        <v>917777777777</v>
      </c>
      <c r="C1288" s="15" t="str">
        <f t="shared" si="1"/>
        <v>xyz@gamil.com917777777777</v>
      </c>
      <c r="D1288" s="16" t="s">
        <v>8194</v>
      </c>
      <c r="E1288" s="16" t="s">
        <v>151</v>
      </c>
    </row>
    <row r="1289">
      <c r="A1289" s="1" t="s">
        <v>3313</v>
      </c>
      <c r="B1289" s="15">
        <f t="shared" ref="B1289:B1290" si="167">+919888470272</f>
        <v>919888470272</v>
      </c>
      <c r="C1289" s="15" t="str">
        <f t="shared" si="1"/>
        <v>himanshusaleria@gmail.com919888470272</v>
      </c>
      <c r="D1289" s="16" t="s">
        <v>8195</v>
      </c>
      <c r="E1289" s="16" t="s">
        <v>151</v>
      </c>
    </row>
    <row r="1290">
      <c r="A1290" s="1" t="s">
        <v>3313</v>
      </c>
      <c r="B1290" s="15">
        <f t="shared" si="167"/>
        <v>919888470272</v>
      </c>
      <c r="C1290" s="15" t="str">
        <f t="shared" si="1"/>
        <v>himanshusaleria@gmail.com919888470272</v>
      </c>
      <c r="D1290" s="16" t="s">
        <v>8196</v>
      </c>
      <c r="E1290" s="16" t="s">
        <v>151</v>
      </c>
    </row>
    <row r="1291">
      <c r="A1291" s="1" t="s">
        <v>1525</v>
      </c>
      <c r="B1291" s="15">
        <f>+919815577304</f>
        <v>919815577304</v>
      </c>
      <c r="C1291" s="15" t="str">
        <f t="shared" si="1"/>
        <v>princekamboj@gmail.com919815577304</v>
      </c>
      <c r="D1291" s="16" t="s">
        <v>8197</v>
      </c>
      <c r="E1291" s="16" t="s">
        <v>74</v>
      </c>
    </row>
    <row r="1292">
      <c r="A1292" s="1" t="s">
        <v>3295</v>
      </c>
      <c r="B1292" s="15">
        <f t="shared" ref="B1292:B1293" si="168">+919978799000</f>
        <v>919978799000</v>
      </c>
      <c r="C1292" s="15" t="str">
        <f t="shared" si="1"/>
        <v>geetameer88@gmail.com919978799000</v>
      </c>
      <c r="D1292" s="16" t="s">
        <v>8198</v>
      </c>
      <c r="E1292" s="16" t="s">
        <v>74</v>
      </c>
    </row>
    <row r="1293">
      <c r="A1293" s="1" t="s">
        <v>3295</v>
      </c>
      <c r="B1293" s="15">
        <f t="shared" si="168"/>
        <v>919978799000</v>
      </c>
      <c r="C1293" s="15" t="str">
        <f t="shared" si="1"/>
        <v>geetameer88@gmail.com919978799000</v>
      </c>
      <c r="D1293" s="16" t="s">
        <v>8199</v>
      </c>
      <c r="E1293" s="16" t="s">
        <v>74</v>
      </c>
    </row>
    <row r="1294">
      <c r="A1294" s="1" t="s">
        <v>3206</v>
      </c>
      <c r="B1294" s="15">
        <f>+918277456229</f>
        <v>918277456229</v>
      </c>
      <c r="C1294" s="15" t="str">
        <f t="shared" si="1"/>
        <v>kalyanijoshi96@gmail.com918277456229</v>
      </c>
      <c r="D1294" s="16" t="s">
        <v>8200</v>
      </c>
      <c r="E1294" s="16" t="s">
        <v>68</v>
      </c>
    </row>
    <row r="1295">
      <c r="A1295" s="1" t="s">
        <v>6154</v>
      </c>
      <c r="B1295" s="15">
        <f>+919810052053</f>
        <v>919810052053</v>
      </c>
      <c r="C1295" s="15" t="str">
        <f t="shared" si="1"/>
        <v>prashant.khattry@gmail.com919810052053</v>
      </c>
      <c r="D1295" s="16" t="s">
        <v>8201</v>
      </c>
      <c r="E1295" s="16" t="s">
        <v>68</v>
      </c>
    </row>
    <row r="1296">
      <c r="A1296" s="1" t="s">
        <v>5210</v>
      </c>
      <c r="B1296" s="15">
        <f>+919903863033</f>
        <v>919903863033</v>
      </c>
      <c r="C1296" s="15" t="str">
        <f t="shared" si="1"/>
        <v>jyotiapril30@gmail.com919903863033</v>
      </c>
      <c r="D1296" s="16" t="s">
        <v>8202</v>
      </c>
      <c r="E1296" s="16" t="s">
        <v>68</v>
      </c>
    </row>
    <row r="1297">
      <c r="A1297" s="1" t="s">
        <v>8203</v>
      </c>
      <c r="B1297" s="15">
        <f>+917666147908</f>
        <v>917666147908</v>
      </c>
      <c r="C1297" s="15" t="str">
        <f t="shared" si="1"/>
        <v>draditisolanke27@gmail.com917666147908</v>
      </c>
      <c r="D1297" s="16" t="s">
        <v>8204</v>
      </c>
      <c r="E1297" s="16" t="s">
        <v>68</v>
      </c>
    </row>
    <row r="1298">
      <c r="A1298" s="1" t="s">
        <v>5364</v>
      </c>
      <c r="B1298" s="15">
        <f t="shared" ref="B1298:B1299" si="169">+917999996564</f>
        <v>917999996564</v>
      </c>
      <c r="C1298" s="15" t="str">
        <f t="shared" si="1"/>
        <v>loveleensidhu95@gmail.com917999996564</v>
      </c>
      <c r="D1298" s="16" t="s">
        <v>8205</v>
      </c>
      <c r="E1298" s="16" t="s">
        <v>74</v>
      </c>
    </row>
    <row r="1299">
      <c r="A1299" s="1" t="s">
        <v>5364</v>
      </c>
      <c r="B1299" s="15">
        <f t="shared" si="169"/>
        <v>917999996564</v>
      </c>
      <c r="C1299" s="15" t="str">
        <f t="shared" si="1"/>
        <v>loveleensidhu95@gmail.com917999996564</v>
      </c>
      <c r="D1299" s="16" t="s">
        <v>8206</v>
      </c>
      <c r="E1299" s="16" t="s">
        <v>74</v>
      </c>
    </row>
    <row r="1300">
      <c r="A1300" s="1" t="s">
        <v>5212</v>
      </c>
      <c r="B1300" s="15">
        <f>+919999796877</f>
        <v>919999796877</v>
      </c>
      <c r="C1300" s="15" t="str">
        <f t="shared" si="1"/>
        <v>sakshi.walker@gmail.com919999796877</v>
      </c>
      <c r="D1300" s="16" t="s">
        <v>8207</v>
      </c>
      <c r="E1300" s="16" t="s">
        <v>68</v>
      </c>
    </row>
    <row r="1301">
      <c r="A1301" s="1" t="s">
        <v>8208</v>
      </c>
      <c r="B1301" s="15">
        <f>+919815577304</f>
        <v>919815577304</v>
      </c>
      <c r="C1301" s="15" t="str">
        <f t="shared" si="1"/>
        <v>princekamoj@gmail.com919815577304</v>
      </c>
      <c r="D1301" s="16" t="s">
        <v>8209</v>
      </c>
      <c r="E1301" s="16" t="s">
        <v>151</v>
      </c>
    </row>
    <row r="1302">
      <c r="A1302" s="1" t="s">
        <v>2629</v>
      </c>
      <c r="B1302" s="15">
        <f>+918291404395</f>
        <v>918291404395</v>
      </c>
      <c r="C1302" s="15" t="str">
        <f t="shared" si="1"/>
        <v>pratiksha.bhomle@gmail.com918291404395</v>
      </c>
      <c r="D1302" s="16" t="s">
        <v>8210</v>
      </c>
      <c r="E1302" s="16" t="s">
        <v>68</v>
      </c>
    </row>
    <row r="1303">
      <c r="A1303" s="1" t="s">
        <v>8208</v>
      </c>
      <c r="B1303" s="15">
        <f>+919815577304</f>
        <v>919815577304</v>
      </c>
      <c r="C1303" s="15" t="str">
        <f t="shared" si="1"/>
        <v>princekamoj@gmail.com919815577304</v>
      </c>
      <c r="D1303" s="16" t="s">
        <v>8211</v>
      </c>
      <c r="E1303" s="16" t="s">
        <v>151</v>
      </c>
    </row>
    <row r="1304">
      <c r="A1304" s="1" t="s">
        <v>3313</v>
      </c>
      <c r="B1304" s="15">
        <f>+919888470272</f>
        <v>919888470272</v>
      </c>
      <c r="C1304" s="15" t="str">
        <f t="shared" si="1"/>
        <v>himanshusaleria@gmail.com919888470272</v>
      </c>
      <c r="D1304" s="16" t="s">
        <v>8212</v>
      </c>
      <c r="E1304" s="16" t="s">
        <v>68</v>
      </c>
    </row>
    <row r="1305">
      <c r="A1305" s="1" t="s">
        <v>8208</v>
      </c>
      <c r="B1305" s="15">
        <f t="shared" ref="B1305:B1306" si="170">+919815577304</f>
        <v>919815577304</v>
      </c>
      <c r="C1305" s="15" t="str">
        <f t="shared" si="1"/>
        <v>princekamoj@gmail.com919815577304</v>
      </c>
      <c r="D1305" s="16" t="s">
        <v>8213</v>
      </c>
      <c r="E1305" s="16" t="s">
        <v>68</v>
      </c>
    </row>
    <row r="1306">
      <c r="A1306" s="1" t="s">
        <v>1525</v>
      </c>
      <c r="B1306" s="15">
        <f t="shared" si="170"/>
        <v>919815577304</v>
      </c>
      <c r="C1306" s="15" t="str">
        <f t="shared" si="1"/>
        <v>princekamboj@gmail.com919815577304</v>
      </c>
      <c r="D1306" s="16" t="s">
        <v>8214</v>
      </c>
      <c r="E1306" s="16" t="s">
        <v>74</v>
      </c>
    </row>
    <row r="1307">
      <c r="A1307" s="1" t="s">
        <v>5364</v>
      </c>
      <c r="B1307" s="15">
        <f>+917999996564</f>
        <v>917999996564</v>
      </c>
      <c r="C1307" s="15" t="str">
        <f t="shared" si="1"/>
        <v>loveleensidhu95@gmail.com917999996564</v>
      </c>
      <c r="D1307" s="16" t="s">
        <v>8215</v>
      </c>
      <c r="E1307" s="16" t="s">
        <v>74</v>
      </c>
    </row>
    <row r="1308">
      <c r="A1308" s="1" t="s">
        <v>3026</v>
      </c>
      <c r="B1308" s="15">
        <f>+918667724397</f>
        <v>918667724397</v>
      </c>
      <c r="C1308" s="15" t="str">
        <f t="shared" si="1"/>
        <v>arthikamleshjain@gmail.com918667724397</v>
      </c>
      <c r="D1308" s="16" t="s">
        <v>8216</v>
      </c>
      <c r="E1308" s="16" t="s">
        <v>68</v>
      </c>
    </row>
    <row r="1309">
      <c r="A1309" s="1" t="s">
        <v>8217</v>
      </c>
      <c r="B1309" s="15">
        <f>+917338251563</f>
        <v>917338251563</v>
      </c>
      <c r="C1309" s="15" t="str">
        <f t="shared" si="1"/>
        <v>hiteshhsc1@gmail.com917338251563</v>
      </c>
      <c r="D1309" s="16" t="s">
        <v>8218</v>
      </c>
      <c r="E1309" s="16" t="s">
        <v>68</v>
      </c>
    </row>
    <row r="1310">
      <c r="A1310" s="1" t="s">
        <v>4943</v>
      </c>
      <c r="B1310" s="15">
        <f>+919175417828</f>
        <v>919175417828</v>
      </c>
      <c r="C1310" s="15" t="str">
        <f t="shared" si="1"/>
        <v>rajkumarjagdale9696@gmail.com919175417828</v>
      </c>
      <c r="D1310" s="16" t="s">
        <v>8219</v>
      </c>
      <c r="E1310" s="16" t="s">
        <v>68</v>
      </c>
    </row>
    <row r="1311">
      <c r="A1311" s="1" t="s">
        <v>8220</v>
      </c>
      <c r="B1311" s="15">
        <f>+919031272377</f>
        <v>919031272377</v>
      </c>
      <c r="C1311" s="15" t="str">
        <f t="shared" si="1"/>
        <v>birendrakumarp70@gmail.com919031272377</v>
      </c>
      <c r="D1311" s="16" t="s">
        <v>8221</v>
      </c>
      <c r="E1311" s="16" t="s">
        <v>151</v>
      </c>
    </row>
    <row r="1312">
      <c r="A1312" s="1" t="s">
        <v>8222</v>
      </c>
      <c r="B1312" s="15">
        <f>+919450942790</f>
        <v>919450942790</v>
      </c>
      <c r="C1312" s="15" t="str">
        <f t="shared" si="1"/>
        <v>amareshsamrat@gmail.com919450942790</v>
      </c>
      <c r="D1312" s="16" t="s">
        <v>8223</v>
      </c>
      <c r="E1312" s="16" t="s">
        <v>151</v>
      </c>
    </row>
    <row r="1313">
      <c r="A1313" s="1" t="s">
        <v>4812</v>
      </c>
      <c r="B1313" s="15">
        <f t="shared" ref="B1313:B1314" si="171">+919579765697</f>
        <v>919579765697</v>
      </c>
      <c r="C1313" s="15" t="str">
        <f t="shared" si="1"/>
        <v>priyankabaravkar1086@gmail.com919579765697</v>
      </c>
      <c r="D1313" s="16" t="s">
        <v>8224</v>
      </c>
      <c r="E1313" s="16" t="s">
        <v>68</v>
      </c>
    </row>
    <row r="1314">
      <c r="A1314" s="1" t="s">
        <v>4812</v>
      </c>
      <c r="B1314" s="15">
        <f t="shared" si="171"/>
        <v>919579765697</v>
      </c>
      <c r="C1314" s="15" t="str">
        <f t="shared" si="1"/>
        <v>priyankabaravkar1086@gmail.com919579765697</v>
      </c>
      <c r="D1314" s="16" t="s">
        <v>8225</v>
      </c>
      <c r="E1314" s="16" t="s">
        <v>68</v>
      </c>
    </row>
    <row r="1315">
      <c r="A1315" s="1" t="s">
        <v>5428</v>
      </c>
      <c r="B1315" s="15">
        <f t="shared" ref="B1315:B1316" si="172">+917567999960</f>
        <v>917567999960</v>
      </c>
      <c r="C1315" s="15" t="str">
        <f t="shared" si="1"/>
        <v>nihardave14@gmail.com917567999960</v>
      </c>
      <c r="D1315" s="16" t="s">
        <v>8226</v>
      </c>
      <c r="E1315" s="16" t="s">
        <v>74</v>
      </c>
    </row>
    <row r="1316">
      <c r="A1316" s="1" t="s">
        <v>5428</v>
      </c>
      <c r="B1316" s="15">
        <f t="shared" si="172"/>
        <v>917567999960</v>
      </c>
      <c r="C1316" s="15" t="str">
        <f t="shared" si="1"/>
        <v>nihardave14@gmail.com917567999960</v>
      </c>
      <c r="D1316" s="16" t="s">
        <v>8227</v>
      </c>
      <c r="E1316" s="16" t="s">
        <v>74</v>
      </c>
    </row>
    <row r="1317">
      <c r="A1317" s="1" t="s">
        <v>2801</v>
      </c>
      <c r="B1317" s="15">
        <f>+918957959326</f>
        <v>918957959326</v>
      </c>
      <c r="C1317" s="15" t="str">
        <f t="shared" si="1"/>
        <v>satyamhihtan@gmail.com918957959326</v>
      </c>
      <c r="D1317" s="16" t="s">
        <v>8228</v>
      </c>
      <c r="E1317" s="16" t="s">
        <v>68</v>
      </c>
    </row>
    <row r="1318">
      <c r="A1318" s="1" t="s">
        <v>8229</v>
      </c>
      <c r="B1318" s="15">
        <f t="shared" ref="B1318:B1320" si="173">+919831766291</f>
        <v>919831766291</v>
      </c>
      <c r="C1318" s="15" t="str">
        <f t="shared" si="1"/>
        <v>hmousumi18@gmail.com919831766291</v>
      </c>
      <c r="D1318" s="16" t="s">
        <v>8230</v>
      </c>
      <c r="E1318" s="16" t="s">
        <v>74</v>
      </c>
    </row>
    <row r="1319">
      <c r="A1319" s="1" t="s">
        <v>8229</v>
      </c>
      <c r="B1319" s="15">
        <f t="shared" si="173"/>
        <v>919831766291</v>
      </c>
      <c r="C1319" s="15" t="str">
        <f t="shared" si="1"/>
        <v>hmousumi18@gmail.com919831766291</v>
      </c>
      <c r="D1319" s="16" t="s">
        <v>8231</v>
      </c>
      <c r="E1319" s="16" t="s">
        <v>74</v>
      </c>
    </row>
    <row r="1320">
      <c r="A1320" s="1" t="s">
        <v>8229</v>
      </c>
      <c r="B1320" s="15">
        <f t="shared" si="173"/>
        <v>919831766291</v>
      </c>
      <c r="C1320" s="15" t="str">
        <f t="shared" si="1"/>
        <v>hmousumi18@gmail.com919831766291</v>
      </c>
      <c r="D1320" s="16" t="s">
        <v>8232</v>
      </c>
      <c r="E1320" s="16" t="s">
        <v>74</v>
      </c>
    </row>
    <row r="1321">
      <c r="A1321" s="1" t="s">
        <v>8233</v>
      </c>
      <c r="B1321" s="15">
        <f>+919140429402</f>
        <v>919140429402</v>
      </c>
      <c r="C1321" s="15" t="str">
        <f t="shared" si="1"/>
        <v>shashangkaditya3333@gmail.com919140429402</v>
      </c>
      <c r="D1321" s="16" t="s">
        <v>8234</v>
      </c>
      <c r="E1321" s="16" t="s">
        <v>68</v>
      </c>
    </row>
    <row r="1322">
      <c r="A1322" s="1" t="s">
        <v>4411</v>
      </c>
      <c r="B1322" s="15">
        <f>+918124342599</f>
        <v>918124342599</v>
      </c>
      <c r="C1322" s="15" t="str">
        <f t="shared" si="1"/>
        <v>micheal0827@gmail.com918124342599</v>
      </c>
      <c r="D1322" s="16" t="s">
        <v>8235</v>
      </c>
      <c r="E1322" s="16" t="s">
        <v>151</v>
      </c>
    </row>
    <row r="1323">
      <c r="A1323" s="1" t="s">
        <v>4282</v>
      </c>
      <c r="B1323" s="15">
        <f>+919006060531</f>
        <v>919006060531</v>
      </c>
      <c r="C1323" s="15" t="str">
        <f t="shared" si="1"/>
        <v>rahulraj6028@gmail.com919006060531</v>
      </c>
      <c r="D1323" s="16" t="s">
        <v>8236</v>
      </c>
      <c r="E1323" s="16" t="s">
        <v>68</v>
      </c>
    </row>
    <row r="1324">
      <c r="A1324" s="1" t="s">
        <v>6145</v>
      </c>
      <c r="B1324" s="15">
        <f>+919636838792</f>
        <v>919636838792</v>
      </c>
      <c r="C1324" s="15" t="str">
        <f t="shared" si="1"/>
        <v>dheerendrapalsinghjadon9889@gamil.com919636838792</v>
      </c>
      <c r="D1324" s="16" t="s">
        <v>8237</v>
      </c>
      <c r="E1324" s="16" t="s">
        <v>74</v>
      </c>
    </row>
    <row r="1325">
      <c r="A1325" s="1" t="s">
        <v>3654</v>
      </c>
      <c r="B1325" s="15">
        <f>+918981287494</f>
        <v>918981287494</v>
      </c>
      <c r="C1325" s="15" t="str">
        <f t="shared" si="1"/>
        <v>rahul.prasad59336@gmail.com918981287494</v>
      </c>
      <c r="D1325" s="16" t="s">
        <v>8238</v>
      </c>
      <c r="E1325" s="16" t="s">
        <v>68</v>
      </c>
    </row>
    <row r="1326">
      <c r="A1326" s="1" t="s">
        <v>2631</v>
      </c>
      <c r="B1326" s="15">
        <f>+919409212575</f>
        <v>919409212575</v>
      </c>
      <c r="C1326" s="15" t="str">
        <f t="shared" si="1"/>
        <v>vineet96.jsh@gmail.com919409212575</v>
      </c>
      <c r="D1326" s="16" t="s">
        <v>8239</v>
      </c>
      <c r="E1326" s="16" t="s">
        <v>68</v>
      </c>
    </row>
    <row r="1327">
      <c r="A1327" s="1" t="s">
        <v>3208</v>
      </c>
      <c r="B1327" s="15">
        <f>+919829530536</f>
        <v>919829530536</v>
      </c>
      <c r="C1327" s="15" t="str">
        <f t="shared" si="1"/>
        <v>shishir.creativemind@gmail.com919829530536</v>
      </c>
      <c r="D1327" s="16" t="s">
        <v>8240</v>
      </c>
      <c r="E1327" s="16" t="s">
        <v>151</v>
      </c>
    </row>
    <row r="1328">
      <c r="A1328" s="1" t="s">
        <v>5141</v>
      </c>
      <c r="B1328" s="15">
        <f>+919900429246</f>
        <v>919900429246</v>
      </c>
      <c r="C1328" s="15" t="str">
        <f t="shared" si="1"/>
        <v>gleneysaldhana@gmail.com919900429246</v>
      </c>
      <c r="D1328" s="16" t="s">
        <v>8241</v>
      </c>
      <c r="E1328" s="16" t="s">
        <v>68</v>
      </c>
    </row>
    <row r="1329">
      <c r="A1329" s="1" t="s">
        <v>8242</v>
      </c>
      <c r="B1329" s="15">
        <f>+919866222366</f>
        <v>919866222366</v>
      </c>
      <c r="C1329" s="15" t="str">
        <f t="shared" si="1"/>
        <v>swamydr2002@yahoo.com919866222366</v>
      </c>
      <c r="D1329" s="16" t="s">
        <v>8243</v>
      </c>
      <c r="E1329" s="16" t="s">
        <v>74</v>
      </c>
    </row>
    <row r="1330">
      <c r="A1330" s="1" t="s">
        <v>3403</v>
      </c>
      <c r="B1330" s="15">
        <f>+919538000167</f>
        <v>919538000167</v>
      </c>
      <c r="C1330" s="15" t="str">
        <f t="shared" si="1"/>
        <v>raks921@gmail.com919538000167</v>
      </c>
      <c r="D1330" s="16" t="s">
        <v>8244</v>
      </c>
      <c r="E1330" s="16" t="s">
        <v>74</v>
      </c>
    </row>
    <row r="1331">
      <c r="A1331" s="1" t="s">
        <v>5812</v>
      </c>
      <c r="B1331" s="15">
        <f>+919654014083</f>
        <v>919654014083</v>
      </c>
      <c r="C1331" s="15" t="str">
        <f t="shared" si="1"/>
        <v>sairaa1@gmail.com919654014083</v>
      </c>
      <c r="D1331" s="16" t="s">
        <v>8245</v>
      </c>
      <c r="E1331" s="16" t="s">
        <v>68</v>
      </c>
    </row>
    <row r="1332">
      <c r="A1332" s="1" t="s">
        <v>8246</v>
      </c>
      <c r="B1332" s="15">
        <f t="shared" ref="B1332:B1333" si="174">+919959547727</f>
        <v>919959547727</v>
      </c>
      <c r="C1332" s="15" t="str">
        <f t="shared" si="1"/>
        <v>aiswaryageddapu@gmail.com919959547727</v>
      </c>
      <c r="D1332" s="16" t="s">
        <v>8247</v>
      </c>
      <c r="E1332" s="16" t="s">
        <v>68</v>
      </c>
    </row>
    <row r="1333">
      <c r="A1333" s="1" t="s">
        <v>8246</v>
      </c>
      <c r="B1333" s="15">
        <f t="shared" si="174"/>
        <v>919959547727</v>
      </c>
      <c r="C1333" s="15" t="str">
        <f t="shared" si="1"/>
        <v>aiswaryageddapu@gmail.com919959547727</v>
      </c>
      <c r="D1333" s="16" t="s">
        <v>8248</v>
      </c>
      <c r="E1333" s="16" t="s">
        <v>68</v>
      </c>
    </row>
    <row r="1334">
      <c r="A1334" s="1" t="s">
        <v>5814</v>
      </c>
      <c r="B1334" s="15">
        <f>+917020038294</f>
        <v>917020038294</v>
      </c>
      <c r="C1334" s="15" t="str">
        <f t="shared" si="1"/>
        <v>pillai.anil9@gmail.com917020038294</v>
      </c>
      <c r="D1334" s="16" t="s">
        <v>8249</v>
      </c>
      <c r="E1334" s="16" t="s">
        <v>68</v>
      </c>
    </row>
    <row r="1335">
      <c r="A1335" s="1" t="s">
        <v>8250</v>
      </c>
      <c r="B1335" s="15">
        <f>+917070306255</f>
        <v>917070306255</v>
      </c>
      <c r="C1335" s="15" t="str">
        <f t="shared" si="1"/>
        <v>karankumargupta@gmail.com917070306255</v>
      </c>
      <c r="D1335" s="16" t="s">
        <v>8251</v>
      </c>
      <c r="E1335" s="16" t="s">
        <v>151</v>
      </c>
    </row>
    <row r="1336">
      <c r="A1336" s="1" t="s">
        <v>2633</v>
      </c>
      <c r="B1336" s="15">
        <f>+918870485956</f>
        <v>918870485956</v>
      </c>
      <c r="C1336" s="15" t="str">
        <f t="shared" si="1"/>
        <v>umendarsethu@gmail.com918870485956</v>
      </c>
      <c r="D1336" s="16" t="s">
        <v>8252</v>
      </c>
      <c r="E1336" s="16" t="s">
        <v>68</v>
      </c>
    </row>
    <row r="1337">
      <c r="A1337" s="1" t="s">
        <v>5214</v>
      </c>
      <c r="B1337" s="15">
        <f>+919987491199</f>
        <v>919987491199</v>
      </c>
      <c r="C1337" s="15" t="str">
        <f t="shared" si="1"/>
        <v>ankitajaiswal2890@gmail.com919987491199</v>
      </c>
      <c r="D1337" s="16" t="s">
        <v>8253</v>
      </c>
      <c r="E1337" s="16" t="s">
        <v>68</v>
      </c>
    </row>
    <row r="1338">
      <c r="A1338" s="1" t="s">
        <v>4602</v>
      </c>
      <c r="B1338" s="15">
        <f>+917231919191</f>
        <v>917231919191</v>
      </c>
      <c r="C1338" s="15" t="str">
        <f t="shared" si="1"/>
        <v>prashantcse14@gmail.com917231919191</v>
      </c>
      <c r="D1338" s="16" t="s">
        <v>8254</v>
      </c>
      <c r="E1338" s="16" t="s">
        <v>68</v>
      </c>
    </row>
    <row r="1339">
      <c r="A1339" s="1" t="s">
        <v>8255</v>
      </c>
      <c r="B1339" s="15">
        <f t="shared" ref="B1339:B1341" si="175">+919913758394</f>
        <v>919913758394</v>
      </c>
      <c r="C1339" s="15" t="str">
        <f t="shared" si="1"/>
        <v>krmanish.patil@gmail.com919913758394</v>
      </c>
      <c r="D1339" s="16" t="s">
        <v>8256</v>
      </c>
      <c r="E1339" s="16" t="s">
        <v>74</v>
      </c>
    </row>
    <row r="1340">
      <c r="A1340" s="1" t="s">
        <v>8255</v>
      </c>
      <c r="B1340" s="15">
        <f t="shared" si="175"/>
        <v>919913758394</v>
      </c>
      <c r="C1340" s="15" t="str">
        <f t="shared" si="1"/>
        <v>krmanish.patil@gmail.com919913758394</v>
      </c>
      <c r="D1340" s="16" t="s">
        <v>8257</v>
      </c>
      <c r="E1340" s="16" t="s">
        <v>74</v>
      </c>
    </row>
    <row r="1341">
      <c r="A1341" s="1" t="s">
        <v>8255</v>
      </c>
      <c r="B1341" s="15">
        <f t="shared" si="175"/>
        <v>919913758394</v>
      </c>
      <c r="C1341" s="15" t="str">
        <f t="shared" si="1"/>
        <v>krmanish.patil@gmail.com919913758394</v>
      </c>
      <c r="D1341" s="16" t="s">
        <v>8258</v>
      </c>
      <c r="E1341" s="16" t="s">
        <v>74</v>
      </c>
    </row>
    <row r="1342">
      <c r="A1342" s="1" t="s">
        <v>8259</v>
      </c>
      <c r="B1342" s="15">
        <f>+919588231510</f>
        <v>919588231510</v>
      </c>
      <c r="C1342" s="15" t="str">
        <f t="shared" si="1"/>
        <v>dv1132504@gmail.com919588231510</v>
      </c>
      <c r="D1342" s="16" t="s">
        <v>8260</v>
      </c>
      <c r="E1342" s="16" t="s">
        <v>151</v>
      </c>
    </row>
    <row r="1343">
      <c r="A1343" s="1" t="s">
        <v>8255</v>
      </c>
      <c r="B1343" s="15">
        <f>+919913758394</f>
        <v>919913758394</v>
      </c>
      <c r="C1343" s="15" t="str">
        <f t="shared" si="1"/>
        <v>krmanish.patil@gmail.com919913758394</v>
      </c>
      <c r="D1343" s="16" t="s">
        <v>8261</v>
      </c>
      <c r="E1343" s="16" t="s">
        <v>74</v>
      </c>
    </row>
    <row r="1344">
      <c r="A1344" s="1" t="s">
        <v>3210</v>
      </c>
      <c r="B1344" s="15">
        <f t="shared" ref="B1344:B1345" si="176">+917978153635</f>
        <v>917978153635</v>
      </c>
      <c r="C1344" s="15" t="str">
        <f t="shared" si="1"/>
        <v>venkateshnikhil123@gmail.com917978153635</v>
      </c>
      <c r="D1344" s="16" t="s">
        <v>8262</v>
      </c>
      <c r="E1344" s="16" t="s">
        <v>68</v>
      </c>
    </row>
    <row r="1345">
      <c r="A1345" s="1" t="s">
        <v>3210</v>
      </c>
      <c r="B1345" s="15">
        <f t="shared" si="176"/>
        <v>917978153635</v>
      </c>
      <c r="C1345" s="15" t="str">
        <f t="shared" si="1"/>
        <v>venkateshnikhil123@gmail.com917978153635</v>
      </c>
      <c r="D1345" s="16" t="s">
        <v>8263</v>
      </c>
      <c r="E1345" s="16" t="s">
        <v>68</v>
      </c>
    </row>
    <row r="1346">
      <c r="A1346" s="1" t="s">
        <v>8264</v>
      </c>
      <c r="B1346" s="15">
        <f>+919664946861</f>
        <v>919664946861</v>
      </c>
      <c r="C1346" s="15" t="str">
        <f t="shared" si="1"/>
        <v>ruchi.bhawana08@gmail.com919664946861</v>
      </c>
      <c r="D1346" s="16" t="s">
        <v>8265</v>
      </c>
      <c r="E1346" s="16" t="s">
        <v>68</v>
      </c>
    </row>
    <row r="1347">
      <c r="A1347" s="1" t="s">
        <v>8266</v>
      </c>
      <c r="B1347" s="15">
        <f t="shared" ref="B1347:B1348" si="177">+917978153635</f>
        <v>917978153635</v>
      </c>
      <c r="C1347" s="15" t="str">
        <f t="shared" si="1"/>
        <v>nikhilvenky.786@gmail.com917978153635</v>
      </c>
      <c r="D1347" s="16" t="s">
        <v>8267</v>
      </c>
      <c r="E1347" s="16" t="s">
        <v>151</v>
      </c>
    </row>
    <row r="1348">
      <c r="A1348" s="1" t="s">
        <v>8266</v>
      </c>
      <c r="B1348" s="15">
        <f t="shared" si="177"/>
        <v>917978153635</v>
      </c>
      <c r="C1348" s="15" t="str">
        <f t="shared" si="1"/>
        <v>nikhilvenky.786@gmail.com917978153635</v>
      </c>
      <c r="D1348" s="16" t="s">
        <v>8268</v>
      </c>
      <c r="E1348" s="16" t="s">
        <v>151</v>
      </c>
    </row>
    <row r="1349">
      <c r="A1349" s="1" t="s">
        <v>8269</v>
      </c>
      <c r="B1349" s="15">
        <f>+919319950455</f>
        <v>919319950455</v>
      </c>
      <c r="C1349" s="15" t="str">
        <f t="shared" si="1"/>
        <v>drshefaliv@gmail.com919319950455</v>
      </c>
      <c r="D1349" s="16" t="s">
        <v>8270</v>
      </c>
      <c r="E1349" s="16" t="s">
        <v>68</v>
      </c>
    </row>
    <row r="1350">
      <c r="A1350" s="1" t="s">
        <v>3210</v>
      </c>
      <c r="B1350" s="15">
        <f>+917978153635</f>
        <v>917978153635</v>
      </c>
      <c r="C1350" s="15" t="str">
        <f t="shared" si="1"/>
        <v>venkateshnikhil123@gmail.com917978153635</v>
      </c>
      <c r="D1350" s="16" t="s">
        <v>8271</v>
      </c>
      <c r="E1350" s="16" t="s">
        <v>97</v>
      </c>
    </row>
    <row r="1351">
      <c r="A1351" s="1" t="s">
        <v>8269</v>
      </c>
      <c r="B1351" s="15">
        <f>+919319950455</f>
        <v>919319950455</v>
      </c>
      <c r="C1351" s="15" t="str">
        <f t="shared" si="1"/>
        <v>drshefaliv@gmail.com919319950455</v>
      </c>
      <c r="D1351" s="16" t="s">
        <v>8272</v>
      </c>
      <c r="E1351" s="16" t="s">
        <v>68</v>
      </c>
    </row>
    <row r="1352">
      <c r="A1352" s="1" t="s">
        <v>8273</v>
      </c>
      <c r="B1352" s="15">
        <f>+919826183350</f>
        <v>919826183350</v>
      </c>
      <c r="C1352" s="15" t="str">
        <f t="shared" si="1"/>
        <v>vj.com.86@gmail.com919826183350</v>
      </c>
      <c r="D1352" s="16" t="s">
        <v>8274</v>
      </c>
      <c r="E1352" s="16" t="s">
        <v>151</v>
      </c>
    </row>
    <row r="1353">
      <c r="A1353" s="1" t="s">
        <v>8269</v>
      </c>
      <c r="B1353" s="15">
        <f>+919319950455</f>
        <v>919319950455</v>
      </c>
      <c r="C1353" s="15" t="str">
        <f t="shared" si="1"/>
        <v>drshefaliv@gmail.com919319950455</v>
      </c>
      <c r="D1353" s="16" t="s">
        <v>8275</v>
      </c>
      <c r="E1353" s="16" t="s">
        <v>74</v>
      </c>
    </row>
    <row r="1354">
      <c r="A1354" s="1" t="s">
        <v>5964</v>
      </c>
      <c r="B1354" s="15">
        <f>+919008073399</f>
        <v>919008073399</v>
      </c>
      <c r="C1354" s="15" t="str">
        <f t="shared" si="1"/>
        <v>dr.rangolitripathi@gmail.com919008073399</v>
      </c>
      <c r="D1354" s="16" t="s">
        <v>8276</v>
      </c>
      <c r="E1354" s="16" t="s">
        <v>97</v>
      </c>
    </row>
    <row r="1355">
      <c r="A1355" s="1" t="s">
        <v>5816</v>
      </c>
      <c r="B1355" s="15">
        <f>+917349638927</f>
        <v>917349638927</v>
      </c>
      <c r="C1355" s="15" t="str">
        <f t="shared" si="1"/>
        <v>sharonjose123@icloud.com917349638927</v>
      </c>
      <c r="D1355" s="16" t="s">
        <v>8277</v>
      </c>
      <c r="E1355" s="16" t="s">
        <v>68</v>
      </c>
    </row>
    <row r="1356">
      <c r="A1356" s="1" t="s">
        <v>8278</v>
      </c>
      <c r="B1356" s="15">
        <f>+918697079508</f>
        <v>918697079508</v>
      </c>
      <c r="C1356" s="15" t="str">
        <f t="shared" si="1"/>
        <v>ronisha.b@gmail.com918697079508</v>
      </c>
      <c r="D1356" s="16" t="s">
        <v>8279</v>
      </c>
      <c r="E1356" s="16" t="s">
        <v>74</v>
      </c>
    </row>
    <row r="1357">
      <c r="A1357" s="1" t="s">
        <v>5866</v>
      </c>
      <c r="B1357" s="15">
        <f>+919899065855</f>
        <v>919899065855</v>
      </c>
      <c r="C1357" s="15" t="str">
        <f t="shared" si="1"/>
        <v>sanskritipv97@gmail.com919899065855</v>
      </c>
      <c r="D1357" s="16" t="s">
        <v>8280</v>
      </c>
      <c r="E1357" s="16" t="s">
        <v>68</v>
      </c>
    </row>
    <row r="1358">
      <c r="A1358" s="1" t="s">
        <v>3091</v>
      </c>
      <c r="B1358" s="15">
        <f>+918130856083</f>
        <v>918130856083</v>
      </c>
      <c r="C1358" s="15" t="str">
        <f t="shared" si="1"/>
        <v>piyush.10895@gmail.com918130856083</v>
      </c>
      <c r="D1358" s="16" t="s">
        <v>8281</v>
      </c>
      <c r="E1358" s="16" t="s">
        <v>68</v>
      </c>
    </row>
    <row r="1359">
      <c r="A1359" s="1" t="s">
        <v>7226</v>
      </c>
      <c r="B1359" s="15">
        <f>+918178453201</f>
        <v>918178453201</v>
      </c>
      <c r="C1359" s="15" t="str">
        <f t="shared" si="1"/>
        <v>samta.dhamija@gmail.com918178453201</v>
      </c>
      <c r="D1359" s="16" t="s">
        <v>8282</v>
      </c>
      <c r="E1359" s="16" t="s">
        <v>151</v>
      </c>
    </row>
    <row r="1360">
      <c r="A1360" s="1" t="s">
        <v>2803</v>
      </c>
      <c r="B1360" s="15">
        <f t="shared" ref="B1360:B1362" si="178">+918210973552</f>
        <v>918210973552</v>
      </c>
      <c r="C1360" s="15" t="str">
        <f t="shared" si="1"/>
        <v>kayara.me.2213@gmail.com918210973552</v>
      </c>
      <c r="D1360" s="16" t="s">
        <v>8283</v>
      </c>
      <c r="E1360" s="16" t="s">
        <v>74</v>
      </c>
    </row>
    <row r="1361">
      <c r="A1361" s="1" t="s">
        <v>2803</v>
      </c>
      <c r="B1361" s="15">
        <f t="shared" si="178"/>
        <v>918210973552</v>
      </c>
      <c r="C1361" s="15" t="str">
        <f t="shared" si="1"/>
        <v>kayara.me.2213@gmail.com918210973552</v>
      </c>
      <c r="D1361" s="16" t="s">
        <v>8284</v>
      </c>
      <c r="E1361" s="16" t="s">
        <v>74</v>
      </c>
    </row>
    <row r="1362">
      <c r="A1362" s="1" t="s">
        <v>2803</v>
      </c>
      <c r="B1362" s="15">
        <f t="shared" si="178"/>
        <v>918210973552</v>
      </c>
      <c r="C1362" s="15" t="str">
        <f t="shared" si="1"/>
        <v>kayara.me.2213@gmail.com918210973552</v>
      </c>
      <c r="D1362" s="16" t="s">
        <v>8285</v>
      </c>
      <c r="E1362" s="16" t="s">
        <v>74</v>
      </c>
    </row>
    <row r="1363">
      <c r="A1363" s="1" t="s">
        <v>8286</v>
      </c>
      <c r="B1363" s="15">
        <f t="shared" ref="B1363:B1364" si="179">+919322418810</f>
        <v>919322418810</v>
      </c>
      <c r="C1363" s="15" t="str">
        <f t="shared" si="1"/>
        <v>pj73709@gmail.com919322418810</v>
      </c>
      <c r="D1363" s="16" t="s">
        <v>8287</v>
      </c>
      <c r="E1363" s="16" t="s">
        <v>151</v>
      </c>
    </row>
    <row r="1364">
      <c r="A1364" s="1" t="s">
        <v>8286</v>
      </c>
      <c r="B1364" s="15">
        <f t="shared" si="179"/>
        <v>919322418810</v>
      </c>
      <c r="C1364" s="15" t="str">
        <f t="shared" si="1"/>
        <v>pj73709@gmail.com919322418810</v>
      </c>
      <c r="D1364" s="16" t="s">
        <v>8288</v>
      </c>
      <c r="E1364" s="16" t="s">
        <v>151</v>
      </c>
    </row>
    <row r="1365">
      <c r="A1365" s="1" t="s">
        <v>8289</v>
      </c>
      <c r="B1365" s="15">
        <f>+919656868659</f>
        <v>919656868659</v>
      </c>
      <c r="C1365" s="15" t="str">
        <f t="shared" si="1"/>
        <v>mirthazaliii@gmail.com919656868659</v>
      </c>
      <c r="D1365" s="16" t="s">
        <v>8290</v>
      </c>
      <c r="E1365" s="16" t="s">
        <v>68</v>
      </c>
    </row>
    <row r="1366">
      <c r="A1366" s="1" t="s">
        <v>8291</v>
      </c>
      <c r="B1366" s="15">
        <f>+918017555645</f>
        <v>918017555645</v>
      </c>
      <c r="C1366" s="15" t="str">
        <f t="shared" si="1"/>
        <v>anirdiya@gmail.com918017555645</v>
      </c>
      <c r="D1366" s="16" t="s">
        <v>8292</v>
      </c>
      <c r="E1366" s="16" t="s">
        <v>68</v>
      </c>
    </row>
    <row r="1367">
      <c r="A1367" s="1" t="s">
        <v>4441</v>
      </c>
      <c r="B1367" s="15">
        <f>+917566189836</f>
        <v>917566189836</v>
      </c>
      <c r="C1367" s="15" t="str">
        <f t="shared" si="1"/>
        <v>sdhruve2016@gmail.com917566189836</v>
      </c>
      <c r="D1367" s="16" t="s">
        <v>8293</v>
      </c>
      <c r="E1367" s="16" t="s">
        <v>68</v>
      </c>
    </row>
    <row r="1368">
      <c r="A1368" s="1" t="s">
        <v>8294</v>
      </c>
      <c r="B1368" s="15">
        <f t="shared" ref="B1368:B1369" si="180">+919742346974</f>
        <v>919742346974</v>
      </c>
      <c r="C1368" s="15" t="str">
        <f t="shared" si="1"/>
        <v>savithapsuresh@gmail.com919742346974</v>
      </c>
      <c r="D1368" s="16" t="s">
        <v>8295</v>
      </c>
      <c r="E1368" s="16" t="s">
        <v>74</v>
      </c>
    </row>
    <row r="1369">
      <c r="A1369" s="1" t="s">
        <v>8294</v>
      </c>
      <c r="B1369" s="15">
        <f t="shared" si="180"/>
        <v>919742346974</v>
      </c>
      <c r="C1369" s="15" t="str">
        <f t="shared" si="1"/>
        <v>savithapsuresh@gmail.com919742346974</v>
      </c>
      <c r="D1369" s="16" t="s">
        <v>8296</v>
      </c>
      <c r="E1369" s="16" t="s">
        <v>74</v>
      </c>
    </row>
    <row r="1370">
      <c r="A1370" s="1" t="s">
        <v>3405</v>
      </c>
      <c r="B1370" s="15">
        <f>+919110266512</f>
        <v>919110266512</v>
      </c>
      <c r="C1370" s="15" t="str">
        <f t="shared" si="1"/>
        <v>anubhat268@gmail.com919110266512</v>
      </c>
      <c r="D1370" s="16" t="s">
        <v>8297</v>
      </c>
      <c r="E1370" s="16" t="s">
        <v>68</v>
      </c>
    </row>
    <row r="1371">
      <c r="A1371" s="1" t="s">
        <v>5985</v>
      </c>
      <c r="B1371" s="15">
        <f>+919962886963</f>
        <v>919962886963</v>
      </c>
      <c r="C1371" s="15" t="str">
        <f t="shared" si="1"/>
        <v>jpadmalochni@gmail.com919962886963</v>
      </c>
      <c r="D1371" s="16" t="s">
        <v>8298</v>
      </c>
      <c r="E1371" s="16" t="s">
        <v>68</v>
      </c>
    </row>
    <row r="1372">
      <c r="A1372" s="1" t="s">
        <v>1078</v>
      </c>
      <c r="B1372" s="15">
        <f>+919182641223</f>
        <v>919182641223</v>
      </c>
      <c r="C1372" s="15" t="str">
        <f t="shared" si="1"/>
        <v>mdyousufpsy@gmail.com919182641223</v>
      </c>
      <c r="D1372" s="16" t="s">
        <v>8299</v>
      </c>
      <c r="E1372" s="16" t="s">
        <v>68</v>
      </c>
    </row>
    <row r="1373">
      <c r="A1373" s="1" t="s">
        <v>6047</v>
      </c>
      <c r="B1373" s="15">
        <f t="shared" ref="B1373:B1374" si="181">+916392061126</f>
        <v>916392061126</v>
      </c>
      <c r="C1373" s="15" t="str">
        <f t="shared" si="1"/>
        <v>merajshekh79@gmail.com916392061126</v>
      </c>
      <c r="D1373" s="16" t="s">
        <v>8300</v>
      </c>
      <c r="E1373" s="16" t="s">
        <v>74</v>
      </c>
    </row>
    <row r="1374">
      <c r="A1374" s="1" t="s">
        <v>6047</v>
      </c>
      <c r="B1374" s="15">
        <f t="shared" si="181"/>
        <v>916392061126</v>
      </c>
      <c r="C1374" s="15" t="str">
        <f t="shared" si="1"/>
        <v>merajshekh79@gmail.com916392061126</v>
      </c>
      <c r="D1374" s="16" t="s">
        <v>8301</v>
      </c>
      <c r="E1374" s="16" t="s">
        <v>74</v>
      </c>
    </row>
    <row r="1375">
      <c r="A1375" s="1" t="s">
        <v>5988</v>
      </c>
      <c r="B1375" s="15">
        <f>+917975350286</f>
        <v>917975350286</v>
      </c>
      <c r="C1375" s="15" t="str">
        <f t="shared" si="1"/>
        <v>vijaykumardesai93@gmail.com917975350286</v>
      </c>
      <c r="D1375" s="16" t="s">
        <v>8302</v>
      </c>
      <c r="E1375" s="16" t="s">
        <v>68</v>
      </c>
    </row>
    <row r="1376">
      <c r="A1376" s="1" t="s">
        <v>4604</v>
      </c>
      <c r="B1376" s="15">
        <f>+919971999058</f>
        <v>919971999058</v>
      </c>
      <c r="C1376" s="15" t="str">
        <f t="shared" si="1"/>
        <v>deepa.mailbox@gmail.com919971999058</v>
      </c>
      <c r="D1376" s="16" t="s">
        <v>8303</v>
      </c>
      <c r="E1376" s="16" t="s">
        <v>68</v>
      </c>
    </row>
    <row r="1377">
      <c r="A1377" s="1" t="s">
        <v>4716</v>
      </c>
      <c r="B1377" s="15">
        <f>+916000685506</f>
        <v>916000685506</v>
      </c>
      <c r="C1377" s="15" t="str">
        <f t="shared" si="1"/>
        <v>english@joshtalks.com916000685506</v>
      </c>
      <c r="D1377" s="16" t="s">
        <v>8304</v>
      </c>
      <c r="E1377" s="16" t="s">
        <v>74</v>
      </c>
    </row>
    <row r="1378">
      <c r="A1378" s="1" t="s">
        <v>2805</v>
      </c>
      <c r="B1378" s="15">
        <f t="shared" ref="B1378:B1379" si="182">+919776871667</f>
        <v>919776871667</v>
      </c>
      <c r="C1378" s="15" t="str">
        <f t="shared" si="1"/>
        <v>archita.nanda17@gmail.com919776871667</v>
      </c>
      <c r="D1378" s="16" t="s">
        <v>8305</v>
      </c>
      <c r="E1378" s="16" t="s">
        <v>68</v>
      </c>
    </row>
    <row r="1379">
      <c r="A1379" s="1" t="s">
        <v>2805</v>
      </c>
      <c r="B1379" s="15">
        <f t="shared" si="182"/>
        <v>919776871667</v>
      </c>
      <c r="C1379" s="15" t="str">
        <f t="shared" si="1"/>
        <v>archita.nanda17@gmail.com919776871667</v>
      </c>
      <c r="D1379" s="16" t="s">
        <v>8306</v>
      </c>
      <c r="E1379" s="16" t="s">
        <v>68</v>
      </c>
    </row>
    <row r="1380">
      <c r="A1380" s="1" t="s">
        <v>5990</v>
      </c>
      <c r="B1380" s="15">
        <f>+916382958196</f>
        <v>916382958196</v>
      </c>
      <c r="C1380" s="15" t="str">
        <f t="shared" si="1"/>
        <v>kksaravanan07@gmail.com916382958196</v>
      </c>
      <c r="D1380" s="16" t="s">
        <v>8307</v>
      </c>
      <c r="E1380" s="16" t="s">
        <v>68</v>
      </c>
    </row>
    <row r="1381">
      <c r="A1381" s="1" t="s">
        <v>8308</v>
      </c>
      <c r="B1381" s="15">
        <f>+919305670296</f>
        <v>919305670296</v>
      </c>
      <c r="C1381" s="15" t="str">
        <f t="shared" si="1"/>
        <v>chauhananushree8@gmail.com919305670296</v>
      </c>
      <c r="D1381" s="16" t="s">
        <v>8309</v>
      </c>
      <c r="E1381" s="16" t="s">
        <v>74</v>
      </c>
    </row>
    <row r="1382">
      <c r="A1382" s="1" t="s">
        <v>5992</v>
      </c>
      <c r="B1382" s="15">
        <f>+917738876901</f>
        <v>917738876901</v>
      </c>
      <c r="C1382" s="15" t="str">
        <f t="shared" si="1"/>
        <v>kafilur2000@gmail.com917738876901</v>
      </c>
      <c r="D1382" s="16" t="s">
        <v>8310</v>
      </c>
      <c r="E1382" s="16" t="s">
        <v>68</v>
      </c>
    </row>
    <row r="1383">
      <c r="A1383" s="1" t="s">
        <v>4650</v>
      </c>
      <c r="B1383" s="15">
        <f>+919121385521</f>
        <v>919121385521</v>
      </c>
      <c r="C1383" s="15" t="str">
        <f t="shared" si="1"/>
        <v>sumanshikha04@gmail.com919121385521</v>
      </c>
      <c r="D1383" s="16" t="s">
        <v>8311</v>
      </c>
      <c r="E1383" s="16" t="s">
        <v>68</v>
      </c>
    </row>
    <row r="1384">
      <c r="A1384" s="1" t="s">
        <v>8312</v>
      </c>
      <c r="B1384" s="15">
        <f t="shared" ref="B1384:B1386" si="183">+918496092802</f>
        <v>918496092802</v>
      </c>
      <c r="C1384" s="15" t="str">
        <f t="shared" si="1"/>
        <v>ubha99@gmail.com918496092802</v>
      </c>
      <c r="D1384" s="16" t="s">
        <v>8313</v>
      </c>
      <c r="E1384" s="16" t="s">
        <v>151</v>
      </c>
    </row>
    <row r="1385">
      <c r="A1385" s="1" t="s">
        <v>8312</v>
      </c>
      <c r="B1385" s="15">
        <f t="shared" si="183"/>
        <v>918496092802</v>
      </c>
      <c r="C1385" s="15" t="str">
        <f t="shared" si="1"/>
        <v>ubha99@gmail.com918496092802</v>
      </c>
      <c r="D1385" s="16" t="s">
        <v>8314</v>
      </c>
      <c r="E1385" s="16" t="s">
        <v>68</v>
      </c>
    </row>
    <row r="1386">
      <c r="A1386" s="1" t="s">
        <v>8312</v>
      </c>
      <c r="B1386" s="15">
        <f t="shared" si="183"/>
        <v>918496092802</v>
      </c>
      <c r="C1386" s="15" t="str">
        <f t="shared" si="1"/>
        <v>ubha99@gmail.com918496092802</v>
      </c>
      <c r="D1386" s="16" t="s">
        <v>8315</v>
      </c>
      <c r="E1386" s="16" t="s">
        <v>68</v>
      </c>
    </row>
    <row r="1387">
      <c r="A1387" s="1" t="s">
        <v>2488</v>
      </c>
      <c r="B1387" s="15">
        <f>+919011926939</f>
        <v>919011926939</v>
      </c>
      <c r="C1387" s="15" t="str">
        <f t="shared" si="1"/>
        <v>muskannagdev342@gmail.com919011926939</v>
      </c>
      <c r="D1387" s="16" t="s">
        <v>8316</v>
      </c>
      <c r="E1387" s="16" t="s">
        <v>68</v>
      </c>
    </row>
    <row r="1388">
      <c r="A1388" s="1" t="s">
        <v>8312</v>
      </c>
      <c r="B1388" s="15">
        <f>+918496092802</f>
        <v>918496092802</v>
      </c>
      <c r="C1388" s="15" t="str">
        <f t="shared" si="1"/>
        <v>ubha99@gmail.com918496092802</v>
      </c>
      <c r="D1388" s="16" t="s">
        <v>8317</v>
      </c>
      <c r="E1388" s="16" t="s">
        <v>74</v>
      </c>
    </row>
    <row r="1389">
      <c r="A1389" s="1" t="s">
        <v>8318</v>
      </c>
      <c r="B1389" s="15">
        <f>+917991122177</f>
        <v>917991122177</v>
      </c>
      <c r="C1389" s="15" t="str">
        <f t="shared" si="1"/>
        <v>shaurabh1990@gmail.com917991122177</v>
      </c>
      <c r="D1389" s="16" t="s">
        <v>8319</v>
      </c>
      <c r="E1389" s="16" t="s">
        <v>68</v>
      </c>
    </row>
    <row r="1390">
      <c r="A1390" s="1" t="s">
        <v>6331</v>
      </c>
      <c r="B1390" s="15">
        <f>+919818657517</f>
        <v>919818657517</v>
      </c>
      <c r="C1390" s="15" t="str">
        <f t="shared" si="1"/>
        <v>samarth.sankhi@live.in919818657517</v>
      </c>
      <c r="D1390" s="16" t="s">
        <v>8320</v>
      </c>
      <c r="E1390" s="16" t="s">
        <v>74</v>
      </c>
    </row>
    <row r="1391">
      <c r="A1391" s="1" t="s">
        <v>2490</v>
      </c>
      <c r="B1391" s="15">
        <f>+919810957676</f>
        <v>919810957676</v>
      </c>
      <c r="C1391" s="15" t="str">
        <f t="shared" si="1"/>
        <v>outdoorrebellions@gmail.com919810957676</v>
      </c>
      <c r="D1391" s="16" t="s">
        <v>8321</v>
      </c>
      <c r="E1391" s="16" t="s">
        <v>68</v>
      </c>
    </row>
    <row r="1392">
      <c r="A1392" s="1" t="s">
        <v>1730</v>
      </c>
      <c r="B1392" s="15">
        <f>+919997428605</f>
        <v>919997428605</v>
      </c>
      <c r="C1392" s="15" t="str">
        <f t="shared" si="1"/>
        <v>kanchangusain007@gmail.com919997428605</v>
      </c>
      <c r="D1392" s="16" t="s">
        <v>8322</v>
      </c>
      <c r="E1392" s="16" t="s">
        <v>68</v>
      </c>
    </row>
    <row r="1393">
      <c r="A1393" s="1" t="s">
        <v>4286</v>
      </c>
      <c r="B1393" s="15">
        <f>+919718686900</f>
        <v>919718686900</v>
      </c>
      <c r="C1393" s="15" t="str">
        <f t="shared" si="1"/>
        <v>deepakmukundan2012@gmail.com919718686900</v>
      </c>
      <c r="D1393" s="16" t="s">
        <v>8323</v>
      </c>
      <c r="E1393" s="16" t="s">
        <v>68</v>
      </c>
    </row>
    <row r="1394">
      <c r="A1394" s="1" t="s">
        <v>5994</v>
      </c>
      <c r="B1394" s="15">
        <f>+918075796676</f>
        <v>918075796676</v>
      </c>
      <c r="C1394" s="15" t="str">
        <f t="shared" si="1"/>
        <v>woundedangel786@gmail.com918075796676</v>
      </c>
      <c r="D1394" s="16" t="s">
        <v>8324</v>
      </c>
      <c r="E1394" s="16" t="s">
        <v>68</v>
      </c>
    </row>
    <row r="1395">
      <c r="A1395" s="1" t="s">
        <v>4353</v>
      </c>
      <c r="B1395" s="15">
        <f>+919620029222</f>
        <v>919620029222</v>
      </c>
      <c r="C1395" s="15" t="str">
        <f t="shared" si="1"/>
        <v>venkat247@gmail.com919620029222</v>
      </c>
      <c r="D1395" s="16" t="s">
        <v>8325</v>
      </c>
      <c r="E1395" s="16" t="s">
        <v>68</v>
      </c>
    </row>
    <row r="1396">
      <c r="A1396" s="1" t="s">
        <v>5868</v>
      </c>
      <c r="B1396" s="15">
        <f t="shared" ref="B1396:B1397" si="184">+918095899670</f>
        <v>918095899670</v>
      </c>
      <c r="C1396" s="15" t="str">
        <f t="shared" si="1"/>
        <v>harshanagpal@live.com918095899670</v>
      </c>
      <c r="D1396" s="16" t="s">
        <v>8326</v>
      </c>
      <c r="E1396" s="16" t="s">
        <v>68</v>
      </c>
    </row>
    <row r="1397">
      <c r="A1397" s="1" t="s">
        <v>5868</v>
      </c>
      <c r="B1397" s="15">
        <f t="shared" si="184"/>
        <v>918095899670</v>
      </c>
      <c r="C1397" s="15" t="str">
        <f t="shared" si="1"/>
        <v>harshanagpal@live.com918095899670</v>
      </c>
      <c r="D1397" s="16" t="s">
        <v>8327</v>
      </c>
      <c r="E1397" s="16" t="s">
        <v>68</v>
      </c>
    </row>
    <row r="1398">
      <c r="A1398" s="1" t="s">
        <v>5367</v>
      </c>
      <c r="B1398" s="15">
        <f>+919870589666</f>
        <v>919870589666</v>
      </c>
      <c r="C1398" s="15" t="str">
        <f t="shared" si="1"/>
        <v>shivani.nirupam@gmail.com919870589666</v>
      </c>
      <c r="D1398" s="16" t="s">
        <v>8328</v>
      </c>
      <c r="E1398" s="16" t="s">
        <v>74</v>
      </c>
    </row>
    <row r="1399">
      <c r="A1399" s="1" t="s">
        <v>8329</v>
      </c>
      <c r="B1399" s="15">
        <f>+919717518040</f>
        <v>919717518040</v>
      </c>
      <c r="C1399" s="15" t="str">
        <f t="shared" si="1"/>
        <v>isha.arora28@gmail.com919717518040</v>
      </c>
      <c r="D1399" s="16" t="s">
        <v>8330</v>
      </c>
      <c r="E1399" s="16" t="s">
        <v>74</v>
      </c>
    </row>
    <row r="1400">
      <c r="A1400" s="1" t="s">
        <v>4034</v>
      </c>
      <c r="B1400" s="15">
        <f>+919820416190</f>
        <v>919820416190</v>
      </c>
      <c r="C1400" s="15" t="str">
        <f t="shared" si="1"/>
        <v>snhptwrdhn@gmail.com919820416190</v>
      </c>
      <c r="D1400" s="16" t="s">
        <v>8331</v>
      </c>
      <c r="E1400" s="16" t="s">
        <v>68</v>
      </c>
    </row>
    <row r="1401">
      <c r="A1401" s="1" t="s">
        <v>3000</v>
      </c>
      <c r="B1401" s="15">
        <f>+919312664365</f>
        <v>919312664365</v>
      </c>
      <c r="C1401" s="15" t="str">
        <f t="shared" si="1"/>
        <v>rubywadhwa50@gmail.com919312664365</v>
      </c>
      <c r="D1401" s="16" t="s">
        <v>8332</v>
      </c>
      <c r="E1401" s="16" t="s">
        <v>97</v>
      </c>
    </row>
    <row r="1402">
      <c r="A1402" s="1" t="s">
        <v>5369</v>
      </c>
      <c r="B1402" s="15">
        <f>+918007969876</f>
        <v>918007969876</v>
      </c>
      <c r="C1402" s="15" t="str">
        <f t="shared" si="1"/>
        <v>rakshi.shetty7@gmail.com918007969876</v>
      </c>
      <c r="D1402" s="16" t="s">
        <v>8333</v>
      </c>
      <c r="E1402" s="16" t="s">
        <v>68</v>
      </c>
    </row>
    <row r="1403">
      <c r="A1403" s="1" t="s">
        <v>4034</v>
      </c>
      <c r="B1403" s="15">
        <f>+919820416190</f>
        <v>919820416190</v>
      </c>
      <c r="C1403" s="15" t="str">
        <f t="shared" si="1"/>
        <v>snhptwrdhn@gmail.com919820416190</v>
      </c>
      <c r="D1403" s="16" t="s">
        <v>8334</v>
      </c>
      <c r="E1403" s="16" t="s">
        <v>68</v>
      </c>
    </row>
    <row r="1404">
      <c r="A1404" s="1" t="s">
        <v>8335</v>
      </c>
      <c r="B1404" s="15">
        <f>+918885311573</f>
        <v>918885311573</v>
      </c>
      <c r="C1404" s="15" t="str">
        <f t="shared" si="1"/>
        <v>ratnaraju884@gmail.com918885311573</v>
      </c>
      <c r="D1404" s="16" t="s">
        <v>8336</v>
      </c>
      <c r="E1404" s="16" t="s">
        <v>68</v>
      </c>
    </row>
    <row r="1405">
      <c r="A1405" s="1" t="s">
        <v>2807</v>
      </c>
      <c r="B1405" s="15">
        <f>+918726705763</f>
        <v>918726705763</v>
      </c>
      <c r="C1405" s="15" t="str">
        <f t="shared" si="1"/>
        <v>mailrichamail6@gmail.com918726705763</v>
      </c>
      <c r="D1405" s="16" t="s">
        <v>8337</v>
      </c>
      <c r="E1405" s="16" t="s">
        <v>68</v>
      </c>
    </row>
    <row r="1406">
      <c r="A1406" s="1" t="s">
        <v>3987</v>
      </c>
      <c r="B1406" s="15">
        <f t="shared" ref="B1406:B1407" si="185">+918866669652</f>
        <v>918866669652</v>
      </c>
      <c r="C1406" s="15" t="str">
        <f t="shared" si="1"/>
        <v>mayank.tomarvk@gmail.com918866669652</v>
      </c>
      <c r="D1406" s="16" t="s">
        <v>8338</v>
      </c>
      <c r="E1406" s="16" t="s">
        <v>74</v>
      </c>
    </row>
    <row r="1407">
      <c r="A1407" s="1" t="s">
        <v>3987</v>
      </c>
      <c r="B1407" s="15">
        <f t="shared" si="185"/>
        <v>918866669652</v>
      </c>
      <c r="C1407" s="15" t="str">
        <f t="shared" si="1"/>
        <v>mayank.tomarvk@gmail.com918866669652</v>
      </c>
      <c r="D1407" s="16" t="s">
        <v>8339</v>
      </c>
      <c r="E1407" s="16" t="s">
        <v>74</v>
      </c>
    </row>
    <row r="1408">
      <c r="A1408" s="1" t="s">
        <v>5996</v>
      </c>
      <c r="B1408" s="15">
        <f>+918589896283</f>
        <v>918589896283</v>
      </c>
      <c r="C1408" s="15" t="str">
        <f t="shared" si="1"/>
        <v>anzilpoolakkachalil@gmail.com918589896283</v>
      </c>
      <c r="D1408" s="16" t="s">
        <v>8340</v>
      </c>
      <c r="E1408" s="16" t="s">
        <v>68</v>
      </c>
    </row>
    <row r="1409">
      <c r="A1409" s="1" t="s">
        <v>4355</v>
      </c>
      <c r="B1409" s="15">
        <f>+919811613676</f>
        <v>919811613676</v>
      </c>
      <c r="C1409" s="15" t="str">
        <f t="shared" si="1"/>
        <v>madhur0206@gmail.com919811613676</v>
      </c>
      <c r="D1409" s="16" t="s">
        <v>8341</v>
      </c>
      <c r="E1409" s="16" t="s">
        <v>151</v>
      </c>
    </row>
    <row r="1410">
      <c r="A1410" s="1" t="s">
        <v>2635</v>
      </c>
      <c r="B1410" s="15">
        <f>+919480772621</f>
        <v>919480772621</v>
      </c>
      <c r="C1410" s="15" t="str">
        <f t="shared" si="1"/>
        <v>deepaoct16@gmail.com919480772621</v>
      </c>
      <c r="D1410" s="16" t="s">
        <v>8342</v>
      </c>
      <c r="E1410" s="16" t="s">
        <v>68</v>
      </c>
    </row>
    <row r="1411">
      <c r="A1411" s="1" t="s">
        <v>4355</v>
      </c>
      <c r="B1411" s="15">
        <f t="shared" ref="B1411:B1412" si="186">+919811613676</f>
        <v>919811613676</v>
      </c>
      <c r="C1411" s="15" t="str">
        <f t="shared" si="1"/>
        <v>madhur0206@gmail.com919811613676</v>
      </c>
      <c r="D1411" s="16" t="s">
        <v>8343</v>
      </c>
      <c r="E1411" s="16" t="s">
        <v>151</v>
      </c>
    </row>
    <row r="1412">
      <c r="A1412" s="1" t="s">
        <v>4355</v>
      </c>
      <c r="B1412" s="15">
        <f t="shared" si="186"/>
        <v>919811613676</v>
      </c>
      <c r="C1412" s="15" t="str">
        <f t="shared" si="1"/>
        <v>madhur0206@gmail.com919811613676</v>
      </c>
      <c r="D1412" s="16" t="s">
        <v>8344</v>
      </c>
      <c r="E1412" s="16" t="s">
        <v>74</v>
      </c>
    </row>
    <row r="1413">
      <c r="A1413" s="1" t="s">
        <v>5060</v>
      </c>
      <c r="B1413" s="15">
        <f>+919483347663</f>
        <v>919483347663</v>
      </c>
      <c r="C1413" s="15" t="str">
        <f t="shared" si="1"/>
        <v>mamathahc410@gmail.com919483347663</v>
      </c>
      <c r="D1413" s="16" t="s">
        <v>8345</v>
      </c>
      <c r="E1413" s="16" t="s">
        <v>74</v>
      </c>
    </row>
    <row r="1414">
      <c r="A1414" s="1" t="s">
        <v>5216</v>
      </c>
      <c r="B1414" s="15">
        <f>+919535703752</f>
        <v>919535703752</v>
      </c>
      <c r="C1414" s="15" t="str">
        <f t="shared" si="1"/>
        <v>nehap2176@gmail.com919535703752</v>
      </c>
      <c r="D1414" s="16" t="s">
        <v>8346</v>
      </c>
      <c r="E1414" s="16" t="s">
        <v>68</v>
      </c>
    </row>
    <row r="1415">
      <c r="A1415" s="1" t="s">
        <v>8347</v>
      </c>
      <c r="B1415" s="15">
        <f>+919633051142</f>
        <v>919633051142</v>
      </c>
      <c r="C1415" s="15" t="str">
        <f t="shared" si="1"/>
        <v>ajaynkkrishna@gmail.com919633051142</v>
      </c>
      <c r="D1415" s="16" t="s">
        <v>8348</v>
      </c>
      <c r="E1415" s="16" t="s">
        <v>74</v>
      </c>
    </row>
    <row r="1416">
      <c r="A1416" s="1" t="s">
        <v>8349</v>
      </c>
      <c r="B1416" s="15">
        <f>+919822100140</f>
        <v>919822100140</v>
      </c>
      <c r="C1416" s="15" t="str">
        <f t="shared" si="1"/>
        <v>aniket.bhalerao@livehealth.in919822100140</v>
      </c>
      <c r="D1416" s="16" t="s">
        <v>8350</v>
      </c>
      <c r="E1416" s="16" t="s">
        <v>74</v>
      </c>
    </row>
    <row r="1417">
      <c r="A1417" s="1" t="s">
        <v>3313</v>
      </c>
      <c r="B1417" s="15">
        <f>+919888470272</f>
        <v>919888470272</v>
      </c>
      <c r="C1417" s="15" t="str">
        <f t="shared" si="1"/>
        <v>himanshusaleria@gmail.com919888470272</v>
      </c>
      <c r="D1417" s="16" t="s">
        <v>8351</v>
      </c>
      <c r="E1417" s="16" t="s">
        <v>151</v>
      </c>
    </row>
    <row r="1418">
      <c r="A1418" s="1" t="s">
        <v>4357</v>
      </c>
      <c r="B1418" s="15">
        <f>+917827174844</f>
        <v>917827174844</v>
      </c>
      <c r="C1418" s="15" t="str">
        <f t="shared" si="1"/>
        <v>satishagrawal629@gmail.com917827174844</v>
      </c>
      <c r="D1418" s="16" t="s">
        <v>8352</v>
      </c>
      <c r="E1418" s="16" t="s">
        <v>68</v>
      </c>
    </row>
    <row r="1419">
      <c r="A1419" s="1" t="s">
        <v>4359</v>
      </c>
      <c r="B1419" s="15">
        <f>+919321982105</f>
        <v>919321982105</v>
      </c>
      <c r="C1419" s="15" t="str">
        <f t="shared" si="1"/>
        <v>bhavnadamania9@gmail.com919321982105</v>
      </c>
      <c r="D1419" s="16" t="s">
        <v>8353</v>
      </c>
      <c r="E1419" s="16" t="s">
        <v>68</v>
      </c>
    </row>
    <row r="1420">
      <c r="A1420" s="1" t="s">
        <v>8354</v>
      </c>
      <c r="B1420" s="15">
        <f>+919971366608</f>
        <v>919971366608</v>
      </c>
      <c r="C1420" s="15" t="str">
        <f t="shared" si="1"/>
        <v>savita_rout@yahoo.com919971366608</v>
      </c>
      <c r="D1420" s="16" t="s">
        <v>8355</v>
      </c>
      <c r="E1420" s="16" t="s">
        <v>74</v>
      </c>
    </row>
    <row r="1421">
      <c r="A1421" s="1" t="s">
        <v>4443</v>
      </c>
      <c r="B1421" s="15">
        <f>+919480137751</f>
        <v>919480137751</v>
      </c>
      <c r="C1421" s="15" t="str">
        <f t="shared" si="1"/>
        <v>shilpa24822@gmail.com919480137751</v>
      </c>
      <c r="D1421" s="16" t="s">
        <v>8356</v>
      </c>
      <c r="E1421" s="16" t="s">
        <v>68</v>
      </c>
    </row>
    <row r="1422">
      <c r="A1422" s="1" t="s">
        <v>5371</v>
      </c>
      <c r="B1422" s="15">
        <f>+917567075433</f>
        <v>917567075433</v>
      </c>
      <c r="C1422" s="15" t="str">
        <f t="shared" si="1"/>
        <v>kavitathakur59@yahoo.com917567075433</v>
      </c>
      <c r="D1422" s="16" t="s">
        <v>8357</v>
      </c>
      <c r="E1422" s="16" t="s">
        <v>68</v>
      </c>
    </row>
    <row r="1423">
      <c r="A1423" s="1" t="s">
        <v>3212</v>
      </c>
      <c r="B1423" s="15">
        <f>+918850942461</f>
        <v>918850942461</v>
      </c>
      <c r="C1423" s="15" t="str">
        <f t="shared" si="1"/>
        <v>prashantkanade00856@gmail.com918850942461</v>
      </c>
      <c r="D1423" s="16" t="s">
        <v>8358</v>
      </c>
      <c r="E1423" s="16" t="s">
        <v>68</v>
      </c>
    </row>
    <row r="1424">
      <c r="A1424" s="1" t="s">
        <v>8359</v>
      </c>
      <c r="B1424" s="15">
        <f>+919284028429</f>
        <v>919284028429</v>
      </c>
      <c r="C1424" s="15" t="str">
        <f t="shared" si="1"/>
        <v>shivshri9197@gmail.com919284028429</v>
      </c>
      <c r="D1424" s="16" t="s">
        <v>8360</v>
      </c>
      <c r="E1424" s="16" t="s">
        <v>68</v>
      </c>
    </row>
    <row r="1425">
      <c r="A1425" s="1" t="s">
        <v>3313</v>
      </c>
      <c r="B1425" s="15">
        <f>+919888470272</f>
        <v>919888470272</v>
      </c>
      <c r="C1425" s="15" t="str">
        <f t="shared" si="1"/>
        <v>himanshusaleria@gmail.com919888470272</v>
      </c>
      <c r="D1425" s="16" t="s">
        <v>8361</v>
      </c>
      <c r="E1425" s="16" t="s">
        <v>68</v>
      </c>
    </row>
    <row r="1426">
      <c r="A1426" s="1" t="s">
        <v>8362</v>
      </c>
      <c r="B1426" s="15">
        <f>+919822286669</f>
        <v>919822286669</v>
      </c>
      <c r="C1426" s="15" t="str">
        <f t="shared" si="1"/>
        <v>apeksha666raja@yahoo.in919822286669</v>
      </c>
      <c r="D1426" s="16" t="s">
        <v>8363</v>
      </c>
      <c r="E1426" s="16" t="s">
        <v>68</v>
      </c>
    </row>
    <row r="1427">
      <c r="A1427" s="1" t="s">
        <v>3407</v>
      </c>
      <c r="B1427" s="15">
        <f>+919833833899</f>
        <v>919833833899</v>
      </c>
      <c r="C1427" s="15" t="str">
        <f t="shared" si="1"/>
        <v>awi00@hotmail.com919833833899</v>
      </c>
      <c r="D1427" s="16" t="s">
        <v>8364</v>
      </c>
      <c r="E1427" s="16" t="s">
        <v>74</v>
      </c>
    </row>
    <row r="1428">
      <c r="A1428" s="1" t="s">
        <v>8365</v>
      </c>
      <c r="B1428" s="15">
        <f>+918501991214</f>
        <v>918501991214</v>
      </c>
      <c r="C1428" s="15" t="str">
        <f t="shared" si="1"/>
        <v>minalhingmire@gmail.com918501991214</v>
      </c>
      <c r="D1428" s="16" t="s">
        <v>8366</v>
      </c>
      <c r="E1428" s="16" t="s">
        <v>68</v>
      </c>
    </row>
    <row r="1429">
      <c r="A1429" s="1" t="s">
        <v>8367</v>
      </c>
      <c r="B1429" s="15">
        <f t="shared" ref="B1429:B1430" si="187">+919360676712</f>
        <v>919360676712</v>
      </c>
      <c r="C1429" s="15" t="str">
        <f t="shared" si="1"/>
        <v>dillieee3011@gmail.com919360676712</v>
      </c>
      <c r="D1429" s="16" t="s">
        <v>8368</v>
      </c>
      <c r="E1429" s="16" t="s">
        <v>68</v>
      </c>
    </row>
    <row r="1430">
      <c r="A1430" s="1" t="s">
        <v>8367</v>
      </c>
      <c r="B1430" s="15">
        <f t="shared" si="187"/>
        <v>919360676712</v>
      </c>
      <c r="C1430" s="15" t="str">
        <f t="shared" si="1"/>
        <v>dillieee3011@gmail.com919360676712</v>
      </c>
      <c r="D1430" s="16" t="s">
        <v>8369</v>
      </c>
      <c r="E1430" s="16" t="s">
        <v>74</v>
      </c>
    </row>
    <row r="1431">
      <c r="A1431" s="1" t="s">
        <v>1730</v>
      </c>
      <c r="B1431" s="15">
        <f t="shared" ref="B1431:B1434" si="188">+919997428605</f>
        <v>919997428605</v>
      </c>
      <c r="C1431" s="15" t="str">
        <f t="shared" si="1"/>
        <v>kanchangusain007@gmail.com919997428605</v>
      </c>
      <c r="D1431" s="16" t="s">
        <v>8370</v>
      </c>
      <c r="E1431" s="16" t="s">
        <v>151</v>
      </c>
    </row>
    <row r="1432">
      <c r="A1432" s="1" t="s">
        <v>1730</v>
      </c>
      <c r="B1432" s="15">
        <f t="shared" si="188"/>
        <v>919997428605</v>
      </c>
      <c r="C1432" s="15" t="str">
        <f t="shared" si="1"/>
        <v>kanchangusain007@gmail.com919997428605</v>
      </c>
      <c r="D1432" s="16" t="s">
        <v>8371</v>
      </c>
      <c r="E1432" s="16" t="s">
        <v>151</v>
      </c>
    </row>
    <row r="1433">
      <c r="A1433" s="1" t="s">
        <v>1730</v>
      </c>
      <c r="B1433" s="15">
        <f t="shared" si="188"/>
        <v>919997428605</v>
      </c>
      <c r="C1433" s="15" t="str">
        <f t="shared" si="1"/>
        <v>kanchangusain007@gmail.com919997428605</v>
      </c>
      <c r="D1433" s="16" t="s">
        <v>8372</v>
      </c>
      <c r="E1433" s="16" t="s">
        <v>151</v>
      </c>
    </row>
    <row r="1434">
      <c r="A1434" s="1" t="s">
        <v>1730</v>
      </c>
      <c r="B1434" s="15">
        <f t="shared" si="188"/>
        <v>919997428605</v>
      </c>
      <c r="C1434" s="15" t="str">
        <f t="shared" si="1"/>
        <v>kanchangusain007@gmail.com919997428605</v>
      </c>
      <c r="D1434" s="16" t="s">
        <v>8373</v>
      </c>
      <c r="E1434" s="16" t="s">
        <v>74</v>
      </c>
    </row>
    <row r="1435">
      <c r="A1435" s="1" t="s">
        <v>5999</v>
      </c>
      <c r="B1435" s="15">
        <f>+918015778075</f>
        <v>918015778075</v>
      </c>
      <c r="C1435" s="15" t="str">
        <f t="shared" si="1"/>
        <v>janamca1996@gmail.com918015778075</v>
      </c>
      <c r="D1435" s="16" t="s">
        <v>8374</v>
      </c>
      <c r="E1435" s="16" t="s">
        <v>68</v>
      </c>
    </row>
    <row r="1436">
      <c r="A1436" s="1" t="s">
        <v>8375</v>
      </c>
      <c r="B1436" s="15">
        <f t="shared" ref="B1436:B1437" si="189">+918375846259</f>
        <v>918375846259</v>
      </c>
      <c r="C1436" s="15" t="str">
        <f t="shared" si="1"/>
        <v>sk1234@gmail.com918375846259</v>
      </c>
      <c r="D1436" s="16" t="s">
        <v>8376</v>
      </c>
      <c r="E1436" s="16" t="s">
        <v>151</v>
      </c>
    </row>
    <row r="1437">
      <c r="A1437" s="1" t="s">
        <v>8375</v>
      </c>
      <c r="B1437" s="15">
        <f t="shared" si="189"/>
        <v>918375846259</v>
      </c>
      <c r="C1437" s="15" t="str">
        <f t="shared" si="1"/>
        <v>sk1234@gmail.com918375846259</v>
      </c>
      <c r="D1437" s="16" t="s">
        <v>8377</v>
      </c>
      <c r="E1437" s="16" t="s">
        <v>151</v>
      </c>
    </row>
    <row r="1438">
      <c r="A1438" s="1" t="s">
        <v>6690</v>
      </c>
      <c r="B1438" s="15">
        <f t="shared" ref="B1438:B1439" si="190">+919920816060</f>
        <v>919920816060</v>
      </c>
      <c r="C1438" s="15" t="str">
        <f t="shared" si="1"/>
        <v>payalpopat1993@yahoo.com919920816060</v>
      </c>
      <c r="D1438" s="16" t="s">
        <v>8378</v>
      </c>
      <c r="E1438" s="16" t="s">
        <v>68</v>
      </c>
    </row>
    <row r="1439">
      <c r="A1439" s="1" t="s">
        <v>6690</v>
      </c>
      <c r="B1439" s="15">
        <f t="shared" si="190"/>
        <v>919920816060</v>
      </c>
      <c r="C1439" s="15" t="str">
        <f t="shared" si="1"/>
        <v>payalpopat1993@yahoo.com919920816060</v>
      </c>
      <c r="D1439" s="16" t="s">
        <v>8379</v>
      </c>
      <c r="E1439" s="16" t="s">
        <v>68</v>
      </c>
    </row>
    <row r="1440">
      <c r="A1440" s="1" t="s">
        <v>8380</v>
      </c>
      <c r="B1440" s="15">
        <f>+919895908044</f>
        <v>919895908044</v>
      </c>
      <c r="C1440" s="15" t="str">
        <f t="shared" si="1"/>
        <v>iamdeepasreekumar@gmail.com919895908044</v>
      </c>
      <c r="D1440" s="16" t="s">
        <v>8381</v>
      </c>
      <c r="E1440" s="16" t="s">
        <v>68</v>
      </c>
    </row>
    <row r="1441">
      <c r="A1441" s="1" t="s">
        <v>5870</v>
      </c>
      <c r="B1441" s="15">
        <f>+917900560917</f>
        <v>917900560917</v>
      </c>
      <c r="C1441" s="15" t="str">
        <f t="shared" si="1"/>
        <v>pankaj.25929@gmail.com917900560917</v>
      </c>
      <c r="D1441" s="16" t="s">
        <v>8382</v>
      </c>
      <c r="E1441" s="16" t="s">
        <v>68</v>
      </c>
    </row>
    <row r="1442">
      <c r="A1442" s="1" t="s">
        <v>7283</v>
      </c>
      <c r="B1442" s="15">
        <f t="shared" ref="B1442:B1447" si="191">+919166106191</f>
        <v>919166106191</v>
      </c>
      <c r="C1442" s="15" t="str">
        <f t="shared" si="1"/>
        <v>rastogivishal00011@gmail.com919166106191</v>
      </c>
      <c r="D1442" s="16" t="s">
        <v>8383</v>
      </c>
      <c r="E1442" s="16" t="s">
        <v>151</v>
      </c>
    </row>
    <row r="1443">
      <c r="A1443" s="1" t="s">
        <v>7283</v>
      </c>
      <c r="B1443" s="15">
        <f t="shared" si="191"/>
        <v>919166106191</v>
      </c>
      <c r="C1443" s="15" t="str">
        <f t="shared" si="1"/>
        <v>rastogivishal00011@gmail.com919166106191</v>
      </c>
      <c r="D1443" s="16" t="s">
        <v>8384</v>
      </c>
      <c r="E1443" s="16" t="s">
        <v>151</v>
      </c>
    </row>
    <row r="1444">
      <c r="A1444" s="1" t="s">
        <v>7283</v>
      </c>
      <c r="B1444" s="15">
        <f t="shared" si="191"/>
        <v>919166106191</v>
      </c>
      <c r="C1444" s="15" t="str">
        <f t="shared" si="1"/>
        <v>rastogivishal00011@gmail.com919166106191</v>
      </c>
      <c r="D1444" s="16" t="s">
        <v>8385</v>
      </c>
      <c r="E1444" s="16" t="s">
        <v>151</v>
      </c>
    </row>
    <row r="1445">
      <c r="A1445" s="1" t="s">
        <v>7283</v>
      </c>
      <c r="B1445" s="15">
        <f t="shared" si="191"/>
        <v>919166106191</v>
      </c>
      <c r="C1445" s="15" t="str">
        <f t="shared" si="1"/>
        <v>rastogivishal00011@gmail.com919166106191</v>
      </c>
      <c r="D1445" s="16" t="s">
        <v>8386</v>
      </c>
      <c r="E1445" s="16" t="s">
        <v>151</v>
      </c>
    </row>
    <row r="1446">
      <c r="A1446" s="1" t="s">
        <v>7283</v>
      </c>
      <c r="B1446" s="15">
        <f t="shared" si="191"/>
        <v>919166106191</v>
      </c>
      <c r="C1446" s="15" t="str">
        <f t="shared" si="1"/>
        <v>rastogivishal00011@gmail.com919166106191</v>
      </c>
      <c r="D1446" s="16" t="s">
        <v>8387</v>
      </c>
      <c r="E1446" s="16" t="s">
        <v>151</v>
      </c>
    </row>
    <row r="1447">
      <c r="A1447" s="1" t="s">
        <v>7283</v>
      </c>
      <c r="B1447" s="15">
        <f t="shared" si="191"/>
        <v>919166106191</v>
      </c>
      <c r="C1447" s="15" t="str">
        <f t="shared" si="1"/>
        <v>rastogivishal00011@gmail.com919166106191</v>
      </c>
      <c r="D1447" s="16" t="s">
        <v>8388</v>
      </c>
      <c r="E1447" s="16" t="s">
        <v>151</v>
      </c>
    </row>
    <row r="1448">
      <c r="A1448" s="1" t="s">
        <v>5218</v>
      </c>
      <c r="B1448" s="15">
        <f>+919172127573</f>
        <v>919172127573</v>
      </c>
      <c r="C1448" s="15" t="str">
        <f t="shared" si="1"/>
        <v>myworld07interiors@gmail.com919172127573</v>
      </c>
      <c r="D1448" s="16" t="s">
        <v>8389</v>
      </c>
      <c r="E1448" s="16" t="s">
        <v>68</v>
      </c>
    </row>
    <row r="1449">
      <c r="A1449" s="1" t="s">
        <v>8390</v>
      </c>
      <c r="B1449" s="15">
        <f>+919664623171</f>
        <v>919664623171</v>
      </c>
      <c r="C1449" s="15" t="str">
        <f t="shared" si="1"/>
        <v>natashasinghania412@gmail.com919664623171</v>
      </c>
      <c r="D1449" s="16" t="s">
        <v>8391</v>
      </c>
      <c r="E1449" s="16" t="s">
        <v>151</v>
      </c>
    </row>
    <row r="1450">
      <c r="A1450" s="1" t="s">
        <v>7283</v>
      </c>
      <c r="B1450" s="15">
        <f>+919166106191</f>
        <v>919166106191</v>
      </c>
      <c r="C1450" s="15" t="str">
        <f t="shared" si="1"/>
        <v>rastogivishal00011@gmail.com919166106191</v>
      </c>
      <c r="D1450" s="16" t="s">
        <v>8392</v>
      </c>
      <c r="E1450" s="16" t="s">
        <v>151</v>
      </c>
    </row>
    <row r="1451">
      <c r="A1451" s="1" t="s">
        <v>8390</v>
      </c>
      <c r="B1451" s="15">
        <f>+919664623171</f>
        <v>919664623171</v>
      </c>
      <c r="C1451" s="15" t="str">
        <f t="shared" si="1"/>
        <v>natashasinghania412@gmail.com919664623171</v>
      </c>
      <c r="D1451" s="16" t="s">
        <v>8393</v>
      </c>
      <c r="E1451" s="16" t="s">
        <v>74</v>
      </c>
    </row>
    <row r="1452">
      <c r="A1452" s="1" t="s">
        <v>3313</v>
      </c>
      <c r="B1452" s="15">
        <f>+919888470272</f>
        <v>919888470272</v>
      </c>
      <c r="C1452" s="15" t="str">
        <f t="shared" si="1"/>
        <v>himanshusaleria@gmail.com919888470272</v>
      </c>
      <c r="D1452" s="16" t="s">
        <v>8394</v>
      </c>
      <c r="E1452" s="16" t="s">
        <v>68</v>
      </c>
    </row>
    <row r="1453">
      <c r="A1453" s="1" t="s">
        <v>8395</v>
      </c>
      <c r="B1453" s="15">
        <f>+918097640354</f>
        <v>918097640354</v>
      </c>
      <c r="C1453" s="15" t="str">
        <f t="shared" si="1"/>
        <v>prachi.shah086@gmail.com918097640354</v>
      </c>
      <c r="D1453" s="16" t="s">
        <v>8396</v>
      </c>
      <c r="E1453" s="16" t="s">
        <v>151</v>
      </c>
    </row>
    <row r="1454">
      <c r="A1454" s="1" t="s">
        <v>3313</v>
      </c>
      <c r="B1454" s="15">
        <f>+919888470272</f>
        <v>919888470272</v>
      </c>
      <c r="C1454" s="15" t="str">
        <f t="shared" si="1"/>
        <v>himanshusaleria@gmail.com919888470272</v>
      </c>
      <c r="D1454" s="16" t="s">
        <v>8397</v>
      </c>
      <c r="E1454" s="16" t="s">
        <v>151</v>
      </c>
    </row>
    <row r="1455">
      <c r="A1455" s="1" t="s">
        <v>8395</v>
      </c>
      <c r="B1455" s="15">
        <f>+918097640354</f>
        <v>918097640354</v>
      </c>
      <c r="C1455" s="15" t="str">
        <f t="shared" si="1"/>
        <v>prachi.shah086@gmail.com918097640354</v>
      </c>
      <c r="D1455" s="16" t="s">
        <v>8398</v>
      </c>
      <c r="E1455" s="16" t="s">
        <v>151</v>
      </c>
    </row>
    <row r="1456">
      <c r="A1456" s="1" t="s">
        <v>2703</v>
      </c>
      <c r="B1456" s="15">
        <f>+917838168936</f>
        <v>917838168936</v>
      </c>
      <c r="C1456" s="15" t="str">
        <f t="shared" si="1"/>
        <v>akshita.bpsmv@gmail.com917838168936</v>
      </c>
      <c r="D1456" s="16" t="s">
        <v>8399</v>
      </c>
      <c r="E1456" s="16" t="s">
        <v>68</v>
      </c>
    </row>
    <row r="1457">
      <c r="A1457" s="1" t="s">
        <v>3409</v>
      </c>
      <c r="B1457" s="15">
        <f>+918792841622</f>
        <v>918792841622</v>
      </c>
      <c r="C1457" s="15" t="str">
        <f t="shared" si="1"/>
        <v>bibhursamal@gmail.com918792841622</v>
      </c>
      <c r="D1457" s="16" t="s">
        <v>8400</v>
      </c>
      <c r="E1457" s="16" t="s">
        <v>68</v>
      </c>
    </row>
    <row r="1458">
      <c r="A1458" s="1" t="s">
        <v>2703</v>
      </c>
      <c r="B1458" s="15">
        <f t="shared" ref="B1458:B1459" si="192">+917838168936</f>
        <v>917838168936</v>
      </c>
      <c r="C1458" s="15" t="str">
        <f t="shared" si="1"/>
        <v>akshita.bpsmv@gmail.com917838168936</v>
      </c>
      <c r="D1458" s="16" t="s">
        <v>8401</v>
      </c>
      <c r="E1458" s="16" t="s">
        <v>74</v>
      </c>
    </row>
    <row r="1459">
      <c r="A1459" s="1" t="s">
        <v>2703</v>
      </c>
      <c r="B1459" s="15">
        <f t="shared" si="192"/>
        <v>917838168936</v>
      </c>
      <c r="C1459" s="15" t="str">
        <f t="shared" si="1"/>
        <v>akshita.bpsmv@gmail.com917838168936</v>
      </c>
      <c r="D1459" s="16" t="s">
        <v>8402</v>
      </c>
      <c r="E1459" s="16" t="s">
        <v>74</v>
      </c>
    </row>
    <row r="1460">
      <c r="A1460" s="1" t="s">
        <v>3322</v>
      </c>
      <c r="B1460" s="15">
        <f t="shared" ref="B1460:B1461" si="193">+919718265488</f>
        <v>919718265488</v>
      </c>
      <c r="C1460" s="15" t="str">
        <f t="shared" si="1"/>
        <v>nipungoyal.iitd@gmail.com919718265488</v>
      </c>
      <c r="D1460" s="16" t="s">
        <v>8403</v>
      </c>
      <c r="E1460" s="16" t="s">
        <v>68</v>
      </c>
    </row>
    <row r="1461">
      <c r="A1461" s="1" t="s">
        <v>3322</v>
      </c>
      <c r="B1461" s="15">
        <f t="shared" si="193"/>
        <v>919718265488</v>
      </c>
      <c r="C1461" s="15" t="str">
        <f t="shared" si="1"/>
        <v>nipungoyal.iitd@gmail.com919718265488</v>
      </c>
      <c r="D1461" s="16" t="s">
        <v>8404</v>
      </c>
      <c r="E1461" s="16" t="s">
        <v>68</v>
      </c>
    </row>
    <row r="1462">
      <c r="A1462" s="1" t="s">
        <v>8405</v>
      </c>
      <c r="B1462" s="15">
        <f>+919500098389</f>
        <v>919500098389</v>
      </c>
      <c r="C1462" s="15" t="str">
        <f t="shared" si="1"/>
        <v>vsrnagabhushan@outlook.com919500098389</v>
      </c>
      <c r="D1462" s="16" t="s">
        <v>8406</v>
      </c>
      <c r="E1462" s="16" t="s">
        <v>68</v>
      </c>
    </row>
    <row r="1463">
      <c r="A1463" s="1" t="s">
        <v>3028</v>
      </c>
      <c r="B1463" s="15">
        <f>+919971234747</f>
        <v>919971234747</v>
      </c>
      <c r="C1463" s="15" t="str">
        <f t="shared" si="1"/>
        <v>ektak2020ahlconintl@gmail.com919971234747</v>
      </c>
      <c r="D1463" s="16" t="s">
        <v>8407</v>
      </c>
      <c r="E1463" s="16" t="s">
        <v>74</v>
      </c>
    </row>
    <row r="1464">
      <c r="A1464" s="1" t="s">
        <v>8408</v>
      </c>
      <c r="B1464" s="15">
        <f>+919162937573</f>
        <v>919162937573</v>
      </c>
      <c r="C1464" s="15" t="str">
        <f t="shared" si="1"/>
        <v>rahul957605@gmail.com919162937573</v>
      </c>
      <c r="D1464" s="16" t="s">
        <v>8409</v>
      </c>
      <c r="E1464" s="16" t="s">
        <v>151</v>
      </c>
    </row>
    <row r="1465">
      <c r="A1465" s="1" t="s">
        <v>8410</v>
      </c>
      <c r="B1465" s="15">
        <f>+919538785682</f>
        <v>919538785682</v>
      </c>
      <c r="C1465" s="15" t="str">
        <f t="shared" si="1"/>
        <v>anua54576@gmail.com919538785682</v>
      </c>
      <c r="D1465" s="16" t="s">
        <v>8411</v>
      </c>
      <c r="E1465" s="16" t="s">
        <v>151</v>
      </c>
    </row>
    <row r="1466">
      <c r="A1466" s="1" t="s">
        <v>5720</v>
      </c>
      <c r="B1466" s="15">
        <f>+917003167260</f>
        <v>917003167260</v>
      </c>
      <c r="C1466" s="15" t="str">
        <f t="shared" si="1"/>
        <v>shrabandutta@gmail.com917003167260</v>
      </c>
      <c r="D1466" s="16" t="s">
        <v>8412</v>
      </c>
      <c r="E1466" s="16" t="s">
        <v>97</v>
      </c>
    </row>
    <row r="1467">
      <c r="A1467" s="1" t="s">
        <v>2637</v>
      </c>
      <c r="B1467" s="15">
        <f>+919834613419</f>
        <v>919834613419</v>
      </c>
      <c r="C1467" s="15" t="str">
        <f t="shared" si="1"/>
        <v>ar.akshaykulkarni@gmail.com919834613419</v>
      </c>
      <c r="D1467" s="16" t="s">
        <v>8413</v>
      </c>
      <c r="E1467" s="16" t="s">
        <v>68</v>
      </c>
    </row>
    <row r="1468">
      <c r="A1468" s="1" t="s">
        <v>8414</v>
      </c>
      <c r="B1468" s="15">
        <f>+918604224585</f>
        <v>918604224585</v>
      </c>
      <c r="C1468" s="15" t="str">
        <f t="shared" si="1"/>
        <v>chandanidisha0@gmail.com918604224585</v>
      </c>
      <c r="D1468" s="16" t="s">
        <v>8415</v>
      </c>
      <c r="E1468" s="16" t="s">
        <v>97</v>
      </c>
    </row>
    <row r="1469">
      <c r="A1469" s="1" t="s">
        <v>4814</v>
      </c>
      <c r="B1469" s="15">
        <f>+917798926894</f>
        <v>917798926894</v>
      </c>
      <c r="C1469" s="15" t="str">
        <f t="shared" si="1"/>
        <v>ruchira.klki16@gmail.com917798926894</v>
      </c>
      <c r="D1469" s="16" t="s">
        <v>8416</v>
      </c>
      <c r="E1469" s="16" t="s">
        <v>68</v>
      </c>
    </row>
    <row r="1470">
      <c r="A1470" s="1" t="s">
        <v>8417</v>
      </c>
      <c r="B1470" s="15">
        <f>+919429139119</f>
        <v>919429139119</v>
      </c>
      <c r="C1470" s="15" t="str">
        <f t="shared" si="1"/>
        <v>savaliarajesh2006@rediffmail.com919429139119</v>
      </c>
      <c r="D1470" s="16" t="s">
        <v>8418</v>
      </c>
      <c r="E1470" s="16" t="s">
        <v>74</v>
      </c>
    </row>
    <row r="1471">
      <c r="A1471" s="1" t="s">
        <v>4948</v>
      </c>
      <c r="B1471" s="15">
        <f>+917878141211</f>
        <v>917878141211</v>
      </c>
      <c r="C1471" s="15" t="str">
        <f t="shared" si="1"/>
        <v>69aaks@gmail.com917878141211</v>
      </c>
      <c r="D1471" s="16" t="s">
        <v>8419</v>
      </c>
      <c r="E1471" s="16" t="s">
        <v>68</v>
      </c>
    </row>
    <row r="1472">
      <c r="A1472" s="1" t="s">
        <v>3411</v>
      </c>
      <c r="B1472" s="15">
        <f>+919847222503</f>
        <v>919847222503</v>
      </c>
      <c r="C1472" s="15" t="str">
        <f t="shared" si="1"/>
        <v>nandini18prabhu@gmail.com919847222503</v>
      </c>
      <c r="D1472" s="16" t="s">
        <v>8420</v>
      </c>
      <c r="E1472" s="16" t="s">
        <v>68</v>
      </c>
    </row>
    <row r="1473">
      <c r="A1473" s="1" t="s">
        <v>6593</v>
      </c>
      <c r="B1473" s="15">
        <f>+918239934922</f>
        <v>918239934922</v>
      </c>
      <c r="C1473" s="15" t="str">
        <f t="shared" si="1"/>
        <v>sheel.crumpee@gmail.com918239934922</v>
      </c>
      <c r="D1473" s="16" t="s">
        <v>8421</v>
      </c>
      <c r="E1473" s="16" t="s">
        <v>68</v>
      </c>
    </row>
    <row r="1474">
      <c r="A1474" s="1" t="s">
        <v>4073</v>
      </c>
      <c r="B1474" s="15">
        <f>+919940873060</f>
        <v>919940873060</v>
      </c>
      <c r="C1474" s="15" t="str">
        <f t="shared" si="1"/>
        <v>dhivya1371999@gmail.com919940873060</v>
      </c>
      <c r="D1474" s="16" t="s">
        <v>8422</v>
      </c>
      <c r="E1474" s="16" t="s">
        <v>74</v>
      </c>
    </row>
    <row r="1475">
      <c r="A1475" s="1" t="s">
        <v>8423</v>
      </c>
      <c r="B1475" s="15">
        <f>+919972000669</f>
        <v>919972000669</v>
      </c>
      <c r="C1475" s="15" t="str">
        <f t="shared" si="1"/>
        <v>thephantomtrail@gmail.com919972000669</v>
      </c>
      <c r="D1475" s="16" t="s">
        <v>8424</v>
      </c>
      <c r="E1475" s="16" t="s">
        <v>74</v>
      </c>
    </row>
    <row r="1476">
      <c r="A1476" s="1" t="s">
        <v>4073</v>
      </c>
      <c r="B1476" s="15">
        <f>+919940873060</f>
        <v>919940873060</v>
      </c>
      <c r="C1476" s="15" t="str">
        <f t="shared" si="1"/>
        <v>dhivya1371999@gmail.com919940873060</v>
      </c>
      <c r="D1476" s="16" t="s">
        <v>8425</v>
      </c>
      <c r="E1476" s="16" t="s">
        <v>151</v>
      </c>
    </row>
    <row r="1477">
      <c r="A1477" s="1" t="s">
        <v>6376</v>
      </c>
      <c r="B1477" s="15">
        <f t="shared" ref="B1477:B1478" si="194">+919829070084</f>
        <v>919829070084</v>
      </c>
      <c r="C1477" s="15" t="str">
        <f t="shared" si="1"/>
        <v>mayankjain1995@gmail.com919829070084</v>
      </c>
      <c r="D1477" s="16" t="s">
        <v>8426</v>
      </c>
      <c r="E1477" s="16" t="s">
        <v>68</v>
      </c>
    </row>
    <row r="1478">
      <c r="A1478" s="1" t="s">
        <v>6376</v>
      </c>
      <c r="B1478" s="15">
        <f t="shared" si="194"/>
        <v>919829070084</v>
      </c>
      <c r="C1478" s="15" t="str">
        <f t="shared" si="1"/>
        <v>mayankjain1995@gmail.com919829070084</v>
      </c>
      <c r="D1478" s="16" t="s">
        <v>8427</v>
      </c>
      <c r="E1478" s="16" t="s">
        <v>68</v>
      </c>
    </row>
    <row r="1479">
      <c r="A1479" s="1" t="s">
        <v>5373</v>
      </c>
      <c r="B1479" s="15">
        <f>+918287105839</f>
        <v>918287105839</v>
      </c>
      <c r="C1479" s="15" t="str">
        <f t="shared" si="1"/>
        <v>simranksnet@gmail.com918287105839</v>
      </c>
      <c r="D1479" s="16" t="s">
        <v>8428</v>
      </c>
      <c r="E1479" s="16" t="s">
        <v>68</v>
      </c>
    </row>
    <row r="1480">
      <c r="A1480" s="1" t="s">
        <v>8423</v>
      </c>
      <c r="B1480" s="15">
        <f>+919972000669</f>
        <v>919972000669</v>
      </c>
      <c r="C1480" s="15" t="str">
        <f t="shared" si="1"/>
        <v>thephantomtrail@gmail.com919972000669</v>
      </c>
      <c r="D1480" s="16" t="s">
        <v>8429</v>
      </c>
      <c r="E1480" s="16" t="s">
        <v>74</v>
      </c>
    </row>
    <row r="1481">
      <c r="A1481" s="1" t="s">
        <v>4950</v>
      </c>
      <c r="B1481" s="15">
        <f t="shared" ref="B1481:B1483" si="195">+918106234469</f>
        <v>918106234469</v>
      </c>
      <c r="C1481" s="15" t="str">
        <f t="shared" si="1"/>
        <v>wahibalnuzaili101@gmail.com918106234469</v>
      </c>
      <c r="D1481" s="16" t="s">
        <v>8430</v>
      </c>
      <c r="E1481" s="16" t="s">
        <v>74</v>
      </c>
    </row>
    <row r="1482">
      <c r="A1482" s="1" t="s">
        <v>4950</v>
      </c>
      <c r="B1482" s="15">
        <f t="shared" si="195"/>
        <v>918106234469</v>
      </c>
      <c r="C1482" s="15" t="str">
        <f t="shared" si="1"/>
        <v>wahibalnuzaili101@gmail.com918106234469</v>
      </c>
      <c r="D1482" s="16" t="s">
        <v>8431</v>
      </c>
      <c r="E1482" s="16" t="s">
        <v>74</v>
      </c>
    </row>
    <row r="1483">
      <c r="A1483" s="1" t="s">
        <v>4950</v>
      </c>
      <c r="B1483" s="15">
        <f t="shared" si="195"/>
        <v>918106234469</v>
      </c>
      <c r="C1483" s="15" t="str">
        <f t="shared" si="1"/>
        <v>wahibalnuzaili101@gmail.com918106234469</v>
      </c>
      <c r="D1483" s="16" t="s">
        <v>8432</v>
      </c>
      <c r="E1483" s="16" t="s">
        <v>74</v>
      </c>
    </row>
    <row r="1484">
      <c r="A1484" s="1" t="s">
        <v>8433</v>
      </c>
      <c r="B1484" s="15">
        <f>+916381281649</f>
        <v>916381281649</v>
      </c>
      <c r="C1484" s="15" t="str">
        <f t="shared" si="1"/>
        <v>natarajaniyer1999@gmail.com916381281649</v>
      </c>
      <c r="D1484" s="16" t="s">
        <v>8434</v>
      </c>
      <c r="E1484" s="16" t="s">
        <v>151</v>
      </c>
    </row>
    <row r="1485">
      <c r="A1485" s="1" t="s">
        <v>4952</v>
      </c>
      <c r="B1485" s="15">
        <f>+919963402110</f>
        <v>919963402110</v>
      </c>
      <c r="C1485" s="15" t="str">
        <f t="shared" si="1"/>
        <v>varshadurgempudi@gmail.com919963402110</v>
      </c>
      <c r="D1485" s="16" t="s">
        <v>8435</v>
      </c>
      <c r="E1485" s="16" t="s">
        <v>68</v>
      </c>
    </row>
    <row r="1486">
      <c r="A1486" s="1" t="s">
        <v>1629</v>
      </c>
      <c r="B1486" s="15">
        <f>+919819617103</f>
        <v>919819617103</v>
      </c>
      <c r="C1486" s="15" t="str">
        <f t="shared" si="1"/>
        <v>esther.ninan@gmail.com919819617103</v>
      </c>
      <c r="D1486" s="16" t="s">
        <v>8436</v>
      </c>
      <c r="E1486" s="16" t="s">
        <v>68</v>
      </c>
    </row>
    <row r="1487">
      <c r="A1487" s="1" t="s">
        <v>8437</v>
      </c>
      <c r="B1487" s="15">
        <f>+917996082384</f>
        <v>917996082384</v>
      </c>
      <c r="C1487" s="15" t="str">
        <f t="shared" si="1"/>
        <v>domanalb@gmail.com917996082384</v>
      </c>
      <c r="D1487" s="16" t="s">
        <v>8438</v>
      </c>
      <c r="E1487" s="16" t="s">
        <v>68</v>
      </c>
    </row>
    <row r="1488">
      <c r="A1488" s="1" t="s">
        <v>5375</v>
      </c>
      <c r="B1488" s="15">
        <f>+919366050662</f>
        <v>919366050662</v>
      </c>
      <c r="C1488" s="15" t="str">
        <f t="shared" si="1"/>
        <v>atunoyalie01dec@gmail.com919366050662</v>
      </c>
      <c r="D1488" s="16" t="s">
        <v>8439</v>
      </c>
      <c r="E1488" s="16" t="s">
        <v>74</v>
      </c>
    </row>
    <row r="1489">
      <c r="A1489" s="1" t="s">
        <v>8335</v>
      </c>
      <c r="B1489" s="15">
        <f>+918885311573</f>
        <v>918885311573</v>
      </c>
      <c r="C1489" s="15" t="str">
        <f t="shared" si="1"/>
        <v>ratnaraju884@gmail.com918885311573</v>
      </c>
      <c r="D1489" s="16" t="s">
        <v>8440</v>
      </c>
      <c r="E1489" s="16" t="s">
        <v>74</v>
      </c>
    </row>
    <row r="1490">
      <c r="A1490" s="1" t="s">
        <v>4036</v>
      </c>
      <c r="B1490" s="15">
        <f>+918948729723</f>
        <v>918948729723</v>
      </c>
      <c r="C1490" s="15" t="str">
        <f t="shared" si="1"/>
        <v>priyasaumyadubey@gmail.com918948729723</v>
      </c>
      <c r="D1490" s="16" t="s">
        <v>8441</v>
      </c>
      <c r="E1490" s="16" t="s">
        <v>68</v>
      </c>
    </row>
    <row r="1491">
      <c r="A1491" s="1" t="s">
        <v>5430</v>
      </c>
      <c r="B1491" s="15">
        <f>+917970341379</f>
        <v>917970341379</v>
      </c>
      <c r="C1491" s="15" t="str">
        <f t="shared" si="1"/>
        <v>sonal441@gmail.com917970341379</v>
      </c>
      <c r="D1491" s="16" t="s">
        <v>8442</v>
      </c>
      <c r="E1491" s="16" t="s">
        <v>68</v>
      </c>
    </row>
    <row r="1492">
      <c r="A1492" s="1" t="s">
        <v>4606</v>
      </c>
      <c r="B1492" s="15">
        <f>+919920024034</f>
        <v>919920024034</v>
      </c>
      <c r="C1492" s="15" t="str">
        <f t="shared" si="1"/>
        <v>sagar3@gmail.com919920024034</v>
      </c>
      <c r="D1492" s="16" t="s">
        <v>8443</v>
      </c>
      <c r="E1492" s="16" t="s">
        <v>68</v>
      </c>
    </row>
    <row r="1493">
      <c r="A1493" s="1" t="s">
        <v>4038</v>
      </c>
      <c r="B1493" s="15">
        <f>+919347914978</f>
        <v>919347914978</v>
      </c>
      <c r="C1493" s="15" t="str">
        <f t="shared" si="1"/>
        <v>amruthapalukuri@gmail.com919347914978</v>
      </c>
      <c r="D1493" s="16" t="s">
        <v>8444</v>
      </c>
      <c r="E1493" s="16" t="s">
        <v>68</v>
      </c>
    </row>
    <row r="1494">
      <c r="A1494" s="1" t="s">
        <v>4040</v>
      </c>
      <c r="B1494" s="15">
        <f>+918978090564</f>
        <v>918978090564</v>
      </c>
      <c r="C1494" s="15" t="str">
        <f t="shared" si="1"/>
        <v>siddapratyusha1@gmail.com918978090564</v>
      </c>
      <c r="D1494" s="16" t="s">
        <v>8445</v>
      </c>
      <c r="E1494" s="16" t="s">
        <v>68</v>
      </c>
    </row>
    <row r="1495">
      <c r="A1495" s="1" t="s">
        <v>2036</v>
      </c>
      <c r="B1495" s="15">
        <f>+919665337579</f>
        <v>919665337579</v>
      </c>
      <c r="C1495" s="15" t="str">
        <f t="shared" si="1"/>
        <v>rutbhoi@gmail.com919665337579</v>
      </c>
      <c r="D1495" s="16" t="s">
        <v>8446</v>
      </c>
      <c r="E1495" s="16" t="s">
        <v>68</v>
      </c>
    </row>
    <row r="1496">
      <c r="A1496" s="1" t="s">
        <v>5377</v>
      </c>
      <c r="B1496" s="15">
        <f>+918530360909</f>
        <v>918530360909</v>
      </c>
      <c r="C1496" s="15" t="str">
        <f t="shared" si="1"/>
        <v>gandhiharshita@rocketmail.com918530360909</v>
      </c>
      <c r="D1496" s="16" t="s">
        <v>8447</v>
      </c>
      <c r="E1496" s="16" t="s">
        <v>68</v>
      </c>
    </row>
    <row r="1497">
      <c r="A1497" s="1" t="s">
        <v>5433</v>
      </c>
      <c r="B1497" s="15">
        <f>+919101179060</f>
        <v>919101179060</v>
      </c>
      <c r="C1497" s="15" t="str">
        <f t="shared" si="1"/>
        <v>anurekhathebest@gmail.com919101179060</v>
      </c>
      <c r="D1497" s="16" t="s">
        <v>8448</v>
      </c>
      <c r="E1497" s="16" t="s">
        <v>68</v>
      </c>
    </row>
    <row r="1498">
      <c r="A1498" s="1" t="s">
        <v>6001</v>
      </c>
      <c r="B1498" s="15">
        <f>+917209881512</f>
        <v>917209881512</v>
      </c>
      <c r="C1498" s="15" t="str">
        <f t="shared" si="1"/>
        <v>prupak73@gmail.com917209881512</v>
      </c>
      <c r="D1498" s="16" t="s">
        <v>8449</v>
      </c>
      <c r="E1498" s="16" t="s">
        <v>68</v>
      </c>
    </row>
    <row r="1499">
      <c r="A1499" s="1" t="s">
        <v>4445</v>
      </c>
      <c r="B1499" s="15">
        <f>+918512828570</f>
        <v>918512828570</v>
      </c>
      <c r="C1499" s="15" t="str">
        <f t="shared" si="1"/>
        <v>bansalanchal18@gmail.com918512828570</v>
      </c>
      <c r="D1499" s="16" t="s">
        <v>8450</v>
      </c>
      <c r="E1499" s="16" t="s">
        <v>68</v>
      </c>
    </row>
    <row r="1500">
      <c r="A1500" s="1" t="s">
        <v>6378</v>
      </c>
      <c r="B1500" s="15">
        <f>+917387808003</f>
        <v>917387808003</v>
      </c>
      <c r="C1500" s="15" t="str">
        <f t="shared" si="1"/>
        <v>rahulyadav804@gmail.com917387808003</v>
      </c>
      <c r="D1500" s="16" t="s">
        <v>8451</v>
      </c>
      <c r="E1500" s="16" t="s">
        <v>68</v>
      </c>
    </row>
    <row r="1501">
      <c r="A1501" s="1" t="s">
        <v>8452</v>
      </c>
      <c r="B1501" s="15">
        <f>+919782375242</f>
        <v>919782375242</v>
      </c>
      <c r="C1501" s="15" t="str">
        <f t="shared" si="1"/>
        <v>lokesh.bawal@gmail.com919782375242</v>
      </c>
      <c r="D1501" s="16" t="s">
        <v>8453</v>
      </c>
      <c r="E1501" s="16" t="s">
        <v>151</v>
      </c>
    </row>
    <row r="1502">
      <c r="A1502" s="1" t="s">
        <v>3779</v>
      </c>
      <c r="B1502" s="15">
        <f>+919599140413</f>
        <v>919599140413</v>
      </c>
      <c r="C1502" s="15" t="str">
        <f t="shared" si="1"/>
        <v>ankur.bhatia89@gmail.com919599140413</v>
      </c>
      <c r="D1502" s="16" t="s">
        <v>8454</v>
      </c>
      <c r="E1502" s="16" t="s">
        <v>68</v>
      </c>
    </row>
    <row r="1503">
      <c r="A1503" s="1" t="s">
        <v>4288</v>
      </c>
      <c r="B1503" s="15">
        <f t="shared" ref="B1503:B1504" si="196">+918719838363</f>
        <v>918719838363</v>
      </c>
      <c r="C1503" s="15" t="str">
        <f t="shared" si="1"/>
        <v>rajshreerajoria897@gmail.com918719838363</v>
      </c>
      <c r="D1503" s="16" t="s">
        <v>8455</v>
      </c>
      <c r="E1503" s="16" t="s">
        <v>68</v>
      </c>
    </row>
    <row r="1504">
      <c r="A1504" s="1" t="s">
        <v>4288</v>
      </c>
      <c r="B1504" s="15">
        <f t="shared" si="196"/>
        <v>918719838363</v>
      </c>
      <c r="C1504" s="15" t="str">
        <f t="shared" si="1"/>
        <v>rajshreerajoria897@gmail.com918719838363</v>
      </c>
      <c r="D1504" s="16" t="s">
        <v>8456</v>
      </c>
      <c r="E1504" s="16" t="s">
        <v>68</v>
      </c>
    </row>
    <row r="1505">
      <c r="A1505" s="1" t="s">
        <v>5514</v>
      </c>
      <c r="B1505" s="15">
        <f t="shared" ref="B1505:B1507" si="197">+919958579459</f>
        <v>919958579459</v>
      </c>
      <c r="C1505" s="15" t="str">
        <f t="shared" si="1"/>
        <v>vtyagivivek@gmail.com919958579459</v>
      </c>
      <c r="D1505" s="16" t="s">
        <v>8457</v>
      </c>
      <c r="E1505" s="16" t="s">
        <v>151</v>
      </c>
    </row>
    <row r="1506">
      <c r="A1506" s="1" t="s">
        <v>5514</v>
      </c>
      <c r="B1506" s="15">
        <f t="shared" si="197"/>
        <v>919958579459</v>
      </c>
      <c r="C1506" s="15" t="str">
        <f t="shared" si="1"/>
        <v>vtyagivivek@gmail.com919958579459</v>
      </c>
      <c r="D1506" s="16" t="s">
        <v>8458</v>
      </c>
      <c r="E1506" s="16" t="s">
        <v>68</v>
      </c>
    </row>
    <row r="1507">
      <c r="A1507" s="1" t="s">
        <v>5514</v>
      </c>
      <c r="B1507" s="15">
        <f t="shared" si="197"/>
        <v>919958579459</v>
      </c>
      <c r="C1507" s="15" t="str">
        <f t="shared" si="1"/>
        <v>vtyagivivek@gmail.com919958579459</v>
      </c>
      <c r="D1507" s="16" t="s">
        <v>8459</v>
      </c>
      <c r="E1507" s="16" t="s">
        <v>68</v>
      </c>
    </row>
    <row r="1508">
      <c r="A1508" s="1" t="s">
        <v>5143</v>
      </c>
      <c r="B1508" s="15">
        <f>+919945384700</f>
        <v>919945384700</v>
      </c>
      <c r="C1508" s="15" t="str">
        <f t="shared" si="1"/>
        <v>shehnazpowergal@gmail.com919945384700</v>
      </c>
      <c r="D1508" s="16" t="s">
        <v>8460</v>
      </c>
      <c r="E1508" s="16" t="s">
        <v>68</v>
      </c>
    </row>
    <row r="1509">
      <c r="A1509" s="1" t="s">
        <v>5870</v>
      </c>
      <c r="B1509" s="15">
        <f>+918057140627</f>
        <v>918057140627</v>
      </c>
      <c r="C1509" s="15" t="str">
        <f t="shared" si="1"/>
        <v>pankaj.25929@gmail.com918057140627</v>
      </c>
      <c r="D1509" s="16" t="s">
        <v>8461</v>
      </c>
      <c r="E1509" s="16" t="s">
        <v>97</v>
      </c>
    </row>
    <row r="1510">
      <c r="A1510" s="1" t="s">
        <v>3616</v>
      </c>
      <c r="B1510" s="15">
        <f t="shared" ref="B1510:B1511" si="198">+918530358886</f>
        <v>918530358886</v>
      </c>
      <c r="C1510" s="15" t="str">
        <f t="shared" si="1"/>
        <v>itzshaikhaayat12@gmail.com918530358886</v>
      </c>
      <c r="D1510" s="16" t="s">
        <v>8462</v>
      </c>
      <c r="E1510" s="16" t="s">
        <v>68</v>
      </c>
    </row>
    <row r="1511">
      <c r="A1511" s="1" t="s">
        <v>3616</v>
      </c>
      <c r="B1511" s="15">
        <f t="shared" si="198"/>
        <v>918530358886</v>
      </c>
      <c r="C1511" s="15" t="str">
        <f t="shared" si="1"/>
        <v>itzshaikhaayat12@gmail.com918530358886</v>
      </c>
      <c r="D1511" s="16" t="s">
        <v>8463</v>
      </c>
      <c r="E1511" s="16" t="s">
        <v>68</v>
      </c>
    </row>
    <row r="1512">
      <c r="A1512" s="1" t="s">
        <v>5379</v>
      </c>
      <c r="B1512" s="15">
        <f>+919873345664</f>
        <v>919873345664</v>
      </c>
      <c r="C1512" s="15" t="str">
        <f t="shared" si="1"/>
        <v>deepaliawasthi.311@gmail.com919873345664</v>
      </c>
      <c r="D1512" s="16" t="s">
        <v>8464</v>
      </c>
      <c r="E1512" s="16" t="s">
        <v>68</v>
      </c>
    </row>
    <row r="1513">
      <c r="A1513" s="1" t="s">
        <v>8465</v>
      </c>
      <c r="B1513" s="15">
        <f>+918368463798</f>
        <v>918368463798</v>
      </c>
      <c r="C1513" s="15" t="str">
        <f t="shared" si="1"/>
        <v>awadeshkumar8168@email.com918368463798</v>
      </c>
      <c r="D1513" s="16" t="s">
        <v>8466</v>
      </c>
      <c r="E1513" s="16" t="s">
        <v>151</v>
      </c>
    </row>
    <row r="1514">
      <c r="A1514" s="1" t="s">
        <v>5145</v>
      </c>
      <c r="B1514" s="15">
        <f>+919199430164</f>
        <v>919199430164</v>
      </c>
      <c r="C1514" s="15" t="str">
        <f t="shared" si="1"/>
        <v>nbhunjoun@gmail.com919199430164</v>
      </c>
      <c r="D1514" s="16" t="s">
        <v>8467</v>
      </c>
      <c r="E1514" s="16" t="s">
        <v>68</v>
      </c>
    </row>
    <row r="1515">
      <c r="A1515" s="1" t="s">
        <v>3616</v>
      </c>
      <c r="B1515" s="15">
        <f>+918530358886</f>
        <v>918530358886</v>
      </c>
      <c r="C1515" s="15" t="str">
        <f t="shared" si="1"/>
        <v>itzshaikhaayat12@gmail.com918530358886</v>
      </c>
      <c r="D1515" s="16" t="s">
        <v>8468</v>
      </c>
      <c r="E1515" s="16" t="s">
        <v>74</v>
      </c>
    </row>
    <row r="1516">
      <c r="A1516" s="1" t="s">
        <v>8465</v>
      </c>
      <c r="B1516" s="15">
        <f>+918368463798</f>
        <v>918368463798</v>
      </c>
      <c r="C1516" s="15" t="str">
        <f t="shared" si="1"/>
        <v>awadeshkumar8168@email.com918368463798</v>
      </c>
      <c r="D1516" s="16" t="s">
        <v>8469</v>
      </c>
      <c r="E1516" s="16" t="s">
        <v>151</v>
      </c>
    </row>
    <row r="1517">
      <c r="A1517" s="1" t="s">
        <v>6002</v>
      </c>
      <c r="B1517" s="15">
        <f>+917409337787</f>
        <v>917409337787</v>
      </c>
      <c r="C1517" s="15" t="str">
        <f t="shared" si="1"/>
        <v>anup9tot@gmail.com917409337787</v>
      </c>
      <c r="D1517" s="16" t="s">
        <v>8470</v>
      </c>
      <c r="E1517" s="16" t="s">
        <v>68</v>
      </c>
    </row>
    <row r="1518">
      <c r="A1518" s="1" t="s">
        <v>3413</v>
      </c>
      <c r="B1518" s="15">
        <f>+918076029328</f>
        <v>918076029328</v>
      </c>
      <c r="C1518" s="15" t="str">
        <f t="shared" si="1"/>
        <v>viplove1998bhardwaj@gmail.com918076029328</v>
      </c>
      <c r="D1518" s="16" t="s">
        <v>8471</v>
      </c>
      <c r="E1518" s="16" t="s">
        <v>68</v>
      </c>
    </row>
    <row r="1519">
      <c r="A1519" s="1" t="s">
        <v>6004</v>
      </c>
      <c r="B1519" s="15">
        <f>+917544077784</f>
        <v>917544077784</v>
      </c>
      <c r="C1519" s="15" t="str">
        <f t="shared" si="1"/>
        <v>ravimahatoslg@gmail.com917544077784</v>
      </c>
      <c r="D1519" s="16" t="s">
        <v>8472</v>
      </c>
      <c r="E1519" s="16" t="s">
        <v>68</v>
      </c>
    </row>
    <row r="1520">
      <c r="A1520" s="1" t="s">
        <v>3093</v>
      </c>
      <c r="B1520" s="15">
        <f>+917489026376</f>
        <v>917489026376</v>
      </c>
      <c r="C1520" s="15" t="str">
        <f t="shared" si="1"/>
        <v>hatim52badshahaa@gmail.com917489026376</v>
      </c>
      <c r="D1520" s="16" t="s">
        <v>8473</v>
      </c>
      <c r="E1520" s="16" t="s">
        <v>68</v>
      </c>
    </row>
    <row r="1521">
      <c r="A1521" s="1" t="s">
        <v>3036</v>
      </c>
      <c r="B1521" s="15">
        <f t="shared" ref="B1521:B1522" si="199">+919004973905</f>
        <v>919004973905</v>
      </c>
      <c r="C1521" s="15" t="str">
        <f t="shared" si="1"/>
        <v>bage.education000@gmail.com919004973905</v>
      </c>
      <c r="D1521" s="16" t="s">
        <v>8474</v>
      </c>
      <c r="E1521" s="16" t="s">
        <v>151</v>
      </c>
    </row>
    <row r="1522">
      <c r="A1522" s="1" t="s">
        <v>3036</v>
      </c>
      <c r="B1522" s="15">
        <f t="shared" si="199"/>
        <v>919004973905</v>
      </c>
      <c r="C1522" s="15" t="str">
        <f t="shared" si="1"/>
        <v>bage.education000@gmail.com919004973905</v>
      </c>
      <c r="D1522" s="16" t="s">
        <v>8475</v>
      </c>
      <c r="E1522" s="16" t="s">
        <v>151</v>
      </c>
    </row>
    <row r="1523">
      <c r="A1523" s="1" t="s">
        <v>3415</v>
      </c>
      <c r="B1523" s="15">
        <f>+917017531711</f>
        <v>917017531711</v>
      </c>
      <c r="C1523" s="15" t="str">
        <f t="shared" si="1"/>
        <v>tarunchauhan199908@gmail.com917017531711</v>
      </c>
      <c r="D1523" s="16" t="s">
        <v>8476</v>
      </c>
      <c r="E1523" s="16" t="s">
        <v>68</v>
      </c>
    </row>
    <row r="1524">
      <c r="A1524" s="1" t="s">
        <v>6006</v>
      </c>
      <c r="B1524" s="15">
        <f>+918476914344</f>
        <v>918476914344</v>
      </c>
      <c r="C1524" s="15" t="str">
        <f t="shared" si="1"/>
        <v>abhiwait16@gmail.com918476914344</v>
      </c>
      <c r="D1524" s="16" t="s">
        <v>8477</v>
      </c>
      <c r="E1524" s="16" t="s">
        <v>68</v>
      </c>
    </row>
    <row r="1525">
      <c r="A1525" s="1" t="s">
        <v>5220</v>
      </c>
      <c r="B1525" s="15">
        <f>+919868066666</f>
        <v>919868066666</v>
      </c>
      <c r="C1525" s="15" t="str">
        <f t="shared" si="1"/>
        <v>vasudha.sood@yahoo.in919868066666</v>
      </c>
      <c r="D1525" s="16" t="s">
        <v>8478</v>
      </c>
      <c r="E1525" s="16" t="s">
        <v>68</v>
      </c>
    </row>
    <row r="1526">
      <c r="A1526" s="1" t="s">
        <v>8479</v>
      </c>
      <c r="B1526" s="15">
        <f>+919600987851</f>
        <v>919600987851</v>
      </c>
      <c r="C1526" s="15" t="str">
        <f t="shared" si="1"/>
        <v>sankarchiran@gmail.com919600987851</v>
      </c>
      <c r="D1526" s="16" t="s">
        <v>8480</v>
      </c>
      <c r="E1526" s="16" t="s">
        <v>68</v>
      </c>
    </row>
    <row r="1527">
      <c r="A1527" s="1" t="s">
        <v>5222</v>
      </c>
      <c r="B1527" s="15">
        <f>+919096758759</f>
        <v>919096758759</v>
      </c>
      <c r="C1527" s="15" t="str">
        <f t="shared" si="1"/>
        <v>ydandgavhal@gmail.com919096758759</v>
      </c>
      <c r="D1527" s="16" t="s">
        <v>8481</v>
      </c>
      <c r="E1527" s="16" t="s">
        <v>74</v>
      </c>
    </row>
    <row r="1528">
      <c r="A1528" s="1" t="s">
        <v>4608</v>
      </c>
      <c r="B1528" s="15">
        <f t="shared" ref="B1528:B1529" si="200">+918307001108</f>
        <v>918307001108</v>
      </c>
      <c r="C1528" s="15" t="str">
        <f t="shared" si="1"/>
        <v>manjeetantil.antil@gmail.com918307001108</v>
      </c>
      <c r="D1528" s="16" t="s">
        <v>8482</v>
      </c>
      <c r="E1528" s="16" t="s">
        <v>68</v>
      </c>
    </row>
    <row r="1529">
      <c r="A1529" s="1" t="s">
        <v>4608</v>
      </c>
      <c r="B1529" s="15">
        <f t="shared" si="200"/>
        <v>918307001108</v>
      </c>
      <c r="C1529" s="15" t="str">
        <f t="shared" si="1"/>
        <v>manjeetantil.antil@gmail.com918307001108</v>
      </c>
      <c r="D1529" s="16" t="s">
        <v>8483</v>
      </c>
      <c r="E1529" s="16" t="s">
        <v>68</v>
      </c>
    </row>
    <row r="1530">
      <c r="A1530" s="1" t="s">
        <v>4896</v>
      </c>
      <c r="B1530" s="15">
        <f>+919074543430</f>
        <v>919074543430</v>
      </c>
      <c r="C1530" s="15" t="str">
        <f t="shared" si="1"/>
        <v>allenec1998@gmail.com919074543430</v>
      </c>
      <c r="D1530" s="16" t="s">
        <v>8484</v>
      </c>
      <c r="E1530" s="16" t="s">
        <v>68</v>
      </c>
    </row>
    <row r="1531">
      <c r="A1531" s="1" t="s">
        <v>2493</v>
      </c>
      <c r="B1531" s="15">
        <f>+916393992744</f>
        <v>916393992744</v>
      </c>
      <c r="C1531" s="15" t="str">
        <f t="shared" si="1"/>
        <v>ishaan17maxx@gmail.com916393992744</v>
      </c>
      <c r="D1531" s="16" t="s">
        <v>8485</v>
      </c>
      <c r="E1531" s="16" t="s">
        <v>68</v>
      </c>
    </row>
    <row r="1532">
      <c r="A1532" s="1" t="s">
        <v>4956</v>
      </c>
      <c r="B1532" s="15">
        <f>+919600017323</f>
        <v>919600017323</v>
      </c>
      <c r="C1532" s="15" t="str">
        <f t="shared" si="1"/>
        <v>mathan_tech@rediffmail.com919600017323</v>
      </c>
      <c r="D1532" s="16" t="s">
        <v>8486</v>
      </c>
      <c r="E1532" s="16" t="s">
        <v>74</v>
      </c>
    </row>
    <row r="1533">
      <c r="A1533" s="1" t="s">
        <v>4816</v>
      </c>
      <c r="B1533" s="15">
        <f>+917011496396</f>
        <v>917011496396</v>
      </c>
      <c r="C1533" s="15" t="str">
        <f t="shared" si="1"/>
        <v>eenaarora07@gmail.com917011496396</v>
      </c>
      <c r="D1533" s="16" t="s">
        <v>8487</v>
      </c>
      <c r="E1533" s="16" t="s">
        <v>68</v>
      </c>
    </row>
    <row r="1534">
      <c r="A1534" s="1" t="s">
        <v>3095</v>
      </c>
      <c r="B1534" s="15">
        <f>+919648994488</f>
        <v>919648994488</v>
      </c>
      <c r="C1534" s="15" t="str">
        <f t="shared" si="1"/>
        <v>smomeerut@gmail.com919648994488</v>
      </c>
      <c r="D1534" s="16" t="s">
        <v>8488</v>
      </c>
      <c r="E1534" s="16" t="s">
        <v>68</v>
      </c>
    </row>
    <row r="1535">
      <c r="A1535" s="1" t="s">
        <v>6008</v>
      </c>
      <c r="B1535" s="15">
        <f t="shared" ref="B1535:B1536" si="201">+919633051142</f>
        <v>919633051142</v>
      </c>
      <c r="C1535" s="15" t="str">
        <f t="shared" si="1"/>
        <v>ajaynkkrishna@gmaik.com919633051142</v>
      </c>
      <c r="D1535" s="16" t="s">
        <v>8489</v>
      </c>
      <c r="E1535" s="16" t="s">
        <v>68</v>
      </c>
    </row>
    <row r="1536">
      <c r="A1536" s="1" t="s">
        <v>6008</v>
      </c>
      <c r="B1536" s="15">
        <f t="shared" si="201"/>
        <v>919633051142</v>
      </c>
      <c r="C1536" s="15" t="str">
        <f t="shared" si="1"/>
        <v>ajaynkkrishna@gmaik.com919633051142</v>
      </c>
      <c r="D1536" s="16" t="s">
        <v>8490</v>
      </c>
      <c r="E1536" s="16" t="s">
        <v>68</v>
      </c>
    </row>
    <row r="1537">
      <c r="A1537" s="1" t="s">
        <v>4610</v>
      </c>
      <c r="B1537" s="15">
        <f>+918374934363</f>
        <v>918374934363</v>
      </c>
      <c r="C1537" s="15" t="str">
        <f t="shared" si="1"/>
        <v>sdubara@gmail.com918374934363</v>
      </c>
      <c r="D1537" s="16" t="s">
        <v>8491</v>
      </c>
      <c r="E1537" s="16" t="s">
        <v>68</v>
      </c>
    </row>
    <row r="1538">
      <c r="A1538" s="1" t="s">
        <v>4075</v>
      </c>
      <c r="B1538" s="15">
        <f>+919001189722</f>
        <v>919001189722</v>
      </c>
      <c r="C1538" s="15" t="str">
        <f t="shared" si="1"/>
        <v>kuhusharma324@gmail.com919001189722</v>
      </c>
      <c r="D1538" s="16" t="s">
        <v>8492</v>
      </c>
      <c r="E1538" s="16" t="s">
        <v>68</v>
      </c>
    </row>
    <row r="1539">
      <c r="A1539" s="1" t="s">
        <v>2809</v>
      </c>
      <c r="B1539" s="15">
        <f>+917986646235</f>
        <v>917986646235</v>
      </c>
      <c r="C1539" s="15" t="str">
        <f t="shared" si="1"/>
        <v>harmanbenipal7@gmail.com917986646235</v>
      </c>
      <c r="D1539" s="16" t="s">
        <v>8493</v>
      </c>
      <c r="E1539" s="16" t="s">
        <v>74</v>
      </c>
    </row>
    <row r="1540">
      <c r="A1540" s="1" t="s">
        <v>4075</v>
      </c>
      <c r="B1540" s="15">
        <f>+919001189722</f>
        <v>919001189722</v>
      </c>
      <c r="C1540" s="15" t="str">
        <f t="shared" si="1"/>
        <v>kuhusharma324@gmail.com919001189722</v>
      </c>
      <c r="D1540" s="16" t="s">
        <v>8494</v>
      </c>
      <c r="E1540" s="16" t="s">
        <v>68</v>
      </c>
    </row>
    <row r="1541">
      <c r="A1541" s="1" t="s">
        <v>4290</v>
      </c>
      <c r="B1541" s="15">
        <f>+919989948146</f>
        <v>919989948146</v>
      </c>
      <c r="C1541" s="15" t="str">
        <f t="shared" si="1"/>
        <v>ammacare.pani@gmail.com919989948146</v>
      </c>
      <c r="D1541" s="16" t="s">
        <v>8495</v>
      </c>
      <c r="E1541" s="16" t="s">
        <v>74</v>
      </c>
    </row>
    <row r="1542">
      <c r="A1542" s="1" t="s">
        <v>6388</v>
      </c>
      <c r="B1542" s="15">
        <f t="shared" ref="B1542:B1544" si="202">+919739672482</f>
        <v>919739672482</v>
      </c>
      <c r="C1542" s="15" t="str">
        <f t="shared" si="1"/>
        <v>anusha.km1@gmail.com919739672482</v>
      </c>
      <c r="D1542" s="16" t="s">
        <v>8496</v>
      </c>
      <c r="E1542" s="16" t="s">
        <v>68</v>
      </c>
    </row>
    <row r="1543">
      <c r="A1543" s="1" t="s">
        <v>6388</v>
      </c>
      <c r="B1543" s="15">
        <f t="shared" si="202"/>
        <v>919739672482</v>
      </c>
      <c r="C1543" s="15" t="str">
        <f t="shared" si="1"/>
        <v>anusha.km1@gmail.com919739672482</v>
      </c>
      <c r="D1543" s="16" t="s">
        <v>8497</v>
      </c>
      <c r="E1543" s="16" t="s">
        <v>68</v>
      </c>
    </row>
    <row r="1544">
      <c r="A1544" s="1" t="s">
        <v>6388</v>
      </c>
      <c r="B1544" s="15">
        <f t="shared" si="202"/>
        <v>919739672482</v>
      </c>
      <c r="C1544" s="15" t="str">
        <f t="shared" si="1"/>
        <v>anusha.km1@gmail.com919739672482</v>
      </c>
      <c r="D1544" s="16" t="s">
        <v>8498</v>
      </c>
      <c r="E1544" s="16" t="s">
        <v>68</v>
      </c>
    </row>
    <row r="1545">
      <c r="A1545" s="1" t="s">
        <v>8499</v>
      </c>
      <c r="B1545" s="15">
        <f>+919123098152</f>
        <v>919123098152</v>
      </c>
      <c r="C1545" s="15" t="str">
        <f t="shared" si="1"/>
        <v>deepankar2206@gmail.com919123098152</v>
      </c>
      <c r="D1545" s="16" t="s">
        <v>8500</v>
      </c>
      <c r="E1545" s="16" t="s">
        <v>151</v>
      </c>
    </row>
    <row r="1546">
      <c r="A1546" s="1" t="s">
        <v>5154</v>
      </c>
      <c r="B1546" s="15">
        <f>+919810678181</f>
        <v>919810678181</v>
      </c>
      <c r="C1546" s="15" t="str">
        <f t="shared" si="1"/>
        <v>sonam.nagpal12@gmail.com919810678181</v>
      </c>
      <c r="D1546" s="16" t="s">
        <v>8501</v>
      </c>
      <c r="E1546" s="16" t="s">
        <v>74</v>
      </c>
    </row>
    <row r="1547">
      <c r="A1547" s="1" t="s">
        <v>4361</v>
      </c>
      <c r="B1547" s="15">
        <f>+919848062362</f>
        <v>919848062362</v>
      </c>
      <c r="C1547" s="15" t="str">
        <f t="shared" si="1"/>
        <v>4590sudhir@gmail.com919848062362</v>
      </c>
      <c r="D1547" s="16" t="s">
        <v>8502</v>
      </c>
      <c r="E1547" s="16" t="s">
        <v>68</v>
      </c>
    </row>
    <row r="1548">
      <c r="A1548" s="1" t="s">
        <v>8503</v>
      </c>
      <c r="B1548" s="15">
        <f>+919084327870</f>
        <v>919084327870</v>
      </c>
      <c r="C1548" s="15" t="str">
        <f t="shared" si="1"/>
        <v>syedtayyabali219@gmail.com919084327870</v>
      </c>
      <c r="D1548" s="16" t="s">
        <v>8504</v>
      </c>
      <c r="E1548" s="16" t="s">
        <v>74</v>
      </c>
    </row>
    <row r="1549">
      <c r="A1549" s="1" t="s">
        <v>4612</v>
      </c>
      <c r="B1549" s="15">
        <f>+919886728386</f>
        <v>919886728386</v>
      </c>
      <c r="C1549" s="15" t="str">
        <f t="shared" si="1"/>
        <v>shree_sumu@yahoo.co.in919886728386</v>
      </c>
      <c r="D1549" s="16" t="s">
        <v>8505</v>
      </c>
      <c r="E1549" s="16" t="s">
        <v>68</v>
      </c>
    </row>
    <row r="1550">
      <c r="A1550" s="1" t="s">
        <v>8506</v>
      </c>
      <c r="B1550" s="15">
        <f>+917988640275</f>
        <v>917988640275</v>
      </c>
      <c r="C1550" s="15" t="str">
        <f t="shared" si="1"/>
        <v>sagarmmmm04@gmail.com917988640275</v>
      </c>
      <c r="D1550" s="16" t="s">
        <v>8507</v>
      </c>
      <c r="E1550" s="16" t="s">
        <v>151</v>
      </c>
    </row>
    <row r="1551">
      <c r="A1551" s="1" t="s">
        <v>6380</v>
      </c>
      <c r="B1551" s="15">
        <f>+918308894321</f>
        <v>918308894321</v>
      </c>
      <c r="C1551" s="15" t="str">
        <f t="shared" si="1"/>
        <v>shubham_chintawar@yahoo.com918308894321</v>
      </c>
      <c r="D1551" s="16" t="s">
        <v>8508</v>
      </c>
      <c r="E1551" s="16" t="s">
        <v>68</v>
      </c>
    </row>
    <row r="1552">
      <c r="A1552" s="1" t="s">
        <v>908</v>
      </c>
      <c r="B1552" s="15">
        <f>+919562106297</f>
        <v>919562106297</v>
      </c>
      <c r="C1552" s="15" t="str">
        <f t="shared" si="1"/>
        <v>febaannthomas@gmail.com919562106297</v>
      </c>
      <c r="D1552" s="16" t="s">
        <v>8509</v>
      </c>
      <c r="E1552" s="16" t="s">
        <v>68</v>
      </c>
    </row>
    <row r="1553">
      <c r="A1553" s="1" t="s">
        <v>4954</v>
      </c>
      <c r="B1553" s="15">
        <f>+918882590045</f>
        <v>918882590045</v>
      </c>
      <c r="C1553" s="15" t="str">
        <f t="shared" si="1"/>
        <v>tandeljigar27@gmail.com918882590045</v>
      </c>
      <c r="D1553" s="16" t="s">
        <v>8510</v>
      </c>
      <c r="E1553" s="16" t="s">
        <v>68</v>
      </c>
    </row>
    <row r="1554">
      <c r="A1554" s="1" t="s">
        <v>8511</v>
      </c>
      <c r="B1554" s="15">
        <f>+917028248707</f>
        <v>917028248707</v>
      </c>
      <c r="C1554" s="15" t="str">
        <f t="shared" si="1"/>
        <v>mahadevhoval0707@gmail.com917028248707</v>
      </c>
      <c r="D1554" s="16" t="s">
        <v>8512</v>
      </c>
      <c r="E1554" s="16" t="s">
        <v>151</v>
      </c>
    </row>
    <row r="1555">
      <c r="A1555" s="1" t="s">
        <v>2812</v>
      </c>
      <c r="B1555" s="15">
        <f>+919872443409</f>
        <v>919872443409</v>
      </c>
      <c r="C1555" s="15" t="str">
        <f t="shared" si="1"/>
        <v>mirtahmid18@gmail.com919872443409</v>
      </c>
      <c r="D1555" s="16" t="s">
        <v>8513</v>
      </c>
      <c r="E1555" s="16" t="s">
        <v>68</v>
      </c>
    </row>
    <row r="1556">
      <c r="A1556" s="1" t="s">
        <v>6010</v>
      </c>
      <c r="B1556" s="15">
        <f>+917745837929</f>
        <v>917745837929</v>
      </c>
      <c r="C1556" s="15" t="str">
        <f t="shared" si="1"/>
        <v>30jadhavshivani@gmail.com917745837929</v>
      </c>
      <c r="D1556" s="16" t="s">
        <v>8514</v>
      </c>
      <c r="E1556" s="16" t="s">
        <v>74</v>
      </c>
    </row>
    <row r="1557">
      <c r="A1557" s="1" t="s">
        <v>3030</v>
      </c>
      <c r="B1557" s="15">
        <f t="shared" ref="B1557:B1558" si="203">+918121461070</f>
        <v>918121461070</v>
      </c>
      <c r="C1557" s="15" t="str">
        <f t="shared" si="1"/>
        <v>nagendrababu785@gmail.com918121461070</v>
      </c>
      <c r="D1557" s="16" t="s">
        <v>8515</v>
      </c>
      <c r="E1557" s="16" t="s">
        <v>151</v>
      </c>
    </row>
    <row r="1558">
      <c r="A1558" s="1" t="s">
        <v>3030</v>
      </c>
      <c r="B1558" s="15">
        <f t="shared" si="203"/>
        <v>918121461070</v>
      </c>
      <c r="C1558" s="15" t="str">
        <f t="shared" si="1"/>
        <v>nagendrababu785@gmail.com918121461070</v>
      </c>
      <c r="D1558" s="16" t="s">
        <v>8516</v>
      </c>
      <c r="E1558" s="16" t="s">
        <v>151</v>
      </c>
    </row>
    <row r="1559">
      <c r="A1559" s="1" t="s">
        <v>6534</v>
      </c>
      <c r="B1559" s="15">
        <f t="shared" ref="B1559:B1560" si="204">+919874419504</f>
        <v>919874419504</v>
      </c>
      <c r="C1559" s="15" t="str">
        <f t="shared" si="1"/>
        <v>arka.icfai@gmail.com919874419504</v>
      </c>
      <c r="D1559" s="16" t="s">
        <v>8517</v>
      </c>
      <c r="E1559" s="16" t="s">
        <v>74</v>
      </c>
    </row>
    <row r="1560">
      <c r="A1560" s="1" t="s">
        <v>6534</v>
      </c>
      <c r="B1560" s="15">
        <f t="shared" si="204"/>
        <v>919874419504</v>
      </c>
      <c r="C1560" s="15" t="str">
        <f t="shared" si="1"/>
        <v>arka.icfai@gmail.com919874419504</v>
      </c>
      <c r="D1560" s="16" t="s">
        <v>8518</v>
      </c>
      <c r="E1560" s="16" t="s">
        <v>68</v>
      </c>
    </row>
    <row r="1561">
      <c r="A1561" s="1" t="s">
        <v>2639</v>
      </c>
      <c r="B1561" s="15">
        <f>+919871777110</f>
        <v>919871777110</v>
      </c>
      <c r="C1561" s="15" t="str">
        <f t="shared" si="1"/>
        <v>varna.sr@gmail.com919871777110</v>
      </c>
      <c r="D1561" s="16" t="s">
        <v>8519</v>
      </c>
      <c r="E1561" s="16" t="s">
        <v>68</v>
      </c>
    </row>
    <row r="1562">
      <c r="A1562" s="1" t="s">
        <v>2495</v>
      </c>
      <c r="B1562" s="15">
        <f>+919810766029</f>
        <v>919810766029</v>
      </c>
      <c r="C1562" s="15" t="str">
        <f t="shared" si="1"/>
        <v>dua.ankit@gmail.com919810766029</v>
      </c>
      <c r="D1562" s="16" t="s">
        <v>8520</v>
      </c>
      <c r="E1562" s="16" t="s">
        <v>68</v>
      </c>
    </row>
    <row r="1563">
      <c r="A1563" s="1" t="s">
        <v>4292</v>
      </c>
      <c r="B1563" s="15">
        <f>+919953295925</f>
        <v>919953295925</v>
      </c>
      <c r="C1563" s="15" t="str">
        <f t="shared" si="1"/>
        <v>sanya.sabharwal@gmail.com919953295925</v>
      </c>
      <c r="D1563" s="16" t="s">
        <v>8521</v>
      </c>
      <c r="E1563" s="16" t="s">
        <v>68</v>
      </c>
    </row>
    <row r="1564">
      <c r="A1564" s="1" t="s">
        <v>4042</v>
      </c>
      <c r="B1564" s="15">
        <f>+919712920305</f>
        <v>919712920305</v>
      </c>
      <c r="C1564" s="15" t="str">
        <f t="shared" si="1"/>
        <v>ssareyoufine9@gmail.com919712920305</v>
      </c>
      <c r="D1564" s="16" t="s">
        <v>8522</v>
      </c>
      <c r="E1564" s="16" t="s">
        <v>68</v>
      </c>
    </row>
    <row r="1565">
      <c r="A1565" s="1" t="s">
        <v>6012</v>
      </c>
      <c r="B1565" s="15">
        <f>+919003961117</f>
        <v>919003961117</v>
      </c>
      <c r="C1565" s="15" t="str">
        <f t="shared" si="1"/>
        <v>m.eyebelleyebell1996k@gmail.com919003961117</v>
      </c>
      <c r="D1565" s="16" t="s">
        <v>8523</v>
      </c>
      <c r="E1565" s="16" t="s">
        <v>68</v>
      </c>
    </row>
    <row r="1566">
      <c r="A1566" s="1" t="s">
        <v>4044</v>
      </c>
      <c r="B1566" s="15">
        <f>+919167405403</f>
        <v>919167405403</v>
      </c>
      <c r="C1566" s="15" t="str">
        <f t="shared" si="1"/>
        <v>gandhiriya31@gmail.com919167405403</v>
      </c>
      <c r="D1566" s="16" t="s">
        <v>8524</v>
      </c>
      <c r="E1566" s="16" t="s">
        <v>74</v>
      </c>
    </row>
    <row r="1567">
      <c r="A1567" s="1" t="s">
        <v>6382</v>
      </c>
      <c r="B1567" s="15">
        <f>+917875605357</f>
        <v>917875605357</v>
      </c>
      <c r="C1567" s="15" t="str">
        <f t="shared" si="1"/>
        <v>phadnisrohit.42@gmail.com917875605357</v>
      </c>
      <c r="D1567" s="16" t="s">
        <v>8525</v>
      </c>
      <c r="E1567" s="16" t="s">
        <v>68</v>
      </c>
    </row>
    <row r="1568">
      <c r="A1568" s="1" t="s">
        <v>2814</v>
      </c>
      <c r="B1568" s="15">
        <f>+918709528371</f>
        <v>918709528371</v>
      </c>
      <c r="C1568" s="15" t="str">
        <f t="shared" si="1"/>
        <v>sukanyamishra3062@gmail.com918709528371</v>
      </c>
      <c r="D1568" s="16" t="s">
        <v>8526</v>
      </c>
      <c r="E1568" s="16" t="s">
        <v>68</v>
      </c>
    </row>
    <row r="1569">
      <c r="A1569" s="1" t="s">
        <v>4898</v>
      </c>
      <c r="B1569" s="15">
        <f>+919810612213</f>
        <v>919810612213</v>
      </c>
      <c r="C1569" s="15" t="str">
        <f t="shared" si="1"/>
        <v>tandon.yajvin31@gmail.com919810612213</v>
      </c>
      <c r="D1569" s="16" t="s">
        <v>8527</v>
      </c>
      <c r="E1569" s="16" t="s">
        <v>68</v>
      </c>
    </row>
    <row r="1570">
      <c r="A1570" s="1" t="s">
        <v>4652</v>
      </c>
      <c r="B1570" s="15">
        <f>+917533868800</f>
        <v>917533868800</v>
      </c>
      <c r="C1570" s="15" t="str">
        <f t="shared" si="1"/>
        <v>rawatchinu71@gmail.com917533868800</v>
      </c>
      <c r="D1570" s="16" t="s">
        <v>8528</v>
      </c>
      <c r="E1570" s="16" t="s">
        <v>68</v>
      </c>
    </row>
    <row r="1571">
      <c r="A1571" s="1" t="s">
        <v>8529</v>
      </c>
      <c r="B1571" s="15">
        <f>+917507132159</f>
        <v>917507132159</v>
      </c>
      <c r="C1571" s="15" t="str">
        <f t="shared" si="1"/>
        <v>sonalisalave63@gmail.com917507132159</v>
      </c>
      <c r="D1571" s="16" t="s">
        <v>8530</v>
      </c>
      <c r="E1571" s="16" t="s">
        <v>74</v>
      </c>
    </row>
    <row r="1572">
      <c r="A1572" s="1" t="s">
        <v>3214</v>
      </c>
      <c r="B1572" s="15">
        <f>+918497041814</f>
        <v>918497041814</v>
      </c>
      <c r="C1572" s="15" t="str">
        <f t="shared" si="1"/>
        <v>pradnyavidha88@gmail.com918497041814</v>
      </c>
      <c r="D1572" s="16" t="s">
        <v>8531</v>
      </c>
      <c r="E1572" s="16" t="s">
        <v>68</v>
      </c>
    </row>
    <row r="1573">
      <c r="A1573" s="1" t="s">
        <v>4447</v>
      </c>
      <c r="B1573" s="15">
        <f>+918655668068</f>
        <v>918655668068</v>
      </c>
      <c r="C1573" s="15" t="str">
        <f t="shared" si="1"/>
        <v>niksarode09@gmail.com918655668068</v>
      </c>
      <c r="D1573" s="16" t="s">
        <v>8532</v>
      </c>
      <c r="E1573" s="16" t="s">
        <v>68</v>
      </c>
    </row>
    <row r="1574">
      <c r="A1574" s="1" t="s">
        <v>3216</v>
      </c>
      <c r="B1574" s="15">
        <f>+919840692634</f>
        <v>919840692634</v>
      </c>
      <c r="C1574" s="15" t="str">
        <f t="shared" si="1"/>
        <v>swathigurram11@gmail.com919840692634</v>
      </c>
      <c r="D1574" s="16" t="s">
        <v>8533</v>
      </c>
      <c r="E1574" s="16" t="s">
        <v>68</v>
      </c>
    </row>
    <row r="1575">
      <c r="A1575" s="1" t="s">
        <v>8534</v>
      </c>
      <c r="B1575" s="15">
        <f>+917038474891</f>
        <v>917038474891</v>
      </c>
      <c r="C1575" s="15" t="str">
        <f t="shared" si="1"/>
        <v>dgautre1996@gmail.com917038474891</v>
      </c>
      <c r="D1575" s="16" t="s">
        <v>8535</v>
      </c>
      <c r="E1575" s="16" t="s">
        <v>74</v>
      </c>
    </row>
    <row r="1576">
      <c r="A1576" s="1" t="s">
        <v>6619</v>
      </c>
      <c r="B1576" s="15">
        <f>+919886441771</f>
        <v>919886441771</v>
      </c>
      <c r="C1576" s="15" t="str">
        <f t="shared" si="1"/>
        <v>munz_99@yahoo.com919886441771</v>
      </c>
      <c r="D1576" s="16" t="s">
        <v>8536</v>
      </c>
      <c r="E1576" s="16" t="s">
        <v>74</v>
      </c>
    </row>
    <row r="1577">
      <c r="A1577" s="1" t="s">
        <v>8534</v>
      </c>
      <c r="B1577" s="15">
        <f>+917038474891</f>
        <v>917038474891</v>
      </c>
      <c r="C1577" s="15" t="str">
        <f t="shared" si="1"/>
        <v>dgautre1996@gmail.com917038474891</v>
      </c>
      <c r="D1577" s="16" t="s">
        <v>8537</v>
      </c>
      <c r="E1577" s="16" t="s">
        <v>74</v>
      </c>
    </row>
    <row r="1578">
      <c r="A1578" s="1" t="s">
        <v>8538</v>
      </c>
      <c r="B1578" s="15">
        <f>+918921142559</f>
        <v>918921142559</v>
      </c>
      <c r="C1578" s="15" t="str">
        <f t="shared" si="1"/>
        <v>tharun.mangattil@gmail.com918921142559</v>
      </c>
      <c r="D1578" s="16" t="s">
        <v>8539</v>
      </c>
      <c r="E1578" s="16" t="s">
        <v>68</v>
      </c>
    </row>
    <row r="1579">
      <c r="A1579" s="1" t="s">
        <v>8540</v>
      </c>
      <c r="B1579" s="15">
        <f>+916006167563</f>
        <v>916006167563</v>
      </c>
      <c r="C1579" s="15" t="str">
        <f t="shared" si="1"/>
        <v>a.alamunnaalam3870@gmail.comm70916006167563</v>
      </c>
      <c r="D1579" s="16" t="s">
        <v>8541</v>
      </c>
      <c r="E1579" s="16" t="s">
        <v>97</v>
      </c>
    </row>
    <row r="1580">
      <c r="A1580" s="1" t="s">
        <v>4956</v>
      </c>
      <c r="B1580" s="15">
        <f>+919600017323</f>
        <v>919600017323</v>
      </c>
      <c r="C1580" s="15" t="str">
        <f t="shared" si="1"/>
        <v>mathan_tech@rediffmail.com919600017323</v>
      </c>
      <c r="D1580" s="16" t="s">
        <v>8542</v>
      </c>
      <c r="E1580" s="16" t="s">
        <v>97</v>
      </c>
    </row>
    <row r="1581">
      <c r="A1581" s="1" t="s">
        <v>8543</v>
      </c>
      <c r="B1581" s="15">
        <f t="shared" ref="B1581:B1582" si="205">+919711569379</f>
        <v>919711569379</v>
      </c>
      <c r="C1581" s="15" t="str">
        <f t="shared" si="1"/>
        <v>hhearttruless1000@gmail.com919711569379</v>
      </c>
      <c r="D1581" s="16" t="s">
        <v>8544</v>
      </c>
      <c r="E1581" s="16" t="s">
        <v>151</v>
      </c>
    </row>
    <row r="1582">
      <c r="A1582" s="1" t="s">
        <v>8543</v>
      </c>
      <c r="B1582" s="15">
        <f t="shared" si="205"/>
        <v>919711569379</v>
      </c>
      <c r="C1582" s="15" t="str">
        <f t="shared" si="1"/>
        <v>hhearttruless1000@gmail.com919711569379</v>
      </c>
      <c r="D1582" s="16" t="s">
        <v>8545</v>
      </c>
      <c r="E1582" s="16" t="s">
        <v>151</v>
      </c>
    </row>
    <row r="1583">
      <c r="A1583" s="1" t="s">
        <v>8540</v>
      </c>
      <c r="B1583" s="15">
        <f>+916006167563</f>
        <v>916006167563</v>
      </c>
      <c r="C1583" s="15" t="str">
        <f t="shared" si="1"/>
        <v>a.alamunnaalam3870@gmail.comm70916006167563</v>
      </c>
      <c r="D1583" s="16" t="s">
        <v>8546</v>
      </c>
      <c r="E1583" s="16" t="s">
        <v>74</v>
      </c>
    </row>
    <row r="1584">
      <c r="A1584" s="1" t="s">
        <v>3097</v>
      </c>
      <c r="B1584" s="15">
        <f>+919986438166</f>
        <v>919986438166</v>
      </c>
      <c r="C1584" s="15" t="str">
        <f t="shared" si="1"/>
        <v>madhanpradeepn@gmail.com919986438166</v>
      </c>
      <c r="D1584" s="16" t="s">
        <v>8547</v>
      </c>
      <c r="E1584" s="16" t="s">
        <v>68</v>
      </c>
    </row>
    <row r="1585">
      <c r="A1585" s="1" t="s">
        <v>3034</v>
      </c>
      <c r="B1585" s="15">
        <f t="shared" ref="B1585:B1586" si="206">+918144383673</f>
        <v>918144383673</v>
      </c>
      <c r="C1585" s="15" t="str">
        <f t="shared" si="1"/>
        <v>lopanayak1993@gmail.com918144383673</v>
      </c>
      <c r="D1585" s="16" t="s">
        <v>8548</v>
      </c>
      <c r="E1585" s="16" t="s">
        <v>68</v>
      </c>
    </row>
    <row r="1586">
      <c r="A1586" s="1" t="s">
        <v>3034</v>
      </c>
      <c r="B1586" s="15">
        <f t="shared" si="206"/>
        <v>918144383673</v>
      </c>
      <c r="C1586" s="15" t="str">
        <f t="shared" si="1"/>
        <v>lopanayak1993@gmail.com918144383673</v>
      </c>
      <c r="D1586" s="16" t="s">
        <v>8549</v>
      </c>
      <c r="E1586" s="16" t="s">
        <v>68</v>
      </c>
    </row>
    <row r="1587">
      <c r="A1587" s="1" t="s">
        <v>6275</v>
      </c>
      <c r="B1587" s="15">
        <f>+919398214671</f>
        <v>919398214671</v>
      </c>
      <c r="C1587" s="15" t="str">
        <f t="shared" si="1"/>
        <v>sohail2250@gmail.com919398214671</v>
      </c>
      <c r="D1587" s="16" t="s">
        <v>8550</v>
      </c>
      <c r="E1587" s="16" t="s">
        <v>68</v>
      </c>
    </row>
    <row r="1588">
      <c r="A1588" s="1" t="s">
        <v>3032</v>
      </c>
      <c r="B1588" s="15">
        <f>+919870672128</f>
        <v>919870672128</v>
      </c>
      <c r="C1588" s="15" t="str">
        <f t="shared" si="1"/>
        <v>psiddhita@gmail.com919870672128</v>
      </c>
      <c r="D1588" s="16" t="s">
        <v>8551</v>
      </c>
      <c r="E1588" s="16" t="s">
        <v>68</v>
      </c>
    </row>
    <row r="1589">
      <c r="A1589" s="1" t="s">
        <v>3313</v>
      </c>
      <c r="B1589" s="15">
        <f>+919888470272</f>
        <v>919888470272</v>
      </c>
      <c r="C1589" s="15" t="str">
        <f t="shared" si="1"/>
        <v>himanshusaleria@gmail.com919888470272</v>
      </c>
      <c r="D1589" s="16" t="s">
        <v>8552</v>
      </c>
      <c r="E1589" s="16" t="s">
        <v>151</v>
      </c>
    </row>
    <row r="1590">
      <c r="A1590" s="1" t="s">
        <v>8553</v>
      </c>
      <c r="B1590" s="15">
        <f>+918368590878</f>
        <v>918368590878</v>
      </c>
      <c r="C1590" s="15" t="str">
        <f t="shared" si="1"/>
        <v>shristijina@gmail.com918368590878</v>
      </c>
      <c r="D1590" s="16" t="s">
        <v>8554</v>
      </c>
      <c r="E1590" s="16" t="s">
        <v>74</v>
      </c>
    </row>
    <row r="1591">
      <c r="A1591" s="1" t="s">
        <v>4449</v>
      </c>
      <c r="B1591" s="15">
        <f>+919347728954</f>
        <v>919347728954</v>
      </c>
      <c r="C1591" s="15" t="str">
        <f t="shared" si="1"/>
        <v>aiswaryakalle888@gmail.com919347728954</v>
      </c>
      <c r="D1591" s="16" t="s">
        <v>8555</v>
      </c>
      <c r="E1591" s="16" t="s">
        <v>68</v>
      </c>
    </row>
    <row r="1592">
      <c r="A1592" s="1" t="s">
        <v>5872</v>
      </c>
      <c r="B1592" s="15">
        <f>+919711397307</f>
        <v>919711397307</v>
      </c>
      <c r="C1592" s="15" t="str">
        <f t="shared" si="1"/>
        <v>leenaahuja.edt@gmail.com919711397307</v>
      </c>
      <c r="D1592" s="16" t="s">
        <v>8556</v>
      </c>
      <c r="E1592" s="16" t="s">
        <v>68</v>
      </c>
    </row>
    <row r="1593">
      <c r="A1593" s="1" t="s">
        <v>4449</v>
      </c>
      <c r="B1593" s="15">
        <f>+919347728954</f>
        <v>919347728954</v>
      </c>
      <c r="C1593" s="15" t="str">
        <f t="shared" si="1"/>
        <v>aiswaryakalle888@gmail.com919347728954</v>
      </c>
      <c r="D1593" s="16" t="s">
        <v>8557</v>
      </c>
      <c r="E1593" s="16" t="s">
        <v>68</v>
      </c>
    </row>
    <row r="1594">
      <c r="A1594" s="1" t="s">
        <v>6277</v>
      </c>
      <c r="B1594" s="15">
        <f>+917337798333</f>
        <v>917337798333</v>
      </c>
      <c r="C1594" s="15" t="str">
        <f t="shared" si="1"/>
        <v>ananyaa.doglover@gmail.com917337798333</v>
      </c>
      <c r="D1594" s="16" t="s">
        <v>8558</v>
      </c>
      <c r="E1594" s="16" t="s">
        <v>74</v>
      </c>
    </row>
    <row r="1595">
      <c r="A1595" s="1" t="s">
        <v>5818</v>
      </c>
      <c r="B1595" s="15">
        <f t="shared" ref="B1595:B1596" si="207">+918951496116</f>
        <v>918951496116</v>
      </c>
      <c r="C1595" s="15" t="str">
        <f t="shared" si="1"/>
        <v>abhinavchinmai9@yahoo.com918951496116</v>
      </c>
      <c r="D1595" s="16" t="s">
        <v>8559</v>
      </c>
      <c r="E1595" s="16" t="s">
        <v>68</v>
      </c>
    </row>
    <row r="1596">
      <c r="A1596" s="1" t="s">
        <v>5818</v>
      </c>
      <c r="B1596" s="15">
        <f t="shared" si="207"/>
        <v>918951496116</v>
      </c>
      <c r="C1596" s="15" t="str">
        <f t="shared" si="1"/>
        <v>abhinavchinmai9@yahoo.com918951496116</v>
      </c>
      <c r="D1596" s="16" t="s">
        <v>8560</v>
      </c>
      <c r="E1596" s="16" t="s">
        <v>68</v>
      </c>
    </row>
    <row r="1597">
      <c r="A1597" s="1" t="s">
        <v>8561</v>
      </c>
      <c r="B1597" s="15">
        <f>+919873758800</f>
        <v>919873758800</v>
      </c>
      <c r="C1597" s="15" t="str">
        <f t="shared" si="1"/>
        <v>sethiroopali@gmail.com919873758800</v>
      </c>
      <c r="D1597" s="16" t="s">
        <v>8562</v>
      </c>
      <c r="E1597" s="16" t="s">
        <v>151</v>
      </c>
    </row>
    <row r="1598">
      <c r="A1598" s="1" t="s">
        <v>6014</v>
      </c>
      <c r="B1598" s="15">
        <f>+916206128016</f>
        <v>916206128016</v>
      </c>
      <c r="C1598" s="15" t="str">
        <f t="shared" si="1"/>
        <v>pradhanbiplab.543@gmail.com916206128016</v>
      </c>
      <c r="D1598" s="16" t="s">
        <v>8563</v>
      </c>
      <c r="E1598" s="16" t="s">
        <v>68</v>
      </c>
    </row>
    <row r="1599">
      <c r="A1599" s="1" t="s">
        <v>5362</v>
      </c>
      <c r="B1599" s="15">
        <f t="shared" ref="B1599:B1601" si="208">+919958533813</f>
        <v>919958533813</v>
      </c>
      <c r="C1599" s="15" t="str">
        <f t="shared" si="1"/>
        <v>faceandthefeast@gmail.com919958533813</v>
      </c>
      <c r="D1599" s="16" t="s">
        <v>8564</v>
      </c>
      <c r="E1599" s="16" t="s">
        <v>68</v>
      </c>
    </row>
    <row r="1600">
      <c r="A1600" s="1" t="s">
        <v>5362</v>
      </c>
      <c r="B1600" s="15">
        <f t="shared" si="208"/>
        <v>919958533813</v>
      </c>
      <c r="C1600" s="15" t="str">
        <f t="shared" si="1"/>
        <v>faceandthefeast@gmail.com919958533813</v>
      </c>
      <c r="D1600" s="16" t="s">
        <v>8565</v>
      </c>
      <c r="E1600" s="16" t="s">
        <v>68</v>
      </c>
    </row>
    <row r="1601">
      <c r="A1601" s="1" t="s">
        <v>5362</v>
      </c>
      <c r="B1601" s="15">
        <f t="shared" si="208"/>
        <v>919958533813</v>
      </c>
      <c r="C1601" s="15" t="str">
        <f t="shared" si="1"/>
        <v>faceandthefeast@gmail.com919958533813</v>
      </c>
      <c r="D1601" s="16" t="s">
        <v>8566</v>
      </c>
      <c r="E1601" s="16" t="s">
        <v>68</v>
      </c>
    </row>
    <row r="1602">
      <c r="A1602" s="1" t="s">
        <v>6016</v>
      </c>
      <c r="B1602" s="15">
        <f>+918709071685</f>
        <v>918709071685</v>
      </c>
      <c r="C1602" s="15" t="str">
        <f t="shared" si="1"/>
        <v>gautambudh529@gmail.com918709071685</v>
      </c>
      <c r="D1602" s="16" t="s">
        <v>8567</v>
      </c>
      <c r="E1602" s="16" t="s">
        <v>68</v>
      </c>
    </row>
    <row r="1603">
      <c r="A1603" s="1" t="s">
        <v>8568</v>
      </c>
      <c r="B1603" s="15">
        <f>+919921913621</f>
        <v>919921913621</v>
      </c>
      <c r="C1603" s="15" t="str">
        <f t="shared" si="1"/>
        <v>chaitalimorajker16@gmail.com919921913621</v>
      </c>
      <c r="D1603" s="16" t="s">
        <v>8569</v>
      </c>
      <c r="E1603" s="16" t="s">
        <v>68</v>
      </c>
    </row>
    <row r="1604">
      <c r="A1604" s="1" t="s">
        <v>2641</v>
      </c>
      <c r="B1604" s="15">
        <f>+919954521721</f>
        <v>919954521721</v>
      </c>
      <c r="C1604" s="15" t="str">
        <f t="shared" si="1"/>
        <v>sahumamta3071995@gmail.com919954521721</v>
      </c>
      <c r="D1604" s="16" t="s">
        <v>8570</v>
      </c>
      <c r="E1604" s="16" t="s">
        <v>68</v>
      </c>
    </row>
    <row r="1605">
      <c r="A1605" s="1" t="s">
        <v>3038</v>
      </c>
      <c r="B1605" s="15">
        <f t="shared" ref="B1605:B1606" si="209">+919833199273</f>
        <v>919833199273</v>
      </c>
      <c r="C1605" s="15" t="str">
        <f t="shared" si="1"/>
        <v>sangogishiv@gmail.com919833199273</v>
      </c>
      <c r="D1605" s="16" t="s">
        <v>8571</v>
      </c>
      <c r="E1605" s="16" t="s">
        <v>74</v>
      </c>
    </row>
    <row r="1606">
      <c r="A1606" s="1" t="s">
        <v>8572</v>
      </c>
      <c r="B1606" s="15">
        <f t="shared" si="209"/>
        <v>919833199273</v>
      </c>
      <c r="C1606" s="15" t="str">
        <f t="shared" si="1"/>
        <v>sawantrash@gmail.com919833199273</v>
      </c>
      <c r="D1606" s="16" t="s">
        <v>8573</v>
      </c>
      <c r="E1606" s="16" t="s">
        <v>74</v>
      </c>
    </row>
    <row r="1607">
      <c r="A1607" s="1" t="s">
        <v>5224</v>
      </c>
      <c r="B1607" s="15">
        <f>+919970186839</f>
        <v>919970186839</v>
      </c>
      <c r="C1607" s="15" t="str">
        <f t="shared" si="1"/>
        <v>parikshit.taksande17@gmail.com919970186839</v>
      </c>
      <c r="D1607" s="16" t="s">
        <v>8574</v>
      </c>
      <c r="E1607" s="16" t="s">
        <v>68</v>
      </c>
    </row>
    <row r="1608">
      <c r="A1608" s="1" t="s">
        <v>8575</v>
      </c>
      <c r="B1608" s="15">
        <f>+919331142571</f>
        <v>919331142571</v>
      </c>
      <c r="C1608" s="15" t="str">
        <f t="shared" si="1"/>
        <v>anishamandal98@gmail.com919331142571</v>
      </c>
      <c r="D1608" s="16" t="s">
        <v>8576</v>
      </c>
      <c r="E1608" s="16" t="s">
        <v>68</v>
      </c>
    </row>
    <row r="1609">
      <c r="A1609" s="1" t="s">
        <v>3218</v>
      </c>
      <c r="B1609" s="15">
        <f t="shared" ref="B1609:B1610" si="210">+918600591437</f>
        <v>918600591437</v>
      </c>
      <c r="C1609" s="15" t="str">
        <f t="shared" si="1"/>
        <v>shridange21@gmail.com918600591437</v>
      </c>
      <c r="D1609" s="16" t="s">
        <v>8577</v>
      </c>
      <c r="E1609" s="16" t="s">
        <v>68</v>
      </c>
    </row>
    <row r="1610">
      <c r="A1610" s="1" t="s">
        <v>3218</v>
      </c>
      <c r="B1610" s="15">
        <f t="shared" si="210"/>
        <v>918600591437</v>
      </c>
      <c r="C1610" s="15" t="str">
        <f t="shared" si="1"/>
        <v>shridange21@gmail.com918600591437</v>
      </c>
      <c r="D1610" s="16" t="s">
        <v>8578</v>
      </c>
      <c r="E1610" s="16" t="s">
        <v>68</v>
      </c>
    </row>
    <row r="1611">
      <c r="A1611" s="1" t="s">
        <v>5226</v>
      </c>
      <c r="B1611" s="15">
        <f>+919829512688</f>
        <v>919829512688</v>
      </c>
      <c r="C1611" s="15" t="str">
        <f t="shared" si="1"/>
        <v>radhakankarwal@gmail.com919829512688</v>
      </c>
      <c r="D1611" s="16" t="s">
        <v>8579</v>
      </c>
      <c r="E1611" s="16" t="s">
        <v>68</v>
      </c>
    </row>
    <row r="1612">
      <c r="A1612" s="1" t="s">
        <v>4958</v>
      </c>
      <c r="B1612" s="15">
        <f>+917043335745</f>
        <v>917043335745</v>
      </c>
      <c r="C1612" s="15" t="str">
        <f t="shared" si="1"/>
        <v>jitendrabisoi21@gmail.com917043335745</v>
      </c>
      <c r="D1612" s="16" t="s">
        <v>8580</v>
      </c>
      <c r="E1612" s="16" t="s">
        <v>68</v>
      </c>
    </row>
    <row r="1613">
      <c r="A1613" s="1" t="s">
        <v>8581</v>
      </c>
      <c r="B1613" s="15">
        <f>+919686623120</f>
        <v>919686623120</v>
      </c>
      <c r="C1613" s="15" t="str">
        <f t="shared" si="1"/>
        <v>7shirur@gmail.com919686623120</v>
      </c>
      <c r="D1613" s="16" t="s">
        <v>8582</v>
      </c>
      <c r="E1613" s="16" t="s">
        <v>74</v>
      </c>
    </row>
    <row r="1614">
      <c r="A1614" s="1" t="s">
        <v>2816</v>
      </c>
      <c r="B1614" s="15">
        <f>+919036003236</f>
        <v>919036003236</v>
      </c>
      <c r="C1614" s="15" t="str">
        <f t="shared" si="1"/>
        <v>imcool.surjeet@gmail.com919036003236</v>
      </c>
      <c r="D1614" s="16" t="s">
        <v>8583</v>
      </c>
      <c r="E1614" s="16" t="s">
        <v>68</v>
      </c>
    </row>
    <row r="1615">
      <c r="A1615" s="1" t="s">
        <v>5146</v>
      </c>
      <c r="B1615" s="15">
        <f>+919909931363</f>
        <v>919909931363</v>
      </c>
      <c r="C1615" s="15" t="str">
        <f t="shared" si="1"/>
        <v>dee@inkpotters.com919909931363</v>
      </c>
      <c r="D1615" s="16" t="s">
        <v>8584</v>
      </c>
      <c r="E1615" s="16" t="s">
        <v>151</v>
      </c>
    </row>
    <row r="1616">
      <c r="A1616" s="1" t="s">
        <v>8581</v>
      </c>
      <c r="B1616" s="15">
        <f>+919686623120</f>
        <v>919686623120</v>
      </c>
      <c r="C1616" s="15" t="str">
        <f t="shared" si="1"/>
        <v>7shirur@gmail.com919686623120</v>
      </c>
      <c r="D1616" s="16" t="s">
        <v>8585</v>
      </c>
      <c r="E1616" s="16" t="s">
        <v>74</v>
      </c>
    </row>
    <row r="1617">
      <c r="A1617" s="1" t="s">
        <v>4960</v>
      </c>
      <c r="B1617" s="15">
        <f>+918143689189</f>
        <v>918143689189</v>
      </c>
      <c r="C1617" s="15" t="str">
        <f t="shared" si="1"/>
        <v>rokhimunnisa@gmail.com918143689189</v>
      </c>
      <c r="D1617" s="16" t="s">
        <v>8586</v>
      </c>
      <c r="E1617" s="16" t="s">
        <v>151</v>
      </c>
    </row>
    <row r="1618">
      <c r="A1618" s="1" t="s">
        <v>6018</v>
      </c>
      <c r="B1618" s="15">
        <f t="shared" ref="B1618:B1619" si="211">+919510951497</f>
        <v>919510951497</v>
      </c>
      <c r="C1618" s="15" t="str">
        <f t="shared" si="1"/>
        <v>www.yashvadiya9510@gmail.com919510951497</v>
      </c>
      <c r="D1618" s="16" t="s">
        <v>8587</v>
      </c>
      <c r="E1618" s="16" t="s">
        <v>68</v>
      </c>
    </row>
    <row r="1619">
      <c r="A1619" s="1" t="s">
        <v>6018</v>
      </c>
      <c r="B1619" s="15">
        <f t="shared" si="211"/>
        <v>919510951497</v>
      </c>
      <c r="C1619" s="15" t="str">
        <f t="shared" si="1"/>
        <v>www.yashvadiya9510@gmail.com919510951497</v>
      </c>
      <c r="D1619" s="16" t="s">
        <v>8588</v>
      </c>
      <c r="E1619" s="16" t="s">
        <v>68</v>
      </c>
    </row>
    <row r="1620">
      <c r="A1620" s="1" t="s">
        <v>8581</v>
      </c>
      <c r="B1620" s="15">
        <f>+919686623120</f>
        <v>919686623120</v>
      </c>
      <c r="C1620" s="15" t="str">
        <f t="shared" si="1"/>
        <v>7shirur@gmail.com919686623120</v>
      </c>
      <c r="D1620" s="16" t="s">
        <v>8589</v>
      </c>
      <c r="E1620" s="16" t="s">
        <v>74</v>
      </c>
    </row>
    <row r="1621">
      <c r="A1621" s="1" t="s">
        <v>3417</v>
      </c>
      <c r="B1621" s="15">
        <f>+919789864634</f>
        <v>919789864634</v>
      </c>
      <c r="C1621" s="15" t="str">
        <f t="shared" si="1"/>
        <v>manojjraja.m@gmail.com919789864634</v>
      </c>
      <c r="D1621" s="16" t="s">
        <v>8590</v>
      </c>
      <c r="E1621" s="16" t="s">
        <v>68</v>
      </c>
    </row>
    <row r="1622">
      <c r="A1622" s="1" t="s">
        <v>8591</v>
      </c>
      <c r="B1622" s="15">
        <f>+917044391171</f>
        <v>917044391171</v>
      </c>
      <c r="C1622" s="15" t="str">
        <f t="shared" si="1"/>
        <v>gangulymou99@gmail.com917044391171</v>
      </c>
      <c r="D1622" s="16" t="s">
        <v>8592</v>
      </c>
      <c r="E1622" s="16" t="s">
        <v>74</v>
      </c>
    </row>
    <row r="1623">
      <c r="A1623" s="1" t="s">
        <v>4046</v>
      </c>
      <c r="B1623" s="15">
        <f t="shared" ref="B1623:B1624" si="212">+918310390152</f>
        <v>918310390152</v>
      </c>
      <c r="C1623" s="15" t="str">
        <f t="shared" si="1"/>
        <v>pratikshathakur251001@gmail.com918310390152</v>
      </c>
      <c r="D1623" s="16" t="s">
        <v>8593</v>
      </c>
      <c r="E1623" s="16" t="s">
        <v>68</v>
      </c>
    </row>
    <row r="1624">
      <c r="A1624" s="1" t="s">
        <v>4046</v>
      </c>
      <c r="B1624" s="15">
        <f t="shared" si="212"/>
        <v>918310390152</v>
      </c>
      <c r="C1624" s="15" t="str">
        <f t="shared" si="1"/>
        <v>pratikshathakur251001@gmail.com918310390152</v>
      </c>
      <c r="D1624" s="16" t="s">
        <v>8594</v>
      </c>
      <c r="E1624" s="16" t="s">
        <v>68</v>
      </c>
    </row>
    <row r="1625">
      <c r="A1625" s="1" t="s">
        <v>8595</v>
      </c>
      <c r="B1625" s="15">
        <f t="shared" ref="B1625:B1628" si="213">+919755334496</f>
        <v>919755334496</v>
      </c>
      <c r="C1625" s="15" t="str">
        <f t="shared" si="1"/>
        <v>dharmendra.b@outlook.com919755334496</v>
      </c>
      <c r="D1625" s="16" t="s">
        <v>8596</v>
      </c>
      <c r="E1625" s="16" t="s">
        <v>68</v>
      </c>
    </row>
    <row r="1626">
      <c r="A1626" s="1" t="s">
        <v>8595</v>
      </c>
      <c r="B1626" s="15">
        <f t="shared" si="213"/>
        <v>919755334496</v>
      </c>
      <c r="C1626" s="15" t="str">
        <f t="shared" si="1"/>
        <v>dharmendra.b@outlook.com919755334496</v>
      </c>
      <c r="D1626" s="16" t="s">
        <v>8597</v>
      </c>
      <c r="E1626" s="16" t="s">
        <v>74</v>
      </c>
    </row>
    <row r="1627">
      <c r="A1627" s="1" t="s">
        <v>8595</v>
      </c>
      <c r="B1627" s="15">
        <f t="shared" si="213"/>
        <v>919755334496</v>
      </c>
      <c r="C1627" s="15" t="str">
        <f t="shared" si="1"/>
        <v>dharmendra.b@outlook.com919755334496</v>
      </c>
      <c r="D1627" s="16" t="s">
        <v>8598</v>
      </c>
      <c r="E1627" s="16" t="s">
        <v>74</v>
      </c>
    </row>
    <row r="1628">
      <c r="A1628" s="1" t="s">
        <v>8595</v>
      </c>
      <c r="B1628" s="15">
        <f t="shared" si="213"/>
        <v>919755334496</v>
      </c>
      <c r="C1628" s="15" t="str">
        <f t="shared" si="1"/>
        <v>dharmendra.b@outlook.com919755334496</v>
      </c>
      <c r="D1628" s="16" t="s">
        <v>8599</v>
      </c>
      <c r="E1628" s="16" t="s">
        <v>68</v>
      </c>
    </row>
    <row r="1629">
      <c r="A1629" s="1" t="s">
        <v>3034</v>
      </c>
      <c r="B1629" s="15">
        <f>+918144383673</f>
        <v>918144383673</v>
      </c>
      <c r="C1629" s="15" t="str">
        <f t="shared" si="1"/>
        <v>lopanayak1993@gmail.com918144383673</v>
      </c>
      <c r="D1629" s="16" t="s">
        <v>8600</v>
      </c>
      <c r="E1629" s="16" t="s">
        <v>68</v>
      </c>
    </row>
    <row r="1630">
      <c r="A1630" s="1" t="s">
        <v>6020</v>
      </c>
      <c r="B1630" s="15">
        <f>+918780265642</f>
        <v>918780265642</v>
      </c>
      <c r="C1630" s="15" t="str">
        <f t="shared" si="1"/>
        <v>sagarmisal3185@gmail.com918780265642</v>
      </c>
      <c r="D1630" s="16" t="s">
        <v>8601</v>
      </c>
      <c r="E1630" s="16" t="s">
        <v>68</v>
      </c>
    </row>
    <row r="1631">
      <c r="A1631" s="1" t="s">
        <v>5146</v>
      </c>
      <c r="B1631" s="15">
        <f>+919909931363</f>
        <v>919909931363</v>
      </c>
      <c r="C1631" s="15" t="str">
        <f t="shared" si="1"/>
        <v>dee@inkpotters.com919909931363</v>
      </c>
      <c r="D1631" s="16" t="s">
        <v>8602</v>
      </c>
      <c r="E1631" s="16" t="s">
        <v>68</v>
      </c>
    </row>
    <row r="1632">
      <c r="A1632" s="1" t="s">
        <v>3894</v>
      </c>
      <c r="B1632" s="15">
        <f t="shared" ref="B1632:B1633" si="214">+919021745470</f>
        <v>919021745470</v>
      </c>
      <c r="C1632" s="15" t="str">
        <f t="shared" si="1"/>
        <v>sunilsharma5470@gmail.com919021745470</v>
      </c>
      <c r="D1632" s="16" t="s">
        <v>8603</v>
      </c>
      <c r="E1632" s="16" t="s">
        <v>74</v>
      </c>
    </row>
    <row r="1633">
      <c r="A1633" s="1" t="s">
        <v>3894</v>
      </c>
      <c r="B1633" s="15">
        <f t="shared" si="214"/>
        <v>919021745470</v>
      </c>
      <c r="C1633" s="15" t="str">
        <f t="shared" si="1"/>
        <v>sunilsharma5470@gmail.com919021745470</v>
      </c>
      <c r="D1633" s="16" t="s">
        <v>8604</v>
      </c>
      <c r="E1633" s="16" t="s">
        <v>74</v>
      </c>
    </row>
    <row r="1634">
      <c r="A1634" s="1" t="s">
        <v>6279</v>
      </c>
      <c r="B1634" s="15">
        <f>+919110701239</f>
        <v>919110701239</v>
      </c>
      <c r="C1634" s="15" t="str">
        <f t="shared" si="1"/>
        <v>vitta.saikishan01@gmail.com919110701239</v>
      </c>
      <c r="D1634" s="16" t="s">
        <v>8605</v>
      </c>
      <c r="E1634" s="16" t="s">
        <v>68</v>
      </c>
    </row>
    <row r="1635">
      <c r="A1635" s="1" t="s">
        <v>6022</v>
      </c>
      <c r="B1635" s="15">
        <f>+919336305896</f>
        <v>919336305896</v>
      </c>
      <c r="C1635" s="15" t="str">
        <f t="shared" si="1"/>
        <v>rairohitsr@gmail.com919336305896</v>
      </c>
      <c r="D1635" s="16" t="s">
        <v>8606</v>
      </c>
      <c r="E1635" s="16" t="s">
        <v>68</v>
      </c>
    </row>
    <row r="1636">
      <c r="A1636" s="1" t="s">
        <v>4818</v>
      </c>
      <c r="B1636" s="15">
        <f>+919971885672</f>
        <v>919971885672</v>
      </c>
      <c r="C1636" s="15" t="str">
        <f t="shared" si="1"/>
        <v>vohrag19@gmail.com919971885672</v>
      </c>
      <c r="D1636" s="16" t="s">
        <v>8607</v>
      </c>
      <c r="E1636" s="16" t="s">
        <v>68</v>
      </c>
    </row>
    <row r="1637">
      <c r="A1637" s="1" t="s">
        <v>4962</v>
      </c>
      <c r="B1637" s="15">
        <f>+917387884516</f>
        <v>917387884516</v>
      </c>
      <c r="C1637" s="15" t="str">
        <f t="shared" si="1"/>
        <v>vinaydharpure97@gmail.com917387884516</v>
      </c>
      <c r="D1637" s="16" t="s">
        <v>8608</v>
      </c>
      <c r="E1637" s="16" t="s">
        <v>68</v>
      </c>
    </row>
    <row r="1638">
      <c r="A1638" s="1" t="s">
        <v>5227</v>
      </c>
      <c r="B1638" s="15">
        <f>+919842884818</f>
        <v>919842884818</v>
      </c>
      <c r="C1638" s="15" t="str">
        <f t="shared" si="1"/>
        <v>tharnu@gmail.com919842884818</v>
      </c>
      <c r="D1638" s="16" t="s">
        <v>8609</v>
      </c>
      <c r="E1638" s="16" t="s">
        <v>68</v>
      </c>
    </row>
    <row r="1639">
      <c r="A1639" s="1" t="s">
        <v>6024</v>
      </c>
      <c r="B1639" s="15">
        <f>+917654551089</f>
        <v>917654551089</v>
      </c>
      <c r="C1639" s="15" t="str">
        <f t="shared" si="1"/>
        <v>rakes.lveo@gmail.com917654551089</v>
      </c>
      <c r="D1639" s="16" t="s">
        <v>8610</v>
      </c>
      <c r="E1639" s="16" t="s">
        <v>68</v>
      </c>
    </row>
    <row r="1640">
      <c r="A1640" s="1" t="s">
        <v>3220</v>
      </c>
      <c r="B1640" s="15">
        <f>+919365094516</f>
        <v>919365094516</v>
      </c>
      <c r="C1640" s="15" t="str">
        <f t="shared" si="1"/>
        <v>priyadarshinipradhan1601@gmail.com919365094516</v>
      </c>
      <c r="D1640" s="16" t="s">
        <v>8611</v>
      </c>
      <c r="E1640" s="16" t="s">
        <v>68</v>
      </c>
    </row>
    <row r="1641">
      <c r="A1641" s="1" t="s">
        <v>4048</v>
      </c>
      <c r="B1641" s="15">
        <f>+918130586081</f>
        <v>918130586081</v>
      </c>
      <c r="C1641" s="15" t="str">
        <f t="shared" si="1"/>
        <v>chhotushruti@gmail.com918130586081</v>
      </c>
      <c r="D1641" s="16" t="s">
        <v>8612</v>
      </c>
      <c r="E1641" s="16" t="s">
        <v>68</v>
      </c>
    </row>
    <row r="1642">
      <c r="A1642" s="1" t="s">
        <v>3220</v>
      </c>
      <c r="B1642" s="15">
        <f>+919365094516</f>
        <v>919365094516</v>
      </c>
      <c r="C1642" s="15" t="str">
        <f t="shared" si="1"/>
        <v>priyadarshinipradhan1601@gmail.com919365094516</v>
      </c>
      <c r="D1642" s="16" t="s">
        <v>8613</v>
      </c>
      <c r="E1642" s="16" t="s">
        <v>68</v>
      </c>
    </row>
    <row r="1643">
      <c r="A1643" s="1" t="s">
        <v>4964</v>
      </c>
      <c r="B1643" s="15">
        <f>+917337464892</f>
        <v>917337464892</v>
      </c>
      <c r="C1643" s="15" t="str">
        <f t="shared" si="1"/>
        <v>pwani2021@gmail.com917337464892</v>
      </c>
      <c r="D1643" s="16" t="s">
        <v>8614</v>
      </c>
      <c r="E1643" s="16" t="s">
        <v>68</v>
      </c>
    </row>
    <row r="1644">
      <c r="A1644" s="1" t="s">
        <v>6025</v>
      </c>
      <c r="B1644" s="15">
        <f>+918957352184</f>
        <v>918957352184</v>
      </c>
      <c r="C1644" s="15" t="str">
        <f t="shared" si="1"/>
        <v>omprakash17798@gmail.com918957352184</v>
      </c>
      <c r="D1644" s="16" t="s">
        <v>8615</v>
      </c>
      <c r="E1644" s="16" t="s">
        <v>68</v>
      </c>
    </row>
    <row r="1645">
      <c r="A1645" s="1" t="s">
        <v>6027</v>
      </c>
      <c r="B1645" s="15">
        <f>+917060526430</f>
        <v>917060526430</v>
      </c>
      <c r="C1645" s="15" t="str">
        <f t="shared" si="1"/>
        <v>kartik1222005@gmail.com917060526430</v>
      </c>
      <c r="D1645" s="16" t="s">
        <v>8616</v>
      </c>
      <c r="E1645" s="16" t="s">
        <v>68</v>
      </c>
    </row>
    <row r="1646">
      <c r="A1646" s="1" t="s">
        <v>5229</v>
      </c>
      <c r="B1646" s="15">
        <f>+917304686760</f>
        <v>917304686760</v>
      </c>
      <c r="C1646" s="15" t="str">
        <f t="shared" si="1"/>
        <v>mattanisandhya@gmail.com917304686760</v>
      </c>
      <c r="D1646" s="16" t="s">
        <v>8617</v>
      </c>
      <c r="E1646" s="16" t="s">
        <v>68</v>
      </c>
    </row>
    <row r="1647">
      <c r="A1647" s="1" t="s">
        <v>4979</v>
      </c>
      <c r="B1647" s="15">
        <f>+919011010337</f>
        <v>919011010337</v>
      </c>
      <c r="C1647" s="15" t="str">
        <f t="shared" si="1"/>
        <v>aniket.dodke@gmail.com919011010337</v>
      </c>
      <c r="D1647" s="16" t="s">
        <v>8618</v>
      </c>
      <c r="E1647" s="16" t="s">
        <v>68</v>
      </c>
    </row>
    <row r="1648">
      <c r="A1648" s="1" t="s">
        <v>8619</v>
      </c>
      <c r="B1648" s="15">
        <f>+918830028880</f>
        <v>918830028880</v>
      </c>
      <c r="C1648" s="15" t="str">
        <f t="shared" si="1"/>
        <v>shishupalbkhilery@gmail.com918830028880</v>
      </c>
      <c r="D1648" s="16" t="s">
        <v>8620</v>
      </c>
      <c r="E1648" s="16" t="s">
        <v>68</v>
      </c>
    </row>
    <row r="1649">
      <c r="A1649" s="1" t="s">
        <v>4979</v>
      </c>
      <c r="B1649" s="15">
        <f t="shared" ref="B1649:B1650" si="215">+919011010337</f>
        <v>919011010337</v>
      </c>
      <c r="C1649" s="15" t="str">
        <f t="shared" si="1"/>
        <v>aniket.dodke@gmail.com919011010337</v>
      </c>
      <c r="D1649" s="16" t="s">
        <v>8621</v>
      </c>
      <c r="E1649" s="16" t="s">
        <v>68</v>
      </c>
    </row>
    <row r="1650">
      <c r="A1650" s="1" t="s">
        <v>4979</v>
      </c>
      <c r="B1650" s="15">
        <f t="shared" si="215"/>
        <v>919011010337</v>
      </c>
      <c r="C1650" s="15" t="str">
        <f t="shared" si="1"/>
        <v>aniket.dodke@gmail.com919011010337</v>
      </c>
      <c r="D1650" s="16" t="s">
        <v>8622</v>
      </c>
      <c r="E1650" s="16" t="s">
        <v>68</v>
      </c>
    </row>
    <row r="1651">
      <c r="A1651" s="1" t="s">
        <v>6029</v>
      </c>
      <c r="B1651" s="15">
        <f>+917355258010</f>
        <v>917355258010</v>
      </c>
      <c r="C1651" s="15" t="str">
        <f t="shared" si="1"/>
        <v>arvindrkt1234@gmail.com917355258010</v>
      </c>
      <c r="D1651" s="16" t="s">
        <v>8623</v>
      </c>
      <c r="E1651" s="16" t="s">
        <v>68</v>
      </c>
    </row>
    <row r="1652">
      <c r="A1652" s="1" t="s">
        <v>2818</v>
      </c>
      <c r="B1652" s="15">
        <f>+919861041424</f>
        <v>919861041424</v>
      </c>
      <c r="C1652" s="15" t="str">
        <f t="shared" si="1"/>
        <v>adyaanuragdas@gmail.com919861041424</v>
      </c>
      <c r="D1652" s="16" t="s">
        <v>8624</v>
      </c>
      <c r="E1652" s="16" t="s">
        <v>68</v>
      </c>
    </row>
    <row r="1653">
      <c r="A1653" s="1" t="s">
        <v>8625</v>
      </c>
      <c r="B1653" s="15">
        <f>+918886288609</f>
        <v>918886288609</v>
      </c>
      <c r="C1653" s="15" t="str">
        <f t="shared" si="1"/>
        <v>luckymk3411@gmail.com918886288609</v>
      </c>
      <c r="D1653" s="16" t="s">
        <v>8626</v>
      </c>
      <c r="E1653" s="16" t="s">
        <v>74</v>
      </c>
    </row>
    <row r="1654">
      <c r="A1654" s="1" t="s">
        <v>8627</v>
      </c>
      <c r="B1654" s="15">
        <f>+918310078881</f>
        <v>918310078881</v>
      </c>
      <c r="C1654" s="15" t="str">
        <f t="shared" si="1"/>
        <v>divya.jaykumar3@gmail.com918310078881</v>
      </c>
      <c r="D1654" s="16" t="s">
        <v>8628</v>
      </c>
      <c r="E1654" s="16" t="s">
        <v>74</v>
      </c>
    </row>
    <row r="1655">
      <c r="A1655" s="1" t="s">
        <v>4820</v>
      </c>
      <c r="B1655" s="15">
        <f>+919555504027</f>
        <v>919555504027</v>
      </c>
      <c r="C1655" s="15" t="str">
        <f t="shared" si="1"/>
        <v>vijaygupta701@gmail.com919555504027</v>
      </c>
      <c r="D1655" s="16" t="s">
        <v>8629</v>
      </c>
      <c r="E1655" s="16" t="s">
        <v>68</v>
      </c>
    </row>
    <row r="1656">
      <c r="A1656" s="1" t="s">
        <v>4050</v>
      </c>
      <c r="B1656" s="15">
        <f>+919213237389</f>
        <v>919213237389</v>
      </c>
      <c r="C1656" s="15" t="str">
        <f t="shared" si="1"/>
        <v>jyots.gaur@gmail.com919213237389</v>
      </c>
      <c r="D1656" s="16" t="s">
        <v>8630</v>
      </c>
      <c r="E1656" s="16" t="s">
        <v>68</v>
      </c>
    </row>
    <row r="1657">
      <c r="A1657" s="1" t="s">
        <v>5231</v>
      </c>
      <c r="B1657" s="15">
        <f t="shared" ref="B1657:B1658" si="216">+919820851898</f>
        <v>919820851898</v>
      </c>
      <c r="C1657" s="15" t="str">
        <f t="shared" si="1"/>
        <v>ramagummalla@gmail.com919820851898</v>
      </c>
      <c r="D1657" s="16" t="s">
        <v>8631</v>
      </c>
      <c r="E1657" s="16" t="s">
        <v>74</v>
      </c>
    </row>
    <row r="1658">
      <c r="A1658" s="1" t="s">
        <v>5231</v>
      </c>
      <c r="B1658" s="15">
        <f t="shared" si="216"/>
        <v>919820851898</v>
      </c>
      <c r="C1658" s="15" t="str">
        <f t="shared" si="1"/>
        <v>ramagummalla@gmail.com919820851898</v>
      </c>
      <c r="D1658" s="16" t="s">
        <v>8632</v>
      </c>
      <c r="E1658" s="16" t="s">
        <v>74</v>
      </c>
    </row>
    <row r="1659">
      <c r="A1659" s="1" t="s">
        <v>4294</v>
      </c>
      <c r="B1659" s="15">
        <f>+919325873738</f>
        <v>919325873738</v>
      </c>
      <c r="C1659" s="15" t="str">
        <f t="shared" si="1"/>
        <v>luke.desouza7@gmail.com919325873738</v>
      </c>
      <c r="D1659" s="16" t="s">
        <v>8633</v>
      </c>
      <c r="E1659" s="16" t="s">
        <v>68</v>
      </c>
    </row>
    <row r="1660">
      <c r="A1660" s="1" t="s">
        <v>8634</v>
      </c>
      <c r="B1660" s="15">
        <f>+919399110763</f>
        <v>919399110763</v>
      </c>
      <c r="C1660" s="15" t="str">
        <f t="shared" si="1"/>
        <v>balajitaxations@gmail.com919399110763</v>
      </c>
      <c r="D1660" s="16" t="s">
        <v>8635</v>
      </c>
      <c r="E1660" s="16" t="s">
        <v>74</v>
      </c>
    </row>
    <row r="1661">
      <c r="A1661" s="1" t="s">
        <v>5966</v>
      </c>
      <c r="B1661" s="15">
        <f>+918800397880</f>
        <v>918800397880</v>
      </c>
      <c r="C1661" s="15" t="str">
        <f t="shared" si="1"/>
        <v>sacredherbs.info@gmail.com918800397880</v>
      </c>
      <c r="D1661" s="16" t="s">
        <v>8636</v>
      </c>
      <c r="E1661" s="16" t="s">
        <v>68</v>
      </c>
    </row>
    <row r="1662">
      <c r="A1662" s="1" t="s">
        <v>4052</v>
      </c>
      <c r="B1662" s="15">
        <f>+917373070134</f>
        <v>917373070134</v>
      </c>
      <c r="C1662" s="15" t="str">
        <f t="shared" si="1"/>
        <v>miruthujegan@gmail.com917373070134</v>
      </c>
      <c r="D1662" s="16" t="s">
        <v>8637</v>
      </c>
      <c r="E1662" s="16" t="s">
        <v>74</v>
      </c>
    </row>
    <row r="1663">
      <c r="A1663" s="1" t="s">
        <v>3781</v>
      </c>
      <c r="B1663" s="15">
        <f>+918197617453</f>
        <v>918197617453</v>
      </c>
      <c r="C1663" s="15" t="str">
        <f t="shared" si="1"/>
        <v>drj819@gmail.com918197617453</v>
      </c>
      <c r="D1663" s="16" t="s">
        <v>8638</v>
      </c>
      <c r="E1663" s="16" t="s">
        <v>151</v>
      </c>
    </row>
    <row r="1664">
      <c r="A1664" s="1" t="s">
        <v>8639</v>
      </c>
      <c r="B1664" s="15">
        <f>+919810413371</f>
        <v>919810413371</v>
      </c>
      <c r="C1664" s="15" t="str">
        <f t="shared" si="1"/>
        <v>amritkaurgill999@gmail.com919810413371</v>
      </c>
      <c r="D1664" s="16" t="s">
        <v>8640</v>
      </c>
      <c r="E1664" s="16" t="s">
        <v>68</v>
      </c>
    </row>
    <row r="1665">
      <c r="A1665" s="1" t="s">
        <v>2820</v>
      </c>
      <c r="B1665" s="15">
        <f>+918469545958</f>
        <v>918469545958</v>
      </c>
      <c r="C1665" s="15" t="str">
        <f t="shared" si="1"/>
        <v>thoriasagar@gmail.com918469545958</v>
      </c>
      <c r="D1665" s="16" t="s">
        <v>8641</v>
      </c>
      <c r="E1665" s="16" t="s">
        <v>68</v>
      </c>
    </row>
    <row r="1666">
      <c r="A1666" s="1" t="s">
        <v>4654</v>
      </c>
      <c r="B1666" s="15">
        <f t="shared" ref="B1666:B1667" si="217">+918760031202</f>
        <v>918760031202</v>
      </c>
      <c r="C1666" s="15" t="str">
        <f t="shared" si="1"/>
        <v>bgokuleee1997@gmail.com918760031202</v>
      </c>
      <c r="D1666" s="16" t="s">
        <v>8642</v>
      </c>
      <c r="E1666" s="16" t="s">
        <v>68</v>
      </c>
    </row>
    <row r="1667">
      <c r="A1667" s="1" t="s">
        <v>4654</v>
      </c>
      <c r="B1667" s="15">
        <f t="shared" si="217"/>
        <v>918760031202</v>
      </c>
      <c r="C1667" s="15" t="str">
        <f t="shared" si="1"/>
        <v>bgokuleee1997@gmail.com918760031202</v>
      </c>
      <c r="D1667" s="16" t="s">
        <v>8643</v>
      </c>
      <c r="E1667" s="16" t="s">
        <v>68</v>
      </c>
    </row>
    <row r="1668">
      <c r="A1668" s="1" t="s">
        <v>2822</v>
      </c>
      <c r="B1668" s="15">
        <f>+919163408023</f>
        <v>919163408023</v>
      </c>
      <c r="C1668" s="15" t="str">
        <f t="shared" si="1"/>
        <v>nedasiraj098@gmail.com919163408023</v>
      </c>
      <c r="D1668" s="16" t="s">
        <v>8644</v>
      </c>
      <c r="E1668" s="16" t="s">
        <v>68</v>
      </c>
    </row>
    <row r="1669">
      <c r="A1669" s="1" t="s">
        <v>8645</v>
      </c>
      <c r="B1669" s="15">
        <f>+917022805799</f>
        <v>917022805799</v>
      </c>
      <c r="C1669" s="15" t="str">
        <f t="shared" si="1"/>
        <v>ranjithapathak@gmail.com917022805799</v>
      </c>
      <c r="D1669" s="16" t="s">
        <v>8646</v>
      </c>
      <c r="E1669" s="16" t="s">
        <v>74</v>
      </c>
    </row>
    <row r="1670">
      <c r="A1670" s="1" t="s">
        <v>3099</v>
      </c>
      <c r="B1670" s="15">
        <f>+916204516196</f>
        <v>916204516196</v>
      </c>
      <c r="C1670" s="15" t="str">
        <f t="shared" si="1"/>
        <v>pujabharara21@gmail.com916204516196</v>
      </c>
      <c r="D1670" s="16" t="s">
        <v>8647</v>
      </c>
      <c r="E1670" s="16" t="s">
        <v>68</v>
      </c>
    </row>
    <row r="1671">
      <c r="A1671" s="1" t="s">
        <v>2822</v>
      </c>
      <c r="B1671" s="15">
        <f>+919163408023</f>
        <v>919163408023</v>
      </c>
      <c r="C1671" s="15" t="str">
        <f t="shared" si="1"/>
        <v>nedasiraj098@gmail.com919163408023</v>
      </c>
      <c r="D1671" s="16" t="s">
        <v>8648</v>
      </c>
      <c r="E1671" s="16" t="s">
        <v>68</v>
      </c>
    </row>
    <row r="1672">
      <c r="A1672" s="1" t="s">
        <v>3781</v>
      </c>
      <c r="B1672" s="15">
        <f>+918197617453</f>
        <v>918197617453</v>
      </c>
      <c r="C1672" s="15" t="str">
        <f t="shared" si="1"/>
        <v>drj819@gmail.com918197617453</v>
      </c>
      <c r="D1672" s="16" t="s">
        <v>8649</v>
      </c>
      <c r="E1672" s="16" t="s">
        <v>97</v>
      </c>
    </row>
    <row r="1673">
      <c r="A1673" s="1" t="s">
        <v>8650</v>
      </c>
      <c r="B1673" s="15">
        <f>+919560927649</f>
        <v>919560927649</v>
      </c>
      <c r="C1673" s="15" t="str">
        <f t="shared" si="1"/>
        <v>ayush.arora2401@gmail.com919560927649</v>
      </c>
      <c r="D1673" s="16" t="s">
        <v>8651</v>
      </c>
      <c r="E1673" s="16" t="s">
        <v>74</v>
      </c>
    </row>
    <row r="1674">
      <c r="A1674" s="1" t="s">
        <v>4054</v>
      </c>
      <c r="B1674" s="15">
        <f t="shared" ref="B1674:B1677" si="218">+918527009579</f>
        <v>918527009579</v>
      </c>
      <c r="C1674" s="15" t="str">
        <f t="shared" si="1"/>
        <v>poojachoudhary640@gmail.com918527009579</v>
      </c>
      <c r="D1674" s="16" t="s">
        <v>8652</v>
      </c>
      <c r="E1674" s="16" t="s">
        <v>74</v>
      </c>
    </row>
    <row r="1675">
      <c r="A1675" s="1" t="s">
        <v>4054</v>
      </c>
      <c r="B1675" s="15">
        <f t="shared" si="218"/>
        <v>918527009579</v>
      </c>
      <c r="C1675" s="15" t="str">
        <f t="shared" si="1"/>
        <v>poojachoudhary640@gmail.com918527009579</v>
      </c>
      <c r="D1675" s="16" t="s">
        <v>8653</v>
      </c>
      <c r="E1675" s="16" t="s">
        <v>74</v>
      </c>
    </row>
    <row r="1676">
      <c r="A1676" s="1" t="s">
        <v>4054</v>
      </c>
      <c r="B1676" s="15">
        <f t="shared" si="218"/>
        <v>918527009579</v>
      </c>
      <c r="C1676" s="15" t="str">
        <f t="shared" si="1"/>
        <v>poojachoudhary640@gmail.com918527009579</v>
      </c>
      <c r="D1676" s="16" t="s">
        <v>8654</v>
      </c>
      <c r="E1676" s="16" t="s">
        <v>74</v>
      </c>
    </row>
    <row r="1677">
      <c r="A1677" s="1" t="s">
        <v>4054</v>
      </c>
      <c r="B1677" s="15">
        <f t="shared" si="218"/>
        <v>918527009579</v>
      </c>
      <c r="C1677" s="15" t="str">
        <f t="shared" si="1"/>
        <v>poojachoudhary640@gmail.com918527009579</v>
      </c>
      <c r="D1677" s="16" t="s">
        <v>8655</v>
      </c>
      <c r="E1677" s="16" t="s">
        <v>68</v>
      </c>
    </row>
    <row r="1678">
      <c r="A1678" s="1" t="s">
        <v>5382</v>
      </c>
      <c r="B1678" s="15">
        <f>+919989403000</f>
        <v>919989403000</v>
      </c>
      <c r="C1678" s="15" t="str">
        <f t="shared" si="1"/>
        <v>sbmraji@gmail.com919989403000</v>
      </c>
      <c r="D1678" s="16" t="s">
        <v>8656</v>
      </c>
      <c r="E1678" s="16" t="s">
        <v>68</v>
      </c>
    </row>
    <row r="1679">
      <c r="A1679" s="1" t="s">
        <v>3222</v>
      </c>
      <c r="B1679" s="15">
        <f>+917738987950</f>
        <v>917738987950</v>
      </c>
      <c r="C1679" s="15" t="str">
        <f t="shared" si="1"/>
        <v>kuldeepmgoswami@gmail.com917738987950</v>
      </c>
      <c r="D1679" s="16" t="s">
        <v>8657</v>
      </c>
      <c r="E1679" s="16" t="s">
        <v>68</v>
      </c>
    </row>
    <row r="1680">
      <c r="A1680" s="1" t="s">
        <v>5233</v>
      </c>
      <c r="B1680" s="15">
        <f>+919980017939</f>
        <v>919980017939</v>
      </c>
      <c r="C1680" s="15" t="str">
        <f t="shared" si="1"/>
        <v>vikraman23@gmail.com919980017939</v>
      </c>
      <c r="D1680" s="16" t="s">
        <v>8658</v>
      </c>
      <c r="E1680" s="16" t="s">
        <v>68</v>
      </c>
    </row>
    <row r="1681">
      <c r="A1681" s="1" t="s">
        <v>6281</v>
      </c>
      <c r="B1681" s="15">
        <f>+919626507533</f>
        <v>919626507533</v>
      </c>
      <c r="C1681" s="15" t="str">
        <f t="shared" si="1"/>
        <v>chitrashelly@gmail.com919626507533</v>
      </c>
      <c r="D1681" s="16" t="s">
        <v>8659</v>
      </c>
      <c r="E1681" s="16" t="s">
        <v>68</v>
      </c>
    </row>
    <row r="1682">
      <c r="A1682" s="1" t="s">
        <v>5384</v>
      </c>
      <c r="B1682" s="15">
        <f>+918131060633</f>
        <v>918131060633</v>
      </c>
      <c r="C1682" s="15" t="str">
        <f t="shared" si="1"/>
        <v>junkee56@gmail.com918131060633</v>
      </c>
      <c r="D1682" s="16" t="s">
        <v>8660</v>
      </c>
      <c r="E1682" s="16" t="s">
        <v>68</v>
      </c>
    </row>
    <row r="1683">
      <c r="A1683" s="1" t="s">
        <v>8661</v>
      </c>
      <c r="B1683" s="15">
        <f>+919004798601</f>
        <v>919004798601</v>
      </c>
      <c r="C1683" s="15" t="str">
        <f t="shared" si="1"/>
        <v>guptasampurna@gmail.com919004798601</v>
      </c>
      <c r="D1683" s="16" t="s">
        <v>8662</v>
      </c>
      <c r="E1683" s="16" t="s">
        <v>74</v>
      </c>
    </row>
    <row r="1684">
      <c r="A1684" s="1" t="s">
        <v>3224</v>
      </c>
      <c r="B1684" s="15">
        <f>+919972504265</f>
        <v>919972504265</v>
      </c>
      <c r="C1684" s="15" t="str">
        <f t="shared" si="1"/>
        <v>vineethvp.882@gmail.com919972504265</v>
      </c>
      <c r="D1684" s="16" t="s">
        <v>8663</v>
      </c>
      <c r="E1684" s="16" t="s">
        <v>68</v>
      </c>
    </row>
    <row r="1685">
      <c r="A1685" s="1" t="s">
        <v>8581</v>
      </c>
      <c r="B1685" s="15">
        <f>+919686623120</f>
        <v>919686623120</v>
      </c>
      <c r="C1685" s="15" t="str">
        <f t="shared" si="1"/>
        <v>7shirur@gmail.com919686623120</v>
      </c>
      <c r="D1685" s="16" t="s">
        <v>8664</v>
      </c>
      <c r="E1685" s="16" t="s">
        <v>74</v>
      </c>
    </row>
    <row r="1686">
      <c r="A1686" s="1" t="s">
        <v>4900</v>
      </c>
      <c r="B1686" s="15">
        <f>+919538232106</f>
        <v>919538232106</v>
      </c>
      <c r="C1686" s="15" t="str">
        <f t="shared" si="1"/>
        <v>pavanganesh990011@gmail.com919538232106</v>
      </c>
      <c r="D1686" s="16" t="s">
        <v>8665</v>
      </c>
      <c r="E1686" s="16" t="s">
        <v>68</v>
      </c>
    </row>
    <row r="1687">
      <c r="A1687" s="1" t="s">
        <v>6031</v>
      </c>
      <c r="B1687" s="15">
        <f>+917731886811</f>
        <v>917731886811</v>
      </c>
      <c r="C1687" s="15" t="str">
        <f t="shared" si="1"/>
        <v>subramanyamk4554@gmail.com917731886811</v>
      </c>
      <c r="D1687" s="16" t="s">
        <v>8666</v>
      </c>
      <c r="E1687" s="16" t="s">
        <v>68</v>
      </c>
    </row>
    <row r="1688">
      <c r="A1688" s="1" t="s">
        <v>4056</v>
      </c>
      <c r="B1688" s="15">
        <f>+918803010369</f>
        <v>918803010369</v>
      </c>
      <c r="C1688" s="15" t="str">
        <f t="shared" si="1"/>
        <v>kmansheen@gmail.com918803010369</v>
      </c>
      <c r="D1688" s="16" t="s">
        <v>8667</v>
      </c>
      <c r="E1688" s="16" t="s">
        <v>68</v>
      </c>
    </row>
    <row r="1689">
      <c r="A1689" s="1" t="s">
        <v>6621</v>
      </c>
      <c r="B1689" s="15">
        <f t="shared" ref="B1689:B1691" si="219">+919049680756</f>
        <v>919049680756</v>
      </c>
      <c r="C1689" s="15" t="str">
        <f t="shared" si="1"/>
        <v>aditeeshedge@gmail.com919049680756</v>
      </c>
      <c r="D1689" s="16" t="s">
        <v>8668</v>
      </c>
      <c r="E1689" s="16" t="s">
        <v>74</v>
      </c>
    </row>
    <row r="1690">
      <c r="A1690" s="1" t="s">
        <v>6621</v>
      </c>
      <c r="B1690" s="15">
        <f t="shared" si="219"/>
        <v>919049680756</v>
      </c>
      <c r="C1690" s="15" t="str">
        <f t="shared" si="1"/>
        <v>aditeeshedge@gmail.com919049680756</v>
      </c>
      <c r="D1690" s="16" t="s">
        <v>8669</v>
      </c>
      <c r="E1690" s="16" t="s">
        <v>151</v>
      </c>
    </row>
    <row r="1691">
      <c r="A1691" s="1" t="s">
        <v>6621</v>
      </c>
      <c r="B1691" s="15">
        <f t="shared" si="219"/>
        <v>919049680756</v>
      </c>
      <c r="C1691" s="15" t="str">
        <f t="shared" si="1"/>
        <v>aditeeshedge@gmail.com919049680756</v>
      </c>
      <c r="D1691" s="16" t="s">
        <v>8670</v>
      </c>
      <c r="E1691" s="16" t="s">
        <v>74</v>
      </c>
    </row>
    <row r="1692">
      <c r="A1692" s="1" t="s">
        <v>3101</v>
      </c>
      <c r="B1692" s="15">
        <f>+919498031217</f>
        <v>919498031217</v>
      </c>
      <c r="C1692" s="15" t="str">
        <f t="shared" si="1"/>
        <v>aakash.raghu1@gmail.com919498031217</v>
      </c>
      <c r="D1692" s="16" t="s">
        <v>8671</v>
      </c>
      <c r="E1692" s="16" t="s">
        <v>68</v>
      </c>
    </row>
    <row r="1693">
      <c r="A1693" s="1" t="s">
        <v>6287</v>
      </c>
      <c r="B1693" s="15">
        <f>+919439756968</f>
        <v>919439756968</v>
      </c>
      <c r="C1693" s="15" t="str">
        <f t="shared" si="1"/>
        <v>patel.sbbarsha@gmail.com919439756968</v>
      </c>
      <c r="D1693" s="16" t="s">
        <v>8672</v>
      </c>
      <c r="E1693" s="16" t="s">
        <v>68</v>
      </c>
    </row>
    <row r="1694">
      <c r="A1694" s="1" t="s">
        <v>4966</v>
      </c>
      <c r="B1694" s="15">
        <f>+919736533666</f>
        <v>919736533666</v>
      </c>
      <c r="C1694" s="15" t="str">
        <f t="shared" si="1"/>
        <v>ankit_231990@yahoo.co.in919736533666</v>
      </c>
      <c r="D1694" s="16" t="s">
        <v>8673</v>
      </c>
      <c r="E1694" s="16" t="s">
        <v>68</v>
      </c>
    </row>
    <row r="1695">
      <c r="A1695" s="1" t="s">
        <v>4614</v>
      </c>
      <c r="B1695" s="15">
        <f>+919926394648</f>
        <v>919926394648</v>
      </c>
      <c r="C1695" s="15" t="str">
        <f t="shared" si="1"/>
        <v>aman20tiwari@gmail.com919926394648</v>
      </c>
      <c r="D1695" s="16" t="s">
        <v>8674</v>
      </c>
      <c r="E1695" s="16" t="s">
        <v>68</v>
      </c>
    </row>
    <row r="1696">
      <c r="A1696" s="1" t="s">
        <v>4363</v>
      </c>
      <c r="B1696" s="15">
        <f>+919811200929</f>
        <v>919811200929</v>
      </c>
      <c r="C1696" s="15" t="str">
        <f t="shared" si="1"/>
        <v>preetisha.kaur@gmail.com919811200929</v>
      </c>
      <c r="D1696" s="16" t="s">
        <v>8675</v>
      </c>
      <c r="E1696" s="16" t="s">
        <v>74</v>
      </c>
    </row>
    <row r="1697">
      <c r="A1697" s="1" t="s">
        <v>6283</v>
      </c>
      <c r="B1697" s="15">
        <f>+919578300000</f>
        <v>919578300000</v>
      </c>
      <c r="C1697" s="15" t="str">
        <f t="shared" si="1"/>
        <v>sohailkal00000@gmail.com919578300000</v>
      </c>
      <c r="D1697" s="16" t="s">
        <v>8676</v>
      </c>
      <c r="E1697" s="16" t="s">
        <v>74</v>
      </c>
    </row>
    <row r="1698">
      <c r="A1698" s="1" t="s">
        <v>6033</v>
      </c>
      <c r="B1698" s="15">
        <f>+917015476230</f>
        <v>917015476230</v>
      </c>
      <c r="C1698" s="15" t="str">
        <f t="shared" si="1"/>
        <v>grvonline11@gmail.com917015476230</v>
      </c>
      <c r="D1698" s="16" t="s">
        <v>8677</v>
      </c>
      <c r="E1698" s="16" t="s">
        <v>74</v>
      </c>
    </row>
    <row r="1699">
      <c r="A1699" s="1" t="s">
        <v>2721</v>
      </c>
      <c r="B1699" s="15">
        <f>+918249377793</f>
        <v>918249377793</v>
      </c>
      <c r="C1699" s="15" t="str">
        <f t="shared" si="1"/>
        <v>aditi.creativity9@gmail.com918249377793</v>
      </c>
      <c r="D1699" s="16" t="s">
        <v>8678</v>
      </c>
      <c r="E1699" s="16" t="s">
        <v>68</v>
      </c>
    </row>
    <row r="1700">
      <c r="A1700" s="1" t="s">
        <v>8679</v>
      </c>
      <c r="B1700" s="15">
        <f>+918140829585</f>
        <v>918140829585</v>
      </c>
      <c r="C1700" s="15" t="str">
        <f t="shared" si="1"/>
        <v>bhargavpansuriya1912@gmail.com918140829585</v>
      </c>
      <c r="D1700" s="16" t="s">
        <v>8680</v>
      </c>
      <c r="E1700" s="16" t="s">
        <v>68</v>
      </c>
    </row>
    <row r="1701">
      <c r="A1701" s="1" t="s">
        <v>6035</v>
      </c>
      <c r="B1701" s="15">
        <f>+919560638763</f>
        <v>919560638763</v>
      </c>
      <c r="C1701" s="15" t="str">
        <f t="shared" si="1"/>
        <v>aryaji30@gmail.com919560638763</v>
      </c>
      <c r="D1701" s="16" t="s">
        <v>8681</v>
      </c>
      <c r="E1701" s="16" t="s">
        <v>68</v>
      </c>
    </row>
    <row r="1702">
      <c r="A1702" s="1" t="s">
        <v>2643</v>
      </c>
      <c r="B1702" s="15">
        <f>+916380675455</f>
        <v>916380675455</v>
      </c>
      <c r="C1702" s="15" t="str">
        <f t="shared" si="1"/>
        <v>indusukumar@gmail.com916380675455</v>
      </c>
      <c r="D1702" s="16" t="s">
        <v>8682</v>
      </c>
      <c r="E1702" s="16" t="s">
        <v>68</v>
      </c>
    </row>
    <row r="1703">
      <c r="A1703" s="1" t="s">
        <v>8683</v>
      </c>
      <c r="B1703" s="15">
        <f t="shared" ref="B1703:B1705" si="220">+919690922695</f>
        <v>919690922695</v>
      </c>
      <c r="C1703" s="15" t="str">
        <f t="shared" si="1"/>
        <v>swarnimasajwan6@gmail.com919690922695</v>
      </c>
      <c r="D1703" s="16" t="s">
        <v>8684</v>
      </c>
      <c r="E1703" s="16" t="s">
        <v>74</v>
      </c>
    </row>
    <row r="1704">
      <c r="A1704" s="1" t="s">
        <v>8683</v>
      </c>
      <c r="B1704" s="15">
        <f t="shared" si="220"/>
        <v>919690922695</v>
      </c>
      <c r="C1704" s="15" t="str">
        <f t="shared" si="1"/>
        <v>swarnimasajwan6@gmail.com919690922695</v>
      </c>
      <c r="D1704" s="16" t="s">
        <v>8685</v>
      </c>
      <c r="E1704" s="16" t="s">
        <v>74</v>
      </c>
    </row>
    <row r="1705">
      <c r="A1705" s="1" t="s">
        <v>8683</v>
      </c>
      <c r="B1705" s="15">
        <f t="shared" si="220"/>
        <v>919690922695</v>
      </c>
      <c r="C1705" s="15" t="str">
        <f t="shared" si="1"/>
        <v>swarnimasajwan6@gmail.com919690922695</v>
      </c>
      <c r="D1705" s="16" t="s">
        <v>8686</v>
      </c>
      <c r="E1705" s="16" t="s">
        <v>74</v>
      </c>
    </row>
    <row r="1706">
      <c r="A1706" s="1" t="s">
        <v>5148</v>
      </c>
      <c r="B1706" s="15">
        <f>+919971687735</f>
        <v>919971687735</v>
      </c>
      <c r="C1706" s="15" t="str">
        <f t="shared" si="1"/>
        <v>littlemistersmommy@gmail.com919971687735</v>
      </c>
      <c r="D1706" s="16" t="s">
        <v>8687</v>
      </c>
      <c r="E1706" s="16" t="s">
        <v>68</v>
      </c>
    </row>
    <row r="1707">
      <c r="A1707" s="1" t="s">
        <v>4058</v>
      </c>
      <c r="B1707" s="15">
        <f>+919320539733</f>
        <v>919320539733</v>
      </c>
      <c r="C1707" s="15" t="str">
        <f t="shared" si="1"/>
        <v>grishadongrani@gmail.com919320539733</v>
      </c>
      <c r="D1707" s="16" t="s">
        <v>8688</v>
      </c>
      <c r="E1707" s="16" t="s">
        <v>74</v>
      </c>
    </row>
    <row r="1708">
      <c r="A1708" s="1" t="s">
        <v>5386</v>
      </c>
      <c r="B1708" s="15">
        <f>+919500088992</f>
        <v>919500088992</v>
      </c>
      <c r="C1708" s="15" t="str">
        <f t="shared" si="1"/>
        <v>sandhiyakaruna1997@gmail.com919500088992</v>
      </c>
      <c r="D1708" s="16" t="s">
        <v>8689</v>
      </c>
      <c r="E1708" s="16" t="s">
        <v>68</v>
      </c>
    </row>
    <row r="1709">
      <c r="A1709" s="1" t="s">
        <v>8690</v>
      </c>
      <c r="B1709" s="15">
        <f>+918879333445</f>
        <v>918879333445</v>
      </c>
      <c r="C1709" s="15" t="str">
        <f t="shared" si="1"/>
        <v>raireshma@gmail.com918879333445</v>
      </c>
      <c r="D1709" s="16" t="s">
        <v>8691</v>
      </c>
      <c r="E1709" s="16" t="s">
        <v>68</v>
      </c>
    </row>
    <row r="1710">
      <c r="A1710" s="1" t="s">
        <v>6037</v>
      </c>
      <c r="B1710" s="15">
        <f>+919156645656</f>
        <v>919156645656</v>
      </c>
      <c r="C1710" s="15" t="str">
        <f t="shared" si="1"/>
        <v>ramanss124@gmail.com919156645656</v>
      </c>
      <c r="D1710" s="16" t="s">
        <v>8692</v>
      </c>
      <c r="E1710" s="16" t="s">
        <v>68</v>
      </c>
    </row>
    <row r="1711">
      <c r="A1711" s="1" t="s">
        <v>6039</v>
      </c>
      <c r="B1711" s="15">
        <f>+919910734382</f>
        <v>919910734382</v>
      </c>
      <c r="C1711" s="15" t="str">
        <f t="shared" si="1"/>
        <v>mansijain0603@gmail.com919910734382</v>
      </c>
      <c r="D1711" s="16" t="s">
        <v>8693</v>
      </c>
      <c r="E1711" s="16" t="s">
        <v>74</v>
      </c>
    </row>
    <row r="1712">
      <c r="A1712" s="1" t="s">
        <v>4058</v>
      </c>
      <c r="B1712" s="15">
        <f>+919320539733</f>
        <v>919320539733</v>
      </c>
      <c r="C1712" s="15" t="str">
        <f t="shared" si="1"/>
        <v>grishadongrani@gmail.com919320539733</v>
      </c>
      <c r="D1712" s="16" t="s">
        <v>8694</v>
      </c>
      <c r="E1712" s="16" t="s">
        <v>74</v>
      </c>
    </row>
    <row r="1713">
      <c r="A1713" s="1" t="s">
        <v>3419</v>
      </c>
      <c r="B1713" s="15">
        <f>+919954245724</f>
        <v>919954245724</v>
      </c>
      <c r="C1713" s="15" t="str">
        <f t="shared" si="1"/>
        <v>rsraviravi555@gmail.com919954245724</v>
      </c>
      <c r="D1713" s="16" t="s">
        <v>8695</v>
      </c>
      <c r="E1713" s="16" t="s">
        <v>151</v>
      </c>
    </row>
    <row r="1714">
      <c r="A1714" s="1" t="s">
        <v>6235</v>
      </c>
      <c r="B1714" s="15">
        <f>+919873822436</f>
        <v>919873822436</v>
      </c>
      <c r="C1714" s="15" t="str">
        <f t="shared" si="1"/>
        <v>aryanmjha@gmail.com919873822436</v>
      </c>
      <c r="D1714" s="16" t="s">
        <v>8696</v>
      </c>
      <c r="E1714" s="16" t="s">
        <v>68</v>
      </c>
    </row>
    <row r="1715">
      <c r="A1715" s="1" t="s">
        <v>5820</v>
      </c>
      <c r="B1715" s="15">
        <f>+919133628608</f>
        <v>919133628608</v>
      </c>
      <c r="C1715" s="15" t="str">
        <f t="shared" si="1"/>
        <v>devasamchandu@gmail.com919133628608</v>
      </c>
      <c r="D1715" s="16" t="s">
        <v>8697</v>
      </c>
      <c r="E1715" s="16" t="s">
        <v>68</v>
      </c>
    </row>
    <row r="1716">
      <c r="A1716" s="1" t="s">
        <v>6041</v>
      </c>
      <c r="B1716" s="15">
        <f>+919097748054</f>
        <v>919097748054</v>
      </c>
      <c r="C1716" s="15" t="str">
        <f t="shared" si="1"/>
        <v>shubhamprajapati326@gmail.com919097748054</v>
      </c>
      <c r="D1716" s="16" t="s">
        <v>8698</v>
      </c>
      <c r="E1716" s="16" t="s">
        <v>68</v>
      </c>
    </row>
    <row r="1717">
      <c r="A1717" s="1" t="s">
        <v>8699</v>
      </c>
      <c r="B1717" s="15">
        <f>+917903502092</f>
        <v>917903502092</v>
      </c>
      <c r="C1717" s="15" t="str">
        <f t="shared" si="1"/>
        <v>vikasprsd99@gmail.com917903502092</v>
      </c>
      <c r="D1717" s="16" t="s">
        <v>8700</v>
      </c>
      <c r="E1717" s="16" t="s">
        <v>151</v>
      </c>
    </row>
    <row r="1718">
      <c r="A1718" s="1" t="s">
        <v>4656</v>
      </c>
      <c r="B1718" s="15">
        <f>+919730590769</f>
        <v>919730590769</v>
      </c>
      <c r="C1718" s="15" t="str">
        <f t="shared" si="1"/>
        <v>kedarb21@gmail.com919730590769</v>
      </c>
      <c r="D1718" s="16" t="s">
        <v>8701</v>
      </c>
      <c r="E1718" s="16" t="s">
        <v>68</v>
      </c>
    </row>
    <row r="1719">
      <c r="A1719" s="1" t="s">
        <v>4674</v>
      </c>
      <c r="B1719" s="15">
        <f t="shared" ref="B1719:B1721" si="221">+919769705556</f>
        <v>919769705556</v>
      </c>
      <c r="C1719" s="15" t="str">
        <f t="shared" si="1"/>
        <v>chandrakant.ingale@gmail.com919769705556</v>
      </c>
      <c r="D1719" s="16" t="s">
        <v>8702</v>
      </c>
      <c r="E1719" s="16" t="s">
        <v>74</v>
      </c>
    </row>
    <row r="1720">
      <c r="A1720" s="1" t="s">
        <v>4674</v>
      </c>
      <c r="B1720" s="15">
        <f t="shared" si="221"/>
        <v>919769705556</v>
      </c>
      <c r="C1720" s="15" t="str">
        <f t="shared" si="1"/>
        <v>chandrakant.ingale@gmail.com919769705556</v>
      </c>
      <c r="D1720" s="16" t="s">
        <v>8703</v>
      </c>
      <c r="E1720" s="16" t="s">
        <v>74</v>
      </c>
    </row>
    <row r="1721">
      <c r="A1721" s="1" t="s">
        <v>4674</v>
      </c>
      <c r="B1721" s="15">
        <f t="shared" si="221"/>
        <v>919769705556</v>
      </c>
      <c r="C1721" s="15" t="str">
        <f t="shared" si="1"/>
        <v>chandrakant.ingale@gmail.com919769705556</v>
      </c>
      <c r="D1721" s="16" t="s">
        <v>8704</v>
      </c>
      <c r="E1721" s="16" t="s">
        <v>68</v>
      </c>
    </row>
    <row r="1722">
      <c r="A1722" s="1" t="s">
        <v>3896</v>
      </c>
      <c r="B1722" s="15">
        <f>+919945999306</f>
        <v>919945999306</v>
      </c>
      <c r="C1722" s="15" t="str">
        <f t="shared" si="1"/>
        <v>lohith7794@gmail.com919945999306</v>
      </c>
      <c r="D1722" s="16" t="s">
        <v>8705</v>
      </c>
      <c r="E1722" s="16" t="s">
        <v>68</v>
      </c>
    </row>
    <row r="1723">
      <c r="A1723" s="1" t="s">
        <v>3103</v>
      </c>
      <c r="B1723" s="15">
        <f>+918746065777</f>
        <v>918746065777</v>
      </c>
      <c r="C1723" s="15" t="str">
        <f t="shared" si="1"/>
        <v>vivekbari2@gmail.com918746065777</v>
      </c>
      <c r="D1723" s="16" t="s">
        <v>8706</v>
      </c>
      <c r="E1723" s="16" t="s">
        <v>74</v>
      </c>
    </row>
    <row r="1724">
      <c r="A1724" s="1" t="s">
        <v>4902</v>
      </c>
      <c r="B1724" s="15">
        <f>+917024460636</f>
        <v>917024460636</v>
      </c>
      <c r="C1724" s="15" t="str">
        <f t="shared" si="1"/>
        <v>sahu.adityanarayan91@gmail.com917024460636</v>
      </c>
      <c r="D1724" s="16" t="s">
        <v>8707</v>
      </c>
      <c r="E1724" s="16" t="s">
        <v>68</v>
      </c>
    </row>
    <row r="1725">
      <c r="A1725" s="1" t="s">
        <v>5150</v>
      </c>
      <c r="B1725" s="15">
        <f>+919540734173</f>
        <v>919540734173</v>
      </c>
      <c r="C1725" s="15" t="str">
        <f t="shared" si="1"/>
        <v>mini24.singh@gmail.com919540734173</v>
      </c>
      <c r="D1725" s="16" t="s">
        <v>8708</v>
      </c>
      <c r="E1725" s="16" t="s">
        <v>68</v>
      </c>
    </row>
    <row r="1726">
      <c r="A1726" s="1" t="s">
        <v>2723</v>
      </c>
      <c r="B1726" s="15">
        <f>+917774040540</f>
        <v>917774040540</v>
      </c>
      <c r="C1726" s="15" t="str">
        <f t="shared" si="1"/>
        <v>shreyachopda24@gmail.com917774040540</v>
      </c>
      <c r="D1726" s="16" t="s">
        <v>8709</v>
      </c>
      <c r="E1726" s="16" t="s">
        <v>68</v>
      </c>
    </row>
    <row r="1727">
      <c r="A1727" s="1" t="s">
        <v>6043</v>
      </c>
      <c r="B1727" s="15">
        <f>+919119376499</f>
        <v>919119376499</v>
      </c>
      <c r="C1727" s="15" t="str">
        <f t="shared" si="1"/>
        <v>mahipalsingh9830@gmail.com919119376499</v>
      </c>
      <c r="D1727" s="16" t="s">
        <v>8710</v>
      </c>
      <c r="E1727" s="16" t="s">
        <v>68</v>
      </c>
    </row>
    <row r="1728">
      <c r="A1728" s="1" t="s">
        <v>4968</v>
      </c>
      <c r="B1728" s="15">
        <f>+919014229391</f>
        <v>919014229391</v>
      </c>
      <c r="C1728" s="15" t="str">
        <f t="shared" si="1"/>
        <v>akulanikitha01@gmail.com919014229391</v>
      </c>
      <c r="D1728" s="16" t="s">
        <v>8711</v>
      </c>
      <c r="E1728" s="16" t="s">
        <v>68</v>
      </c>
    </row>
    <row r="1729">
      <c r="A1729" s="1" t="s">
        <v>3295</v>
      </c>
      <c r="B1729" s="15">
        <f>+919978799000</f>
        <v>919978799000</v>
      </c>
      <c r="C1729" s="15" t="str">
        <f t="shared" si="1"/>
        <v>geetameer88@gmail.com919978799000</v>
      </c>
      <c r="D1729" s="16" t="s">
        <v>8712</v>
      </c>
      <c r="E1729" s="16" t="s">
        <v>68</v>
      </c>
    </row>
    <row r="1730">
      <c r="A1730" s="1" t="s">
        <v>4335</v>
      </c>
      <c r="B1730" s="15">
        <f t="shared" ref="B1730:B1731" si="222">+919611815533</f>
        <v>919611815533</v>
      </c>
      <c r="C1730" s="15" t="str">
        <f t="shared" si="1"/>
        <v>kunalgour.gour@gmail.com919611815533</v>
      </c>
      <c r="D1730" s="16" t="s">
        <v>8713</v>
      </c>
      <c r="E1730" s="16" t="s">
        <v>68</v>
      </c>
    </row>
    <row r="1731">
      <c r="A1731" s="1" t="s">
        <v>4335</v>
      </c>
      <c r="B1731" s="15">
        <f t="shared" si="222"/>
        <v>919611815533</v>
      </c>
      <c r="C1731" s="15" t="str">
        <f t="shared" si="1"/>
        <v>kunalgour.gour@gmail.com919611815533</v>
      </c>
      <c r="D1731" s="16" t="s">
        <v>8714</v>
      </c>
      <c r="E1731" s="16" t="s">
        <v>68</v>
      </c>
    </row>
    <row r="1732">
      <c r="A1732" s="1" t="s">
        <v>5434</v>
      </c>
      <c r="B1732" s="15">
        <f>+918975009756</f>
        <v>918975009756</v>
      </c>
      <c r="C1732" s="15" t="str">
        <f t="shared" si="1"/>
        <v>singhchetan1989@gmail.com918975009756</v>
      </c>
      <c r="D1732" s="16" t="s">
        <v>8715</v>
      </c>
      <c r="E1732" s="16" t="s">
        <v>68</v>
      </c>
    </row>
    <row r="1733">
      <c r="A1733" s="1" t="s">
        <v>4060</v>
      </c>
      <c r="B1733" s="15">
        <f>+919748193462</f>
        <v>919748193462</v>
      </c>
      <c r="C1733" s="15" t="str">
        <f t="shared" si="1"/>
        <v>ujjayoniroy@gmail.com919748193462</v>
      </c>
      <c r="D1733" s="16" t="s">
        <v>8716</v>
      </c>
      <c r="E1733" s="16" t="s">
        <v>68</v>
      </c>
    </row>
    <row r="1734">
      <c r="A1734" s="1" t="s">
        <v>2824</v>
      </c>
      <c r="B1734" s="15">
        <f>+919825789088</f>
        <v>919825789088</v>
      </c>
      <c r="C1734" s="15" t="str">
        <f t="shared" si="1"/>
        <v>nambiar_jishnu@yahoo.co.in919825789088</v>
      </c>
      <c r="D1734" s="16" t="s">
        <v>8717</v>
      </c>
      <c r="E1734" s="16" t="s">
        <v>68</v>
      </c>
    </row>
    <row r="1735">
      <c r="A1735" s="1" t="s">
        <v>3226</v>
      </c>
      <c r="B1735" s="15">
        <f t="shared" ref="B1735:B1739" si="223">+917300364932</f>
        <v>917300364932</v>
      </c>
      <c r="C1735" s="15" t="str">
        <f t="shared" si="1"/>
        <v>kashi.gyl0905@gmail.com917300364932</v>
      </c>
      <c r="D1735" s="16" t="s">
        <v>8718</v>
      </c>
      <c r="E1735" s="16" t="s">
        <v>151</v>
      </c>
    </row>
    <row r="1736">
      <c r="A1736" s="1" t="s">
        <v>3226</v>
      </c>
      <c r="B1736" s="15">
        <f t="shared" si="223"/>
        <v>917300364932</v>
      </c>
      <c r="C1736" s="15" t="str">
        <f t="shared" si="1"/>
        <v>kashi.gyl0905@gmail.com917300364932</v>
      </c>
      <c r="D1736" s="16" t="s">
        <v>8719</v>
      </c>
      <c r="E1736" s="16" t="s">
        <v>151</v>
      </c>
    </row>
    <row r="1737">
      <c r="A1737" s="1" t="s">
        <v>3226</v>
      </c>
      <c r="B1737" s="15">
        <f t="shared" si="223"/>
        <v>917300364932</v>
      </c>
      <c r="C1737" s="15" t="str">
        <f t="shared" si="1"/>
        <v>kashi.gyl0905@gmail.com917300364932</v>
      </c>
      <c r="D1737" s="16" t="s">
        <v>8720</v>
      </c>
      <c r="E1737" s="16" t="s">
        <v>151</v>
      </c>
    </row>
    <row r="1738">
      <c r="A1738" s="1" t="s">
        <v>3226</v>
      </c>
      <c r="B1738" s="15">
        <f t="shared" si="223"/>
        <v>917300364932</v>
      </c>
      <c r="C1738" s="15" t="str">
        <f t="shared" si="1"/>
        <v>kashi.gyl0905@gmail.com917300364932</v>
      </c>
      <c r="D1738" s="16" t="s">
        <v>8721</v>
      </c>
      <c r="E1738" s="16" t="s">
        <v>151</v>
      </c>
    </row>
    <row r="1739">
      <c r="A1739" s="1" t="s">
        <v>3226</v>
      </c>
      <c r="B1739" s="15">
        <f t="shared" si="223"/>
        <v>917300364932</v>
      </c>
      <c r="C1739" s="15" t="str">
        <f t="shared" si="1"/>
        <v>kashi.gyl0905@gmail.com917300364932</v>
      </c>
      <c r="D1739" s="16" t="s">
        <v>8722</v>
      </c>
      <c r="E1739" s="16" t="s">
        <v>68</v>
      </c>
    </row>
    <row r="1740">
      <c r="A1740" s="1" t="s">
        <v>3034</v>
      </c>
      <c r="B1740" s="15">
        <f>+918144383673</f>
        <v>918144383673</v>
      </c>
      <c r="C1740" s="15" t="str">
        <f t="shared" si="1"/>
        <v>lopanayak1993@gmail.com918144383673</v>
      </c>
      <c r="D1740" s="16" t="s">
        <v>8723</v>
      </c>
      <c r="E1740" s="16" t="s">
        <v>68</v>
      </c>
    </row>
    <row r="1741">
      <c r="A1741" s="1" t="s">
        <v>6045</v>
      </c>
      <c r="B1741" s="15">
        <f>+918426030952</f>
        <v>918426030952</v>
      </c>
      <c r="C1741" s="15" t="str">
        <f t="shared" si="1"/>
        <v>kjeet9545@gmail.com918426030952</v>
      </c>
      <c r="D1741" s="16" t="s">
        <v>8724</v>
      </c>
      <c r="E1741" s="16" t="s">
        <v>68</v>
      </c>
    </row>
    <row r="1742">
      <c r="A1742" s="1" t="s">
        <v>3034</v>
      </c>
      <c r="B1742" s="15">
        <f>+918144383673</f>
        <v>918144383673</v>
      </c>
      <c r="C1742" s="15" t="str">
        <f t="shared" si="1"/>
        <v>lopanayak1993@gmail.com918144383673</v>
      </c>
      <c r="D1742" s="16" t="s">
        <v>8725</v>
      </c>
      <c r="E1742" s="16" t="s">
        <v>68</v>
      </c>
    </row>
    <row r="1743">
      <c r="A1743" s="1" t="s">
        <v>8726</v>
      </c>
      <c r="B1743" s="15">
        <f>+918953778844</f>
        <v>918953778844</v>
      </c>
      <c r="C1743" s="15" t="str">
        <f t="shared" si="1"/>
        <v>tushveen.kaur@gmail.com918953778844</v>
      </c>
      <c r="D1743" s="16" t="s">
        <v>8727</v>
      </c>
      <c r="E1743" s="16" t="s">
        <v>74</v>
      </c>
    </row>
    <row r="1744">
      <c r="A1744" s="1" t="s">
        <v>4970</v>
      </c>
      <c r="B1744" s="15">
        <f>+919632519290</f>
        <v>919632519290</v>
      </c>
      <c r="C1744" s="15" t="str">
        <f t="shared" si="1"/>
        <v>nadimmeeranavar@gmail.com919632519290</v>
      </c>
      <c r="D1744" s="16" t="s">
        <v>8728</v>
      </c>
      <c r="E1744" s="16" t="s">
        <v>68</v>
      </c>
    </row>
    <row r="1745">
      <c r="A1745" s="1" t="s">
        <v>5152</v>
      </c>
      <c r="B1745" s="15">
        <f>+918400000088</f>
        <v>918400000088</v>
      </c>
      <c r="C1745" s="15" t="str">
        <f t="shared" si="1"/>
        <v>petalyash@gmail.com918400000088</v>
      </c>
      <c r="D1745" s="16" t="s">
        <v>8729</v>
      </c>
      <c r="E1745" s="16" t="s">
        <v>68</v>
      </c>
    </row>
    <row r="1746">
      <c r="A1746" s="1" t="s">
        <v>3228</v>
      </c>
      <c r="B1746" s="15">
        <f>+919646883759</f>
        <v>919646883759</v>
      </c>
      <c r="C1746" s="15" t="str">
        <f t="shared" si="1"/>
        <v>sahmi87@gmail.com919646883759</v>
      </c>
      <c r="D1746" s="16" t="s">
        <v>8730</v>
      </c>
      <c r="E1746" s="16" t="s">
        <v>74</v>
      </c>
    </row>
    <row r="1747">
      <c r="A1747" s="1" t="s">
        <v>8731</v>
      </c>
      <c r="B1747" s="15">
        <f>+919900084631</f>
        <v>919900084631</v>
      </c>
      <c r="C1747" s="15" t="str">
        <f t="shared" si="1"/>
        <v>trestsbarua@hotmail.com919900084631</v>
      </c>
      <c r="D1747" s="16" t="s">
        <v>8732</v>
      </c>
      <c r="E1747" s="16" t="s">
        <v>151</v>
      </c>
    </row>
    <row r="1748">
      <c r="A1748" s="1" t="s">
        <v>1838</v>
      </c>
      <c r="B1748" s="15">
        <f>+919582397824</f>
        <v>919582397824</v>
      </c>
      <c r="C1748" s="15" t="str">
        <f t="shared" si="1"/>
        <v>manasavisharma47@gmail.com919582397824</v>
      </c>
      <c r="D1748" s="16" t="s">
        <v>8733</v>
      </c>
      <c r="E1748" s="16" t="s">
        <v>68</v>
      </c>
    </row>
    <row r="1749">
      <c r="A1749" s="1" t="s">
        <v>6285</v>
      </c>
      <c r="B1749" s="15">
        <f>+917357221405</f>
        <v>917357221405</v>
      </c>
      <c r="C1749" s="15" t="str">
        <f t="shared" si="1"/>
        <v>amisha.sharma.3532@gmail.com917357221405</v>
      </c>
      <c r="D1749" s="16" t="s">
        <v>8734</v>
      </c>
      <c r="E1749" s="16" t="s">
        <v>68</v>
      </c>
    </row>
    <row r="1750">
      <c r="A1750" s="1" t="s">
        <v>8735</v>
      </c>
      <c r="B1750" s="15">
        <f>+917056044933</f>
        <v>917056044933</v>
      </c>
      <c r="C1750" s="15" t="str">
        <f t="shared" si="1"/>
        <v>sahilgiroh0001@gmail.com917056044933</v>
      </c>
      <c r="D1750" s="16" t="s">
        <v>8736</v>
      </c>
      <c r="E1750" s="16" t="s">
        <v>74</v>
      </c>
    </row>
    <row r="1751">
      <c r="A1751" s="1" t="s">
        <v>6047</v>
      </c>
      <c r="B1751" s="15">
        <f>+916392061126</f>
        <v>916392061126</v>
      </c>
      <c r="C1751" s="15" t="str">
        <f t="shared" si="1"/>
        <v>merajshekh79@gmail.com916392061126</v>
      </c>
      <c r="D1751" s="16" t="s">
        <v>8737</v>
      </c>
      <c r="E1751" s="16" t="s">
        <v>68</v>
      </c>
    </row>
    <row r="1752">
      <c r="A1752" s="1" t="s">
        <v>8738</v>
      </c>
      <c r="B1752" s="15">
        <f>+917025981241</f>
        <v>917025981241</v>
      </c>
      <c r="C1752" s="15" t="str">
        <f t="shared" si="1"/>
        <v>ansilaraichel1997@gmail.com917025981241</v>
      </c>
      <c r="D1752" s="16" t="s">
        <v>8739</v>
      </c>
      <c r="E1752" s="16" t="s">
        <v>68</v>
      </c>
    </row>
    <row r="1753">
      <c r="A1753" s="1" t="s">
        <v>6049</v>
      </c>
      <c r="B1753" s="15">
        <f>+918148004816</f>
        <v>918148004816</v>
      </c>
      <c r="C1753" s="15" t="str">
        <f t="shared" si="1"/>
        <v>santhakumarss7@gmail.com918148004816</v>
      </c>
      <c r="D1753" s="16" t="s">
        <v>8740</v>
      </c>
      <c r="E1753" s="16" t="s">
        <v>68</v>
      </c>
    </row>
    <row r="1754">
      <c r="A1754" s="1" t="s">
        <v>3422</v>
      </c>
      <c r="B1754" s="15">
        <f>+919940179422</f>
        <v>919940179422</v>
      </c>
      <c r="C1754" s="15" t="str">
        <f t="shared" si="1"/>
        <v>devi.senth17@gmail.com919940179422</v>
      </c>
      <c r="D1754" s="16" t="s">
        <v>8741</v>
      </c>
      <c r="E1754" s="16" t="s">
        <v>68</v>
      </c>
    </row>
    <row r="1755">
      <c r="A1755" s="1" t="s">
        <v>6051</v>
      </c>
      <c r="B1755" s="15">
        <f>+917860262811</f>
        <v>917860262811</v>
      </c>
      <c r="C1755" s="15" t="str">
        <f t="shared" si="1"/>
        <v>mohdeqarar@gmail.com917860262811</v>
      </c>
      <c r="D1755" s="16" t="s">
        <v>8742</v>
      </c>
      <c r="E1755" s="16" t="s">
        <v>68</v>
      </c>
    </row>
    <row r="1756">
      <c r="A1756" s="1" t="s">
        <v>6053</v>
      </c>
      <c r="B1756" s="15">
        <f>+919052493406</f>
        <v>919052493406</v>
      </c>
      <c r="C1756" s="15" t="str">
        <f t="shared" si="1"/>
        <v>johnnysatish@gmail.com919052493406</v>
      </c>
      <c r="D1756" s="16" t="s">
        <v>8743</v>
      </c>
      <c r="E1756" s="16" t="s">
        <v>68</v>
      </c>
    </row>
    <row r="1757">
      <c r="A1757" s="1" t="s">
        <v>4062</v>
      </c>
      <c r="B1757" s="15">
        <f>+919832040225</f>
        <v>919832040225</v>
      </c>
      <c r="C1757" s="15" t="str">
        <f t="shared" si="1"/>
        <v>nbajrachrya15@gmail.com919832040225</v>
      </c>
      <c r="D1757" s="16" t="s">
        <v>8744</v>
      </c>
      <c r="E1757" s="16" t="s">
        <v>68</v>
      </c>
    </row>
    <row r="1758">
      <c r="A1758" s="1" t="s">
        <v>6053</v>
      </c>
      <c r="B1758" s="15">
        <f>+919052493406</f>
        <v>919052493406</v>
      </c>
      <c r="C1758" s="15" t="str">
        <f t="shared" si="1"/>
        <v>johnnysatish@gmail.com919052493406</v>
      </c>
      <c r="D1758" s="16" t="s">
        <v>8745</v>
      </c>
      <c r="E1758" s="16" t="s">
        <v>68</v>
      </c>
    </row>
    <row r="1759">
      <c r="A1759" s="1" t="s">
        <v>3105</v>
      </c>
      <c r="B1759" s="15">
        <f t="shared" ref="B1759:B1760" si="224">+917022925162</f>
        <v>917022925162</v>
      </c>
      <c r="C1759" s="15" t="str">
        <f t="shared" si="1"/>
        <v>saurabhd89@gmail.com917022925162</v>
      </c>
      <c r="D1759" s="16" t="s">
        <v>8746</v>
      </c>
      <c r="E1759" s="16" t="s">
        <v>74</v>
      </c>
    </row>
    <row r="1760">
      <c r="A1760" s="1" t="s">
        <v>3105</v>
      </c>
      <c r="B1760" s="15">
        <f t="shared" si="224"/>
        <v>917022925162</v>
      </c>
      <c r="C1760" s="15" t="str">
        <f t="shared" si="1"/>
        <v>saurabhd89@gmail.com917022925162</v>
      </c>
      <c r="D1760" s="16" t="s">
        <v>8747</v>
      </c>
      <c r="E1760" s="16" t="s">
        <v>68</v>
      </c>
    </row>
    <row r="1761">
      <c r="A1761" s="1" t="s">
        <v>8748</v>
      </c>
      <c r="B1761" s="15">
        <f>+919004594187</f>
        <v>919004594187</v>
      </c>
      <c r="C1761" s="15" t="str">
        <f t="shared" si="1"/>
        <v>riabangera67@gmail.com919004594187</v>
      </c>
      <c r="D1761" s="16" t="s">
        <v>8749</v>
      </c>
      <c r="E1761" s="16" t="s">
        <v>68</v>
      </c>
    </row>
    <row r="1762">
      <c r="A1762" s="1" t="s">
        <v>8750</v>
      </c>
      <c r="B1762" s="15">
        <f>+918807369959</f>
        <v>918807369959</v>
      </c>
      <c r="C1762" s="15" t="str">
        <f t="shared" si="1"/>
        <v>jananianu10@gmail.com918807369959</v>
      </c>
      <c r="D1762" s="16" t="s">
        <v>8751</v>
      </c>
      <c r="E1762" s="16" t="s">
        <v>74</v>
      </c>
    </row>
    <row r="1763">
      <c r="A1763" s="1" t="s">
        <v>4064</v>
      </c>
      <c r="B1763" s="15">
        <f>+918275416627</f>
        <v>918275416627</v>
      </c>
      <c r="C1763" s="15" t="str">
        <f t="shared" si="1"/>
        <v>madhurapawade1995@gmail.com918275416627</v>
      </c>
      <c r="D1763" s="16" t="s">
        <v>8752</v>
      </c>
      <c r="E1763" s="16" t="s">
        <v>68</v>
      </c>
    </row>
    <row r="1764">
      <c r="A1764" s="1" t="s">
        <v>618</v>
      </c>
      <c r="B1764" s="15">
        <f>+919445286758</f>
        <v>919445286758</v>
      </c>
      <c r="C1764" s="15" t="str">
        <f t="shared" si="1"/>
        <v>amrithaelan95@gmail.com919445286758</v>
      </c>
      <c r="D1764" s="16" t="s">
        <v>8753</v>
      </c>
      <c r="E1764" s="16" t="s">
        <v>68</v>
      </c>
    </row>
    <row r="1765">
      <c r="A1765" s="1" t="s">
        <v>6055</v>
      </c>
      <c r="B1765" s="15">
        <f>+918008486810</f>
        <v>918008486810</v>
      </c>
      <c r="C1765" s="15" t="str">
        <f t="shared" si="1"/>
        <v>chittetisaikiranlucky.1997@gmail.com918008486810</v>
      </c>
      <c r="D1765" s="16" t="s">
        <v>8754</v>
      </c>
      <c r="E1765" s="16" t="s">
        <v>68</v>
      </c>
    </row>
    <row r="1766">
      <c r="A1766" s="1" t="s">
        <v>8748</v>
      </c>
      <c r="B1766" s="15">
        <f>+919004594187</f>
        <v>919004594187</v>
      </c>
      <c r="C1766" s="15" t="str">
        <f t="shared" si="1"/>
        <v>riabangera67@gmail.com919004594187</v>
      </c>
      <c r="D1766" s="16" t="s">
        <v>8755</v>
      </c>
      <c r="E1766" s="16" t="s">
        <v>68</v>
      </c>
    </row>
    <row r="1767">
      <c r="A1767" s="1" t="s">
        <v>5235</v>
      </c>
      <c r="B1767" s="15">
        <f>+918452075926</f>
        <v>918452075926</v>
      </c>
      <c r="C1767" s="15" t="str">
        <f t="shared" si="1"/>
        <v>ncarolmary@gmail.com918452075926</v>
      </c>
      <c r="D1767" s="16" t="s">
        <v>8756</v>
      </c>
      <c r="E1767" s="16" t="s">
        <v>68</v>
      </c>
    </row>
    <row r="1768">
      <c r="A1768" s="1" t="s">
        <v>3424</v>
      </c>
      <c r="B1768" s="15">
        <f>+919535490066</f>
        <v>919535490066</v>
      </c>
      <c r="C1768" s="15" t="str">
        <f t="shared" si="1"/>
        <v>srishti.tomar2209@gmail.com919535490066</v>
      </c>
      <c r="D1768" s="16" t="s">
        <v>8757</v>
      </c>
      <c r="E1768" s="16" t="s">
        <v>68</v>
      </c>
    </row>
    <row r="1769">
      <c r="A1769" s="1" t="s">
        <v>6384</v>
      </c>
      <c r="B1769" s="15">
        <f>+918806501483</f>
        <v>918806501483</v>
      </c>
      <c r="C1769" s="15" t="str">
        <f t="shared" si="1"/>
        <v>narendra.walujkar20@ies.edu918806501483</v>
      </c>
      <c r="D1769" s="16" t="s">
        <v>8758</v>
      </c>
      <c r="E1769" s="16" t="s">
        <v>68</v>
      </c>
    </row>
    <row r="1770">
      <c r="A1770" s="1" t="s">
        <v>4658</v>
      </c>
      <c r="B1770" s="15">
        <f>+919819383522</f>
        <v>919819383522</v>
      </c>
      <c r="C1770" s="15" t="str">
        <f t="shared" si="1"/>
        <v>sidpatson@gmail.com919819383522</v>
      </c>
      <c r="D1770" s="16" t="s">
        <v>8759</v>
      </c>
      <c r="E1770" s="16" t="s">
        <v>68</v>
      </c>
    </row>
    <row r="1771">
      <c r="A1771" s="1" t="s">
        <v>6057</v>
      </c>
      <c r="B1771" s="15">
        <f>+919284944635</f>
        <v>919284944635</v>
      </c>
      <c r="C1771" s="15" t="str">
        <f t="shared" si="1"/>
        <v>akashkulkarni81@gmail.com919284944635</v>
      </c>
      <c r="D1771" s="16" t="s">
        <v>8760</v>
      </c>
      <c r="E1771" s="16" t="s">
        <v>68</v>
      </c>
    </row>
    <row r="1772">
      <c r="A1772" s="1" t="s">
        <v>6059</v>
      </c>
      <c r="B1772" s="15">
        <f t="shared" ref="B1772:B1773" si="225">+919766991923</f>
        <v>919766991923</v>
      </c>
      <c r="C1772" s="15" t="str">
        <f t="shared" si="1"/>
        <v>jaywant9766@gmail.com919766991923</v>
      </c>
      <c r="D1772" s="16" t="s">
        <v>8761</v>
      </c>
      <c r="E1772" s="16" t="s">
        <v>74</v>
      </c>
    </row>
    <row r="1773">
      <c r="A1773" s="1" t="s">
        <v>6059</v>
      </c>
      <c r="B1773" s="15">
        <f t="shared" si="225"/>
        <v>919766991923</v>
      </c>
      <c r="C1773" s="15" t="str">
        <f t="shared" si="1"/>
        <v>jaywant9766@gmail.com919766991923</v>
      </c>
      <c r="D1773" s="16" t="s">
        <v>8762</v>
      </c>
      <c r="E1773" s="16" t="s">
        <v>68</v>
      </c>
    </row>
    <row r="1774">
      <c r="A1774" s="1" t="s">
        <v>8763</v>
      </c>
      <c r="B1774" s="15">
        <f>+919148111529</f>
        <v>919148111529</v>
      </c>
      <c r="C1774" s="15" t="str">
        <f t="shared" si="1"/>
        <v>mlikhita178@gmail.com919148111529</v>
      </c>
      <c r="D1774" s="16" t="s">
        <v>8764</v>
      </c>
      <c r="E1774" s="16" t="s">
        <v>74</v>
      </c>
    </row>
    <row r="1775">
      <c r="A1775" s="1" t="s">
        <v>2828</v>
      </c>
      <c r="B1775" s="15">
        <f>+919911098985</f>
        <v>919911098985</v>
      </c>
      <c r="C1775" s="15" t="str">
        <f t="shared" si="1"/>
        <v>dakshita.sehgal@gmail.com919911098985</v>
      </c>
      <c r="D1775" s="16" t="s">
        <v>8765</v>
      </c>
      <c r="E1775" s="16" t="s">
        <v>68</v>
      </c>
    </row>
    <row r="1776">
      <c r="A1776" s="1" t="s">
        <v>2826</v>
      </c>
      <c r="B1776" s="15">
        <f>+919755744733</f>
        <v>919755744733</v>
      </c>
      <c r="C1776" s="15" t="str">
        <f t="shared" si="1"/>
        <v>smsimran626@gmail.com919755744733</v>
      </c>
      <c r="D1776" s="16" t="s">
        <v>8766</v>
      </c>
      <c r="E1776" s="16" t="s">
        <v>68</v>
      </c>
    </row>
    <row r="1777">
      <c r="A1777" s="1" t="s">
        <v>6061</v>
      </c>
      <c r="B1777" s="15">
        <f>+919789435537</f>
        <v>919789435537</v>
      </c>
      <c r="C1777" s="15" t="str">
        <f t="shared" si="1"/>
        <v>prakash.avcce@gmail.com919789435537</v>
      </c>
      <c r="D1777" s="16" t="s">
        <v>8767</v>
      </c>
      <c r="E1777" s="16" t="s">
        <v>68</v>
      </c>
    </row>
    <row r="1778">
      <c r="A1778" s="1" t="s">
        <v>8768</v>
      </c>
      <c r="B1778" s="15">
        <f>+919892844949</f>
        <v>919892844949</v>
      </c>
      <c r="C1778" s="15" t="str">
        <f t="shared" si="1"/>
        <v>rahulchandrakesh@gmail.com919892844949</v>
      </c>
      <c r="D1778" s="16" t="s">
        <v>8769</v>
      </c>
      <c r="E1778" s="16" t="s">
        <v>74</v>
      </c>
    </row>
    <row r="1779">
      <c r="A1779" s="1" t="s">
        <v>8770</v>
      </c>
      <c r="B1779" s="15">
        <f>+918888851281</f>
        <v>918888851281</v>
      </c>
      <c r="C1779" s="15" t="str">
        <f t="shared" si="1"/>
        <v>dolavasani@gmail.com918888851281</v>
      </c>
      <c r="D1779" s="16" t="s">
        <v>8771</v>
      </c>
      <c r="E1779" s="16" t="s">
        <v>68</v>
      </c>
    </row>
    <row r="1780">
      <c r="A1780" s="1" t="s">
        <v>8772</v>
      </c>
      <c r="B1780" s="15">
        <f>+919708695301</f>
        <v>919708695301</v>
      </c>
      <c r="C1780" s="15" t="str">
        <f t="shared" si="1"/>
        <v>sushiljaki2101@gmail.com919708695301</v>
      </c>
      <c r="D1780" s="16" t="s">
        <v>8773</v>
      </c>
      <c r="E1780" s="16" t="s">
        <v>74</v>
      </c>
    </row>
    <row r="1781">
      <c r="A1781" s="1" t="s">
        <v>4992</v>
      </c>
      <c r="B1781" s="15">
        <f>+917510807872</f>
        <v>917510807872</v>
      </c>
      <c r="C1781" s="15" t="str">
        <f t="shared" si="1"/>
        <v>vishnumt7872@gmail.com917510807872</v>
      </c>
      <c r="D1781" s="16" t="s">
        <v>8774</v>
      </c>
      <c r="E1781" s="16" t="s">
        <v>74</v>
      </c>
    </row>
    <row r="1782">
      <c r="A1782" s="1" t="s">
        <v>6073</v>
      </c>
      <c r="B1782" s="15">
        <f>+919004743500</f>
        <v>919004743500</v>
      </c>
      <c r="C1782" s="15" t="str">
        <f t="shared" si="1"/>
        <v>priyampathare@gmail.com919004743500</v>
      </c>
      <c r="D1782" s="16" t="s">
        <v>8775</v>
      </c>
      <c r="E1782" s="16" t="s">
        <v>68</v>
      </c>
    </row>
    <row r="1783">
      <c r="A1783" s="1" t="s">
        <v>6063</v>
      </c>
      <c r="B1783" s="15">
        <f>+917010197344</f>
        <v>917010197344</v>
      </c>
      <c r="C1783" s="15" t="str">
        <f t="shared" si="1"/>
        <v>kkannan436@gmail.com917010197344</v>
      </c>
      <c r="D1783" s="16" t="s">
        <v>8776</v>
      </c>
      <c r="E1783" s="16" t="s">
        <v>68</v>
      </c>
    </row>
    <row r="1784">
      <c r="A1784" s="1" t="s">
        <v>8777</v>
      </c>
      <c r="B1784" s="15">
        <f t="shared" ref="B1784:B1785" si="226">+917026732652</f>
        <v>917026732652</v>
      </c>
      <c r="C1784" s="15" t="str">
        <f t="shared" si="1"/>
        <v>keerthih246@gmail.com917026732652</v>
      </c>
      <c r="D1784" s="16" t="s">
        <v>8778</v>
      </c>
      <c r="E1784" s="16" t="s">
        <v>74</v>
      </c>
    </row>
    <row r="1785">
      <c r="A1785" s="1" t="s">
        <v>8777</v>
      </c>
      <c r="B1785" s="15">
        <f t="shared" si="226"/>
        <v>917026732652</v>
      </c>
      <c r="C1785" s="15" t="str">
        <f t="shared" si="1"/>
        <v>keerthih246@gmail.com917026732652</v>
      </c>
      <c r="D1785" s="16" t="s">
        <v>8779</v>
      </c>
      <c r="E1785" s="16" t="s">
        <v>74</v>
      </c>
    </row>
    <row r="1786">
      <c r="A1786" s="1" t="s">
        <v>4822</v>
      </c>
      <c r="B1786" s="15">
        <f>+919834943011</f>
        <v>919834943011</v>
      </c>
      <c r="C1786" s="15" t="str">
        <f t="shared" si="1"/>
        <v>mahimagupta733@gmail.com919834943011</v>
      </c>
      <c r="D1786" s="16" t="s">
        <v>8780</v>
      </c>
      <c r="E1786" s="16" t="s">
        <v>68</v>
      </c>
    </row>
    <row r="1787">
      <c r="A1787" s="1" t="s">
        <v>5388</v>
      </c>
      <c r="B1787" s="15">
        <f>+918860059220</f>
        <v>918860059220</v>
      </c>
      <c r="C1787" s="15" t="str">
        <f t="shared" si="1"/>
        <v>muskansuri06@gmail.com918860059220</v>
      </c>
      <c r="D1787" s="16" t="s">
        <v>8781</v>
      </c>
      <c r="E1787" s="16" t="s">
        <v>68</v>
      </c>
    </row>
    <row r="1788">
      <c r="A1788" s="1" t="s">
        <v>3107</v>
      </c>
      <c r="B1788" s="15">
        <f>+918077565101</f>
        <v>918077565101</v>
      </c>
      <c r="C1788" s="15" t="str">
        <f t="shared" si="1"/>
        <v>8007joshi@gmail.com918077565101</v>
      </c>
      <c r="D1788" s="16" t="s">
        <v>8782</v>
      </c>
      <c r="E1788" s="16" t="s">
        <v>68</v>
      </c>
    </row>
    <row r="1789">
      <c r="A1789" s="1" t="s">
        <v>4972</v>
      </c>
      <c r="B1789" s="15">
        <f>+919966884366</f>
        <v>919966884366</v>
      </c>
      <c r="C1789" s="15" t="str">
        <f t="shared" si="1"/>
        <v>bunykartik@gmail.com919966884366</v>
      </c>
      <c r="D1789" s="16" t="s">
        <v>8783</v>
      </c>
      <c r="E1789" s="16" t="s">
        <v>74</v>
      </c>
    </row>
    <row r="1790">
      <c r="A1790" s="1" t="s">
        <v>4451</v>
      </c>
      <c r="B1790" s="15">
        <f>+919770259449</f>
        <v>919770259449</v>
      </c>
      <c r="C1790" s="15" t="str">
        <f t="shared" si="1"/>
        <v>ingleshubham3093@gmail.com919770259449</v>
      </c>
      <c r="D1790" s="16" t="s">
        <v>8784</v>
      </c>
      <c r="E1790" s="16" t="s">
        <v>68</v>
      </c>
    </row>
    <row r="1791">
      <c r="A1791" s="1" t="s">
        <v>3426</v>
      </c>
      <c r="B1791" s="15">
        <f>+917397163084</f>
        <v>917397163084</v>
      </c>
      <c r="C1791" s="15" t="str">
        <f t="shared" si="1"/>
        <v>yasodhavijibhat@gmail.com917397163084</v>
      </c>
      <c r="D1791" s="16" t="s">
        <v>8785</v>
      </c>
      <c r="E1791" s="16" t="s">
        <v>68</v>
      </c>
    </row>
    <row r="1792">
      <c r="A1792" s="1" t="s">
        <v>6065</v>
      </c>
      <c r="B1792" s="15">
        <f>+919992380251</f>
        <v>919992380251</v>
      </c>
      <c r="C1792" s="15" t="str">
        <f t="shared" si="1"/>
        <v>mohits.cs31@gmail.com919992380251</v>
      </c>
      <c r="D1792" s="16" t="s">
        <v>8786</v>
      </c>
      <c r="E1792" s="16" t="s">
        <v>68</v>
      </c>
    </row>
    <row r="1793">
      <c r="A1793" s="1" t="s">
        <v>3230</v>
      </c>
      <c r="B1793" s="15">
        <f>+919704301372</f>
        <v>919704301372</v>
      </c>
      <c r="C1793" s="15" t="str">
        <f t="shared" si="1"/>
        <v>alururakeshreddy@gmail.com919704301372</v>
      </c>
      <c r="D1793" s="16" t="s">
        <v>8787</v>
      </c>
      <c r="E1793" s="16" t="s">
        <v>68</v>
      </c>
    </row>
    <row r="1794">
      <c r="A1794" s="1" t="s">
        <v>2497</v>
      </c>
      <c r="B1794" s="15">
        <f>+917769846304</f>
        <v>917769846304</v>
      </c>
      <c r="C1794" s="15" t="str">
        <f t="shared" si="1"/>
        <v>raveenakaur544@gmail.com917769846304</v>
      </c>
      <c r="D1794" s="16" t="s">
        <v>8788</v>
      </c>
      <c r="E1794" s="16" t="s">
        <v>68</v>
      </c>
    </row>
    <row r="1795">
      <c r="A1795" s="1" t="s">
        <v>4067</v>
      </c>
      <c r="B1795" s="15">
        <f>+918168075495</f>
        <v>918168075495</v>
      </c>
      <c r="C1795" s="15" t="str">
        <f t="shared" si="1"/>
        <v>bluegirlazura1010@gmail.com918168075495</v>
      </c>
      <c r="D1795" s="16" t="s">
        <v>8789</v>
      </c>
      <c r="E1795" s="16" t="s">
        <v>68</v>
      </c>
    </row>
    <row r="1796">
      <c r="A1796" s="1" t="s">
        <v>4069</v>
      </c>
      <c r="B1796" s="15">
        <f>+919841417823</f>
        <v>919841417823</v>
      </c>
      <c r="C1796" s="15" t="str">
        <f t="shared" si="1"/>
        <v>iwonder2k16@gmail.com919841417823</v>
      </c>
      <c r="D1796" s="16" t="s">
        <v>8790</v>
      </c>
      <c r="E1796" s="16" t="s">
        <v>68</v>
      </c>
    </row>
    <row r="1797">
      <c r="A1797" s="1" t="s">
        <v>2380</v>
      </c>
      <c r="B1797" s="15">
        <f>+919163390973</f>
        <v>919163390973</v>
      </c>
      <c r="C1797" s="15" t="str">
        <f t="shared" si="1"/>
        <v>rini.bhowal77@gmail.com919163390973</v>
      </c>
      <c r="D1797" s="16" t="s">
        <v>8791</v>
      </c>
      <c r="E1797" s="16" t="s">
        <v>97</v>
      </c>
    </row>
    <row r="1798">
      <c r="A1798" s="1" t="s">
        <v>2830</v>
      </c>
      <c r="B1798" s="15">
        <f>+919944057573</f>
        <v>919944057573</v>
      </c>
      <c r="C1798" s="15" t="str">
        <f t="shared" si="1"/>
        <v>knock4jayashree@gmail.com919944057573</v>
      </c>
      <c r="D1798" s="16" t="s">
        <v>8792</v>
      </c>
      <c r="E1798" s="16" t="s">
        <v>74</v>
      </c>
    </row>
    <row r="1799">
      <c r="A1799" s="1" t="s">
        <v>6537</v>
      </c>
      <c r="B1799" s="15">
        <f>+919890643316</f>
        <v>919890643316</v>
      </c>
      <c r="C1799" s="15" t="str">
        <f t="shared" si="1"/>
        <v>drankitapatni25@gmail.com919890643316</v>
      </c>
      <c r="D1799" s="16" t="s">
        <v>8793</v>
      </c>
      <c r="E1799" s="16" t="s">
        <v>97</v>
      </c>
    </row>
    <row r="1800">
      <c r="A1800" s="1" t="s">
        <v>4071</v>
      </c>
      <c r="B1800" s="15">
        <f t="shared" ref="B1800:B1801" si="227">+919908156305</f>
        <v>919908156305</v>
      </c>
      <c r="C1800" s="15" t="str">
        <f t="shared" si="1"/>
        <v>pavaninune2001@gmail.com919908156305</v>
      </c>
      <c r="D1800" s="16" t="s">
        <v>8794</v>
      </c>
      <c r="E1800" s="16" t="s">
        <v>97</v>
      </c>
    </row>
    <row r="1801">
      <c r="A1801" s="1" t="s">
        <v>4071</v>
      </c>
      <c r="B1801" s="15">
        <f t="shared" si="227"/>
        <v>919908156305</v>
      </c>
      <c r="C1801" s="15" t="str">
        <f t="shared" si="1"/>
        <v>pavaninune2001@gmail.com919908156305</v>
      </c>
      <c r="D1801" s="16" t="s">
        <v>8795</v>
      </c>
      <c r="E1801" s="16" t="s">
        <v>68</v>
      </c>
    </row>
    <row r="1802">
      <c r="A1802" s="1" t="s">
        <v>4974</v>
      </c>
      <c r="B1802" s="15">
        <f>+919048459533</f>
        <v>919048459533</v>
      </c>
      <c r="C1802" s="15" t="str">
        <f t="shared" si="1"/>
        <v>prabha.viji@gmail.com919048459533</v>
      </c>
      <c r="D1802" s="16" t="s">
        <v>8796</v>
      </c>
      <c r="E1802" s="16" t="s">
        <v>68</v>
      </c>
    </row>
    <row r="1803">
      <c r="A1803" s="1" t="s">
        <v>8797</v>
      </c>
      <c r="B1803" s="15">
        <f t="shared" ref="B1803:B1804" si="228">+918185892992</f>
        <v>918185892992</v>
      </c>
      <c r="C1803" s="15" t="str">
        <f t="shared" si="1"/>
        <v>prameelachalumoori2001@gmail.com918185892992</v>
      </c>
      <c r="D1803" s="16" t="s">
        <v>8798</v>
      </c>
      <c r="E1803" s="16" t="s">
        <v>97</v>
      </c>
    </row>
    <row r="1804">
      <c r="A1804" s="1" t="s">
        <v>8797</v>
      </c>
      <c r="B1804" s="15">
        <f t="shared" si="228"/>
        <v>918185892992</v>
      </c>
      <c r="C1804" s="15" t="str">
        <f t="shared" si="1"/>
        <v>prameelachalumoori2001@gmail.com918185892992</v>
      </c>
      <c r="D1804" s="16" t="s">
        <v>8799</v>
      </c>
      <c r="E1804" s="16" t="s">
        <v>151</v>
      </c>
    </row>
    <row r="1805">
      <c r="A1805" s="1" t="s">
        <v>8800</v>
      </c>
      <c r="B1805" s="15">
        <f t="shared" ref="B1805:B1806" si="229">+919986622794</f>
        <v>919986622794</v>
      </c>
      <c r="C1805" s="15" t="str">
        <f t="shared" si="1"/>
        <v>ruchi.punhani@gmail.com919986622794</v>
      </c>
      <c r="D1805" s="16" t="s">
        <v>8801</v>
      </c>
      <c r="E1805" s="16" t="s">
        <v>151</v>
      </c>
    </row>
    <row r="1806">
      <c r="A1806" s="1" t="s">
        <v>8800</v>
      </c>
      <c r="B1806" s="15">
        <f t="shared" si="229"/>
        <v>919986622794</v>
      </c>
      <c r="C1806" s="15" t="str">
        <f t="shared" si="1"/>
        <v>ruchi.punhani@gmail.com919986622794</v>
      </c>
      <c r="D1806" s="16" t="s">
        <v>8802</v>
      </c>
      <c r="E1806" s="16" t="s">
        <v>151</v>
      </c>
    </row>
    <row r="1807">
      <c r="A1807" s="1" t="s">
        <v>6237</v>
      </c>
      <c r="B1807" s="15">
        <f>+919997915135</f>
        <v>919997915135</v>
      </c>
      <c r="C1807" s="15" t="str">
        <f t="shared" si="1"/>
        <v>vanshmanglani01@gmail.com919997915135</v>
      </c>
      <c r="D1807" s="16" t="s">
        <v>8803</v>
      </c>
      <c r="E1807" s="16" t="s">
        <v>68</v>
      </c>
    </row>
    <row r="1808">
      <c r="A1808" s="1" t="s">
        <v>8804</v>
      </c>
      <c r="B1808" s="15">
        <f>+917007781095</f>
        <v>917007781095</v>
      </c>
      <c r="C1808" s="15" t="str">
        <f t="shared" si="1"/>
        <v>vish.shekhar93@gmail.com917007781095</v>
      </c>
      <c r="D1808" s="16" t="s">
        <v>8805</v>
      </c>
      <c r="E1808" s="16" t="s">
        <v>151</v>
      </c>
    </row>
    <row r="1809">
      <c r="A1809" s="1" t="s">
        <v>8748</v>
      </c>
      <c r="B1809" s="15">
        <f t="shared" ref="B1809:B1811" si="230">+919004594187</f>
        <v>919004594187</v>
      </c>
      <c r="C1809" s="15" t="str">
        <f t="shared" si="1"/>
        <v>riabangera67@gmail.com919004594187</v>
      </c>
      <c r="D1809" s="16" t="s">
        <v>8806</v>
      </c>
      <c r="E1809" s="16" t="s">
        <v>68</v>
      </c>
    </row>
    <row r="1810">
      <c r="A1810" s="1" t="s">
        <v>8748</v>
      </c>
      <c r="B1810" s="15">
        <f t="shared" si="230"/>
        <v>919004594187</v>
      </c>
      <c r="C1810" s="15" t="str">
        <f t="shared" si="1"/>
        <v>riabangera67@gmail.com919004594187</v>
      </c>
      <c r="D1810" s="16" t="s">
        <v>8807</v>
      </c>
      <c r="E1810" s="16" t="s">
        <v>68</v>
      </c>
    </row>
    <row r="1811">
      <c r="A1811" s="1" t="s">
        <v>8748</v>
      </c>
      <c r="B1811" s="15">
        <f t="shared" si="230"/>
        <v>919004594187</v>
      </c>
      <c r="C1811" s="15" t="str">
        <f t="shared" si="1"/>
        <v>riabangera67@gmail.com919004594187</v>
      </c>
      <c r="D1811" s="16" t="s">
        <v>8808</v>
      </c>
      <c r="E1811" s="16" t="s">
        <v>68</v>
      </c>
    </row>
    <row r="1812">
      <c r="A1812" s="1" t="s">
        <v>6066</v>
      </c>
      <c r="B1812" s="15">
        <f t="shared" ref="B1812:B1813" si="231">+918179797827</f>
        <v>918179797827</v>
      </c>
      <c r="C1812" s="15" t="str">
        <f t="shared" si="1"/>
        <v>udaykiranreddy444@gmail.com918179797827</v>
      </c>
      <c r="D1812" s="16" t="s">
        <v>8809</v>
      </c>
      <c r="E1812" s="16" t="s">
        <v>151</v>
      </c>
    </row>
    <row r="1813">
      <c r="A1813" s="1" t="s">
        <v>6066</v>
      </c>
      <c r="B1813" s="15">
        <f t="shared" si="231"/>
        <v>918179797827</v>
      </c>
      <c r="C1813" s="15" t="str">
        <f t="shared" si="1"/>
        <v>udaykiranreddy444@gmail.com918179797827</v>
      </c>
      <c r="D1813" s="16" t="s">
        <v>8810</v>
      </c>
      <c r="E1813" s="16" t="s">
        <v>151</v>
      </c>
    </row>
    <row r="1814">
      <c r="A1814" s="1" t="s">
        <v>4660</v>
      </c>
      <c r="B1814" s="15">
        <f>+917982986266</f>
        <v>917982986266</v>
      </c>
      <c r="C1814" s="15" t="str">
        <f t="shared" si="1"/>
        <v>transformyourself2021@gmail.com917982986266</v>
      </c>
      <c r="D1814" s="16" t="s">
        <v>8811</v>
      </c>
      <c r="E1814" s="16" t="s">
        <v>68</v>
      </c>
    </row>
    <row r="1815">
      <c r="A1815" s="1" t="s">
        <v>8812</v>
      </c>
      <c r="B1815" s="15">
        <f t="shared" ref="B1815:B1816" si="232">+918076461893</f>
        <v>918076461893</v>
      </c>
      <c r="C1815" s="15" t="str">
        <f t="shared" si="1"/>
        <v>nukkadgirl@gmail.com918076461893</v>
      </c>
      <c r="D1815" s="16" t="s">
        <v>8813</v>
      </c>
      <c r="E1815" s="16" t="s">
        <v>68</v>
      </c>
    </row>
    <row r="1816">
      <c r="A1816" s="1" t="s">
        <v>8812</v>
      </c>
      <c r="B1816" s="15">
        <f t="shared" si="232"/>
        <v>918076461893</v>
      </c>
      <c r="C1816" s="15" t="str">
        <f t="shared" si="1"/>
        <v>nukkadgirl@gmail.com918076461893</v>
      </c>
      <c r="D1816" s="16" t="s">
        <v>8814</v>
      </c>
      <c r="E1816" s="16" t="s">
        <v>68</v>
      </c>
    </row>
    <row r="1817">
      <c r="A1817" s="1" t="s">
        <v>5237</v>
      </c>
      <c r="B1817" s="15">
        <f>+919540152850</f>
        <v>919540152850</v>
      </c>
      <c r="C1817" s="15" t="str">
        <f t="shared" si="1"/>
        <v>kriti.mahajan@gmail.com919540152850</v>
      </c>
      <c r="D1817" s="16" t="s">
        <v>8815</v>
      </c>
      <c r="E1817" s="16" t="s">
        <v>68</v>
      </c>
    </row>
    <row r="1818">
      <c r="A1818" s="1" t="s">
        <v>2832</v>
      </c>
      <c r="B1818" s="15">
        <f>+919176685727</f>
        <v>919176685727</v>
      </c>
      <c r="C1818" s="15" t="str">
        <f t="shared" si="1"/>
        <v>ashokarumugham2000@gmail.com919176685727</v>
      </c>
      <c r="D1818" s="16" t="s">
        <v>8816</v>
      </c>
      <c r="E1818" s="16" t="s">
        <v>68</v>
      </c>
    </row>
    <row r="1819">
      <c r="A1819" s="1" t="s">
        <v>3232</v>
      </c>
      <c r="B1819" s="15">
        <f>+917842233099</f>
        <v>917842233099</v>
      </c>
      <c r="C1819" s="15" t="str">
        <f t="shared" si="1"/>
        <v>pnavsreddy@gmail.com917842233099</v>
      </c>
      <c r="D1819" s="16" t="s">
        <v>8817</v>
      </c>
      <c r="E1819" s="16" t="s">
        <v>151</v>
      </c>
    </row>
    <row r="1820">
      <c r="A1820" s="1" t="s">
        <v>4976</v>
      </c>
      <c r="B1820" s="15">
        <f>+917877699937</f>
        <v>917877699937</v>
      </c>
      <c r="C1820" s="15" t="str">
        <f t="shared" si="1"/>
        <v>bisanidiksha65@gmail.com917877699937</v>
      </c>
      <c r="D1820" s="16" t="s">
        <v>8818</v>
      </c>
      <c r="E1820" s="16" t="s">
        <v>68</v>
      </c>
    </row>
    <row r="1821">
      <c r="A1821" s="1" t="s">
        <v>4073</v>
      </c>
      <c r="B1821" s="15">
        <f t="shared" ref="B1821:B1822" si="233">+919940873060</f>
        <v>919940873060</v>
      </c>
      <c r="C1821" s="15" t="str">
        <f t="shared" si="1"/>
        <v>dhivya1371999@gmail.com919940873060</v>
      </c>
      <c r="D1821" s="16" t="s">
        <v>8819</v>
      </c>
      <c r="E1821" s="16" t="s">
        <v>151</v>
      </c>
    </row>
    <row r="1822">
      <c r="A1822" s="1" t="s">
        <v>4073</v>
      </c>
      <c r="B1822" s="15">
        <f t="shared" si="233"/>
        <v>919940873060</v>
      </c>
      <c r="C1822" s="15" t="str">
        <f t="shared" si="1"/>
        <v>dhivya1371999@gmail.com919940873060</v>
      </c>
      <c r="D1822" s="16" t="s">
        <v>8820</v>
      </c>
      <c r="E1822" s="16" t="s">
        <v>151</v>
      </c>
    </row>
    <row r="1823">
      <c r="A1823" s="1" t="s">
        <v>3036</v>
      </c>
      <c r="B1823" s="15">
        <f>+919004973905</f>
        <v>919004973905</v>
      </c>
      <c r="C1823" s="15" t="str">
        <f t="shared" si="1"/>
        <v>bage.education000@gmail.com919004973905</v>
      </c>
      <c r="D1823" s="16" t="s">
        <v>8821</v>
      </c>
      <c r="E1823" s="16" t="s">
        <v>97</v>
      </c>
    </row>
    <row r="1824">
      <c r="A1824" s="1" t="s">
        <v>5239</v>
      </c>
      <c r="B1824" s="15">
        <f>+919427529400</f>
        <v>919427529400</v>
      </c>
      <c r="C1824" s="15" t="str">
        <f t="shared" si="1"/>
        <v>aarti.micro2010@gmail.com919427529400</v>
      </c>
      <c r="D1824" s="16" t="s">
        <v>8822</v>
      </c>
      <c r="E1824" s="16" t="s">
        <v>68</v>
      </c>
    </row>
    <row r="1825">
      <c r="A1825" s="1" t="s">
        <v>8823</v>
      </c>
      <c r="B1825" s="15">
        <f>+919916483746</f>
        <v>919916483746</v>
      </c>
      <c r="C1825" s="15" t="str">
        <f t="shared" si="1"/>
        <v>narayana245@gmail.com919916483746</v>
      </c>
      <c r="D1825" s="16" t="s">
        <v>8824</v>
      </c>
      <c r="E1825" s="16" t="s">
        <v>151</v>
      </c>
    </row>
    <row r="1826">
      <c r="A1826" s="1" t="s">
        <v>4075</v>
      </c>
      <c r="B1826" s="15">
        <f>+919001189722</f>
        <v>919001189722</v>
      </c>
      <c r="C1826" s="15" t="str">
        <f t="shared" si="1"/>
        <v>kuhusharma324@gmail.com919001189722</v>
      </c>
      <c r="D1826" s="16" t="s">
        <v>8825</v>
      </c>
      <c r="E1826" s="16" t="s">
        <v>68</v>
      </c>
    </row>
    <row r="1827">
      <c r="A1827" s="1" t="s">
        <v>8826</v>
      </c>
      <c r="B1827" s="15">
        <f>+918860173039</f>
        <v>918860173039</v>
      </c>
      <c r="C1827" s="15" t="str">
        <f t="shared" si="1"/>
        <v>anubhav.verma1615@gmail.com918860173039</v>
      </c>
      <c r="D1827" s="16" t="s">
        <v>8827</v>
      </c>
      <c r="E1827" s="16" t="s">
        <v>74</v>
      </c>
    </row>
    <row r="1828">
      <c r="A1828" s="1" t="s">
        <v>4075</v>
      </c>
      <c r="B1828" s="15">
        <f>+919001189722</f>
        <v>919001189722</v>
      </c>
      <c r="C1828" s="15" t="str">
        <f t="shared" si="1"/>
        <v>kuhusharma324@gmail.com919001189722</v>
      </c>
      <c r="D1828" s="16" t="s">
        <v>8828</v>
      </c>
      <c r="E1828" s="16" t="s">
        <v>68</v>
      </c>
    </row>
    <row r="1829">
      <c r="A1829" s="1" t="s">
        <v>6068</v>
      </c>
      <c r="B1829" s="15">
        <f t="shared" ref="B1829:B1830" si="234">+919049006233</f>
        <v>919049006233</v>
      </c>
      <c r="C1829" s="15" t="str">
        <f t="shared" si="1"/>
        <v>beleyogesh2@gmail.com919049006233</v>
      </c>
      <c r="D1829" s="16" t="s">
        <v>8829</v>
      </c>
      <c r="E1829" s="16" t="s">
        <v>68</v>
      </c>
    </row>
    <row r="1830">
      <c r="A1830" s="1" t="s">
        <v>6068</v>
      </c>
      <c r="B1830" s="15">
        <f t="shared" si="234"/>
        <v>919049006233</v>
      </c>
      <c r="C1830" s="15" t="str">
        <f t="shared" si="1"/>
        <v>beleyogesh2@gmail.com919049006233</v>
      </c>
      <c r="D1830" s="16" t="s">
        <v>8830</v>
      </c>
      <c r="E1830" s="16" t="s">
        <v>74</v>
      </c>
    </row>
    <row r="1831">
      <c r="A1831" s="1" t="s">
        <v>5241</v>
      </c>
      <c r="B1831" s="15">
        <f>+918618578954</f>
        <v>918618578954</v>
      </c>
      <c r="C1831" s="15" t="str">
        <f t="shared" si="1"/>
        <v>aneesh11.2000@gmail.com918618578954</v>
      </c>
      <c r="D1831" s="16" t="s">
        <v>8831</v>
      </c>
      <c r="E1831" s="16" t="s">
        <v>68</v>
      </c>
    </row>
    <row r="1832">
      <c r="A1832" s="1" t="s">
        <v>4977</v>
      </c>
      <c r="B1832" s="15">
        <f>+919309728226</f>
        <v>919309728226</v>
      </c>
      <c r="C1832" s="15" t="str">
        <f t="shared" si="1"/>
        <v>gurumahajan21@gmail.com919309728226</v>
      </c>
      <c r="D1832" s="16" t="s">
        <v>8832</v>
      </c>
      <c r="E1832" s="16" t="s">
        <v>68</v>
      </c>
    </row>
    <row r="1833">
      <c r="A1833" s="1" t="s">
        <v>3109</v>
      </c>
      <c r="B1833" s="15">
        <f>+917083433883</f>
        <v>917083433883</v>
      </c>
      <c r="C1833" s="15" t="str">
        <f t="shared" si="1"/>
        <v>parchakeamit@gmail.com917083433883</v>
      </c>
      <c r="D1833" s="16" t="s">
        <v>8833</v>
      </c>
      <c r="E1833" s="16" t="s">
        <v>68</v>
      </c>
    </row>
    <row r="1834">
      <c r="A1834" s="1" t="s">
        <v>8553</v>
      </c>
      <c r="B1834" s="15">
        <f t="shared" ref="B1834:B1835" si="235">+918368590878</f>
        <v>918368590878</v>
      </c>
      <c r="C1834" s="15" t="str">
        <f t="shared" si="1"/>
        <v>shristijina@gmail.com918368590878</v>
      </c>
      <c r="D1834" s="16" t="s">
        <v>8834</v>
      </c>
      <c r="E1834" s="16" t="s">
        <v>74</v>
      </c>
    </row>
    <row r="1835">
      <c r="A1835" s="1" t="s">
        <v>8553</v>
      </c>
      <c r="B1835" s="15">
        <f t="shared" si="235"/>
        <v>918368590878</v>
      </c>
      <c r="C1835" s="15" t="str">
        <f t="shared" si="1"/>
        <v>shristijina@gmail.com918368590878</v>
      </c>
      <c r="D1835" s="16" t="s">
        <v>8835</v>
      </c>
      <c r="E1835" s="16" t="s">
        <v>74</v>
      </c>
    </row>
    <row r="1836">
      <c r="A1836" s="1" t="s">
        <v>8836</v>
      </c>
      <c r="B1836" s="15">
        <f>+918975938066</f>
        <v>918975938066</v>
      </c>
      <c r="C1836" s="15" t="str">
        <f t="shared" si="1"/>
        <v>choubeymansi1@gmail.com918975938066</v>
      </c>
      <c r="D1836" s="16" t="s">
        <v>8837</v>
      </c>
      <c r="E1836" s="16" t="s">
        <v>68</v>
      </c>
    </row>
    <row r="1837">
      <c r="A1837" s="1" t="s">
        <v>4979</v>
      </c>
      <c r="B1837" s="15">
        <f t="shared" ref="B1837:B1838" si="236">+919011010337</f>
        <v>919011010337</v>
      </c>
      <c r="C1837" s="15" t="str">
        <f t="shared" si="1"/>
        <v>aniket.dodke@gmail.com919011010337</v>
      </c>
      <c r="D1837" s="16" t="s">
        <v>8838</v>
      </c>
      <c r="E1837" s="16" t="s">
        <v>68</v>
      </c>
    </row>
    <row r="1838">
      <c r="A1838" s="1" t="s">
        <v>4979</v>
      </c>
      <c r="B1838" s="15">
        <f t="shared" si="236"/>
        <v>919011010337</v>
      </c>
      <c r="C1838" s="15" t="str">
        <f t="shared" si="1"/>
        <v>aniket.dodke@gmail.com919011010337</v>
      </c>
      <c r="D1838" s="16" t="s">
        <v>8839</v>
      </c>
      <c r="E1838" s="16" t="s">
        <v>68</v>
      </c>
    </row>
    <row r="1839">
      <c r="A1839" s="1" t="s">
        <v>2357</v>
      </c>
      <c r="B1839" s="15">
        <f>+917088871551</f>
        <v>917088871551</v>
      </c>
      <c r="C1839" s="15" t="str">
        <f t="shared" si="1"/>
        <v>pujas98@gmail.com917088871551</v>
      </c>
      <c r="D1839" s="16" t="s">
        <v>8840</v>
      </c>
      <c r="E1839" s="16" t="s">
        <v>74</v>
      </c>
    </row>
    <row r="1840">
      <c r="A1840" s="1" t="s">
        <v>4077</v>
      </c>
      <c r="B1840" s="15">
        <f>+919811667090</f>
        <v>919811667090</v>
      </c>
      <c r="C1840" s="15" t="str">
        <f t="shared" si="1"/>
        <v>amits12978@gmail.com919811667090</v>
      </c>
      <c r="D1840" s="16" t="s">
        <v>8841</v>
      </c>
      <c r="E1840" s="16" t="s">
        <v>68</v>
      </c>
    </row>
    <row r="1841">
      <c r="A1841" s="1" t="s">
        <v>6069</v>
      </c>
      <c r="B1841" s="15">
        <f>+919813751391</f>
        <v>919813751391</v>
      </c>
      <c r="C1841" s="15" t="str">
        <f t="shared" si="1"/>
        <v>avibastta@gmail.com919813751391</v>
      </c>
      <c r="D1841" s="16" t="s">
        <v>8842</v>
      </c>
      <c r="E1841" s="16" t="s">
        <v>68</v>
      </c>
    </row>
    <row r="1842">
      <c r="A1842" s="1" t="s">
        <v>3428</v>
      </c>
      <c r="B1842" s="15">
        <f>+917415506133</f>
        <v>917415506133</v>
      </c>
      <c r="C1842" s="15" t="str">
        <f t="shared" si="1"/>
        <v>ambitiousshefali131@gmail.com917415506133</v>
      </c>
      <c r="D1842" s="16" t="s">
        <v>8843</v>
      </c>
      <c r="E1842" s="16" t="s">
        <v>68</v>
      </c>
    </row>
    <row r="1843">
      <c r="A1843" s="1" t="s">
        <v>4079</v>
      </c>
      <c r="B1843" s="15">
        <f>+919344517411</f>
        <v>919344517411</v>
      </c>
      <c r="C1843" s="15" t="str">
        <f t="shared" si="1"/>
        <v>dr.ys1403@gmail.com919344517411</v>
      </c>
      <c r="D1843" s="16" t="s">
        <v>8844</v>
      </c>
      <c r="E1843" s="16" t="s">
        <v>68</v>
      </c>
    </row>
    <row r="1844">
      <c r="A1844" s="1" t="s">
        <v>4980</v>
      </c>
      <c r="B1844" s="15">
        <f>+919072826014</f>
        <v>919072826014</v>
      </c>
      <c r="C1844" s="15" t="str">
        <f t="shared" si="1"/>
        <v>mahmoodeadnan881@gmail.com919072826014</v>
      </c>
      <c r="D1844" s="16" t="s">
        <v>8845</v>
      </c>
      <c r="E1844" s="16" t="s">
        <v>68</v>
      </c>
    </row>
    <row r="1845">
      <c r="A1845" s="1" t="s">
        <v>8846</v>
      </c>
      <c r="B1845" s="15">
        <f>+919900084631</f>
        <v>919900084631</v>
      </c>
      <c r="C1845" s="15" t="str">
        <f t="shared" si="1"/>
        <v>teestabarua@hotmail.com919900084631</v>
      </c>
      <c r="D1845" s="16" t="s">
        <v>8847</v>
      </c>
      <c r="E1845" s="16" t="s">
        <v>151</v>
      </c>
    </row>
    <row r="1846">
      <c r="A1846" s="1" t="s">
        <v>4296</v>
      </c>
      <c r="B1846" s="15">
        <f>+919411463675</f>
        <v>919411463675</v>
      </c>
      <c r="C1846" s="15" t="str">
        <f t="shared" si="1"/>
        <v>somyayadavsy2001@gmail.com919411463675</v>
      </c>
      <c r="D1846" s="16" t="s">
        <v>8848</v>
      </c>
      <c r="E1846" s="16" t="s">
        <v>68</v>
      </c>
    </row>
    <row r="1847">
      <c r="A1847" s="1" t="s">
        <v>632</v>
      </c>
      <c r="B1847" s="15">
        <f t="shared" ref="B1847:B1848" si="237">+919989716007</f>
        <v>919989716007</v>
      </c>
      <c r="C1847" s="15" t="str">
        <f t="shared" si="1"/>
        <v>buntyboy.1990@gmail.com919989716007</v>
      </c>
      <c r="D1847" s="16" t="s">
        <v>8849</v>
      </c>
      <c r="E1847" s="16" t="s">
        <v>68</v>
      </c>
    </row>
    <row r="1848">
      <c r="A1848" s="1" t="s">
        <v>632</v>
      </c>
      <c r="B1848" s="15">
        <f t="shared" si="237"/>
        <v>919989716007</v>
      </c>
      <c r="C1848" s="15" t="str">
        <f t="shared" si="1"/>
        <v>buntyboy.1990@gmail.com919989716007</v>
      </c>
      <c r="D1848" s="16" t="s">
        <v>8850</v>
      </c>
      <c r="E1848" s="16" t="s">
        <v>68</v>
      </c>
    </row>
    <row r="1849">
      <c r="A1849" s="1" t="s">
        <v>3038</v>
      </c>
      <c r="B1849" s="15">
        <f>+919833199273</f>
        <v>919833199273</v>
      </c>
      <c r="C1849" s="15" t="str">
        <f t="shared" si="1"/>
        <v>sangogishiv@gmail.com919833199273</v>
      </c>
      <c r="D1849" s="16" t="s">
        <v>8851</v>
      </c>
      <c r="E1849" s="16" t="s">
        <v>74</v>
      </c>
    </row>
    <row r="1850">
      <c r="A1850" s="1" t="s">
        <v>8852</v>
      </c>
      <c r="B1850" s="15">
        <f>+919847631242</f>
        <v>919847631242</v>
      </c>
      <c r="C1850" s="15" t="str">
        <f t="shared" si="1"/>
        <v>nimisha33333@gmail.com919847631242</v>
      </c>
      <c r="D1850" s="16" t="s">
        <v>8853</v>
      </c>
      <c r="E1850" s="16" t="s">
        <v>74</v>
      </c>
    </row>
    <row r="1851">
      <c r="A1851" s="1" t="s">
        <v>6071</v>
      </c>
      <c r="B1851" s="15">
        <f>+918794064972</f>
        <v>918794064972</v>
      </c>
      <c r="C1851" s="15" t="str">
        <f t="shared" si="1"/>
        <v>geetanyigang19@gmail.com918794064972</v>
      </c>
      <c r="D1851" s="16" t="s">
        <v>8854</v>
      </c>
      <c r="E1851" s="16" t="s">
        <v>68</v>
      </c>
    </row>
    <row r="1852">
      <c r="A1852" s="1" t="s">
        <v>6073</v>
      </c>
      <c r="B1852" s="15">
        <f>+919004743500</f>
        <v>919004743500</v>
      </c>
      <c r="C1852" s="15" t="str">
        <f t="shared" si="1"/>
        <v>priyampathare@gmail.com919004743500</v>
      </c>
      <c r="D1852" s="16" t="s">
        <v>8855</v>
      </c>
      <c r="E1852" s="16" t="s">
        <v>68</v>
      </c>
    </row>
    <row r="1853">
      <c r="A1853" s="1" t="s">
        <v>4988</v>
      </c>
      <c r="B1853" s="15">
        <f>+919654420504</f>
        <v>919654420504</v>
      </c>
      <c r="C1853" s="15" t="str">
        <f t="shared" si="1"/>
        <v>ajay.prosupp@gmail.com919654420504</v>
      </c>
      <c r="D1853" s="16" t="s">
        <v>8856</v>
      </c>
      <c r="E1853" s="16" t="s">
        <v>74</v>
      </c>
    </row>
    <row r="1854">
      <c r="A1854" s="1" t="s">
        <v>6075</v>
      </c>
      <c r="B1854" s="15">
        <f t="shared" ref="B1854:B1856" si="238">+919100273646</f>
        <v>919100273646</v>
      </c>
      <c r="C1854" s="15" t="str">
        <f t="shared" si="1"/>
        <v>galipallipooja@gmail.com919100273646</v>
      </c>
      <c r="D1854" s="16" t="s">
        <v>8857</v>
      </c>
      <c r="E1854" s="16" t="s">
        <v>68</v>
      </c>
    </row>
    <row r="1855">
      <c r="A1855" s="1" t="s">
        <v>6075</v>
      </c>
      <c r="B1855" s="15">
        <f t="shared" si="238"/>
        <v>919100273646</v>
      </c>
      <c r="C1855" s="15" t="str">
        <f t="shared" si="1"/>
        <v>galipallipooja@gmail.com919100273646</v>
      </c>
      <c r="D1855" s="16" t="s">
        <v>8858</v>
      </c>
      <c r="E1855" s="16" t="s">
        <v>68</v>
      </c>
    </row>
    <row r="1856">
      <c r="A1856" s="1" t="s">
        <v>6075</v>
      </c>
      <c r="B1856" s="15">
        <f t="shared" si="238"/>
        <v>919100273646</v>
      </c>
      <c r="C1856" s="15" t="str">
        <f t="shared" si="1"/>
        <v>galipallipooja@gmail.com919100273646</v>
      </c>
      <c r="D1856" s="16" t="s">
        <v>8859</v>
      </c>
      <c r="E1856" s="16" t="s">
        <v>68</v>
      </c>
    </row>
    <row r="1857">
      <c r="A1857" s="1" t="s">
        <v>4365</v>
      </c>
      <c r="B1857" s="15">
        <f>+919030513605</f>
        <v>919030513605</v>
      </c>
      <c r="C1857" s="15" t="str">
        <f t="shared" si="1"/>
        <v>niharikagupta365@gmail.com919030513605</v>
      </c>
      <c r="D1857" s="16" t="s">
        <v>8860</v>
      </c>
      <c r="E1857" s="16" t="s">
        <v>68</v>
      </c>
    </row>
    <row r="1858">
      <c r="A1858" s="1" t="s">
        <v>8861</v>
      </c>
      <c r="B1858" s="15">
        <f>+918182038886</f>
        <v>918182038886</v>
      </c>
      <c r="C1858" s="15" t="str">
        <f t="shared" si="1"/>
        <v>chaubeysantosh8886@gmail.com918182038886</v>
      </c>
      <c r="D1858" s="16" t="s">
        <v>8862</v>
      </c>
      <c r="E1858" s="16" t="s">
        <v>151</v>
      </c>
    </row>
    <row r="1859">
      <c r="A1859" s="1" t="s">
        <v>8863</v>
      </c>
      <c r="B1859" s="15">
        <f>+918896359576</f>
        <v>918896359576</v>
      </c>
      <c r="C1859" s="15" t="str">
        <f t="shared" si="1"/>
        <v>ajay4usr2@gmail.com918896359576</v>
      </c>
      <c r="D1859" s="16" t="s">
        <v>8864</v>
      </c>
      <c r="E1859" s="16" t="s">
        <v>151</v>
      </c>
    </row>
    <row r="1860">
      <c r="A1860" s="1" t="s">
        <v>5243</v>
      </c>
      <c r="B1860" s="15">
        <f>+919487905625</f>
        <v>919487905625</v>
      </c>
      <c r="C1860" s="15" t="str">
        <f t="shared" si="1"/>
        <v>sanjutha16@gmail.com919487905625</v>
      </c>
      <c r="D1860" s="16" t="s">
        <v>8865</v>
      </c>
      <c r="E1860" s="16" t="s">
        <v>68</v>
      </c>
    </row>
    <row r="1861">
      <c r="A1861" s="1" t="s">
        <v>4298</v>
      </c>
      <c r="B1861" s="15">
        <f>+917799082763</f>
        <v>917799082763</v>
      </c>
      <c r="C1861" s="15" t="str">
        <f t="shared" si="1"/>
        <v>poojitha9.siripurapu@gmail.com917799082763</v>
      </c>
      <c r="D1861" s="16" t="s">
        <v>8866</v>
      </c>
      <c r="E1861" s="16" t="s">
        <v>74</v>
      </c>
    </row>
    <row r="1862">
      <c r="A1862" s="1" t="s">
        <v>2834</v>
      </c>
      <c r="B1862" s="15">
        <f>+919980549117</f>
        <v>919980549117</v>
      </c>
      <c r="C1862" s="15" t="str">
        <f t="shared" si="1"/>
        <v>suja1223@gmail.com919980549117</v>
      </c>
      <c r="D1862" s="16" t="s">
        <v>8867</v>
      </c>
      <c r="E1862" s="16" t="s">
        <v>74</v>
      </c>
    </row>
    <row r="1863">
      <c r="A1863" s="1" t="s">
        <v>3234</v>
      </c>
      <c r="B1863" s="15">
        <f>+917506464369</f>
        <v>917506464369</v>
      </c>
      <c r="C1863" s="15" t="str">
        <f t="shared" si="1"/>
        <v>ruksarshaikh596@gmail.com917506464369</v>
      </c>
      <c r="D1863" s="16" t="s">
        <v>8868</v>
      </c>
      <c r="E1863" s="16" t="s">
        <v>68</v>
      </c>
    </row>
    <row r="1864">
      <c r="A1864" s="1" t="s">
        <v>4298</v>
      </c>
      <c r="B1864" s="15">
        <f>+917799082763</f>
        <v>917799082763</v>
      </c>
      <c r="C1864" s="15" t="str">
        <f t="shared" si="1"/>
        <v>poojitha9.siripurapu@gmail.com917799082763</v>
      </c>
      <c r="D1864" s="16" t="s">
        <v>8869</v>
      </c>
      <c r="E1864" s="16" t="s">
        <v>74</v>
      </c>
    </row>
    <row r="1865">
      <c r="A1865" s="1" t="s">
        <v>3465</v>
      </c>
      <c r="B1865" s="15">
        <f>+918882330659</f>
        <v>918882330659</v>
      </c>
      <c r="C1865" s="15" t="str">
        <f t="shared" si="1"/>
        <v>jyotsna077@gmail.com918882330659</v>
      </c>
      <c r="D1865" s="16" t="s">
        <v>8870</v>
      </c>
      <c r="E1865" s="16" t="s">
        <v>68</v>
      </c>
    </row>
    <row r="1866">
      <c r="A1866" s="1" t="s">
        <v>4298</v>
      </c>
      <c r="B1866" s="15">
        <f>+917799082763</f>
        <v>917799082763</v>
      </c>
      <c r="C1866" s="15" t="str">
        <f t="shared" si="1"/>
        <v>poojitha9.siripurapu@gmail.com917799082763</v>
      </c>
      <c r="D1866" s="16" t="s">
        <v>8871</v>
      </c>
      <c r="E1866" s="16" t="s">
        <v>68</v>
      </c>
    </row>
    <row r="1867">
      <c r="A1867" s="1" t="s">
        <v>8872</v>
      </c>
      <c r="B1867" s="15">
        <f>+917992309321</f>
        <v>917992309321</v>
      </c>
      <c r="C1867" s="15" t="str">
        <f t="shared" si="1"/>
        <v>radskhandelwal394@gmail.com917992309321</v>
      </c>
      <c r="D1867" s="16" t="s">
        <v>8873</v>
      </c>
      <c r="E1867" s="16" t="s">
        <v>68</v>
      </c>
    </row>
    <row r="1868">
      <c r="A1868" s="1" t="s">
        <v>8874</v>
      </c>
      <c r="B1868" s="15">
        <f>+917905173552</f>
        <v>917905173552</v>
      </c>
      <c r="C1868" s="15" t="str">
        <f t="shared" si="1"/>
        <v>shuklashreya380@gmail.com917905173552</v>
      </c>
      <c r="D1868" s="16" t="s">
        <v>8875</v>
      </c>
      <c r="E1868" s="16" t="s">
        <v>74</v>
      </c>
    </row>
    <row r="1869">
      <c r="A1869" s="1" t="s">
        <v>5154</v>
      </c>
      <c r="B1869" s="15">
        <f>+919810678181</f>
        <v>919810678181</v>
      </c>
      <c r="C1869" s="15" t="str">
        <f t="shared" si="1"/>
        <v>sonam.nagpal12@gmail.com919810678181</v>
      </c>
      <c r="D1869" s="16" t="s">
        <v>8876</v>
      </c>
      <c r="E1869" s="16" t="s">
        <v>97</v>
      </c>
    </row>
    <row r="1870">
      <c r="A1870" s="1" t="s">
        <v>6078</v>
      </c>
      <c r="B1870" s="15">
        <f>+919340582989</f>
        <v>919340582989</v>
      </c>
      <c r="C1870" s="15" t="str">
        <f t="shared" si="1"/>
        <v>gprsjapati@gmail.com919340582989</v>
      </c>
      <c r="D1870" s="16" t="s">
        <v>8877</v>
      </c>
      <c r="E1870" s="16" t="s">
        <v>151</v>
      </c>
    </row>
    <row r="1871">
      <c r="A1871" s="1" t="s">
        <v>3430</v>
      </c>
      <c r="B1871" s="15">
        <f>+918826229592</f>
        <v>918826229592</v>
      </c>
      <c r="C1871" s="15" t="str">
        <f t="shared" si="1"/>
        <v>ankitishan14@gmail.com918826229592</v>
      </c>
      <c r="D1871" s="16" t="s">
        <v>8878</v>
      </c>
      <c r="E1871" s="16" t="s">
        <v>68</v>
      </c>
    </row>
    <row r="1872">
      <c r="A1872" s="1" t="s">
        <v>6078</v>
      </c>
      <c r="B1872" s="15">
        <f>+919340582989</f>
        <v>919340582989</v>
      </c>
      <c r="C1872" s="15" t="str">
        <f t="shared" si="1"/>
        <v>gprsjapati@gmail.com919340582989</v>
      </c>
      <c r="D1872" s="16" t="s">
        <v>8879</v>
      </c>
      <c r="E1872" s="16" t="s">
        <v>68</v>
      </c>
    </row>
    <row r="1873">
      <c r="A1873" s="1" t="s">
        <v>8880</v>
      </c>
      <c r="B1873" s="15">
        <f>+919354634683</f>
        <v>919354634683</v>
      </c>
      <c r="C1873" s="15" t="str">
        <f t="shared" si="1"/>
        <v>nitujoseph@zoho.com919354634683</v>
      </c>
      <c r="D1873" s="16" t="s">
        <v>8881</v>
      </c>
      <c r="E1873" s="16" t="s">
        <v>68</v>
      </c>
    </row>
    <row r="1874">
      <c r="A1874" s="1" t="s">
        <v>8882</v>
      </c>
      <c r="B1874" s="15">
        <f>+918830838370</f>
        <v>918830838370</v>
      </c>
      <c r="C1874" s="15" t="str">
        <f t="shared" si="1"/>
        <v>nikitakalel121@gmail.com918830838370</v>
      </c>
      <c r="D1874" s="16" t="s">
        <v>8883</v>
      </c>
      <c r="E1874" s="16" t="s">
        <v>68</v>
      </c>
    </row>
    <row r="1875">
      <c r="A1875" s="1" t="s">
        <v>2499</v>
      </c>
      <c r="B1875" s="15">
        <f t="shared" ref="B1875:B1876" si="239">+918200598533</f>
        <v>918200598533</v>
      </c>
      <c r="C1875" s="15" t="str">
        <f t="shared" si="1"/>
        <v>priya19pop@gmail.com918200598533</v>
      </c>
      <c r="D1875" s="16" t="s">
        <v>8884</v>
      </c>
      <c r="E1875" s="16" t="s">
        <v>74</v>
      </c>
    </row>
    <row r="1876">
      <c r="A1876" s="1" t="s">
        <v>2499</v>
      </c>
      <c r="B1876" s="15">
        <f t="shared" si="239"/>
        <v>918200598533</v>
      </c>
      <c r="C1876" s="15" t="str">
        <f t="shared" si="1"/>
        <v>priya19pop@gmail.com918200598533</v>
      </c>
      <c r="D1876" s="16" t="s">
        <v>8885</v>
      </c>
      <c r="E1876" s="16" t="s">
        <v>74</v>
      </c>
    </row>
    <row r="1877">
      <c r="A1877" s="1" t="s">
        <v>6080</v>
      </c>
      <c r="B1877" s="15">
        <f>+917745014565</f>
        <v>917745014565</v>
      </c>
      <c r="C1877" s="15" t="str">
        <f t="shared" si="1"/>
        <v>jogdandshubham2@gmail.com917745014565</v>
      </c>
      <c r="D1877" s="16" t="s">
        <v>8886</v>
      </c>
      <c r="E1877" s="16" t="s">
        <v>68</v>
      </c>
    </row>
    <row r="1878">
      <c r="A1878" s="1" t="s">
        <v>8887</v>
      </c>
      <c r="B1878" s="15">
        <f>+917570860175</f>
        <v>917570860175</v>
      </c>
      <c r="C1878" s="15" t="str">
        <f t="shared" si="1"/>
        <v>mohammadvns14@gmail.com917570860175</v>
      </c>
      <c r="D1878" s="16" t="s">
        <v>8888</v>
      </c>
      <c r="E1878" s="16" t="s">
        <v>68</v>
      </c>
    </row>
    <row r="1879">
      <c r="A1879" s="1" t="s">
        <v>662</v>
      </c>
      <c r="B1879" s="15">
        <f>+919014649905</f>
        <v>919014649905</v>
      </c>
      <c r="C1879" s="15" t="str">
        <f t="shared" si="1"/>
        <v>pavan.mtech1989@gmail.com919014649905</v>
      </c>
      <c r="D1879" s="16" t="s">
        <v>8889</v>
      </c>
      <c r="E1879" s="16" t="s">
        <v>68</v>
      </c>
    </row>
    <row r="1880">
      <c r="A1880" s="1" t="s">
        <v>8887</v>
      </c>
      <c r="B1880" s="15">
        <f>+917570860175</f>
        <v>917570860175</v>
      </c>
      <c r="C1880" s="15" t="str">
        <f t="shared" si="1"/>
        <v>mohammadvns14@gmail.com917570860175</v>
      </c>
      <c r="D1880" s="16" t="s">
        <v>8890</v>
      </c>
      <c r="E1880" s="16" t="s">
        <v>68</v>
      </c>
    </row>
    <row r="1881">
      <c r="A1881" s="1" t="s">
        <v>2501</v>
      </c>
      <c r="B1881" s="15">
        <f>+919354102070</f>
        <v>919354102070</v>
      </c>
      <c r="C1881" s="15" t="str">
        <f t="shared" si="1"/>
        <v>annubhati540@gmail.com919354102070</v>
      </c>
      <c r="D1881" s="16" t="s">
        <v>8891</v>
      </c>
      <c r="E1881" s="16" t="s">
        <v>68</v>
      </c>
    </row>
    <row r="1882">
      <c r="A1882" s="1" t="s">
        <v>4662</v>
      </c>
      <c r="B1882" s="15">
        <f>+917723954357</f>
        <v>917723954357</v>
      </c>
      <c r="C1882" s="15" t="str">
        <f t="shared" si="1"/>
        <v>raj7389171998@gmail.com917723954357</v>
      </c>
      <c r="D1882" s="16" t="s">
        <v>8892</v>
      </c>
      <c r="E1882" s="16" t="s">
        <v>68</v>
      </c>
    </row>
    <row r="1883">
      <c r="A1883" s="1" t="s">
        <v>5516</v>
      </c>
      <c r="B1883" s="15">
        <f>+918932942995</f>
        <v>918932942995</v>
      </c>
      <c r="C1883" s="15" t="str">
        <f t="shared" si="1"/>
        <v>chandersoni2360842@gmail.com918932942995</v>
      </c>
      <c r="D1883" s="16" t="s">
        <v>8893</v>
      </c>
      <c r="E1883" s="16" t="s">
        <v>68</v>
      </c>
    </row>
    <row r="1884">
      <c r="A1884" s="1" t="s">
        <v>5436</v>
      </c>
      <c r="B1884" s="15">
        <f>+918800718652</f>
        <v>918800718652</v>
      </c>
      <c r="C1884" s="15" t="str">
        <f t="shared" si="1"/>
        <v>aprajitavashistha11@gmail.com918800718652</v>
      </c>
      <c r="D1884" s="16" t="s">
        <v>8894</v>
      </c>
      <c r="E1884" s="16" t="s">
        <v>68</v>
      </c>
    </row>
    <row r="1885">
      <c r="A1885" s="1" t="s">
        <v>3040</v>
      </c>
      <c r="B1885" s="15">
        <f>+919823440365</f>
        <v>919823440365</v>
      </c>
      <c r="C1885" s="15" t="str">
        <f t="shared" si="1"/>
        <v>saumyasingh7688@gmail.com919823440365</v>
      </c>
      <c r="D1885" s="16" t="s">
        <v>8895</v>
      </c>
      <c r="E1885" s="16" t="s">
        <v>68</v>
      </c>
    </row>
    <row r="1886">
      <c r="A1886" s="1" t="s">
        <v>6334</v>
      </c>
      <c r="B1886" s="15">
        <f>+919873787781</f>
        <v>919873787781</v>
      </c>
      <c r="C1886" s="15" t="str">
        <f t="shared" si="1"/>
        <v>makhija.akriti1611@gmail.com919873787781</v>
      </c>
      <c r="D1886" s="16" t="s">
        <v>8896</v>
      </c>
      <c r="E1886" s="16" t="s">
        <v>68</v>
      </c>
    </row>
    <row r="1887">
      <c r="A1887" s="1" t="s">
        <v>8897</v>
      </c>
      <c r="B1887" s="15">
        <f>+919319262223</f>
        <v>919319262223</v>
      </c>
      <c r="C1887" s="15" t="str">
        <f t="shared" si="1"/>
        <v>meenakshibhugra@gmail.com919319262223</v>
      </c>
      <c r="D1887" s="16" t="s">
        <v>8898</v>
      </c>
      <c r="E1887" s="16" t="s">
        <v>68</v>
      </c>
    </row>
    <row r="1888">
      <c r="A1888" s="1" t="s">
        <v>4674</v>
      </c>
      <c r="B1888" s="15">
        <f>+919769705556</f>
        <v>919769705556</v>
      </c>
      <c r="C1888" s="15" t="str">
        <f t="shared" si="1"/>
        <v>chandrakant.ingale@gmail.com919769705556</v>
      </c>
      <c r="D1888" s="16" t="s">
        <v>8899</v>
      </c>
      <c r="E1888" s="16" t="s">
        <v>68</v>
      </c>
    </row>
    <row r="1889">
      <c r="A1889" s="1" t="s">
        <v>2836</v>
      </c>
      <c r="B1889" s="15">
        <f>+919599831074</f>
        <v>919599831074</v>
      </c>
      <c r="C1889" s="15" t="str">
        <f t="shared" si="1"/>
        <v>romigupta194@gmail.com919599831074</v>
      </c>
      <c r="D1889" s="16" t="s">
        <v>8900</v>
      </c>
      <c r="E1889" s="16" t="s">
        <v>68</v>
      </c>
    </row>
    <row r="1890">
      <c r="A1890" s="1" t="s">
        <v>4367</v>
      </c>
      <c r="B1890" s="15">
        <f>+919975672777</f>
        <v>919975672777</v>
      </c>
      <c r="C1890" s="15" t="str">
        <f t="shared" si="1"/>
        <v>vijusmoon@gmail.com919975672777</v>
      </c>
      <c r="D1890" s="16" t="s">
        <v>8901</v>
      </c>
      <c r="E1890" s="16" t="s">
        <v>68</v>
      </c>
    </row>
    <row r="1891">
      <c r="A1891" s="1" t="s">
        <v>8902</v>
      </c>
      <c r="B1891" s="15">
        <f>+919653363318</f>
        <v>919653363318</v>
      </c>
      <c r="C1891" s="15" t="str">
        <f t="shared" si="1"/>
        <v>iprd12345@gmail.com919653363318</v>
      </c>
      <c r="D1891" s="16" t="s">
        <v>8903</v>
      </c>
      <c r="E1891" s="16" t="s">
        <v>68</v>
      </c>
    </row>
    <row r="1892">
      <c r="A1892" s="1" t="s">
        <v>4081</v>
      </c>
      <c r="B1892" s="15">
        <f>+919365081094</f>
        <v>919365081094</v>
      </c>
      <c r="C1892" s="15" t="str">
        <f t="shared" si="1"/>
        <v>merlyndaimari62@gmail.com919365081094</v>
      </c>
      <c r="D1892" s="16" t="s">
        <v>8904</v>
      </c>
      <c r="E1892" s="16" t="s">
        <v>68</v>
      </c>
    </row>
    <row r="1893">
      <c r="A1893" s="1" t="s">
        <v>4300</v>
      </c>
      <c r="B1893" s="15">
        <f>+917715861705</f>
        <v>917715861705</v>
      </c>
      <c r="C1893" s="15" t="str">
        <f t="shared" si="1"/>
        <v>vksndhle@gmail.com917715861705</v>
      </c>
      <c r="D1893" s="16" t="s">
        <v>8905</v>
      </c>
      <c r="E1893" s="16" t="s">
        <v>68</v>
      </c>
    </row>
    <row r="1894">
      <c r="A1894" s="1" t="s">
        <v>8906</v>
      </c>
      <c r="B1894" s="15">
        <f>+919076171703</f>
        <v>919076171703</v>
      </c>
      <c r="C1894" s="15" t="str">
        <f t="shared" si="1"/>
        <v>djraina0121@outlook.com919076171703</v>
      </c>
      <c r="D1894" s="16" t="s">
        <v>8907</v>
      </c>
      <c r="E1894" s="16" t="s">
        <v>68</v>
      </c>
    </row>
    <row r="1895">
      <c r="A1895" s="1" t="s">
        <v>5438</v>
      </c>
      <c r="B1895" s="15">
        <f>+919739481670</f>
        <v>919739481670</v>
      </c>
      <c r="C1895" s="15" t="str">
        <f t="shared" si="1"/>
        <v>aishwarya94krishh@gmail.com919739481670</v>
      </c>
      <c r="D1895" s="16" t="s">
        <v>8908</v>
      </c>
      <c r="E1895" s="16" t="s">
        <v>68</v>
      </c>
    </row>
    <row r="1896">
      <c r="A1896" s="1" t="s">
        <v>8909</v>
      </c>
      <c r="B1896" s="15">
        <f>+919130898079</f>
        <v>919130898079</v>
      </c>
      <c r="C1896" s="15" t="str">
        <f t="shared" si="1"/>
        <v>pdethe0@gmail.com919130898079</v>
      </c>
      <c r="D1896" s="16" t="s">
        <v>8910</v>
      </c>
      <c r="E1896" s="16" t="s">
        <v>68</v>
      </c>
    </row>
    <row r="1897">
      <c r="A1897" s="1" t="s">
        <v>4982</v>
      </c>
      <c r="B1897" s="15">
        <f t="shared" ref="B1897:B1899" si="240">+918699952797</f>
        <v>918699952797</v>
      </c>
      <c r="C1897" s="15" t="str">
        <f t="shared" si="1"/>
        <v>aakash8699952797@gmail.com918699952797</v>
      </c>
      <c r="D1897" s="16" t="s">
        <v>8911</v>
      </c>
      <c r="E1897" s="16" t="s">
        <v>151</v>
      </c>
    </row>
    <row r="1898">
      <c r="A1898" s="1" t="s">
        <v>4982</v>
      </c>
      <c r="B1898" s="15">
        <f t="shared" si="240"/>
        <v>918699952797</v>
      </c>
      <c r="C1898" s="15" t="str">
        <f t="shared" si="1"/>
        <v>aakash8699952797@gmail.com918699952797</v>
      </c>
      <c r="D1898" s="16" t="s">
        <v>8912</v>
      </c>
      <c r="E1898" s="16" t="s">
        <v>68</v>
      </c>
    </row>
    <row r="1899">
      <c r="A1899" s="1" t="s">
        <v>4982</v>
      </c>
      <c r="B1899" s="15">
        <f t="shared" si="240"/>
        <v>918699952797</v>
      </c>
      <c r="C1899" s="15" t="str">
        <f t="shared" si="1"/>
        <v>aakash8699952797@gmail.com918699952797</v>
      </c>
      <c r="D1899" s="16" t="s">
        <v>8913</v>
      </c>
      <c r="E1899" s="16" t="s">
        <v>68</v>
      </c>
    </row>
    <row r="1900">
      <c r="A1900" s="1" t="s">
        <v>4083</v>
      </c>
      <c r="B1900" s="15">
        <f>+916006178509</f>
        <v>916006178509</v>
      </c>
      <c r="C1900" s="15" t="str">
        <f t="shared" si="1"/>
        <v>rigzinamo99@gmail.com916006178509</v>
      </c>
      <c r="D1900" s="16" t="s">
        <v>8914</v>
      </c>
      <c r="E1900" s="16" t="s">
        <v>68</v>
      </c>
    </row>
    <row r="1901">
      <c r="A1901" s="1" t="s">
        <v>3432</v>
      </c>
      <c r="B1901" s="15">
        <f t="shared" ref="B1901:B1902" si="241">+919000993239</f>
        <v>919000993239</v>
      </c>
      <c r="C1901" s="15" t="str">
        <f t="shared" si="1"/>
        <v>sambraninagraj@gmail.com919000993239</v>
      </c>
      <c r="D1901" s="16" t="s">
        <v>8915</v>
      </c>
      <c r="E1901" s="16" t="s">
        <v>151</v>
      </c>
    </row>
    <row r="1902">
      <c r="A1902" s="1" t="s">
        <v>3432</v>
      </c>
      <c r="B1902" s="15">
        <f t="shared" si="241"/>
        <v>919000993239</v>
      </c>
      <c r="C1902" s="15" t="str">
        <f t="shared" si="1"/>
        <v>sambraninagraj@gmail.com919000993239</v>
      </c>
      <c r="D1902" s="16" t="s">
        <v>8916</v>
      </c>
      <c r="E1902" s="16" t="s">
        <v>68</v>
      </c>
    </row>
    <row r="1903">
      <c r="A1903" s="1" t="s">
        <v>8917</v>
      </c>
      <c r="B1903" s="15">
        <f>+917820879861</f>
        <v>917820879861</v>
      </c>
      <c r="C1903" s="15" t="str">
        <f t="shared" si="1"/>
        <v>amrutapatil.jagtap@gmail.com917820879861</v>
      </c>
      <c r="D1903" s="16" t="s">
        <v>8918</v>
      </c>
      <c r="E1903" s="16" t="s">
        <v>151</v>
      </c>
    </row>
    <row r="1904">
      <c r="A1904" s="1" t="s">
        <v>3111</v>
      </c>
      <c r="B1904" s="15">
        <f>+918149451725</f>
        <v>918149451725</v>
      </c>
      <c r="C1904" s="15" t="str">
        <f t="shared" si="1"/>
        <v>bhavesh.hemnani@gmail.com918149451725</v>
      </c>
      <c r="D1904" s="16" t="s">
        <v>8919</v>
      </c>
      <c r="E1904" s="16" t="s">
        <v>68</v>
      </c>
    </row>
    <row r="1905">
      <c r="A1905" s="1" t="s">
        <v>4984</v>
      </c>
      <c r="B1905" s="15">
        <f>+917428684107</f>
        <v>917428684107</v>
      </c>
      <c r="C1905" s="15" t="str">
        <f t="shared" si="1"/>
        <v>prashantkumarsanu66@gmail.com917428684107</v>
      </c>
      <c r="D1905" s="16" t="s">
        <v>8920</v>
      </c>
      <c r="E1905" s="16" t="s">
        <v>151</v>
      </c>
    </row>
    <row r="1906">
      <c r="A1906" s="1" t="s">
        <v>6623</v>
      </c>
      <c r="B1906" s="15">
        <f>+917356315504</f>
        <v>917356315504</v>
      </c>
      <c r="C1906" s="15" t="str">
        <f t="shared" si="1"/>
        <v>aleenamirium997@gmail.com917356315504</v>
      </c>
      <c r="D1906" s="16" t="s">
        <v>8921</v>
      </c>
      <c r="E1906" s="16" t="s">
        <v>68</v>
      </c>
    </row>
    <row r="1907">
      <c r="A1907" s="1" t="s">
        <v>2503</v>
      </c>
      <c r="B1907" s="15">
        <f>+919906190121</f>
        <v>919906190121</v>
      </c>
      <c r="C1907" s="15" t="str">
        <f t="shared" si="1"/>
        <v>simranjitsinghsimar89@gmail.com919906190121</v>
      </c>
      <c r="D1907" s="16" t="s">
        <v>8922</v>
      </c>
      <c r="E1907" s="16" t="s">
        <v>74</v>
      </c>
    </row>
    <row r="1908">
      <c r="A1908" s="1" t="s">
        <v>8923</v>
      </c>
      <c r="B1908" s="15">
        <f t="shared" ref="B1908:B1909" si="242">+919904742874</f>
        <v>919904742874</v>
      </c>
      <c r="C1908" s="15" t="str">
        <f t="shared" si="1"/>
        <v>khatrichaitali31@gmail.com919904742874</v>
      </c>
      <c r="D1908" s="16" t="s">
        <v>8924</v>
      </c>
      <c r="E1908" s="16" t="s">
        <v>74</v>
      </c>
    </row>
    <row r="1909">
      <c r="A1909" s="1" t="s">
        <v>8923</v>
      </c>
      <c r="B1909" s="15">
        <f t="shared" si="242"/>
        <v>919904742874</v>
      </c>
      <c r="C1909" s="15" t="str">
        <f t="shared" si="1"/>
        <v>khatrichaitali31@gmail.com919904742874</v>
      </c>
      <c r="D1909" s="16" t="s">
        <v>8925</v>
      </c>
      <c r="E1909" s="16" t="s">
        <v>74</v>
      </c>
    </row>
    <row r="1910">
      <c r="A1910" s="1" t="s">
        <v>6287</v>
      </c>
      <c r="B1910" s="15">
        <f>+917008442269</f>
        <v>917008442269</v>
      </c>
      <c r="C1910" s="15" t="str">
        <f t="shared" si="1"/>
        <v>patel.sbbarsha@gmail.com917008442269</v>
      </c>
      <c r="D1910" s="16" t="s">
        <v>8926</v>
      </c>
      <c r="E1910" s="16" t="s">
        <v>68</v>
      </c>
    </row>
    <row r="1911">
      <c r="A1911" s="1" t="s">
        <v>3755</v>
      </c>
      <c r="B1911" s="15">
        <f t="shared" ref="B1911:B1914" si="243">+918939783920</f>
        <v>918939783920</v>
      </c>
      <c r="C1911" s="15" t="str">
        <f t="shared" si="1"/>
        <v>mmuthu28007@gmail.com918939783920</v>
      </c>
      <c r="D1911" s="16" t="s">
        <v>8927</v>
      </c>
      <c r="E1911" s="16" t="s">
        <v>74</v>
      </c>
    </row>
    <row r="1912">
      <c r="A1912" s="1" t="s">
        <v>3755</v>
      </c>
      <c r="B1912" s="15">
        <f t="shared" si="243"/>
        <v>918939783920</v>
      </c>
      <c r="C1912" s="15" t="str">
        <f t="shared" si="1"/>
        <v>mmuthu28007@gmail.com918939783920</v>
      </c>
      <c r="D1912" s="16" t="s">
        <v>8928</v>
      </c>
      <c r="E1912" s="16" t="s">
        <v>74</v>
      </c>
    </row>
    <row r="1913">
      <c r="A1913" s="1" t="s">
        <v>3755</v>
      </c>
      <c r="B1913" s="15">
        <f t="shared" si="243"/>
        <v>918939783920</v>
      </c>
      <c r="C1913" s="15" t="str">
        <f t="shared" si="1"/>
        <v>mmuthu28007@gmail.com918939783920</v>
      </c>
      <c r="D1913" s="16" t="s">
        <v>8929</v>
      </c>
      <c r="E1913" s="16" t="s">
        <v>74</v>
      </c>
    </row>
    <row r="1914">
      <c r="A1914" s="1" t="s">
        <v>3755</v>
      </c>
      <c r="B1914" s="15">
        <f t="shared" si="243"/>
        <v>918939783920</v>
      </c>
      <c r="C1914" s="15" t="str">
        <f t="shared" si="1"/>
        <v>mmuthu28007@gmail.com918939783920</v>
      </c>
      <c r="D1914" s="16" t="s">
        <v>8930</v>
      </c>
      <c r="E1914" s="16" t="s">
        <v>74</v>
      </c>
    </row>
    <row r="1915">
      <c r="A1915" s="1" t="s">
        <v>8931</v>
      </c>
      <c r="B1915" s="15">
        <f t="shared" ref="B1915:B1916" si="244">+916361635616</f>
        <v>916361635616</v>
      </c>
      <c r="C1915" s="15" t="str">
        <f t="shared" si="1"/>
        <v>anannya010901@gmail.com916361635616</v>
      </c>
      <c r="D1915" s="16" t="s">
        <v>8932</v>
      </c>
      <c r="E1915" s="16" t="s">
        <v>74</v>
      </c>
    </row>
    <row r="1916">
      <c r="A1916" s="1" t="s">
        <v>8931</v>
      </c>
      <c r="B1916" s="15">
        <f t="shared" si="244"/>
        <v>916361635616</v>
      </c>
      <c r="C1916" s="15" t="str">
        <f t="shared" si="1"/>
        <v>anannya010901@gmail.com916361635616</v>
      </c>
      <c r="D1916" s="16" t="s">
        <v>8933</v>
      </c>
      <c r="E1916" s="16" t="s">
        <v>74</v>
      </c>
    </row>
    <row r="1917">
      <c r="A1917" s="1" t="s">
        <v>6386</v>
      </c>
      <c r="B1917" s="15">
        <f>+917972755143</f>
        <v>917972755143</v>
      </c>
      <c r="C1917" s="15" t="str">
        <f t="shared" si="1"/>
        <v>tejurdevade@gmail.com917972755143</v>
      </c>
      <c r="D1917" s="16" t="s">
        <v>8934</v>
      </c>
      <c r="E1917" s="16" t="s">
        <v>68</v>
      </c>
    </row>
    <row r="1918">
      <c r="A1918" s="1" t="s">
        <v>8935</v>
      </c>
      <c r="B1918" s="15">
        <f>+919416684521</f>
        <v>919416684521</v>
      </c>
      <c r="C1918" s="15" t="str">
        <f t="shared" si="1"/>
        <v>sunderprakashkaushik@gmail.com919416684521</v>
      </c>
      <c r="D1918" s="16" t="s">
        <v>8936</v>
      </c>
      <c r="E1918" s="16" t="s">
        <v>74</v>
      </c>
    </row>
    <row r="1919">
      <c r="A1919" s="1" t="s">
        <v>4085</v>
      </c>
      <c r="B1919" s="15">
        <f>+919916926001</f>
        <v>919916926001</v>
      </c>
      <c r="C1919" s="15" t="str">
        <f t="shared" si="1"/>
        <v>niki.pearl006@gmail.com919916926001</v>
      </c>
      <c r="D1919" s="16" t="s">
        <v>8937</v>
      </c>
      <c r="E1919" s="16" t="s">
        <v>68</v>
      </c>
    </row>
    <row r="1920">
      <c r="A1920" s="1" t="s">
        <v>8935</v>
      </c>
      <c r="B1920" s="15">
        <f>+919416684521</f>
        <v>919416684521</v>
      </c>
      <c r="C1920" s="15" t="str">
        <f t="shared" si="1"/>
        <v>sunderprakashkaushik@gmail.com919416684521</v>
      </c>
      <c r="D1920" s="16" t="s">
        <v>8938</v>
      </c>
      <c r="E1920" s="16" t="s">
        <v>74</v>
      </c>
    </row>
    <row r="1921">
      <c r="A1921" s="1" t="s">
        <v>4087</v>
      </c>
      <c r="B1921" s="15">
        <f>+918904278028</f>
        <v>918904278028</v>
      </c>
      <c r="C1921" s="15" t="str">
        <f t="shared" si="1"/>
        <v>lhamyuton28@gmail.com918904278028</v>
      </c>
      <c r="D1921" s="16" t="s">
        <v>8939</v>
      </c>
      <c r="E1921" s="16" t="s">
        <v>68</v>
      </c>
    </row>
    <row r="1922">
      <c r="A1922" s="1" t="s">
        <v>6336</v>
      </c>
      <c r="B1922" s="15">
        <f>+919811850557</f>
        <v>919811850557</v>
      </c>
      <c r="C1922" s="15" t="str">
        <f t="shared" si="1"/>
        <v>nikhiljuneja11@gmail.com919811850557</v>
      </c>
      <c r="D1922" s="16" t="s">
        <v>8940</v>
      </c>
      <c r="E1922" s="16" t="s">
        <v>68</v>
      </c>
    </row>
    <row r="1923">
      <c r="A1923" s="1" t="s">
        <v>6338</v>
      </c>
      <c r="B1923" s="15">
        <f>+919447711429</f>
        <v>919447711429</v>
      </c>
      <c r="C1923" s="15" t="str">
        <f t="shared" si="1"/>
        <v>geethavs4@gmail.com919447711429</v>
      </c>
      <c r="D1923" s="16" t="s">
        <v>8941</v>
      </c>
      <c r="E1923" s="16" t="s">
        <v>68</v>
      </c>
    </row>
    <row r="1924">
      <c r="A1924" s="1" t="s">
        <v>8942</v>
      </c>
      <c r="B1924" s="15">
        <f>+919884724139</f>
        <v>919884724139</v>
      </c>
      <c r="C1924" s="15" t="str">
        <f t="shared" si="1"/>
        <v>rajavinayagam18@gmail.com919884724139</v>
      </c>
      <c r="D1924" s="16" t="s">
        <v>8943</v>
      </c>
      <c r="E1924" s="16" t="s">
        <v>151</v>
      </c>
    </row>
    <row r="1925">
      <c r="A1925" s="1" t="s">
        <v>4824</v>
      </c>
      <c r="B1925" s="15">
        <f>+919168249474</f>
        <v>919168249474</v>
      </c>
      <c r="C1925" s="15" t="str">
        <f t="shared" si="1"/>
        <v>mouryaa.vijayy2012@gmail.com919168249474</v>
      </c>
      <c r="D1925" s="16" t="s">
        <v>8944</v>
      </c>
      <c r="E1925" s="16" t="s">
        <v>68</v>
      </c>
    </row>
    <row r="1926">
      <c r="A1926" s="1" t="s">
        <v>4089</v>
      </c>
      <c r="B1926" s="15">
        <f>+919048332410</f>
        <v>919048332410</v>
      </c>
      <c r="C1926" s="15" t="str">
        <f t="shared" si="1"/>
        <v>amruthas935@gmail.com919048332410</v>
      </c>
      <c r="D1926" s="16" t="s">
        <v>8945</v>
      </c>
      <c r="E1926" s="16" t="s">
        <v>68</v>
      </c>
    </row>
    <row r="1927">
      <c r="A1927" s="1" t="s">
        <v>5440</v>
      </c>
      <c r="B1927" s="15">
        <f>+919940164021</f>
        <v>919940164021</v>
      </c>
      <c r="C1927" s="15" t="str">
        <f t="shared" si="1"/>
        <v>shakthikrishna75l@gmail.com919940164021</v>
      </c>
      <c r="D1927" s="16" t="s">
        <v>8946</v>
      </c>
      <c r="E1927" s="16" t="s">
        <v>68</v>
      </c>
    </row>
    <row r="1928">
      <c r="A1928" s="1" t="s">
        <v>4091</v>
      </c>
      <c r="B1928" s="15">
        <f>+918953966699</f>
        <v>918953966699</v>
      </c>
      <c r="C1928" s="15" t="str">
        <f t="shared" si="1"/>
        <v>pragatii.dixit4299@gmail.com918953966699</v>
      </c>
      <c r="D1928" s="16" t="s">
        <v>8947</v>
      </c>
      <c r="E1928" s="16" t="s">
        <v>68</v>
      </c>
    </row>
    <row r="1929">
      <c r="A1929" s="1" t="s">
        <v>8948</v>
      </c>
      <c r="B1929" s="15">
        <f>+919953733875</f>
        <v>919953733875</v>
      </c>
      <c r="C1929" s="15" t="str">
        <f t="shared" si="1"/>
        <v>mamgaisooraj@gmail.com919953733875</v>
      </c>
      <c r="D1929" s="16" t="s">
        <v>8949</v>
      </c>
      <c r="E1929" s="16" t="s">
        <v>68</v>
      </c>
    </row>
    <row r="1930">
      <c r="A1930" s="1" t="s">
        <v>3113</v>
      </c>
      <c r="B1930" s="15">
        <f>+918448753354</f>
        <v>918448753354</v>
      </c>
      <c r="C1930" s="15" t="str">
        <f t="shared" si="1"/>
        <v>akshay.mpl@gmail.com918448753354</v>
      </c>
      <c r="D1930" s="16" t="s">
        <v>8950</v>
      </c>
      <c r="E1930" s="16" t="s">
        <v>68</v>
      </c>
    </row>
    <row r="1931">
      <c r="A1931" s="1" t="s">
        <v>5156</v>
      </c>
      <c r="B1931" s="15">
        <f>+919582020111</f>
        <v>919582020111</v>
      </c>
      <c r="C1931" s="15" t="str">
        <f t="shared" si="1"/>
        <v>himanirathour2430@gmail.com919582020111</v>
      </c>
      <c r="D1931" s="16" t="s">
        <v>8951</v>
      </c>
      <c r="E1931" s="16" t="s">
        <v>74</v>
      </c>
    </row>
    <row r="1932">
      <c r="A1932" s="1" t="s">
        <v>8952</v>
      </c>
      <c r="B1932" s="15">
        <f>+918810421274</f>
        <v>918810421274</v>
      </c>
      <c r="C1932" s="15" t="str">
        <f t="shared" si="1"/>
        <v>vrmukt.91@gmail.com918810421274</v>
      </c>
      <c r="D1932" s="16" t="s">
        <v>8953</v>
      </c>
      <c r="E1932" s="16" t="s">
        <v>68</v>
      </c>
    </row>
    <row r="1933">
      <c r="A1933" s="1" t="s">
        <v>8954</v>
      </c>
      <c r="B1933" s="15">
        <f>+919493567276</f>
        <v>919493567276</v>
      </c>
      <c r="C1933" s="15" t="str">
        <f t="shared" si="1"/>
        <v>dadas.com.sk@gmail.com919493567276</v>
      </c>
      <c r="D1933" s="16" t="s">
        <v>8955</v>
      </c>
      <c r="E1933" s="16" t="s">
        <v>74</v>
      </c>
    </row>
    <row r="1934">
      <c r="A1934" s="1" t="s">
        <v>8956</v>
      </c>
      <c r="B1934" s="15">
        <f>+918087800045</f>
        <v>918087800045</v>
      </c>
      <c r="C1934" s="15" t="str">
        <f t="shared" si="1"/>
        <v>gtushar1993@gmail.com918087800045</v>
      </c>
      <c r="D1934" s="16" t="s">
        <v>8957</v>
      </c>
      <c r="E1934" s="16" t="s">
        <v>151</v>
      </c>
    </row>
    <row r="1935">
      <c r="A1935" s="1" t="s">
        <v>1131</v>
      </c>
      <c r="B1935" s="15">
        <f>+919920065850</f>
        <v>919920065850</v>
      </c>
      <c r="C1935" s="15" t="str">
        <f t="shared" si="1"/>
        <v>dipti.shetye@gmail.com919920065850</v>
      </c>
      <c r="D1935" s="16" t="s">
        <v>8958</v>
      </c>
      <c r="E1935" s="16" t="s">
        <v>74</v>
      </c>
    </row>
    <row r="1936">
      <c r="A1936" s="1" t="s">
        <v>6388</v>
      </c>
      <c r="B1936" s="15">
        <f>+919739672482</f>
        <v>919739672482</v>
      </c>
      <c r="C1936" s="15" t="str">
        <f t="shared" si="1"/>
        <v>anusha.km1@gmail.com919739672482</v>
      </c>
      <c r="D1936" s="16" t="s">
        <v>8959</v>
      </c>
      <c r="E1936" s="16" t="s">
        <v>68</v>
      </c>
    </row>
    <row r="1937">
      <c r="A1937" s="1" t="s">
        <v>4094</v>
      </c>
      <c r="B1937" s="15">
        <f>+919986400398</f>
        <v>919986400398</v>
      </c>
      <c r="C1937" s="15" t="str">
        <f t="shared" si="1"/>
        <v>bhagyshree.nitin@gmail.com919986400398</v>
      </c>
      <c r="D1937" s="16" t="s">
        <v>8960</v>
      </c>
      <c r="E1937" s="16" t="s">
        <v>68</v>
      </c>
    </row>
    <row r="1938">
      <c r="A1938" s="1" t="s">
        <v>8961</v>
      </c>
      <c r="B1938" s="15">
        <f t="shared" ref="B1938:B1939" si="245">+919996080675</f>
        <v>919996080675</v>
      </c>
      <c r="C1938" s="15" t="str">
        <f t="shared" si="1"/>
        <v>braghav5123@gmail.com919996080675</v>
      </c>
      <c r="D1938" s="16" t="s">
        <v>8962</v>
      </c>
      <c r="E1938" s="16" t="s">
        <v>74</v>
      </c>
    </row>
    <row r="1939">
      <c r="A1939" s="1" t="s">
        <v>8961</v>
      </c>
      <c r="B1939" s="15">
        <f t="shared" si="245"/>
        <v>919996080675</v>
      </c>
      <c r="C1939" s="15" t="str">
        <f t="shared" si="1"/>
        <v>braghav5123@gmail.com919996080675</v>
      </c>
      <c r="D1939" s="16" t="s">
        <v>8963</v>
      </c>
      <c r="E1939" s="16" t="s">
        <v>74</v>
      </c>
    </row>
    <row r="1940">
      <c r="A1940" s="1" t="s">
        <v>4096</v>
      </c>
      <c r="B1940" s="15">
        <f>+919981556104</f>
        <v>919981556104</v>
      </c>
      <c r="C1940" s="15" t="str">
        <f t="shared" si="1"/>
        <v>anamikaxaxa92@gmail.com919981556104</v>
      </c>
      <c r="D1940" s="16" t="s">
        <v>8964</v>
      </c>
      <c r="E1940" s="16" t="s">
        <v>68</v>
      </c>
    </row>
    <row r="1941">
      <c r="A1941" s="1" t="s">
        <v>4453</v>
      </c>
      <c r="B1941" s="15">
        <f t="shared" ref="B1941:B1942" si="246">+917717736088</f>
        <v>917717736088</v>
      </c>
      <c r="C1941" s="15" t="str">
        <f t="shared" si="1"/>
        <v>maliniraman030390@gmail.com917717736088</v>
      </c>
      <c r="D1941" s="16" t="s">
        <v>8965</v>
      </c>
      <c r="E1941" s="16" t="s">
        <v>68</v>
      </c>
    </row>
    <row r="1942">
      <c r="A1942" s="1" t="s">
        <v>4453</v>
      </c>
      <c r="B1942" s="15">
        <f t="shared" si="246"/>
        <v>917717736088</v>
      </c>
      <c r="C1942" s="15" t="str">
        <f t="shared" si="1"/>
        <v>maliniraman030390@gmail.com917717736088</v>
      </c>
      <c r="D1942" s="16" t="s">
        <v>8966</v>
      </c>
      <c r="E1942" s="16" t="s">
        <v>68</v>
      </c>
    </row>
    <row r="1943">
      <c r="A1943" s="1" t="s">
        <v>4904</v>
      </c>
      <c r="B1943" s="15">
        <f>+919008277578</f>
        <v>919008277578</v>
      </c>
      <c r="C1943" s="15" t="str">
        <f t="shared" si="1"/>
        <v>sohailm074@gmail.com919008277578</v>
      </c>
      <c r="D1943" s="16" t="s">
        <v>8967</v>
      </c>
      <c r="E1943" s="16" t="s">
        <v>68</v>
      </c>
    </row>
    <row r="1944">
      <c r="A1944" s="1" t="s">
        <v>4906</v>
      </c>
      <c r="B1944" s="15">
        <f>+918851282042</f>
        <v>918851282042</v>
      </c>
      <c r="C1944" s="15" t="str">
        <f t="shared" si="1"/>
        <v>architgupta0001@gmail.com918851282042</v>
      </c>
      <c r="D1944" s="16" t="s">
        <v>8968</v>
      </c>
      <c r="E1944" s="16" t="s">
        <v>68</v>
      </c>
    </row>
    <row r="1945">
      <c r="A1945" s="1" t="s">
        <v>4664</v>
      </c>
      <c r="B1945" s="15">
        <f t="shared" ref="B1945:B1946" si="247">+919064651607</f>
        <v>919064651607</v>
      </c>
      <c r="C1945" s="15" t="str">
        <f t="shared" si="1"/>
        <v>sohanroy0294@gmail.com919064651607</v>
      </c>
      <c r="D1945" s="16" t="s">
        <v>8969</v>
      </c>
      <c r="E1945" s="16" t="s">
        <v>68</v>
      </c>
    </row>
    <row r="1946">
      <c r="A1946" s="1" t="s">
        <v>4664</v>
      </c>
      <c r="B1946" s="15">
        <f t="shared" si="247"/>
        <v>919064651607</v>
      </c>
      <c r="C1946" s="15" t="str">
        <f t="shared" si="1"/>
        <v>sohanroy0294@gmail.com919064651607</v>
      </c>
      <c r="D1946" s="16" t="s">
        <v>8970</v>
      </c>
      <c r="E1946" s="16" t="s">
        <v>68</v>
      </c>
    </row>
    <row r="1947">
      <c r="A1947" s="1" t="s">
        <v>6082</v>
      </c>
      <c r="B1947" s="15">
        <f>+919113393763</f>
        <v>919113393763</v>
      </c>
      <c r="C1947" s="15" t="str">
        <f t="shared" si="1"/>
        <v>pallavikumariseyp@gmail.com919113393763</v>
      </c>
      <c r="D1947" s="16" t="s">
        <v>8971</v>
      </c>
      <c r="E1947" s="16" t="s">
        <v>68</v>
      </c>
    </row>
    <row r="1948">
      <c r="A1948" s="1" t="s">
        <v>8972</v>
      </c>
      <c r="B1948" s="15">
        <f t="shared" ref="B1948:B1949" si="248">+919500289232</f>
        <v>919500289232</v>
      </c>
      <c r="C1948" s="15" t="str">
        <f t="shared" si="1"/>
        <v>john.candida@gmail.com919500289232</v>
      </c>
      <c r="D1948" s="16" t="s">
        <v>8973</v>
      </c>
      <c r="E1948" s="16" t="s">
        <v>68</v>
      </c>
    </row>
    <row r="1949">
      <c r="A1949" s="1" t="s">
        <v>8972</v>
      </c>
      <c r="B1949" s="15">
        <f t="shared" si="248"/>
        <v>919500289232</v>
      </c>
      <c r="C1949" s="15" t="str">
        <f t="shared" si="1"/>
        <v>john.candida@gmail.com919500289232</v>
      </c>
      <c r="D1949" s="16" t="s">
        <v>8974</v>
      </c>
      <c r="E1949" s="16" t="s">
        <v>68</v>
      </c>
    </row>
    <row r="1950">
      <c r="A1950" s="1" t="s">
        <v>4098</v>
      </c>
      <c r="B1950" s="15">
        <f>+919916871220</f>
        <v>919916871220</v>
      </c>
      <c r="C1950" s="15" t="str">
        <f t="shared" si="1"/>
        <v>ananyawarakeri@gmail.com919916871220</v>
      </c>
      <c r="D1950" s="16" t="s">
        <v>8975</v>
      </c>
      <c r="E1950" s="16" t="s">
        <v>74</v>
      </c>
    </row>
    <row r="1951">
      <c r="A1951" s="1" t="s">
        <v>8972</v>
      </c>
      <c r="B1951" s="15">
        <f t="shared" ref="B1951:B1952" si="249">+919500289232</f>
        <v>919500289232</v>
      </c>
      <c r="C1951" s="15" t="str">
        <f t="shared" si="1"/>
        <v>john.candida@gmail.com919500289232</v>
      </c>
      <c r="D1951" s="16" t="s">
        <v>8976</v>
      </c>
      <c r="E1951" s="16" t="s">
        <v>74</v>
      </c>
    </row>
    <row r="1952">
      <c r="A1952" s="1" t="s">
        <v>8972</v>
      </c>
      <c r="B1952" s="15">
        <f t="shared" si="249"/>
        <v>919500289232</v>
      </c>
      <c r="C1952" s="15" t="str">
        <f t="shared" si="1"/>
        <v>john.candida@gmail.com919500289232</v>
      </c>
      <c r="D1952" s="16" t="s">
        <v>8977</v>
      </c>
      <c r="E1952" s="16" t="s">
        <v>74</v>
      </c>
    </row>
    <row r="1953">
      <c r="A1953" s="1" t="s">
        <v>4986</v>
      </c>
      <c r="B1953" s="15">
        <f t="shared" ref="B1953:B1954" si="250">+917976914935</f>
        <v>917976914935</v>
      </c>
      <c r="C1953" s="15" t="str">
        <f t="shared" si="1"/>
        <v>kuldeep.s.singh94@gnail.com917976914935</v>
      </c>
      <c r="D1953" s="16" t="s">
        <v>8978</v>
      </c>
      <c r="E1953" s="16" t="s">
        <v>68</v>
      </c>
    </row>
    <row r="1954">
      <c r="A1954" s="1" t="s">
        <v>4986</v>
      </c>
      <c r="B1954" s="15">
        <f t="shared" si="250"/>
        <v>917976914935</v>
      </c>
      <c r="C1954" s="15" t="str">
        <f t="shared" si="1"/>
        <v>kuldeep.s.singh94@gnail.com917976914935</v>
      </c>
      <c r="D1954" s="16" t="s">
        <v>8979</v>
      </c>
      <c r="E1954" s="16" t="s">
        <v>68</v>
      </c>
    </row>
    <row r="1955">
      <c r="A1955" s="1" t="s">
        <v>2838</v>
      </c>
      <c r="B1955" s="15">
        <f>+919899849942</f>
        <v>919899849942</v>
      </c>
      <c r="C1955" s="15" t="str">
        <f t="shared" si="1"/>
        <v>rashu_mittal@yahoo.com919899849942</v>
      </c>
      <c r="D1955" s="16" t="s">
        <v>8980</v>
      </c>
      <c r="E1955" s="16" t="s">
        <v>97</v>
      </c>
    </row>
    <row r="1956">
      <c r="A1956" s="1" t="s">
        <v>4666</v>
      </c>
      <c r="B1956" s="15">
        <f>+918208798442</f>
        <v>918208798442</v>
      </c>
      <c r="C1956" s="15" t="str">
        <f t="shared" si="1"/>
        <v>kukrejakaran48@gmail.com918208798442</v>
      </c>
      <c r="D1956" s="16" t="s">
        <v>8981</v>
      </c>
      <c r="E1956" s="16" t="s">
        <v>68</v>
      </c>
    </row>
    <row r="1957">
      <c r="A1957" s="1" t="s">
        <v>3260</v>
      </c>
      <c r="B1957" s="15">
        <f>+918107697752</f>
        <v>918107697752</v>
      </c>
      <c r="C1957" s="15" t="str">
        <f t="shared" si="1"/>
        <v>chauhany7@gmail.com918107697752</v>
      </c>
      <c r="D1957" s="16" t="s">
        <v>8982</v>
      </c>
      <c r="E1957" s="16" t="s">
        <v>68</v>
      </c>
    </row>
    <row r="1958">
      <c r="A1958" s="1" t="s">
        <v>6084</v>
      </c>
      <c r="B1958" s="15">
        <f>+917838228073</f>
        <v>917838228073</v>
      </c>
      <c r="C1958" s="15" t="str">
        <f t="shared" si="1"/>
        <v>yasminpacrucha2019@gmail.com917838228073</v>
      </c>
      <c r="D1958" s="16" t="s">
        <v>8983</v>
      </c>
      <c r="E1958" s="16" t="s">
        <v>74</v>
      </c>
    </row>
    <row r="1959">
      <c r="A1959" s="1" t="s">
        <v>2505</v>
      </c>
      <c r="B1959" s="15">
        <f>+919951600801</f>
        <v>919951600801</v>
      </c>
      <c r="C1959" s="15" t="str">
        <f t="shared" si="1"/>
        <v>pradeepvatturi@gmail.com919951600801</v>
      </c>
      <c r="D1959" s="16" t="s">
        <v>8984</v>
      </c>
      <c r="E1959" s="16" t="s">
        <v>151</v>
      </c>
    </row>
    <row r="1960">
      <c r="A1960" s="1" t="s">
        <v>2840</v>
      </c>
      <c r="B1960" s="15">
        <f>+919594206992</f>
        <v>919594206992</v>
      </c>
      <c r="C1960" s="15" t="str">
        <f t="shared" si="1"/>
        <v>zubair.khanfilms@gmail.com919594206992</v>
      </c>
      <c r="D1960" s="16" t="s">
        <v>8985</v>
      </c>
      <c r="E1960" s="16" t="s">
        <v>97</v>
      </c>
    </row>
    <row r="1961">
      <c r="A1961" s="1" t="s">
        <v>2505</v>
      </c>
      <c r="B1961" s="15">
        <f>+919951600801</f>
        <v>919951600801</v>
      </c>
      <c r="C1961" s="15" t="str">
        <f t="shared" si="1"/>
        <v>pradeepvatturi@gmail.com919951600801</v>
      </c>
      <c r="D1961" s="16" t="s">
        <v>8986</v>
      </c>
      <c r="E1961" s="16" t="s">
        <v>68</v>
      </c>
    </row>
    <row r="1962">
      <c r="A1962" s="1" t="s">
        <v>2840</v>
      </c>
      <c r="B1962" s="15">
        <f>+919594206992</f>
        <v>919594206992</v>
      </c>
      <c r="C1962" s="15" t="str">
        <f t="shared" si="1"/>
        <v>zubair.khanfilms@gmail.com919594206992</v>
      </c>
      <c r="D1962" s="16" t="s">
        <v>8987</v>
      </c>
      <c r="E1962" s="16" t="s">
        <v>97</v>
      </c>
    </row>
    <row r="1963">
      <c r="A1963" s="1" t="s">
        <v>2505</v>
      </c>
      <c r="B1963" s="15">
        <f>+919951600801</f>
        <v>919951600801</v>
      </c>
      <c r="C1963" s="15" t="str">
        <f t="shared" si="1"/>
        <v>pradeepvatturi@gmail.com919951600801</v>
      </c>
      <c r="D1963" s="16" t="s">
        <v>8988</v>
      </c>
      <c r="E1963" s="16" t="s">
        <v>74</v>
      </c>
    </row>
    <row r="1964">
      <c r="A1964" s="1" t="s">
        <v>8989</v>
      </c>
      <c r="B1964" s="15">
        <f>+918885353510</f>
        <v>918885353510</v>
      </c>
      <c r="C1964" s="15" t="str">
        <f t="shared" si="1"/>
        <v>nagasai5619@gmail.com918885353510</v>
      </c>
      <c r="D1964" s="16" t="s">
        <v>8990</v>
      </c>
      <c r="E1964" s="16" t="s">
        <v>68</v>
      </c>
    </row>
    <row r="1965">
      <c r="A1965" s="1" t="s">
        <v>5518</v>
      </c>
      <c r="B1965" s="15">
        <f>+919899044403</f>
        <v>919899044403</v>
      </c>
      <c r="C1965" s="15" t="str">
        <f t="shared" si="1"/>
        <v>priyatuteja3@gmail.com919899044403</v>
      </c>
      <c r="D1965" s="16" t="s">
        <v>8991</v>
      </c>
      <c r="E1965" s="16" t="s">
        <v>74</v>
      </c>
    </row>
    <row r="1966">
      <c r="A1966" s="1" t="s">
        <v>3434</v>
      </c>
      <c r="B1966" s="15">
        <f>+918308570267</f>
        <v>918308570267</v>
      </c>
      <c r="C1966" s="15" t="str">
        <f t="shared" si="1"/>
        <v>varunmahale1993@gmail.com918308570267</v>
      </c>
      <c r="D1966" s="16" t="s">
        <v>8992</v>
      </c>
      <c r="E1966" s="16" t="s">
        <v>151</v>
      </c>
    </row>
    <row r="1967">
      <c r="A1967" s="1" t="s">
        <v>3042</v>
      </c>
      <c r="B1967" s="15">
        <f>+918921870369</f>
        <v>918921870369</v>
      </c>
      <c r="C1967" s="15" t="str">
        <f t="shared" si="1"/>
        <v>ralf9219@gmail.com918921870369</v>
      </c>
      <c r="D1967" s="16" t="s">
        <v>8993</v>
      </c>
      <c r="E1967" s="16" t="s">
        <v>68</v>
      </c>
    </row>
    <row r="1968">
      <c r="A1968" s="1" t="s">
        <v>3434</v>
      </c>
      <c r="B1968" s="15">
        <f>+918308570267</f>
        <v>918308570267</v>
      </c>
      <c r="C1968" s="15" t="str">
        <f t="shared" si="1"/>
        <v>varunmahale1993@gmail.com918308570267</v>
      </c>
      <c r="D1968" s="16" t="s">
        <v>8994</v>
      </c>
      <c r="E1968" s="16" t="s">
        <v>68</v>
      </c>
    </row>
    <row r="1969">
      <c r="A1969" s="1" t="s">
        <v>3785</v>
      </c>
      <c r="B1969" s="15">
        <f t="shared" ref="B1969:B1970" si="251">+919429379185</f>
        <v>919429379185</v>
      </c>
      <c r="C1969" s="15" t="str">
        <f t="shared" si="1"/>
        <v>pranayrawat92@gmail.com919429379185</v>
      </c>
      <c r="D1969" s="16" t="s">
        <v>8995</v>
      </c>
      <c r="E1969" s="16" t="s">
        <v>68</v>
      </c>
    </row>
    <row r="1970">
      <c r="A1970" s="1" t="s">
        <v>3785</v>
      </c>
      <c r="B1970" s="15">
        <f t="shared" si="251"/>
        <v>919429379185</v>
      </c>
      <c r="C1970" s="15" t="str">
        <f t="shared" si="1"/>
        <v>pranayrawat92@gmail.com919429379185</v>
      </c>
      <c r="D1970" s="16" t="s">
        <v>8996</v>
      </c>
      <c r="E1970" s="16" t="s">
        <v>68</v>
      </c>
    </row>
    <row r="1971">
      <c r="A1971" s="1" t="s">
        <v>2645</v>
      </c>
      <c r="B1971" s="15">
        <f>+918105882120</f>
        <v>918105882120</v>
      </c>
      <c r="C1971" s="15" t="str">
        <f t="shared" si="1"/>
        <v>dharitri.satish@gmail.com918105882120</v>
      </c>
      <c r="D1971" s="16" t="s">
        <v>8997</v>
      </c>
      <c r="E1971" s="16" t="s">
        <v>68</v>
      </c>
    </row>
    <row r="1972">
      <c r="A1972" s="1" t="s">
        <v>6390</v>
      </c>
      <c r="B1972" s="15">
        <f t="shared" ref="B1972:B1973" si="252">+919890588458</f>
        <v>919890588458</v>
      </c>
      <c r="C1972" s="15" t="str">
        <f t="shared" si="1"/>
        <v>aniketmendule81183@gmail.com919890588458</v>
      </c>
      <c r="D1972" s="16" t="s">
        <v>8998</v>
      </c>
      <c r="E1972" s="16" t="s">
        <v>74</v>
      </c>
    </row>
    <row r="1973">
      <c r="A1973" s="1" t="s">
        <v>6390</v>
      </c>
      <c r="B1973" s="15">
        <f t="shared" si="252"/>
        <v>919890588458</v>
      </c>
      <c r="C1973" s="15" t="str">
        <f t="shared" si="1"/>
        <v>aniketmendule81183@gmail.com919890588458</v>
      </c>
      <c r="D1973" s="16" t="s">
        <v>8999</v>
      </c>
      <c r="E1973" s="16" t="s">
        <v>74</v>
      </c>
    </row>
    <row r="1974">
      <c r="A1974" s="1" t="s">
        <v>4996</v>
      </c>
      <c r="B1974" s="15">
        <f t="shared" ref="B1974:B1976" si="253">+916201980084</f>
        <v>916201980084</v>
      </c>
      <c r="C1974" s="15" t="str">
        <f t="shared" si="1"/>
        <v>abhisheknirala900@gmail.com916201980084</v>
      </c>
      <c r="D1974" s="16" t="s">
        <v>9000</v>
      </c>
      <c r="E1974" s="16" t="s">
        <v>74</v>
      </c>
    </row>
    <row r="1975">
      <c r="A1975" s="1" t="s">
        <v>4996</v>
      </c>
      <c r="B1975" s="15">
        <f t="shared" si="253"/>
        <v>916201980084</v>
      </c>
      <c r="C1975" s="15" t="str">
        <f t="shared" si="1"/>
        <v>abhisheknirala900@gmail.com916201980084</v>
      </c>
      <c r="D1975" s="16" t="s">
        <v>9001</v>
      </c>
      <c r="E1975" s="16" t="s">
        <v>74</v>
      </c>
    </row>
    <row r="1976">
      <c r="A1976" s="1" t="s">
        <v>4996</v>
      </c>
      <c r="B1976" s="15">
        <f t="shared" si="253"/>
        <v>916201980084</v>
      </c>
      <c r="C1976" s="15" t="str">
        <f t="shared" si="1"/>
        <v>abhisheknirala900@gmail.com916201980084</v>
      </c>
      <c r="D1976" s="16" t="s">
        <v>9002</v>
      </c>
      <c r="E1976" s="16" t="s">
        <v>74</v>
      </c>
    </row>
    <row r="1977">
      <c r="A1977" s="1" t="s">
        <v>2507</v>
      </c>
      <c r="B1977" s="15">
        <f>+917063112159</f>
        <v>917063112159</v>
      </c>
      <c r="C1977" s="15" t="str">
        <f t="shared" si="1"/>
        <v>smritipragya@gmail.com917063112159</v>
      </c>
      <c r="D1977" s="16" t="s">
        <v>9003</v>
      </c>
      <c r="E1977" s="16" t="s">
        <v>68</v>
      </c>
    </row>
    <row r="1978">
      <c r="A1978" s="1" t="s">
        <v>9004</v>
      </c>
      <c r="B1978" s="15">
        <f>+919666909525</f>
        <v>919666909525</v>
      </c>
      <c r="C1978" s="15" t="str">
        <f t="shared" si="1"/>
        <v>bukyavenkatesh@gmail.com919666909525</v>
      </c>
      <c r="D1978" s="16" t="s">
        <v>9005</v>
      </c>
      <c r="E1978" s="16" t="s">
        <v>74</v>
      </c>
    </row>
    <row r="1979">
      <c r="A1979" s="1" t="s">
        <v>9006</v>
      </c>
      <c r="B1979" s="15">
        <f>+918483997806</f>
        <v>918483997806</v>
      </c>
      <c r="C1979" s="15" t="str">
        <f t="shared" si="1"/>
        <v>shaikhheena1314@gmail.com918483997806</v>
      </c>
      <c r="D1979" s="16" t="s">
        <v>9007</v>
      </c>
      <c r="E1979" s="16" t="s">
        <v>74</v>
      </c>
    </row>
    <row r="1980">
      <c r="A1980" s="1" t="s">
        <v>9004</v>
      </c>
      <c r="B1980" s="15">
        <f t="shared" ref="B1980:B1981" si="254">+919666909525</f>
        <v>919666909525</v>
      </c>
      <c r="C1980" s="15" t="str">
        <f t="shared" si="1"/>
        <v>bukyavenkatesh@gmail.com919666909525</v>
      </c>
      <c r="D1980" s="16" t="s">
        <v>9008</v>
      </c>
      <c r="E1980" s="16" t="s">
        <v>74</v>
      </c>
    </row>
    <row r="1981">
      <c r="A1981" s="1" t="s">
        <v>9004</v>
      </c>
      <c r="B1981" s="15">
        <f t="shared" si="254"/>
        <v>919666909525</v>
      </c>
      <c r="C1981" s="15" t="str">
        <f t="shared" si="1"/>
        <v>bukyavenkatesh@gmail.com919666909525</v>
      </c>
      <c r="D1981" s="16" t="s">
        <v>9009</v>
      </c>
      <c r="E1981" s="16" t="s">
        <v>74</v>
      </c>
    </row>
    <row r="1982">
      <c r="A1982" s="1" t="s">
        <v>3434</v>
      </c>
      <c r="B1982" s="15">
        <f>+918308570267</f>
        <v>918308570267</v>
      </c>
      <c r="C1982" s="15" t="str">
        <f t="shared" si="1"/>
        <v>varunmahale1993@gmail.com918308570267</v>
      </c>
      <c r="D1982" s="16" t="s">
        <v>9010</v>
      </c>
      <c r="E1982" s="16" t="s">
        <v>68</v>
      </c>
    </row>
    <row r="1983">
      <c r="A1983" s="1" t="s">
        <v>4988</v>
      </c>
      <c r="B1983" s="15">
        <f>+919654420504</f>
        <v>919654420504</v>
      </c>
      <c r="C1983" s="15" t="str">
        <f t="shared" si="1"/>
        <v>ajay.prosupp@gmail.com919654420504</v>
      </c>
      <c r="D1983" s="16" t="s">
        <v>9011</v>
      </c>
      <c r="E1983" s="16" t="s">
        <v>97</v>
      </c>
    </row>
    <row r="1984">
      <c r="A1984" s="1" t="s">
        <v>3898</v>
      </c>
      <c r="B1984" s="15">
        <f>+917428144747</f>
        <v>917428144747</v>
      </c>
      <c r="C1984" s="15" t="str">
        <f t="shared" si="1"/>
        <v>ratrasaneer@gmail.com917428144747</v>
      </c>
      <c r="D1984" s="16" t="s">
        <v>9012</v>
      </c>
      <c r="E1984" s="16" t="s">
        <v>74</v>
      </c>
    </row>
    <row r="1985">
      <c r="A1985" s="1" t="s">
        <v>3898</v>
      </c>
      <c r="B1985" s="15">
        <f>+919971234747</f>
        <v>919971234747</v>
      </c>
      <c r="C1985" s="15" t="str">
        <f t="shared" si="1"/>
        <v>ratrasaneer@gmail.com919971234747</v>
      </c>
      <c r="D1985" s="16" t="s">
        <v>9013</v>
      </c>
      <c r="E1985" s="16" t="s">
        <v>74</v>
      </c>
    </row>
    <row r="1986">
      <c r="A1986" s="1" t="s">
        <v>4668</v>
      </c>
      <c r="B1986" s="15">
        <f>+918527312214</f>
        <v>918527312214</v>
      </c>
      <c r="C1986" s="15" t="str">
        <f t="shared" si="1"/>
        <v>ak4522912@gmail.com918527312214</v>
      </c>
      <c r="D1986" s="16" t="s">
        <v>9014</v>
      </c>
      <c r="E1986" s="16" t="s">
        <v>68</v>
      </c>
    </row>
    <row r="1987">
      <c r="A1987" s="1" t="s">
        <v>3236</v>
      </c>
      <c r="B1987" s="15">
        <f>+918904427001</f>
        <v>918904427001</v>
      </c>
      <c r="C1987" s="15" t="str">
        <f t="shared" si="1"/>
        <v>manasa.vasavakala@gmail.com918904427001</v>
      </c>
      <c r="D1987" s="16" t="s">
        <v>9015</v>
      </c>
      <c r="E1987" s="16" t="s">
        <v>68</v>
      </c>
    </row>
    <row r="1988">
      <c r="A1988" s="1" t="s">
        <v>4825</v>
      </c>
      <c r="B1988" s="15">
        <f>+919944618375</f>
        <v>919944618375</v>
      </c>
      <c r="C1988" s="15" t="str">
        <f t="shared" si="1"/>
        <v>du07rga@gmail.com919944618375</v>
      </c>
      <c r="D1988" s="16" t="s">
        <v>9016</v>
      </c>
      <c r="E1988" s="16" t="s">
        <v>68</v>
      </c>
    </row>
    <row r="1989">
      <c r="A1989" s="1" t="s">
        <v>4990</v>
      </c>
      <c r="B1989" s="15">
        <f>+918250425302</f>
        <v>918250425302</v>
      </c>
      <c r="C1989" s="15" t="str">
        <f t="shared" si="1"/>
        <v>ayanhalder242@gmail.com918250425302</v>
      </c>
      <c r="D1989" s="16" t="s">
        <v>9017</v>
      </c>
      <c r="E1989" s="16" t="s">
        <v>68</v>
      </c>
    </row>
    <row r="1990">
      <c r="A1990" s="1" t="s">
        <v>5026</v>
      </c>
      <c r="B1990" s="15">
        <f>+917708478885</f>
        <v>917708478885</v>
      </c>
      <c r="C1990" s="15" t="str">
        <f t="shared" si="1"/>
        <v>subashkanth007@gmail.com917708478885</v>
      </c>
      <c r="D1990" s="16" t="s">
        <v>9018</v>
      </c>
      <c r="E1990" s="16" t="s">
        <v>74</v>
      </c>
    </row>
    <row r="1991">
      <c r="A1991" s="1" t="s">
        <v>6086</v>
      </c>
      <c r="B1991" s="15">
        <f>+916261266973</f>
        <v>916261266973</v>
      </c>
      <c r="C1991" s="15" t="str">
        <f t="shared" si="1"/>
        <v>sk2400879@gmail.com916261266973</v>
      </c>
      <c r="D1991" s="16" t="s">
        <v>9019</v>
      </c>
      <c r="E1991" s="16" t="s">
        <v>74</v>
      </c>
    </row>
    <row r="1992">
      <c r="A1992" s="1" t="s">
        <v>4100</v>
      </c>
      <c r="B1992" s="15">
        <f>+917338441117</f>
        <v>917338441117</v>
      </c>
      <c r="C1992" s="15" t="str">
        <f t="shared" si="1"/>
        <v>alejasmine@gmail.com917338441117</v>
      </c>
      <c r="D1992" s="16" t="s">
        <v>9020</v>
      </c>
      <c r="E1992" s="16" t="s">
        <v>68</v>
      </c>
    </row>
    <row r="1993">
      <c r="A1993" s="1" t="s">
        <v>4102</v>
      </c>
      <c r="B1993" s="15">
        <f>+919171931110</f>
        <v>919171931110</v>
      </c>
      <c r="C1993" s="15" t="str">
        <f t="shared" si="1"/>
        <v>reenay0@gmail.com919171931110</v>
      </c>
      <c r="D1993" s="16" t="s">
        <v>9021</v>
      </c>
      <c r="E1993" s="16" t="s">
        <v>68</v>
      </c>
    </row>
    <row r="1994">
      <c r="A1994" s="1" t="s">
        <v>4104</v>
      </c>
      <c r="B1994" s="15">
        <f>+917028194955</f>
        <v>917028194955</v>
      </c>
      <c r="C1994" s="15" t="str">
        <f t="shared" si="1"/>
        <v>scsowbhagya@gmail.com917028194955</v>
      </c>
      <c r="D1994" s="16" t="s">
        <v>9022</v>
      </c>
      <c r="E1994" s="16" t="s">
        <v>68</v>
      </c>
    </row>
    <row r="1995">
      <c r="A1995" s="1" t="s">
        <v>9023</v>
      </c>
      <c r="B1995" s="15">
        <f t="shared" ref="B1995:B1996" si="255">+918669061696</f>
        <v>918669061696</v>
      </c>
      <c r="C1995" s="15" t="str">
        <f t="shared" si="1"/>
        <v>sammungikar@gmail.com918669061696</v>
      </c>
      <c r="D1995" s="16" t="s">
        <v>9024</v>
      </c>
      <c r="E1995" s="16" t="s">
        <v>68</v>
      </c>
    </row>
    <row r="1996">
      <c r="A1996" s="1" t="s">
        <v>9023</v>
      </c>
      <c r="B1996" s="15">
        <f t="shared" si="255"/>
        <v>918669061696</v>
      </c>
      <c r="C1996" s="15" t="str">
        <f t="shared" si="1"/>
        <v>sammungikar@gmail.com918669061696</v>
      </c>
      <c r="D1996" s="16" t="s">
        <v>9025</v>
      </c>
      <c r="E1996" s="16" t="s">
        <v>68</v>
      </c>
    </row>
    <row r="1997">
      <c r="A1997" s="1" t="s">
        <v>3436</v>
      </c>
      <c r="B1997" s="15">
        <f>+919354634683</f>
        <v>919354634683</v>
      </c>
      <c r="C1997" s="15" t="str">
        <f t="shared" si="1"/>
        <v>nitu@decluttersolutions.in919354634683</v>
      </c>
      <c r="D1997" s="16" t="s">
        <v>9026</v>
      </c>
      <c r="E1997" s="16" t="s">
        <v>68</v>
      </c>
    </row>
    <row r="1998">
      <c r="A1998" s="1" t="s">
        <v>4455</v>
      </c>
      <c r="B1998" s="15">
        <f>+919440766412</f>
        <v>919440766412</v>
      </c>
      <c r="C1998" s="15" t="str">
        <f t="shared" si="1"/>
        <v>koushik.gajulapalle22@gmail.com919440766412</v>
      </c>
      <c r="D1998" s="16" t="s">
        <v>9027</v>
      </c>
      <c r="E1998" s="16" t="s">
        <v>261</v>
      </c>
    </row>
    <row r="1999">
      <c r="A1999" s="1" t="s">
        <v>4457</v>
      </c>
      <c r="B1999" s="15">
        <f>+919573245934</f>
        <v>919573245934</v>
      </c>
      <c r="C1999" s="15" t="str">
        <f t="shared" si="1"/>
        <v>bsaisatvika33@gmail.com919573245934</v>
      </c>
      <c r="D1999" s="16" t="s">
        <v>9028</v>
      </c>
      <c r="E1999" s="16" t="s">
        <v>97</v>
      </c>
    </row>
    <row r="2000">
      <c r="A2000" s="1" t="s">
        <v>4369</v>
      </c>
      <c r="B2000" s="15">
        <f>+919899824290</f>
        <v>919899824290</v>
      </c>
      <c r="C2000" s="15" t="str">
        <f t="shared" si="1"/>
        <v>divya.batraconnect@gmail.com919899824290</v>
      </c>
      <c r="D2000" s="16" t="s">
        <v>9029</v>
      </c>
      <c r="E2000" s="16" t="s">
        <v>68</v>
      </c>
    </row>
    <row r="2001">
      <c r="A2001" s="1" t="s">
        <v>3436</v>
      </c>
      <c r="B2001" s="15">
        <f>+919354634683</f>
        <v>919354634683</v>
      </c>
      <c r="C2001" s="15" t="str">
        <f t="shared" si="1"/>
        <v>nitu@decluttersolutions.in919354634683</v>
      </c>
      <c r="D2001" s="16" t="s">
        <v>9030</v>
      </c>
      <c r="E2001" s="16" t="s">
        <v>68</v>
      </c>
    </row>
    <row r="2002">
      <c r="A2002" s="1" t="s">
        <v>3787</v>
      </c>
      <c r="B2002" s="15">
        <f>+919866474323</f>
        <v>919866474323</v>
      </c>
      <c r="C2002" s="15" t="str">
        <f t="shared" si="1"/>
        <v>aseefshaik2.0@gmail.com919866474323</v>
      </c>
      <c r="D2002" s="16" t="s">
        <v>9031</v>
      </c>
      <c r="E2002" s="16" t="s">
        <v>68</v>
      </c>
    </row>
    <row r="2003">
      <c r="A2003" s="1" t="s">
        <v>4674</v>
      </c>
      <c r="B2003" s="15">
        <f>+919769705556</f>
        <v>919769705556</v>
      </c>
      <c r="C2003" s="15" t="str">
        <f t="shared" si="1"/>
        <v>chandrakant.ingale@gmail.com919769705556</v>
      </c>
      <c r="D2003" s="16" t="s">
        <v>9032</v>
      </c>
      <c r="E2003" s="16" t="s">
        <v>74</v>
      </c>
    </row>
    <row r="2004">
      <c r="A2004" s="1" t="s">
        <v>3238</v>
      </c>
      <c r="B2004" s="15">
        <f>+919100868183</f>
        <v>919100868183</v>
      </c>
      <c r="C2004" s="15" t="str">
        <f t="shared" si="1"/>
        <v>mithrachalla@gmail.com919100868183</v>
      </c>
      <c r="D2004" s="16" t="s">
        <v>9033</v>
      </c>
      <c r="E2004" s="16" t="s">
        <v>68</v>
      </c>
    </row>
    <row r="2005">
      <c r="A2005" s="1" t="s">
        <v>9034</v>
      </c>
      <c r="B2005" s="15">
        <f>+919873674064</f>
        <v>919873674064</v>
      </c>
      <c r="C2005" s="15" t="str">
        <f t="shared" si="1"/>
        <v>ayushijainn251200@gmail.com919873674064</v>
      </c>
      <c r="D2005" s="16" t="s">
        <v>9035</v>
      </c>
      <c r="E2005" s="16" t="s">
        <v>68</v>
      </c>
    </row>
    <row r="2006">
      <c r="A2006" s="1" t="s">
        <v>9036</v>
      </c>
      <c r="B2006" s="15">
        <f>+919884191335</f>
        <v>919884191335</v>
      </c>
      <c r="C2006" s="15" t="str">
        <f t="shared" si="1"/>
        <v>praneethrajkanakam@gmail.com919884191335</v>
      </c>
      <c r="D2006" s="16" t="s">
        <v>9037</v>
      </c>
      <c r="E2006" s="16" t="s">
        <v>74</v>
      </c>
    </row>
    <row r="2007">
      <c r="A2007" s="1" t="s">
        <v>4670</v>
      </c>
      <c r="B2007" s="15">
        <f t="shared" ref="B2007:B2010" si="256">+919916570222</f>
        <v>919916570222</v>
      </c>
      <c r="C2007" s="15" t="str">
        <f t="shared" si="1"/>
        <v>jyotiyb@gmail.com919916570222</v>
      </c>
      <c r="D2007" s="16" t="s">
        <v>9038</v>
      </c>
      <c r="E2007" s="16" t="s">
        <v>68</v>
      </c>
    </row>
    <row r="2008">
      <c r="A2008" s="1" t="s">
        <v>4670</v>
      </c>
      <c r="B2008" s="15">
        <f t="shared" si="256"/>
        <v>919916570222</v>
      </c>
      <c r="C2008" s="15" t="str">
        <f t="shared" si="1"/>
        <v>jyotiyb@gmail.com919916570222</v>
      </c>
      <c r="D2008" s="16" t="s">
        <v>9039</v>
      </c>
      <c r="E2008" s="16" t="s">
        <v>68</v>
      </c>
    </row>
    <row r="2009">
      <c r="A2009" s="1" t="s">
        <v>4670</v>
      </c>
      <c r="B2009" s="15">
        <f t="shared" si="256"/>
        <v>919916570222</v>
      </c>
      <c r="C2009" s="15" t="str">
        <f t="shared" si="1"/>
        <v>jyotiyb@gmail.com919916570222</v>
      </c>
      <c r="D2009" s="16" t="s">
        <v>9040</v>
      </c>
      <c r="E2009" s="16" t="s">
        <v>68</v>
      </c>
    </row>
    <row r="2010">
      <c r="A2010" s="1" t="s">
        <v>4670</v>
      </c>
      <c r="B2010" s="15">
        <f t="shared" si="256"/>
        <v>919916570222</v>
      </c>
      <c r="C2010" s="15" t="str">
        <f t="shared" si="1"/>
        <v>jyotiyb@gmail.com919916570222</v>
      </c>
      <c r="D2010" s="16" t="s">
        <v>9041</v>
      </c>
      <c r="E2010" s="16" t="s">
        <v>97</v>
      </c>
    </row>
    <row r="2011">
      <c r="A2011" s="1" t="s">
        <v>3438</v>
      </c>
      <c r="B2011" s="15">
        <f>+919855171712</f>
        <v>919855171712</v>
      </c>
      <c r="C2011" s="15" t="str">
        <f t="shared" si="1"/>
        <v>manvinder.minni78@gmail.com919855171712</v>
      </c>
      <c r="D2011" s="16" t="s">
        <v>9042</v>
      </c>
      <c r="E2011" s="16" t="s">
        <v>74</v>
      </c>
    </row>
    <row r="2012">
      <c r="A2012" s="1" t="s">
        <v>2842</v>
      </c>
      <c r="B2012" s="15">
        <f t="shared" ref="B2012:B2013" si="257">+919644191073</f>
        <v>919644191073</v>
      </c>
      <c r="C2012" s="15" t="str">
        <f t="shared" si="1"/>
        <v>anveshas03@gmail.com919644191073</v>
      </c>
      <c r="D2012" s="16" t="s">
        <v>9043</v>
      </c>
      <c r="E2012" s="16" t="s">
        <v>74</v>
      </c>
    </row>
    <row r="2013">
      <c r="A2013" s="1" t="s">
        <v>2842</v>
      </c>
      <c r="B2013" s="15">
        <f t="shared" si="257"/>
        <v>919644191073</v>
      </c>
      <c r="C2013" s="15" t="str">
        <f t="shared" si="1"/>
        <v>anveshas03@gmail.com919644191073</v>
      </c>
      <c r="D2013" s="16" t="s">
        <v>9044</v>
      </c>
      <c r="E2013" s="16" t="s">
        <v>68</v>
      </c>
    </row>
    <row r="2014">
      <c r="A2014" s="1" t="s">
        <v>6239</v>
      </c>
      <c r="B2014" s="15">
        <f>+917014351653</f>
        <v>917014351653</v>
      </c>
      <c r="C2014" s="15" t="str">
        <f t="shared" si="1"/>
        <v>rachitsharma48@gmail.com917014351653</v>
      </c>
      <c r="D2014" s="16" t="s">
        <v>9045</v>
      </c>
      <c r="E2014" s="16" t="s">
        <v>68</v>
      </c>
    </row>
    <row r="2015">
      <c r="A2015" s="1" t="s">
        <v>4106</v>
      </c>
      <c r="B2015" s="15">
        <f>+919897585043</f>
        <v>919897585043</v>
      </c>
      <c r="C2015" s="15" t="str">
        <f t="shared" si="1"/>
        <v>ace.ap6@gmail.com919897585043</v>
      </c>
      <c r="D2015" s="16" t="s">
        <v>9046</v>
      </c>
      <c r="E2015" s="16" t="s">
        <v>68</v>
      </c>
    </row>
    <row r="2016">
      <c r="A2016" s="1" t="s">
        <v>2844</v>
      </c>
      <c r="B2016" s="15">
        <f>+917093081109</f>
        <v>917093081109</v>
      </c>
      <c r="C2016" s="15" t="str">
        <f t="shared" si="1"/>
        <v>scarysai@gmail.com917093081109</v>
      </c>
      <c r="D2016" s="16" t="s">
        <v>9047</v>
      </c>
      <c r="E2016" s="16" t="s">
        <v>68</v>
      </c>
    </row>
    <row r="2017">
      <c r="A2017" s="1" t="s">
        <v>3438</v>
      </c>
      <c r="B2017" s="15">
        <f>+919855171712</f>
        <v>919855171712</v>
      </c>
      <c r="C2017" s="15" t="str">
        <f t="shared" si="1"/>
        <v>manvinder.minni78@gmail.com919855171712</v>
      </c>
      <c r="D2017" s="16" t="s">
        <v>9048</v>
      </c>
      <c r="E2017" s="16" t="s">
        <v>74</v>
      </c>
    </row>
    <row r="2018">
      <c r="A2018" s="1" t="s">
        <v>2846</v>
      </c>
      <c r="B2018" s="15">
        <f>+919275139045</f>
        <v>919275139045</v>
      </c>
      <c r="C2018" s="15" t="str">
        <f t="shared" si="1"/>
        <v>dr.dev2210@gmail.com919275139045</v>
      </c>
      <c r="D2018" s="16" t="s">
        <v>9049</v>
      </c>
      <c r="E2018" s="16" t="s">
        <v>68</v>
      </c>
    </row>
    <row r="2019">
      <c r="A2019" s="1" t="s">
        <v>3900</v>
      </c>
      <c r="B2019" s="15">
        <f>+919110504405</f>
        <v>919110504405</v>
      </c>
      <c r="C2019" s="15" t="str">
        <f t="shared" si="1"/>
        <v>simhadribhargava285@gmail.com919110504405</v>
      </c>
      <c r="D2019" s="16" t="s">
        <v>9050</v>
      </c>
      <c r="E2019" s="16" t="s">
        <v>68</v>
      </c>
    </row>
    <row r="2020">
      <c r="A2020" s="1" t="s">
        <v>4672</v>
      </c>
      <c r="B2020" s="15">
        <f>+917533851002</f>
        <v>917533851002</v>
      </c>
      <c r="C2020" s="15" t="str">
        <f t="shared" si="1"/>
        <v>ankitrockstar064@gmail.com917533851002</v>
      </c>
      <c r="D2020" s="16" t="s">
        <v>9051</v>
      </c>
      <c r="E2020" s="16" t="s">
        <v>68</v>
      </c>
    </row>
    <row r="2021">
      <c r="A2021" s="1" t="s">
        <v>5390</v>
      </c>
      <c r="B2021" s="15">
        <f>+919402108039</f>
        <v>919402108039</v>
      </c>
      <c r="C2021" s="15" t="str">
        <f t="shared" si="1"/>
        <v>basusreedebbarman@gmail.com919402108039</v>
      </c>
      <c r="D2021" s="16" t="s">
        <v>9052</v>
      </c>
      <c r="E2021" s="16" t="s">
        <v>68</v>
      </c>
    </row>
    <row r="2022">
      <c r="A2022" s="1" t="s">
        <v>9053</v>
      </c>
      <c r="B2022" s="15">
        <f>+917907207477</f>
        <v>917907207477</v>
      </c>
      <c r="C2022" s="15" t="str">
        <f t="shared" si="1"/>
        <v>ajaysd21@gmail.com917907207477</v>
      </c>
      <c r="D2022" s="16" t="s">
        <v>9054</v>
      </c>
      <c r="E2022" s="16" t="s">
        <v>74</v>
      </c>
    </row>
    <row r="2023">
      <c r="A2023" s="1" t="s">
        <v>4302</v>
      </c>
      <c r="B2023" s="15">
        <f>+919773645273</f>
        <v>919773645273</v>
      </c>
      <c r="C2023" s="15" t="str">
        <f t="shared" si="1"/>
        <v>soharehman7838@gmail.com919773645273</v>
      </c>
      <c r="D2023" s="16" t="s">
        <v>9055</v>
      </c>
      <c r="E2023" s="16" t="s">
        <v>68</v>
      </c>
    </row>
    <row r="2024">
      <c r="A2024" s="1" t="s">
        <v>4108</v>
      </c>
      <c r="B2024" s="15">
        <f>+918971888824</f>
        <v>918971888824</v>
      </c>
      <c r="C2024" s="15" t="str">
        <f t="shared" si="1"/>
        <v>bhmthi8@gmail.com918971888824</v>
      </c>
      <c r="D2024" s="16" t="s">
        <v>9056</v>
      </c>
      <c r="E2024" s="16" t="s">
        <v>68</v>
      </c>
    </row>
    <row r="2025">
      <c r="A2025" s="1" t="s">
        <v>4674</v>
      </c>
      <c r="B2025" s="15">
        <f>+919769705556</f>
        <v>919769705556</v>
      </c>
      <c r="C2025" s="15" t="str">
        <f t="shared" si="1"/>
        <v>chandrakant.ingale@gmail.com919769705556</v>
      </c>
      <c r="D2025" s="16" t="s">
        <v>9057</v>
      </c>
      <c r="E2025" s="16" t="s">
        <v>68</v>
      </c>
    </row>
    <row r="2026">
      <c r="A2026" s="1" t="s">
        <v>4459</v>
      </c>
      <c r="B2026" s="15">
        <f>+919830898748</f>
        <v>919830898748</v>
      </c>
      <c r="C2026" s="15" t="str">
        <f t="shared" si="1"/>
        <v>dr.narayan.mitra@gmail.com919830898748</v>
      </c>
      <c r="D2026" s="16" t="s">
        <v>9058</v>
      </c>
      <c r="E2026" s="16" t="s">
        <v>68</v>
      </c>
    </row>
    <row r="2027">
      <c r="A2027" s="1" t="s">
        <v>6392</v>
      </c>
      <c r="B2027" s="15">
        <f>+918008371122</f>
        <v>918008371122</v>
      </c>
      <c r="C2027" s="15" t="str">
        <f t="shared" si="1"/>
        <v>maddiletireddy232@gmail.com918008371122</v>
      </c>
      <c r="D2027" s="16" t="s">
        <v>9059</v>
      </c>
      <c r="E2027" s="16" t="s">
        <v>68</v>
      </c>
    </row>
    <row r="2028">
      <c r="A2028" s="1" t="s">
        <v>9060</v>
      </c>
      <c r="B2028" s="15">
        <f>+916909189260</f>
        <v>916909189260</v>
      </c>
      <c r="C2028" s="15" t="str">
        <f t="shared" si="1"/>
        <v>kushagra192000@gmail.com916909189260</v>
      </c>
      <c r="D2028" s="16" t="s">
        <v>9061</v>
      </c>
      <c r="E2028" s="16" t="s">
        <v>68</v>
      </c>
    </row>
    <row r="2029">
      <c r="A2029" s="1" t="s">
        <v>9062</v>
      </c>
      <c r="B2029" s="15">
        <f t="shared" ref="B2029:B2030" si="258">+917875593094</f>
        <v>917875593094</v>
      </c>
      <c r="C2029" s="15" t="str">
        <f t="shared" si="1"/>
        <v>archanahchauhan.1998@gmail.com917875593094</v>
      </c>
      <c r="D2029" s="16" t="s">
        <v>9063</v>
      </c>
      <c r="E2029" s="16" t="s">
        <v>68</v>
      </c>
    </row>
    <row r="2030">
      <c r="A2030" s="1" t="s">
        <v>9062</v>
      </c>
      <c r="B2030" s="15">
        <f t="shared" si="258"/>
        <v>917875593094</v>
      </c>
      <c r="C2030" s="15" t="str">
        <f t="shared" si="1"/>
        <v>archanahchauhan.1998@gmail.com917875593094</v>
      </c>
      <c r="D2030" s="16" t="s">
        <v>9064</v>
      </c>
      <c r="E2030" s="16" t="s">
        <v>68</v>
      </c>
    </row>
    <row r="2031">
      <c r="A2031" s="1" t="s">
        <v>4676</v>
      </c>
      <c r="B2031" s="15">
        <f>+917666711139</f>
        <v>917666711139</v>
      </c>
      <c r="C2031" s="15" t="str">
        <f t="shared" si="1"/>
        <v>kakh.patil@gmail.com917666711139</v>
      </c>
      <c r="D2031" s="16" t="s">
        <v>9065</v>
      </c>
      <c r="E2031" s="16" t="s">
        <v>68</v>
      </c>
    </row>
    <row r="2032">
      <c r="A2032" s="1" t="s">
        <v>3440</v>
      </c>
      <c r="B2032" s="15">
        <f>+919408686381</f>
        <v>919408686381</v>
      </c>
      <c r="C2032" s="15" t="str">
        <f t="shared" si="1"/>
        <v>bhumip4@gmail.com919408686381</v>
      </c>
      <c r="D2032" s="16" t="s">
        <v>9066</v>
      </c>
      <c r="E2032" s="16" t="s">
        <v>68</v>
      </c>
    </row>
    <row r="2033">
      <c r="A2033" s="1" t="s">
        <v>5245</v>
      </c>
      <c r="B2033" s="15">
        <f>+919930910388</f>
        <v>919930910388</v>
      </c>
      <c r="C2033" s="15" t="str">
        <f t="shared" si="1"/>
        <v>bharatiktrivedi@gmail.com919930910388</v>
      </c>
      <c r="D2033" s="16" t="s">
        <v>9067</v>
      </c>
      <c r="E2033" s="16" t="s">
        <v>74</v>
      </c>
    </row>
    <row r="2034">
      <c r="A2034" s="1" t="s">
        <v>9068</v>
      </c>
      <c r="B2034" s="15">
        <f>+918319030393</f>
        <v>918319030393</v>
      </c>
      <c r="C2034" s="15" t="str">
        <f t="shared" si="1"/>
        <v>vishvjeet270@gmail.com918319030393</v>
      </c>
      <c r="D2034" s="16" t="s">
        <v>9069</v>
      </c>
      <c r="E2034" s="16" t="s">
        <v>68</v>
      </c>
    </row>
    <row r="2035">
      <c r="A2035" s="1" t="s">
        <v>5272</v>
      </c>
      <c r="B2035" s="15">
        <f>+919723207150</f>
        <v>919723207150</v>
      </c>
      <c r="C2035" s="15" t="str">
        <f t="shared" si="1"/>
        <v>lyfofdream@gmail.com919723207150</v>
      </c>
      <c r="D2035" s="16" t="s">
        <v>9070</v>
      </c>
      <c r="E2035" s="16" t="s">
        <v>74</v>
      </c>
    </row>
    <row r="2036">
      <c r="A2036" s="1" t="s">
        <v>9071</v>
      </c>
      <c r="B2036" s="15">
        <f>+918494817334</f>
        <v>918494817334</v>
      </c>
      <c r="C2036" s="15" t="str">
        <f t="shared" si="1"/>
        <v>ameerakunhi97@gmail.com918494817334</v>
      </c>
      <c r="D2036" s="16" t="s">
        <v>9072</v>
      </c>
      <c r="E2036" s="16" t="s">
        <v>68</v>
      </c>
    </row>
    <row r="2037">
      <c r="A2037" s="1" t="s">
        <v>6394</v>
      </c>
      <c r="B2037" s="15">
        <f>+918446580430</f>
        <v>918446580430</v>
      </c>
      <c r="C2037" s="15" t="str">
        <f t="shared" si="1"/>
        <v>shubhangirwasu@gmail.com918446580430</v>
      </c>
      <c r="D2037" s="16" t="s">
        <v>9073</v>
      </c>
      <c r="E2037" s="16" t="s">
        <v>68</v>
      </c>
    </row>
    <row r="2038">
      <c r="A2038" s="1" t="s">
        <v>9074</v>
      </c>
      <c r="B2038" s="15">
        <f>+919011094239</f>
        <v>919011094239</v>
      </c>
      <c r="C2038" s="15" t="str">
        <f t="shared" si="1"/>
        <v>anagha.santosh.pathak@gmail.com919011094239</v>
      </c>
      <c r="D2038" s="16" t="s">
        <v>9075</v>
      </c>
      <c r="E2038" s="16" t="s">
        <v>68</v>
      </c>
    </row>
    <row r="2039">
      <c r="A2039" s="1" t="s">
        <v>4110</v>
      </c>
      <c r="B2039" s="15">
        <f>+919741546133</f>
        <v>919741546133</v>
      </c>
      <c r="C2039" s="15" t="str">
        <f t="shared" si="1"/>
        <v>akshu.nadig@gmail.com919741546133</v>
      </c>
      <c r="D2039" s="16" t="s">
        <v>9076</v>
      </c>
      <c r="E2039" s="16" t="s">
        <v>74</v>
      </c>
    </row>
    <row r="2040">
      <c r="A2040" s="1" t="s">
        <v>4112</v>
      </c>
      <c r="B2040" s="15">
        <f>+918830165844</f>
        <v>918830165844</v>
      </c>
      <c r="C2040" s="15" t="str">
        <f t="shared" si="1"/>
        <v>paridhoke2d@gmail.com918830165844</v>
      </c>
      <c r="D2040" s="16" t="s">
        <v>9077</v>
      </c>
      <c r="E2040" s="16" t="s">
        <v>68</v>
      </c>
    </row>
    <row r="2041">
      <c r="A2041" s="1" t="s">
        <v>5246</v>
      </c>
      <c r="B2041" s="15">
        <f>+919849036768</f>
        <v>919849036768</v>
      </c>
      <c r="C2041" s="15" t="str">
        <f t="shared" si="1"/>
        <v>annapurnamalineni99@gmail.com919849036768</v>
      </c>
      <c r="D2041" s="16" t="s">
        <v>9078</v>
      </c>
      <c r="E2041" s="16" t="s">
        <v>68</v>
      </c>
    </row>
    <row r="2042">
      <c r="A2042" s="1" t="s">
        <v>5248</v>
      </c>
      <c r="B2042" s="15">
        <f>+919680448639</f>
        <v>919680448639</v>
      </c>
      <c r="C2042" s="15" t="str">
        <f t="shared" si="1"/>
        <v>garima2525@gmail.com919680448639</v>
      </c>
      <c r="D2042" s="16" t="s">
        <v>9079</v>
      </c>
      <c r="E2042" s="16" t="s">
        <v>68</v>
      </c>
    </row>
    <row r="2043">
      <c r="A2043" s="1" t="s">
        <v>4114</v>
      </c>
      <c r="B2043" s="15">
        <f>+916281679434</f>
        <v>916281679434</v>
      </c>
      <c r="C2043" s="15" t="str">
        <f t="shared" si="1"/>
        <v>mailmevijusha@gmail.com916281679434</v>
      </c>
      <c r="D2043" s="16" t="s">
        <v>9080</v>
      </c>
      <c r="E2043" s="16" t="s">
        <v>68</v>
      </c>
    </row>
    <row r="2044">
      <c r="A2044" s="1" t="s">
        <v>5250</v>
      </c>
      <c r="B2044" s="15">
        <f>+919811481100</f>
        <v>919811481100</v>
      </c>
      <c r="C2044" s="15" t="str">
        <f t="shared" si="1"/>
        <v>amitdevrajchawla@gmail.com919811481100</v>
      </c>
      <c r="D2044" s="16" t="s">
        <v>9081</v>
      </c>
      <c r="E2044" s="16" t="s">
        <v>68</v>
      </c>
    </row>
    <row r="2045">
      <c r="A2045" s="1" t="s">
        <v>9082</v>
      </c>
      <c r="B2045" s="15">
        <f>+919599408039</f>
        <v>919599408039</v>
      </c>
      <c r="C2045" s="15" t="str">
        <f t="shared" si="1"/>
        <v>juhigoel18@gmail.com919599408039</v>
      </c>
      <c r="D2045" s="16" t="s">
        <v>9083</v>
      </c>
      <c r="E2045" s="16" t="s">
        <v>68</v>
      </c>
    </row>
    <row r="2046">
      <c r="A2046" s="1" t="s">
        <v>6088</v>
      </c>
      <c r="B2046" s="15">
        <f>+919881138851</f>
        <v>919881138851</v>
      </c>
      <c r="C2046" s="15" t="str">
        <f t="shared" si="1"/>
        <v>akshaybhagwat2721@gmail.com919881138851</v>
      </c>
      <c r="D2046" s="16" t="s">
        <v>9084</v>
      </c>
      <c r="E2046" s="16" t="s">
        <v>74</v>
      </c>
    </row>
    <row r="2047">
      <c r="A2047" s="1" t="s">
        <v>5392</v>
      </c>
      <c r="B2047" s="15">
        <f>+917083544581</f>
        <v>917083544581</v>
      </c>
      <c r="C2047" s="15" t="str">
        <f t="shared" si="1"/>
        <v>kinnarigky6@gmail.com917083544581</v>
      </c>
      <c r="D2047" s="16" t="s">
        <v>9085</v>
      </c>
      <c r="E2047" s="16" t="s">
        <v>74</v>
      </c>
    </row>
    <row r="2048">
      <c r="A2048" s="1" t="s">
        <v>2844</v>
      </c>
      <c r="B2048" s="15">
        <f>+917093081109</f>
        <v>917093081109</v>
      </c>
      <c r="C2048" s="15" t="str">
        <f t="shared" si="1"/>
        <v>scarysai@gmail.com917093081109</v>
      </c>
      <c r="D2048" s="16" t="s">
        <v>9086</v>
      </c>
      <c r="E2048" s="16" t="s">
        <v>68</v>
      </c>
    </row>
    <row r="2049">
      <c r="A2049" s="1" t="s">
        <v>9082</v>
      </c>
      <c r="B2049" s="15">
        <f t="shared" ref="B2049:B2051" si="259">+919599408039</f>
        <v>919599408039</v>
      </c>
      <c r="C2049" s="15" t="str">
        <f t="shared" si="1"/>
        <v>juhigoel18@gmail.com919599408039</v>
      </c>
      <c r="D2049" s="16" t="s">
        <v>9087</v>
      </c>
      <c r="E2049" s="16" t="s">
        <v>68</v>
      </c>
    </row>
    <row r="2050">
      <c r="A2050" s="1" t="s">
        <v>9082</v>
      </c>
      <c r="B2050" s="15">
        <f t="shared" si="259"/>
        <v>919599408039</v>
      </c>
      <c r="C2050" s="15" t="str">
        <f t="shared" si="1"/>
        <v>juhigoel18@gmail.com919599408039</v>
      </c>
      <c r="D2050" s="16" t="s">
        <v>9088</v>
      </c>
      <c r="E2050" s="16" t="s">
        <v>151</v>
      </c>
    </row>
    <row r="2051">
      <c r="A2051" s="1" t="s">
        <v>9082</v>
      </c>
      <c r="B2051" s="15">
        <f t="shared" si="259"/>
        <v>919599408039</v>
      </c>
      <c r="C2051" s="15" t="str">
        <f t="shared" si="1"/>
        <v>juhigoel18@gmail.com919599408039</v>
      </c>
      <c r="D2051" s="16" t="s">
        <v>9089</v>
      </c>
      <c r="E2051" s="16" t="s">
        <v>74</v>
      </c>
    </row>
    <row r="2052">
      <c r="A2052" s="1" t="s">
        <v>2844</v>
      </c>
      <c r="B2052" s="15">
        <f>+917093081109</f>
        <v>917093081109</v>
      </c>
      <c r="C2052" s="15" t="str">
        <f t="shared" si="1"/>
        <v>scarysai@gmail.com917093081109</v>
      </c>
      <c r="D2052" s="16" t="s">
        <v>9090</v>
      </c>
      <c r="E2052" s="16" t="s">
        <v>74</v>
      </c>
    </row>
    <row r="2053">
      <c r="A2053" s="1" t="s">
        <v>6625</v>
      </c>
      <c r="B2053" s="15">
        <f>+919490119679</f>
        <v>919490119679</v>
      </c>
      <c r="C2053" s="15" t="str">
        <f t="shared" si="1"/>
        <v>kavyasruthi464@gmail.com919490119679</v>
      </c>
      <c r="D2053" s="16" t="s">
        <v>9091</v>
      </c>
      <c r="E2053" s="16" t="s">
        <v>68</v>
      </c>
    </row>
    <row r="2054">
      <c r="A2054" s="1" t="s">
        <v>4400</v>
      </c>
      <c r="B2054" s="15">
        <f>+919899987512</f>
        <v>919899987512</v>
      </c>
      <c r="C2054" s="15" t="str">
        <f t="shared" si="1"/>
        <v>sndhabu98e@gmail.com919899987512</v>
      </c>
      <c r="D2054" s="16" t="s">
        <v>9092</v>
      </c>
      <c r="E2054" s="16" t="s">
        <v>68</v>
      </c>
    </row>
    <row r="2055">
      <c r="A2055" s="1" t="s">
        <v>2844</v>
      </c>
      <c r="B2055" s="15">
        <f>+917093081109</f>
        <v>917093081109</v>
      </c>
      <c r="C2055" s="15" t="str">
        <f t="shared" si="1"/>
        <v>scarysai@gmail.com917093081109</v>
      </c>
      <c r="D2055" s="16" t="s">
        <v>9093</v>
      </c>
      <c r="E2055" s="16" t="s">
        <v>68</v>
      </c>
    </row>
    <row r="2056">
      <c r="A2056" s="1" t="s">
        <v>4304</v>
      </c>
      <c r="B2056" s="15">
        <f t="shared" ref="B2056:B2057" si="260">+919137233142</f>
        <v>919137233142</v>
      </c>
      <c r="C2056" s="15" t="str">
        <f t="shared" si="1"/>
        <v>kavita.iyer22@gmail.com919137233142</v>
      </c>
      <c r="D2056" s="16" t="s">
        <v>9094</v>
      </c>
      <c r="E2056" s="16" t="s">
        <v>151</v>
      </c>
    </row>
    <row r="2057">
      <c r="A2057" s="1" t="s">
        <v>4304</v>
      </c>
      <c r="B2057" s="15">
        <f t="shared" si="260"/>
        <v>919137233142</v>
      </c>
      <c r="C2057" s="15" t="str">
        <f t="shared" si="1"/>
        <v>kavita.iyer22@gmail.com919137233142</v>
      </c>
      <c r="D2057" s="16" t="s">
        <v>9095</v>
      </c>
      <c r="E2057" s="16" t="s">
        <v>68</v>
      </c>
    </row>
    <row r="2058">
      <c r="A2058" s="1" t="s">
        <v>2725</v>
      </c>
      <c r="B2058" s="15">
        <f>+919892623122</f>
        <v>919892623122</v>
      </c>
      <c r="C2058" s="15" t="str">
        <f t="shared" si="1"/>
        <v>gopadutta24@gmail.com919892623122</v>
      </c>
      <c r="D2058" s="16" t="s">
        <v>9096</v>
      </c>
      <c r="E2058" s="16" t="s">
        <v>74</v>
      </c>
    </row>
    <row r="2059">
      <c r="A2059" s="1" t="s">
        <v>9082</v>
      </c>
      <c r="B2059" s="15">
        <f t="shared" ref="B2059:B2060" si="261">+919599408039</f>
        <v>919599408039</v>
      </c>
      <c r="C2059" s="15" t="str">
        <f t="shared" si="1"/>
        <v>juhigoel18@gmail.com919599408039</v>
      </c>
      <c r="D2059" s="16" t="s">
        <v>9097</v>
      </c>
      <c r="E2059" s="16" t="s">
        <v>68</v>
      </c>
    </row>
    <row r="2060">
      <c r="A2060" s="1" t="s">
        <v>9082</v>
      </c>
      <c r="B2060" s="15">
        <f t="shared" si="261"/>
        <v>919599408039</v>
      </c>
      <c r="C2060" s="15" t="str">
        <f t="shared" si="1"/>
        <v>juhigoel18@gmail.com919599408039</v>
      </c>
      <c r="D2060" s="16" t="s">
        <v>9098</v>
      </c>
      <c r="E2060" s="16" t="s">
        <v>74</v>
      </c>
    </row>
    <row r="2061">
      <c r="A2061" s="1" t="s">
        <v>3442</v>
      </c>
      <c r="B2061" s="15">
        <f>+918545904323</f>
        <v>918545904323</v>
      </c>
      <c r="C2061" s="15" t="str">
        <f t="shared" si="1"/>
        <v>anmol.agnihotri.98@gmail.com918545904323</v>
      </c>
      <c r="D2061" s="16" t="s">
        <v>9099</v>
      </c>
      <c r="E2061" s="16" t="s">
        <v>68</v>
      </c>
    </row>
    <row r="2062">
      <c r="A2062" s="1" t="s">
        <v>1400</v>
      </c>
      <c r="B2062" s="15">
        <f>+917982620256</f>
        <v>917982620256</v>
      </c>
      <c r="C2062" s="15" t="str">
        <f t="shared" si="1"/>
        <v>uditraj79@gmail.com917982620256</v>
      </c>
      <c r="D2062" s="16" t="s">
        <v>9100</v>
      </c>
      <c r="E2062" s="16" t="s">
        <v>68</v>
      </c>
    </row>
    <row r="2063">
      <c r="A2063" s="1" t="s">
        <v>4992</v>
      </c>
      <c r="B2063" s="15">
        <f>+917510807872</f>
        <v>917510807872</v>
      </c>
      <c r="C2063" s="15" t="str">
        <f t="shared" si="1"/>
        <v>vishnumt7872@gmail.com917510807872</v>
      </c>
      <c r="D2063" s="16" t="s">
        <v>9101</v>
      </c>
      <c r="E2063" s="16" t="s">
        <v>74</v>
      </c>
    </row>
    <row r="2064">
      <c r="A2064" s="1" t="s">
        <v>4306</v>
      </c>
      <c r="B2064" s="15">
        <f t="shared" ref="B2064:B2065" si="262">+918553401198</f>
        <v>918553401198</v>
      </c>
      <c r="C2064" s="15" t="str">
        <f t="shared" si="1"/>
        <v>namrqthq.mpmp@gmail.com918553401198</v>
      </c>
      <c r="D2064" s="16" t="s">
        <v>9102</v>
      </c>
      <c r="E2064" s="16" t="s">
        <v>68</v>
      </c>
    </row>
    <row r="2065">
      <c r="A2065" s="1" t="s">
        <v>4306</v>
      </c>
      <c r="B2065" s="15">
        <f t="shared" si="262"/>
        <v>918553401198</v>
      </c>
      <c r="C2065" s="15" t="str">
        <f t="shared" si="1"/>
        <v>namrqthq.mpmp@gmail.com918553401198</v>
      </c>
      <c r="D2065" s="16" t="s">
        <v>9103</v>
      </c>
      <c r="E2065" s="16" t="s">
        <v>68</v>
      </c>
    </row>
    <row r="2066">
      <c r="A2066" s="1" t="s">
        <v>4116</v>
      </c>
      <c r="B2066" s="15">
        <f>+919969806141</f>
        <v>919969806141</v>
      </c>
      <c r="C2066" s="15" t="str">
        <f t="shared" si="1"/>
        <v>dhanug632@gmail.com919969806141</v>
      </c>
      <c r="D2066" s="16" t="s">
        <v>9104</v>
      </c>
      <c r="E2066" s="16" t="s">
        <v>68</v>
      </c>
    </row>
    <row r="2067">
      <c r="A2067" s="1" t="s">
        <v>4994</v>
      </c>
      <c r="B2067" s="15">
        <f t="shared" ref="B2067:B2068" si="263">+918527152938</f>
        <v>918527152938</v>
      </c>
      <c r="C2067" s="15" t="str">
        <f t="shared" si="1"/>
        <v>sxnlovely@gmail.com918527152938</v>
      </c>
      <c r="D2067" s="16" t="s">
        <v>9105</v>
      </c>
      <c r="E2067" s="16" t="s">
        <v>151</v>
      </c>
    </row>
    <row r="2068">
      <c r="A2068" s="1" t="s">
        <v>4994</v>
      </c>
      <c r="B2068" s="15">
        <f t="shared" si="263"/>
        <v>918527152938</v>
      </c>
      <c r="C2068" s="15" t="str">
        <f t="shared" si="1"/>
        <v>sxnlovely@gmail.com918527152938</v>
      </c>
      <c r="D2068" s="16" t="s">
        <v>9106</v>
      </c>
      <c r="E2068" s="16" t="s">
        <v>97</v>
      </c>
    </row>
    <row r="2069">
      <c r="A2069" s="1" t="s">
        <v>5873</v>
      </c>
      <c r="B2069" s="15">
        <f>+917008668475</f>
        <v>917008668475</v>
      </c>
      <c r="C2069" s="15" t="str">
        <f t="shared" si="1"/>
        <v>padhy.chittaranjan06@gmail.com917008668475</v>
      </c>
      <c r="D2069" s="16" t="s">
        <v>9107</v>
      </c>
      <c r="E2069" s="16" t="s">
        <v>68</v>
      </c>
    </row>
    <row r="2070">
      <c r="A2070" s="1" t="s">
        <v>9108</v>
      </c>
      <c r="B2070" s="15">
        <f>+916265253985</f>
        <v>916265253985</v>
      </c>
      <c r="C2070" s="15" t="str">
        <f t="shared" si="1"/>
        <v>sourabhbairagi796@gmail.com916265253985</v>
      </c>
      <c r="D2070" s="16" t="s">
        <v>9109</v>
      </c>
      <c r="E2070" s="16" t="s">
        <v>151</v>
      </c>
    </row>
    <row r="2071">
      <c r="A2071" s="1" t="s">
        <v>9110</v>
      </c>
      <c r="B2071" s="15">
        <f t="shared" ref="B2071:B2073" si="264">+919942417878</f>
        <v>919942417878</v>
      </c>
      <c r="C2071" s="15" t="str">
        <f t="shared" si="1"/>
        <v>yazh1603@gmail.com919942417878</v>
      </c>
      <c r="D2071" s="16" t="s">
        <v>9111</v>
      </c>
      <c r="E2071" s="16" t="s">
        <v>74</v>
      </c>
    </row>
    <row r="2072">
      <c r="A2072" s="1" t="s">
        <v>9110</v>
      </c>
      <c r="B2072" s="15">
        <f t="shared" si="264"/>
        <v>919942417878</v>
      </c>
      <c r="C2072" s="15" t="str">
        <f t="shared" si="1"/>
        <v>yazh1603@gmail.com919942417878</v>
      </c>
      <c r="D2072" s="16" t="s">
        <v>9112</v>
      </c>
      <c r="E2072" s="16" t="s">
        <v>74</v>
      </c>
    </row>
    <row r="2073">
      <c r="A2073" s="1" t="s">
        <v>9110</v>
      </c>
      <c r="B2073" s="15">
        <f t="shared" si="264"/>
        <v>919942417878</v>
      </c>
      <c r="C2073" s="15" t="str">
        <f t="shared" si="1"/>
        <v>yazh1603@gmail.com919942417878</v>
      </c>
      <c r="D2073" s="16" t="s">
        <v>9113</v>
      </c>
      <c r="E2073" s="16" t="s">
        <v>74</v>
      </c>
    </row>
    <row r="2074">
      <c r="A2074" s="1" t="s">
        <v>9114</v>
      </c>
      <c r="B2074" s="15">
        <f>+916379529471</f>
        <v>916379529471</v>
      </c>
      <c r="C2074" s="15" t="str">
        <f t="shared" si="1"/>
        <v>christinachrish22@gmail.com916379529471</v>
      </c>
      <c r="D2074" s="16" t="s">
        <v>9115</v>
      </c>
      <c r="E2074" s="16" t="s">
        <v>68</v>
      </c>
    </row>
    <row r="2075">
      <c r="A2075" s="1" t="s">
        <v>4403</v>
      </c>
      <c r="B2075" s="15">
        <f>+918360021038</f>
        <v>918360021038</v>
      </c>
      <c r="C2075" s="15" t="str">
        <f t="shared" si="1"/>
        <v>samridhikhanna55@gmail.com918360021038</v>
      </c>
      <c r="D2075" s="16" t="s">
        <v>9116</v>
      </c>
      <c r="E2075" s="16" t="s">
        <v>68</v>
      </c>
    </row>
    <row r="2076">
      <c r="A2076" s="1" t="s">
        <v>9117</v>
      </c>
      <c r="B2076" s="15">
        <f>+919988423311</f>
        <v>919988423311</v>
      </c>
      <c r="C2076" s="15" t="str">
        <f t="shared" si="1"/>
        <v>prabhjyot.kaur.chd@gmail.com919988423311</v>
      </c>
      <c r="D2076" s="16" t="s">
        <v>9118</v>
      </c>
      <c r="E2076" s="16" t="s">
        <v>74</v>
      </c>
    </row>
    <row r="2077">
      <c r="A2077" s="1" t="s">
        <v>9119</v>
      </c>
      <c r="B2077" s="15">
        <f>+916005365879</f>
        <v>916005365879</v>
      </c>
      <c r="C2077" s="15" t="str">
        <f t="shared" si="1"/>
        <v>sanamattoo1921@gmail.com916005365879</v>
      </c>
      <c r="D2077" s="16" t="s">
        <v>9120</v>
      </c>
      <c r="E2077" s="16" t="s">
        <v>74</v>
      </c>
    </row>
    <row r="2078">
      <c r="A2078" s="1" t="s">
        <v>9121</v>
      </c>
      <c r="B2078" s="15">
        <f>+919820717206</f>
        <v>919820717206</v>
      </c>
      <c r="C2078" s="15" t="str">
        <f t="shared" si="1"/>
        <v>divya.ravichandran@gmail.com919820717206</v>
      </c>
      <c r="D2078" s="16" t="s">
        <v>9122</v>
      </c>
      <c r="E2078" s="16" t="s">
        <v>68</v>
      </c>
    </row>
    <row r="2079">
      <c r="A2079" s="1" t="s">
        <v>2510</v>
      </c>
      <c r="B2079" s="15">
        <f>+919400431220</f>
        <v>919400431220</v>
      </c>
      <c r="C2079" s="15" t="str">
        <f t="shared" si="1"/>
        <v>dranoopvet07@gmail.com919400431220</v>
      </c>
      <c r="D2079" s="16" t="s">
        <v>9123</v>
      </c>
      <c r="E2079" s="16" t="s">
        <v>68</v>
      </c>
    </row>
    <row r="2080">
      <c r="A2080" s="1" t="s">
        <v>9121</v>
      </c>
      <c r="B2080" s="15">
        <f>+919820717206</f>
        <v>919820717206</v>
      </c>
      <c r="C2080" s="15" t="str">
        <f t="shared" si="1"/>
        <v>divya.ravichandran@gmail.com919820717206</v>
      </c>
      <c r="D2080" s="16" t="s">
        <v>9124</v>
      </c>
      <c r="E2080" s="16" t="s">
        <v>68</v>
      </c>
    </row>
    <row r="2081">
      <c r="A2081" s="1" t="s">
        <v>1876</v>
      </c>
      <c r="B2081" s="15">
        <f>+919654240109</f>
        <v>919654240109</v>
      </c>
      <c r="C2081" s="15" t="str">
        <f t="shared" si="1"/>
        <v>eirabothra1@gmail.com919654240109</v>
      </c>
      <c r="D2081" s="16" t="s">
        <v>9125</v>
      </c>
      <c r="E2081" s="16" t="s">
        <v>97</v>
      </c>
    </row>
    <row r="2082">
      <c r="A2082" s="1" t="s">
        <v>9126</v>
      </c>
      <c r="B2082" s="15">
        <f t="shared" ref="B2082:B2083" si="265">+916309635477</f>
        <v>916309635477</v>
      </c>
      <c r="C2082" s="15" t="str">
        <f t="shared" si="1"/>
        <v>blueskyybee00@gmail.com916309635477</v>
      </c>
      <c r="D2082" s="16" t="s">
        <v>9127</v>
      </c>
      <c r="E2082" s="16" t="s">
        <v>68</v>
      </c>
    </row>
    <row r="2083">
      <c r="A2083" s="1" t="s">
        <v>9126</v>
      </c>
      <c r="B2083" s="15">
        <f t="shared" si="265"/>
        <v>916309635477</v>
      </c>
      <c r="C2083" s="15" t="str">
        <f t="shared" si="1"/>
        <v>blueskyybee00@gmail.com916309635477</v>
      </c>
      <c r="D2083" s="16" t="s">
        <v>9128</v>
      </c>
      <c r="E2083" s="16" t="s">
        <v>151</v>
      </c>
    </row>
    <row r="2084">
      <c r="A2084" s="1" t="s">
        <v>4371</v>
      </c>
      <c r="B2084" s="15">
        <f>+918826865050</f>
        <v>918826865050</v>
      </c>
      <c r="C2084" s="15" t="str">
        <f t="shared" si="1"/>
        <v>jaideep.abichandani@gmail.com918826865050</v>
      </c>
      <c r="D2084" s="16" t="s">
        <v>9129</v>
      </c>
      <c r="E2084" s="16" t="s">
        <v>74</v>
      </c>
    </row>
    <row r="2085">
      <c r="A2085" s="1" t="s">
        <v>9119</v>
      </c>
      <c r="B2085" s="15">
        <f>+916005365879</f>
        <v>916005365879</v>
      </c>
      <c r="C2085" s="15" t="str">
        <f t="shared" si="1"/>
        <v>sanamattoo1921@gmail.com916005365879</v>
      </c>
      <c r="D2085" s="16" t="s">
        <v>9130</v>
      </c>
      <c r="E2085" s="16" t="s">
        <v>74</v>
      </c>
    </row>
    <row r="2086">
      <c r="A2086" s="1" t="s">
        <v>9121</v>
      </c>
      <c r="B2086" s="15">
        <f t="shared" ref="B2086:B2087" si="266">+919820717206</f>
        <v>919820717206</v>
      </c>
      <c r="C2086" s="15" t="str">
        <f t="shared" si="1"/>
        <v>divya.ravichandran@gmail.com919820717206</v>
      </c>
      <c r="D2086" s="16" t="s">
        <v>9131</v>
      </c>
      <c r="E2086" s="16" t="s">
        <v>68</v>
      </c>
    </row>
    <row r="2087">
      <c r="A2087" s="1" t="s">
        <v>9121</v>
      </c>
      <c r="B2087" s="15">
        <f t="shared" si="266"/>
        <v>919820717206</v>
      </c>
      <c r="C2087" s="15" t="str">
        <f t="shared" si="1"/>
        <v>divya.ravichandran@gmail.com919820717206</v>
      </c>
      <c r="D2087" s="16" t="s">
        <v>9132</v>
      </c>
      <c r="E2087" s="16" t="s">
        <v>68</v>
      </c>
    </row>
    <row r="2088">
      <c r="A2088" s="1" t="s">
        <v>9126</v>
      </c>
      <c r="B2088" s="15">
        <f t="shared" ref="B2088:B2090" si="267">+916309635477</f>
        <v>916309635477</v>
      </c>
      <c r="C2088" s="15" t="str">
        <f t="shared" si="1"/>
        <v>blueskyybee00@gmail.com916309635477</v>
      </c>
      <c r="D2088" s="16" t="s">
        <v>9133</v>
      </c>
      <c r="E2088" s="16" t="s">
        <v>151</v>
      </c>
    </row>
    <row r="2089">
      <c r="A2089" s="1" t="s">
        <v>4118</v>
      </c>
      <c r="B2089" s="15">
        <f t="shared" si="267"/>
        <v>916309635477</v>
      </c>
      <c r="C2089" s="15" t="str">
        <f t="shared" si="1"/>
        <v>blue_skyy_bee00@gmail.com916309635477</v>
      </c>
      <c r="D2089" s="16" t="s">
        <v>9134</v>
      </c>
      <c r="E2089" s="16" t="s">
        <v>68</v>
      </c>
    </row>
    <row r="2090">
      <c r="A2090" s="1" t="s">
        <v>4118</v>
      </c>
      <c r="B2090" s="15">
        <f t="shared" si="267"/>
        <v>916309635477</v>
      </c>
      <c r="C2090" s="15" t="str">
        <f t="shared" si="1"/>
        <v>blue_skyy_bee00@gmail.com916309635477</v>
      </c>
      <c r="D2090" s="16" t="s">
        <v>9135</v>
      </c>
      <c r="E2090" s="16" t="s">
        <v>68</v>
      </c>
    </row>
    <row r="2091">
      <c r="A2091" s="1" t="s">
        <v>9119</v>
      </c>
      <c r="B2091" s="15">
        <f>+916005365879</f>
        <v>916005365879</v>
      </c>
      <c r="C2091" s="15" t="str">
        <f t="shared" si="1"/>
        <v>sanamattoo1921@gmail.com916005365879</v>
      </c>
      <c r="D2091" s="16" t="s">
        <v>9136</v>
      </c>
      <c r="E2091" s="16" t="s">
        <v>74</v>
      </c>
    </row>
    <row r="2092">
      <c r="A2092" s="1" t="s">
        <v>5442</v>
      </c>
      <c r="B2092" s="15">
        <f>+919100353437</f>
        <v>919100353437</v>
      </c>
      <c r="C2092" s="15" t="str">
        <f t="shared" si="1"/>
        <v>jyoti.kullu12@gmail.com919100353437</v>
      </c>
      <c r="D2092" s="16" t="s">
        <v>9137</v>
      </c>
      <c r="E2092" s="16" t="s">
        <v>68</v>
      </c>
    </row>
    <row r="2093">
      <c r="A2093" s="1" t="s">
        <v>9138</v>
      </c>
      <c r="B2093" s="15">
        <f>+919962522820</f>
        <v>919962522820</v>
      </c>
      <c r="C2093" s="15" t="str">
        <f t="shared" si="1"/>
        <v>tsnirupama@gmail.com919962522820</v>
      </c>
      <c r="D2093" s="16" t="s">
        <v>9139</v>
      </c>
      <c r="E2093" s="16" t="s">
        <v>68</v>
      </c>
    </row>
    <row r="2094">
      <c r="A2094" s="1" t="s">
        <v>4120</v>
      </c>
      <c r="B2094" s="15">
        <f>+919819106090</f>
        <v>919819106090</v>
      </c>
      <c r="C2094" s="15" t="str">
        <f t="shared" si="1"/>
        <v>wanderlust0509@gmail.com919819106090</v>
      </c>
      <c r="D2094" s="16" t="s">
        <v>9140</v>
      </c>
      <c r="E2094" s="16" t="s">
        <v>68</v>
      </c>
    </row>
    <row r="2095">
      <c r="A2095" s="1" t="s">
        <v>9141</v>
      </c>
      <c r="B2095" s="15">
        <f>+918861710017</f>
        <v>918861710017</v>
      </c>
      <c r="C2095" s="15" t="str">
        <f t="shared" si="1"/>
        <v>pavithra4mail@gmail.com918861710017</v>
      </c>
      <c r="D2095" s="16" t="s">
        <v>9142</v>
      </c>
      <c r="E2095" s="16" t="s">
        <v>68</v>
      </c>
    </row>
    <row r="2096">
      <c r="A2096" s="1" t="s">
        <v>5252</v>
      </c>
      <c r="B2096" s="15">
        <f t="shared" ref="B2096:B2097" si="268">+919966881191</f>
        <v>919966881191</v>
      </c>
      <c r="C2096" s="15" t="str">
        <f t="shared" si="1"/>
        <v>shivanibenerjee@gmail.com919966881191</v>
      </c>
      <c r="D2096" s="16" t="s">
        <v>9143</v>
      </c>
      <c r="E2096" s="16" t="s">
        <v>68</v>
      </c>
    </row>
    <row r="2097">
      <c r="A2097" s="1" t="s">
        <v>5252</v>
      </c>
      <c r="B2097" s="15">
        <f t="shared" si="268"/>
        <v>919966881191</v>
      </c>
      <c r="C2097" s="15" t="str">
        <f t="shared" si="1"/>
        <v>shivanibenerjee@gmail.com919966881191</v>
      </c>
      <c r="D2097" s="16" t="s">
        <v>9144</v>
      </c>
      <c r="E2097" s="16" t="s">
        <v>68</v>
      </c>
    </row>
    <row r="2098">
      <c r="A2098" s="1" t="s">
        <v>4461</v>
      </c>
      <c r="B2098" s="15">
        <f>+919014439907</f>
        <v>919014439907</v>
      </c>
      <c r="C2098" s="15" t="str">
        <f t="shared" si="1"/>
        <v>mokkapatigeethasri@gmail.com919014439907</v>
      </c>
      <c r="D2098" s="16" t="s">
        <v>9145</v>
      </c>
      <c r="E2098" s="16" t="s">
        <v>68</v>
      </c>
    </row>
    <row r="2099">
      <c r="A2099" s="1" t="s">
        <v>4678</v>
      </c>
      <c r="B2099" s="15">
        <f t="shared" ref="B2099:B2100" si="269">+918088045354</f>
        <v>918088045354</v>
      </c>
      <c r="C2099" s="15" t="str">
        <f t="shared" si="1"/>
        <v>abhilash.cv@gmail.com918088045354</v>
      </c>
      <c r="D2099" s="16" t="s">
        <v>9146</v>
      </c>
      <c r="E2099" s="16" t="s">
        <v>68</v>
      </c>
    </row>
    <row r="2100">
      <c r="A2100" s="1" t="s">
        <v>4678</v>
      </c>
      <c r="B2100" s="15">
        <f t="shared" si="269"/>
        <v>918088045354</v>
      </c>
      <c r="C2100" s="15" t="str">
        <f t="shared" si="1"/>
        <v>abhilash.cv@gmail.com918088045354</v>
      </c>
      <c r="D2100" s="16" t="s">
        <v>9147</v>
      </c>
      <c r="E2100" s="16" t="s">
        <v>68</v>
      </c>
    </row>
    <row r="2101">
      <c r="A2101" s="1" t="s">
        <v>3979</v>
      </c>
      <c r="B2101" s="15">
        <f>+919842455555</f>
        <v>919842455555</v>
      </c>
      <c r="C2101" s="15" t="str">
        <f t="shared" si="1"/>
        <v>srukanthkavi@gmail.com919842455555</v>
      </c>
      <c r="D2101" s="16" t="s">
        <v>9148</v>
      </c>
      <c r="E2101" s="16" t="s">
        <v>74</v>
      </c>
    </row>
    <row r="2102">
      <c r="A2102" s="1" t="s">
        <v>2209</v>
      </c>
      <c r="B2102" s="15">
        <f>+918585022750</f>
        <v>918585022750</v>
      </c>
      <c r="C2102" s="15" t="str">
        <f t="shared" si="1"/>
        <v>ivanarayan@rediffmail.com918585022750</v>
      </c>
      <c r="D2102" s="16" t="s">
        <v>9149</v>
      </c>
      <c r="E2102" s="16" t="s">
        <v>74</v>
      </c>
    </row>
    <row r="2103">
      <c r="A2103" s="1" t="s">
        <v>9150</v>
      </c>
      <c r="B2103" s="15">
        <f>+919881945027</f>
        <v>919881945027</v>
      </c>
      <c r="C2103" s="15" t="str">
        <f t="shared" si="1"/>
        <v>ankitagarud855@gmail.com919881945027</v>
      </c>
      <c r="D2103" s="16" t="s">
        <v>9151</v>
      </c>
      <c r="E2103" s="16" t="s">
        <v>68</v>
      </c>
    </row>
    <row r="2104">
      <c r="A2104" s="1" t="s">
        <v>2512</v>
      </c>
      <c r="B2104" s="15">
        <f>+919030076761</f>
        <v>919030076761</v>
      </c>
      <c r="C2104" s="15" t="str">
        <f t="shared" si="1"/>
        <v>pratham76761@gmail.com919030076761</v>
      </c>
      <c r="D2104" s="16" t="s">
        <v>9152</v>
      </c>
      <c r="E2104" s="16" t="s">
        <v>68</v>
      </c>
    </row>
    <row r="2105">
      <c r="A2105" s="1" t="s">
        <v>4996</v>
      </c>
      <c r="B2105" s="15">
        <f>+916201980084</f>
        <v>916201980084</v>
      </c>
      <c r="C2105" s="15" t="str">
        <f t="shared" si="1"/>
        <v>abhisheknirala900@gmail.com916201980084</v>
      </c>
      <c r="D2105" s="16" t="s">
        <v>9153</v>
      </c>
      <c r="E2105" s="16" t="s">
        <v>74</v>
      </c>
    </row>
    <row r="2106">
      <c r="A2106" s="1" t="s">
        <v>4122</v>
      </c>
      <c r="B2106" s="15">
        <f>+918826143785</f>
        <v>918826143785</v>
      </c>
      <c r="C2106" s="15" t="str">
        <f t="shared" si="1"/>
        <v>sharmashwet35@gmail.com918826143785</v>
      </c>
      <c r="D2106" s="16" t="s">
        <v>9154</v>
      </c>
      <c r="E2106" s="16" t="s">
        <v>68</v>
      </c>
    </row>
    <row r="2107">
      <c r="A2107" s="1" t="s">
        <v>9155</v>
      </c>
      <c r="B2107" s="15">
        <f>+919852770359</f>
        <v>919852770359</v>
      </c>
      <c r="C2107" s="15" t="str">
        <f t="shared" si="1"/>
        <v>rdasgov@gmail.com919852770359</v>
      </c>
      <c r="D2107" s="16" t="s">
        <v>9156</v>
      </c>
      <c r="E2107" s="16" t="s">
        <v>151</v>
      </c>
    </row>
    <row r="2108">
      <c r="A2108" s="1" t="s">
        <v>9157</v>
      </c>
      <c r="B2108" s="15">
        <f t="shared" ref="B2108:B2109" si="270">+919962993497</f>
        <v>919962993497</v>
      </c>
      <c r="C2108" s="15" t="str">
        <f t="shared" si="1"/>
        <v>rpaularun@gmail.com919962993497</v>
      </c>
      <c r="D2108" s="16" t="s">
        <v>9158</v>
      </c>
      <c r="E2108" s="16" t="s">
        <v>151</v>
      </c>
    </row>
    <row r="2109">
      <c r="A2109" s="1" t="s">
        <v>9157</v>
      </c>
      <c r="B2109" s="15">
        <f t="shared" si="270"/>
        <v>919962993497</v>
      </c>
      <c r="C2109" s="15" t="str">
        <f t="shared" si="1"/>
        <v>rpaularun@gmail.com919962993497</v>
      </c>
      <c r="D2109" s="16" t="s">
        <v>9159</v>
      </c>
      <c r="E2109" s="16" t="s">
        <v>97</v>
      </c>
    </row>
    <row r="2110">
      <c r="A2110" s="1" t="s">
        <v>9160</v>
      </c>
      <c r="B2110" s="15">
        <f>+918618210989</f>
        <v>918618210989</v>
      </c>
      <c r="C2110" s="15" t="str">
        <f t="shared" si="1"/>
        <v>smeeta.045@gmail.com918618210989</v>
      </c>
      <c r="D2110" s="16" t="s">
        <v>9161</v>
      </c>
      <c r="E2110" s="16" t="s">
        <v>74</v>
      </c>
    </row>
    <row r="2111">
      <c r="A2111" s="1" t="s">
        <v>9157</v>
      </c>
      <c r="B2111" s="15">
        <f>+919962993497</f>
        <v>919962993497</v>
      </c>
      <c r="C2111" s="15" t="str">
        <f t="shared" si="1"/>
        <v>rpaularun@gmail.com919962993497</v>
      </c>
      <c r="D2111" s="16" t="s">
        <v>9162</v>
      </c>
      <c r="E2111" s="16" t="s">
        <v>97</v>
      </c>
    </row>
    <row r="2112">
      <c r="A2112" s="1" t="s">
        <v>2848</v>
      </c>
      <c r="B2112" s="15">
        <f>+918861251545</f>
        <v>918861251545</v>
      </c>
      <c r="C2112" s="15" t="str">
        <f t="shared" si="1"/>
        <v>nvpavana@gmail.com918861251545</v>
      </c>
      <c r="D2112" s="16" t="s">
        <v>9163</v>
      </c>
      <c r="E2112" s="16" t="s">
        <v>68</v>
      </c>
    </row>
    <row r="2113">
      <c r="A2113" s="1" t="s">
        <v>9160</v>
      </c>
      <c r="B2113" s="15">
        <f t="shared" ref="B2113:B2115" si="271">+918618210959</f>
        <v>918618210959</v>
      </c>
      <c r="C2113" s="15" t="str">
        <f t="shared" si="1"/>
        <v>smeeta.045@gmail.com918618210959</v>
      </c>
      <c r="D2113" s="16" t="s">
        <v>9164</v>
      </c>
      <c r="E2113" s="16" t="s">
        <v>74</v>
      </c>
    </row>
    <row r="2114">
      <c r="A2114" s="1" t="s">
        <v>9160</v>
      </c>
      <c r="B2114" s="15">
        <f t="shared" si="271"/>
        <v>918618210959</v>
      </c>
      <c r="C2114" s="15" t="str">
        <f t="shared" si="1"/>
        <v>smeeta.045@gmail.com918618210959</v>
      </c>
      <c r="D2114" s="16" t="s">
        <v>9165</v>
      </c>
      <c r="E2114" s="16" t="s">
        <v>74</v>
      </c>
    </row>
    <row r="2115">
      <c r="A2115" s="1" t="s">
        <v>9160</v>
      </c>
      <c r="B2115" s="15">
        <f t="shared" si="271"/>
        <v>918618210959</v>
      </c>
      <c r="C2115" s="15" t="str">
        <f t="shared" si="1"/>
        <v>smeeta.045@gmail.com918618210959</v>
      </c>
      <c r="D2115" s="16" t="s">
        <v>9166</v>
      </c>
      <c r="E2115" s="16" t="s">
        <v>74</v>
      </c>
    </row>
    <row r="2116">
      <c r="A2116" s="1" t="s">
        <v>6340</v>
      </c>
      <c r="B2116" s="15">
        <f>+918328372897</f>
        <v>918328372897</v>
      </c>
      <c r="C2116" s="15" t="str">
        <f t="shared" si="1"/>
        <v>sonu.lalitha341@gmail.com918328372897</v>
      </c>
      <c r="D2116" s="16" t="s">
        <v>9167</v>
      </c>
      <c r="E2116" s="16" t="s">
        <v>68</v>
      </c>
    </row>
    <row r="2117">
      <c r="A2117" s="1" t="s">
        <v>1874</v>
      </c>
      <c r="B2117" s="15">
        <f>+919579795121</f>
        <v>919579795121</v>
      </c>
      <c r="C2117" s="15" t="str">
        <f t="shared" si="1"/>
        <v>rohit.marchande@outlook.com919579795121</v>
      </c>
      <c r="D2117" s="16" t="s">
        <v>9168</v>
      </c>
      <c r="E2117" s="16" t="s">
        <v>68</v>
      </c>
    </row>
    <row r="2118">
      <c r="A2118" s="1" t="s">
        <v>9169</v>
      </c>
      <c r="B2118" s="15">
        <f t="shared" ref="B2118:B2119" si="272">+917251030179</f>
        <v>917251030179</v>
      </c>
      <c r="C2118" s="15" t="str">
        <f t="shared" si="1"/>
        <v>natasha.tiwari92@gmail.com917251030179</v>
      </c>
      <c r="D2118" s="16" t="s">
        <v>9170</v>
      </c>
      <c r="E2118" s="16" t="s">
        <v>74</v>
      </c>
    </row>
    <row r="2119">
      <c r="A2119" s="1" t="s">
        <v>9169</v>
      </c>
      <c r="B2119" s="15">
        <f t="shared" si="272"/>
        <v>917251030179</v>
      </c>
      <c r="C2119" s="15" t="str">
        <f t="shared" si="1"/>
        <v>natasha.tiwari92@gmail.com917251030179</v>
      </c>
      <c r="D2119" s="16" t="s">
        <v>9171</v>
      </c>
      <c r="E2119" s="16" t="s">
        <v>74</v>
      </c>
    </row>
    <row r="2120">
      <c r="A2120" s="1" t="s">
        <v>4998</v>
      </c>
      <c r="B2120" s="15">
        <f t="shared" ref="B2120:B2122" si="273">+917993092367</f>
        <v>917993092367</v>
      </c>
      <c r="C2120" s="15" t="str">
        <f t="shared" si="1"/>
        <v>kalyankadium2@gmail.com917993092367</v>
      </c>
      <c r="D2120" s="16" t="s">
        <v>9172</v>
      </c>
      <c r="E2120" s="16" t="s">
        <v>68</v>
      </c>
    </row>
    <row r="2121">
      <c r="A2121" s="1" t="s">
        <v>4998</v>
      </c>
      <c r="B2121" s="15">
        <f t="shared" si="273"/>
        <v>917993092367</v>
      </c>
      <c r="C2121" s="15" t="str">
        <f t="shared" si="1"/>
        <v>kalyankadium2@gmail.com917993092367</v>
      </c>
      <c r="D2121" s="16" t="s">
        <v>9173</v>
      </c>
      <c r="E2121" s="16" t="s">
        <v>68</v>
      </c>
    </row>
    <row r="2122">
      <c r="A2122" s="1" t="s">
        <v>4998</v>
      </c>
      <c r="B2122" s="15">
        <f t="shared" si="273"/>
        <v>917993092367</v>
      </c>
      <c r="C2122" s="15" t="str">
        <f t="shared" si="1"/>
        <v>kalyankadium2@gmail.com917993092367</v>
      </c>
      <c r="D2122" s="16" t="s">
        <v>9174</v>
      </c>
      <c r="E2122" s="16" t="s">
        <v>68</v>
      </c>
    </row>
    <row r="2123">
      <c r="A2123" s="1" t="s">
        <v>4308</v>
      </c>
      <c r="B2123" s="15">
        <f>+917775024848</f>
        <v>917775024848</v>
      </c>
      <c r="C2123" s="15" t="str">
        <f t="shared" si="1"/>
        <v>innovationcarepune@gmail.com917775024848</v>
      </c>
      <c r="D2123" s="16" t="s">
        <v>9175</v>
      </c>
      <c r="E2123" s="16" t="s">
        <v>68</v>
      </c>
    </row>
    <row r="2124">
      <c r="A2124" s="1" t="s">
        <v>9176</v>
      </c>
      <c r="B2124" s="15">
        <f>+919555888616</f>
        <v>919555888616</v>
      </c>
      <c r="C2124" s="15" t="str">
        <f t="shared" si="1"/>
        <v>badgujarx3335@gmail.com919555888616</v>
      </c>
      <c r="D2124" s="16" t="s">
        <v>9177</v>
      </c>
      <c r="E2124" s="16" t="s">
        <v>151</v>
      </c>
    </row>
    <row r="2125">
      <c r="A2125" s="1" t="s">
        <v>5394</v>
      </c>
      <c r="B2125" s="15">
        <f t="shared" ref="B2125:B2126" si="274">+918415931367</f>
        <v>918415931367</v>
      </c>
      <c r="C2125" s="15" t="str">
        <f t="shared" si="1"/>
        <v>sandadkhar28@gmail.com918415931367</v>
      </c>
      <c r="D2125" s="16" t="s">
        <v>9178</v>
      </c>
      <c r="E2125" s="16" t="s">
        <v>68</v>
      </c>
    </row>
    <row r="2126">
      <c r="A2126" s="1" t="s">
        <v>5394</v>
      </c>
      <c r="B2126" s="15">
        <f t="shared" si="274"/>
        <v>918415931367</v>
      </c>
      <c r="C2126" s="15" t="str">
        <f t="shared" si="1"/>
        <v>sandadkhar28@gmail.com918415931367</v>
      </c>
      <c r="D2126" s="16" t="s">
        <v>9179</v>
      </c>
      <c r="E2126" s="16" t="s">
        <v>68</v>
      </c>
    </row>
    <row r="2127">
      <c r="A2127" s="1" t="s">
        <v>4680</v>
      </c>
      <c r="B2127" s="15">
        <f>+917903090754</f>
        <v>917903090754</v>
      </c>
      <c r="C2127" s="15" t="str">
        <f t="shared" si="1"/>
        <v>trishna.sagar@likeminds.community917903090754</v>
      </c>
      <c r="D2127" s="16" t="s">
        <v>9180</v>
      </c>
      <c r="E2127" s="16" t="s">
        <v>68</v>
      </c>
    </row>
    <row r="2128">
      <c r="A2128" s="1" t="s">
        <v>9181</v>
      </c>
      <c r="B2128" s="15">
        <f>+919438120056</f>
        <v>919438120056</v>
      </c>
      <c r="C2128" s="15" t="str">
        <f t="shared" si="1"/>
        <v>chandrahas.nayak83@gmail.com919438120056</v>
      </c>
      <c r="D2128" s="16" t="s">
        <v>9182</v>
      </c>
      <c r="E2128" s="16" t="s">
        <v>68</v>
      </c>
    </row>
    <row r="2129">
      <c r="A2129" s="1" t="s">
        <v>9181</v>
      </c>
      <c r="B2129" s="15">
        <f>+918249958689</f>
        <v>918249958689</v>
      </c>
      <c r="C2129" s="15" t="str">
        <f t="shared" si="1"/>
        <v>chandrahas.nayak83@gmail.com918249958689</v>
      </c>
      <c r="D2129" s="16" t="s">
        <v>9183</v>
      </c>
      <c r="E2129" s="16" t="s">
        <v>68</v>
      </c>
    </row>
    <row r="2130">
      <c r="A2130" s="1" t="s">
        <v>4373</v>
      </c>
      <c r="B2130" s="15">
        <f>+918369093163</f>
        <v>918369093163</v>
      </c>
      <c r="C2130" s="15" t="str">
        <f t="shared" si="1"/>
        <v>nimkarchitrangana@gmail.com918369093163</v>
      </c>
      <c r="D2130" s="16" t="s">
        <v>9184</v>
      </c>
      <c r="E2130" s="16" t="s">
        <v>68</v>
      </c>
    </row>
    <row r="2131">
      <c r="A2131" s="1" t="s">
        <v>6289</v>
      </c>
      <c r="B2131" s="15">
        <f t="shared" ref="B2131:B2133" si="275">+919686539737</f>
        <v>919686539737</v>
      </c>
      <c r="C2131" s="15" t="str">
        <f t="shared" si="1"/>
        <v>chandanshetty483@gmail.com919686539737</v>
      </c>
      <c r="D2131" s="16" t="s">
        <v>9185</v>
      </c>
      <c r="E2131" s="16" t="s">
        <v>68</v>
      </c>
    </row>
    <row r="2132">
      <c r="A2132" s="1" t="s">
        <v>6289</v>
      </c>
      <c r="B2132" s="15">
        <f t="shared" si="275"/>
        <v>919686539737</v>
      </c>
      <c r="C2132" s="15" t="str">
        <f t="shared" si="1"/>
        <v>chandanshetty483@gmail.com919686539737</v>
      </c>
      <c r="D2132" s="16" t="s">
        <v>9186</v>
      </c>
      <c r="E2132" s="16" t="s">
        <v>68</v>
      </c>
    </row>
    <row r="2133">
      <c r="A2133" s="1" t="s">
        <v>6289</v>
      </c>
      <c r="B2133" s="15">
        <f t="shared" si="275"/>
        <v>919686539737</v>
      </c>
      <c r="C2133" s="15" t="str">
        <f t="shared" si="1"/>
        <v>chandanshetty483@gmail.com919686539737</v>
      </c>
      <c r="D2133" s="16" t="s">
        <v>9187</v>
      </c>
      <c r="E2133" s="16" t="s">
        <v>68</v>
      </c>
    </row>
    <row r="2134">
      <c r="A2134" s="1" t="s">
        <v>4124</v>
      </c>
      <c r="B2134" s="15">
        <f>+919677163732</f>
        <v>919677163732</v>
      </c>
      <c r="C2134" s="15" t="str">
        <f t="shared" si="1"/>
        <v>bhavana.mallavaram.18@gmail.com919677163732</v>
      </c>
      <c r="D2134" s="16" t="s">
        <v>9188</v>
      </c>
      <c r="E2134" s="16" t="s">
        <v>68</v>
      </c>
    </row>
    <row r="2135">
      <c r="A2135" s="1" t="s">
        <v>6090</v>
      </c>
      <c r="B2135" s="15">
        <f>+919711100886</f>
        <v>919711100886</v>
      </c>
      <c r="C2135" s="15" t="str">
        <f t="shared" si="1"/>
        <v>kavitatanwer93@gmail.com919711100886</v>
      </c>
      <c r="D2135" s="16" t="s">
        <v>9189</v>
      </c>
      <c r="E2135" s="16" t="s">
        <v>74</v>
      </c>
    </row>
    <row r="2136">
      <c r="A2136" s="1" t="s">
        <v>9190</v>
      </c>
      <c r="B2136" s="15">
        <f>+917395896653</f>
        <v>917395896653</v>
      </c>
      <c r="C2136" s="15" t="str">
        <f t="shared" si="1"/>
        <v>devivedha326@gmail.com917395896653</v>
      </c>
      <c r="D2136" s="16" t="s">
        <v>9191</v>
      </c>
      <c r="E2136" s="16" t="s">
        <v>74</v>
      </c>
    </row>
    <row r="2137">
      <c r="A2137" s="1" t="s">
        <v>4916</v>
      </c>
      <c r="B2137" s="15">
        <f>+919112671859</f>
        <v>919112671859</v>
      </c>
      <c r="C2137" s="15" t="str">
        <f t="shared" si="1"/>
        <v>shrutikamamulkar@gmail.com919112671859</v>
      </c>
      <c r="D2137" s="16" t="s">
        <v>9192</v>
      </c>
      <c r="E2137" s="16" t="s">
        <v>68</v>
      </c>
    </row>
    <row r="2138">
      <c r="A2138" s="1" t="s">
        <v>5000</v>
      </c>
      <c r="B2138" s="15">
        <f>+919043262735</f>
        <v>919043262735</v>
      </c>
      <c r="C2138" s="15" t="str">
        <f t="shared" si="1"/>
        <v>mailtoarulkumar602@gmail.com919043262735</v>
      </c>
      <c r="D2138" s="16" t="s">
        <v>9193</v>
      </c>
      <c r="E2138" s="16" t="s">
        <v>68</v>
      </c>
    </row>
    <row r="2139">
      <c r="A2139" s="1" t="s">
        <v>4310</v>
      </c>
      <c r="B2139" s="15">
        <f>+919380529304</f>
        <v>919380529304</v>
      </c>
      <c r="C2139" s="15" t="str">
        <f t="shared" si="1"/>
        <v>deepaseren@gmail.com919380529304</v>
      </c>
      <c r="D2139" s="16" t="s">
        <v>9194</v>
      </c>
      <c r="E2139" s="16" t="s">
        <v>68</v>
      </c>
    </row>
    <row r="2140">
      <c r="A2140" s="1" t="s">
        <v>4126</v>
      </c>
      <c r="B2140" s="15">
        <f>+916306447830</f>
        <v>916306447830</v>
      </c>
      <c r="C2140" s="15" t="str">
        <f t="shared" si="1"/>
        <v>bhumikarajput1510@gmail.com916306447830</v>
      </c>
      <c r="D2140" s="16" t="s">
        <v>9195</v>
      </c>
      <c r="E2140" s="16" t="s">
        <v>68</v>
      </c>
    </row>
    <row r="2141">
      <c r="A2141" s="1" t="s">
        <v>5875</v>
      </c>
      <c r="B2141" s="15">
        <f>+918806440077</f>
        <v>918806440077</v>
      </c>
      <c r="C2141" s="15" t="str">
        <f t="shared" si="1"/>
        <v>myplaanet99@gmail.com918806440077</v>
      </c>
      <c r="D2141" s="16" t="s">
        <v>9196</v>
      </c>
      <c r="E2141" s="16" t="s">
        <v>68</v>
      </c>
    </row>
    <row r="2142">
      <c r="A2142" s="1" t="s">
        <v>4128</v>
      </c>
      <c r="B2142" s="15">
        <f>+918688736685</f>
        <v>918688736685</v>
      </c>
      <c r="C2142" s="15" t="str">
        <f t="shared" si="1"/>
        <v>surekhabangari06@gmail.com918688736685</v>
      </c>
      <c r="D2142" s="16" t="s">
        <v>9197</v>
      </c>
      <c r="E2142" s="16" t="s">
        <v>68</v>
      </c>
    </row>
    <row r="2143">
      <c r="A2143" s="1" t="s">
        <v>9198</v>
      </c>
      <c r="B2143" s="15">
        <f t="shared" ref="B2143:B2144" si="276">+917584018683</f>
        <v>917584018683</v>
      </c>
      <c r="C2143" s="15" t="str">
        <f t="shared" si="1"/>
        <v>yuneshchettri@gmail.com917584018683</v>
      </c>
      <c r="D2143" s="16" t="s">
        <v>9199</v>
      </c>
      <c r="E2143" s="16" t="s">
        <v>74</v>
      </c>
    </row>
    <row r="2144">
      <c r="A2144" s="1" t="s">
        <v>9198</v>
      </c>
      <c r="B2144" s="15">
        <f t="shared" si="276"/>
        <v>917584018683</v>
      </c>
      <c r="C2144" s="15" t="str">
        <f t="shared" si="1"/>
        <v>yuneshchettri@gmail.com917584018683</v>
      </c>
      <c r="D2144" s="16" t="s">
        <v>9200</v>
      </c>
      <c r="E2144" s="16" t="s">
        <v>74</v>
      </c>
    </row>
    <row r="2145">
      <c r="A2145" s="1" t="s">
        <v>9201</v>
      </c>
      <c r="B2145" s="15">
        <f t="shared" ref="B2145:B2147" si="277">+911234567890</f>
        <v>911234567890</v>
      </c>
      <c r="C2145" s="15" t="str">
        <f t="shared" si="1"/>
        <v>a@gmail.com911234567890</v>
      </c>
      <c r="D2145" s="16" t="s">
        <v>9202</v>
      </c>
      <c r="E2145" s="16" t="s">
        <v>261</v>
      </c>
    </row>
    <row r="2146">
      <c r="A2146" s="1" t="s">
        <v>9201</v>
      </c>
      <c r="B2146" s="15">
        <f t="shared" si="277"/>
        <v>911234567890</v>
      </c>
      <c r="C2146" s="15" t="str">
        <f t="shared" si="1"/>
        <v>a@gmail.com911234567890</v>
      </c>
      <c r="D2146" s="16" t="s">
        <v>9203</v>
      </c>
      <c r="E2146" s="16" t="s">
        <v>151</v>
      </c>
    </row>
    <row r="2147">
      <c r="A2147" s="1" t="s">
        <v>9201</v>
      </c>
      <c r="B2147" s="15">
        <f t="shared" si="277"/>
        <v>911234567890</v>
      </c>
      <c r="C2147" s="15" t="str">
        <f t="shared" si="1"/>
        <v>a@gmail.com911234567890</v>
      </c>
      <c r="D2147" s="16" t="s">
        <v>9204</v>
      </c>
      <c r="E2147" s="16" t="s">
        <v>68</v>
      </c>
    </row>
    <row r="2148">
      <c r="A2148" s="1" t="s">
        <v>9205</v>
      </c>
      <c r="B2148" s="15">
        <f>+919849599619</f>
        <v>919849599619</v>
      </c>
      <c r="C2148" s="15" t="str">
        <f t="shared" si="1"/>
        <v>solomonkodidala@gmail.com919849599619</v>
      </c>
      <c r="D2148" s="16" t="s">
        <v>9206</v>
      </c>
      <c r="E2148" s="16" t="s">
        <v>68</v>
      </c>
    </row>
    <row r="2149">
      <c r="A2149" s="1" t="s">
        <v>5254</v>
      </c>
      <c r="B2149" s="15">
        <f>+917249523287</f>
        <v>917249523287</v>
      </c>
      <c r="C2149" s="15" t="str">
        <f t="shared" si="1"/>
        <v>mascarenhassancho32@gmail.com917249523287</v>
      </c>
      <c r="D2149" s="16" t="s">
        <v>9207</v>
      </c>
      <c r="E2149" s="16" t="s">
        <v>68</v>
      </c>
    </row>
    <row r="2150">
      <c r="A2150" s="1" t="s">
        <v>9208</v>
      </c>
      <c r="B2150" s="15">
        <f>+917498574759</f>
        <v>917498574759</v>
      </c>
      <c r="C2150" s="15" t="str">
        <f t="shared" si="1"/>
        <v>sarahbiblion@gmail.com917498574759</v>
      </c>
      <c r="D2150" s="16" t="s">
        <v>9209</v>
      </c>
      <c r="E2150" s="16" t="s">
        <v>74</v>
      </c>
    </row>
    <row r="2151">
      <c r="A2151" s="1" t="s">
        <v>9210</v>
      </c>
      <c r="B2151" s="15">
        <f t="shared" ref="B2151:B2152" si="278">+919158489178</f>
        <v>919158489178</v>
      </c>
      <c r="C2151" s="15" t="str">
        <f t="shared" si="1"/>
        <v>littlebobo2015@gmail.com919158489178</v>
      </c>
      <c r="D2151" s="16" t="s">
        <v>9211</v>
      </c>
      <c r="E2151" s="16" t="s">
        <v>74</v>
      </c>
    </row>
    <row r="2152">
      <c r="A2152" s="1" t="s">
        <v>9210</v>
      </c>
      <c r="B2152" s="15">
        <f t="shared" si="278"/>
        <v>919158489178</v>
      </c>
      <c r="C2152" s="15" t="str">
        <f t="shared" si="1"/>
        <v>littlebobo2015@gmail.com919158489178</v>
      </c>
      <c r="D2152" s="16" t="s">
        <v>9212</v>
      </c>
      <c r="E2152" s="16" t="s">
        <v>74</v>
      </c>
    </row>
    <row r="2153">
      <c r="A2153" s="1" t="s">
        <v>9213</v>
      </c>
      <c r="B2153" s="15">
        <f t="shared" ref="B2153:B2155" si="279">+919606601455</f>
        <v>919606601455</v>
      </c>
      <c r="C2153" s="15" t="str">
        <f t="shared" si="1"/>
        <v>padmavathi94487@gmail.com919606601455</v>
      </c>
      <c r="D2153" s="16" t="s">
        <v>9214</v>
      </c>
      <c r="E2153" s="16" t="s">
        <v>68</v>
      </c>
    </row>
    <row r="2154">
      <c r="A2154" s="1" t="s">
        <v>9215</v>
      </c>
      <c r="B2154" s="15">
        <f t="shared" si="279"/>
        <v>919606601455</v>
      </c>
      <c r="C2154" s="15" t="str">
        <f t="shared" si="1"/>
        <v>padmagowda443@gmail.com919606601455</v>
      </c>
      <c r="D2154" s="16" t="s">
        <v>9216</v>
      </c>
      <c r="E2154" s="16" t="s">
        <v>68</v>
      </c>
    </row>
    <row r="2155">
      <c r="A2155" s="1" t="s">
        <v>9215</v>
      </c>
      <c r="B2155" s="15">
        <f t="shared" si="279"/>
        <v>919606601455</v>
      </c>
      <c r="C2155" s="15" t="str">
        <f t="shared" si="1"/>
        <v>padmagowda443@gmail.com919606601455</v>
      </c>
      <c r="D2155" s="16" t="s">
        <v>9217</v>
      </c>
      <c r="E2155" s="16" t="s">
        <v>68</v>
      </c>
    </row>
    <row r="2156">
      <c r="A2156" s="1" t="s">
        <v>9210</v>
      </c>
      <c r="B2156" s="15">
        <f t="shared" ref="B2156:B2159" si="280">+919158489178</f>
        <v>919158489178</v>
      </c>
      <c r="C2156" s="15" t="str">
        <f t="shared" si="1"/>
        <v>littlebobo2015@gmail.com919158489178</v>
      </c>
      <c r="D2156" s="16" t="s">
        <v>9218</v>
      </c>
      <c r="E2156" s="16" t="s">
        <v>74</v>
      </c>
    </row>
    <row r="2157">
      <c r="A2157" s="1" t="s">
        <v>9210</v>
      </c>
      <c r="B2157" s="15">
        <f t="shared" si="280"/>
        <v>919158489178</v>
      </c>
      <c r="C2157" s="15" t="str">
        <f t="shared" si="1"/>
        <v>littlebobo2015@gmail.com919158489178</v>
      </c>
      <c r="D2157" s="16" t="s">
        <v>9219</v>
      </c>
      <c r="E2157" s="16" t="s">
        <v>74</v>
      </c>
    </row>
    <row r="2158">
      <c r="A2158" s="1" t="s">
        <v>9210</v>
      </c>
      <c r="B2158" s="15">
        <f t="shared" si="280"/>
        <v>919158489178</v>
      </c>
      <c r="C2158" s="15" t="str">
        <f t="shared" si="1"/>
        <v>littlebobo2015@gmail.com919158489178</v>
      </c>
      <c r="D2158" s="16" t="s">
        <v>9220</v>
      </c>
      <c r="E2158" s="16" t="s">
        <v>74</v>
      </c>
    </row>
    <row r="2159">
      <c r="A2159" s="1" t="s">
        <v>9210</v>
      </c>
      <c r="B2159" s="15">
        <f t="shared" si="280"/>
        <v>919158489178</v>
      </c>
      <c r="C2159" s="15" t="str">
        <f t="shared" si="1"/>
        <v>littlebobo2015@gmail.com919158489178</v>
      </c>
      <c r="D2159" s="16" t="s">
        <v>9221</v>
      </c>
      <c r="E2159" s="16" t="s">
        <v>74</v>
      </c>
    </row>
    <row r="2160">
      <c r="A2160" s="1" t="s">
        <v>4130</v>
      </c>
      <c r="B2160" s="15">
        <f>+918848884773</f>
        <v>918848884773</v>
      </c>
      <c r="C2160" s="15" t="str">
        <f t="shared" si="1"/>
        <v>subilal@outlook.com918848884773</v>
      </c>
      <c r="D2160" s="16" t="s">
        <v>9222</v>
      </c>
      <c r="E2160" s="16" t="s">
        <v>68</v>
      </c>
    </row>
    <row r="2161">
      <c r="A2161" s="1" t="s">
        <v>4132</v>
      </c>
      <c r="B2161" s="15">
        <f>+919652171615</f>
        <v>919652171615</v>
      </c>
      <c r="C2161" s="15" t="str">
        <f t="shared" si="1"/>
        <v>mlalekhya3@gmail.com919652171615</v>
      </c>
      <c r="D2161" s="16" t="s">
        <v>9223</v>
      </c>
      <c r="E2161" s="16" t="s">
        <v>68</v>
      </c>
    </row>
    <row r="2162">
      <c r="A2162" s="1" t="s">
        <v>3902</v>
      </c>
      <c r="B2162" s="15">
        <f>+917892430809</f>
        <v>917892430809</v>
      </c>
      <c r="C2162" s="15" t="str">
        <f t="shared" si="1"/>
        <v>akshataanilurs@gmail.com917892430809</v>
      </c>
      <c r="D2162" s="16" t="s">
        <v>9224</v>
      </c>
      <c r="E2162" s="16" t="s">
        <v>68</v>
      </c>
    </row>
    <row r="2163">
      <c r="A2163" s="1" t="s">
        <v>4908</v>
      </c>
      <c r="B2163" s="15">
        <f>+919814726323</f>
        <v>919814726323</v>
      </c>
      <c r="C2163" s="15" t="str">
        <f t="shared" si="1"/>
        <v>jamespayyon2301@gmail.com919814726323</v>
      </c>
      <c r="D2163" s="16" t="s">
        <v>9225</v>
      </c>
      <c r="E2163" s="16" t="s">
        <v>68</v>
      </c>
    </row>
    <row r="2164">
      <c r="A2164" s="1" t="s">
        <v>9226</v>
      </c>
      <c r="B2164" s="15">
        <f>+919910393207</f>
        <v>919910393207</v>
      </c>
      <c r="C2164" s="15" t="str">
        <f t="shared" si="1"/>
        <v>tauhid.co7786@gmail.com919910393207</v>
      </c>
      <c r="D2164" s="16" t="s">
        <v>9227</v>
      </c>
      <c r="E2164" s="16" t="s">
        <v>151</v>
      </c>
    </row>
    <row r="2165">
      <c r="A2165" s="1" t="s">
        <v>2515</v>
      </c>
      <c r="B2165" s="15">
        <f>+919601052801</f>
        <v>919601052801</v>
      </c>
      <c r="C2165" s="15" t="str">
        <f t="shared" si="1"/>
        <v>shoghi07@gmail.com919601052801</v>
      </c>
      <c r="D2165" s="16" t="s">
        <v>9228</v>
      </c>
      <c r="E2165" s="16" t="s">
        <v>68</v>
      </c>
    </row>
    <row r="2166">
      <c r="A2166" s="1" t="s">
        <v>4682</v>
      </c>
      <c r="B2166" s="15">
        <f t="shared" ref="B2166:B2167" si="281">+919910393207</f>
        <v>919910393207</v>
      </c>
      <c r="C2166" s="15" t="str">
        <f t="shared" si="1"/>
        <v>tauhid.co786@gmail.com919910393207</v>
      </c>
      <c r="D2166" s="16" t="s">
        <v>9229</v>
      </c>
      <c r="E2166" s="16" t="s">
        <v>151</v>
      </c>
    </row>
    <row r="2167">
      <c r="A2167" s="1" t="s">
        <v>4682</v>
      </c>
      <c r="B2167" s="15">
        <f t="shared" si="281"/>
        <v>919910393207</v>
      </c>
      <c r="C2167" s="15" t="str">
        <f t="shared" si="1"/>
        <v>tauhid.co786@gmail.com919910393207</v>
      </c>
      <c r="D2167" s="16" t="s">
        <v>9230</v>
      </c>
      <c r="E2167" s="16" t="s">
        <v>151</v>
      </c>
    </row>
    <row r="2168">
      <c r="A2168" s="1" t="s">
        <v>4682</v>
      </c>
      <c r="B2168" s="15">
        <f>+918390078632</f>
        <v>918390078632</v>
      </c>
      <c r="C2168" s="15" t="str">
        <f t="shared" si="1"/>
        <v>tauhid.co786@gmail.com918390078632</v>
      </c>
      <c r="D2168" s="16" t="s">
        <v>9231</v>
      </c>
      <c r="E2168" s="16" t="s">
        <v>151</v>
      </c>
    </row>
    <row r="2169">
      <c r="A2169" s="1" t="s">
        <v>9232</v>
      </c>
      <c r="B2169" s="15">
        <f>+919341177357</f>
        <v>919341177357</v>
      </c>
      <c r="C2169" s="15" t="str">
        <f t="shared" si="1"/>
        <v>13mehul01@gmail.com919341177357</v>
      </c>
      <c r="D2169" s="16" t="s">
        <v>9233</v>
      </c>
      <c r="E2169" s="16" t="s">
        <v>74</v>
      </c>
    </row>
    <row r="2170">
      <c r="A2170" s="1" t="s">
        <v>4134</v>
      </c>
      <c r="B2170" s="15">
        <f>+919168017669</f>
        <v>919168017669</v>
      </c>
      <c r="C2170" s="15" t="str">
        <f t="shared" si="1"/>
        <v>vaishnavigparande@gmail.com919168017669</v>
      </c>
      <c r="D2170" s="16" t="s">
        <v>9234</v>
      </c>
      <c r="E2170" s="16" t="s">
        <v>68</v>
      </c>
    </row>
    <row r="2171">
      <c r="A2171" s="1" t="s">
        <v>9235</v>
      </c>
      <c r="B2171" s="15">
        <f>+917906862229</f>
        <v>917906862229</v>
      </c>
      <c r="C2171" s="15" t="str">
        <f t="shared" si="1"/>
        <v>vidushigupta997@gmail.com917906862229</v>
      </c>
      <c r="D2171" s="16" t="s">
        <v>9236</v>
      </c>
      <c r="E2171" s="16" t="s">
        <v>68</v>
      </c>
    </row>
    <row r="2172">
      <c r="A2172" s="1" t="s">
        <v>5002</v>
      </c>
      <c r="B2172" s="15">
        <f>+919365289731</f>
        <v>919365289731</v>
      </c>
      <c r="C2172" s="15" t="str">
        <f t="shared" si="1"/>
        <v>hamzahussein61@gmail.com919365289731</v>
      </c>
      <c r="D2172" s="16" t="s">
        <v>9237</v>
      </c>
      <c r="E2172" s="16" t="s">
        <v>68</v>
      </c>
    </row>
    <row r="2173">
      <c r="A2173" s="1" t="s">
        <v>374</v>
      </c>
      <c r="B2173" s="15">
        <f>+918454085091</f>
        <v>918454085091</v>
      </c>
      <c r="C2173" s="15" t="str">
        <f t="shared" si="1"/>
        <v>satish37.tripathi@gmail.com918454085091</v>
      </c>
      <c r="D2173" s="16" t="s">
        <v>9238</v>
      </c>
      <c r="E2173" s="16" t="s">
        <v>68</v>
      </c>
    </row>
    <row r="2174">
      <c r="A2174" s="1" t="s">
        <v>4684</v>
      </c>
      <c r="B2174" s="15">
        <f>+919502935039</f>
        <v>919502935039</v>
      </c>
      <c r="C2174" s="15" t="str">
        <f t="shared" si="1"/>
        <v>nag@brainovision.in919502935039</v>
      </c>
      <c r="D2174" s="16" t="s">
        <v>9239</v>
      </c>
      <c r="E2174" s="16" t="s">
        <v>68</v>
      </c>
    </row>
    <row r="2175">
      <c r="A2175" s="1" t="s">
        <v>3789</v>
      </c>
      <c r="B2175" s="15">
        <f>+916302490323</f>
        <v>916302490323</v>
      </c>
      <c r="C2175" s="15" t="str">
        <f t="shared" si="1"/>
        <v>pratap.gangi@gmail.com916302490323</v>
      </c>
      <c r="D2175" s="16" t="s">
        <v>9240</v>
      </c>
      <c r="E2175" s="16" t="s">
        <v>68</v>
      </c>
    </row>
    <row r="2176">
      <c r="A2176" s="1" t="s">
        <v>4686</v>
      </c>
      <c r="B2176" s="15">
        <f>+919007264041</f>
        <v>919007264041</v>
      </c>
      <c r="C2176" s="15" t="str">
        <f t="shared" si="1"/>
        <v>nikita.prasad01@gmail.com919007264041</v>
      </c>
      <c r="D2176" s="16" t="s">
        <v>9241</v>
      </c>
      <c r="E2176" s="16" t="s">
        <v>68</v>
      </c>
    </row>
    <row r="2177">
      <c r="A2177" s="1" t="s">
        <v>3044</v>
      </c>
      <c r="B2177" s="15">
        <f>+919867252272</f>
        <v>919867252272</v>
      </c>
      <c r="C2177" s="15" t="str">
        <f t="shared" si="1"/>
        <v>bhavnarjha@gmail.com919867252272</v>
      </c>
      <c r="D2177" s="16" t="s">
        <v>9242</v>
      </c>
      <c r="E2177" s="16" t="s">
        <v>68</v>
      </c>
    </row>
    <row r="2178">
      <c r="A2178" s="1" t="s">
        <v>4375</v>
      </c>
      <c r="B2178" s="15">
        <f t="shared" ref="B2178:B2182" si="282">+917989198192</f>
        <v>917989198192</v>
      </c>
      <c r="C2178" s="15" t="str">
        <f t="shared" si="1"/>
        <v>biswajit.bage@gmail.com917989198192</v>
      </c>
      <c r="D2178" s="16" t="s">
        <v>9243</v>
      </c>
      <c r="E2178" s="16" t="s">
        <v>74</v>
      </c>
    </row>
    <row r="2179">
      <c r="A2179" s="1" t="s">
        <v>4375</v>
      </c>
      <c r="B2179" s="15">
        <f t="shared" si="282"/>
        <v>917989198192</v>
      </c>
      <c r="C2179" s="15" t="str">
        <f t="shared" si="1"/>
        <v>biswajit.bage@gmail.com917989198192</v>
      </c>
      <c r="D2179" s="16" t="s">
        <v>9244</v>
      </c>
      <c r="E2179" s="16" t="s">
        <v>74</v>
      </c>
    </row>
    <row r="2180">
      <c r="A2180" s="1" t="s">
        <v>4375</v>
      </c>
      <c r="B2180" s="15">
        <f t="shared" si="282"/>
        <v>917989198192</v>
      </c>
      <c r="C2180" s="15" t="str">
        <f t="shared" si="1"/>
        <v>biswajit.bage@gmail.com917989198192</v>
      </c>
      <c r="D2180" s="16" t="s">
        <v>9245</v>
      </c>
      <c r="E2180" s="16" t="s">
        <v>68</v>
      </c>
    </row>
    <row r="2181">
      <c r="A2181" s="1" t="s">
        <v>4375</v>
      </c>
      <c r="B2181" s="15">
        <f t="shared" si="282"/>
        <v>917989198192</v>
      </c>
      <c r="C2181" s="15" t="str">
        <f t="shared" si="1"/>
        <v>biswajit.bage@gmail.com917989198192</v>
      </c>
      <c r="D2181" s="16" t="s">
        <v>9246</v>
      </c>
      <c r="E2181" s="16" t="s">
        <v>68</v>
      </c>
    </row>
    <row r="2182">
      <c r="A2182" s="1" t="s">
        <v>4375</v>
      </c>
      <c r="B2182" s="15">
        <f t="shared" si="282"/>
        <v>917989198192</v>
      </c>
      <c r="C2182" s="15" t="str">
        <f t="shared" si="1"/>
        <v>biswajit.bage@gmail.com917989198192</v>
      </c>
      <c r="D2182" s="16" t="s">
        <v>9247</v>
      </c>
      <c r="E2182" s="16" t="s">
        <v>68</v>
      </c>
    </row>
    <row r="2183">
      <c r="A2183" s="1" t="s">
        <v>9248</v>
      </c>
      <c r="B2183" s="15">
        <f>+917978127425</f>
        <v>917978127425</v>
      </c>
      <c r="C2183" s="15" t="str">
        <f t="shared" si="1"/>
        <v>rajamaharana4011@gmail.com917978127425</v>
      </c>
      <c r="D2183" s="16" t="s">
        <v>9249</v>
      </c>
      <c r="E2183" s="16" t="s">
        <v>68</v>
      </c>
    </row>
    <row r="2184">
      <c r="A2184" s="1" t="s">
        <v>5004</v>
      </c>
      <c r="B2184" s="15">
        <f>+919489003910</f>
        <v>919489003910</v>
      </c>
      <c r="C2184" s="15" t="str">
        <f t="shared" si="1"/>
        <v>sundararajkrishnakumar@gmail.com919489003910</v>
      </c>
      <c r="D2184" s="16" t="s">
        <v>9250</v>
      </c>
      <c r="E2184" s="16" t="s">
        <v>68</v>
      </c>
    </row>
    <row r="2185">
      <c r="A2185" s="1" t="s">
        <v>6092</v>
      </c>
      <c r="B2185" s="15">
        <f>+917262046145</f>
        <v>917262046145</v>
      </c>
      <c r="C2185" s="15" t="str">
        <f t="shared" si="1"/>
        <v>shilpatagade6@gmail.com917262046145</v>
      </c>
      <c r="D2185" s="16" t="s">
        <v>9251</v>
      </c>
      <c r="E2185" s="16" t="s">
        <v>68</v>
      </c>
    </row>
    <row r="2186">
      <c r="A2186" s="1" t="s">
        <v>9252</v>
      </c>
      <c r="B2186" s="15">
        <f>+919842525543</f>
        <v>919842525543</v>
      </c>
      <c r="C2186" s="15" t="str">
        <f t="shared" si="1"/>
        <v>mohangcebe@gmail.com919842525543</v>
      </c>
      <c r="D2186" s="16" t="s">
        <v>9253</v>
      </c>
      <c r="E2186" s="16" t="s">
        <v>151</v>
      </c>
    </row>
    <row r="2187">
      <c r="A2187" s="1" t="s">
        <v>4463</v>
      </c>
      <c r="B2187" s="15">
        <f>+917053183655</f>
        <v>917053183655</v>
      </c>
      <c r="C2187" s="15" t="str">
        <f t="shared" si="1"/>
        <v>123movierock@gmail.com917053183655</v>
      </c>
      <c r="D2187" s="16" t="s">
        <v>9254</v>
      </c>
      <c r="E2187" s="16" t="s">
        <v>68</v>
      </c>
    </row>
    <row r="2188">
      <c r="A2188" s="1" t="s">
        <v>6396</v>
      </c>
      <c r="B2188" s="15">
        <f>+919768689948</f>
        <v>919768689948</v>
      </c>
      <c r="C2188" s="15" t="str">
        <f t="shared" si="1"/>
        <v>shubhamlotus@gmail.com919768689948</v>
      </c>
      <c r="D2188" s="16" t="s">
        <v>9255</v>
      </c>
      <c r="E2188" s="16" t="s">
        <v>68</v>
      </c>
    </row>
    <row r="2189">
      <c r="A2189" s="1" t="s">
        <v>5006</v>
      </c>
      <c r="B2189" s="15">
        <f>+919409434533</f>
        <v>919409434533</v>
      </c>
      <c r="C2189" s="15" t="str">
        <f t="shared" si="1"/>
        <v>kabir.rawal009@gmail.com919409434533</v>
      </c>
      <c r="D2189" s="16" t="s">
        <v>9256</v>
      </c>
      <c r="E2189" s="16" t="s">
        <v>68</v>
      </c>
    </row>
    <row r="2190">
      <c r="A2190" s="1" t="s">
        <v>2647</v>
      </c>
      <c r="B2190" s="15">
        <f>+918454949008</f>
        <v>918454949008</v>
      </c>
      <c r="C2190" s="15" t="str">
        <f t="shared" si="1"/>
        <v>padmaja.sreerangam@gmail.com918454949008</v>
      </c>
      <c r="D2190" s="16" t="s">
        <v>9257</v>
      </c>
      <c r="E2190" s="16" t="s">
        <v>68</v>
      </c>
    </row>
    <row r="2191">
      <c r="A2191" s="1" t="s">
        <v>4136</v>
      </c>
      <c r="B2191" s="15">
        <f>+919389898150</f>
        <v>919389898150</v>
      </c>
      <c r="C2191" s="15" t="str">
        <f t="shared" si="1"/>
        <v>avnarana@gmail.com919389898150</v>
      </c>
      <c r="D2191" s="16" t="s">
        <v>9258</v>
      </c>
      <c r="E2191" s="16" t="s">
        <v>68</v>
      </c>
    </row>
    <row r="2192">
      <c r="A2192" s="1" t="s">
        <v>9259</v>
      </c>
      <c r="B2192" s="15">
        <f>+919811454389</f>
        <v>919811454389</v>
      </c>
      <c r="C2192" s="15" t="str">
        <f t="shared" si="1"/>
        <v>s_gayu@yahoo.com919811454389</v>
      </c>
      <c r="D2192" s="16" t="s">
        <v>9260</v>
      </c>
      <c r="E2192" s="16" t="s">
        <v>68</v>
      </c>
    </row>
    <row r="2193">
      <c r="A2193" s="1" t="s">
        <v>9261</v>
      </c>
      <c r="B2193" s="15">
        <f t="shared" ref="B2193:B2196" si="283">+918005856827</f>
        <v>918005856827</v>
      </c>
      <c r="C2193" s="15" t="str">
        <f t="shared" si="1"/>
        <v>diveshnarwani821@gmail.com918005856827</v>
      </c>
      <c r="D2193" s="16" t="s">
        <v>9262</v>
      </c>
      <c r="E2193" s="16" t="s">
        <v>68</v>
      </c>
    </row>
    <row r="2194">
      <c r="A2194" s="1" t="s">
        <v>9261</v>
      </c>
      <c r="B2194" s="15">
        <f t="shared" si="283"/>
        <v>918005856827</v>
      </c>
      <c r="C2194" s="15" t="str">
        <f t="shared" si="1"/>
        <v>diveshnarwani821@gmail.com918005856827</v>
      </c>
      <c r="D2194" s="16" t="s">
        <v>9263</v>
      </c>
      <c r="E2194" s="16" t="s">
        <v>68</v>
      </c>
    </row>
    <row r="2195">
      <c r="A2195" s="1" t="s">
        <v>9261</v>
      </c>
      <c r="B2195" s="15">
        <f t="shared" si="283"/>
        <v>918005856827</v>
      </c>
      <c r="C2195" s="15" t="str">
        <f t="shared" si="1"/>
        <v>diveshnarwani821@gmail.com918005856827</v>
      </c>
      <c r="D2195" s="16" t="s">
        <v>9264</v>
      </c>
      <c r="E2195" s="16" t="s">
        <v>68</v>
      </c>
    </row>
    <row r="2196">
      <c r="A2196" s="1" t="s">
        <v>9261</v>
      </c>
      <c r="B2196" s="15">
        <f t="shared" si="283"/>
        <v>918005856827</v>
      </c>
      <c r="C2196" s="15" t="str">
        <f t="shared" si="1"/>
        <v>diveshnarwani821@gmail.com918005856827</v>
      </c>
      <c r="D2196" s="16" t="s">
        <v>9265</v>
      </c>
      <c r="E2196" s="16" t="s">
        <v>68</v>
      </c>
    </row>
    <row r="2197">
      <c r="A2197" s="1" t="s">
        <v>5256</v>
      </c>
      <c r="B2197" s="15">
        <f>+919846073448</f>
        <v>919846073448</v>
      </c>
      <c r="C2197" s="15" t="str">
        <f t="shared" si="1"/>
        <v>bt.sindhu@gmail.com919846073448</v>
      </c>
      <c r="D2197" s="16" t="s">
        <v>9266</v>
      </c>
      <c r="E2197" s="16" t="s">
        <v>74</v>
      </c>
    </row>
    <row r="2198">
      <c r="A2198" s="1" t="s">
        <v>2850</v>
      </c>
      <c r="B2198" s="15">
        <f>+918587922160</f>
        <v>918587922160</v>
      </c>
      <c r="C2198" s="15" t="str">
        <f t="shared" si="1"/>
        <v>sereenekour@gmail.com918587922160</v>
      </c>
      <c r="D2198" s="16" t="s">
        <v>9267</v>
      </c>
      <c r="E2198" s="16" t="s">
        <v>68</v>
      </c>
    </row>
    <row r="2199">
      <c r="A2199" s="1" t="s">
        <v>5008</v>
      </c>
      <c r="B2199" s="15">
        <f>+917358682881</f>
        <v>917358682881</v>
      </c>
      <c r="C2199" s="15" t="str">
        <f t="shared" si="1"/>
        <v>mumuthukamaraj.10@gmail.c917358682881</v>
      </c>
      <c r="D2199" s="16" t="s">
        <v>9268</v>
      </c>
      <c r="E2199" s="16" t="s">
        <v>68</v>
      </c>
    </row>
    <row r="2200">
      <c r="A2200" s="1" t="s">
        <v>2850</v>
      </c>
      <c r="B2200" s="15">
        <f>+918587922160</f>
        <v>918587922160</v>
      </c>
      <c r="C2200" s="15" t="str">
        <f t="shared" si="1"/>
        <v>sereenekour@gmail.com918587922160</v>
      </c>
      <c r="D2200" s="16" t="s">
        <v>9269</v>
      </c>
      <c r="E2200" s="16" t="s">
        <v>68</v>
      </c>
    </row>
    <row r="2201">
      <c r="A2201" s="1" t="s">
        <v>4138</v>
      </c>
      <c r="B2201" s="15">
        <f>+917578863897</f>
        <v>917578863897</v>
      </c>
      <c r="C2201" s="15" t="str">
        <f t="shared" si="1"/>
        <v>gitanjanapaul@gmail.com917578863897</v>
      </c>
      <c r="D2201" s="16" t="s">
        <v>9270</v>
      </c>
      <c r="E2201" s="16" t="s">
        <v>68</v>
      </c>
    </row>
    <row r="2202">
      <c r="A2202" s="1" t="s">
        <v>5108</v>
      </c>
      <c r="B2202" s="15">
        <f>+917665663077</f>
        <v>917665663077</v>
      </c>
      <c r="C2202" s="15" t="str">
        <f t="shared" si="1"/>
        <v>shraddhar88@gmail.com917665663077</v>
      </c>
      <c r="D2202" s="16" t="s">
        <v>9271</v>
      </c>
      <c r="E2202" s="16" t="s">
        <v>68</v>
      </c>
    </row>
    <row r="2203">
      <c r="A2203" s="1" t="s">
        <v>9272</v>
      </c>
      <c r="B2203" s="15">
        <f>+917012422031</f>
        <v>917012422031</v>
      </c>
      <c r="C2203" s="15" t="str">
        <f t="shared" si="1"/>
        <v>sharikiran409@gmail.com917012422031</v>
      </c>
      <c r="D2203" s="16" t="s">
        <v>9273</v>
      </c>
      <c r="E2203" s="16" t="s">
        <v>74</v>
      </c>
    </row>
    <row r="2204">
      <c r="A2204" s="1" t="s">
        <v>9274</v>
      </c>
      <c r="B2204" s="15">
        <f>+917006023191</f>
        <v>917006023191</v>
      </c>
      <c r="C2204" s="15" t="str">
        <f t="shared" si="1"/>
        <v>bhatrifat018@gmail.com917006023191</v>
      </c>
      <c r="D2204" s="16" t="s">
        <v>9275</v>
      </c>
      <c r="E2204" s="16" t="s">
        <v>151</v>
      </c>
    </row>
    <row r="2205">
      <c r="A2205" s="1" t="s">
        <v>4688</v>
      </c>
      <c r="B2205" s="15">
        <f>+919618029555</f>
        <v>919618029555</v>
      </c>
      <c r="C2205" s="15" t="str">
        <f t="shared" si="1"/>
        <v>sanvi2805@gmail.com919618029555</v>
      </c>
      <c r="D2205" s="16" t="s">
        <v>9276</v>
      </c>
      <c r="E2205" s="16" t="s">
        <v>68</v>
      </c>
    </row>
    <row r="2206">
      <c r="A2206" s="1" t="s">
        <v>4140</v>
      </c>
      <c r="B2206" s="15">
        <f>+919416093035</f>
        <v>919416093035</v>
      </c>
      <c r="C2206" s="15" t="str">
        <f t="shared" si="1"/>
        <v>hardiksuneja@gmail.com919416093035</v>
      </c>
      <c r="D2206" s="16" t="s">
        <v>9277</v>
      </c>
      <c r="E2206" s="16" t="s">
        <v>68</v>
      </c>
    </row>
    <row r="2207">
      <c r="A2207" s="1" t="s">
        <v>6291</v>
      </c>
      <c r="B2207" s="15">
        <f t="shared" ref="B2207:B2208" si="284">+916005971502</f>
        <v>916005971502</v>
      </c>
      <c r="C2207" s="15" t="str">
        <f t="shared" si="1"/>
        <v>nohope0986@gmail.com916005971502</v>
      </c>
      <c r="D2207" s="16" t="s">
        <v>9278</v>
      </c>
      <c r="E2207" s="16" t="s">
        <v>68</v>
      </c>
    </row>
    <row r="2208">
      <c r="A2208" s="1" t="s">
        <v>6291</v>
      </c>
      <c r="B2208" s="15">
        <f t="shared" si="284"/>
        <v>916005971502</v>
      </c>
      <c r="C2208" s="15" t="str">
        <f t="shared" si="1"/>
        <v>nohope0986@gmail.com916005971502</v>
      </c>
      <c r="D2208" s="16" t="s">
        <v>9279</v>
      </c>
      <c r="E2208" s="16" t="s">
        <v>68</v>
      </c>
    </row>
    <row r="2209">
      <c r="A2209" s="1" t="s">
        <v>2253</v>
      </c>
      <c r="B2209" s="15">
        <f>+919164258717</f>
        <v>919164258717</v>
      </c>
      <c r="C2209" s="15" t="str">
        <f t="shared" si="1"/>
        <v>swetarane54@gmail.com919164258717</v>
      </c>
      <c r="D2209" s="16" t="s">
        <v>9280</v>
      </c>
      <c r="E2209" s="16" t="s">
        <v>68</v>
      </c>
    </row>
    <row r="2210">
      <c r="A2210" s="1" t="s">
        <v>9281</v>
      </c>
      <c r="B2210" s="15">
        <f>+916381459638</f>
        <v>916381459638</v>
      </c>
      <c r="C2210" s="15" t="str">
        <f t="shared" si="1"/>
        <v>moulidella0@gmail.com916381459638</v>
      </c>
      <c r="D2210" s="16" t="s">
        <v>9282</v>
      </c>
      <c r="E2210" s="16" t="s">
        <v>68</v>
      </c>
    </row>
    <row r="2211">
      <c r="A2211" s="1" t="s">
        <v>5258</v>
      </c>
      <c r="B2211" s="15">
        <f>+918149494686</f>
        <v>918149494686</v>
      </c>
      <c r="C2211" s="15" t="str">
        <f t="shared" si="1"/>
        <v>vaidyagayatri03@gmail.com918149494686</v>
      </c>
      <c r="D2211" s="16" t="s">
        <v>9283</v>
      </c>
      <c r="E2211" s="16" t="s">
        <v>68</v>
      </c>
    </row>
    <row r="2212">
      <c r="A2212" s="1" t="s">
        <v>5260</v>
      </c>
      <c r="B2212" s="15">
        <f>+919491609613</f>
        <v>919491609613</v>
      </c>
      <c r="C2212" s="15" t="str">
        <f t="shared" si="1"/>
        <v>mahathinama@gmail.com919491609613</v>
      </c>
      <c r="D2212" s="16" t="s">
        <v>9284</v>
      </c>
      <c r="E2212" s="16" t="s">
        <v>68</v>
      </c>
    </row>
    <row r="2213">
      <c r="A2213" s="1" t="s">
        <v>3791</v>
      </c>
      <c r="B2213" s="15">
        <f>+918328251656</f>
        <v>918328251656</v>
      </c>
      <c r="C2213" s="15" t="str">
        <f t="shared" si="1"/>
        <v>vvssharini2000@gmail.com918328251656</v>
      </c>
      <c r="D2213" s="16" t="s">
        <v>9285</v>
      </c>
      <c r="E2213" s="16" t="s">
        <v>68</v>
      </c>
    </row>
    <row r="2214">
      <c r="A2214" s="1" t="s">
        <v>4142</v>
      </c>
      <c r="B2214" s="15">
        <f>+919884956368</f>
        <v>919884956368</v>
      </c>
      <c r="C2214" s="15" t="str">
        <f t="shared" si="1"/>
        <v>sskall90@gmail.com919884956368</v>
      </c>
      <c r="D2214" s="16" t="s">
        <v>9286</v>
      </c>
      <c r="E2214" s="16" t="s">
        <v>68</v>
      </c>
    </row>
    <row r="2215">
      <c r="A2215" s="1" t="s">
        <v>4144</v>
      </c>
      <c r="B2215" s="15">
        <f>+919952058532</f>
        <v>919952058532</v>
      </c>
      <c r="C2215" s="15" t="str">
        <f t="shared" si="1"/>
        <v>rahulsinghmp968@gmail.com919952058532</v>
      </c>
      <c r="D2215" s="16" t="s">
        <v>9287</v>
      </c>
      <c r="E2215" s="16" t="s">
        <v>74</v>
      </c>
    </row>
    <row r="2216">
      <c r="A2216" s="1" t="s">
        <v>9288</v>
      </c>
      <c r="B2216" s="15">
        <f>+917389999990</f>
        <v>917389999990</v>
      </c>
      <c r="C2216" s="15" t="str">
        <f t="shared" si="1"/>
        <v>dcbs13sinranbajaj@gmail.com917389999990</v>
      </c>
      <c r="D2216" s="16" t="s">
        <v>9289</v>
      </c>
      <c r="E2216" s="16" t="s">
        <v>68</v>
      </c>
    </row>
    <row r="2217">
      <c r="A2217" s="1" t="s">
        <v>2649</v>
      </c>
      <c r="B2217" s="15">
        <f t="shared" ref="B2217:B2218" si="285">+919316888844</f>
        <v>919316888844</v>
      </c>
      <c r="C2217" s="15" t="str">
        <f t="shared" si="1"/>
        <v>greensunplanters@gmail.com919316888844</v>
      </c>
      <c r="D2217" s="16" t="s">
        <v>9290</v>
      </c>
      <c r="E2217" s="16" t="s">
        <v>68</v>
      </c>
    </row>
    <row r="2218">
      <c r="A2218" s="1" t="s">
        <v>2649</v>
      </c>
      <c r="B2218" s="15">
        <f t="shared" si="285"/>
        <v>919316888844</v>
      </c>
      <c r="C2218" s="15" t="str">
        <f t="shared" si="1"/>
        <v>greensunplanters@gmail.com919316888844</v>
      </c>
      <c r="D2218" s="16" t="s">
        <v>9291</v>
      </c>
      <c r="E2218" s="16" t="s">
        <v>68</v>
      </c>
    </row>
    <row r="2219">
      <c r="A2219" s="1" t="s">
        <v>5009</v>
      </c>
      <c r="B2219" s="15">
        <f>+917795516290</f>
        <v>917795516290</v>
      </c>
      <c r="C2219" s="15" t="str">
        <f t="shared" si="1"/>
        <v>sdas10135@gmail.com917795516290</v>
      </c>
      <c r="D2219" s="16" t="s">
        <v>9292</v>
      </c>
      <c r="E2219" s="16" t="s">
        <v>68</v>
      </c>
    </row>
    <row r="2220">
      <c r="A2220" s="1" t="s">
        <v>6542</v>
      </c>
      <c r="B2220" s="15">
        <f>+918369219878</f>
        <v>918369219878</v>
      </c>
      <c r="C2220" s="15" t="str">
        <f t="shared" si="1"/>
        <v>sonaligupta33@gmail.com918369219878</v>
      </c>
      <c r="D2220" s="16" t="s">
        <v>9293</v>
      </c>
      <c r="E2220" s="16" t="s">
        <v>74</v>
      </c>
    </row>
    <row r="2221">
      <c r="A2221" s="1" t="s">
        <v>3982</v>
      </c>
      <c r="B2221" s="15">
        <f>+916380479069</f>
        <v>916380479069</v>
      </c>
      <c r="C2221" s="15" t="str">
        <f t="shared" si="1"/>
        <v>kvanamurthy@gmail.com916380479069</v>
      </c>
      <c r="D2221" s="16" t="s">
        <v>9294</v>
      </c>
      <c r="E2221" s="16" t="s">
        <v>68</v>
      </c>
    </row>
    <row r="2222">
      <c r="A2222" s="1" t="s">
        <v>4465</v>
      </c>
      <c r="B2222" s="15">
        <f>+919945878888</f>
        <v>919945878888</v>
      </c>
      <c r="C2222" s="15" t="str">
        <f t="shared" si="1"/>
        <v>kamatham.samhitha@gmail.com919945878888</v>
      </c>
      <c r="D2222" s="16" t="s">
        <v>9295</v>
      </c>
      <c r="E2222" s="16" t="s">
        <v>68</v>
      </c>
    </row>
    <row r="2223">
      <c r="A2223" s="1" t="s">
        <v>4146</v>
      </c>
      <c r="B2223" s="15">
        <f>+917019989483</f>
        <v>917019989483</v>
      </c>
      <c r="C2223" s="15" t="str">
        <f t="shared" si="1"/>
        <v>ryashika712@gmail.com917019989483</v>
      </c>
      <c r="D2223" s="16" t="s">
        <v>9296</v>
      </c>
      <c r="E2223" s="16" t="s">
        <v>68</v>
      </c>
    </row>
    <row r="2224">
      <c r="A2224" s="1" t="s">
        <v>6544</v>
      </c>
      <c r="B2224" s="15">
        <f>+919818173893</f>
        <v>919818173893</v>
      </c>
      <c r="C2224" s="15" t="str">
        <f t="shared" si="1"/>
        <v>shringaar.greatworks@gmail.com919818173893</v>
      </c>
      <c r="D2224" s="16" t="s">
        <v>9297</v>
      </c>
      <c r="E2224" s="16" t="s">
        <v>68</v>
      </c>
    </row>
    <row r="2225">
      <c r="A2225" s="1" t="s">
        <v>5010</v>
      </c>
      <c r="B2225" s="15">
        <f t="shared" ref="B2225:B2226" si="286">+919510779300</f>
        <v>919510779300</v>
      </c>
      <c r="C2225" s="15" t="str">
        <f t="shared" si="1"/>
        <v>raj@vishwastratis.com919510779300</v>
      </c>
      <c r="D2225" s="16" t="s">
        <v>9298</v>
      </c>
      <c r="E2225" s="16" t="s">
        <v>74</v>
      </c>
    </row>
    <row r="2226">
      <c r="A2226" s="1" t="s">
        <v>5010</v>
      </c>
      <c r="B2226" s="15">
        <f t="shared" si="286"/>
        <v>919510779300</v>
      </c>
      <c r="C2226" s="15" t="str">
        <f t="shared" si="1"/>
        <v>raj@vishwastratis.com919510779300</v>
      </c>
      <c r="D2226" s="16" t="s">
        <v>9299</v>
      </c>
      <c r="E2226" s="16" t="s">
        <v>68</v>
      </c>
    </row>
    <row r="2227">
      <c r="A2227" s="1" t="s">
        <v>6094</v>
      </c>
      <c r="B2227" s="15">
        <f>+917978954112</f>
        <v>917978954112</v>
      </c>
      <c r="C2227" s="15" t="str">
        <f t="shared" si="1"/>
        <v>riconpatel1997@gmail.com917978954112</v>
      </c>
      <c r="D2227" s="16" t="s">
        <v>9300</v>
      </c>
      <c r="E2227" s="16" t="s">
        <v>68</v>
      </c>
    </row>
    <row r="2228">
      <c r="A2228" s="1" t="s">
        <v>9301</v>
      </c>
      <c r="B2228" s="15">
        <f>+919920581062</f>
        <v>919920581062</v>
      </c>
      <c r="C2228" s="15" t="str">
        <f t="shared" si="1"/>
        <v>samiraqureshi060@gmail.com919920581062</v>
      </c>
      <c r="D2228" s="16" t="s">
        <v>9302</v>
      </c>
      <c r="E2228" s="16" t="s">
        <v>151</v>
      </c>
    </row>
    <row r="2229">
      <c r="A2229" s="1" t="s">
        <v>3905</v>
      </c>
      <c r="B2229" s="15">
        <f>+919845606980</f>
        <v>919845606980</v>
      </c>
      <c r="C2229" s="15" t="str">
        <f t="shared" si="1"/>
        <v>manisinghrajput22@gmail.com919845606980</v>
      </c>
      <c r="D2229" s="16" t="s">
        <v>9303</v>
      </c>
      <c r="E2229" s="16" t="s">
        <v>151</v>
      </c>
    </row>
    <row r="2230">
      <c r="A2230" s="1" t="s">
        <v>9304</v>
      </c>
      <c r="B2230" s="15">
        <f>+919884191335</f>
        <v>919884191335</v>
      </c>
      <c r="C2230" s="15" t="str">
        <f t="shared" si="1"/>
        <v>kpraneethin007@gmail.com919884191335</v>
      </c>
      <c r="D2230" s="16" t="s">
        <v>9305</v>
      </c>
      <c r="E2230" s="16" t="s">
        <v>74</v>
      </c>
    </row>
    <row r="2231">
      <c r="A2231" s="1" t="s">
        <v>5877</v>
      </c>
      <c r="B2231" s="15">
        <f>+919773821896</f>
        <v>919773821896</v>
      </c>
      <c r="C2231" s="15" t="str">
        <f t="shared" si="1"/>
        <v>krishansandheip@gmail.com919773821896</v>
      </c>
      <c r="D2231" s="16" t="s">
        <v>9306</v>
      </c>
      <c r="E2231" s="16" t="s">
        <v>68</v>
      </c>
    </row>
    <row r="2232">
      <c r="A2232" s="1" t="s">
        <v>9307</v>
      </c>
      <c r="B2232" s="15">
        <f>+918604804992</f>
        <v>918604804992</v>
      </c>
      <c r="C2232" s="15" t="str">
        <f t="shared" si="1"/>
        <v>vartikaazad@gmail.com918604804992</v>
      </c>
      <c r="D2232" s="16" t="s">
        <v>9308</v>
      </c>
      <c r="E2232" s="16" t="s">
        <v>68</v>
      </c>
    </row>
    <row r="2233">
      <c r="A2233" s="1" t="s">
        <v>5879</v>
      </c>
      <c r="B2233" s="15">
        <f>+919971333164</f>
        <v>919971333164</v>
      </c>
      <c r="C2233" s="15" t="str">
        <f t="shared" si="1"/>
        <v>sssharma27387@gmail.com919971333164</v>
      </c>
      <c r="D2233" s="16" t="s">
        <v>9309</v>
      </c>
      <c r="E2233" s="16" t="s">
        <v>68</v>
      </c>
    </row>
    <row r="2234">
      <c r="A2234" s="1" t="s">
        <v>9310</v>
      </c>
      <c r="B2234" s="15">
        <f>+919866043592</f>
        <v>919866043592</v>
      </c>
      <c r="C2234" s="15" t="str">
        <f t="shared" si="1"/>
        <v>mohsmmedosmanansari@gmail.com919866043592</v>
      </c>
      <c r="D2234" s="16" t="s">
        <v>9311</v>
      </c>
      <c r="E2234" s="16" t="s">
        <v>68</v>
      </c>
    </row>
    <row r="2235">
      <c r="A2235" s="1" t="s">
        <v>3115</v>
      </c>
      <c r="B2235" s="15">
        <f>+918956468871</f>
        <v>918956468871</v>
      </c>
      <c r="C2235" s="15" t="str">
        <f t="shared" si="1"/>
        <v>ritikanair192003@gmail.com918956468871</v>
      </c>
      <c r="D2235" s="16" t="s">
        <v>9312</v>
      </c>
      <c r="E2235" s="16" t="s">
        <v>74</v>
      </c>
    </row>
    <row r="2236">
      <c r="A2236" s="1" t="s">
        <v>9313</v>
      </c>
      <c r="B2236" s="15">
        <f t="shared" ref="B2236:B2237" si="287">+918790964309</f>
        <v>918790964309</v>
      </c>
      <c r="C2236" s="15" t="str">
        <f t="shared" si="1"/>
        <v>manoj.muttamsetty@gmail.com918790964309</v>
      </c>
      <c r="D2236" s="16" t="s">
        <v>9314</v>
      </c>
      <c r="E2236" s="16" t="s">
        <v>68</v>
      </c>
    </row>
    <row r="2237">
      <c r="A2237" s="1" t="s">
        <v>4910</v>
      </c>
      <c r="B2237" s="15">
        <f t="shared" si="287"/>
        <v>918790964309</v>
      </c>
      <c r="C2237" s="15" t="str">
        <f t="shared" si="1"/>
        <v>manoj3123@gmail.com918790964309</v>
      </c>
      <c r="D2237" s="16" t="s">
        <v>9315</v>
      </c>
      <c r="E2237" s="16" t="s">
        <v>68</v>
      </c>
    </row>
    <row r="2238">
      <c r="A2238" s="1" t="s">
        <v>2117</v>
      </c>
      <c r="B2238" s="15">
        <f>+918527077200</f>
        <v>918527077200</v>
      </c>
      <c r="C2238" s="15" t="str">
        <f t="shared" si="1"/>
        <v>trishamittal47@gmail.com918527077200</v>
      </c>
      <c r="D2238" s="16" t="s">
        <v>9316</v>
      </c>
      <c r="E2238" s="16" t="s">
        <v>68</v>
      </c>
    </row>
    <row r="2239">
      <c r="A2239" s="1" t="s">
        <v>9317</v>
      </c>
      <c r="B2239" s="15">
        <f>+917670811166</f>
        <v>917670811166</v>
      </c>
      <c r="C2239" s="15" t="str">
        <f t="shared" si="1"/>
        <v>amalrohitha707@gmail.com917670811166</v>
      </c>
      <c r="D2239" s="16" t="s">
        <v>9318</v>
      </c>
      <c r="E2239" s="16" t="s">
        <v>68</v>
      </c>
    </row>
    <row r="2240">
      <c r="A2240" s="1" t="s">
        <v>4312</v>
      </c>
      <c r="B2240" s="15">
        <f>+919140775659</f>
        <v>919140775659</v>
      </c>
      <c r="C2240" s="15" t="str">
        <f t="shared" si="1"/>
        <v>rjbhardwaj216@gmail.com919140775659</v>
      </c>
      <c r="D2240" s="16" t="s">
        <v>9319</v>
      </c>
      <c r="E2240" s="16" t="s">
        <v>68</v>
      </c>
    </row>
    <row r="2241">
      <c r="A2241" s="1" t="s">
        <v>6096</v>
      </c>
      <c r="B2241" s="15">
        <f>+918800214022</f>
        <v>918800214022</v>
      </c>
      <c r="C2241" s="15" t="str">
        <f t="shared" si="1"/>
        <v>himanshu99310@gmail.com918800214022</v>
      </c>
      <c r="D2241" s="16" t="s">
        <v>9320</v>
      </c>
      <c r="E2241" s="16" t="s">
        <v>151</v>
      </c>
    </row>
    <row r="2242">
      <c r="A2242" s="1" t="s">
        <v>1830</v>
      </c>
      <c r="B2242" s="15">
        <f>+919769288349</f>
        <v>919769288349</v>
      </c>
      <c r="C2242" s="15" t="str">
        <f t="shared" si="1"/>
        <v>kanisfatima31@gmail.com919769288349</v>
      </c>
      <c r="D2242" s="16" t="s">
        <v>9321</v>
      </c>
      <c r="E2242" s="16" t="s">
        <v>74</v>
      </c>
    </row>
    <row r="2243">
      <c r="A2243" s="1" t="s">
        <v>9322</v>
      </c>
      <c r="B2243" s="15">
        <f>+918900926544</f>
        <v>918900926544</v>
      </c>
      <c r="C2243" s="15" t="str">
        <f t="shared" si="1"/>
        <v>johnsonjohnpter805@gmail.com918900926544</v>
      </c>
      <c r="D2243" s="16" t="s">
        <v>9323</v>
      </c>
      <c r="E2243" s="16" t="s">
        <v>151</v>
      </c>
    </row>
    <row r="2244">
      <c r="A2244" s="1" t="s">
        <v>3240</v>
      </c>
      <c r="B2244" s="15">
        <f t="shared" ref="B2244:B2245" si="288">+919284521783</f>
        <v>919284521783</v>
      </c>
      <c r="C2244" s="15" t="str">
        <f t="shared" si="1"/>
        <v>chauhanajitsingh2508@gmail.com919284521783</v>
      </c>
      <c r="D2244" s="16" t="s">
        <v>9324</v>
      </c>
      <c r="E2244" s="16" t="s">
        <v>68</v>
      </c>
    </row>
    <row r="2245">
      <c r="A2245" s="1" t="s">
        <v>3240</v>
      </c>
      <c r="B2245" s="15">
        <f t="shared" si="288"/>
        <v>919284521783</v>
      </c>
      <c r="C2245" s="15" t="str">
        <f t="shared" si="1"/>
        <v>chauhanajitsingh2508@gmail.com919284521783</v>
      </c>
      <c r="D2245" s="16" t="s">
        <v>9325</v>
      </c>
      <c r="E2245" s="16" t="s">
        <v>68</v>
      </c>
    </row>
    <row r="2246">
      <c r="A2246" s="1" t="s">
        <v>4467</v>
      </c>
      <c r="B2246" s="15">
        <f>+919880881746</f>
        <v>919880881746</v>
      </c>
      <c r="C2246" s="15" t="str">
        <f t="shared" si="1"/>
        <v>ramalnavar@gmail.com919880881746</v>
      </c>
      <c r="D2246" s="16" t="s">
        <v>9326</v>
      </c>
      <c r="E2246" s="16" t="s">
        <v>74</v>
      </c>
    </row>
    <row r="2247">
      <c r="A2247" s="1" t="s">
        <v>6097</v>
      </c>
      <c r="B2247" s="15">
        <f t="shared" ref="B2247:B2249" si="289">+918188988110</f>
        <v>918188988110</v>
      </c>
      <c r="C2247" s="15" t="str">
        <f t="shared" si="1"/>
        <v>vinaysoni447yahoo@gmail.com918188988110</v>
      </c>
      <c r="D2247" s="16" t="s">
        <v>9327</v>
      </c>
      <c r="E2247" s="16" t="s">
        <v>74</v>
      </c>
    </row>
    <row r="2248">
      <c r="A2248" s="1" t="s">
        <v>6097</v>
      </c>
      <c r="B2248" s="15">
        <f t="shared" si="289"/>
        <v>918188988110</v>
      </c>
      <c r="C2248" s="15" t="str">
        <f t="shared" si="1"/>
        <v>vinaysoni447yahoo@gmail.com918188988110</v>
      </c>
      <c r="D2248" s="16" t="s">
        <v>9328</v>
      </c>
      <c r="E2248" s="16" t="s">
        <v>74</v>
      </c>
    </row>
    <row r="2249">
      <c r="A2249" s="1" t="s">
        <v>6097</v>
      </c>
      <c r="B2249" s="15">
        <f t="shared" si="289"/>
        <v>918188988110</v>
      </c>
      <c r="C2249" s="15" t="str">
        <f t="shared" si="1"/>
        <v>vinaysoni447yahoo@gmail.com918188988110</v>
      </c>
      <c r="D2249" s="16" t="s">
        <v>9329</v>
      </c>
      <c r="E2249" s="16" t="s">
        <v>74</v>
      </c>
    </row>
    <row r="2250">
      <c r="A2250" s="1" t="s">
        <v>3907</v>
      </c>
      <c r="B2250" s="15">
        <f>+918428775398</f>
        <v>918428775398</v>
      </c>
      <c r="C2250" s="15" t="str">
        <f t="shared" si="1"/>
        <v>gerardmark619@gmail.com918428775398</v>
      </c>
      <c r="D2250" s="16" t="s">
        <v>9330</v>
      </c>
      <c r="E2250" s="16" t="s">
        <v>68</v>
      </c>
    </row>
    <row r="2251">
      <c r="A2251" s="1" t="s">
        <v>9331</v>
      </c>
      <c r="B2251" s="15">
        <f>+919999585848</f>
        <v>919999585848</v>
      </c>
      <c r="C2251" s="15" t="str">
        <f t="shared" si="1"/>
        <v>prashant1papa@gmail.com919999585848</v>
      </c>
      <c r="D2251" s="16" t="s">
        <v>9332</v>
      </c>
      <c r="E2251" s="16" t="s">
        <v>68</v>
      </c>
    </row>
    <row r="2252">
      <c r="A2252" s="1" t="s">
        <v>9333</v>
      </c>
      <c r="B2252" s="15">
        <f>+919289760237</f>
        <v>919289760237</v>
      </c>
      <c r="C2252" s="15" t="str">
        <f t="shared" si="1"/>
        <v>sharadbhola1234@gmail.com919289760237</v>
      </c>
      <c r="D2252" s="16" t="s">
        <v>9334</v>
      </c>
      <c r="E2252" s="16" t="s">
        <v>68</v>
      </c>
    </row>
    <row r="2253">
      <c r="A2253" s="1" t="s">
        <v>2729</v>
      </c>
      <c r="B2253" s="15">
        <f t="shared" ref="B2253:B2256" si="290">+917013652050</f>
        <v>917013652050</v>
      </c>
      <c r="C2253" s="15" t="str">
        <f t="shared" si="1"/>
        <v>rajeevvarma441@gmail.com917013652050</v>
      </c>
      <c r="D2253" s="16" t="s">
        <v>9335</v>
      </c>
      <c r="E2253" s="16" t="s">
        <v>74</v>
      </c>
    </row>
    <row r="2254">
      <c r="A2254" s="1" t="s">
        <v>2729</v>
      </c>
      <c r="B2254" s="15">
        <f t="shared" si="290"/>
        <v>917013652050</v>
      </c>
      <c r="C2254" s="15" t="str">
        <f t="shared" si="1"/>
        <v>rajeevvarma441@gmail.com917013652050</v>
      </c>
      <c r="D2254" s="16" t="s">
        <v>9336</v>
      </c>
      <c r="E2254" s="16" t="s">
        <v>74</v>
      </c>
    </row>
    <row r="2255">
      <c r="A2255" s="1" t="s">
        <v>2729</v>
      </c>
      <c r="B2255" s="15">
        <f t="shared" si="290"/>
        <v>917013652050</v>
      </c>
      <c r="C2255" s="15" t="str">
        <f t="shared" si="1"/>
        <v>rajeevvarma441@gmail.com917013652050</v>
      </c>
      <c r="D2255" s="16" t="s">
        <v>9337</v>
      </c>
      <c r="E2255" s="16" t="s">
        <v>74</v>
      </c>
    </row>
    <row r="2256">
      <c r="A2256" s="1" t="s">
        <v>2729</v>
      </c>
      <c r="B2256" s="15">
        <f t="shared" si="290"/>
        <v>917013652050</v>
      </c>
      <c r="C2256" s="15" t="str">
        <f t="shared" si="1"/>
        <v>rajeevvarma441@gmail.com917013652050</v>
      </c>
      <c r="D2256" s="16" t="s">
        <v>9338</v>
      </c>
      <c r="E2256" s="16" t="s">
        <v>74</v>
      </c>
    </row>
    <row r="2257">
      <c r="A2257" s="1" t="s">
        <v>5968</v>
      </c>
      <c r="B2257" s="15">
        <f>+919324385988</f>
        <v>919324385988</v>
      </c>
      <c r="C2257" s="15" t="str">
        <f t="shared" si="1"/>
        <v>gayatrissingh@gmail.com919324385988</v>
      </c>
      <c r="D2257" s="16" t="s">
        <v>9339</v>
      </c>
      <c r="E2257" s="16" t="s">
        <v>97</v>
      </c>
    </row>
    <row r="2258">
      <c r="A2258" s="1" t="s">
        <v>2729</v>
      </c>
      <c r="B2258" s="15">
        <f t="shared" ref="B2258:B2260" si="291">+917013652050</f>
        <v>917013652050</v>
      </c>
      <c r="C2258" s="15" t="str">
        <f t="shared" si="1"/>
        <v>rajeevvarma441@gmail.com917013652050</v>
      </c>
      <c r="D2258" s="16" t="s">
        <v>9340</v>
      </c>
      <c r="E2258" s="16" t="s">
        <v>74</v>
      </c>
    </row>
    <row r="2259">
      <c r="A2259" s="1" t="s">
        <v>2729</v>
      </c>
      <c r="B2259" s="15">
        <f t="shared" si="291"/>
        <v>917013652050</v>
      </c>
      <c r="C2259" s="15" t="str">
        <f t="shared" si="1"/>
        <v>rajeevvarma441@gmail.com917013652050</v>
      </c>
      <c r="D2259" s="16" t="s">
        <v>9341</v>
      </c>
      <c r="E2259" s="16" t="s">
        <v>74</v>
      </c>
    </row>
    <row r="2260">
      <c r="A2260" s="1" t="s">
        <v>2729</v>
      </c>
      <c r="B2260" s="15">
        <f t="shared" si="291"/>
        <v>917013652050</v>
      </c>
      <c r="C2260" s="15" t="str">
        <f t="shared" si="1"/>
        <v>rajeevvarma441@gmail.com917013652050</v>
      </c>
      <c r="D2260" s="16" t="s">
        <v>9342</v>
      </c>
      <c r="E2260" s="16" t="s">
        <v>74</v>
      </c>
    </row>
    <row r="2261">
      <c r="A2261" s="1" t="s">
        <v>5012</v>
      </c>
      <c r="B2261" s="15">
        <f>+919633460488</f>
        <v>919633460488</v>
      </c>
      <c r="C2261" s="15" t="str">
        <f t="shared" si="1"/>
        <v>sakhavseeyes@gmail.com919633460488</v>
      </c>
      <c r="D2261" s="16" t="s">
        <v>9343</v>
      </c>
      <c r="E2261" s="16" t="s">
        <v>68</v>
      </c>
    </row>
    <row r="2262">
      <c r="A2262" s="1" t="s">
        <v>3909</v>
      </c>
      <c r="B2262" s="15">
        <f>+918805226584</f>
        <v>918805226584</v>
      </c>
      <c r="C2262" s="15" t="str">
        <f t="shared" si="1"/>
        <v>kadambhaskar202@gmail.com918805226584</v>
      </c>
      <c r="D2262" s="16" t="s">
        <v>9344</v>
      </c>
      <c r="E2262" s="16" t="s">
        <v>68</v>
      </c>
    </row>
    <row r="2263">
      <c r="A2263" s="1" t="s">
        <v>9345</v>
      </c>
      <c r="B2263" s="15">
        <f>+919018666999</f>
        <v>919018666999</v>
      </c>
      <c r="C2263" s="15" t="str">
        <f t="shared" si="1"/>
        <v>ahmadjavad19@gmail.com919018666999</v>
      </c>
      <c r="D2263" s="16" t="s">
        <v>9346</v>
      </c>
      <c r="E2263" s="16" t="s">
        <v>74</v>
      </c>
    </row>
    <row r="2264">
      <c r="A2264" s="1" t="s">
        <v>2727</v>
      </c>
      <c r="B2264" s="15">
        <f>+919639504148</f>
        <v>919639504148</v>
      </c>
      <c r="C2264" s="15" t="str">
        <f t="shared" si="1"/>
        <v>kantiroymihir@gmail.com919639504148</v>
      </c>
      <c r="D2264" s="16" t="s">
        <v>9347</v>
      </c>
      <c r="E2264" s="16" t="s">
        <v>68</v>
      </c>
    </row>
    <row r="2265">
      <c r="A2265" s="1" t="s">
        <v>9345</v>
      </c>
      <c r="B2265" s="15">
        <f>+919018666999</f>
        <v>919018666999</v>
      </c>
      <c r="C2265" s="15" t="str">
        <f t="shared" si="1"/>
        <v>ahmadjavad19@gmail.com919018666999</v>
      </c>
      <c r="D2265" s="16" t="s">
        <v>9348</v>
      </c>
      <c r="E2265" s="16" t="s">
        <v>74</v>
      </c>
    </row>
    <row r="2266">
      <c r="A2266" s="1" t="s">
        <v>2727</v>
      </c>
      <c r="B2266" s="15">
        <f t="shared" ref="B2266:B2267" si="292">+919639504148</f>
        <v>919639504148</v>
      </c>
      <c r="C2266" s="15" t="str">
        <f t="shared" si="1"/>
        <v>kantiroymihir@gmail.com919639504148</v>
      </c>
      <c r="D2266" s="16" t="s">
        <v>9349</v>
      </c>
      <c r="E2266" s="16" t="s">
        <v>68</v>
      </c>
    </row>
    <row r="2267">
      <c r="A2267" s="1" t="s">
        <v>2727</v>
      </c>
      <c r="B2267" s="15">
        <f t="shared" si="292"/>
        <v>919639504148</v>
      </c>
      <c r="C2267" s="15" t="str">
        <f t="shared" si="1"/>
        <v>kantiroymihir@gmail.com919639504148</v>
      </c>
      <c r="D2267" s="16" t="s">
        <v>9350</v>
      </c>
      <c r="E2267" s="16" t="s">
        <v>68</v>
      </c>
    </row>
    <row r="2268">
      <c r="A2268" s="1" t="s">
        <v>9345</v>
      </c>
      <c r="B2268" s="15">
        <f t="shared" ref="B2268:B2269" si="293">+919018666999</f>
        <v>919018666999</v>
      </c>
      <c r="C2268" s="15" t="str">
        <f t="shared" si="1"/>
        <v>ahmadjavad19@gmail.com919018666999</v>
      </c>
      <c r="D2268" s="16" t="s">
        <v>9351</v>
      </c>
      <c r="E2268" s="16" t="s">
        <v>74</v>
      </c>
    </row>
    <row r="2269">
      <c r="A2269" s="1" t="s">
        <v>9345</v>
      </c>
      <c r="B2269" s="15">
        <f t="shared" si="293"/>
        <v>919018666999</v>
      </c>
      <c r="C2269" s="15" t="str">
        <f t="shared" si="1"/>
        <v>ahmadjavad19@gmail.com919018666999</v>
      </c>
      <c r="D2269" s="16" t="s">
        <v>9352</v>
      </c>
      <c r="E2269" s="16" t="s">
        <v>74</v>
      </c>
    </row>
    <row r="2270">
      <c r="A2270" s="1" t="s">
        <v>6544</v>
      </c>
      <c r="B2270" s="15">
        <f>+919818173893</f>
        <v>919818173893</v>
      </c>
      <c r="C2270" s="15" t="str">
        <f t="shared" si="1"/>
        <v>shringaar.greatworks@gmail.com919818173893</v>
      </c>
      <c r="D2270" s="16" t="s">
        <v>9353</v>
      </c>
      <c r="E2270" s="16" t="s">
        <v>68</v>
      </c>
    </row>
    <row r="2271">
      <c r="A2271" s="1" t="s">
        <v>2651</v>
      </c>
      <c r="B2271" s="15">
        <f>+917337534434</f>
        <v>917337534434</v>
      </c>
      <c r="C2271" s="15" t="str">
        <f t="shared" si="1"/>
        <v>singhmanogya1@gmail.com917337534434</v>
      </c>
      <c r="D2271" s="16" t="s">
        <v>9354</v>
      </c>
      <c r="E2271" s="16" t="s">
        <v>68</v>
      </c>
    </row>
    <row r="2272">
      <c r="A2272" s="1" t="s">
        <v>9355</v>
      </c>
      <c r="B2272" s="15">
        <f t="shared" ref="B2272:B2273" si="294">+919749252964</f>
        <v>919749252964</v>
      </c>
      <c r="C2272" s="15" t="str">
        <f t="shared" si="1"/>
        <v>bid.prabhat@gmail.com919749252964</v>
      </c>
      <c r="D2272" s="16" t="s">
        <v>9356</v>
      </c>
      <c r="E2272" s="16" t="s">
        <v>74</v>
      </c>
    </row>
    <row r="2273">
      <c r="A2273" s="1" t="s">
        <v>9355</v>
      </c>
      <c r="B2273" s="15">
        <f t="shared" si="294"/>
        <v>919749252964</v>
      </c>
      <c r="C2273" s="15" t="str">
        <f t="shared" si="1"/>
        <v>bid.prabhat@gmail.com919749252964</v>
      </c>
      <c r="D2273" s="16" t="s">
        <v>9357</v>
      </c>
      <c r="E2273" s="16" t="s">
        <v>74</v>
      </c>
    </row>
    <row r="2274">
      <c r="A2274" s="1" t="s">
        <v>9358</v>
      </c>
      <c r="B2274" s="15">
        <f t="shared" ref="B2274:B2275" si="295">+919695211163</f>
        <v>919695211163</v>
      </c>
      <c r="C2274" s="15" t="str">
        <f t="shared" si="1"/>
        <v>jyoti.singh94@yahoo.com919695211163</v>
      </c>
      <c r="D2274" s="16" t="s">
        <v>9359</v>
      </c>
      <c r="E2274" s="16" t="s">
        <v>151</v>
      </c>
    </row>
    <row r="2275">
      <c r="A2275" s="1" t="s">
        <v>9358</v>
      </c>
      <c r="B2275" s="15">
        <f t="shared" si="295"/>
        <v>919695211163</v>
      </c>
      <c r="C2275" s="15" t="str">
        <f t="shared" si="1"/>
        <v>jyoti.singh94@yahoo.com919695211163</v>
      </c>
      <c r="D2275" s="16" t="s">
        <v>9360</v>
      </c>
      <c r="E2275" s="16" t="s">
        <v>151</v>
      </c>
    </row>
    <row r="2276">
      <c r="A2276" s="1" t="s">
        <v>5014</v>
      </c>
      <c r="B2276" s="15">
        <f>+918178131120</f>
        <v>918178131120</v>
      </c>
      <c r="C2276" s="15" t="str">
        <f t="shared" si="1"/>
        <v>sourav26saha@gmail.com918178131120</v>
      </c>
      <c r="D2276" s="16" t="s">
        <v>9361</v>
      </c>
      <c r="E2276" s="16" t="s">
        <v>68</v>
      </c>
    </row>
    <row r="2277">
      <c r="A2277" s="1" t="s">
        <v>9362</v>
      </c>
      <c r="B2277" s="15">
        <f>+919654876385</f>
        <v>919654876385</v>
      </c>
      <c r="C2277" s="15" t="str">
        <f t="shared" si="1"/>
        <v>prabhjot.kaur.arora@gmail.com919654876385</v>
      </c>
      <c r="D2277" s="16" t="s">
        <v>9363</v>
      </c>
      <c r="E2277" s="16" t="s">
        <v>151</v>
      </c>
    </row>
    <row r="2278">
      <c r="A2278" s="1" t="s">
        <v>2729</v>
      </c>
      <c r="B2278" s="15">
        <f>+917013652050</f>
        <v>917013652050</v>
      </c>
      <c r="C2278" s="15" t="str">
        <f t="shared" si="1"/>
        <v>rajeevvarma441@gmail.com917013652050</v>
      </c>
      <c r="D2278" s="16" t="s">
        <v>9364</v>
      </c>
      <c r="E2278" s="16" t="s">
        <v>151</v>
      </c>
    </row>
    <row r="2279">
      <c r="A2279" s="1" t="s">
        <v>3046</v>
      </c>
      <c r="B2279" s="15">
        <f>+919840946836</f>
        <v>919840946836</v>
      </c>
      <c r="C2279" s="15" t="str">
        <f t="shared" si="1"/>
        <v>akshaya.padma@gmail.com919840946836</v>
      </c>
      <c r="D2279" s="16" t="s">
        <v>9365</v>
      </c>
      <c r="E2279" s="16" t="s">
        <v>68</v>
      </c>
    </row>
    <row r="2280">
      <c r="A2280" s="1" t="s">
        <v>2417</v>
      </c>
      <c r="B2280" s="15">
        <f>+919011963185</f>
        <v>919011963185</v>
      </c>
      <c r="C2280" s="15" t="str">
        <f t="shared" si="1"/>
        <v>vilas.surkule43@gmail.com919011963185</v>
      </c>
      <c r="D2280" s="16" t="s">
        <v>9366</v>
      </c>
      <c r="E2280" s="16" t="s">
        <v>68</v>
      </c>
    </row>
    <row r="2281">
      <c r="A2281" s="1" t="s">
        <v>6596</v>
      </c>
      <c r="B2281" s="15">
        <f t="shared" ref="B2281:B2282" si="296">+919707050507</f>
        <v>919707050507</v>
      </c>
      <c r="C2281" s="15" t="str">
        <f t="shared" si="1"/>
        <v>mahak_budhraja@yahoo.com919707050507</v>
      </c>
      <c r="D2281" s="16" t="s">
        <v>9367</v>
      </c>
      <c r="E2281" s="16" t="s">
        <v>68</v>
      </c>
    </row>
    <row r="2282">
      <c r="A2282" s="1" t="s">
        <v>6596</v>
      </c>
      <c r="B2282" s="15">
        <f t="shared" si="296"/>
        <v>919707050507</v>
      </c>
      <c r="C2282" s="15" t="str">
        <f t="shared" si="1"/>
        <v>mahak_budhraja@yahoo.com919707050507</v>
      </c>
      <c r="D2282" s="16" t="s">
        <v>9368</v>
      </c>
      <c r="E2282" s="16" t="s">
        <v>68</v>
      </c>
    </row>
    <row r="2283">
      <c r="A2283" s="1" t="s">
        <v>5881</v>
      </c>
      <c r="B2283" s="15">
        <f>+917722931052</f>
        <v>917722931052</v>
      </c>
      <c r="C2283" s="15" t="str">
        <f t="shared" si="1"/>
        <v>shabnam1104alam@gmail.com917722931052</v>
      </c>
      <c r="D2283" s="16" t="s">
        <v>9369</v>
      </c>
      <c r="E2283" s="16" t="s">
        <v>68</v>
      </c>
    </row>
    <row r="2284">
      <c r="A2284" s="1" t="s">
        <v>4690</v>
      </c>
      <c r="B2284" s="15">
        <f>+919999178204</f>
        <v>919999178204</v>
      </c>
      <c r="C2284" s="15" t="str">
        <f t="shared" si="1"/>
        <v>shikha29102016@gmail.com919999178204</v>
      </c>
      <c r="D2284" s="16" t="s">
        <v>9370</v>
      </c>
      <c r="E2284" s="16" t="s">
        <v>68</v>
      </c>
    </row>
    <row r="2285">
      <c r="A2285" s="1" t="s">
        <v>2653</v>
      </c>
      <c r="B2285" s="15">
        <f>+919894317341</f>
        <v>919894317341</v>
      </c>
      <c r="C2285" s="15" t="str">
        <f t="shared" si="1"/>
        <v>jrsukesh@gmail.com919894317341</v>
      </c>
      <c r="D2285" s="16" t="s">
        <v>9371</v>
      </c>
      <c r="E2285" s="16" t="s">
        <v>68</v>
      </c>
    </row>
    <row r="2286">
      <c r="A2286" s="1" t="s">
        <v>6099</v>
      </c>
      <c r="B2286" s="15">
        <f>+919739100777</f>
        <v>919739100777</v>
      </c>
      <c r="C2286" s="15" t="str">
        <f t="shared" si="1"/>
        <v>arjunraju1176@gmail.com919739100777</v>
      </c>
      <c r="D2286" s="16" t="s">
        <v>9372</v>
      </c>
      <c r="E2286" s="16" t="s">
        <v>68</v>
      </c>
    </row>
    <row r="2287">
      <c r="A2287" s="1" t="s">
        <v>5016</v>
      </c>
      <c r="B2287" s="15">
        <f>+917005679892</f>
        <v>917005679892</v>
      </c>
      <c r="C2287" s="15" t="str">
        <f t="shared" si="1"/>
        <v>chingkam997@gmail.com917005679892</v>
      </c>
      <c r="D2287" s="16" t="s">
        <v>9373</v>
      </c>
      <c r="E2287" s="16" t="s">
        <v>68</v>
      </c>
    </row>
    <row r="2288">
      <c r="A2288" s="1" t="s">
        <v>2655</v>
      </c>
      <c r="B2288" s="15">
        <f>+919131183256</f>
        <v>919131183256</v>
      </c>
      <c r="C2288" s="15" t="str">
        <f t="shared" si="1"/>
        <v>pankajbhikusethbansal@gmail.com919131183256</v>
      </c>
      <c r="D2288" s="16" t="s">
        <v>9374</v>
      </c>
      <c r="E2288" s="16" t="s">
        <v>68</v>
      </c>
    </row>
    <row r="2289">
      <c r="A2289" s="1" t="s">
        <v>9375</v>
      </c>
      <c r="B2289" s="15">
        <f>+917022733984</f>
        <v>917022733984</v>
      </c>
      <c r="C2289" s="15" t="str">
        <f t="shared" si="1"/>
        <v>namita4580@gmail.com917022733984</v>
      </c>
      <c r="D2289" s="16" t="s">
        <v>9376</v>
      </c>
      <c r="E2289" s="16" t="s">
        <v>151</v>
      </c>
    </row>
    <row r="2290">
      <c r="A2290" s="1" t="s">
        <v>4149</v>
      </c>
      <c r="B2290" s="15">
        <f>+918651191810</f>
        <v>918651191810</v>
      </c>
      <c r="C2290" s="15" t="str">
        <f t="shared" si="1"/>
        <v>gyanvijaiswal349@gmail.com918651191810</v>
      </c>
      <c r="D2290" s="16" t="s">
        <v>9377</v>
      </c>
      <c r="E2290" s="16" t="s">
        <v>68</v>
      </c>
    </row>
    <row r="2291">
      <c r="A2291" s="1" t="s">
        <v>6626</v>
      </c>
      <c r="B2291" s="15">
        <f>+917016536744</f>
        <v>917016536744</v>
      </c>
      <c r="C2291" s="15" t="str">
        <f t="shared" si="1"/>
        <v>badalram378@gmail.com917016536744</v>
      </c>
      <c r="D2291" s="16" t="s">
        <v>9378</v>
      </c>
      <c r="E2291" s="16" t="s">
        <v>68</v>
      </c>
    </row>
    <row r="2292">
      <c r="A2292" s="1" t="s">
        <v>6101</v>
      </c>
      <c r="B2292" s="15">
        <f>+917338704181</f>
        <v>917338704181</v>
      </c>
      <c r="C2292" s="15" t="str">
        <f t="shared" si="1"/>
        <v>durgadd3203@gmail.com917338704181</v>
      </c>
      <c r="D2292" s="16" t="s">
        <v>9379</v>
      </c>
      <c r="E2292" s="16" t="s">
        <v>68</v>
      </c>
    </row>
    <row r="2293">
      <c r="A2293" s="1" t="s">
        <v>6342</v>
      </c>
      <c r="B2293" s="15">
        <f>+918887687539</f>
        <v>918887687539</v>
      </c>
      <c r="C2293" s="15" t="str">
        <f t="shared" si="1"/>
        <v>alokitajha@gmail.com918887687539</v>
      </c>
      <c r="D2293" s="16" t="s">
        <v>9380</v>
      </c>
      <c r="E2293" s="16" t="s">
        <v>68</v>
      </c>
    </row>
    <row r="2294">
      <c r="A2294" s="1" t="s">
        <v>9381</v>
      </c>
      <c r="B2294" s="15">
        <f>+919205836771</f>
        <v>919205836771</v>
      </c>
      <c r="C2294" s="15" t="str">
        <f t="shared" si="1"/>
        <v>callmeronit07@gmail.com919205836771</v>
      </c>
      <c r="D2294" s="16" t="s">
        <v>9382</v>
      </c>
      <c r="E2294" s="16" t="s">
        <v>68</v>
      </c>
    </row>
    <row r="2295">
      <c r="A2295" s="1" t="s">
        <v>9383</v>
      </c>
      <c r="B2295" s="15">
        <f>+918860610170</f>
        <v>918860610170</v>
      </c>
      <c r="C2295" s="15" t="str">
        <f t="shared" si="1"/>
        <v>sanggeetasood@gmail.com918860610170</v>
      </c>
      <c r="D2295" s="16" t="s">
        <v>9384</v>
      </c>
      <c r="E2295" s="16" t="s">
        <v>74</v>
      </c>
    </row>
    <row r="2296">
      <c r="A2296" s="1" t="s">
        <v>3444</v>
      </c>
      <c r="B2296" s="15">
        <f>+919088084580</f>
        <v>919088084580</v>
      </c>
      <c r="C2296" s="15" t="str">
        <f t="shared" si="1"/>
        <v>aditisharmaaadi1735@gmail.com919088084580</v>
      </c>
      <c r="D2296" s="16" t="s">
        <v>9385</v>
      </c>
      <c r="E2296" s="16" t="s">
        <v>68</v>
      </c>
    </row>
    <row r="2297">
      <c r="A2297" s="1" t="s">
        <v>9383</v>
      </c>
      <c r="B2297" s="15">
        <f t="shared" ref="B2297:B2298" si="297">+918860610170</f>
        <v>918860610170</v>
      </c>
      <c r="C2297" s="15" t="str">
        <f t="shared" si="1"/>
        <v>sanggeetasood@gmail.com918860610170</v>
      </c>
      <c r="D2297" s="16" t="s">
        <v>9386</v>
      </c>
      <c r="E2297" s="16" t="s">
        <v>74</v>
      </c>
    </row>
    <row r="2298">
      <c r="A2298" s="1" t="s">
        <v>9387</v>
      </c>
      <c r="B2298" s="15">
        <f t="shared" si="297"/>
        <v>918860610170</v>
      </c>
      <c r="C2298" s="15" t="str">
        <f t="shared" si="1"/>
        <v>sangeeta.chauhan1506@gmail.com918860610170</v>
      </c>
      <c r="D2298" s="16" t="s">
        <v>9388</v>
      </c>
      <c r="E2298" s="16" t="s">
        <v>74</v>
      </c>
    </row>
    <row r="2299">
      <c r="A2299" s="1" t="s">
        <v>3446</v>
      </c>
      <c r="B2299" s="15">
        <f>+917347377674</f>
        <v>917347377674</v>
      </c>
      <c r="C2299" s="15" t="str">
        <f t="shared" si="1"/>
        <v>krunika07@gmail.com917347377674</v>
      </c>
      <c r="D2299" s="16" t="s">
        <v>9389</v>
      </c>
      <c r="E2299" s="16" t="s">
        <v>74</v>
      </c>
    </row>
    <row r="2300">
      <c r="A2300" s="1" t="s">
        <v>4920</v>
      </c>
      <c r="B2300" s="15">
        <f>+919022833093</f>
        <v>919022833093</v>
      </c>
      <c r="C2300" s="15" t="str">
        <f t="shared" si="1"/>
        <v>sushmitasgoswami@gmail.com919022833093</v>
      </c>
      <c r="D2300" s="16" t="s">
        <v>9390</v>
      </c>
      <c r="E2300" s="16" t="s">
        <v>68</v>
      </c>
    </row>
    <row r="2301">
      <c r="A2301" s="1" t="s">
        <v>4922</v>
      </c>
      <c r="B2301" s="15">
        <f t="shared" ref="B2301:B2302" si="298">+919594404632</f>
        <v>919594404632</v>
      </c>
      <c r="C2301" s="15" t="str">
        <f t="shared" si="1"/>
        <v>lahotijeet235@gmail.com919594404632</v>
      </c>
      <c r="D2301" s="16" t="s">
        <v>9391</v>
      </c>
      <c r="E2301" s="16" t="s">
        <v>68</v>
      </c>
    </row>
    <row r="2302">
      <c r="A2302" s="1" t="s">
        <v>4922</v>
      </c>
      <c r="B2302" s="15">
        <f t="shared" si="298"/>
        <v>919594404632</v>
      </c>
      <c r="C2302" s="15" t="str">
        <f t="shared" si="1"/>
        <v>lahotijeet235@gmail.com919594404632</v>
      </c>
      <c r="D2302" s="16" t="s">
        <v>9392</v>
      </c>
      <c r="E2302" s="16" t="s">
        <v>68</v>
      </c>
    </row>
    <row r="2303">
      <c r="A2303" s="1" t="s">
        <v>4924</v>
      </c>
      <c r="B2303" s="15">
        <f>+919920492649</f>
        <v>919920492649</v>
      </c>
      <c r="C2303" s="15" t="str">
        <f t="shared" si="1"/>
        <v>aadityavaru@gmail.com919920492649</v>
      </c>
      <c r="D2303" s="16" t="s">
        <v>9393</v>
      </c>
      <c r="E2303" s="16" t="s">
        <v>68</v>
      </c>
    </row>
    <row r="2304">
      <c r="A2304" s="1" t="s">
        <v>9394</v>
      </c>
      <c r="B2304" s="15">
        <f>+919790654872</f>
        <v>919790654872</v>
      </c>
      <c r="C2304" s="15" t="str">
        <f t="shared" si="1"/>
        <v>mullaisuba56@gmail.com919790654872</v>
      </c>
      <c r="D2304" s="16" t="s">
        <v>9395</v>
      </c>
      <c r="E2304" s="16" t="s">
        <v>74</v>
      </c>
    </row>
    <row r="2305">
      <c r="A2305" s="1" t="s">
        <v>6241</v>
      </c>
      <c r="B2305" s="15">
        <f>+918374457957</f>
        <v>918374457957</v>
      </c>
      <c r="C2305" s="15" t="str">
        <f t="shared" si="1"/>
        <v>rmkirankumar@gmail.com918374457957</v>
      </c>
      <c r="D2305" s="16" t="s">
        <v>9396</v>
      </c>
      <c r="E2305" s="16" t="s">
        <v>68</v>
      </c>
    </row>
    <row r="2306">
      <c r="A2306" s="1" t="s">
        <v>2852</v>
      </c>
      <c r="B2306" s="15">
        <f>+917498031008</f>
        <v>917498031008</v>
      </c>
      <c r="C2306" s="15" t="str">
        <f t="shared" si="1"/>
        <v>bushra.khan555.bk@gmail.com917498031008</v>
      </c>
      <c r="D2306" s="16" t="s">
        <v>9397</v>
      </c>
      <c r="E2306" s="16" t="s">
        <v>68</v>
      </c>
    </row>
    <row r="2307">
      <c r="A2307" s="1" t="s">
        <v>2020</v>
      </c>
      <c r="B2307" s="15">
        <f>+919820274748</f>
        <v>919820274748</v>
      </c>
      <c r="C2307" s="15" t="str">
        <f t="shared" si="1"/>
        <v>hey.foundation11@gmail.com919820274748</v>
      </c>
      <c r="D2307" s="16" t="s">
        <v>9398</v>
      </c>
      <c r="E2307" s="16" t="s">
        <v>68</v>
      </c>
    </row>
    <row r="2308">
      <c r="A2308" s="1" t="s">
        <v>2517</v>
      </c>
      <c r="B2308" s="15">
        <f>+919713718090</f>
        <v>919713718090</v>
      </c>
      <c r="C2308" s="15" t="str">
        <f t="shared" si="1"/>
        <v>sharad1093@gmail.com919713718090</v>
      </c>
      <c r="D2308" s="16" t="s">
        <v>9399</v>
      </c>
      <c r="E2308" s="16" t="s">
        <v>74</v>
      </c>
    </row>
    <row r="2309">
      <c r="A2309" s="1" t="s">
        <v>9400</v>
      </c>
      <c r="B2309" s="15">
        <f>+919755576808</f>
        <v>919755576808</v>
      </c>
      <c r="C2309" s="15" t="str">
        <f t="shared" si="1"/>
        <v>vsinghthakur2510@hotmail.com919755576808</v>
      </c>
      <c r="D2309" s="16" t="s">
        <v>9401</v>
      </c>
      <c r="E2309" s="16" t="s">
        <v>151</v>
      </c>
    </row>
    <row r="2310">
      <c r="A2310" s="1" t="s">
        <v>2854</v>
      </c>
      <c r="B2310" s="15">
        <f>+919371366665</f>
        <v>919371366665</v>
      </c>
      <c r="C2310" s="15" t="str">
        <f t="shared" si="1"/>
        <v>noopur.jayaswal@gmail.com919371366665</v>
      </c>
      <c r="D2310" s="16" t="s">
        <v>9402</v>
      </c>
      <c r="E2310" s="16" t="s">
        <v>97</v>
      </c>
    </row>
    <row r="2311">
      <c r="A2311" s="1" t="s">
        <v>5018</v>
      </c>
      <c r="B2311" s="15">
        <f>+919345776070</f>
        <v>919345776070</v>
      </c>
      <c r="C2311" s="15" t="str">
        <f t="shared" si="1"/>
        <v>mohanprabukongu@gmail.com919345776070</v>
      </c>
      <c r="D2311" s="16" t="s">
        <v>9403</v>
      </c>
      <c r="E2311" s="16" t="s">
        <v>74</v>
      </c>
    </row>
    <row r="2312">
      <c r="A2312" s="1" t="s">
        <v>3242</v>
      </c>
      <c r="B2312" s="15">
        <f>+918412997252</f>
        <v>918412997252</v>
      </c>
      <c r="C2312" s="15" t="str">
        <f t="shared" si="1"/>
        <v>deepikag.designer@gmail.com918412997252</v>
      </c>
      <c r="D2312" s="16" t="s">
        <v>9404</v>
      </c>
      <c r="E2312" s="16" t="s">
        <v>68</v>
      </c>
    </row>
    <row r="2313">
      <c r="A2313" s="1" t="s">
        <v>6103</v>
      </c>
      <c r="B2313" s="15">
        <f>+917731072489</f>
        <v>917731072489</v>
      </c>
      <c r="C2313" s="15" t="str">
        <f t="shared" si="1"/>
        <v>srkprasadvarma@gmail.com917731072489</v>
      </c>
      <c r="D2313" s="16" t="s">
        <v>9405</v>
      </c>
      <c r="E2313" s="16" t="s">
        <v>68</v>
      </c>
    </row>
    <row r="2314">
      <c r="A2314" s="1" t="s">
        <v>4469</v>
      </c>
      <c r="B2314" s="15">
        <f>+919849505705</f>
        <v>919849505705</v>
      </c>
      <c r="C2314" s="15" t="str">
        <f t="shared" si="1"/>
        <v>srikanthgasiganti@gmail.com919849505705</v>
      </c>
      <c r="D2314" s="16" t="s">
        <v>9406</v>
      </c>
      <c r="E2314" s="16" t="s">
        <v>74</v>
      </c>
    </row>
    <row r="2315">
      <c r="A2315" s="1" t="s">
        <v>3448</v>
      </c>
      <c r="B2315" s="15">
        <f>+919933845766</f>
        <v>919933845766</v>
      </c>
      <c r="C2315" s="15" t="str">
        <f t="shared" si="1"/>
        <v>suserifuchimoto@gmail.com919933845766</v>
      </c>
      <c r="D2315" s="16" t="s">
        <v>9407</v>
      </c>
      <c r="E2315" s="16" t="s">
        <v>68</v>
      </c>
    </row>
    <row r="2316">
      <c r="A2316" s="1" t="s">
        <v>9408</v>
      </c>
      <c r="B2316" s="15">
        <f t="shared" ref="B2316:B2317" si="299">+918745074275</f>
        <v>918745074275</v>
      </c>
      <c r="C2316" s="15" t="str">
        <f t="shared" si="1"/>
        <v>user12nain@gmail.com918745074275</v>
      </c>
      <c r="D2316" s="16" t="s">
        <v>9409</v>
      </c>
      <c r="E2316" s="16" t="s">
        <v>74</v>
      </c>
    </row>
    <row r="2317">
      <c r="A2317" s="1" t="s">
        <v>9408</v>
      </c>
      <c r="B2317" s="15">
        <f t="shared" si="299"/>
        <v>918745074275</v>
      </c>
      <c r="C2317" s="15" t="str">
        <f t="shared" si="1"/>
        <v>user12nain@gmail.com918745074275</v>
      </c>
      <c r="D2317" s="16" t="s">
        <v>9410</v>
      </c>
      <c r="E2317" s="16" t="s">
        <v>74</v>
      </c>
    </row>
    <row r="2318">
      <c r="A2318" s="1" t="s">
        <v>9411</v>
      </c>
      <c r="B2318" s="15">
        <f>+919359215891</f>
        <v>919359215891</v>
      </c>
      <c r="C2318" s="15" t="str">
        <f t="shared" si="1"/>
        <v>kunalharshiit@gmail.com919359215891</v>
      </c>
      <c r="D2318" s="16" t="s">
        <v>9412</v>
      </c>
      <c r="E2318" s="16" t="s">
        <v>74</v>
      </c>
    </row>
    <row r="2319">
      <c r="A2319" s="1" t="s">
        <v>6598</v>
      </c>
      <c r="B2319" s="15">
        <f>+917893470386</f>
        <v>917893470386</v>
      </c>
      <c r="C2319" s="15" t="str">
        <f t="shared" si="1"/>
        <v>gayatriramani555@gmail.com917893470386</v>
      </c>
      <c r="D2319" s="16" t="s">
        <v>9413</v>
      </c>
      <c r="E2319" s="16" t="s">
        <v>68</v>
      </c>
    </row>
    <row r="2320">
      <c r="A2320" s="1" t="s">
        <v>3989</v>
      </c>
      <c r="B2320" s="15">
        <f>+918885883929</f>
        <v>918885883929</v>
      </c>
      <c r="C2320" s="15" t="str">
        <f t="shared" si="1"/>
        <v>sisintyvaibhav@gmail.com918885883929</v>
      </c>
      <c r="D2320" s="16" t="s">
        <v>9414</v>
      </c>
      <c r="E2320" s="16" t="s">
        <v>68</v>
      </c>
    </row>
    <row r="2321">
      <c r="A2321" s="1" t="s">
        <v>4912</v>
      </c>
      <c r="B2321" s="15">
        <f t="shared" ref="B2321:B2322" si="300">+917899871505</f>
        <v>917899871505</v>
      </c>
      <c r="C2321" s="15" t="str">
        <f t="shared" si="1"/>
        <v>rohitjha30891@yahoo.com917899871505</v>
      </c>
      <c r="D2321" s="16" t="s">
        <v>9415</v>
      </c>
      <c r="E2321" s="16" t="s">
        <v>68</v>
      </c>
    </row>
    <row r="2322">
      <c r="A2322" s="1" t="s">
        <v>4912</v>
      </c>
      <c r="B2322" s="15">
        <f t="shared" si="300"/>
        <v>917899871505</v>
      </c>
      <c r="C2322" s="15" t="str">
        <f t="shared" si="1"/>
        <v>rohitjha30891@yahoo.com917899871505</v>
      </c>
      <c r="D2322" s="16" t="s">
        <v>9416</v>
      </c>
      <c r="E2322" s="16" t="s">
        <v>68</v>
      </c>
    </row>
    <row r="2323">
      <c r="A2323" s="1" t="s">
        <v>2519</v>
      </c>
      <c r="B2323" s="15">
        <f>+919483512561</f>
        <v>919483512561</v>
      </c>
      <c r="C2323" s="15" t="str">
        <f t="shared" si="1"/>
        <v>janet9963@gmail.com919483512561</v>
      </c>
      <c r="D2323" s="16" t="s">
        <v>9417</v>
      </c>
      <c r="E2323" s="16" t="s">
        <v>74</v>
      </c>
    </row>
    <row r="2324">
      <c r="A2324" s="1" t="s">
        <v>6293</v>
      </c>
      <c r="B2324" s="15">
        <f>+918754516431</f>
        <v>918754516431</v>
      </c>
      <c r="C2324" s="15" t="str">
        <f t="shared" si="1"/>
        <v>vinayabala09@gmail.com918754516431</v>
      </c>
      <c r="D2324" s="16" t="s">
        <v>9418</v>
      </c>
      <c r="E2324" s="16" t="s">
        <v>68</v>
      </c>
    </row>
    <row r="2325">
      <c r="A2325" s="1" t="s">
        <v>4827</v>
      </c>
      <c r="B2325" s="15">
        <f>+919619986324</f>
        <v>919619986324</v>
      </c>
      <c r="C2325" s="15" t="str">
        <f t="shared" si="1"/>
        <v>prajaktasbarve@gmail.com919619986324</v>
      </c>
      <c r="D2325" s="16" t="s">
        <v>9419</v>
      </c>
      <c r="E2325" s="16" t="s">
        <v>68</v>
      </c>
    </row>
    <row r="2326">
      <c r="A2326" s="1" t="s">
        <v>9420</v>
      </c>
      <c r="B2326" s="15">
        <f>+916384046837</f>
        <v>916384046837</v>
      </c>
      <c r="C2326" s="15" t="str">
        <f t="shared" si="1"/>
        <v>pavuthramano14@gmail.com916384046837</v>
      </c>
      <c r="D2326" s="16" t="s">
        <v>9421</v>
      </c>
      <c r="E2326" s="16" t="s">
        <v>74</v>
      </c>
    </row>
    <row r="2327">
      <c r="A2327" s="1" t="s">
        <v>5458</v>
      </c>
      <c r="B2327" s="15">
        <f>+919997436735</f>
        <v>919997436735</v>
      </c>
      <c r="C2327" s="15" t="str">
        <f t="shared" si="1"/>
        <v>mithileshkesari1997@gmail.com919997436735</v>
      </c>
      <c r="D2327" s="16" t="s">
        <v>9422</v>
      </c>
      <c r="E2327" s="16" t="s">
        <v>68</v>
      </c>
    </row>
    <row r="2328">
      <c r="A2328" s="1" t="s">
        <v>2856</v>
      </c>
      <c r="B2328" s="15">
        <f>+919766854817</f>
        <v>919766854817</v>
      </c>
      <c r="C2328" s="15" t="str">
        <f t="shared" si="1"/>
        <v>deepthip.32@gmail.com919766854817</v>
      </c>
      <c r="D2328" s="16" t="s">
        <v>9423</v>
      </c>
      <c r="E2328" s="16" t="s">
        <v>68</v>
      </c>
    </row>
    <row r="2329">
      <c r="A2329" s="1" t="s">
        <v>3450</v>
      </c>
      <c r="B2329" s="15">
        <f>+919340735274</f>
        <v>919340735274</v>
      </c>
      <c r="C2329" s="15" t="str">
        <f t="shared" si="1"/>
        <v>s31.korekar@gmail.com919340735274</v>
      </c>
      <c r="D2329" s="16" t="s">
        <v>9424</v>
      </c>
      <c r="E2329" s="16" t="s">
        <v>74</v>
      </c>
    </row>
    <row r="2330">
      <c r="A2330" s="1" t="s">
        <v>3244</v>
      </c>
      <c r="B2330" s="15">
        <f>+917299908537</f>
        <v>917299908537</v>
      </c>
      <c r="C2330" s="15" t="str">
        <f t="shared" si="1"/>
        <v>dineshviswanathan77@gmail.com917299908537</v>
      </c>
      <c r="D2330" s="16" t="s">
        <v>9425</v>
      </c>
      <c r="E2330" s="16" t="s">
        <v>68</v>
      </c>
    </row>
    <row r="2331">
      <c r="A2331" s="1" t="s">
        <v>3450</v>
      </c>
      <c r="B2331" s="15">
        <f>+919340735274</f>
        <v>919340735274</v>
      </c>
      <c r="C2331" s="15" t="str">
        <f t="shared" si="1"/>
        <v>s31.korekar@gmail.com919340735274</v>
      </c>
      <c r="D2331" s="16" t="s">
        <v>9426</v>
      </c>
      <c r="E2331" s="16" t="s">
        <v>74</v>
      </c>
    </row>
    <row r="2332">
      <c r="A2332" s="1" t="s">
        <v>9427</v>
      </c>
      <c r="B2332" s="15">
        <f>+919904766782</f>
        <v>919904766782</v>
      </c>
      <c r="C2332" s="15" t="str">
        <f t="shared" si="1"/>
        <v>bhumikagpatil@gmail.com919904766782</v>
      </c>
      <c r="D2332" s="16" t="s">
        <v>9428</v>
      </c>
      <c r="E2332" s="16" t="s">
        <v>74</v>
      </c>
    </row>
    <row r="2333">
      <c r="A2333" s="1" t="s">
        <v>6546</v>
      </c>
      <c r="B2333" s="15">
        <f>+917738612073</f>
        <v>917738612073</v>
      </c>
      <c r="C2333" s="15" t="str">
        <f t="shared" si="1"/>
        <v>gautamsrane@gmail.com917738612073</v>
      </c>
      <c r="D2333" s="16" t="s">
        <v>9429</v>
      </c>
      <c r="E2333" s="16" t="s">
        <v>97</v>
      </c>
    </row>
    <row r="2334">
      <c r="A2334" s="1" t="s">
        <v>9427</v>
      </c>
      <c r="B2334" s="15">
        <f t="shared" ref="B2334:B2335" si="301">+919904766782</f>
        <v>919904766782</v>
      </c>
      <c r="C2334" s="15" t="str">
        <f t="shared" si="1"/>
        <v>bhumikagpatil@gmail.com919904766782</v>
      </c>
      <c r="D2334" s="16" t="s">
        <v>9430</v>
      </c>
      <c r="E2334" s="16" t="s">
        <v>74</v>
      </c>
    </row>
    <row r="2335">
      <c r="A2335" s="1" t="s">
        <v>9427</v>
      </c>
      <c r="B2335" s="15">
        <f t="shared" si="301"/>
        <v>919904766782</v>
      </c>
      <c r="C2335" s="15" t="str">
        <f t="shared" si="1"/>
        <v>bhumikagpatil@gmail.com919904766782</v>
      </c>
      <c r="D2335" s="16" t="s">
        <v>9431</v>
      </c>
      <c r="E2335" s="16" t="s">
        <v>74</v>
      </c>
    </row>
    <row r="2336">
      <c r="A2336" s="1" t="s">
        <v>4692</v>
      </c>
      <c r="B2336" s="15">
        <f>+919715279805</f>
        <v>919715279805</v>
      </c>
      <c r="C2336" s="15" t="str">
        <f t="shared" si="1"/>
        <v>vaidekis@gmail.com919715279805</v>
      </c>
      <c r="D2336" s="16" t="s">
        <v>9432</v>
      </c>
      <c r="E2336" s="16" t="s">
        <v>68</v>
      </c>
    </row>
    <row r="2337">
      <c r="A2337" s="1" t="s">
        <v>2521</v>
      </c>
      <c r="B2337" s="15">
        <f>+917979787986</f>
        <v>917979787986</v>
      </c>
      <c r="C2337" s="15" t="str">
        <f t="shared" si="1"/>
        <v>shadab3247@gmail.com917979787986</v>
      </c>
      <c r="D2337" s="16" t="s">
        <v>9433</v>
      </c>
      <c r="E2337" s="16" t="s">
        <v>68</v>
      </c>
    </row>
    <row r="2338">
      <c r="A2338" s="1" t="s">
        <v>9434</v>
      </c>
      <c r="B2338" s="15">
        <f>+919182154811</f>
        <v>919182154811</v>
      </c>
      <c r="C2338" s="15" t="str">
        <f t="shared" si="1"/>
        <v>gousebablu94@gmail.com919182154811</v>
      </c>
      <c r="D2338" s="16" t="s">
        <v>9435</v>
      </c>
      <c r="E2338" s="16" t="s">
        <v>68</v>
      </c>
    </row>
    <row r="2339">
      <c r="A2339" s="1" t="s">
        <v>4415</v>
      </c>
      <c r="B2339" s="15">
        <f>+918114971986</f>
        <v>918114971986</v>
      </c>
      <c r="C2339" s="15" t="str">
        <f t="shared" si="1"/>
        <v>shraddhakunmun97@gmail.com918114971986</v>
      </c>
      <c r="D2339" s="16" t="s">
        <v>9436</v>
      </c>
      <c r="E2339" s="16" t="s">
        <v>68</v>
      </c>
    </row>
    <row r="2340">
      <c r="A2340" s="1" t="s">
        <v>4926</v>
      </c>
      <c r="B2340" s="15">
        <f>+919920117288</f>
        <v>919920117288</v>
      </c>
      <c r="C2340" s="15" t="str">
        <f t="shared" si="1"/>
        <v>ciya182010@gmail.com919920117288</v>
      </c>
      <c r="D2340" s="16" t="s">
        <v>9437</v>
      </c>
      <c r="E2340" s="16" t="s">
        <v>68</v>
      </c>
    </row>
    <row r="2341">
      <c r="A2341" s="1" t="s">
        <v>2657</v>
      </c>
      <c r="B2341" s="15">
        <f>+919920475808</f>
        <v>919920475808</v>
      </c>
      <c r="C2341" s="15" t="str">
        <f t="shared" si="1"/>
        <v>shakshi.patel25@gmail.com919920475808</v>
      </c>
      <c r="D2341" s="16" t="s">
        <v>9438</v>
      </c>
      <c r="E2341" s="16" t="s">
        <v>68</v>
      </c>
    </row>
    <row r="2342">
      <c r="A2342" s="1" t="s">
        <v>9439</v>
      </c>
      <c r="B2342" s="15">
        <f>+919987583645</f>
        <v>919987583645</v>
      </c>
      <c r="C2342" s="15" t="str">
        <f t="shared" si="1"/>
        <v>anjulatacharan@gmail.com919987583645</v>
      </c>
      <c r="D2342" s="16" t="s">
        <v>9440</v>
      </c>
      <c r="E2342" s="16" t="s">
        <v>151</v>
      </c>
    </row>
    <row r="2343">
      <c r="A2343" s="1" t="s">
        <v>5262</v>
      </c>
      <c r="B2343" s="15">
        <f>+918779781988</f>
        <v>918779781988</v>
      </c>
      <c r="C2343" s="15" t="str">
        <f t="shared" si="1"/>
        <v>thechetnajha@gmail.com918779781988</v>
      </c>
      <c r="D2343" s="16" t="s">
        <v>9441</v>
      </c>
      <c r="E2343" s="16" t="s">
        <v>68</v>
      </c>
    </row>
    <row r="2344">
      <c r="A2344" s="1" t="s">
        <v>9442</v>
      </c>
      <c r="B2344" s="15">
        <f>+917006152494</f>
        <v>917006152494</v>
      </c>
      <c r="C2344" s="15" t="str">
        <f t="shared" si="1"/>
        <v>princrsandhu78@gmail.com917006152494</v>
      </c>
      <c r="D2344" s="16" t="s">
        <v>9443</v>
      </c>
      <c r="E2344" s="16" t="s">
        <v>151</v>
      </c>
    </row>
    <row r="2345">
      <c r="A2345" s="1" t="s">
        <v>4314</v>
      </c>
      <c r="B2345" s="15">
        <f>+917588468999</f>
        <v>917588468999</v>
      </c>
      <c r="C2345" s="15" t="str">
        <f t="shared" si="1"/>
        <v>ishakdubai2788@gmail.com917588468999</v>
      </c>
      <c r="D2345" s="16" t="s">
        <v>9444</v>
      </c>
      <c r="E2345" s="16" t="s">
        <v>68</v>
      </c>
    </row>
    <row r="2346">
      <c r="A2346" s="1" t="s">
        <v>5883</v>
      </c>
      <c r="B2346" s="15">
        <f>+919810316963</f>
        <v>919810316963</v>
      </c>
      <c r="C2346" s="15" t="str">
        <f t="shared" si="1"/>
        <v>tanejaanju18@gmail.com919810316963</v>
      </c>
      <c r="D2346" s="16" t="s">
        <v>9445</v>
      </c>
      <c r="E2346" s="16" t="s">
        <v>68</v>
      </c>
    </row>
    <row r="2347">
      <c r="A2347" s="1" t="s">
        <v>6600</v>
      </c>
      <c r="B2347" s="15">
        <f>+919702787216</f>
        <v>919702787216</v>
      </c>
      <c r="C2347" s="15" t="str">
        <f t="shared" si="1"/>
        <v>armaanshk94@gmail.com919702787216</v>
      </c>
      <c r="D2347" s="16" t="s">
        <v>9446</v>
      </c>
      <c r="E2347" s="16" t="s">
        <v>68</v>
      </c>
    </row>
    <row r="2348">
      <c r="A2348" s="1" t="s">
        <v>3451</v>
      </c>
      <c r="B2348" s="15">
        <f>+918745008120</f>
        <v>918745008120</v>
      </c>
      <c r="C2348" s="15" t="str">
        <f t="shared" si="1"/>
        <v>anshu.baliyan@gmail.com918745008120</v>
      </c>
      <c r="D2348" s="16" t="s">
        <v>9447</v>
      </c>
      <c r="E2348" s="16" t="s">
        <v>68</v>
      </c>
    </row>
    <row r="2349">
      <c r="A2349" s="1" t="s">
        <v>2523</v>
      </c>
      <c r="B2349" s="15">
        <f>+918669061696</f>
        <v>918669061696</v>
      </c>
      <c r="C2349" s="15" t="str">
        <f t="shared" si="1"/>
        <v>soham.mungikar2019@ssca.edu.in918669061696</v>
      </c>
      <c r="D2349" s="16" t="s">
        <v>9448</v>
      </c>
      <c r="E2349" s="16" t="s">
        <v>97</v>
      </c>
    </row>
    <row r="2350">
      <c r="A2350" s="1" t="s">
        <v>4829</v>
      </c>
      <c r="B2350" s="15">
        <f>+919600828607</f>
        <v>919600828607</v>
      </c>
      <c r="C2350" s="15" t="str">
        <f t="shared" si="1"/>
        <v>chitra7588@gmail.com919600828607</v>
      </c>
      <c r="D2350" s="16" t="s">
        <v>9449</v>
      </c>
      <c r="E2350" s="16" t="s">
        <v>68</v>
      </c>
    </row>
    <row r="2351">
      <c r="A2351" s="1" t="s">
        <v>3117</v>
      </c>
      <c r="B2351" s="15">
        <f>+918105338544</f>
        <v>918105338544</v>
      </c>
      <c r="C2351" s="15" t="str">
        <f t="shared" si="1"/>
        <v>amareshnagaral015@gmail.com918105338544</v>
      </c>
      <c r="D2351" s="16" t="s">
        <v>9450</v>
      </c>
      <c r="E2351" s="16" t="s">
        <v>68</v>
      </c>
    </row>
    <row r="2352">
      <c r="A2352" s="1" t="s">
        <v>9451</v>
      </c>
      <c r="B2352" s="15">
        <f>+919071525100</f>
        <v>919071525100</v>
      </c>
      <c r="C2352" s="15" t="str">
        <f t="shared" si="1"/>
        <v>sourabha2003@gmail.com919071525100</v>
      </c>
      <c r="D2352" s="16" t="s">
        <v>9452</v>
      </c>
      <c r="E2352" s="16" t="s">
        <v>151</v>
      </c>
    </row>
    <row r="2353">
      <c r="A2353" s="1" t="s">
        <v>3453</v>
      </c>
      <c r="B2353" s="15">
        <f>+916382324023</f>
        <v>916382324023</v>
      </c>
      <c r="C2353" s="15" t="str">
        <f t="shared" si="1"/>
        <v>gklaavanyakesavan@gmail.com916382324023</v>
      </c>
      <c r="D2353" s="16" t="s">
        <v>9453</v>
      </c>
      <c r="E2353" s="16" t="s">
        <v>68</v>
      </c>
    </row>
    <row r="2354">
      <c r="A2354" s="1" t="s">
        <v>3455</v>
      </c>
      <c r="B2354" s="15">
        <f>+919838075566</f>
        <v>919838075566</v>
      </c>
      <c r="C2354" s="15" t="str">
        <f t="shared" si="1"/>
        <v>aditibhadury3@gmail.com919838075566</v>
      </c>
      <c r="D2354" s="16" t="s">
        <v>9454</v>
      </c>
      <c r="E2354" s="16" t="s">
        <v>68</v>
      </c>
    </row>
    <row r="2355">
      <c r="A2355" s="1" t="s">
        <v>5885</v>
      </c>
      <c r="B2355" s="15">
        <f>+918861433275</f>
        <v>918861433275</v>
      </c>
      <c r="C2355" s="15" t="str">
        <f t="shared" si="1"/>
        <v>tarotwithsonnyaa@gmail.com918861433275</v>
      </c>
      <c r="D2355" s="16" t="s">
        <v>9455</v>
      </c>
      <c r="E2355" s="16" t="s">
        <v>68</v>
      </c>
    </row>
    <row r="2356">
      <c r="A2356" s="1" t="s">
        <v>6243</v>
      </c>
      <c r="B2356" s="15">
        <f>+919730472789</f>
        <v>919730472789</v>
      </c>
      <c r="C2356" s="15" t="str">
        <f t="shared" si="1"/>
        <v>lalitkchordiya@gmail.com919730472789</v>
      </c>
      <c r="D2356" s="16" t="s">
        <v>9456</v>
      </c>
      <c r="E2356" s="16" t="s">
        <v>68</v>
      </c>
    </row>
    <row r="2357">
      <c r="A2357" s="1" t="s">
        <v>5264</v>
      </c>
      <c r="B2357" s="15">
        <f>+918019528138</f>
        <v>918019528138</v>
      </c>
      <c r="C2357" s="15" t="str">
        <f t="shared" si="1"/>
        <v>pratyusha1309@gmail.com918019528138</v>
      </c>
      <c r="D2357" s="16" t="s">
        <v>9457</v>
      </c>
      <c r="E2357" s="16" t="s">
        <v>68</v>
      </c>
    </row>
    <row r="2358">
      <c r="A2358" s="1" t="s">
        <v>3246</v>
      </c>
      <c r="B2358" s="15">
        <f t="shared" ref="B2358:B2359" si="302">+917387053774</f>
        <v>917387053774</v>
      </c>
      <c r="C2358" s="15" t="str">
        <f t="shared" si="1"/>
        <v>vishakhahegde19@gmail.com917387053774</v>
      </c>
      <c r="D2358" s="16" t="s">
        <v>9458</v>
      </c>
      <c r="E2358" s="16" t="s">
        <v>68</v>
      </c>
    </row>
    <row r="2359">
      <c r="A2359" s="1" t="s">
        <v>3246</v>
      </c>
      <c r="B2359" s="15">
        <f t="shared" si="302"/>
        <v>917387053774</v>
      </c>
      <c r="C2359" s="15" t="str">
        <f t="shared" si="1"/>
        <v>vishakhahegde19@gmail.com917387053774</v>
      </c>
      <c r="D2359" s="16" t="s">
        <v>9459</v>
      </c>
      <c r="E2359" s="16" t="s">
        <v>68</v>
      </c>
    </row>
    <row r="2360">
      <c r="A2360" s="1" t="s">
        <v>5020</v>
      </c>
      <c r="B2360" s="15">
        <f>+918280000248</f>
        <v>918280000248</v>
      </c>
      <c r="C2360" s="15" t="str">
        <f t="shared" si="1"/>
        <v>mohantykousik@gmail.com918280000248</v>
      </c>
      <c r="D2360" s="16" t="s">
        <v>9460</v>
      </c>
      <c r="E2360" s="16" t="s">
        <v>68</v>
      </c>
    </row>
    <row r="2361">
      <c r="A2361" s="1" t="s">
        <v>6602</v>
      </c>
      <c r="B2361" s="15">
        <f>+918904089070</f>
        <v>918904089070</v>
      </c>
      <c r="C2361" s="15" t="str">
        <f t="shared" si="1"/>
        <v>nitya.satheesh111@gmail.com918904089070</v>
      </c>
      <c r="D2361" s="16" t="s">
        <v>9461</v>
      </c>
      <c r="E2361" s="16" t="s">
        <v>68</v>
      </c>
    </row>
    <row r="2362">
      <c r="A2362" s="1" t="s">
        <v>4316</v>
      </c>
      <c r="B2362" s="15">
        <f>+919452701336</f>
        <v>919452701336</v>
      </c>
      <c r="C2362" s="15" t="str">
        <f t="shared" si="1"/>
        <v>chandansharma010028@gmail.com919452701336</v>
      </c>
      <c r="D2362" s="16" t="s">
        <v>9462</v>
      </c>
      <c r="E2362" s="16" t="s">
        <v>68</v>
      </c>
    </row>
    <row r="2363">
      <c r="A2363" s="1" t="s">
        <v>9394</v>
      </c>
      <c r="B2363" s="15">
        <f>+919790654872</f>
        <v>919790654872</v>
      </c>
      <c r="C2363" s="15" t="str">
        <f t="shared" si="1"/>
        <v>mullaisuba56@gmail.com919790654872</v>
      </c>
      <c r="D2363" s="16" t="s">
        <v>9463</v>
      </c>
      <c r="E2363" s="16" t="s">
        <v>74</v>
      </c>
    </row>
    <row r="2364">
      <c r="A2364" s="1" t="s">
        <v>4151</v>
      </c>
      <c r="B2364" s="15">
        <f>+919589437701</f>
        <v>919589437701</v>
      </c>
      <c r="C2364" s="15" t="str">
        <f t="shared" si="1"/>
        <v>ssingh.ishita@gmail.com919589437701</v>
      </c>
      <c r="D2364" s="16" t="s">
        <v>9464</v>
      </c>
      <c r="E2364" s="16" t="s">
        <v>68</v>
      </c>
    </row>
    <row r="2365">
      <c r="A2365" s="1" t="s">
        <v>5460</v>
      </c>
      <c r="B2365" s="15">
        <f>+917066390470</f>
        <v>917066390470</v>
      </c>
      <c r="C2365" s="15" t="str">
        <f t="shared" si="1"/>
        <v>rajkatariya4@gmail.com917066390470</v>
      </c>
      <c r="D2365" s="16" t="s">
        <v>9465</v>
      </c>
      <c r="E2365" s="16" t="s">
        <v>68</v>
      </c>
    </row>
    <row r="2366">
      <c r="A2366" s="1" t="s">
        <v>3793</v>
      </c>
      <c r="B2366" s="15">
        <f>+918010130126</f>
        <v>918010130126</v>
      </c>
      <c r="C2366" s="15" t="str">
        <f t="shared" si="1"/>
        <v>meenayogendra001@gmail.com918010130126</v>
      </c>
      <c r="D2366" s="16" t="s">
        <v>9466</v>
      </c>
      <c r="E2366" s="16" t="s">
        <v>68</v>
      </c>
    </row>
    <row r="2367">
      <c r="A2367" s="1" t="s">
        <v>4153</v>
      </c>
      <c r="B2367" s="15">
        <f>+919967087458</f>
        <v>919967087458</v>
      </c>
      <c r="C2367" s="15" t="str">
        <f t="shared" si="1"/>
        <v>pawarpallu14@gmail.com919967087458</v>
      </c>
      <c r="D2367" s="16" t="s">
        <v>9467</v>
      </c>
      <c r="E2367" s="16" t="s">
        <v>68</v>
      </c>
    </row>
    <row r="2368">
      <c r="A2368" s="1" t="s">
        <v>4155</v>
      </c>
      <c r="B2368" s="15">
        <f>+917718851551</f>
        <v>917718851551</v>
      </c>
      <c r="C2368" s="15" t="str">
        <f t="shared" si="1"/>
        <v>sawantarya2000@gmail.com917718851551</v>
      </c>
      <c r="D2368" s="16" t="s">
        <v>9468</v>
      </c>
      <c r="E2368" s="16" t="s">
        <v>68</v>
      </c>
    </row>
    <row r="2369">
      <c r="A2369" s="1" t="s">
        <v>4153</v>
      </c>
      <c r="B2369" s="15">
        <f>+919967087458</f>
        <v>919967087458</v>
      </c>
      <c r="C2369" s="15" t="str">
        <f t="shared" si="1"/>
        <v>pawarpallu14@gmail.com919967087458</v>
      </c>
      <c r="D2369" s="16" t="s">
        <v>9469</v>
      </c>
      <c r="E2369" s="16" t="s">
        <v>68</v>
      </c>
    </row>
    <row r="2370">
      <c r="A2370" s="1" t="s">
        <v>4155</v>
      </c>
      <c r="B2370" s="15">
        <f>+917718851551</f>
        <v>917718851551</v>
      </c>
      <c r="C2370" s="15" t="str">
        <f t="shared" si="1"/>
        <v>sawantarya2000@gmail.com917718851551</v>
      </c>
      <c r="D2370" s="16" t="s">
        <v>9470</v>
      </c>
      <c r="E2370" s="16" t="s">
        <v>68</v>
      </c>
    </row>
    <row r="2371">
      <c r="A2371" s="1" t="s">
        <v>4157</v>
      </c>
      <c r="B2371" s="15">
        <f t="shared" ref="B2371:B2372" si="303">+917071805590</f>
        <v>917071805590</v>
      </c>
      <c r="C2371" s="15" t="str">
        <f t="shared" si="1"/>
        <v>ashisaxena6409@gmail.com917071805590</v>
      </c>
      <c r="D2371" s="16" t="s">
        <v>9471</v>
      </c>
      <c r="E2371" s="16" t="s">
        <v>68</v>
      </c>
    </row>
    <row r="2372">
      <c r="A2372" s="1" t="s">
        <v>4157</v>
      </c>
      <c r="B2372" s="15">
        <f t="shared" si="303"/>
        <v>917071805590</v>
      </c>
      <c r="C2372" s="15" t="str">
        <f t="shared" si="1"/>
        <v>ashisaxena6409@gmail.com917071805590</v>
      </c>
      <c r="D2372" s="16" t="s">
        <v>9472</v>
      </c>
      <c r="E2372" s="16" t="s">
        <v>68</v>
      </c>
    </row>
    <row r="2373">
      <c r="A2373" s="1" t="s">
        <v>4318</v>
      </c>
      <c r="B2373" s="15">
        <f>+918220861260</f>
        <v>918220861260</v>
      </c>
      <c r="C2373" s="15" t="str">
        <f t="shared" si="1"/>
        <v>chandruit8@gmail.com918220861260</v>
      </c>
      <c r="D2373" s="16" t="s">
        <v>9473</v>
      </c>
      <c r="E2373" s="16" t="s">
        <v>151</v>
      </c>
    </row>
    <row r="2374">
      <c r="A2374" s="1" t="s">
        <v>4405</v>
      </c>
      <c r="B2374" s="15">
        <f t="shared" ref="B2374:B2375" si="304">+919867583240</f>
        <v>919867583240</v>
      </c>
      <c r="C2374" s="15" t="str">
        <f t="shared" si="1"/>
        <v>dashingabhishek@gmail.com919867583240</v>
      </c>
      <c r="D2374" s="16" t="s">
        <v>9474</v>
      </c>
      <c r="E2374" s="16" t="s">
        <v>68</v>
      </c>
    </row>
    <row r="2375">
      <c r="A2375" s="1" t="s">
        <v>4405</v>
      </c>
      <c r="B2375" s="15">
        <f t="shared" si="304"/>
        <v>919867583240</v>
      </c>
      <c r="C2375" s="15" t="str">
        <f t="shared" si="1"/>
        <v>dashingabhishek@gmail.com919867583240</v>
      </c>
      <c r="D2375" s="16" t="s">
        <v>9475</v>
      </c>
      <c r="E2375" s="16" t="s">
        <v>68</v>
      </c>
    </row>
    <row r="2376">
      <c r="A2376" s="1" t="s">
        <v>5022</v>
      </c>
      <c r="B2376" s="15">
        <f>+919425480290</f>
        <v>919425480290</v>
      </c>
      <c r="C2376" s="15" t="str">
        <f t="shared" si="1"/>
        <v>harjas619@gmail.com919425480290</v>
      </c>
      <c r="D2376" s="16" t="s">
        <v>9476</v>
      </c>
      <c r="E2376" s="16" t="s">
        <v>74</v>
      </c>
    </row>
    <row r="2377">
      <c r="A2377" s="1" t="s">
        <v>9477</v>
      </c>
      <c r="B2377" s="15">
        <f>+919365662842</f>
        <v>919365662842</v>
      </c>
      <c r="C2377" s="15" t="str">
        <f t="shared" si="1"/>
        <v>lakhikantasaikia5@gmail.com919365662842</v>
      </c>
      <c r="D2377" s="16" t="s">
        <v>9478</v>
      </c>
      <c r="E2377" s="16" t="s">
        <v>151</v>
      </c>
    </row>
    <row r="2378">
      <c r="A2378" s="1" t="s">
        <v>9479</v>
      </c>
      <c r="B2378" s="15">
        <f t="shared" ref="B2378:B2379" si="305">+919742862306</f>
        <v>919742862306</v>
      </c>
      <c r="C2378" s="15" t="str">
        <f t="shared" si="1"/>
        <v>lvlykriti12@gmail.com919742862306</v>
      </c>
      <c r="D2378" s="16" t="s">
        <v>9480</v>
      </c>
      <c r="E2378" s="16" t="s">
        <v>68</v>
      </c>
    </row>
    <row r="2379">
      <c r="A2379" s="1" t="s">
        <v>9479</v>
      </c>
      <c r="B2379" s="15">
        <f t="shared" si="305"/>
        <v>919742862306</v>
      </c>
      <c r="C2379" s="15" t="str">
        <f t="shared" si="1"/>
        <v>lvlykriti12@gmail.com919742862306</v>
      </c>
      <c r="D2379" s="16" t="s">
        <v>9481</v>
      </c>
      <c r="E2379" s="16" t="s">
        <v>68</v>
      </c>
    </row>
    <row r="2380">
      <c r="A2380" s="1" t="s">
        <v>3984</v>
      </c>
      <c r="B2380" s="15">
        <f>+919930963908</f>
        <v>919930963908</v>
      </c>
      <c r="C2380" s="15" t="str">
        <f t="shared" si="1"/>
        <v>tanuswany@yahoo.com919930963908</v>
      </c>
      <c r="D2380" s="16" t="s">
        <v>9482</v>
      </c>
      <c r="E2380" s="16" t="s">
        <v>74</v>
      </c>
    </row>
    <row r="2381">
      <c r="A2381" s="1" t="s">
        <v>9483</v>
      </c>
      <c r="B2381" s="15">
        <f>+916261540389</f>
        <v>916261540389</v>
      </c>
      <c r="C2381" s="15" t="str">
        <f t="shared" si="1"/>
        <v>manishlahre210@gmail.com916261540389</v>
      </c>
      <c r="D2381" s="16" t="s">
        <v>9484</v>
      </c>
      <c r="E2381" s="16" t="s">
        <v>97</v>
      </c>
    </row>
    <row r="2382">
      <c r="A2382" s="1" t="s">
        <v>4831</v>
      </c>
      <c r="B2382" s="15">
        <f>+919517433509</f>
        <v>919517433509</v>
      </c>
      <c r="C2382" s="15" t="str">
        <f t="shared" si="1"/>
        <v>iamsiddhantdhawan@gmail.com919517433509</v>
      </c>
      <c r="D2382" s="16" t="s">
        <v>9485</v>
      </c>
      <c r="E2382" s="16" t="s">
        <v>68</v>
      </c>
    </row>
    <row r="2383">
      <c r="A2383" s="1" t="s">
        <v>6105</v>
      </c>
      <c r="B2383" s="15">
        <f>+917073084502</f>
        <v>917073084502</v>
      </c>
      <c r="C2383" s="15" t="str">
        <f t="shared" si="1"/>
        <v>nitesh382singh@gmail.com917073084502</v>
      </c>
      <c r="D2383" s="16" t="s">
        <v>9486</v>
      </c>
      <c r="E2383" s="16" t="s">
        <v>68</v>
      </c>
    </row>
    <row r="2384">
      <c r="A2384" s="1" t="s">
        <v>966</v>
      </c>
      <c r="B2384" s="15">
        <f>+918826223205</f>
        <v>918826223205</v>
      </c>
      <c r="C2384" s="15" t="str">
        <f t="shared" si="1"/>
        <v>niharikayadav808@gmail.com918826223205</v>
      </c>
      <c r="D2384" s="16" t="s">
        <v>9487</v>
      </c>
      <c r="E2384" s="16" t="s">
        <v>68</v>
      </c>
    </row>
    <row r="2385">
      <c r="A2385" s="1" t="s">
        <v>5266</v>
      </c>
      <c r="B2385" s="15">
        <f t="shared" ref="B2385:B2386" si="306">+918171153999</f>
        <v>918171153999</v>
      </c>
      <c r="C2385" s="15" t="str">
        <f t="shared" si="1"/>
        <v>toshniwalar@indianoil.in918171153999</v>
      </c>
      <c r="D2385" s="16" t="s">
        <v>9488</v>
      </c>
      <c r="E2385" s="16" t="s">
        <v>74</v>
      </c>
    </row>
    <row r="2386">
      <c r="A2386" s="1" t="s">
        <v>5266</v>
      </c>
      <c r="B2386" s="15">
        <f t="shared" si="306"/>
        <v>918171153999</v>
      </c>
      <c r="C2386" s="15" t="str">
        <f t="shared" si="1"/>
        <v>toshniwalar@indianoil.in918171153999</v>
      </c>
      <c r="D2386" s="16" t="s">
        <v>9489</v>
      </c>
      <c r="E2386" s="16" t="s">
        <v>74</v>
      </c>
    </row>
    <row r="2387">
      <c r="A2387" s="1" t="s">
        <v>8763</v>
      </c>
      <c r="B2387" s="15">
        <f>+919148111529</f>
        <v>919148111529</v>
      </c>
      <c r="C2387" s="15" t="str">
        <f t="shared" si="1"/>
        <v>mlikhita178@gmail.com919148111529</v>
      </c>
      <c r="D2387" s="16" t="s">
        <v>9490</v>
      </c>
      <c r="E2387" s="16" t="s">
        <v>74</v>
      </c>
    </row>
    <row r="2388">
      <c r="A2388" s="1" t="s">
        <v>5521</v>
      </c>
      <c r="B2388" s="15">
        <f>+916262487208</f>
        <v>916262487208</v>
      </c>
      <c r="C2388" s="15" t="str">
        <f t="shared" si="1"/>
        <v>disa7.sai@gmail.com916262487208</v>
      </c>
      <c r="D2388" s="16" t="s">
        <v>9491</v>
      </c>
      <c r="E2388" s="16" t="s">
        <v>68</v>
      </c>
    </row>
    <row r="2389">
      <c r="A2389" s="1" t="s">
        <v>9492</v>
      </c>
      <c r="B2389" s="15">
        <f>+919038525548</f>
        <v>919038525548</v>
      </c>
      <c r="C2389" s="15" t="str">
        <f t="shared" si="1"/>
        <v>avikkoley100@gmail.com919038525548</v>
      </c>
      <c r="D2389" s="16" t="s">
        <v>9493</v>
      </c>
      <c r="E2389" s="16" t="s">
        <v>68</v>
      </c>
    </row>
    <row r="2390">
      <c r="A2390" s="1" t="s">
        <v>9494</v>
      </c>
      <c r="B2390" s="15">
        <f>+919404283743</f>
        <v>919404283743</v>
      </c>
      <c r="C2390" s="15" t="str">
        <f t="shared" si="1"/>
        <v>aniketdudhe21@gmail.com919404283743</v>
      </c>
      <c r="D2390" s="16" t="s">
        <v>9495</v>
      </c>
      <c r="E2390" s="16" t="s">
        <v>151</v>
      </c>
    </row>
    <row r="2391">
      <c r="A2391" s="1" t="s">
        <v>3457</v>
      </c>
      <c r="B2391" s="15">
        <f>+917353757717</f>
        <v>917353757717</v>
      </c>
      <c r="C2391" s="15" t="str">
        <f t="shared" si="1"/>
        <v>roofnraft@gmail.com917353757717</v>
      </c>
      <c r="D2391" s="16" t="s">
        <v>9496</v>
      </c>
      <c r="E2391" s="16" t="s">
        <v>68</v>
      </c>
    </row>
    <row r="2392">
      <c r="A2392" s="1" t="s">
        <v>2659</v>
      </c>
      <c r="B2392" s="15">
        <f t="shared" ref="B2392:B2394" si="307">+919829163068</f>
        <v>919829163068</v>
      </c>
      <c r="C2392" s="15" t="str">
        <f t="shared" si="1"/>
        <v>tholiamanan@gmail.com919829163068</v>
      </c>
      <c r="D2392" s="16" t="s">
        <v>9497</v>
      </c>
      <c r="E2392" s="16" t="s">
        <v>74</v>
      </c>
    </row>
    <row r="2393">
      <c r="A2393" s="1" t="s">
        <v>2659</v>
      </c>
      <c r="B2393" s="15">
        <f t="shared" si="307"/>
        <v>919829163068</v>
      </c>
      <c r="C2393" s="15" t="str">
        <f t="shared" si="1"/>
        <v>tholiamanan@gmail.com919829163068</v>
      </c>
      <c r="D2393" s="16" t="s">
        <v>9498</v>
      </c>
      <c r="E2393" s="16" t="s">
        <v>68</v>
      </c>
    </row>
    <row r="2394">
      <c r="A2394" s="1" t="s">
        <v>2659</v>
      </c>
      <c r="B2394" s="15">
        <f t="shared" si="307"/>
        <v>919829163068</v>
      </c>
      <c r="C2394" s="15" t="str">
        <f t="shared" si="1"/>
        <v>tholiamanan@gmail.com919829163068</v>
      </c>
      <c r="D2394" s="16" t="s">
        <v>9499</v>
      </c>
      <c r="E2394" s="16" t="s">
        <v>68</v>
      </c>
    </row>
    <row r="2395">
      <c r="A2395" s="1" t="s">
        <v>5268</v>
      </c>
      <c r="B2395" s="15">
        <f>+919557581405</f>
        <v>919557581405</v>
      </c>
      <c r="C2395" s="15" t="str">
        <f t="shared" si="1"/>
        <v>vivdoon@gmail.com919557581405</v>
      </c>
      <c r="D2395" s="16" t="s">
        <v>9500</v>
      </c>
      <c r="E2395" s="16" t="s">
        <v>68</v>
      </c>
    </row>
    <row r="2396">
      <c r="A2396" s="1" t="s">
        <v>9501</v>
      </c>
      <c r="B2396" s="15">
        <f>+916398477641</f>
        <v>916398477641</v>
      </c>
      <c r="C2396" s="15" t="str">
        <f t="shared" si="1"/>
        <v>shiza9910@gmail.com916398477641</v>
      </c>
      <c r="D2396" s="16" t="s">
        <v>9502</v>
      </c>
      <c r="E2396" s="16" t="s">
        <v>68</v>
      </c>
    </row>
    <row r="2397">
      <c r="A2397" s="1" t="s">
        <v>2525</v>
      </c>
      <c r="B2397" s="15">
        <f>+916281153863</f>
        <v>916281153863</v>
      </c>
      <c r="C2397" s="15" t="str">
        <f t="shared" si="1"/>
        <v>theedajahnavee@gmail.com916281153863</v>
      </c>
      <c r="D2397" s="16" t="s">
        <v>9503</v>
      </c>
      <c r="E2397" s="16" t="s">
        <v>68</v>
      </c>
    </row>
    <row r="2398">
      <c r="A2398" s="1" t="s">
        <v>4160</v>
      </c>
      <c r="B2398" s="15">
        <f>+918839661910</f>
        <v>918839661910</v>
      </c>
      <c r="C2398" s="15" t="str">
        <f t="shared" si="1"/>
        <v>shweta.jaiswal9005@gmail.com918839661910</v>
      </c>
      <c r="D2398" s="16" t="s">
        <v>9504</v>
      </c>
      <c r="E2398" s="16" t="s">
        <v>68</v>
      </c>
    </row>
    <row r="2399">
      <c r="A2399" s="1" t="s">
        <v>4694</v>
      </c>
      <c r="B2399" s="15">
        <f>+919347849691</f>
        <v>919347849691</v>
      </c>
      <c r="C2399" s="15" t="str">
        <f t="shared" si="1"/>
        <v>gayatrikarnatapu2@gmail.com919347849691</v>
      </c>
      <c r="D2399" s="16" t="s">
        <v>9505</v>
      </c>
      <c r="E2399" s="16" t="s">
        <v>68</v>
      </c>
    </row>
    <row r="2400">
      <c r="A2400" s="1" t="s">
        <v>9506</v>
      </c>
      <c r="B2400" s="15">
        <f t="shared" ref="B2400:B2401" si="308">+919845102520</f>
        <v>919845102520</v>
      </c>
      <c r="C2400" s="15" t="str">
        <f t="shared" si="1"/>
        <v>shruthi.g08@gmail.com919845102520</v>
      </c>
      <c r="D2400" s="16" t="s">
        <v>9507</v>
      </c>
      <c r="E2400" s="16" t="s">
        <v>68</v>
      </c>
    </row>
    <row r="2401">
      <c r="A2401" s="1" t="s">
        <v>9506</v>
      </c>
      <c r="B2401" s="15">
        <f t="shared" si="308"/>
        <v>919845102520</v>
      </c>
      <c r="C2401" s="15" t="str">
        <f t="shared" si="1"/>
        <v>shruthi.g08@gmail.com919845102520</v>
      </c>
      <c r="D2401" s="16" t="s">
        <v>9508</v>
      </c>
      <c r="E2401" s="16" t="s">
        <v>68</v>
      </c>
    </row>
    <row r="2402">
      <c r="A2402" s="1" t="s">
        <v>4694</v>
      </c>
      <c r="B2402" s="15">
        <f>+919347849691</f>
        <v>919347849691</v>
      </c>
      <c r="C2402" s="15" t="str">
        <f t="shared" si="1"/>
        <v>gayatrikarnatapu2@gmail.com919347849691</v>
      </c>
      <c r="D2402" s="16" t="s">
        <v>9509</v>
      </c>
      <c r="E2402" s="16" t="s">
        <v>68</v>
      </c>
    </row>
    <row r="2403">
      <c r="A2403" s="1" t="s">
        <v>9506</v>
      </c>
      <c r="B2403" s="15">
        <f t="shared" ref="B2403:B2404" si="309">+919845102520</f>
        <v>919845102520</v>
      </c>
      <c r="C2403" s="15" t="str">
        <f t="shared" si="1"/>
        <v>shruthi.g08@gmail.com919845102520</v>
      </c>
      <c r="D2403" s="16" t="s">
        <v>9510</v>
      </c>
      <c r="E2403" s="16" t="s">
        <v>68</v>
      </c>
    </row>
    <row r="2404">
      <c r="A2404" s="1" t="s">
        <v>9506</v>
      </c>
      <c r="B2404" s="15">
        <f t="shared" si="309"/>
        <v>919845102520</v>
      </c>
      <c r="C2404" s="15" t="str">
        <f t="shared" si="1"/>
        <v>shruthi.g08@gmail.com919845102520</v>
      </c>
      <c r="D2404" s="16" t="s">
        <v>9511</v>
      </c>
      <c r="E2404" s="16" t="s">
        <v>68</v>
      </c>
    </row>
    <row r="2405">
      <c r="A2405" s="1" t="s">
        <v>8414</v>
      </c>
      <c r="B2405" s="15">
        <f t="shared" ref="B2405:B2406" si="310">+917267953320</f>
        <v>917267953320</v>
      </c>
      <c r="C2405" s="15" t="str">
        <f t="shared" si="1"/>
        <v>chandanidisha0@gmail.com917267953320</v>
      </c>
      <c r="D2405" s="16" t="s">
        <v>9512</v>
      </c>
      <c r="E2405" s="16" t="s">
        <v>97</v>
      </c>
    </row>
    <row r="2406">
      <c r="A2406" s="1" t="s">
        <v>8414</v>
      </c>
      <c r="B2406" s="15">
        <f t="shared" si="310"/>
        <v>917267953320</v>
      </c>
      <c r="C2406" s="15" t="str">
        <f t="shared" si="1"/>
        <v>chandanidisha0@gmail.com917267953320</v>
      </c>
      <c r="D2406" s="16" t="s">
        <v>9513</v>
      </c>
      <c r="E2406" s="16" t="s">
        <v>97</v>
      </c>
    </row>
    <row r="2407">
      <c r="A2407" s="1" t="s">
        <v>3314</v>
      </c>
      <c r="B2407" s="15">
        <f>+919886346066</f>
        <v>919886346066</v>
      </c>
      <c r="C2407" s="15" t="str">
        <f t="shared" si="1"/>
        <v>vinay.vinay.v@gmail.com919886346066</v>
      </c>
      <c r="D2407" s="16" t="s">
        <v>9514</v>
      </c>
      <c r="E2407" s="16" t="s">
        <v>74</v>
      </c>
    </row>
    <row r="2408">
      <c r="A2408" s="1" t="s">
        <v>5270</v>
      </c>
      <c r="B2408" s="15">
        <f>+919873312345</f>
        <v>919873312345</v>
      </c>
      <c r="C2408" s="15" t="str">
        <f t="shared" si="1"/>
        <v>alishachandna2011@gmail.com919873312345</v>
      </c>
      <c r="D2408" s="16" t="s">
        <v>9515</v>
      </c>
      <c r="E2408" s="16" t="s">
        <v>68</v>
      </c>
    </row>
    <row r="2409">
      <c r="A2409" s="1" t="s">
        <v>150</v>
      </c>
      <c r="B2409" s="15">
        <f>+919736012400</f>
        <v>919736012400</v>
      </c>
      <c r="C2409" s="15" t="str">
        <f t="shared" si="1"/>
        <v>tarunjee@gmail.com919736012400</v>
      </c>
      <c r="D2409" s="16" t="s">
        <v>9516</v>
      </c>
      <c r="E2409" s="16" t="s">
        <v>97</v>
      </c>
    </row>
    <row r="2410">
      <c r="A2410" s="1" t="s">
        <v>3795</v>
      </c>
      <c r="B2410" s="15">
        <f>+919739134951</f>
        <v>919739134951</v>
      </c>
      <c r="C2410" s="15" t="str">
        <f t="shared" si="1"/>
        <v>phamaddu@gmail.com919739134951</v>
      </c>
      <c r="D2410" s="16" t="s">
        <v>9517</v>
      </c>
      <c r="E2410" s="16" t="s">
        <v>68</v>
      </c>
    </row>
    <row r="2411">
      <c r="A2411" s="1" t="s">
        <v>5887</v>
      </c>
      <c r="B2411" s="15">
        <f>+919850884696</f>
        <v>919850884696</v>
      </c>
      <c r="C2411" s="15" t="str">
        <f t="shared" si="1"/>
        <v>purnimaverma68@yahoo.in919850884696</v>
      </c>
      <c r="D2411" s="16" t="s">
        <v>9518</v>
      </c>
      <c r="E2411" s="16" t="s">
        <v>68</v>
      </c>
    </row>
    <row r="2412">
      <c r="A2412" s="1" t="s">
        <v>2858</v>
      </c>
      <c r="B2412" s="15">
        <f t="shared" ref="B2412:B2413" si="311">+919494314597</f>
        <v>919494314597</v>
      </c>
      <c r="C2412" s="15" t="str">
        <f t="shared" si="1"/>
        <v>vinod.meda777@gmail.com919494314597</v>
      </c>
      <c r="D2412" s="16" t="s">
        <v>9519</v>
      </c>
      <c r="E2412" s="16" t="s">
        <v>68</v>
      </c>
    </row>
    <row r="2413">
      <c r="A2413" s="1" t="s">
        <v>2858</v>
      </c>
      <c r="B2413" s="15">
        <f t="shared" si="311"/>
        <v>919494314597</v>
      </c>
      <c r="C2413" s="15" t="str">
        <f t="shared" si="1"/>
        <v>vinod.meda777@gmail.com919494314597</v>
      </c>
      <c r="D2413" s="16" t="s">
        <v>9520</v>
      </c>
      <c r="E2413" s="16" t="s">
        <v>68</v>
      </c>
    </row>
    <row r="2414">
      <c r="A2414" s="1" t="s">
        <v>4700</v>
      </c>
      <c r="B2414" s="15">
        <f>+918895478773</f>
        <v>918895478773</v>
      </c>
      <c r="C2414" s="15" t="str">
        <f t="shared" si="1"/>
        <v>kanhar.kuntala552@gmail.com918895478773</v>
      </c>
      <c r="D2414" s="16" t="s">
        <v>9521</v>
      </c>
      <c r="E2414" s="16" t="s">
        <v>74</v>
      </c>
    </row>
    <row r="2415">
      <c r="A2415" s="1" t="s">
        <v>2860</v>
      </c>
      <c r="B2415" s="15">
        <f>+919962717342</f>
        <v>919962717342</v>
      </c>
      <c r="C2415" s="15" t="str">
        <f t="shared" si="1"/>
        <v>jay_chennai@ymail.com919962717342</v>
      </c>
      <c r="D2415" s="16" t="s">
        <v>9522</v>
      </c>
      <c r="E2415" s="16" t="s">
        <v>68</v>
      </c>
    </row>
    <row r="2416">
      <c r="A2416" s="1" t="s">
        <v>4700</v>
      </c>
      <c r="B2416" s="15">
        <f>+918895478773</f>
        <v>918895478773</v>
      </c>
      <c r="C2416" s="15" t="str">
        <f t="shared" si="1"/>
        <v>kanhar.kuntala552@gmail.com918895478773</v>
      </c>
      <c r="D2416" s="16" t="s">
        <v>9523</v>
      </c>
      <c r="E2416" s="16" t="s">
        <v>74</v>
      </c>
    </row>
    <row r="2417">
      <c r="A2417" s="1" t="s">
        <v>9524</v>
      </c>
      <c r="B2417" s="15">
        <f>+919639713810</f>
        <v>919639713810</v>
      </c>
      <c r="C2417" s="15" t="str">
        <f t="shared" si="1"/>
        <v>kushksyp@gmail.com919639713810</v>
      </c>
      <c r="D2417" s="16" t="s">
        <v>9525</v>
      </c>
      <c r="E2417" s="16" t="s">
        <v>74</v>
      </c>
    </row>
    <row r="2418">
      <c r="A2418" s="1" t="s">
        <v>5024</v>
      </c>
      <c r="B2418" s="15">
        <f t="shared" ref="B2418:B2422" si="312">+918918151117</f>
        <v>918918151117</v>
      </c>
      <c r="C2418" s="15" t="str">
        <f t="shared" si="1"/>
        <v>balarakesh490@gmail.com918918151117</v>
      </c>
      <c r="D2418" s="16" t="s">
        <v>9526</v>
      </c>
      <c r="E2418" s="16" t="s">
        <v>68</v>
      </c>
    </row>
    <row r="2419">
      <c r="A2419" s="1" t="s">
        <v>5024</v>
      </c>
      <c r="B2419" s="15">
        <f t="shared" si="312"/>
        <v>918918151117</v>
      </c>
      <c r="C2419" s="15" t="str">
        <f t="shared" si="1"/>
        <v>balarakesh490@gmail.com918918151117</v>
      </c>
      <c r="D2419" s="16" t="s">
        <v>9527</v>
      </c>
      <c r="E2419" s="16" t="s">
        <v>151</v>
      </c>
    </row>
    <row r="2420">
      <c r="A2420" s="1" t="s">
        <v>5024</v>
      </c>
      <c r="B2420" s="15">
        <f t="shared" si="312"/>
        <v>918918151117</v>
      </c>
      <c r="C2420" s="15" t="str">
        <f t="shared" si="1"/>
        <v>balarakesh490@gmail.com918918151117</v>
      </c>
      <c r="D2420" s="16" t="s">
        <v>9528</v>
      </c>
      <c r="E2420" s="16" t="s">
        <v>74</v>
      </c>
    </row>
    <row r="2421">
      <c r="A2421" s="1" t="s">
        <v>5024</v>
      </c>
      <c r="B2421" s="15">
        <f t="shared" si="312"/>
        <v>918918151117</v>
      </c>
      <c r="C2421" s="15" t="str">
        <f t="shared" si="1"/>
        <v>balarakesh490@gmail.com918918151117</v>
      </c>
      <c r="D2421" s="16" t="s">
        <v>9529</v>
      </c>
      <c r="E2421" s="16" t="s">
        <v>68</v>
      </c>
    </row>
    <row r="2422">
      <c r="A2422" s="1" t="s">
        <v>5024</v>
      </c>
      <c r="B2422" s="15">
        <f t="shared" si="312"/>
        <v>918918151117</v>
      </c>
      <c r="C2422" s="15" t="str">
        <f t="shared" si="1"/>
        <v>balarakesh490@gmail.com918918151117</v>
      </c>
      <c r="D2422" s="16" t="s">
        <v>9530</v>
      </c>
      <c r="E2422" s="16" t="s">
        <v>68</v>
      </c>
    </row>
    <row r="2423">
      <c r="A2423" s="1" t="s">
        <v>9531</v>
      </c>
      <c r="B2423" s="15">
        <f>+919404185458</f>
        <v>919404185458</v>
      </c>
      <c r="C2423" s="15" t="str">
        <f t="shared" si="1"/>
        <v>abhandekar9@gmail.com919404185458</v>
      </c>
      <c r="D2423" s="16" t="s">
        <v>9532</v>
      </c>
      <c r="E2423" s="16" t="s">
        <v>68</v>
      </c>
    </row>
    <row r="2424">
      <c r="A2424" s="1" t="s">
        <v>3459</v>
      </c>
      <c r="B2424" s="15">
        <f>+919873295069</f>
        <v>919873295069</v>
      </c>
      <c r="C2424" s="15" t="str">
        <f t="shared" si="1"/>
        <v>arpitawadhawan@gmail.com919873295069</v>
      </c>
      <c r="D2424" s="16" t="s">
        <v>9533</v>
      </c>
      <c r="E2424" s="16" t="s">
        <v>68</v>
      </c>
    </row>
    <row r="2425">
      <c r="A2425" s="1" t="s">
        <v>9534</v>
      </c>
      <c r="B2425" s="15">
        <f>+919057266193</f>
        <v>919057266193</v>
      </c>
      <c r="C2425" s="15" t="str">
        <f t="shared" si="1"/>
        <v>gera.lovely94@gmail.com919057266193</v>
      </c>
      <c r="D2425" s="16" t="s">
        <v>9535</v>
      </c>
      <c r="E2425" s="16" t="s">
        <v>151</v>
      </c>
    </row>
    <row r="2426">
      <c r="A2426" s="1" t="s">
        <v>9536</v>
      </c>
      <c r="B2426" s="15">
        <f>+919172628221</f>
        <v>919172628221</v>
      </c>
      <c r="C2426" s="15" t="str">
        <f t="shared" si="1"/>
        <v>payalbhutekar@gmail.com919172628221</v>
      </c>
      <c r="D2426" s="16" t="s">
        <v>9537</v>
      </c>
      <c r="E2426" s="16" t="s">
        <v>68</v>
      </c>
    </row>
    <row r="2427">
      <c r="A2427" s="1" t="s">
        <v>9538</v>
      </c>
      <c r="B2427" s="15">
        <f>+918899584562</f>
        <v>918899584562</v>
      </c>
      <c r="C2427" s="15" t="str">
        <f t="shared" si="1"/>
        <v>dipikkammahajan@gmail.com918899584562</v>
      </c>
      <c r="D2427" s="16" t="s">
        <v>9539</v>
      </c>
      <c r="E2427" s="16" t="s">
        <v>68</v>
      </c>
    </row>
    <row r="2428">
      <c r="A2428" s="1" t="s">
        <v>9540</v>
      </c>
      <c r="B2428" s="15">
        <f>+919711146716</f>
        <v>919711146716</v>
      </c>
      <c r="C2428" s="15" t="str">
        <f t="shared" si="1"/>
        <v>cs.ravipopli@gmail.com919711146716</v>
      </c>
      <c r="D2428" s="16" t="s">
        <v>9541</v>
      </c>
      <c r="E2428" s="16" t="s">
        <v>68</v>
      </c>
    </row>
    <row r="2429">
      <c r="A2429" s="1" t="s">
        <v>6130</v>
      </c>
      <c r="B2429" s="15">
        <f>+919566909115</f>
        <v>919566909115</v>
      </c>
      <c r="C2429" s="15" t="str">
        <f t="shared" si="1"/>
        <v>prasannasg2691@gmail.com919566909115</v>
      </c>
      <c r="D2429" s="16" t="s">
        <v>9542</v>
      </c>
      <c r="E2429" s="16" t="s">
        <v>74</v>
      </c>
    </row>
    <row r="2430">
      <c r="A2430" s="1" t="s">
        <v>9110</v>
      </c>
      <c r="B2430" s="15">
        <f>+919942417878</f>
        <v>919942417878</v>
      </c>
      <c r="C2430" s="15" t="str">
        <f t="shared" si="1"/>
        <v>yazh1603@gmail.com919942417878</v>
      </c>
      <c r="D2430" s="16" t="s">
        <v>9543</v>
      </c>
      <c r="E2430" s="16" t="s">
        <v>74</v>
      </c>
    </row>
    <row r="2431">
      <c r="A2431" s="1" t="s">
        <v>5889</v>
      </c>
      <c r="B2431" s="15">
        <f>+919742951234</f>
        <v>919742951234</v>
      </c>
      <c r="C2431" s="15" t="str">
        <f t="shared" si="1"/>
        <v>mohankv0904@gmail.com919742951234</v>
      </c>
      <c r="D2431" s="16" t="s">
        <v>9544</v>
      </c>
      <c r="E2431" s="16" t="s">
        <v>74</v>
      </c>
    </row>
    <row r="2432">
      <c r="A2432" s="1" t="s">
        <v>6130</v>
      </c>
      <c r="B2432" s="15">
        <f>+919566909115</f>
        <v>919566909115</v>
      </c>
      <c r="C2432" s="15" t="str">
        <f t="shared" si="1"/>
        <v>prasannasg2691@gmail.com919566909115</v>
      </c>
      <c r="D2432" s="16" t="s">
        <v>9545</v>
      </c>
      <c r="E2432" s="16" t="s">
        <v>74</v>
      </c>
    </row>
    <row r="2433">
      <c r="A2433" s="1" t="s">
        <v>3911</v>
      </c>
      <c r="B2433" s="15">
        <f>+917995267591</f>
        <v>917995267591</v>
      </c>
      <c r="C2433" s="15" t="str">
        <f t="shared" si="1"/>
        <v>prateekkumar9505@gmail.com917995267591</v>
      </c>
      <c r="D2433" s="16" t="s">
        <v>9546</v>
      </c>
      <c r="E2433" s="16" t="s">
        <v>68</v>
      </c>
    </row>
    <row r="2434">
      <c r="A2434" s="1" t="s">
        <v>4696</v>
      </c>
      <c r="B2434" s="15">
        <f>+918960461801</f>
        <v>918960461801</v>
      </c>
      <c r="C2434" s="15" t="str">
        <f t="shared" si="1"/>
        <v>mdfarhan1801@gmail.com918960461801</v>
      </c>
      <c r="D2434" s="16" t="s">
        <v>9547</v>
      </c>
      <c r="E2434" s="16" t="s">
        <v>68</v>
      </c>
    </row>
    <row r="2435">
      <c r="A2435" s="1" t="s">
        <v>5889</v>
      </c>
      <c r="B2435" s="15">
        <f>+919742951234</f>
        <v>919742951234</v>
      </c>
      <c r="C2435" s="15" t="str">
        <f t="shared" si="1"/>
        <v>mohankv0904@gmail.com919742951234</v>
      </c>
      <c r="D2435" s="16" t="s">
        <v>9548</v>
      </c>
      <c r="E2435" s="16" t="s">
        <v>74</v>
      </c>
    </row>
    <row r="2436">
      <c r="A2436" s="1" t="s">
        <v>2866</v>
      </c>
      <c r="B2436" s="15">
        <f t="shared" ref="B2436:B2440" si="313">+919892867167</f>
        <v>919892867167</v>
      </c>
      <c r="C2436" s="15" t="str">
        <f t="shared" si="1"/>
        <v>melbamendonca@gmail.com919892867167</v>
      </c>
      <c r="D2436" s="16" t="s">
        <v>9549</v>
      </c>
      <c r="E2436" s="16" t="s">
        <v>74</v>
      </c>
    </row>
    <row r="2437">
      <c r="A2437" s="1" t="s">
        <v>2866</v>
      </c>
      <c r="B2437" s="15">
        <f t="shared" si="313"/>
        <v>919892867167</v>
      </c>
      <c r="C2437" s="15" t="str">
        <f t="shared" si="1"/>
        <v>melbamendonca@gmail.com919892867167</v>
      </c>
      <c r="D2437" s="16" t="s">
        <v>9550</v>
      </c>
      <c r="E2437" s="16" t="s">
        <v>74</v>
      </c>
    </row>
    <row r="2438">
      <c r="A2438" s="1" t="s">
        <v>2866</v>
      </c>
      <c r="B2438" s="15">
        <f t="shared" si="313"/>
        <v>919892867167</v>
      </c>
      <c r="C2438" s="15" t="str">
        <f t="shared" si="1"/>
        <v>melbamendonca@gmail.com919892867167</v>
      </c>
      <c r="D2438" s="16" t="s">
        <v>9551</v>
      </c>
      <c r="E2438" s="16" t="s">
        <v>74</v>
      </c>
    </row>
    <row r="2439">
      <c r="A2439" s="1" t="s">
        <v>2866</v>
      </c>
      <c r="B2439" s="15">
        <f t="shared" si="313"/>
        <v>919892867167</v>
      </c>
      <c r="C2439" s="15" t="str">
        <f t="shared" si="1"/>
        <v>melbamendonca@gmail.com919892867167</v>
      </c>
      <c r="D2439" s="16" t="s">
        <v>9552</v>
      </c>
      <c r="E2439" s="16" t="s">
        <v>74</v>
      </c>
    </row>
    <row r="2440">
      <c r="A2440" s="1" t="s">
        <v>2866</v>
      </c>
      <c r="B2440" s="15">
        <f t="shared" si="313"/>
        <v>919892867167</v>
      </c>
      <c r="C2440" s="15" t="str">
        <f t="shared" si="1"/>
        <v>melbamendonca@gmail.com919892867167</v>
      </c>
      <c r="D2440" s="16" t="s">
        <v>9553</v>
      </c>
      <c r="E2440" s="16" t="s">
        <v>74</v>
      </c>
    </row>
    <row r="2441">
      <c r="A2441" s="1" t="s">
        <v>3913</v>
      </c>
      <c r="B2441" s="15">
        <f>+917276126319</f>
        <v>917276126319</v>
      </c>
      <c r="C2441" s="15" t="str">
        <f t="shared" si="1"/>
        <v>aniketlandge4848@gmail.com917276126319</v>
      </c>
      <c r="D2441" s="16" t="s">
        <v>9554</v>
      </c>
      <c r="E2441" s="16" t="s">
        <v>68</v>
      </c>
    </row>
    <row r="2442">
      <c r="A2442" s="1" t="s">
        <v>6398</v>
      </c>
      <c r="B2442" s="15">
        <f>+917349084282</f>
        <v>917349084282</v>
      </c>
      <c r="C2442" s="15" t="str">
        <f t="shared" si="1"/>
        <v>jyotisikder7@gmail.com917349084282</v>
      </c>
      <c r="D2442" s="16" t="s">
        <v>9555</v>
      </c>
      <c r="E2442" s="16" t="s">
        <v>68</v>
      </c>
    </row>
    <row r="2443">
      <c r="A2443" s="1" t="s">
        <v>4396</v>
      </c>
      <c r="B2443" s="15">
        <f>+917376504908</f>
        <v>917376504908</v>
      </c>
      <c r="C2443" s="15" t="str">
        <f t="shared" si="1"/>
        <v>inbox.aayushi@gmail.com917376504908</v>
      </c>
      <c r="D2443" s="16" t="s">
        <v>9556</v>
      </c>
      <c r="E2443" s="16" t="s">
        <v>68</v>
      </c>
    </row>
    <row r="2444">
      <c r="A2444" s="1" t="s">
        <v>9557</v>
      </c>
      <c r="B2444" s="15">
        <f t="shared" ref="B2444:B2445" si="314">+918778419261</f>
        <v>918778419261</v>
      </c>
      <c r="C2444" s="15" t="str">
        <f t="shared" si="1"/>
        <v>selvakumarienglish82@gmail.com918778419261</v>
      </c>
      <c r="D2444" s="16" t="s">
        <v>9558</v>
      </c>
      <c r="E2444" s="16" t="s">
        <v>68</v>
      </c>
    </row>
    <row r="2445">
      <c r="A2445" s="1" t="s">
        <v>9557</v>
      </c>
      <c r="B2445" s="15">
        <f t="shared" si="314"/>
        <v>918778419261</v>
      </c>
      <c r="C2445" s="15" t="str">
        <f t="shared" si="1"/>
        <v>selvakumarienglish82@gmail.com918778419261</v>
      </c>
      <c r="D2445" s="16" t="s">
        <v>9559</v>
      </c>
      <c r="E2445" s="16" t="s">
        <v>68</v>
      </c>
    </row>
    <row r="2446">
      <c r="A2446" s="1" t="s">
        <v>6107</v>
      </c>
      <c r="B2446" s="15">
        <f>+919235348369</f>
        <v>919235348369</v>
      </c>
      <c r="C2446" s="15" t="str">
        <f t="shared" si="1"/>
        <v>surbhisingh2476@gmail.com919235348369</v>
      </c>
      <c r="D2446" s="16" t="s">
        <v>9560</v>
      </c>
      <c r="E2446" s="16" t="s">
        <v>74</v>
      </c>
    </row>
    <row r="2447">
      <c r="A2447" s="1" t="s">
        <v>6604</v>
      </c>
      <c r="B2447" s="15">
        <f t="shared" ref="B2447:B2448" si="315">+918171488542</f>
        <v>918171488542</v>
      </c>
      <c r="C2447" s="15" t="str">
        <f t="shared" si="1"/>
        <v>shubhamkothiyal73@gmail.com918171488542</v>
      </c>
      <c r="D2447" s="16" t="s">
        <v>9561</v>
      </c>
      <c r="E2447" s="16" t="s">
        <v>68</v>
      </c>
    </row>
    <row r="2448">
      <c r="A2448" s="1" t="s">
        <v>6604</v>
      </c>
      <c r="B2448" s="15">
        <f t="shared" si="315"/>
        <v>918171488542</v>
      </c>
      <c r="C2448" s="15" t="str">
        <f t="shared" si="1"/>
        <v>shubhamkothiyal73@gmail.com918171488542</v>
      </c>
      <c r="D2448" s="16" t="s">
        <v>9562</v>
      </c>
      <c r="E2448" s="16" t="s">
        <v>68</v>
      </c>
    </row>
    <row r="2449">
      <c r="A2449" s="1" t="s">
        <v>4162</v>
      </c>
      <c r="B2449" s="15">
        <f>+918260604931</f>
        <v>918260604931</v>
      </c>
      <c r="C2449" s="15" t="str">
        <f t="shared" si="1"/>
        <v>hansdahmaina10@gmail.com918260604931</v>
      </c>
      <c r="D2449" s="16" t="s">
        <v>9563</v>
      </c>
      <c r="E2449" s="16" t="s">
        <v>68</v>
      </c>
    </row>
    <row r="2450">
      <c r="A2450" s="1" t="s">
        <v>9564</v>
      </c>
      <c r="B2450" s="15">
        <f>+918700804596</f>
        <v>918700804596</v>
      </c>
      <c r="C2450" s="15" t="str">
        <f t="shared" si="1"/>
        <v>amit.ojha.vns@gmail.com918700804596</v>
      </c>
      <c r="D2450" s="16" t="s">
        <v>9565</v>
      </c>
      <c r="E2450" s="16" t="s">
        <v>151</v>
      </c>
    </row>
    <row r="2451">
      <c r="A2451" s="1" t="s">
        <v>4698</v>
      </c>
      <c r="B2451" s="15">
        <f>+919398562671</f>
        <v>919398562671</v>
      </c>
      <c r="C2451" s="15" t="str">
        <f t="shared" si="1"/>
        <v>sspavan999@gmail.com919398562671</v>
      </c>
      <c r="D2451" s="16" t="s">
        <v>9566</v>
      </c>
      <c r="E2451" s="16" t="s">
        <v>68</v>
      </c>
    </row>
    <row r="2452">
      <c r="A2452" s="1" t="s">
        <v>3120</v>
      </c>
      <c r="B2452" s="15">
        <f>+919870071615</f>
        <v>919870071615</v>
      </c>
      <c r="C2452" s="15" t="str">
        <f t="shared" si="1"/>
        <v>manishkembral@gmail.com919870071615</v>
      </c>
      <c r="D2452" s="16" t="s">
        <v>9567</v>
      </c>
      <c r="E2452" s="16" t="s">
        <v>68</v>
      </c>
    </row>
    <row r="2453">
      <c r="A2453" s="1" t="s">
        <v>3461</v>
      </c>
      <c r="B2453" s="15">
        <f t="shared" ref="B2453:B2454" si="316">+919585813459</f>
        <v>919585813459</v>
      </c>
      <c r="C2453" s="15" t="str">
        <f t="shared" si="1"/>
        <v>ganeshkumarakvip@gmail.com919585813459</v>
      </c>
      <c r="D2453" s="16" t="s">
        <v>9568</v>
      </c>
      <c r="E2453" s="16" t="s">
        <v>68</v>
      </c>
    </row>
    <row r="2454">
      <c r="A2454" s="1" t="s">
        <v>3461</v>
      </c>
      <c r="B2454" s="15">
        <f t="shared" si="316"/>
        <v>919585813459</v>
      </c>
      <c r="C2454" s="15" t="str">
        <f t="shared" si="1"/>
        <v>ganeshkumarakvip@gmail.com919585813459</v>
      </c>
      <c r="D2454" s="16" t="s">
        <v>9569</v>
      </c>
      <c r="E2454" s="16" t="s">
        <v>68</v>
      </c>
    </row>
    <row r="2455">
      <c r="A2455" s="1" t="s">
        <v>4929</v>
      </c>
      <c r="B2455" s="15">
        <f>+919121868439</f>
        <v>919121868439</v>
      </c>
      <c r="C2455" s="15" t="str">
        <f t="shared" si="1"/>
        <v>anudeep1770@gmail.com919121868439</v>
      </c>
      <c r="D2455" s="16" t="s">
        <v>9570</v>
      </c>
      <c r="E2455" s="16" t="s">
        <v>68</v>
      </c>
    </row>
    <row r="2456">
      <c r="A2456" s="1" t="s">
        <v>9571</v>
      </c>
      <c r="B2456" s="15">
        <f t="shared" ref="B2456:B2457" si="317">+919048493429</f>
        <v>919048493429</v>
      </c>
      <c r="C2456" s="15" t="str">
        <f t="shared" si="1"/>
        <v>malavikas34@gmail.com919048493429</v>
      </c>
      <c r="D2456" s="16" t="s">
        <v>9572</v>
      </c>
      <c r="E2456" s="16" t="s">
        <v>74</v>
      </c>
    </row>
    <row r="2457">
      <c r="A2457" s="1" t="s">
        <v>9571</v>
      </c>
      <c r="B2457" s="15">
        <f t="shared" si="317"/>
        <v>919048493429</v>
      </c>
      <c r="C2457" s="15" t="str">
        <f t="shared" si="1"/>
        <v>malavikas34@gmail.com919048493429</v>
      </c>
      <c r="D2457" s="16" t="s">
        <v>9573</v>
      </c>
      <c r="E2457" s="16" t="s">
        <v>74</v>
      </c>
    </row>
    <row r="2458">
      <c r="A2458" s="1" t="s">
        <v>9574</v>
      </c>
      <c r="B2458" s="15">
        <f>+919999609032</f>
        <v>919999609032</v>
      </c>
      <c r="C2458" s="15" t="str">
        <f t="shared" si="1"/>
        <v>batrabags@gmail.com919999609032</v>
      </c>
      <c r="D2458" s="16" t="s">
        <v>9575</v>
      </c>
      <c r="E2458" s="16" t="s">
        <v>151</v>
      </c>
    </row>
    <row r="2459">
      <c r="A2459" s="1" t="s">
        <v>6109</v>
      </c>
      <c r="B2459" s="15">
        <f>+917293554843</f>
        <v>917293554843</v>
      </c>
      <c r="C2459" s="15" t="str">
        <f t="shared" si="1"/>
        <v>dittyprathyusham@gmail.com917293554843</v>
      </c>
      <c r="D2459" s="16" t="s">
        <v>9576</v>
      </c>
      <c r="E2459" s="16" t="s">
        <v>97</v>
      </c>
    </row>
    <row r="2460">
      <c r="A2460" s="1" t="s">
        <v>5026</v>
      </c>
      <c r="B2460" s="15">
        <f>+917708478885</f>
        <v>917708478885</v>
      </c>
      <c r="C2460" s="15" t="str">
        <f t="shared" si="1"/>
        <v>subashkanth007@gmail.com917708478885</v>
      </c>
      <c r="D2460" s="16" t="s">
        <v>9577</v>
      </c>
      <c r="E2460" s="16" t="s">
        <v>74</v>
      </c>
    </row>
    <row r="2461">
      <c r="A2461" s="1" t="s">
        <v>2731</v>
      </c>
      <c r="B2461" s="15">
        <f>+919030803021</f>
        <v>919030803021</v>
      </c>
      <c r="C2461" s="15" t="str">
        <f t="shared" si="1"/>
        <v>vlgpk006@gmail.com919030803021</v>
      </c>
      <c r="D2461" s="16" t="s">
        <v>9578</v>
      </c>
      <c r="E2461" s="16" t="s">
        <v>68</v>
      </c>
    </row>
    <row r="2462">
      <c r="A2462" s="1" t="s">
        <v>9579</v>
      </c>
      <c r="B2462" s="15">
        <f t="shared" ref="B2462:B2463" si="318">+919691028158</f>
        <v>919691028158</v>
      </c>
      <c r="C2462" s="15" t="str">
        <f t="shared" si="1"/>
        <v>vmalukani1911@gmail.com919691028158</v>
      </c>
      <c r="D2462" s="16" t="s">
        <v>9580</v>
      </c>
      <c r="E2462" s="16" t="s">
        <v>97</v>
      </c>
    </row>
    <row r="2463">
      <c r="A2463" s="1" t="s">
        <v>9579</v>
      </c>
      <c r="B2463" s="15">
        <f t="shared" si="318"/>
        <v>919691028158</v>
      </c>
      <c r="C2463" s="15" t="str">
        <f t="shared" si="1"/>
        <v>vmalukani1911@gmail.com919691028158</v>
      </c>
      <c r="D2463" s="16" t="s">
        <v>9581</v>
      </c>
      <c r="E2463" s="16" t="s">
        <v>151</v>
      </c>
    </row>
    <row r="2464">
      <c r="A2464" s="1" t="s">
        <v>6109</v>
      </c>
      <c r="B2464" s="15">
        <f>+917293554843</f>
        <v>917293554843</v>
      </c>
      <c r="C2464" s="15" t="str">
        <f t="shared" si="1"/>
        <v>dittyprathyusham@gmail.com917293554843</v>
      </c>
      <c r="D2464" s="16" t="s">
        <v>9582</v>
      </c>
      <c r="E2464" s="16" t="s">
        <v>74</v>
      </c>
    </row>
    <row r="2465">
      <c r="A2465" s="1" t="s">
        <v>1742</v>
      </c>
      <c r="B2465" s="15">
        <f>+917738790260</f>
        <v>917738790260</v>
      </c>
      <c r="C2465" s="15" t="str">
        <f t="shared" si="1"/>
        <v>7738790260s@gmail.com917738790260</v>
      </c>
      <c r="D2465" s="16" t="s">
        <v>9583</v>
      </c>
      <c r="E2465" s="16" t="s">
        <v>151</v>
      </c>
    </row>
    <row r="2466">
      <c r="A2466" s="1" t="s">
        <v>6628</v>
      </c>
      <c r="B2466" s="15">
        <f>+919600016696</f>
        <v>919600016696</v>
      </c>
      <c r="C2466" s="15" t="str">
        <f t="shared" si="1"/>
        <v>krubanandan@gmail.com919600016696</v>
      </c>
      <c r="D2466" s="16" t="s">
        <v>9584</v>
      </c>
      <c r="E2466" s="16" t="s">
        <v>74</v>
      </c>
    </row>
    <row r="2467">
      <c r="A2467" s="1" t="s">
        <v>6157</v>
      </c>
      <c r="B2467" s="15">
        <f>+919025113111</f>
        <v>919025113111</v>
      </c>
      <c r="C2467" s="15" t="str">
        <f t="shared" si="1"/>
        <v>trinath.ranjan@gmail.com919025113111</v>
      </c>
      <c r="D2467" s="16" t="s">
        <v>9585</v>
      </c>
      <c r="E2467" s="16" t="s">
        <v>74</v>
      </c>
    </row>
    <row r="2468">
      <c r="A2468" s="1" t="s">
        <v>6630</v>
      </c>
      <c r="B2468" s="15">
        <f>+919008732301</f>
        <v>919008732301</v>
      </c>
      <c r="C2468" s="15" t="str">
        <f t="shared" si="1"/>
        <v>siddhu68@yahoo.com919008732301</v>
      </c>
      <c r="D2468" s="16" t="s">
        <v>9586</v>
      </c>
      <c r="E2468" s="16" t="s">
        <v>151</v>
      </c>
    </row>
    <row r="2469">
      <c r="A2469" s="1" t="s">
        <v>5891</v>
      </c>
      <c r="B2469" s="15">
        <f>+917304442700</f>
        <v>917304442700</v>
      </c>
      <c r="C2469" s="15" t="str">
        <f t="shared" si="1"/>
        <v>yedrahul@gmail.com917304442700</v>
      </c>
      <c r="D2469" s="16" t="s">
        <v>9587</v>
      </c>
      <c r="E2469" s="16" t="s">
        <v>68</v>
      </c>
    </row>
    <row r="2470">
      <c r="A2470" s="1" t="s">
        <v>5272</v>
      </c>
      <c r="B2470" s="15">
        <f t="shared" ref="B2470:B2471" si="319">+919723207150</f>
        <v>919723207150</v>
      </c>
      <c r="C2470" s="15" t="str">
        <f t="shared" si="1"/>
        <v>lyfofdream@gmail.com919723207150</v>
      </c>
      <c r="D2470" s="16" t="s">
        <v>9588</v>
      </c>
      <c r="E2470" s="16" t="s">
        <v>74</v>
      </c>
    </row>
    <row r="2471">
      <c r="A2471" s="1" t="s">
        <v>5272</v>
      </c>
      <c r="B2471" s="15">
        <f t="shared" si="319"/>
        <v>919723207150</v>
      </c>
      <c r="C2471" s="15" t="str">
        <f t="shared" si="1"/>
        <v>lyfofdream@gmail.com919723207150</v>
      </c>
      <c r="D2471" s="16" t="s">
        <v>9589</v>
      </c>
      <c r="E2471" s="16" t="s">
        <v>74</v>
      </c>
    </row>
    <row r="2472">
      <c r="A2472" s="1" t="s">
        <v>6111</v>
      </c>
      <c r="B2472" s="15">
        <f>+917838047901</f>
        <v>917838047901</v>
      </c>
      <c r="C2472" s="15" t="str">
        <f t="shared" si="1"/>
        <v>iasbhaeya@gmail.com917838047901</v>
      </c>
      <c r="D2472" s="16" t="s">
        <v>9590</v>
      </c>
      <c r="E2472" s="16" t="s">
        <v>68</v>
      </c>
    </row>
    <row r="2473">
      <c r="A2473" s="1" t="s">
        <v>6606</v>
      </c>
      <c r="B2473" s="15">
        <f>+918105605756</f>
        <v>918105605756</v>
      </c>
      <c r="C2473" s="15" t="str">
        <f t="shared" si="1"/>
        <v>deepaliprabhu34@gmail.com918105605756</v>
      </c>
      <c r="D2473" s="16" t="s">
        <v>9591</v>
      </c>
      <c r="E2473" s="16" t="s">
        <v>74</v>
      </c>
    </row>
    <row r="2474">
      <c r="A2474" s="1" t="s">
        <v>9592</v>
      </c>
      <c r="B2474" s="15">
        <f>+919656662854</f>
        <v>919656662854</v>
      </c>
      <c r="C2474" s="15" t="str">
        <f t="shared" si="1"/>
        <v>kripakj1997@gmail.com919656662854</v>
      </c>
      <c r="D2474" s="16" t="s">
        <v>9593</v>
      </c>
      <c r="E2474" s="16" t="s">
        <v>74</v>
      </c>
    </row>
    <row r="2475">
      <c r="A2475" s="1" t="s">
        <v>6113</v>
      </c>
      <c r="B2475" s="15">
        <f>+919340567767</f>
        <v>919340567767</v>
      </c>
      <c r="C2475" s="15" t="str">
        <f t="shared" si="1"/>
        <v>reena7dominic@gmail.com919340567767</v>
      </c>
      <c r="D2475" s="16" t="s">
        <v>9594</v>
      </c>
      <c r="E2475" s="16" t="s">
        <v>151</v>
      </c>
    </row>
    <row r="2476">
      <c r="A2476" s="1" t="s">
        <v>5028</v>
      </c>
      <c r="B2476" s="15">
        <f>+917452010847</f>
        <v>917452010847</v>
      </c>
      <c r="C2476" s="15" t="str">
        <f t="shared" si="1"/>
        <v>charugrover59@gmail.com917452010847</v>
      </c>
      <c r="D2476" s="16" t="s">
        <v>9595</v>
      </c>
      <c r="E2476" s="16" t="s">
        <v>68</v>
      </c>
    </row>
    <row r="2477">
      <c r="A2477" s="1" t="s">
        <v>6157</v>
      </c>
      <c r="B2477" s="15">
        <f t="shared" ref="B2477:B2480" si="320">+919025113111</f>
        <v>919025113111</v>
      </c>
      <c r="C2477" s="15" t="str">
        <f t="shared" si="1"/>
        <v>trinath.ranjan@gmail.com919025113111</v>
      </c>
      <c r="D2477" s="16" t="s">
        <v>9596</v>
      </c>
      <c r="E2477" s="16" t="s">
        <v>68</v>
      </c>
    </row>
    <row r="2478">
      <c r="A2478" s="1" t="s">
        <v>6157</v>
      </c>
      <c r="B2478" s="15">
        <f t="shared" si="320"/>
        <v>919025113111</v>
      </c>
      <c r="C2478" s="15" t="str">
        <f t="shared" si="1"/>
        <v>trinath.ranjan@gmail.com919025113111</v>
      </c>
      <c r="D2478" s="16" t="s">
        <v>9597</v>
      </c>
      <c r="E2478" s="16" t="s">
        <v>68</v>
      </c>
    </row>
    <row r="2479">
      <c r="A2479" s="1" t="s">
        <v>6157</v>
      </c>
      <c r="B2479" s="15">
        <f t="shared" si="320"/>
        <v>919025113111</v>
      </c>
      <c r="C2479" s="15" t="str">
        <f t="shared" si="1"/>
        <v>trinath.ranjan@gmail.com919025113111</v>
      </c>
      <c r="D2479" s="16" t="s">
        <v>9598</v>
      </c>
      <c r="E2479" s="16" t="s">
        <v>68</v>
      </c>
    </row>
    <row r="2480">
      <c r="A2480" s="1" t="s">
        <v>6157</v>
      </c>
      <c r="B2480" s="15">
        <f t="shared" si="320"/>
        <v>919025113111</v>
      </c>
      <c r="C2480" s="15" t="str">
        <f t="shared" si="1"/>
        <v>trinath.ranjan@gmail.com919025113111</v>
      </c>
      <c r="D2480" s="16" t="s">
        <v>9599</v>
      </c>
      <c r="E2480" s="16" t="s">
        <v>68</v>
      </c>
    </row>
    <row r="2481">
      <c r="A2481" s="1" t="s">
        <v>6159</v>
      </c>
      <c r="B2481" s="15">
        <f>+919654004621</f>
        <v>919654004621</v>
      </c>
      <c r="C2481" s="15" t="str">
        <f t="shared" si="1"/>
        <v>csvivarthdosar@gmail.com919654004621</v>
      </c>
      <c r="D2481" s="16" t="s">
        <v>9600</v>
      </c>
      <c r="E2481" s="16" t="s">
        <v>97</v>
      </c>
    </row>
    <row r="2482">
      <c r="A2482" s="1" t="s">
        <v>4377</v>
      </c>
      <c r="B2482" s="15">
        <f t="shared" ref="B2482:B2483" si="321">+919739916537</f>
        <v>919739916537</v>
      </c>
      <c r="C2482" s="15" t="str">
        <f t="shared" si="1"/>
        <v>nagarjun316@gmail.com919739916537</v>
      </c>
      <c r="D2482" s="16" t="s">
        <v>9601</v>
      </c>
      <c r="E2482" s="16" t="s">
        <v>74</v>
      </c>
    </row>
    <row r="2483">
      <c r="A2483" s="1" t="s">
        <v>4377</v>
      </c>
      <c r="B2483" s="15">
        <f t="shared" si="321"/>
        <v>919739916537</v>
      </c>
      <c r="C2483" s="15" t="str">
        <f t="shared" si="1"/>
        <v>nagarjun316@gmail.com919739916537</v>
      </c>
      <c r="D2483" s="16" t="s">
        <v>9602</v>
      </c>
      <c r="E2483" s="16" t="s">
        <v>74</v>
      </c>
    </row>
    <row r="2484">
      <c r="A2484" s="1" t="s">
        <v>9274</v>
      </c>
      <c r="B2484" s="15">
        <f>+917006023191</f>
        <v>917006023191</v>
      </c>
      <c r="C2484" s="15" t="str">
        <f t="shared" si="1"/>
        <v>bhatrifat018@gmail.com917006023191</v>
      </c>
      <c r="D2484" s="16" t="s">
        <v>9603</v>
      </c>
      <c r="E2484" s="16" t="s">
        <v>151</v>
      </c>
    </row>
    <row r="2485">
      <c r="A2485" s="1" t="s">
        <v>6548</v>
      </c>
      <c r="B2485" s="15">
        <f t="shared" ref="B2485:B2486" si="322">+917075226651</f>
        <v>917075226651</v>
      </c>
      <c r="C2485" s="15" t="str">
        <f t="shared" si="1"/>
        <v>sankarapu.lyrics@gmail.com917075226651</v>
      </c>
      <c r="D2485" s="16" t="s">
        <v>9604</v>
      </c>
      <c r="E2485" s="16" t="s">
        <v>74</v>
      </c>
    </row>
    <row r="2486">
      <c r="A2486" s="1" t="s">
        <v>6548</v>
      </c>
      <c r="B2486" s="15">
        <f t="shared" si="322"/>
        <v>917075226651</v>
      </c>
      <c r="C2486" s="15" t="str">
        <f t="shared" si="1"/>
        <v>sankarapu.lyrics@gmail.com917075226651</v>
      </c>
      <c r="D2486" s="16" t="s">
        <v>9605</v>
      </c>
      <c r="E2486" s="16" t="s">
        <v>74</v>
      </c>
    </row>
    <row r="2487">
      <c r="A2487" s="1" t="s">
        <v>6399</v>
      </c>
      <c r="B2487" s="15">
        <f>+918951979402</f>
        <v>918951979402</v>
      </c>
      <c r="C2487" s="15" t="str">
        <f t="shared" si="1"/>
        <v>hmnrathore39@gmail.com918951979402</v>
      </c>
      <c r="D2487" s="16" t="s">
        <v>9606</v>
      </c>
      <c r="E2487" s="16" t="s">
        <v>74</v>
      </c>
    </row>
    <row r="2488">
      <c r="A2488" s="1" t="s">
        <v>2661</v>
      </c>
      <c r="B2488" s="15">
        <f>+919964073026</f>
        <v>919964073026</v>
      </c>
      <c r="C2488" s="15" t="str">
        <f t="shared" si="1"/>
        <v>seemapaib@gmail.com919964073026</v>
      </c>
      <c r="D2488" s="16" t="s">
        <v>9607</v>
      </c>
      <c r="E2488" s="16" t="s">
        <v>97</v>
      </c>
    </row>
    <row r="2489">
      <c r="A2489" s="1" t="s">
        <v>5523</v>
      </c>
      <c r="B2489" s="15">
        <f>+919654438434</f>
        <v>919654438434</v>
      </c>
      <c r="C2489" s="15" t="str">
        <f t="shared" si="1"/>
        <v>lovelysinghknp583@gmail.com919654438434</v>
      </c>
      <c r="D2489" s="16" t="s">
        <v>9608</v>
      </c>
      <c r="E2489" s="16" t="s">
        <v>68</v>
      </c>
    </row>
    <row r="2490">
      <c r="A2490" s="1" t="s">
        <v>3122</v>
      </c>
      <c r="B2490" s="15">
        <f>+919741671908</f>
        <v>919741671908</v>
      </c>
      <c r="C2490" s="15" t="str">
        <f t="shared" si="1"/>
        <v>foldministry@gmail.com919741671908</v>
      </c>
      <c r="D2490" s="16" t="s">
        <v>9609</v>
      </c>
      <c r="E2490" s="16" t="s">
        <v>151</v>
      </c>
    </row>
    <row r="2491">
      <c r="A2491" s="1" t="s">
        <v>9610</v>
      </c>
      <c r="B2491" s="15">
        <f>+919019172792</f>
        <v>919019172792</v>
      </c>
      <c r="C2491" s="15" t="str">
        <f t="shared" si="1"/>
        <v>shesammahesh@gmail.com919019172792</v>
      </c>
      <c r="D2491" s="16" t="s">
        <v>9611</v>
      </c>
      <c r="E2491" s="16" t="s">
        <v>68</v>
      </c>
    </row>
    <row r="2492">
      <c r="A2492" s="1" t="s">
        <v>3122</v>
      </c>
      <c r="B2492" s="15">
        <f>+919741671908</f>
        <v>919741671908</v>
      </c>
      <c r="C2492" s="15" t="str">
        <f t="shared" si="1"/>
        <v>foldministry@gmail.com919741671908</v>
      </c>
      <c r="D2492" s="16" t="s">
        <v>9612</v>
      </c>
      <c r="E2492" s="16" t="s">
        <v>68</v>
      </c>
    </row>
    <row r="2493">
      <c r="A2493" s="1" t="s">
        <v>5893</v>
      </c>
      <c r="B2493" s="15">
        <f>+919970959118</f>
        <v>919970959118</v>
      </c>
      <c r="C2493" s="15" t="str">
        <f t="shared" si="1"/>
        <v>vinodrameshpaliwal@gmail.com919970959118</v>
      </c>
      <c r="D2493" s="16" t="s">
        <v>9613</v>
      </c>
      <c r="E2493" s="16" t="s">
        <v>151</v>
      </c>
    </row>
    <row r="2494">
      <c r="A2494" s="1" t="s">
        <v>5525</v>
      </c>
      <c r="B2494" s="15">
        <f>+919953415341</f>
        <v>919953415341</v>
      </c>
      <c r="C2494" s="15" t="str">
        <f t="shared" si="1"/>
        <v>yuktikumar15@yahoo.in919953415341</v>
      </c>
      <c r="D2494" s="16" t="s">
        <v>9614</v>
      </c>
      <c r="E2494" s="16" t="s">
        <v>151</v>
      </c>
    </row>
    <row r="2495">
      <c r="A2495" s="1" t="s">
        <v>2862</v>
      </c>
      <c r="B2495" s="15">
        <f>+919087246985</f>
        <v>919087246985</v>
      </c>
      <c r="C2495" s="15" t="str">
        <f t="shared" si="1"/>
        <v>robertbennetwankhar@gmail.com919087246985</v>
      </c>
      <c r="D2495" s="16" t="s">
        <v>9615</v>
      </c>
      <c r="E2495" s="16" t="s">
        <v>68</v>
      </c>
    </row>
    <row r="2496">
      <c r="A2496" s="1" t="s">
        <v>2663</v>
      </c>
      <c r="B2496" s="15">
        <f>+919438366446</f>
        <v>919438366446</v>
      </c>
      <c r="C2496" s="15" t="str">
        <f t="shared" si="1"/>
        <v>roan.aga@gmail.com919438366446</v>
      </c>
      <c r="D2496" s="16" t="s">
        <v>9616</v>
      </c>
      <c r="E2496" s="16" t="s">
        <v>68</v>
      </c>
    </row>
    <row r="2497">
      <c r="A2497" s="1" t="s">
        <v>4700</v>
      </c>
      <c r="B2497" s="15">
        <f>+918895478773</f>
        <v>918895478773</v>
      </c>
      <c r="C2497" s="15" t="str">
        <f t="shared" si="1"/>
        <v>kanhar.kuntala552@gmail.com918895478773</v>
      </c>
      <c r="D2497" s="16" t="s">
        <v>9617</v>
      </c>
      <c r="E2497" s="16" t="s">
        <v>74</v>
      </c>
    </row>
    <row r="2498">
      <c r="A2498" s="1" t="s">
        <v>5946</v>
      </c>
      <c r="B2498" s="15">
        <f t="shared" ref="B2498:B2499" si="323">+919810394776</f>
        <v>919810394776</v>
      </c>
      <c r="C2498" s="15" t="str">
        <f t="shared" si="1"/>
        <v>rparasher@hotmail.com919810394776</v>
      </c>
      <c r="D2498" s="16" t="s">
        <v>9618</v>
      </c>
      <c r="E2498" s="16" t="s">
        <v>151</v>
      </c>
    </row>
    <row r="2499">
      <c r="A2499" s="1" t="s">
        <v>5946</v>
      </c>
      <c r="B2499" s="15">
        <f t="shared" si="323"/>
        <v>919810394776</v>
      </c>
      <c r="C2499" s="15" t="str">
        <f t="shared" si="1"/>
        <v>rparasher@hotmail.com919810394776</v>
      </c>
      <c r="D2499" s="16" t="s">
        <v>9619</v>
      </c>
      <c r="E2499" s="16" t="s">
        <v>151</v>
      </c>
    </row>
    <row r="2500">
      <c r="A2500" s="1" t="s">
        <v>6608</v>
      </c>
      <c r="B2500" s="15">
        <f>+919381178163</f>
        <v>919381178163</v>
      </c>
      <c r="C2500" s="15" t="str">
        <f t="shared" si="1"/>
        <v>lowkyabvr@gmail.com919381178163</v>
      </c>
      <c r="D2500" s="16" t="s">
        <v>9620</v>
      </c>
      <c r="E2500" s="16" t="s">
        <v>68</v>
      </c>
    </row>
    <row r="2501">
      <c r="A2501" s="1" t="s">
        <v>9621</v>
      </c>
      <c r="B2501" s="15">
        <f>+919449647683</f>
        <v>919449647683</v>
      </c>
      <c r="C2501" s="15" t="str">
        <f t="shared" si="1"/>
        <v>cortvishu@gmail.com919449647683</v>
      </c>
      <c r="D2501" s="16" t="s">
        <v>9622</v>
      </c>
      <c r="E2501" s="16" t="s">
        <v>68</v>
      </c>
    </row>
    <row r="2502">
      <c r="A2502" s="1" t="s">
        <v>9623</v>
      </c>
      <c r="B2502" s="15">
        <f>+919799591948</f>
        <v>919799591948</v>
      </c>
      <c r="C2502" s="15" t="str">
        <f t="shared" si="1"/>
        <v>ag.harshvardhan@gmail.com919799591948</v>
      </c>
      <c r="D2502" s="16" t="s">
        <v>9624</v>
      </c>
      <c r="E2502" s="16" t="s">
        <v>74</v>
      </c>
    </row>
    <row r="2503">
      <c r="A2503" s="1" t="s">
        <v>6401</v>
      </c>
      <c r="B2503" s="15">
        <f>+918969584242</f>
        <v>918969584242</v>
      </c>
      <c r="C2503" s="15" t="str">
        <f t="shared" si="1"/>
        <v>bansaladitya2803@gmail.com918969584242</v>
      </c>
      <c r="D2503" s="16" t="s">
        <v>9625</v>
      </c>
      <c r="E2503" s="16" t="s">
        <v>68</v>
      </c>
    </row>
    <row r="2504">
      <c r="A2504" s="1" t="s">
        <v>5895</v>
      </c>
      <c r="B2504" s="15">
        <f>+917036380507</f>
        <v>917036380507</v>
      </c>
      <c r="C2504" s="15" t="str">
        <f t="shared" si="1"/>
        <v>umarani2004@gmail.com917036380507</v>
      </c>
      <c r="D2504" s="16" t="s">
        <v>9626</v>
      </c>
      <c r="E2504" s="16" t="s">
        <v>68</v>
      </c>
    </row>
    <row r="2505">
      <c r="A2505" s="1" t="s">
        <v>5030</v>
      </c>
      <c r="B2505" s="15">
        <f>+917898203976</f>
        <v>917898203976</v>
      </c>
      <c r="C2505" s="15" t="str">
        <f t="shared" si="1"/>
        <v>akankshapaliwal8989@gmail.com917898203976</v>
      </c>
      <c r="D2505" s="16" t="s">
        <v>9627</v>
      </c>
      <c r="E2505" s="16" t="s">
        <v>68</v>
      </c>
    </row>
    <row r="2506">
      <c r="A2506" s="1" t="s">
        <v>5032</v>
      </c>
      <c r="B2506" s="15">
        <f>+917750004698</f>
        <v>917750004698</v>
      </c>
      <c r="C2506" s="15" t="str">
        <f t="shared" si="1"/>
        <v>patrachandan087@gmail.com917750004698</v>
      </c>
      <c r="D2506" s="16" t="s">
        <v>9628</v>
      </c>
      <c r="E2506" s="16" t="s">
        <v>68</v>
      </c>
    </row>
    <row r="2507">
      <c r="A2507" s="1" t="s">
        <v>9629</v>
      </c>
      <c r="B2507" s="15">
        <f>+919810919977</f>
        <v>919810919977</v>
      </c>
      <c r="C2507" s="15" t="str">
        <f t="shared" si="1"/>
        <v>naveenmadhwal@gmail.com919810919977</v>
      </c>
      <c r="D2507" s="16" t="s">
        <v>9630</v>
      </c>
      <c r="E2507" s="16" t="s">
        <v>97</v>
      </c>
    </row>
    <row r="2508">
      <c r="A2508" s="1" t="s">
        <v>9631</v>
      </c>
      <c r="B2508" s="15">
        <f>+919880822944</f>
        <v>919880822944</v>
      </c>
      <c r="C2508" s="15" t="str">
        <f t="shared" si="1"/>
        <v>j.kishnani@gmail.com919880822944</v>
      </c>
      <c r="D2508" s="16" t="s">
        <v>9632</v>
      </c>
      <c r="E2508" s="16" t="s">
        <v>68</v>
      </c>
    </row>
    <row r="2509">
      <c r="A2509" s="1" t="s">
        <v>5030</v>
      </c>
      <c r="B2509" s="15">
        <f t="shared" ref="B2509:B2510" si="324">+917898203976</f>
        <v>917898203976</v>
      </c>
      <c r="C2509" s="15" t="str">
        <f t="shared" si="1"/>
        <v>akankshapaliwal8989@gmail.com917898203976</v>
      </c>
      <c r="D2509" s="16" t="s">
        <v>9633</v>
      </c>
      <c r="E2509" s="16" t="s">
        <v>68</v>
      </c>
    </row>
    <row r="2510">
      <c r="A2510" s="1" t="s">
        <v>5030</v>
      </c>
      <c r="B2510" s="15">
        <f t="shared" si="324"/>
        <v>917898203976</v>
      </c>
      <c r="C2510" s="15" t="str">
        <f t="shared" si="1"/>
        <v>akankshapaliwal8989@gmail.com917898203976</v>
      </c>
      <c r="D2510" s="16" t="s">
        <v>9634</v>
      </c>
      <c r="E2510" s="16" t="s">
        <v>68</v>
      </c>
    </row>
    <row r="2511">
      <c r="A2511" s="1" t="s">
        <v>5032</v>
      </c>
      <c r="B2511" s="15">
        <f>+917750004698</f>
        <v>917750004698</v>
      </c>
      <c r="C2511" s="15" t="str">
        <f t="shared" si="1"/>
        <v>patrachandan087@gmail.com917750004698</v>
      </c>
      <c r="D2511" s="16" t="s">
        <v>9635</v>
      </c>
      <c r="E2511" s="16" t="s">
        <v>68</v>
      </c>
    </row>
    <row r="2512">
      <c r="A2512" s="1" t="s">
        <v>9629</v>
      </c>
      <c r="B2512" s="15">
        <f>+919810919977</f>
        <v>919810919977</v>
      </c>
      <c r="C2512" s="15" t="str">
        <f t="shared" si="1"/>
        <v>naveenmadhwal@gmail.com919810919977</v>
      </c>
      <c r="D2512" s="16" t="s">
        <v>9636</v>
      </c>
      <c r="E2512" s="16" t="s">
        <v>97</v>
      </c>
    </row>
    <row r="2513">
      <c r="A2513" s="1" t="s">
        <v>4164</v>
      </c>
      <c r="B2513" s="15">
        <f>+919871079550</f>
        <v>919871079550</v>
      </c>
      <c r="C2513" s="15" t="str">
        <f t="shared" si="1"/>
        <v>ayushivansh239@gmail.com919871079550</v>
      </c>
      <c r="D2513" s="16" t="s">
        <v>9637</v>
      </c>
      <c r="E2513" s="16" t="s">
        <v>68</v>
      </c>
    </row>
    <row r="2514">
      <c r="A2514" s="1" t="s">
        <v>6115</v>
      </c>
      <c r="B2514" s="15">
        <f>+919176295567</f>
        <v>919176295567</v>
      </c>
      <c r="C2514" s="15" t="str">
        <f t="shared" si="1"/>
        <v>hardikkumar1001@gmail.com919176295567</v>
      </c>
      <c r="D2514" s="16" t="s">
        <v>9638</v>
      </c>
      <c r="E2514" s="16" t="s">
        <v>74</v>
      </c>
    </row>
    <row r="2515">
      <c r="A2515" s="1" t="s">
        <v>5527</v>
      </c>
      <c r="B2515" s="15">
        <f t="shared" ref="B2515:B2516" si="325">+919352968815</f>
        <v>919352968815</v>
      </c>
      <c r="C2515" s="15" t="str">
        <f t="shared" si="1"/>
        <v>girirajsingh652@gmail.com919352968815</v>
      </c>
      <c r="D2515" s="16" t="s">
        <v>9639</v>
      </c>
      <c r="E2515" s="16" t="s">
        <v>68</v>
      </c>
    </row>
    <row r="2516">
      <c r="A2516" s="1" t="s">
        <v>5527</v>
      </c>
      <c r="B2516" s="15">
        <f t="shared" si="325"/>
        <v>919352968815</v>
      </c>
      <c r="C2516" s="15" t="str">
        <f t="shared" si="1"/>
        <v>girirajsingh652@gmail.com919352968815</v>
      </c>
      <c r="D2516" s="16" t="s">
        <v>9640</v>
      </c>
      <c r="E2516" s="16" t="s">
        <v>74</v>
      </c>
    </row>
    <row r="2517">
      <c r="A2517" s="1" t="s">
        <v>4700</v>
      </c>
      <c r="B2517" s="15">
        <f>+918895478773</f>
        <v>918895478773</v>
      </c>
      <c r="C2517" s="15" t="str">
        <f t="shared" si="1"/>
        <v>kanhar.kuntala552@gmail.com918895478773</v>
      </c>
      <c r="D2517" s="16" t="s">
        <v>9641</v>
      </c>
      <c r="E2517" s="16" t="s">
        <v>74</v>
      </c>
    </row>
    <row r="2518">
      <c r="A2518" s="1" t="s">
        <v>9642</v>
      </c>
      <c r="B2518" s="15">
        <f>+919643464894</f>
        <v>919643464894</v>
      </c>
      <c r="C2518" s="15" t="str">
        <f t="shared" si="1"/>
        <v>jonathan.jefferson98@gmail.com919643464894</v>
      </c>
      <c r="D2518" s="16" t="s">
        <v>9643</v>
      </c>
      <c r="E2518" s="16" t="s">
        <v>74</v>
      </c>
    </row>
    <row r="2519">
      <c r="A2519" s="1" t="s">
        <v>6161</v>
      </c>
      <c r="B2519" s="15">
        <f>+919997271499</f>
        <v>919997271499</v>
      </c>
      <c r="C2519" s="15" t="str">
        <f t="shared" si="1"/>
        <v>akshdeeprke@gmail.com919997271499</v>
      </c>
      <c r="D2519" s="16" t="s">
        <v>9644</v>
      </c>
      <c r="E2519" s="16" t="s">
        <v>68</v>
      </c>
    </row>
    <row r="2520">
      <c r="A2520" s="1" t="s">
        <v>4932</v>
      </c>
      <c r="B2520" s="15">
        <f>+918177802647</f>
        <v>918177802647</v>
      </c>
      <c r="C2520" s="15" t="str">
        <f t="shared" si="1"/>
        <v>aayushsurana12@gmail.com918177802647</v>
      </c>
      <c r="D2520" s="16" t="s">
        <v>9645</v>
      </c>
      <c r="E2520" s="16" t="s">
        <v>68</v>
      </c>
    </row>
    <row r="2521">
      <c r="A2521" s="1" t="s">
        <v>2864</v>
      </c>
      <c r="B2521" s="15">
        <f>+919916368294</f>
        <v>919916368294</v>
      </c>
      <c r="C2521" s="15" t="str">
        <f t="shared" si="1"/>
        <v>kellmahesh@gmail.com919916368294</v>
      </c>
      <c r="D2521" s="16" t="s">
        <v>9646</v>
      </c>
      <c r="E2521" s="16" t="s">
        <v>74</v>
      </c>
    </row>
    <row r="2522">
      <c r="A2522" s="1" t="s">
        <v>5897</v>
      </c>
      <c r="B2522" s="15">
        <f>+918010468705</f>
        <v>918010468705</v>
      </c>
      <c r="C2522" s="15" t="str">
        <f t="shared" si="1"/>
        <v>tarotanjalli@gmail.com918010468705</v>
      </c>
      <c r="D2522" s="16" t="s">
        <v>9647</v>
      </c>
      <c r="E2522" s="16" t="s">
        <v>68</v>
      </c>
    </row>
    <row r="2523">
      <c r="A2523" s="1" t="s">
        <v>6610</v>
      </c>
      <c r="B2523" s="15">
        <f>+919972520716</f>
        <v>919972520716</v>
      </c>
      <c r="C2523" s="15" t="str">
        <f t="shared" si="1"/>
        <v>sunilnaidu.digital@gmail.com919972520716</v>
      </c>
      <c r="D2523" s="16" t="s">
        <v>9648</v>
      </c>
      <c r="E2523" s="16" t="s">
        <v>68</v>
      </c>
    </row>
    <row r="2524">
      <c r="A2524" s="1" t="s">
        <v>3124</v>
      </c>
      <c r="B2524" s="15">
        <f>+17059708485</f>
        <v>17059708485</v>
      </c>
      <c r="C2524" s="15" t="str">
        <f t="shared" si="1"/>
        <v>p.satya.nitw@gmail.com17059708485</v>
      </c>
      <c r="D2524" s="16" t="s">
        <v>9649</v>
      </c>
      <c r="E2524" s="16" t="s">
        <v>97</v>
      </c>
    </row>
    <row r="2525">
      <c r="A2525" s="1" t="s">
        <v>9650</v>
      </c>
      <c r="B2525" s="15">
        <f>+919501784286</f>
        <v>919501784286</v>
      </c>
      <c r="C2525" s="15" t="str">
        <f t="shared" si="1"/>
        <v>latasharma252629@gmail.com919501784286</v>
      </c>
      <c r="D2525" s="16" t="s">
        <v>9651</v>
      </c>
      <c r="E2525" s="16" t="s">
        <v>68</v>
      </c>
    </row>
    <row r="2526">
      <c r="A2526" s="1" t="s">
        <v>9652</v>
      </c>
      <c r="B2526" s="15">
        <f t="shared" ref="B2526:B2527" si="326">+917999322923</f>
        <v>917999322923</v>
      </c>
      <c r="C2526" s="15" t="str">
        <f t="shared" si="1"/>
        <v>veronicathokchom1518@gmail.com917999322923</v>
      </c>
      <c r="D2526" s="16" t="s">
        <v>9653</v>
      </c>
      <c r="E2526" s="16" t="s">
        <v>68</v>
      </c>
    </row>
    <row r="2527">
      <c r="A2527" s="1" t="s">
        <v>9652</v>
      </c>
      <c r="B2527" s="15">
        <f t="shared" si="326"/>
        <v>917999322923</v>
      </c>
      <c r="C2527" s="15" t="str">
        <f t="shared" si="1"/>
        <v>veronicathokchom1518@gmail.com917999322923</v>
      </c>
      <c r="D2527" s="16" t="s">
        <v>9654</v>
      </c>
      <c r="E2527" s="16" t="s">
        <v>68</v>
      </c>
    </row>
    <row r="2528">
      <c r="A2528" s="1" t="s">
        <v>4166</v>
      </c>
      <c r="B2528" s="15">
        <f>+919971100730</f>
        <v>919971100730</v>
      </c>
      <c r="C2528" s="15" t="str">
        <f t="shared" si="1"/>
        <v>mahajanshriyaa@gmail.com919971100730</v>
      </c>
      <c r="D2528" s="16" t="s">
        <v>9655</v>
      </c>
      <c r="E2528" s="16" t="s">
        <v>68</v>
      </c>
    </row>
    <row r="2529">
      <c r="A2529" s="1" t="s">
        <v>6163</v>
      </c>
      <c r="B2529" s="15">
        <f>+919810608604</f>
        <v>919810608604</v>
      </c>
      <c r="C2529" s="15" t="str">
        <f t="shared" si="1"/>
        <v>djain0315@gmail.com919810608604</v>
      </c>
      <c r="D2529" s="16" t="s">
        <v>9656</v>
      </c>
      <c r="E2529" s="16" t="s">
        <v>74</v>
      </c>
    </row>
    <row r="2530">
      <c r="A2530" s="1" t="s">
        <v>6548</v>
      </c>
      <c r="B2530" s="15">
        <f>+917075226651</f>
        <v>917075226651</v>
      </c>
      <c r="C2530" s="15" t="str">
        <f t="shared" si="1"/>
        <v>sankarapu.lyrics@gmail.com917075226651</v>
      </c>
      <c r="D2530" s="16" t="s">
        <v>9657</v>
      </c>
      <c r="E2530" s="16" t="s">
        <v>74</v>
      </c>
    </row>
    <row r="2531">
      <c r="A2531" s="1" t="s">
        <v>9658</v>
      </c>
      <c r="B2531" s="15">
        <f>+919044647463</f>
        <v>919044647463</v>
      </c>
      <c r="C2531" s="15" t="str">
        <f t="shared" si="1"/>
        <v>shabana700@gmail.com919044647463</v>
      </c>
      <c r="D2531" s="16" t="s">
        <v>9659</v>
      </c>
      <c r="E2531" s="16" t="s">
        <v>68</v>
      </c>
    </row>
    <row r="2532">
      <c r="A2532" s="1" t="s">
        <v>6163</v>
      </c>
      <c r="B2532" s="15">
        <f>+919810608604</f>
        <v>919810608604</v>
      </c>
      <c r="C2532" s="15" t="str">
        <f t="shared" si="1"/>
        <v>djain0315@gmail.com919810608604</v>
      </c>
      <c r="D2532" s="16" t="s">
        <v>9660</v>
      </c>
      <c r="E2532" s="16" t="s">
        <v>74</v>
      </c>
    </row>
    <row r="2533">
      <c r="A2533" s="1" t="s">
        <v>9661</v>
      </c>
      <c r="B2533" s="15">
        <f>+918866894500</f>
        <v>918866894500</v>
      </c>
      <c r="C2533" s="15" t="str">
        <f t="shared" si="1"/>
        <v>priyankatodariya@gmail.com918866894500</v>
      </c>
      <c r="D2533" s="16" t="s">
        <v>9662</v>
      </c>
      <c r="E2533" s="16" t="s">
        <v>68</v>
      </c>
    </row>
    <row r="2534">
      <c r="A2534" s="1" t="s">
        <v>9663</v>
      </c>
      <c r="B2534" s="15">
        <f t="shared" ref="B2534:B2535" si="327">+917680076712</f>
        <v>917680076712</v>
      </c>
      <c r="C2534" s="15" t="str">
        <f t="shared" si="1"/>
        <v>shubhiashutoshpandey@gmail.com917680076712</v>
      </c>
      <c r="D2534" s="16" t="s">
        <v>9664</v>
      </c>
      <c r="E2534" s="16" t="s">
        <v>74</v>
      </c>
    </row>
    <row r="2535">
      <c r="A2535" s="1" t="s">
        <v>9663</v>
      </c>
      <c r="B2535" s="15">
        <f t="shared" si="327"/>
        <v>917680076712</v>
      </c>
      <c r="C2535" s="15" t="str">
        <f t="shared" si="1"/>
        <v>shubhiashutoshpandey@gmail.com917680076712</v>
      </c>
      <c r="D2535" s="16" t="s">
        <v>9665</v>
      </c>
      <c r="E2535" s="16" t="s">
        <v>74</v>
      </c>
    </row>
    <row r="2536">
      <c r="A2536" s="1" t="s">
        <v>2866</v>
      </c>
      <c r="B2536" s="15">
        <f>+919892867167</f>
        <v>919892867167</v>
      </c>
      <c r="C2536" s="15" t="str">
        <f t="shared" si="1"/>
        <v>melbamendonca@gmail.com919892867167</v>
      </c>
      <c r="D2536" s="16" t="s">
        <v>9666</v>
      </c>
      <c r="E2536" s="16" t="s">
        <v>74</v>
      </c>
    </row>
    <row r="2537">
      <c r="A2537" s="1" t="s">
        <v>6403</v>
      </c>
      <c r="B2537" s="15">
        <f>+918078680424</f>
        <v>918078680424</v>
      </c>
      <c r="C2537" s="15" t="str">
        <f t="shared" si="1"/>
        <v>jsr_jeetandar@rediffmail.com918078680424</v>
      </c>
      <c r="D2537" s="16" t="s">
        <v>9667</v>
      </c>
      <c r="E2537" s="16" t="s">
        <v>68</v>
      </c>
    </row>
    <row r="2538">
      <c r="A2538" s="1" t="s">
        <v>2665</v>
      </c>
      <c r="B2538" s="15">
        <f>+919873012203</f>
        <v>919873012203</v>
      </c>
      <c r="C2538" s="15" t="str">
        <f t="shared" si="1"/>
        <v>kastooree@gmail.com919873012203</v>
      </c>
      <c r="D2538" s="16" t="s">
        <v>9668</v>
      </c>
      <c r="E2538" s="16" t="s">
        <v>68</v>
      </c>
    </row>
    <row r="2539">
      <c r="A2539" s="1" t="s">
        <v>6116</v>
      </c>
      <c r="B2539" s="15">
        <f>+918801885031</f>
        <v>918801885031</v>
      </c>
      <c r="C2539" s="15" t="str">
        <f t="shared" si="1"/>
        <v>amary0520@gmail.com918801885031</v>
      </c>
      <c r="D2539" s="16" t="s">
        <v>9669</v>
      </c>
      <c r="E2539" s="16" t="s">
        <v>151</v>
      </c>
    </row>
    <row r="2540">
      <c r="A2540" s="1" t="s">
        <v>5033</v>
      </c>
      <c r="B2540" s="15">
        <f>+917219407815</f>
        <v>917219407815</v>
      </c>
      <c r="C2540" s="15" t="str">
        <f t="shared" si="1"/>
        <v>sushmita1998shukla@gmail.com917219407815</v>
      </c>
      <c r="D2540" s="16" t="s">
        <v>9670</v>
      </c>
      <c r="E2540" s="16" t="s">
        <v>68</v>
      </c>
    </row>
    <row r="2541">
      <c r="A2541" s="1" t="s">
        <v>6116</v>
      </c>
      <c r="B2541" s="15">
        <f>+918801885031</f>
        <v>918801885031</v>
      </c>
      <c r="C2541" s="15" t="str">
        <f t="shared" si="1"/>
        <v>amary0520@gmail.com918801885031</v>
      </c>
      <c r="D2541" s="16" t="s">
        <v>9671</v>
      </c>
      <c r="E2541" s="16" t="s">
        <v>68</v>
      </c>
    </row>
    <row r="2542">
      <c r="A2542" s="1" t="s">
        <v>4702</v>
      </c>
      <c r="B2542" s="15">
        <f>+919508058885</f>
        <v>919508058885</v>
      </c>
      <c r="C2542" s="15" t="str">
        <f t="shared" si="1"/>
        <v>shivanisuman37@gmail.com919508058885</v>
      </c>
      <c r="D2542" s="16" t="s">
        <v>9672</v>
      </c>
      <c r="E2542" s="16" t="s">
        <v>68</v>
      </c>
    </row>
    <row r="2543">
      <c r="A2543" s="1" t="s">
        <v>3463</v>
      </c>
      <c r="B2543" s="15">
        <f>+917499846057</f>
        <v>917499846057</v>
      </c>
      <c r="C2543" s="15" t="str">
        <f t="shared" si="1"/>
        <v>saisiddha81@gmail.com917499846057</v>
      </c>
      <c r="D2543" s="16" t="s">
        <v>9673</v>
      </c>
      <c r="E2543" s="16" t="s">
        <v>68</v>
      </c>
    </row>
    <row r="2544">
      <c r="A2544" s="1" t="s">
        <v>6632</v>
      </c>
      <c r="B2544" s="15">
        <f t="shared" ref="B2544:B2545" si="328">+919911961961</f>
        <v>919911961961</v>
      </c>
      <c r="C2544" s="15" t="str">
        <f t="shared" si="1"/>
        <v>lalitkdhingrag394@gmail.com919911961961</v>
      </c>
      <c r="D2544" s="16" t="s">
        <v>9674</v>
      </c>
      <c r="E2544" s="16" t="s">
        <v>151</v>
      </c>
    </row>
    <row r="2545">
      <c r="A2545" s="1" t="s">
        <v>6632</v>
      </c>
      <c r="B2545" s="15">
        <f t="shared" si="328"/>
        <v>919911961961</v>
      </c>
      <c r="C2545" s="15" t="str">
        <f t="shared" si="1"/>
        <v>lalitkdhingrag394@gmail.com919911961961</v>
      </c>
      <c r="D2545" s="16" t="s">
        <v>9675</v>
      </c>
      <c r="E2545" s="16" t="s">
        <v>68</v>
      </c>
    </row>
    <row r="2546">
      <c r="A2546" s="1" t="s">
        <v>4168</v>
      </c>
      <c r="B2546" s="15">
        <f>+918618147273</f>
        <v>918618147273</v>
      </c>
      <c r="C2546" s="15" t="str">
        <f t="shared" si="1"/>
        <v>venisa20@gmail.com918618147273</v>
      </c>
      <c r="D2546" s="16" t="s">
        <v>9676</v>
      </c>
      <c r="E2546" s="16" t="s">
        <v>74</v>
      </c>
    </row>
    <row r="2547">
      <c r="A2547" s="1" t="s">
        <v>9538</v>
      </c>
      <c r="B2547" s="15">
        <f>+918899584562</f>
        <v>918899584562</v>
      </c>
      <c r="C2547" s="15" t="str">
        <f t="shared" si="1"/>
        <v>dipikkammahajan@gmail.com918899584562</v>
      </c>
      <c r="D2547" s="16" t="s">
        <v>9677</v>
      </c>
      <c r="E2547" s="16" t="s">
        <v>68</v>
      </c>
    </row>
    <row r="2548">
      <c r="A2548" s="1" t="s">
        <v>4320</v>
      </c>
      <c r="B2548" s="15">
        <f>+919512999943</f>
        <v>919512999943</v>
      </c>
      <c r="C2548" s="15" t="str">
        <f t="shared" si="1"/>
        <v>dhaval.chandaranaaz@gmail.com919512999943</v>
      </c>
      <c r="D2548" s="16" t="s">
        <v>9678</v>
      </c>
      <c r="E2548" s="16" t="s">
        <v>68</v>
      </c>
    </row>
    <row r="2549">
      <c r="A2549" s="1" t="s">
        <v>3797</v>
      </c>
      <c r="B2549" s="15">
        <f t="shared" ref="B2549:B2550" si="329">+919997047397</f>
        <v>919997047397</v>
      </c>
      <c r="C2549" s="15" t="str">
        <f t="shared" si="1"/>
        <v>gautamr082@gmail.com919997047397</v>
      </c>
      <c r="D2549" s="16" t="s">
        <v>9679</v>
      </c>
      <c r="E2549" s="16" t="s">
        <v>74</v>
      </c>
    </row>
    <row r="2550">
      <c r="A2550" s="1" t="s">
        <v>3797</v>
      </c>
      <c r="B2550" s="15">
        <f t="shared" si="329"/>
        <v>919997047397</v>
      </c>
      <c r="C2550" s="15" t="str">
        <f t="shared" si="1"/>
        <v>gautamr082@gmail.com919997047397</v>
      </c>
      <c r="D2550" s="16" t="s">
        <v>9680</v>
      </c>
      <c r="E2550" s="16" t="s">
        <v>74</v>
      </c>
    </row>
    <row r="2551">
      <c r="A2551" s="1" t="s">
        <v>3465</v>
      </c>
      <c r="B2551" s="15">
        <f>+918882330659</f>
        <v>918882330659</v>
      </c>
      <c r="C2551" s="15" t="str">
        <f t="shared" si="1"/>
        <v>jyotsna077@gmail.com918882330659</v>
      </c>
      <c r="D2551" s="16" t="s">
        <v>9681</v>
      </c>
      <c r="E2551" s="16" t="s">
        <v>68</v>
      </c>
    </row>
    <row r="2552">
      <c r="A2552" s="1" t="s">
        <v>2527</v>
      </c>
      <c r="B2552" s="15">
        <f>+919733311678</f>
        <v>919733311678</v>
      </c>
      <c r="C2552" s="15" t="str">
        <f t="shared" si="1"/>
        <v>akkcrusier@gmail.com919733311678</v>
      </c>
      <c r="D2552" s="16" t="s">
        <v>9682</v>
      </c>
      <c r="E2552" s="16" t="s">
        <v>68</v>
      </c>
    </row>
    <row r="2553">
      <c r="A2553" s="1" t="s">
        <v>6611</v>
      </c>
      <c r="B2553" s="15">
        <f>+919953782400</f>
        <v>919953782400</v>
      </c>
      <c r="C2553" s="15" t="str">
        <f t="shared" si="1"/>
        <v>mamtagodigital@gmail.com919953782400</v>
      </c>
      <c r="D2553" s="16" t="s">
        <v>9683</v>
      </c>
      <c r="E2553" s="16" t="s">
        <v>74</v>
      </c>
    </row>
    <row r="2554">
      <c r="A2554" s="1" t="s">
        <v>6634</v>
      </c>
      <c r="B2554" s="15">
        <f>+919096681194</f>
        <v>919096681194</v>
      </c>
      <c r="C2554" s="15" t="str">
        <f t="shared" si="1"/>
        <v>shraddha.ish@gmail.com919096681194</v>
      </c>
      <c r="D2554" s="16" t="s">
        <v>9684</v>
      </c>
      <c r="E2554" s="16" t="s">
        <v>68</v>
      </c>
    </row>
    <row r="2555">
      <c r="A2555" s="1" t="s">
        <v>5529</v>
      </c>
      <c r="B2555" s="15">
        <f>+917009427457</f>
        <v>917009427457</v>
      </c>
      <c r="C2555" s="15" t="str">
        <f t="shared" si="1"/>
        <v>englishwithjasmeet@gmail.com917009427457</v>
      </c>
      <c r="D2555" s="16" t="s">
        <v>9685</v>
      </c>
      <c r="E2555" s="16" t="s">
        <v>68</v>
      </c>
    </row>
    <row r="2556">
      <c r="A2556" s="1" t="s">
        <v>6176</v>
      </c>
      <c r="B2556" s="15">
        <f>+919819101704</f>
        <v>919819101704</v>
      </c>
      <c r="C2556" s="15" t="str">
        <f t="shared" si="1"/>
        <v>chriselle.dsouza@gmail.com919819101704</v>
      </c>
      <c r="D2556" s="16" t="s">
        <v>9686</v>
      </c>
      <c r="E2556" s="16" t="s">
        <v>68</v>
      </c>
    </row>
    <row r="2557">
      <c r="A2557" s="1" t="s">
        <v>3467</v>
      </c>
      <c r="B2557" s="15">
        <f>+917908815346</f>
        <v>917908815346</v>
      </c>
      <c r="C2557" s="15" t="str">
        <f t="shared" si="1"/>
        <v>pritiwork1995@gmail.com917908815346</v>
      </c>
      <c r="D2557" s="16" t="s">
        <v>9687</v>
      </c>
      <c r="E2557" s="16" t="s">
        <v>68</v>
      </c>
    </row>
    <row r="2558">
      <c r="A2558" s="1" t="s">
        <v>5899</v>
      </c>
      <c r="B2558" s="15">
        <f>+919871843457</f>
        <v>919871843457</v>
      </c>
      <c r="C2558" s="15" t="str">
        <f t="shared" si="1"/>
        <v>anshu123h@gmail.com919871843457</v>
      </c>
      <c r="D2558" s="16" t="s">
        <v>9688</v>
      </c>
      <c r="E2558" s="16" t="s">
        <v>68</v>
      </c>
    </row>
    <row r="2559">
      <c r="A2559" s="1" t="s">
        <v>4170</v>
      </c>
      <c r="B2559" s="15">
        <f>+919959011870</f>
        <v>919959011870</v>
      </c>
      <c r="C2559" s="15" t="str">
        <f t="shared" si="1"/>
        <v>shruti.boddu92@gmail.com919959011870</v>
      </c>
      <c r="D2559" s="16" t="s">
        <v>9689</v>
      </c>
      <c r="E2559" s="16" t="s">
        <v>68</v>
      </c>
    </row>
    <row r="2560">
      <c r="A2560" s="1" t="s">
        <v>9690</v>
      </c>
      <c r="B2560" s="15">
        <f t="shared" ref="B2560:B2561" si="330">+919177620685</f>
        <v>919177620685</v>
      </c>
      <c r="C2560" s="15" t="str">
        <f t="shared" si="1"/>
        <v>vinish.polsani@gmail.com919177620685</v>
      </c>
      <c r="D2560" s="16" t="s">
        <v>9691</v>
      </c>
      <c r="E2560" s="16" t="s">
        <v>74</v>
      </c>
    </row>
    <row r="2561">
      <c r="A2561" s="1" t="s">
        <v>9690</v>
      </c>
      <c r="B2561" s="15">
        <f t="shared" si="330"/>
        <v>919177620685</v>
      </c>
      <c r="C2561" s="15" t="str">
        <f t="shared" si="1"/>
        <v>vinish.polsani@gmail.com919177620685</v>
      </c>
      <c r="D2561" s="16" t="s">
        <v>9692</v>
      </c>
      <c r="E2561" s="16" t="s">
        <v>74</v>
      </c>
    </row>
    <row r="2562">
      <c r="A2562" s="1" t="s">
        <v>6118</v>
      </c>
      <c r="B2562" s="15">
        <f>+919891551800</f>
        <v>919891551800</v>
      </c>
      <c r="C2562" s="15" t="str">
        <f t="shared" si="1"/>
        <v>vikaspandey0714@gmail.com919891551800</v>
      </c>
      <c r="D2562" s="16" t="s">
        <v>9693</v>
      </c>
      <c r="E2562" s="16" t="s">
        <v>68</v>
      </c>
    </row>
    <row r="2563">
      <c r="A2563" s="1" t="s">
        <v>5531</v>
      </c>
      <c r="B2563" s="15">
        <f>+919030022440</f>
        <v>919030022440</v>
      </c>
      <c r="C2563" s="15" t="str">
        <f t="shared" si="1"/>
        <v>mohammedjameel4545@gmail.com919030022440</v>
      </c>
      <c r="D2563" s="16" t="s">
        <v>9694</v>
      </c>
      <c r="E2563" s="16" t="s">
        <v>151</v>
      </c>
    </row>
    <row r="2564">
      <c r="A2564" s="1" t="s">
        <v>9695</v>
      </c>
      <c r="B2564" s="15">
        <f t="shared" ref="B2564:B2566" si="331">+919769052011</f>
        <v>919769052011</v>
      </c>
      <c r="C2564" s="15" t="str">
        <f t="shared" si="1"/>
        <v>akshayvkumarofficial@gmail.com919769052011</v>
      </c>
      <c r="D2564" s="16" t="s">
        <v>9696</v>
      </c>
      <c r="E2564" s="16" t="s">
        <v>74</v>
      </c>
    </row>
    <row r="2565">
      <c r="A2565" s="1" t="s">
        <v>9695</v>
      </c>
      <c r="B2565" s="15">
        <f t="shared" si="331"/>
        <v>919769052011</v>
      </c>
      <c r="C2565" s="15" t="str">
        <f t="shared" si="1"/>
        <v>akshayvkumarofficial@gmail.com919769052011</v>
      </c>
      <c r="D2565" s="16" t="s">
        <v>9697</v>
      </c>
      <c r="E2565" s="16" t="s">
        <v>74</v>
      </c>
    </row>
    <row r="2566">
      <c r="A2566" s="1" t="s">
        <v>9695</v>
      </c>
      <c r="B2566" s="15">
        <f t="shared" si="331"/>
        <v>919769052011</v>
      </c>
      <c r="C2566" s="15" t="str">
        <f t="shared" si="1"/>
        <v>akshayvkumarofficial@gmail.com919769052011</v>
      </c>
      <c r="D2566" s="16" t="s">
        <v>9698</v>
      </c>
      <c r="E2566" s="16" t="s">
        <v>74</v>
      </c>
    </row>
    <row r="2567">
      <c r="A2567" s="1" t="s">
        <v>4172</v>
      </c>
      <c r="B2567" s="15">
        <f>+919890829994</f>
        <v>919890829994</v>
      </c>
      <c r="C2567" s="15" t="str">
        <f t="shared" si="1"/>
        <v>manerahana@gmail.com919890829994</v>
      </c>
      <c r="D2567" s="16" t="s">
        <v>9699</v>
      </c>
      <c r="E2567" s="16" t="s">
        <v>68</v>
      </c>
    </row>
    <row r="2568">
      <c r="A2568" s="1" t="s">
        <v>9700</v>
      </c>
      <c r="B2568" s="15">
        <f>+919650807624</f>
        <v>919650807624</v>
      </c>
      <c r="C2568" s="15" t="str">
        <f t="shared" si="1"/>
        <v>baraanita54@gmail.com919650807624</v>
      </c>
      <c r="D2568" s="16" t="s">
        <v>9701</v>
      </c>
      <c r="E2568" s="16" t="s">
        <v>74</v>
      </c>
    </row>
    <row r="2569">
      <c r="A2569" s="1" t="s">
        <v>3797</v>
      </c>
      <c r="B2569" s="15">
        <f>+919997047397</f>
        <v>919997047397</v>
      </c>
      <c r="C2569" s="15" t="str">
        <f t="shared" si="1"/>
        <v>gautamr082@gmail.com919997047397</v>
      </c>
      <c r="D2569" s="16" t="s">
        <v>9702</v>
      </c>
      <c r="E2569" s="16" t="s">
        <v>74</v>
      </c>
    </row>
    <row r="2570">
      <c r="A2570" s="1" t="s">
        <v>5274</v>
      </c>
      <c r="B2570" s="15">
        <f>+919592222270</f>
        <v>919592222270</v>
      </c>
      <c r="C2570" s="15" t="str">
        <f t="shared" si="1"/>
        <v>manikmd2006@gmail.com919592222270</v>
      </c>
      <c r="D2570" s="16" t="s">
        <v>9703</v>
      </c>
      <c r="E2570" s="16" t="s">
        <v>74</v>
      </c>
    </row>
    <row r="2571">
      <c r="A2571" s="1" t="s">
        <v>4471</v>
      </c>
      <c r="B2571" s="15">
        <f>+919886892442</f>
        <v>919886892442</v>
      </c>
      <c r="C2571" s="15" t="str">
        <f t="shared" si="1"/>
        <v>shweta.sh2@gmail.com919886892442</v>
      </c>
      <c r="D2571" s="16" t="s">
        <v>9704</v>
      </c>
      <c r="E2571" s="16" t="s">
        <v>68</v>
      </c>
    </row>
    <row r="2572">
      <c r="A2572" s="1" t="s">
        <v>4379</v>
      </c>
      <c r="B2572" s="15">
        <f>+917977321930</f>
        <v>917977321930</v>
      </c>
      <c r="C2572" s="15" t="str">
        <f t="shared" si="1"/>
        <v>9kbhardwaj@gmail.com917977321930</v>
      </c>
      <c r="D2572" s="16" t="s">
        <v>9705</v>
      </c>
      <c r="E2572" s="16" t="s">
        <v>68</v>
      </c>
    </row>
    <row r="2573">
      <c r="A2573" s="1" t="s">
        <v>4706</v>
      </c>
      <c r="B2573" s="15">
        <f>+917453802176</f>
        <v>917453802176</v>
      </c>
      <c r="C2573" s="15" t="str">
        <f t="shared" si="1"/>
        <v>yuvrajgunsola7453@gmail.com917453802176</v>
      </c>
      <c r="D2573" s="16" t="s">
        <v>9706</v>
      </c>
      <c r="E2573" s="16" t="s">
        <v>97</v>
      </c>
    </row>
    <row r="2574">
      <c r="A2574" s="1" t="s">
        <v>9707</v>
      </c>
      <c r="B2574" s="15">
        <f>+917440795514</f>
        <v>917440795514</v>
      </c>
      <c r="C2574" s="15" t="str">
        <f t="shared" si="1"/>
        <v>spratiksha189@gmail.com917440795514</v>
      </c>
      <c r="D2574" s="16" t="s">
        <v>9708</v>
      </c>
      <c r="E2574" s="16" t="s">
        <v>68</v>
      </c>
    </row>
    <row r="2575">
      <c r="A2575" s="1" t="s">
        <v>4706</v>
      </c>
      <c r="B2575" s="15">
        <f>+917453802176</f>
        <v>917453802176</v>
      </c>
      <c r="C2575" s="15" t="str">
        <f t="shared" si="1"/>
        <v>yuvrajgunsola7453@gmail.com917453802176</v>
      </c>
      <c r="D2575" s="16" t="s">
        <v>9709</v>
      </c>
      <c r="E2575" s="16" t="s">
        <v>68</v>
      </c>
    </row>
    <row r="2576">
      <c r="A2576" s="1" t="s">
        <v>4704</v>
      </c>
      <c r="B2576" s="15">
        <f>+918102838388</f>
        <v>918102838388</v>
      </c>
      <c r="C2576" s="15" t="str">
        <f t="shared" si="1"/>
        <v>aimanfatma2001@gmail.com918102838388</v>
      </c>
      <c r="D2576" s="16" t="s">
        <v>9710</v>
      </c>
      <c r="E2576" s="16" t="s">
        <v>74</v>
      </c>
    </row>
    <row r="2577">
      <c r="A2577" s="1" t="s">
        <v>4706</v>
      </c>
      <c r="B2577" s="15">
        <f t="shared" ref="B2577:B2578" si="332">+917453802176</f>
        <v>917453802176</v>
      </c>
      <c r="C2577" s="15" t="str">
        <f t="shared" si="1"/>
        <v>yuvrajgunsola7453@gmail.com917453802176</v>
      </c>
      <c r="D2577" s="16" t="s">
        <v>9711</v>
      </c>
      <c r="E2577" s="16" t="s">
        <v>68</v>
      </c>
    </row>
    <row r="2578">
      <c r="A2578" s="1" t="s">
        <v>4706</v>
      </c>
      <c r="B2578" s="15">
        <f t="shared" si="332"/>
        <v>917453802176</v>
      </c>
      <c r="C2578" s="15" t="str">
        <f t="shared" si="1"/>
        <v>yuvrajgunsola7453@gmail.com917453802176</v>
      </c>
      <c r="D2578" s="16" t="s">
        <v>9712</v>
      </c>
      <c r="E2578" s="16" t="s">
        <v>68</v>
      </c>
    </row>
    <row r="2579">
      <c r="A2579" s="1" t="s">
        <v>2667</v>
      </c>
      <c r="B2579" s="15">
        <f>+918577858647</f>
        <v>918577858647</v>
      </c>
      <c r="C2579" s="15" t="str">
        <f t="shared" si="1"/>
        <v>tushangi.rastogi55@gmail.com918577858647</v>
      </c>
      <c r="D2579" s="16" t="s">
        <v>9713</v>
      </c>
      <c r="E2579" s="16" t="s">
        <v>68</v>
      </c>
    </row>
    <row r="2580">
      <c r="A2580" s="1" t="s">
        <v>4174</v>
      </c>
      <c r="B2580" s="15">
        <f>+917727017057</f>
        <v>917727017057</v>
      </c>
      <c r="C2580" s="15" t="str">
        <f t="shared" si="1"/>
        <v>kapoorharpreet19@gmail.com917727017057</v>
      </c>
      <c r="D2580" s="16" t="s">
        <v>9714</v>
      </c>
      <c r="E2580" s="16" t="s">
        <v>68</v>
      </c>
    </row>
    <row r="2581">
      <c r="A2581" s="1" t="s">
        <v>3469</v>
      </c>
      <c r="B2581" s="15">
        <f>+919090810461</f>
        <v>919090810461</v>
      </c>
      <c r="C2581" s="15" t="str">
        <f t="shared" si="1"/>
        <v>springshines11@gmail.com919090810461</v>
      </c>
      <c r="D2581" s="16" t="s">
        <v>9715</v>
      </c>
      <c r="E2581" s="16" t="s">
        <v>68</v>
      </c>
    </row>
    <row r="2582">
      <c r="A2582" s="1" t="s">
        <v>4708</v>
      </c>
      <c r="B2582" s="15">
        <f>+919863093347</f>
        <v>919863093347</v>
      </c>
      <c r="C2582" s="15" t="str">
        <f t="shared" si="1"/>
        <v>jhanvijoshi790@gmail.com919863093347</v>
      </c>
      <c r="D2582" s="16" t="s">
        <v>9716</v>
      </c>
      <c r="E2582" s="16" t="s">
        <v>68</v>
      </c>
    </row>
    <row r="2583">
      <c r="A2583" s="1" t="s">
        <v>6120</v>
      </c>
      <c r="B2583" s="15">
        <f>+917798674777</f>
        <v>917798674777</v>
      </c>
      <c r="C2583" s="15" t="str">
        <f t="shared" si="1"/>
        <v>fm.gaikwad7@gmail.com917798674777</v>
      </c>
      <c r="D2583" s="16" t="s">
        <v>9717</v>
      </c>
      <c r="E2583" s="16" t="s">
        <v>68</v>
      </c>
    </row>
    <row r="2584">
      <c r="A2584" s="1" t="s">
        <v>6345</v>
      </c>
      <c r="B2584" s="15">
        <f t="shared" ref="B2584:B2586" si="333">+918802821934</f>
        <v>918802821934</v>
      </c>
      <c r="C2584" s="15" t="str">
        <f t="shared" si="1"/>
        <v>manshavij31@gmail.com918802821934</v>
      </c>
      <c r="D2584" s="16" t="s">
        <v>9718</v>
      </c>
      <c r="E2584" s="16" t="s">
        <v>74</v>
      </c>
    </row>
    <row r="2585">
      <c r="A2585" s="1" t="s">
        <v>6345</v>
      </c>
      <c r="B2585" s="15">
        <f t="shared" si="333"/>
        <v>918802821934</v>
      </c>
      <c r="C2585" s="15" t="str">
        <f t="shared" si="1"/>
        <v>manshavij31@gmail.com918802821934</v>
      </c>
      <c r="D2585" s="16" t="s">
        <v>9719</v>
      </c>
      <c r="E2585" s="16" t="s">
        <v>68</v>
      </c>
    </row>
    <row r="2586">
      <c r="A2586" s="1" t="s">
        <v>6345</v>
      </c>
      <c r="B2586" s="15">
        <f t="shared" si="333"/>
        <v>918802821934</v>
      </c>
      <c r="C2586" s="15" t="str">
        <f t="shared" si="1"/>
        <v>manshavij31@gmail.com918802821934</v>
      </c>
      <c r="D2586" s="16" t="s">
        <v>9720</v>
      </c>
      <c r="E2586" s="16" t="s">
        <v>68</v>
      </c>
    </row>
    <row r="2587">
      <c r="A2587" s="1" t="s">
        <v>5900</v>
      </c>
      <c r="B2587" s="15">
        <f>+919819986002</f>
        <v>919819986002</v>
      </c>
      <c r="C2587" s="15" t="str">
        <f t="shared" si="1"/>
        <v>banerjeelipi121@gmail.com919819986002</v>
      </c>
      <c r="D2587" s="16" t="s">
        <v>9721</v>
      </c>
      <c r="E2587" s="16" t="s">
        <v>68</v>
      </c>
    </row>
    <row r="2588">
      <c r="A2588" s="1" t="s">
        <v>9722</v>
      </c>
      <c r="B2588" s="15">
        <f t="shared" ref="B2588:B2589" si="334">+919654996877</f>
        <v>919654996877</v>
      </c>
      <c r="C2588" s="15" t="str">
        <f t="shared" si="1"/>
        <v>smrvrma16@gmail.com919654996877</v>
      </c>
      <c r="D2588" s="16" t="s">
        <v>9723</v>
      </c>
      <c r="E2588" s="16" t="s">
        <v>74</v>
      </c>
    </row>
    <row r="2589">
      <c r="A2589" s="1" t="s">
        <v>9722</v>
      </c>
      <c r="B2589" s="15">
        <f t="shared" si="334"/>
        <v>919654996877</v>
      </c>
      <c r="C2589" s="15" t="str">
        <f t="shared" si="1"/>
        <v>smrvrma16@gmail.com919654996877</v>
      </c>
      <c r="D2589" s="16" t="s">
        <v>9724</v>
      </c>
      <c r="E2589" s="16" t="s">
        <v>74</v>
      </c>
    </row>
    <row r="2590">
      <c r="A2590" s="1" t="s">
        <v>5275</v>
      </c>
      <c r="B2590" s="15">
        <f>+919967531850</f>
        <v>919967531850</v>
      </c>
      <c r="C2590" s="15" t="str">
        <f t="shared" si="1"/>
        <v>keniajkomal@gmail.com919967531850</v>
      </c>
      <c r="D2590" s="16" t="s">
        <v>9725</v>
      </c>
      <c r="E2590" s="16" t="s">
        <v>74</v>
      </c>
    </row>
    <row r="2591">
      <c r="A2591" s="1" t="s">
        <v>6122</v>
      </c>
      <c r="B2591" s="15">
        <f>+919129198401</f>
        <v>919129198401</v>
      </c>
      <c r="C2591" s="15" t="str">
        <f t="shared" si="1"/>
        <v>sama.zafarrizvi91@gmail.com919129198401</v>
      </c>
      <c r="D2591" s="16" t="s">
        <v>9726</v>
      </c>
      <c r="E2591" s="16" t="s">
        <v>68</v>
      </c>
    </row>
    <row r="2592">
      <c r="A2592" s="1" t="s">
        <v>3124</v>
      </c>
      <c r="B2592" s="15">
        <f>+17059708485</f>
        <v>17059708485</v>
      </c>
      <c r="C2592" s="15" t="str">
        <f t="shared" si="1"/>
        <v>p.satya.nitw@gmail.com17059708485</v>
      </c>
      <c r="D2592" s="16" t="s">
        <v>9727</v>
      </c>
      <c r="E2592" s="16" t="s">
        <v>97</v>
      </c>
    </row>
    <row r="2593">
      <c r="A2593" s="1" t="s">
        <v>6165</v>
      </c>
      <c r="B2593" s="15">
        <f>+918698304666</f>
        <v>918698304666</v>
      </c>
      <c r="C2593" s="15" t="str">
        <f t="shared" si="1"/>
        <v>vivikt@gmail.com918698304666</v>
      </c>
      <c r="D2593" s="16" t="s">
        <v>9728</v>
      </c>
      <c r="E2593" s="16" t="s">
        <v>68</v>
      </c>
    </row>
    <row r="2594">
      <c r="A2594" s="1" t="s">
        <v>3799</v>
      </c>
      <c r="B2594" s="15">
        <f>+918594979580</f>
        <v>918594979580</v>
      </c>
      <c r="C2594" s="15" t="str">
        <f t="shared" si="1"/>
        <v>bapun1226@gmail.com918594979580</v>
      </c>
      <c r="D2594" s="16" t="s">
        <v>9729</v>
      </c>
      <c r="E2594" s="16" t="s">
        <v>68</v>
      </c>
    </row>
    <row r="2595">
      <c r="A2595" s="1" t="s">
        <v>6123</v>
      </c>
      <c r="B2595" s="15">
        <f t="shared" ref="B2595:B2596" si="335">+919767163150</f>
        <v>919767163150</v>
      </c>
      <c r="C2595" s="15" t="str">
        <f t="shared" si="1"/>
        <v>yash.sanjay.raghuwanshi@gmail.com919767163150</v>
      </c>
      <c r="D2595" s="16" t="s">
        <v>9730</v>
      </c>
      <c r="E2595" s="16" t="s">
        <v>68</v>
      </c>
    </row>
    <row r="2596">
      <c r="A2596" s="1" t="s">
        <v>6123</v>
      </c>
      <c r="B2596" s="15">
        <f t="shared" si="335"/>
        <v>919767163150</v>
      </c>
      <c r="C2596" s="15" t="str">
        <f t="shared" si="1"/>
        <v>yash.sanjay.raghuwanshi@gmail.com919767163150</v>
      </c>
      <c r="D2596" s="16" t="s">
        <v>9731</v>
      </c>
      <c r="E2596" s="16" t="s">
        <v>151</v>
      </c>
    </row>
    <row r="2597">
      <c r="A2597" s="1" t="s">
        <v>3915</v>
      </c>
      <c r="B2597" s="15">
        <f>+919049944521</f>
        <v>919049944521</v>
      </c>
      <c r="C2597" s="15" t="str">
        <f t="shared" si="1"/>
        <v>pratapnikam2008@gmail.com919049944521</v>
      </c>
      <c r="D2597" s="16" t="s">
        <v>9732</v>
      </c>
      <c r="E2597" s="16" t="s">
        <v>68</v>
      </c>
    </row>
    <row r="2598">
      <c r="A2598" s="1" t="s">
        <v>6123</v>
      </c>
      <c r="B2598" s="15">
        <f>+919767163150</f>
        <v>919767163150</v>
      </c>
      <c r="C2598" s="15" t="str">
        <f t="shared" si="1"/>
        <v>yash.sanjay.raghuwanshi@gmail.com919767163150</v>
      </c>
      <c r="D2598" s="16" t="s">
        <v>9733</v>
      </c>
      <c r="E2598" s="16" t="s">
        <v>68</v>
      </c>
    </row>
    <row r="2599">
      <c r="A2599" s="1" t="s">
        <v>4710</v>
      </c>
      <c r="B2599" s="15">
        <f>+918341262636</f>
        <v>918341262636</v>
      </c>
      <c r="C2599" s="15" t="str">
        <f t="shared" si="1"/>
        <v>cakarthiksharma@gmail.com918341262636</v>
      </c>
      <c r="D2599" s="16" t="s">
        <v>9734</v>
      </c>
      <c r="E2599" s="16" t="s">
        <v>68</v>
      </c>
    </row>
    <row r="2600">
      <c r="A2600" s="1" t="s">
        <v>6636</v>
      </c>
      <c r="B2600" s="15">
        <f>+917736327966</f>
        <v>917736327966</v>
      </c>
      <c r="C2600" s="15" t="str">
        <f t="shared" si="1"/>
        <v>renjitharajeev@gmail.com917736327966</v>
      </c>
      <c r="D2600" s="16" t="s">
        <v>9735</v>
      </c>
      <c r="E2600" s="16" t="s">
        <v>151</v>
      </c>
    </row>
    <row r="2601">
      <c r="A2601" s="1" t="s">
        <v>6550</v>
      </c>
      <c r="B2601" s="15">
        <f>+917703816107</f>
        <v>917703816107</v>
      </c>
      <c r="C2601" s="15" t="str">
        <f t="shared" si="1"/>
        <v>luthra72@gmail.com917703816107</v>
      </c>
      <c r="D2601" s="16" t="s">
        <v>9736</v>
      </c>
      <c r="E2601" s="16" t="s">
        <v>74</v>
      </c>
    </row>
    <row r="2602">
      <c r="A2602" s="1" t="s">
        <v>6636</v>
      </c>
      <c r="B2602" s="15">
        <f>+917736327966</f>
        <v>917736327966</v>
      </c>
      <c r="C2602" s="15" t="str">
        <f t="shared" si="1"/>
        <v>renjitharajeev@gmail.com917736327966</v>
      </c>
      <c r="D2602" s="16" t="s">
        <v>9737</v>
      </c>
      <c r="E2602" s="16" t="s">
        <v>151</v>
      </c>
    </row>
    <row r="2603">
      <c r="A2603" s="1" t="s">
        <v>9738</v>
      </c>
      <c r="B2603" s="15">
        <f>+917508331886</f>
        <v>917508331886</v>
      </c>
      <c r="C2603" s="15" t="str">
        <f t="shared" si="1"/>
        <v>jaswinder.rr@gmail.com917508331886</v>
      </c>
      <c r="D2603" s="16" t="s">
        <v>9739</v>
      </c>
      <c r="E2603" s="16" t="s">
        <v>151</v>
      </c>
    </row>
    <row r="2604">
      <c r="A2604" s="1" t="s">
        <v>3248</v>
      </c>
      <c r="B2604" s="15">
        <f>+919167600216</f>
        <v>919167600216</v>
      </c>
      <c r="C2604" s="15" t="str">
        <f t="shared" si="1"/>
        <v>rutujanilvarna@gmail.com919167600216</v>
      </c>
      <c r="D2604" s="16" t="s">
        <v>9740</v>
      </c>
      <c r="E2604" s="16" t="s">
        <v>68</v>
      </c>
    </row>
    <row r="2605">
      <c r="A2605" s="1" t="s">
        <v>3801</v>
      </c>
      <c r="B2605" s="15">
        <f>+919010195900</f>
        <v>919010195900</v>
      </c>
      <c r="C2605" s="15" t="str">
        <f t="shared" si="1"/>
        <v>yathesh@outlook.com919010195900</v>
      </c>
      <c r="D2605" s="16" t="s">
        <v>9741</v>
      </c>
      <c r="E2605" s="16" t="s">
        <v>68</v>
      </c>
    </row>
    <row r="2606">
      <c r="A2606" s="1" t="s">
        <v>3250</v>
      </c>
      <c r="B2606" s="15">
        <f t="shared" ref="B2606:B2607" si="336">+919969798944</f>
        <v>919969798944</v>
      </c>
      <c r="C2606" s="15" t="str">
        <f t="shared" si="1"/>
        <v>mansviparmani@gmail.com919969798944</v>
      </c>
      <c r="D2606" s="16" t="s">
        <v>9742</v>
      </c>
      <c r="E2606" s="16" t="s">
        <v>68</v>
      </c>
    </row>
    <row r="2607">
      <c r="A2607" s="1" t="s">
        <v>3250</v>
      </c>
      <c r="B2607" s="15">
        <f t="shared" si="336"/>
        <v>919969798944</v>
      </c>
      <c r="C2607" s="15" t="str">
        <f t="shared" si="1"/>
        <v>mansviparmani@gmail.com919969798944</v>
      </c>
      <c r="D2607" s="16" t="s">
        <v>9743</v>
      </c>
      <c r="E2607" s="16" t="s">
        <v>68</v>
      </c>
    </row>
    <row r="2608">
      <c r="A2608" s="1" t="s">
        <v>3471</v>
      </c>
      <c r="B2608" s="15">
        <f>+918113970778</f>
        <v>918113970778</v>
      </c>
      <c r="C2608" s="15" t="str">
        <f t="shared" si="1"/>
        <v>hariajv_007@hotmail.com918113970778</v>
      </c>
      <c r="D2608" s="16" t="s">
        <v>9744</v>
      </c>
      <c r="E2608" s="16" t="s">
        <v>68</v>
      </c>
    </row>
    <row r="2609">
      <c r="A2609" s="1" t="s">
        <v>5462</v>
      </c>
      <c r="B2609" s="15">
        <f t="shared" ref="B2609:B2610" si="337">+918489174326</f>
        <v>918489174326</v>
      </c>
      <c r="C2609" s="15" t="str">
        <f t="shared" si="1"/>
        <v>deepthiannie8@gmail.com918489174326</v>
      </c>
      <c r="D2609" s="16" t="s">
        <v>9745</v>
      </c>
      <c r="E2609" s="16" t="s">
        <v>74</v>
      </c>
    </row>
    <row r="2610">
      <c r="A2610" s="1" t="s">
        <v>5462</v>
      </c>
      <c r="B2610" s="15">
        <f t="shared" si="337"/>
        <v>918489174326</v>
      </c>
      <c r="C2610" s="15" t="str">
        <f t="shared" si="1"/>
        <v>deepthiannie8@gmail.com918489174326</v>
      </c>
      <c r="D2610" s="16" t="s">
        <v>9746</v>
      </c>
      <c r="E2610" s="16" t="s">
        <v>74</v>
      </c>
    </row>
    <row r="2611">
      <c r="A2611" s="1" t="s">
        <v>6404</v>
      </c>
      <c r="B2611" s="15">
        <f>+918290748519</f>
        <v>918290748519</v>
      </c>
      <c r="C2611" s="15" t="str">
        <f t="shared" si="1"/>
        <v>mithujain7sep@gmail.com918290748519</v>
      </c>
      <c r="D2611" s="16" t="s">
        <v>9747</v>
      </c>
      <c r="E2611" s="16" t="s">
        <v>68</v>
      </c>
    </row>
    <row r="2612">
      <c r="A2612" s="1" t="s">
        <v>5462</v>
      </c>
      <c r="B2612" s="15">
        <f>+918489174326</f>
        <v>918489174326</v>
      </c>
      <c r="C2612" s="15" t="str">
        <f t="shared" si="1"/>
        <v>deepthiannie8@gmail.com918489174326</v>
      </c>
      <c r="D2612" s="16" t="s">
        <v>9748</v>
      </c>
      <c r="E2612" s="16" t="s">
        <v>74</v>
      </c>
    </row>
    <row r="2613">
      <c r="A2613" s="1" t="s">
        <v>2868</v>
      </c>
      <c r="B2613" s="15">
        <f>+919966696981</f>
        <v>919966696981</v>
      </c>
      <c r="C2613" s="15" t="str">
        <f t="shared" si="1"/>
        <v>creativefx87@gmail.com919966696981</v>
      </c>
      <c r="D2613" s="16" t="s">
        <v>9749</v>
      </c>
      <c r="E2613" s="16" t="s">
        <v>68</v>
      </c>
    </row>
    <row r="2614">
      <c r="A2614" s="1" t="s">
        <v>3126</v>
      </c>
      <c r="B2614" s="15">
        <f>+919811669336</f>
        <v>919811669336</v>
      </c>
      <c r="C2614" s="15" t="str">
        <f t="shared" si="1"/>
        <v>mehradiya20@gmail.com919811669336</v>
      </c>
      <c r="D2614" s="16" t="s">
        <v>9750</v>
      </c>
      <c r="E2614" s="16" t="s">
        <v>68</v>
      </c>
    </row>
    <row r="2615">
      <c r="A2615" s="1" t="s">
        <v>3128</v>
      </c>
      <c r="B2615" s="15">
        <f t="shared" ref="B2615:B2617" si="338">+919015142508</f>
        <v>919015142508</v>
      </c>
      <c r="C2615" s="15" t="str">
        <f t="shared" si="1"/>
        <v>anuragmal064@gmail.com919015142508</v>
      </c>
      <c r="D2615" s="16" t="s">
        <v>9751</v>
      </c>
      <c r="E2615" s="16" t="s">
        <v>68</v>
      </c>
    </row>
    <row r="2616">
      <c r="A2616" s="1" t="s">
        <v>3128</v>
      </c>
      <c r="B2616" s="15">
        <f t="shared" si="338"/>
        <v>919015142508</v>
      </c>
      <c r="C2616" s="15" t="str">
        <f t="shared" si="1"/>
        <v>anuragmal064@gmail.com919015142508</v>
      </c>
      <c r="D2616" s="16" t="s">
        <v>9752</v>
      </c>
      <c r="E2616" s="16" t="s">
        <v>68</v>
      </c>
    </row>
    <row r="2617">
      <c r="A2617" s="1" t="s">
        <v>3128</v>
      </c>
      <c r="B2617" s="15">
        <f t="shared" si="338"/>
        <v>919015142508</v>
      </c>
      <c r="C2617" s="15" t="str">
        <f t="shared" si="1"/>
        <v>anuragmal064@gmail.com919015142508</v>
      </c>
      <c r="D2617" s="16" t="s">
        <v>9753</v>
      </c>
      <c r="E2617" s="16" t="s">
        <v>68</v>
      </c>
    </row>
    <row r="2618">
      <c r="A2618" s="1" t="s">
        <v>4712</v>
      </c>
      <c r="B2618" s="15">
        <f>+918660458423</f>
        <v>918660458423</v>
      </c>
      <c r="C2618" s="15" t="str">
        <f t="shared" si="1"/>
        <v>rashme290@gmail.com918660458423</v>
      </c>
      <c r="D2618" s="16" t="s">
        <v>9754</v>
      </c>
      <c r="E2618" s="16" t="s">
        <v>68</v>
      </c>
    </row>
    <row r="2619">
      <c r="A2619" s="1" t="s">
        <v>6638</v>
      </c>
      <c r="B2619" s="15">
        <f>+918867533114</f>
        <v>918867533114</v>
      </c>
      <c r="C2619" s="15" t="str">
        <f t="shared" si="1"/>
        <v>minisha.shinde@gmail.com918867533114</v>
      </c>
      <c r="D2619" s="16" t="s">
        <v>9755</v>
      </c>
      <c r="E2619" s="16" t="s">
        <v>74</v>
      </c>
    </row>
    <row r="2620">
      <c r="A2620" s="1" t="s">
        <v>2529</v>
      </c>
      <c r="B2620" s="15">
        <f>+917983530659</f>
        <v>917983530659</v>
      </c>
      <c r="C2620" s="15" t="str">
        <f t="shared" si="1"/>
        <v>ankitkumar8941@gmail.com917983530659</v>
      </c>
      <c r="D2620" s="16" t="s">
        <v>9756</v>
      </c>
      <c r="E2620" s="16" t="s">
        <v>74</v>
      </c>
    </row>
    <row r="2621">
      <c r="A2621" s="1" t="s">
        <v>5533</v>
      </c>
      <c r="B2621" s="15">
        <f t="shared" ref="B2621:B2622" si="339">+918770424852</f>
        <v>918770424852</v>
      </c>
      <c r="C2621" s="15" t="str">
        <f t="shared" si="1"/>
        <v>kharemeenal01@gmail.com918770424852</v>
      </c>
      <c r="D2621" s="16" t="s">
        <v>9757</v>
      </c>
      <c r="E2621" s="16" t="s">
        <v>68</v>
      </c>
    </row>
    <row r="2622">
      <c r="A2622" s="1" t="s">
        <v>5533</v>
      </c>
      <c r="B2622" s="15">
        <f t="shared" si="339"/>
        <v>918770424852</v>
      </c>
      <c r="C2622" s="15" t="str">
        <f t="shared" si="1"/>
        <v>kharemeenal01@gmail.com918770424852</v>
      </c>
      <c r="D2622" s="16" t="s">
        <v>9758</v>
      </c>
      <c r="E2622" s="16" t="s">
        <v>68</v>
      </c>
    </row>
    <row r="2623">
      <c r="A2623" s="1" t="s">
        <v>6347</v>
      </c>
      <c r="B2623" s="15">
        <f>+918806670761</f>
        <v>918806670761</v>
      </c>
      <c r="C2623" s="15" t="str">
        <f t="shared" si="1"/>
        <v>bluebubbles48@gmail.com918806670761</v>
      </c>
      <c r="D2623" s="16" t="s">
        <v>9759</v>
      </c>
      <c r="E2623" s="16" t="s">
        <v>68</v>
      </c>
    </row>
    <row r="2624">
      <c r="A2624" s="1" t="s">
        <v>5902</v>
      </c>
      <c r="B2624" s="15">
        <f>+917506779872</f>
        <v>917506779872</v>
      </c>
      <c r="C2624" s="15" t="str">
        <f t="shared" si="1"/>
        <v>rohitkhandelwal21@gmail.com917506779872</v>
      </c>
      <c r="D2624" s="16" t="s">
        <v>9760</v>
      </c>
      <c r="E2624" s="16" t="s">
        <v>68</v>
      </c>
    </row>
    <row r="2625">
      <c r="A2625" s="1" t="s">
        <v>9761</v>
      </c>
      <c r="B2625" s="15">
        <f>+917995824490</f>
        <v>917995824490</v>
      </c>
      <c r="C2625" s="15" t="str">
        <f t="shared" si="1"/>
        <v>aajuua@gmail.com917995824490</v>
      </c>
      <c r="D2625" s="16" t="s">
        <v>9762</v>
      </c>
      <c r="E2625" s="16" t="s">
        <v>68</v>
      </c>
    </row>
    <row r="2626">
      <c r="A2626" s="1" t="s">
        <v>4322</v>
      </c>
      <c r="B2626" s="15">
        <f>+919483476349</f>
        <v>919483476349</v>
      </c>
      <c r="C2626" s="15" t="str">
        <f t="shared" si="1"/>
        <v>bsukrutha22@gmail.com919483476349</v>
      </c>
      <c r="D2626" s="16" t="s">
        <v>9763</v>
      </c>
      <c r="E2626" s="16" t="s">
        <v>68</v>
      </c>
    </row>
    <row r="2627">
      <c r="A2627" s="1" t="s">
        <v>6125</v>
      </c>
      <c r="B2627" s="15">
        <f>+917012771763</f>
        <v>917012771763</v>
      </c>
      <c r="C2627" s="15" t="str">
        <f t="shared" si="1"/>
        <v>pavan.p.sai@gmail.com917012771763</v>
      </c>
      <c r="D2627" s="16" t="s">
        <v>9764</v>
      </c>
      <c r="E2627" s="16" t="s">
        <v>68</v>
      </c>
    </row>
    <row r="2628">
      <c r="A2628" s="1" t="s">
        <v>5904</v>
      </c>
      <c r="B2628" s="15">
        <f>+919641503353</f>
        <v>919641503353</v>
      </c>
      <c r="C2628" s="15" t="str">
        <f t="shared" si="1"/>
        <v>aritriyabanerjee62@gmail.com919641503353</v>
      </c>
      <c r="D2628" s="16" t="s">
        <v>9765</v>
      </c>
      <c r="E2628" s="16" t="s">
        <v>68</v>
      </c>
    </row>
    <row r="2629">
      <c r="A2629" s="1" t="s">
        <v>4565</v>
      </c>
      <c r="B2629" s="15">
        <f>+919820358107</f>
        <v>919820358107</v>
      </c>
      <c r="C2629" s="15" t="str">
        <f t="shared" si="1"/>
        <v>saurabhhsingh1@gmail.com919820358107</v>
      </c>
      <c r="D2629" s="16" t="s">
        <v>9766</v>
      </c>
      <c r="E2629" s="16" t="s">
        <v>68</v>
      </c>
    </row>
    <row r="2630">
      <c r="A2630" s="1" t="s">
        <v>9767</v>
      </c>
      <c r="B2630" s="15">
        <f>+916284868615</f>
        <v>916284868615</v>
      </c>
      <c r="C2630" s="15" t="str">
        <f t="shared" si="1"/>
        <v>rajcheema911@yahoo.com916284868615</v>
      </c>
      <c r="D2630" s="16" t="s">
        <v>9768</v>
      </c>
      <c r="E2630" s="16" t="s">
        <v>68</v>
      </c>
    </row>
    <row r="2631">
      <c r="A2631" s="1" t="s">
        <v>9769</v>
      </c>
      <c r="B2631" s="15">
        <f t="shared" ref="B2631:B2633" si="340">+919389306320</f>
        <v>919389306320</v>
      </c>
      <c r="C2631" s="15" t="str">
        <f t="shared" si="1"/>
        <v>arifansaribhadohi1234@gmail.com919389306320</v>
      </c>
      <c r="D2631" s="16" t="s">
        <v>9770</v>
      </c>
      <c r="E2631" s="16" t="s">
        <v>68</v>
      </c>
    </row>
    <row r="2632">
      <c r="A2632" s="1" t="s">
        <v>9769</v>
      </c>
      <c r="B2632" s="15">
        <f t="shared" si="340"/>
        <v>919389306320</v>
      </c>
      <c r="C2632" s="15" t="str">
        <f t="shared" si="1"/>
        <v>arifansaribhadohi1234@gmail.com919389306320</v>
      </c>
      <c r="D2632" s="16" t="s">
        <v>9771</v>
      </c>
      <c r="E2632" s="16" t="s">
        <v>68</v>
      </c>
    </row>
    <row r="2633">
      <c r="A2633" s="1" t="s">
        <v>9769</v>
      </c>
      <c r="B2633" s="15">
        <f t="shared" si="340"/>
        <v>919389306320</v>
      </c>
      <c r="C2633" s="15" t="str">
        <f t="shared" si="1"/>
        <v>arifansaribhadohi1234@gmail.com919389306320</v>
      </c>
      <c r="D2633" s="16" t="s">
        <v>9772</v>
      </c>
      <c r="E2633" s="16" t="s">
        <v>68</v>
      </c>
    </row>
    <row r="2634">
      <c r="A2634" s="1" t="s">
        <v>9773</v>
      </c>
      <c r="B2634" s="15">
        <f>+917010201235</f>
        <v>917010201235</v>
      </c>
      <c r="C2634" s="15" t="str">
        <f t="shared" si="1"/>
        <v>rishabhanandinfo@gmail.com917010201235</v>
      </c>
      <c r="D2634" s="16" t="s">
        <v>9774</v>
      </c>
      <c r="E2634" s="16" t="s">
        <v>68</v>
      </c>
    </row>
    <row r="2635">
      <c r="A2635" s="1" t="s">
        <v>3803</v>
      </c>
      <c r="B2635" s="15">
        <f>+918792094347</f>
        <v>918792094347</v>
      </c>
      <c r="C2635" s="15" t="str">
        <f t="shared" si="1"/>
        <v>vineet675@gmail.com918792094347</v>
      </c>
      <c r="D2635" s="16" t="s">
        <v>9775</v>
      </c>
      <c r="E2635" s="16" t="s">
        <v>68</v>
      </c>
    </row>
    <row r="2636">
      <c r="A2636" s="1" t="s">
        <v>6127</v>
      </c>
      <c r="B2636" s="15">
        <f>+919867587387</f>
        <v>919867587387</v>
      </c>
      <c r="C2636" s="15" t="str">
        <f t="shared" si="1"/>
        <v>darpanjoshi263@gmail.com919867587387</v>
      </c>
      <c r="D2636" s="16" t="s">
        <v>9776</v>
      </c>
      <c r="E2636" s="16" t="s">
        <v>68</v>
      </c>
    </row>
    <row r="2637">
      <c r="A2637" s="1" t="s">
        <v>431</v>
      </c>
      <c r="B2637" s="15">
        <f>+919912636113</f>
        <v>919912636113</v>
      </c>
      <c r="C2637" s="15" t="str">
        <f t="shared" si="1"/>
        <v>lakshmimadeti23@gmail.com919912636113</v>
      </c>
      <c r="D2637" s="16" t="s">
        <v>9777</v>
      </c>
      <c r="E2637" s="16" t="s">
        <v>68</v>
      </c>
    </row>
    <row r="2638">
      <c r="A2638" s="1" t="s">
        <v>3805</v>
      </c>
      <c r="B2638" s="15">
        <f>+919030008242</f>
        <v>919030008242</v>
      </c>
      <c r="C2638" s="15" t="str">
        <f t="shared" si="1"/>
        <v>ashok.crt@gmail.com919030008242</v>
      </c>
      <c r="D2638" s="16" t="s">
        <v>9778</v>
      </c>
      <c r="E2638" s="16" t="s">
        <v>68</v>
      </c>
    </row>
    <row r="2639">
      <c r="A2639" s="1" t="s">
        <v>9779</v>
      </c>
      <c r="B2639" s="15">
        <f>+919958323910</f>
        <v>919958323910</v>
      </c>
      <c r="C2639" s="15" t="str">
        <f t="shared" si="1"/>
        <v>ved1990@gmail.com919958323910</v>
      </c>
      <c r="D2639" s="16" t="s">
        <v>9780</v>
      </c>
      <c r="E2639" s="16" t="s">
        <v>74</v>
      </c>
    </row>
    <row r="2640">
      <c r="A2640" s="1" t="s">
        <v>4473</v>
      </c>
      <c r="B2640" s="15">
        <f>+919029641041</f>
        <v>919029641041</v>
      </c>
      <c r="C2640" s="15" t="str">
        <f t="shared" si="1"/>
        <v>ashakale9893@gmail.com919029641041</v>
      </c>
      <c r="D2640" s="16" t="s">
        <v>9781</v>
      </c>
      <c r="E2640" s="16" t="s">
        <v>68</v>
      </c>
    </row>
    <row r="2641">
      <c r="A2641" s="1" t="s">
        <v>4475</v>
      </c>
      <c r="B2641" s="15">
        <f>+919892964482</f>
        <v>919892964482</v>
      </c>
      <c r="C2641" s="15" t="str">
        <f t="shared" si="1"/>
        <v>minalloke@gmail.com919892964482</v>
      </c>
      <c r="D2641" s="16" t="s">
        <v>9782</v>
      </c>
      <c r="E2641" s="16" t="s">
        <v>68</v>
      </c>
    </row>
    <row r="2642">
      <c r="A2642" s="1" t="s">
        <v>5906</v>
      </c>
      <c r="B2642" s="15">
        <f>+919840188430</f>
        <v>919840188430</v>
      </c>
      <c r="C2642" s="15" t="str">
        <f t="shared" si="1"/>
        <v>mantrayatra@gmail.com919840188430</v>
      </c>
      <c r="D2642" s="16" t="s">
        <v>9783</v>
      </c>
      <c r="E2642" s="16" t="s">
        <v>74</v>
      </c>
    </row>
    <row r="2643">
      <c r="A2643" s="1" t="s">
        <v>4714</v>
      </c>
      <c r="B2643" s="15">
        <f>+919834321467</f>
        <v>919834321467</v>
      </c>
      <c r="C2643" s="15" t="str">
        <f t="shared" si="1"/>
        <v>sheetal240024@gmail.com919834321467</v>
      </c>
      <c r="D2643" s="16" t="s">
        <v>9784</v>
      </c>
      <c r="E2643" s="16" t="s">
        <v>68</v>
      </c>
    </row>
    <row r="2644">
      <c r="A2644" s="1" t="s">
        <v>2531</v>
      </c>
      <c r="B2644" s="15">
        <f t="shared" ref="B2644:B2645" si="341">+917002359932</f>
        <v>917002359932</v>
      </c>
      <c r="C2644" s="15" t="str">
        <f t="shared" si="1"/>
        <v>ddas2172@gmail.com917002359932</v>
      </c>
      <c r="D2644" s="16" t="s">
        <v>9785</v>
      </c>
      <c r="E2644" s="16" t="s">
        <v>68</v>
      </c>
    </row>
    <row r="2645">
      <c r="A2645" s="1" t="s">
        <v>2531</v>
      </c>
      <c r="B2645" s="15">
        <f t="shared" si="341"/>
        <v>917002359932</v>
      </c>
      <c r="C2645" s="15" t="str">
        <f t="shared" si="1"/>
        <v>ddas2172@gmail.com917002359932</v>
      </c>
      <c r="D2645" s="16" t="s">
        <v>9786</v>
      </c>
      <c r="E2645" s="16" t="s">
        <v>68</v>
      </c>
    </row>
    <row r="2646">
      <c r="A2646" s="1" t="s">
        <v>6130</v>
      </c>
      <c r="B2646" s="15">
        <f>+919566909115</f>
        <v>919566909115</v>
      </c>
      <c r="C2646" s="15" t="str">
        <f t="shared" si="1"/>
        <v>prasannasg2691@gmail.com919566909115</v>
      </c>
      <c r="D2646" s="16" t="s">
        <v>9787</v>
      </c>
      <c r="E2646" s="16" t="s">
        <v>68</v>
      </c>
    </row>
    <row r="2647">
      <c r="A2647" s="1" t="s">
        <v>9788</v>
      </c>
      <c r="B2647" s="15">
        <f>+919557758798</f>
        <v>919557758798</v>
      </c>
      <c r="C2647" s="15" t="str">
        <f t="shared" si="1"/>
        <v>aditya.raj2994@gmail.com919557758798</v>
      </c>
      <c r="D2647" s="16" t="s">
        <v>9789</v>
      </c>
      <c r="E2647" s="16" t="s">
        <v>68</v>
      </c>
    </row>
    <row r="2648">
      <c r="A2648" s="1" t="s">
        <v>6132</v>
      </c>
      <c r="B2648" s="15">
        <f>+919327210002</f>
        <v>919327210002</v>
      </c>
      <c r="C2648" s="15" t="str">
        <f t="shared" si="1"/>
        <v>rtdodhiawala@gmail.com919327210002</v>
      </c>
      <c r="D2648" s="16" t="s">
        <v>9790</v>
      </c>
      <c r="E2648" s="16" t="s">
        <v>74</v>
      </c>
    </row>
    <row r="2649">
      <c r="A2649" s="1" t="s">
        <v>3473</v>
      </c>
      <c r="B2649" s="15">
        <f>+919880578819</f>
        <v>919880578819</v>
      </c>
      <c r="C2649" s="15" t="str">
        <f t="shared" si="1"/>
        <v>khanhamujahid@gmail.com919880578819</v>
      </c>
      <c r="D2649" s="16" t="s">
        <v>9791</v>
      </c>
      <c r="E2649" s="16" t="s">
        <v>68</v>
      </c>
    </row>
    <row r="2650">
      <c r="A2650" s="1" t="s">
        <v>3475</v>
      </c>
      <c r="B2650" s="15">
        <f>+916397591198</f>
        <v>916397591198</v>
      </c>
      <c r="C2650" s="15" t="str">
        <f t="shared" si="1"/>
        <v>sarathlearner@gmail.com916397591198</v>
      </c>
      <c r="D2650" s="16" t="s">
        <v>9792</v>
      </c>
      <c r="E2650" s="16" t="s">
        <v>97</v>
      </c>
    </row>
    <row r="2651">
      <c r="A2651" s="1" t="s">
        <v>2669</v>
      </c>
      <c r="B2651" s="15">
        <f t="shared" ref="B2651:B2653" si="342">+917827370482</f>
        <v>917827370482</v>
      </c>
      <c r="C2651" s="15" t="str">
        <f t="shared" si="1"/>
        <v>mail.jainsunayana@gmail.com917827370482</v>
      </c>
      <c r="D2651" s="16" t="s">
        <v>9793</v>
      </c>
      <c r="E2651" s="16" t="s">
        <v>68</v>
      </c>
    </row>
    <row r="2652">
      <c r="A2652" s="1" t="s">
        <v>2669</v>
      </c>
      <c r="B2652" s="15">
        <f t="shared" si="342"/>
        <v>917827370482</v>
      </c>
      <c r="C2652" s="15" t="str">
        <f t="shared" si="1"/>
        <v>mail.jainsunayana@gmail.com917827370482</v>
      </c>
      <c r="D2652" s="16" t="s">
        <v>9794</v>
      </c>
      <c r="E2652" s="16" t="s">
        <v>68</v>
      </c>
    </row>
    <row r="2653">
      <c r="A2653" s="1" t="s">
        <v>2669</v>
      </c>
      <c r="B2653" s="15">
        <f t="shared" si="342"/>
        <v>917827370482</v>
      </c>
      <c r="C2653" s="15" t="str">
        <f t="shared" si="1"/>
        <v>mail.jainsunayana@gmail.com917827370482</v>
      </c>
      <c r="D2653" s="16" t="s">
        <v>9795</v>
      </c>
      <c r="E2653" s="16" t="s">
        <v>68</v>
      </c>
    </row>
    <row r="2654">
      <c r="A2654" s="1" t="s">
        <v>6134</v>
      </c>
      <c r="B2654" s="15">
        <f t="shared" ref="B2654:B2655" si="343">+919811848470</f>
        <v>919811848470</v>
      </c>
      <c r="C2654" s="15" t="str">
        <f t="shared" si="1"/>
        <v>shrutigupta2912@gmail.com919811848470</v>
      </c>
      <c r="D2654" s="16" t="s">
        <v>9796</v>
      </c>
      <c r="E2654" s="16" t="s">
        <v>151</v>
      </c>
    </row>
    <row r="2655">
      <c r="A2655" s="1" t="s">
        <v>6134</v>
      </c>
      <c r="B2655" s="15">
        <f t="shared" si="343"/>
        <v>919811848470</v>
      </c>
      <c r="C2655" s="15" t="str">
        <f t="shared" si="1"/>
        <v>shrutigupta2912@gmail.com919811848470</v>
      </c>
      <c r="D2655" s="16" t="s">
        <v>9797</v>
      </c>
      <c r="E2655" s="16" t="s">
        <v>151</v>
      </c>
    </row>
    <row r="2656">
      <c r="A2656" s="1" t="s">
        <v>4716</v>
      </c>
      <c r="B2656" s="15">
        <f>+916000685506</f>
        <v>916000685506</v>
      </c>
      <c r="C2656" s="15" t="str">
        <f t="shared" si="1"/>
        <v>english@joshtalks.com916000685506</v>
      </c>
      <c r="D2656" s="16" t="s">
        <v>9798</v>
      </c>
      <c r="E2656" s="16" t="s">
        <v>74</v>
      </c>
    </row>
    <row r="2657">
      <c r="A2657" s="1" t="s">
        <v>6134</v>
      </c>
      <c r="B2657" s="15">
        <f t="shared" ref="B2657:B2658" si="344">+919811848470</f>
        <v>919811848470</v>
      </c>
      <c r="C2657" s="15" t="str">
        <f t="shared" si="1"/>
        <v>shrutigupta2912@gmail.com919811848470</v>
      </c>
      <c r="D2657" s="16" t="s">
        <v>9799</v>
      </c>
      <c r="E2657" s="16" t="s">
        <v>68</v>
      </c>
    </row>
    <row r="2658">
      <c r="A2658" s="1" t="s">
        <v>6134</v>
      </c>
      <c r="B2658" s="15">
        <f t="shared" si="344"/>
        <v>919811848470</v>
      </c>
      <c r="C2658" s="15" t="str">
        <f t="shared" si="1"/>
        <v>shrutigupta2912@gmail.com919811848470</v>
      </c>
      <c r="D2658" s="16" t="s">
        <v>9800</v>
      </c>
      <c r="E2658" s="16" t="s">
        <v>68</v>
      </c>
    </row>
    <row r="2659">
      <c r="A2659" s="1" t="s">
        <v>4176</v>
      </c>
      <c r="B2659" s="15">
        <f>+919582791304</f>
        <v>919582791304</v>
      </c>
      <c r="C2659" s="15" t="str">
        <f t="shared" si="1"/>
        <v>nirbhikasachdev22@gmail.com919582791304</v>
      </c>
      <c r="D2659" s="16" t="s">
        <v>9801</v>
      </c>
      <c r="E2659" s="16" t="s">
        <v>68</v>
      </c>
    </row>
    <row r="2660">
      <c r="A2660" s="1" t="s">
        <v>9802</v>
      </c>
      <c r="B2660" s="15">
        <f>+919869528993</f>
        <v>919869528993</v>
      </c>
      <c r="C2660" s="15" t="str">
        <f t="shared" si="1"/>
        <v>mahesh.d1988@gmail.com919869528993</v>
      </c>
      <c r="D2660" s="16" t="s">
        <v>9803</v>
      </c>
      <c r="E2660" s="16" t="s">
        <v>74</v>
      </c>
    </row>
    <row r="2661">
      <c r="A2661" s="1" t="s">
        <v>4718</v>
      </c>
      <c r="B2661" s="15">
        <f>+917271850860</f>
        <v>917271850860</v>
      </c>
      <c r="C2661" s="15" t="str">
        <f t="shared" si="1"/>
        <v>nishantsingh10081008@gmail.com917271850860</v>
      </c>
      <c r="D2661" s="16" t="s">
        <v>9804</v>
      </c>
      <c r="E2661" s="16" t="s">
        <v>68</v>
      </c>
    </row>
    <row r="2662">
      <c r="A2662" s="1" t="s">
        <v>9805</v>
      </c>
      <c r="B2662" s="15">
        <f>+917010253379</f>
        <v>917010253379</v>
      </c>
      <c r="C2662" s="15" t="str">
        <f t="shared" si="1"/>
        <v>vijayasundari2518@gmail.com917010253379</v>
      </c>
      <c r="D2662" s="16" t="s">
        <v>9806</v>
      </c>
      <c r="E2662" s="16" t="s">
        <v>151</v>
      </c>
    </row>
    <row r="2663">
      <c r="A2663" s="1" t="s">
        <v>4477</v>
      </c>
      <c r="B2663" s="15">
        <f>+918762135339</f>
        <v>918762135339</v>
      </c>
      <c r="C2663" s="15" t="str">
        <f t="shared" si="1"/>
        <v>bhajan920@gmail.com918762135339</v>
      </c>
      <c r="D2663" s="16" t="s">
        <v>9807</v>
      </c>
      <c r="E2663" s="16" t="s">
        <v>68</v>
      </c>
    </row>
    <row r="2664">
      <c r="A2664" s="1" t="s">
        <v>9808</v>
      </c>
      <c r="B2664" s="15">
        <f>+919064489228</f>
        <v>919064489228</v>
      </c>
      <c r="C2664" s="15" t="str">
        <f t="shared" si="1"/>
        <v>annewashas@gmail.com919064489228</v>
      </c>
      <c r="D2664" s="16" t="s">
        <v>9809</v>
      </c>
      <c r="E2664" s="16" t="s">
        <v>151</v>
      </c>
    </row>
    <row r="2665">
      <c r="A2665" s="1" t="s">
        <v>4324</v>
      </c>
      <c r="B2665" s="15">
        <f>+918143336534</f>
        <v>918143336534</v>
      </c>
      <c r="C2665" s="15" t="str">
        <f t="shared" si="1"/>
        <v>chaitanyakuppala12@gmail.com918143336534</v>
      </c>
      <c r="D2665" s="16" t="s">
        <v>9810</v>
      </c>
      <c r="E2665" s="16" t="s">
        <v>68</v>
      </c>
    </row>
    <row r="2666">
      <c r="A2666" s="1" t="s">
        <v>9811</v>
      </c>
      <c r="B2666" s="15">
        <f>+919774784294</f>
        <v>919774784294</v>
      </c>
      <c r="C2666" s="15" t="str">
        <f t="shared" si="1"/>
        <v>numatai500@gmail.com919774784294</v>
      </c>
      <c r="D2666" s="16" t="s">
        <v>9812</v>
      </c>
      <c r="E2666" s="16" t="s">
        <v>68</v>
      </c>
    </row>
    <row r="2667">
      <c r="A2667" s="1" t="s">
        <v>9811</v>
      </c>
      <c r="B2667" s="15">
        <f>+919436272677</f>
        <v>919436272677</v>
      </c>
      <c r="C2667" s="15" t="str">
        <f t="shared" si="1"/>
        <v>numatai500@gmail.com919436272677</v>
      </c>
      <c r="D2667" s="16" t="s">
        <v>9813</v>
      </c>
      <c r="E2667" s="16" t="s">
        <v>68</v>
      </c>
    </row>
    <row r="2668">
      <c r="A2668" s="1" t="s">
        <v>9814</v>
      </c>
      <c r="B2668" s="15">
        <f>+919716551633</f>
        <v>919716551633</v>
      </c>
      <c r="C2668" s="15" t="str">
        <f t="shared" si="1"/>
        <v>anandabc@gmail.com919716551633</v>
      </c>
      <c r="D2668" s="16" t="s">
        <v>9815</v>
      </c>
      <c r="E2668" s="16" t="s">
        <v>151</v>
      </c>
    </row>
    <row r="2669">
      <c r="A2669" s="1" t="s">
        <v>9811</v>
      </c>
      <c r="B2669" s="15">
        <f t="shared" ref="B2669:B2670" si="345">+919436272677</f>
        <v>919436272677</v>
      </c>
      <c r="C2669" s="15" t="str">
        <f t="shared" si="1"/>
        <v>numatai500@gmail.com919436272677</v>
      </c>
      <c r="D2669" s="16" t="s">
        <v>9816</v>
      </c>
      <c r="E2669" s="16" t="s">
        <v>68</v>
      </c>
    </row>
    <row r="2670">
      <c r="A2670" s="1" t="s">
        <v>9811</v>
      </c>
      <c r="B2670" s="15">
        <f t="shared" si="345"/>
        <v>919436272677</v>
      </c>
      <c r="C2670" s="15" t="str">
        <f t="shared" si="1"/>
        <v>numatai500@gmail.com919436272677</v>
      </c>
      <c r="D2670" s="16" t="s">
        <v>9817</v>
      </c>
      <c r="E2670" s="16" t="s">
        <v>68</v>
      </c>
    </row>
    <row r="2671">
      <c r="A2671" s="1" t="s">
        <v>9811</v>
      </c>
      <c r="B2671" s="15">
        <f>+919774784294</f>
        <v>919774784294</v>
      </c>
      <c r="C2671" s="15" t="str">
        <f t="shared" si="1"/>
        <v>numatai500@gmail.com919774784294</v>
      </c>
      <c r="D2671" s="16" t="s">
        <v>9818</v>
      </c>
      <c r="E2671" s="16" t="s">
        <v>68</v>
      </c>
    </row>
    <row r="2672">
      <c r="A2672" s="1" t="s">
        <v>2671</v>
      </c>
      <c r="B2672" s="15">
        <f>+919892480654</f>
        <v>919892480654</v>
      </c>
      <c r="C2672" s="15" t="str">
        <f t="shared" si="1"/>
        <v>svetlanadcosta17@gmail.com919892480654</v>
      </c>
      <c r="D2672" s="16" t="s">
        <v>9819</v>
      </c>
      <c r="E2672" s="16" t="s">
        <v>68</v>
      </c>
    </row>
    <row r="2673">
      <c r="A2673" s="1" t="s">
        <v>6613</v>
      </c>
      <c r="B2673" s="15">
        <f>+918847410224</f>
        <v>918847410224</v>
      </c>
      <c r="C2673" s="15" t="str">
        <f t="shared" si="1"/>
        <v>greatword18@gmail.com918847410224</v>
      </c>
      <c r="D2673" s="16" t="s">
        <v>9820</v>
      </c>
      <c r="E2673" s="16" t="s">
        <v>68</v>
      </c>
    </row>
    <row r="2674">
      <c r="A2674" s="1" t="s">
        <v>4178</v>
      </c>
      <c r="B2674" s="15">
        <f>+917071534761</f>
        <v>917071534761</v>
      </c>
      <c r="C2674" s="15" t="str">
        <f t="shared" si="1"/>
        <v>mohdabuzar465@gmail.com917071534761</v>
      </c>
      <c r="D2674" s="16" t="s">
        <v>9821</v>
      </c>
      <c r="E2674" s="16" t="s">
        <v>68</v>
      </c>
    </row>
    <row r="2675">
      <c r="A2675" s="1" t="s">
        <v>5908</v>
      </c>
      <c r="B2675" s="15">
        <f>+919582829303</f>
        <v>919582829303</v>
      </c>
      <c r="C2675" s="15" t="str">
        <f t="shared" si="1"/>
        <v>vijaynareshs272@gmail.com919582829303</v>
      </c>
      <c r="D2675" s="16" t="s">
        <v>9822</v>
      </c>
      <c r="E2675" s="16" t="s">
        <v>68</v>
      </c>
    </row>
    <row r="2676">
      <c r="A2676" s="1" t="s">
        <v>9823</v>
      </c>
      <c r="B2676" s="15">
        <f>+919825422020</f>
        <v>919825422020</v>
      </c>
      <c r="C2676" s="15" t="str">
        <f t="shared" si="1"/>
        <v>rita.katiya2014@gmail.com919825422020</v>
      </c>
      <c r="D2676" s="16" t="s">
        <v>9824</v>
      </c>
      <c r="E2676" s="16" t="s">
        <v>151</v>
      </c>
    </row>
    <row r="2677">
      <c r="A2677" s="1" t="s">
        <v>5035</v>
      </c>
      <c r="B2677" s="15">
        <f t="shared" ref="B2677:B2678" si="346">+917012811961</f>
        <v>917012811961</v>
      </c>
      <c r="C2677" s="15" t="str">
        <f t="shared" si="1"/>
        <v>parvathyk285@gmail.com917012811961</v>
      </c>
      <c r="D2677" s="16" t="s">
        <v>9825</v>
      </c>
      <c r="E2677" s="16" t="s">
        <v>68</v>
      </c>
    </row>
    <row r="2678">
      <c r="A2678" s="1" t="s">
        <v>5035</v>
      </c>
      <c r="B2678" s="15">
        <f t="shared" si="346"/>
        <v>917012811961</v>
      </c>
      <c r="C2678" s="15" t="str">
        <f t="shared" si="1"/>
        <v>parvathyk285@gmail.com917012811961</v>
      </c>
      <c r="D2678" s="16" t="s">
        <v>9826</v>
      </c>
      <c r="E2678" s="16" t="s">
        <v>68</v>
      </c>
    </row>
    <row r="2679">
      <c r="A2679" s="1" t="s">
        <v>3917</v>
      </c>
      <c r="B2679" s="15">
        <f t="shared" ref="B2679:B2681" si="347">+918147600700</f>
        <v>918147600700</v>
      </c>
      <c r="C2679" s="15" t="str">
        <f t="shared" si="1"/>
        <v>chakri.junna@gmail.com918147600700</v>
      </c>
      <c r="D2679" s="16" t="s">
        <v>9827</v>
      </c>
      <c r="E2679" s="16" t="s">
        <v>68</v>
      </c>
    </row>
    <row r="2680">
      <c r="A2680" s="1" t="s">
        <v>3917</v>
      </c>
      <c r="B2680" s="15">
        <f t="shared" si="347"/>
        <v>918147600700</v>
      </c>
      <c r="C2680" s="15" t="str">
        <f t="shared" si="1"/>
        <v>chakri.junna@gmail.com918147600700</v>
      </c>
      <c r="D2680" s="16" t="s">
        <v>9828</v>
      </c>
      <c r="E2680" s="16" t="s">
        <v>68</v>
      </c>
    </row>
    <row r="2681">
      <c r="A2681" s="1" t="s">
        <v>3917</v>
      </c>
      <c r="B2681" s="15">
        <f t="shared" si="347"/>
        <v>918147600700</v>
      </c>
      <c r="C2681" s="15" t="str">
        <f t="shared" si="1"/>
        <v>chakri.junna@gmail.com918147600700</v>
      </c>
      <c r="D2681" s="16" t="s">
        <v>9829</v>
      </c>
      <c r="E2681" s="16" t="s">
        <v>68</v>
      </c>
    </row>
    <row r="2682">
      <c r="A2682" s="1" t="s">
        <v>4720</v>
      </c>
      <c r="B2682" s="15">
        <f>+917683097255</f>
        <v>917683097255</v>
      </c>
      <c r="C2682" s="15" t="str">
        <f t="shared" si="1"/>
        <v>swetankmehrotra@gmail.com917683097255</v>
      </c>
      <c r="D2682" s="16" t="s">
        <v>9830</v>
      </c>
      <c r="E2682" s="16" t="s">
        <v>68</v>
      </c>
    </row>
    <row r="2683">
      <c r="A2683" s="1" t="s">
        <v>9831</v>
      </c>
      <c r="B2683" s="15">
        <f>+918855998072</f>
        <v>918855998072</v>
      </c>
      <c r="C2683" s="15" t="str">
        <f t="shared" si="1"/>
        <v>bhagyasri596@gmail.com918855998072</v>
      </c>
      <c r="D2683" s="16" t="s">
        <v>9832</v>
      </c>
      <c r="E2683" s="16" t="s">
        <v>68</v>
      </c>
    </row>
    <row r="2684">
      <c r="A2684" s="1" t="s">
        <v>3919</v>
      </c>
      <c r="B2684" s="15">
        <f>+918886157257</f>
        <v>918886157257</v>
      </c>
      <c r="C2684" s="15" t="str">
        <f t="shared" si="1"/>
        <v>planks24@gmail.com918886157257</v>
      </c>
      <c r="D2684" s="16" t="s">
        <v>9833</v>
      </c>
      <c r="E2684" s="16" t="s">
        <v>68</v>
      </c>
    </row>
    <row r="2685">
      <c r="A2685" s="1" t="s">
        <v>3832</v>
      </c>
      <c r="B2685" s="15">
        <f>+918527781333</f>
        <v>918527781333</v>
      </c>
      <c r="C2685" s="15" t="str">
        <f t="shared" si="1"/>
        <v>chayankh@gmail.com918527781333</v>
      </c>
      <c r="D2685" s="16" t="s">
        <v>9834</v>
      </c>
      <c r="E2685" s="16" t="s">
        <v>68</v>
      </c>
    </row>
    <row r="2686">
      <c r="A2686" s="1" t="s">
        <v>4833</v>
      </c>
      <c r="B2686" s="15">
        <f>+919539710623</f>
        <v>919539710623</v>
      </c>
      <c r="C2686" s="15" t="str">
        <f t="shared" si="1"/>
        <v>namithadasvk@gmail.com919539710623</v>
      </c>
      <c r="D2686" s="16" t="s">
        <v>9835</v>
      </c>
      <c r="E2686" s="16" t="s">
        <v>68</v>
      </c>
    </row>
    <row r="2687">
      <c r="A2687" s="1" t="s">
        <v>3832</v>
      </c>
      <c r="B2687" s="15">
        <f>+918527781333</f>
        <v>918527781333</v>
      </c>
      <c r="C2687" s="15" t="str">
        <f t="shared" si="1"/>
        <v>chayankh@gmail.com918527781333</v>
      </c>
      <c r="D2687" s="16" t="s">
        <v>9836</v>
      </c>
      <c r="E2687" s="16" t="s">
        <v>74</v>
      </c>
    </row>
    <row r="2688">
      <c r="A2688" s="1" t="s">
        <v>6407</v>
      </c>
      <c r="B2688" s="15">
        <f>+919036315480</f>
        <v>919036315480</v>
      </c>
      <c r="C2688" s="15" t="str">
        <f t="shared" si="1"/>
        <v>chiranjeevi.injam@gmail.com919036315480</v>
      </c>
      <c r="D2688" s="16" t="s">
        <v>9837</v>
      </c>
      <c r="E2688" s="16" t="s">
        <v>68</v>
      </c>
    </row>
    <row r="2689">
      <c r="A2689" s="1" t="s">
        <v>4407</v>
      </c>
      <c r="B2689" s="15">
        <f>+918309908354</f>
        <v>918309908354</v>
      </c>
      <c r="C2689" s="15" t="str">
        <f t="shared" si="1"/>
        <v>mallupavani22@gmail.com918309908354</v>
      </c>
      <c r="D2689" s="16" t="s">
        <v>9838</v>
      </c>
      <c r="E2689" s="16" t="s">
        <v>68</v>
      </c>
    </row>
    <row r="2690">
      <c r="A2690" s="1" t="s">
        <v>6406</v>
      </c>
      <c r="B2690" s="15">
        <f>+919711046914</f>
        <v>919711046914</v>
      </c>
      <c r="C2690" s="15" t="str">
        <f t="shared" si="1"/>
        <v>deepakj917@gmail.com919711046914</v>
      </c>
      <c r="D2690" s="16" t="s">
        <v>9839</v>
      </c>
      <c r="E2690" s="16" t="s">
        <v>68</v>
      </c>
    </row>
    <row r="2691">
      <c r="A2691" s="1" t="s">
        <v>6407</v>
      </c>
      <c r="B2691" s="15">
        <f>+919036315480</f>
        <v>919036315480</v>
      </c>
      <c r="C2691" s="15" t="str">
        <f t="shared" si="1"/>
        <v>chiranjeevi.injam@gmail.com919036315480</v>
      </c>
      <c r="D2691" s="16" t="s">
        <v>9840</v>
      </c>
      <c r="E2691" s="16" t="s">
        <v>68</v>
      </c>
    </row>
    <row r="2692">
      <c r="A2692" s="1" t="s">
        <v>4180</v>
      </c>
      <c r="B2692" s="15">
        <f>+916395144782</f>
        <v>916395144782</v>
      </c>
      <c r="C2692" s="15" t="str">
        <f t="shared" si="1"/>
        <v>sharmamusk32@gmail.com916395144782</v>
      </c>
      <c r="D2692" s="16" t="s">
        <v>9841</v>
      </c>
      <c r="E2692" s="16" t="s">
        <v>68</v>
      </c>
    </row>
    <row r="2693">
      <c r="A2693" s="1" t="s">
        <v>4934</v>
      </c>
      <c r="B2693" s="15">
        <f>+917383237034</f>
        <v>917383237034</v>
      </c>
      <c r="C2693" s="15" t="str">
        <f t="shared" si="1"/>
        <v>nirav.shinde@gmail.com917383237034</v>
      </c>
      <c r="D2693" s="16" t="s">
        <v>9842</v>
      </c>
      <c r="E2693" s="16" t="s">
        <v>68</v>
      </c>
    </row>
    <row r="2694">
      <c r="A2694" s="1" t="s">
        <v>9843</v>
      </c>
      <c r="B2694" s="15">
        <f>+916309517300</f>
        <v>916309517300</v>
      </c>
      <c r="C2694" s="15" t="str">
        <f t="shared" si="1"/>
        <v>vengalasettysaiteja@gmail.com916309517300</v>
      </c>
      <c r="D2694" s="16" t="s">
        <v>9844</v>
      </c>
      <c r="E2694" s="16" t="s">
        <v>68</v>
      </c>
    </row>
    <row r="2695">
      <c r="A2695" s="1" t="s">
        <v>3130</v>
      </c>
      <c r="B2695" s="15">
        <f>+918660937556</f>
        <v>918660937556</v>
      </c>
      <c r="C2695" s="15" t="str">
        <f t="shared" si="1"/>
        <v>pillimaheshratan@gmail.com918660937556</v>
      </c>
      <c r="D2695" s="16" t="s">
        <v>9845</v>
      </c>
      <c r="E2695" s="16" t="s">
        <v>74</v>
      </c>
    </row>
    <row r="2696">
      <c r="A2696" s="1" t="s">
        <v>3132</v>
      </c>
      <c r="B2696" s="15">
        <f>+919539070608</f>
        <v>919539070608</v>
      </c>
      <c r="C2696" s="15" t="str">
        <f t="shared" si="1"/>
        <v>vineethn86@gmail.com919539070608</v>
      </c>
      <c r="D2696" s="16" t="s">
        <v>9846</v>
      </c>
      <c r="E2696" s="16" t="s">
        <v>68</v>
      </c>
    </row>
    <row r="2697">
      <c r="A2697" s="1" t="s">
        <v>5828</v>
      </c>
      <c r="B2697" s="15">
        <f>+919346456765</f>
        <v>919346456765</v>
      </c>
      <c r="C2697" s="15" t="str">
        <f t="shared" si="1"/>
        <v>vamsiskrisshnaa@gmail.com919346456765</v>
      </c>
      <c r="D2697" s="16" t="s">
        <v>9847</v>
      </c>
      <c r="E2697" s="16" t="s">
        <v>68</v>
      </c>
    </row>
    <row r="2698">
      <c r="A2698" s="1" t="s">
        <v>5831</v>
      </c>
      <c r="B2698" s="15">
        <f>+919810038459</f>
        <v>919810038459</v>
      </c>
      <c r="C2698" s="15" t="str">
        <f t="shared" si="1"/>
        <v>rajsaini.kumar@gmail.com919810038459</v>
      </c>
      <c r="D2698" s="16" t="s">
        <v>9848</v>
      </c>
      <c r="E2698" s="16" t="s">
        <v>151</v>
      </c>
    </row>
    <row r="2699">
      <c r="A2699" s="1" t="s">
        <v>5056</v>
      </c>
      <c r="B2699" s="15">
        <f>+919872897180</f>
        <v>919872897180</v>
      </c>
      <c r="C2699" s="15" t="str">
        <f t="shared" si="1"/>
        <v>nishj456@gmail.com919872897180</v>
      </c>
      <c r="D2699" s="16" t="s">
        <v>9849</v>
      </c>
      <c r="E2699" s="16" t="s">
        <v>74</v>
      </c>
    </row>
    <row r="2700">
      <c r="A2700" s="1" t="s">
        <v>2673</v>
      </c>
      <c r="B2700" s="15">
        <f>+919390124449</f>
        <v>919390124449</v>
      </c>
      <c r="C2700" s="15" t="str">
        <f t="shared" si="1"/>
        <v>swathi_1994@yahoo.com919390124449</v>
      </c>
      <c r="D2700" s="16" t="s">
        <v>9850</v>
      </c>
      <c r="E2700" s="16" t="s">
        <v>74</v>
      </c>
    </row>
    <row r="2701">
      <c r="A2701" s="1" t="s">
        <v>9851</v>
      </c>
      <c r="B2701" s="15">
        <f>+918860024853</f>
        <v>918860024853</v>
      </c>
      <c r="C2701" s="15" t="str">
        <f t="shared" si="1"/>
        <v>oshon8@gmail.com918860024853</v>
      </c>
      <c r="D2701" s="16" t="s">
        <v>9852</v>
      </c>
      <c r="E2701" s="16" t="s">
        <v>74</v>
      </c>
    </row>
    <row r="2702">
      <c r="A2702" s="1" t="s">
        <v>4722</v>
      </c>
      <c r="B2702" s="15">
        <f>+918285216604</f>
        <v>918285216604</v>
      </c>
      <c r="C2702" s="15" t="str">
        <f t="shared" si="1"/>
        <v>aruninfo19@gmail.com918285216604</v>
      </c>
      <c r="D2702" s="16" t="s">
        <v>9853</v>
      </c>
      <c r="E2702" s="16" t="s">
        <v>68</v>
      </c>
    </row>
    <row r="2703">
      <c r="A2703" s="1" t="s">
        <v>6640</v>
      </c>
      <c r="B2703" s="15">
        <f>+919840536912</f>
        <v>919840536912</v>
      </c>
      <c r="C2703" s="15" t="str">
        <f t="shared" si="1"/>
        <v>anumaria@gmail.com919840536912</v>
      </c>
      <c r="D2703" s="16" t="s">
        <v>9854</v>
      </c>
      <c r="E2703" s="16" t="s">
        <v>68</v>
      </c>
    </row>
    <row r="2704">
      <c r="A2704" s="1" t="s">
        <v>6408</v>
      </c>
      <c r="B2704" s="15">
        <f>+919886319171</f>
        <v>919886319171</v>
      </c>
      <c r="C2704" s="15" t="str">
        <f t="shared" si="1"/>
        <v>sharath.thomas@outlook.com919886319171</v>
      </c>
      <c r="D2704" s="16" t="s">
        <v>9855</v>
      </c>
      <c r="E2704" s="16" t="s">
        <v>68</v>
      </c>
    </row>
    <row r="2705">
      <c r="A2705" s="1" t="s">
        <v>5158</v>
      </c>
      <c r="B2705" s="15">
        <f>+919820931913</f>
        <v>919820931913</v>
      </c>
      <c r="C2705" s="15" t="str">
        <f t="shared" si="1"/>
        <v>curiousmindseduventure@gmail.com919820931913</v>
      </c>
      <c r="D2705" s="16" t="s">
        <v>9856</v>
      </c>
      <c r="E2705" s="16" t="s">
        <v>68</v>
      </c>
    </row>
    <row r="2706">
      <c r="A2706" s="1" t="s">
        <v>2533</v>
      </c>
      <c r="B2706" s="15">
        <f>+917337069679</f>
        <v>917337069679</v>
      </c>
      <c r="C2706" s="15" t="str">
        <f t="shared" si="1"/>
        <v>nehaaricag7@gmail.com917337069679</v>
      </c>
      <c r="D2706" s="16" t="s">
        <v>9857</v>
      </c>
      <c r="E2706" s="16" t="s">
        <v>68</v>
      </c>
    </row>
    <row r="2707">
      <c r="A2707" s="1" t="s">
        <v>3921</v>
      </c>
      <c r="B2707" s="15">
        <f>+918894139778</f>
        <v>918894139778</v>
      </c>
      <c r="C2707" s="15" t="str">
        <f t="shared" si="1"/>
        <v>aryan.20dhiman@gmail.com918894139778</v>
      </c>
      <c r="D2707" s="16" t="s">
        <v>9858</v>
      </c>
      <c r="E2707" s="16" t="s">
        <v>68</v>
      </c>
    </row>
    <row r="2708">
      <c r="A2708" s="1" t="s">
        <v>5535</v>
      </c>
      <c r="B2708" s="15">
        <f>+919654107764</f>
        <v>919654107764</v>
      </c>
      <c r="C2708" s="15" t="str">
        <f t="shared" si="1"/>
        <v>choprakirti2009@gmail.com919654107764</v>
      </c>
      <c r="D2708" s="16" t="s">
        <v>9859</v>
      </c>
      <c r="E2708" s="16" t="s">
        <v>68</v>
      </c>
    </row>
    <row r="2709">
      <c r="A2709" s="1" t="s">
        <v>3252</v>
      </c>
      <c r="B2709" s="15">
        <f>+919468484432</f>
        <v>919468484432</v>
      </c>
      <c r="C2709" s="15" t="str">
        <f t="shared" si="1"/>
        <v>sameer1140@gmail.com919468484432</v>
      </c>
      <c r="D2709" s="16" t="s">
        <v>9860</v>
      </c>
      <c r="E2709" s="16" t="s">
        <v>68</v>
      </c>
    </row>
    <row r="2710">
      <c r="A2710" s="1" t="s">
        <v>6167</v>
      </c>
      <c r="B2710" s="15">
        <f>+919583947116</f>
        <v>919583947116</v>
      </c>
      <c r="C2710" s="15" t="str">
        <f t="shared" si="1"/>
        <v>sandeeppanda2166@gmail.com919583947116</v>
      </c>
      <c r="D2710" s="16" t="s">
        <v>9861</v>
      </c>
      <c r="E2710" s="16" t="s">
        <v>68</v>
      </c>
    </row>
    <row r="2711">
      <c r="A2711" s="1" t="s">
        <v>5843</v>
      </c>
      <c r="B2711" s="15">
        <f>+919971389859</f>
        <v>919971389859</v>
      </c>
      <c r="C2711" s="15" t="str">
        <f t="shared" si="1"/>
        <v>sachinnbhallla@hotmail.com919971389859</v>
      </c>
      <c r="D2711" s="16" t="s">
        <v>9862</v>
      </c>
      <c r="E2711" s="16" t="s">
        <v>151</v>
      </c>
    </row>
    <row r="2712">
      <c r="A2712" s="1" t="s">
        <v>5037</v>
      </c>
      <c r="B2712" s="15">
        <f>+919425301853</f>
        <v>919425301853</v>
      </c>
      <c r="C2712" s="15" t="str">
        <f t="shared" si="1"/>
        <v>naveenmandlekar07@gmail.com919425301853</v>
      </c>
      <c r="D2712" s="16" t="s">
        <v>9863</v>
      </c>
      <c r="E2712" s="16" t="s">
        <v>68</v>
      </c>
    </row>
    <row r="2713">
      <c r="A2713" s="1" t="s">
        <v>9864</v>
      </c>
      <c r="B2713" s="15">
        <f>+919324450683</f>
        <v>919324450683</v>
      </c>
      <c r="C2713" s="15" t="str">
        <f t="shared" si="1"/>
        <v>kamathneham@yahoo.co.in919324450683</v>
      </c>
      <c r="D2713" s="16" t="s">
        <v>9865</v>
      </c>
      <c r="E2713" s="16" t="s">
        <v>74</v>
      </c>
    </row>
    <row r="2714">
      <c r="A2714" s="1" t="s">
        <v>4835</v>
      </c>
      <c r="B2714" s="15">
        <f t="shared" ref="B2714:B2718" si="348">+919545249552</f>
        <v>919545249552</v>
      </c>
      <c r="C2714" s="15" t="str">
        <f t="shared" si="1"/>
        <v>ashwineephatak@gmail.com919545249552</v>
      </c>
      <c r="D2714" s="16" t="s">
        <v>9866</v>
      </c>
      <c r="E2714" s="16" t="s">
        <v>74</v>
      </c>
    </row>
    <row r="2715">
      <c r="A2715" s="1" t="s">
        <v>4835</v>
      </c>
      <c r="B2715" s="15">
        <f t="shared" si="348"/>
        <v>919545249552</v>
      </c>
      <c r="C2715" s="15" t="str">
        <f t="shared" si="1"/>
        <v>ashwineephatak@gmail.com919545249552</v>
      </c>
      <c r="D2715" s="16" t="s">
        <v>9867</v>
      </c>
      <c r="E2715" s="16" t="s">
        <v>74</v>
      </c>
    </row>
    <row r="2716">
      <c r="A2716" s="1" t="s">
        <v>4835</v>
      </c>
      <c r="B2716" s="15">
        <f t="shared" si="348"/>
        <v>919545249552</v>
      </c>
      <c r="C2716" s="15" t="str">
        <f t="shared" si="1"/>
        <v>ashwineephatak@gmail.com919545249552</v>
      </c>
      <c r="D2716" s="16" t="s">
        <v>9868</v>
      </c>
      <c r="E2716" s="16" t="s">
        <v>74</v>
      </c>
    </row>
    <row r="2717">
      <c r="A2717" s="1" t="s">
        <v>4835</v>
      </c>
      <c r="B2717" s="15">
        <f t="shared" si="348"/>
        <v>919545249552</v>
      </c>
      <c r="C2717" s="15" t="str">
        <f t="shared" si="1"/>
        <v>ashwineephatak@gmail.com919545249552</v>
      </c>
      <c r="D2717" s="16" t="s">
        <v>9869</v>
      </c>
      <c r="E2717" s="16" t="s">
        <v>68</v>
      </c>
    </row>
    <row r="2718">
      <c r="A2718" s="1" t="s">
        <v>4835</v>
      </c>
      <c r="B2718" s="15">
        <f t="shared" si="348"/>
        <v>919545249552</v>
      </c>
      <c r="C2718" s="15" t="str">
        <f t="shared" si="1"/>
        <v>ashwineephatak@gmail.com919545249552</v>
      </c>
      <c r="D2718" s="16" t="s">
        <v>9870</v>
      </c>
      <c r="E2718" s="16" t="s">
        <v>68</v>
      </c>
    </row>
    <row r="2719">
      <c r="A2719" s="1" t="s">
        <v>9871</v>
      </c>
      <c r="B2719" s="15">
        <f>+919049559078</f>
        <v>919049559078</v>
      </c>
      <c r="C2719" s="15" t="str">
        <f t="shared" si="1"/>
        <v>gwynethpereira15@gmail.com919049559078</v>
      </c>
      <c r="D2719" s="16" t="s">
        <v>9872</v>
      </c>
      <c r="E2719" s="16" t="s">
        <v>74</v>
      </c>
    </row>
    <row r="2720">
      <c r="A2720" s="1" t="s">
        <v>5862</v>
      </c>
      <c r="B2720" s="15">
        <f>+917905958635</f>
        <v>917905958635</v>
      </c>
      <c r="C2720" s="15" t="str">
        <f t="shared" si="1"/>
        <v>kumar.sushil.sushil625@gmail.com917905958635</v>
      </c>
      <c r="D2720" s="16" t="s">
        <v>9873</v>
      </c>
      <c r="E2720" s="16" t="s">
        <v>151</v>
      </c>
    </row>
    <row r="2721">
      <c r="A2721" s="1" t="s">
        <v>9871</v>
      </c>
      <c r="B2721" s="15">
        <f>+919049559078</f>
        <v>919049559078</v>
      </c>
      <c r="C2721" s="15" t="str">
        <f t="shared" si="1"/>
        <v>gwynethpereira15@gmail.com919049559078</v>
      </c>
      <c r="D2721" s="16" t="s">
        <v>9874</v>
      </c>
      <c r="E2721" s="16" t="s">
        <v>74</v>
      </c>
    </row>
    <row r="2722">
      <c r="A2722" s="1" t="s">
        <v>5862</v>
      </c>
      <c r="B2722" s="15">
        <f>+917905958635</f>
        <v>917905958635</v>
      </c>
      <c r="C2722" s="15" t="str">
        <f t="shared" si="1"/>
        <v>kumar.sushil.sushil625@gmail.com917905958635</v>
      </c>
      <c r="D2722" s="16" t="s">
        <v>9875</v>
      </c>
      <c r="E2722" s="16" t="s">
        <v>151</v>
      </c>
    </row>
    <row r="2723">
      <c r="A2723" s="1" t="s">
        <v>4180</v>
      </c>
      <c r="B2723" s="15">
        <f>+916395144782</f>
        <v>916395144782</v>
      </c>
      <c r="C2723" s="15" t="str">
        <f t="shared" si="1"/>
        <v>sharmamusk32@gmail.com916395144782</v>
      </c>
      <c r="D2723" s="16" t="s">
        <v>9876</v>
      </c>
      <c r="E2723" s="16" t="s">
        <v>68</v>
      </c>
    </row>
    <row r="2724">
      <c r="A2724" s="1" t="s">
        <v>5536</v>
      </c>
      <c r="B2724" s="15">
        <f>+918975880003</f>
        <v>918975880003</v>
      </c>
      <c r="C2724" s="15" t="str">
        <f t="shared" si="1"/>
        <v>pramod31095@gmail.com918975880003</v>
      </c>
      <c r="D2724" s="16" t="s">
        <v>9877</v>
      </c>
      <c r="E2724" s="16" t="s">
        <v>68</v>
      </c>
    </row>
    <row r="2725">
      <c r="A2725" s="1" t="s">
        <v>5872</v>
      </c>
      <c r="B2725" s="15">
        <f>+919711397307</f>
        <v>919711397307</v>
      </c>
      <c r="C2725" s="15" t="str">
        <f t="shared" si="1"/>
        <v>leenaahuja.edt@gmail.com919711397307</v>
      </c>
      <c r="D2725" s="16" t="s">
        <v>9878</v>
      </c>
      <c r="E2725" s="16" t="s">
        <v>68</v>
      </c>
    </row>
    <row r="2726">
      <c r="A2726" s="1" t="s">
        <v>9879</v>
      </c>
      <c r="B2726" s="15">
        <f>+917899652315</f>
        <v>917899652315</v>
      </c>
      <c r="C2726" s="15" t="str">
        <f t="shared" si="1"/>
        <v>tschaithra15@gmail.com917899652315</v>
      </c>
      <c r="D2726" s="16" t="s">
        <v>9880</v>
      </c>
      <c r="E2726" s="16" t="s">
        <v>68</v>
      </c>
    </row>
    <row r="2727">
      <c r="A2727" s="1" t="s">
        <v>6410</v>
      </c>
      <c r="B2727" s="15">
        <f>+919347909536</f>
        <v>919347909536</v>
      </c>
      <c r="C2727" s="15" t="str">
        <f t="shared" si="1"/>
        <v>kusu.jaya@gmail.com919347909536</v>
      </c>
      <c r="D2727" s="16" t="s">
        <v>9881</v>
      </c>
      <c r="E2727" s="16" t="s">
        <v>151</v>
      </c>
    </row>
    <row r="2728">
      <c r="A2728" s="1" t="s">
        <v>6349</v>
      </c>
      <c r="B2728" s="15">
        <f>+916383417717</f>
        <v>916383417717</v>
      </c>
      <c r="C2728" s="15" t="str">
        <f t="shared" si="1"/>
        <v>sharath.kh1995@gmail.com916383417717</v>
      </c>
      <c r="D2728" s="16" t="s">
        <v>9882</v>
      </c>
      <c r="E2728" s="16" t="s">
        <v>68</v>
      </c>
    </row>
    <row r="2729">
      <c r="A2729" s="1" t="s">
        <v>9883</v>
      </c>
      <c r="B2729" s="15">
        <f t="shared" ref="B2729:B2730" si="349">+919960589812</f>
        <v>919960589812</v>
      </c>
      <c r="C2729" s="15" t="str">
        <f t="shared" si="1"/>
        <v>priyagsasidharan9@gmail.com919960589812</v>
      </c>
      <c r="D2729" s="16" t="s">
        <v>9884</v>
      </c>
      <c r="E2729" s="16" t="s">
        <v>68</v>
      </c>
    </row>
    <row r="2730">
      <c r="A2730" s="1" t="s">
        <v>9883</v>
      </c>
      <c r="B2730" s="15">
        <f t="shared" si="349"/>
        <v>919960589812</v>
      </c>
      <c r="C2730" s="15" t="str">
        <f t="shared" si="1"/>
        <v>priyagsasidharan9@gmail.com919960589812</v>
      </c>
      <c r="D2730" s="16" t="s">
        <v>9885</v>
      </c>
      <c r="E2730" s="16" t="s">
        <v>68</v>
      </c>
    </row>
    <row r="2731">
      <c r="A2731" s="1" t="s">
        <v>9886</v>
      </c>
      <c r="B2731" s="15">
        <f t="shared" ref="B2731:B2734" si="350">+919899078486</f>
        <v>919899078486</v>
      </c>
      <c r="C2731" s="15" t="str">
        <f t="shared" si="1"/>
        <v>palakshjain9@gmail.com919899078486</v>
      </c>
      <c r="D2731" s="16" t="s">
        <v>9887</v>
      </c>
      <c r="E2731" s="16" t="s">
        <v>151</v>
      </c>
    </row>
    <row r="2732">
      <c r="A2732" s="1" t="s">
        <v>9886</v>
      </c>
      <c r="B2732" s="15">
        <f t="shared" si="350"/>
        <v>919899078486</v>
      </c>
      <c r="C2732" s="15" t="str">
        <f t="shared" si="1"/>
        <v>palakshjain9@gmail.com919899078486</v>
      </c>
      <c r="D2732" s="16" t="s">
        <v>9888</v>
      </c>
      <c r="E2732" s="16" t="s">
        <v>151</v>
      </c>
    </row>
    <row r="2733">
      <c r="A2733" s="1" t="s">
        <v>9886</v>
      </c>
      <c r="B2733" s="15">
        <f t="shared" si="350"/>
        <v>919899078486</v>
      </c>
      <c r="C2733" s="15" t="str">
        <f t="shared" si="1"/>
        <v>palakshjain9@gmail.com919899078486</v>
      </c>
      <c r="D2733" s="16" t="s">
        <v>9889</v>
      </c>
      <c r="E2733" s="16" t="s">
        <v>74</v>
      </c>
    </row>
    <row r="2734">
      <c r="A2734" s="1" t="s">
        <v>9886</v>
      </c>
      <c r="B2734" s="15">
        <f t="shared" si="350"/>
        <v>919899078486</v>
      </c>
      <c r="C2734" s="15" t="str">
        <f t="shared" si="1"/>
        <v>palakshjain9@gmail.com919899078486</v>
      </c>
      <c r="D2734" s="16" t="s">
        <v>9890</v>
      </c>
      <c r="E2734" s="16" t="s">
        <v>74</v>
      </c>
    </row>
    <row r="2735">
      <c r="A2735" s="1" t="s">
        <v>5562</v>
      </c>
      <c r="B2735" s="15">
        <f>+918668517384</f>
        <v>918668517384</v>
      </c>
      <c r="C2735" s="15" t="str">
        <f t="shared" si="1"/>
        <v>shubhampansare141@gmail.com918668517384</v>
      </c>
      <c r="D2735" s="16" t="s">
        <v>9891</v>
      </c>
      <c r="E2735" s="16" t="s">
        <v>68</v>
      </c>
    </row>
    <row r="2736">
      <c r="A2736" s="1" t="s">
        <v>5464</v>
      </c>
      <c r="B2736" s="15">
        <f>+919027925818</f>
        <v>919027925818</v>
      </c>
      <c r="C2736" s="15" t="str">
        <f t="shared" si="1"/>
        <v>amritamallick00@gmail.com919027925818</v>
      </c>
      <c r="D2736" s="16" t="s">
        <v>9892</v>
      </c>
      <c r="E2736" s="16" t="s">
        <v>68</v>
      </c>
    </row>
    <row r="2737">
      <c r="A2737" s="1" t="s">
        <v>9893</v>
      </c>
      <c r="B2737" s="15">
        <f t="shared" ref="B2737:B2738" si="351">+918248103441</f>
        <v>918248103441</v>
      </c>
      <c r="C2737" s="15" t="str">
        <f t="shared" si="1"/>
        <v>jencyprathipa96@gmail.com918248103441</v>
      </c>
      <c r="D2737" s="16" t="s">
        <v>9894</v>
      </c>
      <c r="E2737" s="16" t="s">
        <v>68</v>
      </c>
    </row>
    <row r="2738">
      <c r="A2738" s="1" t="s">
        <v>9893</v>
      </c>
      <c r="B2738" s="15">
        <f t="shared" si="351"/>
        <v>918248103441</v>
      </c>
      <c r="C2738" s="15" t="str">
        <f t="shared" si="1"/>
        <v>jencyprathipa96@gmail.com918248103441</v>
      </c>
      <c r="D2738" s="16" t="s">
        <v>9895</v>
      </c>
      <c r="E2738" s="16" t="s">
        <v>68</v>
      </c>
    </row>
    <row r="2739">
      <c r="A2739" s="1" t="s">
        <v>6411</v>
      </c>
      <c r="B2739" s="15">
        <f>+919890901405</f>
        <v>919890901405</v>
      </c>
      <c r="C2739" s="15" t="str">
        <f t="shared" si="1"/>
        <v>udhwanimohit@gmail.com919890901405</v>
      </c>
      <c r="D2739" s="16" t="s">
        <v>9896</v>
      </c>
      <c r="E2739" s="16" t="s">
        <v>68</v>
      </c>
    </row>
    <row r="2740">
      <c r="A2740" s="1" t="s">
        <v>5039</v>
      </c>
      <c r="B2740" s="15">
        <f>+917999549481</f>
        <v>917999549481</v>
      </c>
      <c r="C2740" s="15" t="str">
        <f t="shared" si="1"/>
        <v>preeti1.mdl@gmail.com917999549481</v>
      </c>
      <c r="D2740" s="16" t="s">
        <v>9897</v>
      </c>
      <c r="E2740" s="16" t="s">
        <v>68</v>
      </c>
    </row>
    <row r="2741">
      <c r="A2741" s="1" t="s">
        <v>6642</v>
      </c>
      <c r="B2741" s="15">
        <f>+918328179113</f>
        <v>918328179113</v>
      </c>
      <c r="C2741" s="15" t="str">
        <f t="shared" si="1"/>
        <v>nikhithakrishna22@gmail.com918328179113</v>
      </c>
      <c r="D2741" s="16" t="s">
        <v>9898</v>
      </c>
      <c r="E2741" s="16" t="s">
        <v>68</v>
      </c>
    </row>
    <row r="2742">
      <c r="A2742" s="1" t="s">
        <v>4479</v>
      </c>
      <c r="B2742" s="15">
        <f>+919647944822</f>
        <v>919647944822</v>
      </c>
      <c r="C2742" s="15" t="str">
        <f t="shared" si="1"/>
        <v>nasrins1905@gmail.com919647944822</v>
      </c>
      <c r="D2742" s="16" t="s">
        <v>9899</v>
      </c>
      <c r="E2742" s="16" t="s">
        <v>68</v>
      </c>
    </row>
    <row r="2743">
      <c r="A2743" s="1" t="s">
        <v>5538</v>
      </c>
      <c r="B2743" s="15">
        <f>+918373944108</f>
        <v>918373944108</v>
      </c>
      <c r="C2743" s="15" t="str">
        <f t="shared" si="1"/>
        <v>theraoharsh@gmail.com918373944108</v>
      </c>
      <c r="D2743" s="16" t="s">
        <v>9900</v>
      </c>
      <c r="E2743" s="16" t="s">
        <v>68</v>
      </c>
    </row>
    <row r="2744">
      <c r="A2744" s="1" t="s">
        <v>6642</v>
      </c>
      <c r="B2744" s="15">
        <f>+918328179113</f>
        <v>918328179113</v>
      </c>
      <c r="C2744" s="15" t="str">
        <f t="shared" si="1"/>
        <v>nikhithakrishna22@gmail.com918328179113</v>
      </c>
      <c r="D2744" s="16" t="s">
        <v>9901</v>
      </c>
      <c r="E2744" s="16" t="s">
        <v>68</v>
      </c>
    </row>
    <row r="2745">
      <c r="A2745" s="1" t="s">
        <v>3807</v>
      </c>
      <c r="B2745" s="15">
        <f>+918618457461</f>
        <v>918618457461</v>
      </c>
      <c r="C2745" s="15" t="str">
        <f t="shared" si="1"/>
        <v>alexsjpuc@gmail.com918618457461</v>
      </c>
      <c r="D2745" s="16" t="s">
        <v>9902</v>
      </c>
      <c r="E2745" s="16" t="s">
        <v>68</v>
      </c>
    </row>
    <row r="2746">
      <c r="A2746" s="1" t="s">
        <v>9903</v>
      </c>
      <c r="B2746" s="15">
        <f>+919490941027</f>
        <v>919490941027</v>
      </c>
      <c r="C2746" s="15" t="str">
        <f t="shared" si="1"/>
        <v>v.venugopal69@gmail.com919490941027</v>
      </c>
      <c r="D2746" s="16" t="s">
        <v>9904</v>
      </c>
      <c r="E2746" s="16" t="s">
        <v>68</v>
      </c>
    </row>
    <row r="2747">
      <c r="A2747" s="1" t="s">
        <v>2535</v>
      </c>
      <c r="B2747" s="15">
        <f>+918968324069</f>
        <v>918968324069</v>
      </c>
      <c r="C2747" s="15" t="str">
        <f t="shared" si="1"/>
        <v>anjali.patra2110@gmail.com918968324069</v>
      </c>
      <c r="D2747" s="16" t="s">
        <v>9905</v>
      </c>
      <c r="E2747" s="16" t="s">
        <v>68</v>
      </c>
    </row>
    <row r="2748">
      <c r="A2748" s="1" t="s">
        <v>5277</v>
      </c>
      <c r="B2748" s="15">
        <f t="shared" ref="B2748:B2749" si="352">+918840986632</f>
        <v>918840986632</v>
      </c>
      <c r="C2748" s="15" t="str">
        <f t="shared" si="1"/>
        <v>anjalikesarwani410@gmail.com918840986632</v>
      </c>
      <c r="D2748" s="16" t="s">
        <v>9906</v>
      </c>
      <c r="E2748" s="16" t="s">
        <v>68</v>
      </c>
    </row>
    <row r="2749">
      <c r="A2749" s="1" t="s">
        <v>5277</v>
      </c>
      <c r="B2749" s="15">
        <f t="shared" si="352"/>
        <v>918840986632</v>
      </c>
      <c r="C2749" s="15" t="str">
        <f t="shared" si="1"/>
        <v>anjalikesarwani410@gmail.com918840986632</v>
      </c>
      <c r="D2749" s="16" t="s">
        <v>9907</v>
      </c>
      <c r="E2749" s="16" t="s">
        <v>68</v>
      </c>
    </row>
    <row r="2750">
      <c r="A2750" s="1" t="s">
        <v>2916</v>
      </c>
      <c r="B2750" s="15">
        <f t="shared" ref="B2750:B2751" si="353">+919592142724</f>
        <v>919592142724</v>
      </c>
      <c r="C2750" s="15" t="str">
        <f t="shared" si="1"/>
        <v>ujjwalakasbekar70@gmail.com919592142724</v>
      </c>
      <c r="D2750" s="16" t="s">
        <v>9908</v>
      </c>
      <c r="E2750" s="16" t="s">
        <v>68</v>
      </c>
    </row>
    <row r="2751">
      <c r="A2751" s="1" t="s">
        <v>2916</v>
      </c>
      <c r="B2751" s="15">
        <f t="shared" si="353"/>
        <v>919592142724</v>
      </c>
      <c r="C2751" s="15" t="str">
        <f t="shared" si="1"/>
        <v>ujjwalakasbekar70@gmail.com919592142724</v>
      </c>
      <c r="D2751" s="16" t="s">
        <v>9909</v>
      </c>
      <c r="E2751" s="16" t="s">
        <v>68</v>
      </c>
    </row>
    <row r="2752">
      <c r="A2752" s="1" t="s">
        <v>6552</v>
      </c>
      <c r="B2752" s="15">
        <f>+919042385242</f>
        <v>919042385242</v>
      </c>
      <c r="C2752" s="15" t="str">
        <f t="shared" si="1"/>
        <v>rhappycool@gmail.com919042385242</v>
      </c>
      <c r="D2752" s="16" t="s">
        <v>9910</v>
      </c>
      <c r="E2752" s="16" t="s">
        <v>74</v>
      </c>
    </row>
    <row r="2753">
      <c r="A2753" s="1" t="s">
        <v>2675</v>
      </c>
      <c r="B2753" s="15">
        <f t="shared" ref="B2753:B2754" si="354">+919634064495</f>
        <v>919634064495</v>
      </c>
      <c r="C2753" s="15" t="str">
        <f t="shared" si="1"/>
        <v>adventpoonam@gmail.com919634064495</v>
      </c>
      <c r="D2753" s="16" t="s">
        <v>9911</v>
      </c>
      <c r="E2753" s="16" t="s">
        <v>68</v>
      </c>
    </row>
    <row r="2754">
      <c r="A2754" s="1" t="s">
        <v>2675</v>
      </c>
      <c r="B2754" s="15">
        <f t="shared" si="354"/>
        <v>919634064495</v>
      </c>
      <c r="C2754" s="15" t="str">
        <f t="shared" si="1"/>
        <v>adventpoonam@gmail.com919634064495</v>
      </c>
      <c r="D2754" s="16" t="s">
        <v>9912</v>
      </c>
      <c r="E2754" s="16" t="s">
        <v>68</v>
      </c>
    </row>
    <row r="2755">
      <c r="A2755" s="1" t="s">
        <v>5883</v>
      </c>
      <c r="B2755" s="15">
        <f>+919810316963</f>
        <v>919810316963</v>
      </c>
      <c r="C2755" s="15" t="str">
        <f t="shared" si="1"/>
        <v>tanejaanju18@gmail.com919810316963</v>
      </c>
      <c r="D2755" s="16" t="s">
        <v>9913</v>
      </c>
      <c r="E2755" s="16" t="s">
        <v>68</v>
      </c>
    </row>
    <row r="2756">
      <c r="A2756" s="1" t="s">
        <v>5466</v>
      </c>
      <c r="B2756" s="15">
        <f>+919664778552</f>
        <v>919664778552</v>
      </c>
      <c r="C2756" s="15" t="str">
        <f t="shared" si="1"/>
        <v>habsihab2@gmail.com919664778552</v>
      </c>
      <c r="D2756" s="16" t="s">
        <v>9914</v>
      </c>
      <c r="E2756" s="16" t="s">
        <v>68</v>
      </c>
    </row>
    <row r="2757">
      <c r="A2757" s="1" t="s">
        <v>3809</v>
      </c>
      <c r="B2757" s="15">
        <f>+918939965678</f>
        <v>918939965678</v>
      </c>
      <c r="C2757" s="15" t="str">
        <f t="shared" si="1"/>
        <v>chaitanya.oct25@gmail.com918939965678</v>
      </c>
      <c r="D2757" s="16" t="s">
        <v>9915</v>
      </c>
      <c r="E2757" s="16" t="s">
        <v>68</v>
      </c>
    </row>
    <row r="2758">
      <c r="A2758" s="1" t="s">
        <v>2537</v>
      </c>
      <c r="B2758" s="15">
        <f>+918762383152</f>
        <v>918762383152</v>
      </c>
      <c r="C2758" s="15" t="str">
        <f t="shared" si="1"/>
        <v>sbh981214@gmail.com918762383152</v>
      </c>
      <c r="D2758" s="16" t="s">
        <v>9916</v>
      </c>
      <c r="E2758" s="16" t="s">
        <v>74</v>
      </c>
    </row>
    <row r="2759">
      <c r="A2759" s="1" t="s">
        <v>6136</v>
      </c>
      <c r="B2759" s="15">
        <f>+919899808957</f>
        <v>919899808957</v>
      </c>
      <c r="C2759" s="15" t="str">
        <f t="shared" si="1"/>
        <v>mannu.mk37@gmail.com919899808957</v>
      </c>
      <c r="D2759" s="16" t="s">
        <v>9917</v>
      </c>
      <c r="E2759" s="16" t="s">
        <v>68</v>
      </c>
    </row>
    <row r="2760">
      <c r="A2760" s="1" t="s">
        <v>3477</v>
      </c>
      <c r="B2760" s="15">
        <f>+917683879897</f>
        <v>917683879897</v>
      </c>
      <c r="C2760" s="15" t="str">
        <f t="shared" si="1"/>
        <v>alishaahmad588@gmail.com917683879897</v>
      </c>
      <c r="D2760" s="16" t="s">
        <v>9918</v>
      </c>
      <c r="E2760" s="16" t="s">
        <v>74</v>
      </c>
    </row>
    <row r="2761">
      <c r="A2761" s="1" t="s">
        <v>2537</v>
      </c>
      <c r="B2761" s="15">
        <f>+918762383152</f>
        <v>918762383152</v>
      </c>
      <c r="C2761" s="15" t="str">
        <f t="shared" si="1"/>
        <v>sbh981214@gmail.com918762383152</v>
      </c>
      <c r="D2761" s="16" t="s">
        <v>9919</v>
      </c>
      <c r="E2761" s="16" t="s">
        <v>74</v>
      </c>
    </row>
    <row r="2762">
      <c r="A2762" s="1" t="s">
        <v>4481</v>
      </c>
      <c r="B2762" s="15">
        <f>+919113675732</f>
        <v>919113675732</v>
      </c>
      <c r="C2762" s="15" t="str">
        <f t="shared" si="1"/>
        <v>zainabizzynotsobusy@gmail.com919113675732</v>
      </c>
      <c r="D2762" s="16" t="s">
        <v>9920</v>
      </c>
      <c r="E2762" s="16" t="s">
        <v>68</v>
      </c>
    </row>
    <row r="2763">
      <c r="A2763" s="1" t="s">
        <v>5910</v>
      </c>
      <c r="B2763" s="15">
        <f>+918606421106</f>
        <v>918606421106</v>
      </c>
      <c r="C2763" s="15" t="str">
        <f t="shared" si="1"/>
        <v>kumars1979@rediffmail.com918606421106</v>
      </c>
      <c r="D2763" s="16" t="s">
        <v>9921</v>
      </c>
      <c r="E2763" s="16" t="s">
        <v>68</v>
      </c>
    </row>
    <row r="2764">
      <c r="A2764" s="1" t="s">
        <v>9922</v>
      </c>
      <c r="B2764" s="15">
        <f>+919342133464</f>
        <v>919342133464</v>
      </c>
      <c r="C2764" s="15" t="str">
        <f t="shared" si="1"/>
        <v>shariq.zafar@gmail.com919342133464</v>
      </c>
      <c r="D2764" s="16" t="s">
        <v>9923</v>
      </c>
      <c r="E2764" s="16" t="s">
        <v>151</v>
      </c>
    </row>
    <row r="2765">
      <c r="A2765" s="1" t="s">
        <v>9924</v>
      </c>
      <c r="B2765" s="15">
        <f>+917629882789</f>
        <v>917629882789</v>
      </c>
      <c r="C2765" s="15" t="str">
        <f t="shared" si="1"/>
        <v>bhairido123@gmail.com917629882789</v>
      </c>
      <c r="D2765" s="16" t="s">
        <v>9925</v>
      </c>
      <c r="E2765" s="16" t="s">
        <v>74</v>
      </c>
    </row>
    <row r="2766">
      <c r="A2766" s="1" t="s">
        <v>9926</v>
      </c>
      <c r="B2766" s="15">
        <f>+919742226226</f>
        <v>919742226226</v>
      </c>
      <c r="C2766" s="15" t="str">
        <f t="shared" si="1"/>
        <v>savitha.gowda77@gmail.com919742226226</v>
      </c>
      <c r="D2766" s="16" t="s">
        <v>9927</v>
      </c>
      <c r="E2766" s="16" t="s">
        <v>74</v>
      </c>
    </row>
    <row r="2767">
      <c r="A2767" s="1" t="s">
        <v>9924</v>
      </c>
      <c r="B2767" s="15">
        <f>+917629882789</f>
        <v>917629882789</v>
      </c>
      <c r="C2767" s="15" t="str">
        <f t="shared" si="1"/>
        <v>bhairido123@gmail.com917629882789</v>
      </c>
      <c r="D2767" s="16" t="s">
        <v>9928</v>
      </c>
      <c r="E2767" s="16" t="s">
        <v>74</v>
      </c>
    </row>
    <row r="2768">
      <c r="A2768" s="1" t="s">
        <v>6644</v>
      </c>
      <c r="B2768" s="15">
        <f>+917224933556</f>
        <v>917224933556</v>
      </c>
      <c r="C2768" s="15" t="str">
        <f t="shared" si="1"/>
        <v>shrink.44@gmail.com917224933556</v>
      </c>
      <c r="D2768" s="16" t="s">
        <v>9929</v>
      </c>
      <c r="E2768" s="16" t="s">
        <v>68</v>
      </c>
    </row>
    <row r="2769">
      <c r="A2769" s="1" t="s">
        <v>9930</v>
      </c>
      <c r="B2769" s="15">
        <f>+917747962086</f>
        <v>917747962086</v>
      </c>
      <c r="C2769" s="15" t="str">
        <f t="shared" si="1"/>
        <v>jahidkhan90@gmail.com917747962086</v>
      </c>
      <c r="D2769" s="16" t="s">
        <v>9931</v>
      </c>
      <c r="E2769" s="16" t="s">
        <v>68</v>
      </c>
    </row>
    <row r="2770">
      <c r="A2770" s="1" t="s">
        <v>9932</v>
      </c>
      <c r="B2770" s="15">
        <f>+919999999999</f>
        <v>919999999999</v>
      </c>
      <c r="C2770" s="15" t="str">
        <f t="shared" si="1"/>
        <v>nr.itphd@gmail.com919999999999</v>
      </c>
      <c r="D2770" s="16" t="s">
        <v>9933</v>
      </c>
      <c r="E2770" s="16" t="s">
        <v>97</v>
      </c>
    </row>
    <row r="2771">
      <c r="A2771" s="1" t="s">
        <v>9934</v>
      </c>
      <c r="B2771" s="15">
        <f>+919342769671</f>
        <v>919342769671</v>
      </c>
      <c r="C2771" s="15" t="str">
        <f t="shared" si="1"/>
        <v>ramya2408@gmail.com919342769671</v>
      </c>
      <c r="D2771" s="16" t="s">
        <v>9935</v>
      </c>
      <c r="E2771" s="16" t="s">
        <v>74</v>
      </c>
    </row>
    <row r="2772">
      <c r="A2772" s="1" t="s">
        <v>3307</v>
      </c>
      <c r="B2772" s="15">
        <f>+917780371637</f>
        <v>917780371637</v>
      </c>
      <c r="C2772" s="15" t="str">
        <f t="shared" si="1"/>
        <v>nagarjunaedx@gmail.com917780371637</v>
      </c>
      <c r="D2772" s="16" t="s">
        <v>9936</v>
      </c>
      <c r="E2772" s="16" t="s">
        <v>68</v>
      </c>
    </row>
    <row r="2773">
      <c r="A2773" s="1" t="s">
        <v>5912</v>
      </c>
      <c r="B2773" s="15">
        <f>+919500002131</f>
        <v>919500002131</v>
      </c>
      <c r="C2773" s="15" t="str">
        <f t="shared" si="1"/>
        <v>thirupathy.saravanaraju@gmail.com919500002131</v>
      </c>
      <c r="D2773" s="16" t="s">
        <v>9937</v>
      </c>
      <c r="E2773" s="16" t="s">
        <v>68</v>
      </c>
    </row>
    <row r="2774">
      <c r="A2774" s="1" t="s">
        <v>9938</v>
      </c>
      <c r="B2774" s="15">
        <f>+919035028989</f>
        <v>919035028989</v>
      </c>
      <c r="C2774" s="15" t="str">
        <f t="shared" si="1"/>
        <v>damarisvictor7@gmail.com919035028989</v>
      </c>
      <c r="D2774" s="16" t="s">
        <v>9939</v>
      </c>
      <c r="E2774" s="16" t="s">
        <v>68</v>
      </c>
    </row>
    <row r="2775">
      <c r="A2775" s="1" t="s">
        <v>5540</v>
      </c>
      <c r="B2775" s="15">
        <f>+918096162491</f>
        <v>918096162491</v>
      </c>
      <c r="C2775" s="15" t="str">
        <f t="shared" si="1"/>
        <v>sourab62@gmail.com918096162491</v>
      </c>
      <c r="D2775" s="16" t="s">
        <v>9940</v>
      </c>
      <c r="E2775" s="16" t="s">
        <v>68</v>
      </c>
    </row>
    <row r="2776">
      <c r="A2776" s="1" t="s">
        <v>4326</v>
      </c>
      <c r="B2776" s="15">
        <f>+919619563306</f>
        <v>919619563306</v>
      </c>
      <c r="C2776" s="15" t="str">
        <f t="shared" si="1"/>
        <v>leenapoulose1971@gmail.com919619563306</v>
      </c>
      <c r="D2776" s="16" t="s">
        <v>9941</v>
      </c>
      <c r="E2776" s="16" t="s">
        <v>74</v>
      </c>
    </row>
    <row r="2777">
      <c r="A2777" s="1" t="s">
        <v>4328</v>
      </c>
      <c r="B2777" s="1">
        <v>9.17977481051E11</v>
      </c>
      <c r="C2777" s="15" t="str">
        <f t="shared" si="1"/>
        <v>ruchimm12@gmail.com917977481051</v>
      </c>
      <c r="D2777" s="17" t="s">
        <v>9942</v>
      </c>
      <c r="E2777" s="18" t="s">
        <v>68</v>
      </c>
    </row>
    <row r="2778">
      <c r="A2778" s="1" t="s">
        <v>3254</v>
      </c>
      <c r="B2778" s="1">
        <v>9.18171626726E11</v>
      </c>
      <c r="C2778" s="15" t="str">
        <f t="shared" si="1"/>
        <v>hunnygrover96@gmail.com918171626726</v>
      </c>
      <c r="D2778" s="17" t="s">
        <v>9943</v>
      </c>
      <c r="E2778" s="18" t="s">
        <v>68</v>
      </c>
    </row>
    <row r="2779">
      <c r="A2779" s="1" t="s">
        <v>4724</v>
      </c>
      <c r="B2779" s="1">
        <v>9.19894167483E11</v>
      </c>
      <c r="C2779" s="15" t="str">
        <f t="shared" si="1"/>
        <v>bharathipunithavathi@gmail.com919894167483</v>
      </c>
      <c r="D2779" s="17" t="s">
        <v>9944</v>
      </c>
      <c r="E2779" s="18" t="s">
        <v>68</v>
      </c>
    </row>
    <row r="2780">
      <c r="A2780" s="1" t="s">
        <v>6138</v>
      </c>
      <c r="B2780" s="1">
        <v>9.17097515477E11</v>
      </c>
      <c r="C2780" s="15" t="str">
        <f t="shared" si="1"/>
        <v>sabeenfatima1805@gmail.com917097515477</v>
      </c>
      <c r="D2780" s="17" t="s">
        <v>9945</v>
      </c>
      <c r="E2780" s="18" t="s">
        <v>68</v>
      </c>
    </row>
    <row r="2781">
      <c r="A2781" s="1" t="s">
        <v>5542</v>
      </c>
      <c r="B2781" s="1">
        <v>9.17050446003E11</v>
      </c>
      <c r="C2781" s="15" t="str">
        <f t="shared" si="1"/>
        <v>gauravsoni10123@gmail.com917050446003</v>
      </c>
      <c r="D2781" s="17" t="s">
        <v>9946</v>
      </c>
      <c r="E2781" s="18" t="s">
        <v>68</v>
      </c>
    </row>
    <row r="2782">
      <c r="A2782" s="1" t="s">
        <v>4182</v>
      </c>
      <c r="B2782" s="1">
        <v>9.19101738845E11</v>
      </c>
      <c r="C2782" s="15" t="str">
        <f t="shared" si="1"/>
        <v>fareenhussain786@gmail.com919101738845</v>
      </c>
      <c r="D2782" s="17" t="s">
        <v>9947</v>
      </c>
      <c r="E2782" s="18" t="s">
        <v>68</v>
      </c>
    </row>
    <row r="2783">
      <c r="A2783" s="1" t="s">
        <v>9948</v>
      </c>
      <c r="B2783" s="1">
        <v>9.19544433732E11</v>
      </c>
      <c r="C2783" s="15" t="str">
        <f t="shared" si="1"/>
        <v>johnvaidyan4494@gmail.com919544433732</v>
      </c>
      <c r="D2783" s="17" t="s">
        <v>9949</v>
      </c>
      <c r="E2783" s="18" t="s">
        <v>74</v>
      </c>
    </row>
    <row r="2784">
      <c r="A2784" s="1" t="s">
        <v>9948</v>
      </c>
      <c r="B2784" s="1">
        <v>9.19544433732E11</v>
      </c>
      <c r="C2784" s="15" t="str">
        <f t="shared" si="1"/>
        <v>johnvaidyan4494@gmail.com919544433732</v>
      </c>
      <c r="D2784" s="17" t="s">
        <v>9950</v>
      </c>
      <c r="E2784" s="18" t="s">
        <v>74</v>
      </c>
    </row>
    <row r="2785">
      <c r="A2785" s="1" t="s">
        <v>9948</v>
      </c>
      <c r="B2785" s="1">
        <v>9.19544433732E11</v>
      </c>
      <c r="C2785" s="15" t="str">
        <f t="shared" si="1"/>
        <v>johnvaidyan4494@gmail.com919544433732</v>
      </c>
      <c r="D2785" s="17" t="s">
        <v>9951</v>
      </c>
      <c r="E2785" s="18" t="s">
        <v>74</v>
      </c>
    </row>
    <row r="2786">
      <c r="A2786" s="1" t="s">
        <v>9948</v>
      </c>
      <c r="B2786" s="1">
        <v>9.19544433732E11</v>
      </c>
      <c r="C2786" s="15" t="str">
        <f t="shared" si="1"/>
        <v>johnvaidyan4494@gmail.com919544433732</v>
      </c>
      <c r="D2786" s="17" t="s">
        <v>9952</v>
      </c>
      <c r="E2786" s="18" t="s">
        <v>74</v>
      </c>
    </row>
    <row r="2787">
      <c r="A2787" s="1" t="s">
        <v>5170</v>
      </c>
      <c r="B2787" s="1">
        <v>9.19811390301E11</v>
      </c>
      <c r="C2787" s="15" t="str">
        <f t="shared" si="1"/>
        <v>sainijyoti1986@yahoo.com919811390301</v>
      </c>
      <c r="D2787" s="17" t="s">
        <v>9953</v>
      </c>
      <c r="E2787" s="18" t="s">
        <v>68</v>
      </c>
    </row>
    <row r="2788">
      <c r="A2788" s="1" t="s">
        <v>5170</v>
      </c>
      <c r="B2788" s="1">
        <v>9.19811390301E11</v>
      </c>
      <c r="C2788" s="15" t="str">
        <f t="shared" si="1"/>
        <v>sainijyoti1986@yahoo.com919811390301</v>
      </c>
      <c r="D2788" s="17" t="s">
        <v>9954</v>
      </c>
      <c r="E2788" s="18" t="s">
        <v>68</v>
      </c>
    </row>
    <row r="2789">
      <c r="A2789" s="1" t="s">
        <v>5170</v>
      </c>
      <c r="B2789" s="1">
        <v>9.19811390301E11</v>
      </c>
      <c r="C2789" s="15" t="str">
        <f t="shared" si="1"/>
        <v>sainijyoti1986@yahoo.com919811390301</v>
      </c>
      <c r="D2789" s="17" t="s">
        <v>9955</v>
      </c>
      <c r="E2789" s="18" t="s">
        <v>68</v>
      </c>
    </row>
    <row r="2790">
      <c r="A2790" s="1" t="s">
        <v>4329</v>
      </c>
      <c r="B2790" s="1">
        <v>9.1837505334E11</v>
      </c>
      <c r="C2790" s="15" t="str">
        <f t="shared" si="1"/>
        <v>priyasinghal527@gmail.com918375053340</v>
      </c>
      <c r="D2790" s="17" t="s">
        <v>9956</v>
      </c>
      <c r="E2790" s="18" t="s">
        <v>68</v>
      </c>
    </row>
    <row r="2791">
      <c r="A2791" s="1" t="s">
        <v>5468</v>
      </c>
      <c r="B2791" s="1">
        <v>9.19080028916E11</v>
      </c>
      <c r="C2791" s="15" t="str">
        <f t="shared" si="1"/>
        <v>s.ramsaiaravindh@gmail.com919080028916</v>
      </c>
      <c r="D2791" s="17" t="s">
        <v>9957</v>
      </c>
      <c r="E2791" s="18" t="s">
        <v>68</v>
      </c>
    </row>
    <row r="2792">
      <c r="A2792" s="1" t="s">
        <v>2677</v>
      </c>
      <c r="B2792" s="1">
        <v>9.17769949955E11</v>
      </c>
      <c r="C2792" s="15" t="str">
        <f t="shared" si="1"/>
        <v>divyarsakundarwar@gmail.com917769949955</v>
      </c>
      <c r="D2792" s="17" t="s">
        <v>9958</v>
      </c>
      <c r="E2792" s="18" t="s">
        <v>68</v>
      </c>
    </row>
    <row r="2793">
      <c r="A2793" s="1" t="s">
        <v>5469</v>
      </c>
      <c r="B2793" s="1">
        <v>9.19003754317E11</v>
      </c>
      <c r="C2793" s="15" t="str">
        <f t="shared" si="1"/>
        <v>srshshobi@gmail.com919003754317</v>
      </c>
      <c r="D2793" s="17" t="s">
        <v>9959</v>
      </c>
      <c r="E2793" s="18" t="s">
        <v>68</v>
      </c>
    </row>
    <row r="2794">
      <c r="A2794" s="1" t="s">
        <v>6139</v>
      </c>
      <c r="B2794" s="1">
        <v>9.18630094952E11</v>
      </c>
      <c r="C2794" s="15" t="str">
        <f t="shared" si="1"/>
        <v>100tusharanand@gmail.com918630094952</v>
      </c>
      <c r="D2794" s="17" t="s">
        <v>9960</v>
      </c>
      <c r="E2794" s="18" t="s">
        <v>68</v>
      </c>
    </row>
    <row r="2795">
      <c r="A2795" s="1" t="s">
        <v>4725</v>
      </c>
      <c r="B2795" s="1">
        <v>9.19660288432E11</v>
      </c>
      <c r="C2795" s="15" t="str">
        <f t="shared" si="1"/>
        <v>ikrock88@gmail.com919660288432</v>
      </c>
      <c r="D2795" s="17" t="s">
        <v>9961</v>
      </c>
      <c r="E2795" s="18" t="s">
        <v>68</v>
      </c>
    </row>
    <row r="2796">
      <c r="A2796" s="1" t="s">
        <v>6139</v>
      </c>
      <c r="B2796" s="1">
        <v>9.18630094952E11</v>
      </c>
      <c r="C2796" s="15" t="str">
        <f t="shared" si="1"/>
        <v>100tusharanand@gmail.com918630094952</v>
      </c>
      <c r="D2796" s="17" t="s">
        <v>9962</v>
      </c>
      <c r="E2796" s="18" t="s">
        <v>68</v>
      </c>
    </row>
    <row r="2797">
      <c r="A2797" s="1" t="s">
        <v>6139</v>
      </c>
      <c r="B2797" s="1">
        <v>9.18630094952E11</v>
      </c>
      <c r="C2797" s="15" t="str">
        <f t="shared" si="1"/>
        <v>100tusharanand@gmail.com918630094952</v>
      </c>
      <c r="D2797" s="17" t="s">
        <v>9963</v>
      </c>
      <c r="E2797" s="18" t="s">
        <v>68</v>
      </c>
    </row>
    <row r="2798">
      <c r="A2798" s="1" t="s">
        <v>2678</v>
      </c>
      <c r="B2798" s="1">
        <v>9.19004819208E11</v>
      </c>
      <c r="C2798" s="15" t="str">
        <f t="shared" si="1"/>
        <v>rakeshnotification@gmail.com919004819208</v>
      </c>
      <c r="D2798" s="17" t="s">
        <v>9964</v>
      </c>
      <c r="E2798" s="18" t="s">
        <v>68</v>
      </c>
    </row>
    <row r="2799">
      <c r="A2799" s="1" t="s">
        <v>4330</v>
      </c>
      <c r="B2799" s="1">
        <v>9.19068454571E11</v>
      </c>
      <c r="C2799" s="15" t="str">
        <f t="shared" si="1"/>
        <v>silky.arora8@gmail.com919068454571</v>
      </c>
      <c r="D2799" s="17" t="s">
        <v>9965</v>
      </c>
      <c r="E2799" s="18" t="s">
        <v>74</v>
      </c>
    </row>
    <row r="2800">
      <c r="A2800" s="1" t="s">
        <v>4183</v>
      </c>
      <c r="B2800" s="1">
        <v>9.17987886331E11</v>
      </c>
      <c r="C2800" s="15" t="str">
        <f t="shared" si="1"/>
        <v>priyankaayadav1807@gmail.com917987886331</v>
      </c>
      <c r="D2800" s="17" t="s">
        <v>9966</v>
      </c>
      <c r="E2800" s="18" t="s">
        <v>68</v>
      </c>
    </row>
    <row r="2801">
      <c r="A2801" s="1" t="s">
        <v>4183</v>
      </c>
      <c r="B2801" s="1">
        <v>9.17987886331E11</v>
      </c>
      <c r="C2801" s="15" t="str">
        <f t="shared" si="1"/>
        <v>priyankaayadav1807@gmail.com917987886331</v>
      </c>
      <c r="D2801" s="17" t="s">
        <v>9967</v>
      </c>
      <c r="E2801" s="18" t="s">
        <v>68</v>
      </c>
    </row>
    <row r="2802">
      <c r="A2802" s="1" t="s">
        <v>9968</v>
      </c>
      <c r="B2802" s="1">
        <v>9.19041967737E11</v>
      </c>
      <c r="C2802" s="15" t="str">
        <f t="shared" si="1"/>
        <v>ramanshant@gmail.com919041967737</v>
      </c>
      <c r="D2802" s="17" t="s">
        <v>9969</v>
      </c>
      <c r="E2802" s="18" t="s">
        <v>74</v>
      </c>
    </row>
    <row r="2803">
      <c r="A2803" s="1" t="s">
        <v>3134</v>
      </c>
      <c r="B2803" s="1">
        <v>9.18460324296E11</v>
      </c>
      <c r="C2803" s="15" t="str">
        <f t="shared" si="1"/>
        <v>jyotidora21@gmail.com918460324296</v>
      </c>
      <c r="D2803" s="17" t="s">
        <v>9970</v>
      </c>
      <c r="E2803" s="18" t="s">
        <v>74</v>
      </c>
    </row>
    <row r="2804">
      <c r="A2804" s="1" t="s">
        <v>2870</v>
      </c>
      <c r="B2804" s="1">
        <v>9.19834631453E11</v>
      </c>
      <c r="C2804" s="15" t="str">
        <f t="shared" si="1"/>
        <v>globuscurehealthcare@gmail.com919834631453</v>
      </c>
      <c r="D2804" s="17" t="s">
        <v>9971</v>
      </c>
      <c r="E2804" s="18" t="s">
        <v>68</v>
      </c>
    </row>
    <row r="2805">
      <c r="A2805" s="1" t="s">
        <v>9972</v>
      </c>
      <c r="B2805" s="1">
        <v>9.18197072296E11</v>
      </c>
      <c r="C2805" s="15" t="str">
        <f t="shared" si="1"/>
        <v>jaloota@gmail.com918197072296</v>
      </c>
      <c r="D2805" s="17" t="s">
        <v>9973</v>
      </c>
      <c r="E2805" s="18" t="s">
        <v>74</v>
      </c>
    </row>
    <row r="2806">
      <c r="A2806" s="1" t="s">
        <v>9974</v>
      </c>
      <c r="B2806" s="1">
        <v>9.16033091155E11</v>
      </c>
      <c r="C2806" s="15" t="str">
        <f t="shared" si="1"/>
        <v>ashimdatt@gmail.com916033091155</v>
      </c>
      <c r="D2806" s="17" t="s">
        <v>9975</v>
      </c>
      <c r="E2806" s="18" t="s">
        <v>97</v>
      </c>
    </row>
    <row r="2807">
      <c r="A2807" s="1" t="s">
        <v>4483</v>
      </c>
      <c r="B2807" s="1">
        <v>9.19779770358E11</v>
      </c>
      <c r="C2807" s="15" t="str">
        <f t="shared" si="1"/>
        <v>sasuke11400374@gmail.com919779770358</v>
      </c>
      <c r="D2807" s="17" t="s">
        <v>9976</v>
      </c>
      <c r="E2807" s="18" t="s">
        <v>68</v>
      </c>
    </row>
    <row r="2808">
      <c r="A2808" s="1" t="s">
        <v>4483</v>
      </c>
      <c r="B2808" s="1">
        <v>9.19779770358E11</v>
      </c>
      <c r="C2808" s="15" t="str">
        <f t="shared" si="1"/>
        <v>sasuke11400374@gmail.com919779770358</v>
      </c>
      <c r="D2808" s="17" t="s">
        <v>9977</v>
      </c>
      <c r="E2808" s="18" t="s">
        <v>68</v>
      </c>
    </row>
    <row r="2809">
      <c r="A2809" s="1" t="s">
        <v>6169</v>
      </c>
      <c r="B2809" s="1">
        <v>9.19818021789E11</v>
      </c>
      <c r="C2809" s="15" t="str">
        <f t="shared" si="1"/>
        <v>dr_amarendra@rediffmail.com919818021789</v>
      </c>
      <c r="D2809" s="17" t="s">
        <v>9978</v>
      </c>
      <c r="E2809" s="18" t="s">
        <v>68</v>
      </c>
    </row>
    <row r="2810">
      <c r="A2810" s="1" t="s">
        <v>6295</v>
      </c>
      <c r="B2810" s="1">
        <v>9.19130169478E11</v>
      </c>
      <c r="C2810" s="15" t="str">
        <f t="shared" si="1"/>
        <v>prasadgiri204@gmail.com919130169478</v>
      </c>
      <c r="D2810" s="17" t="s">
        <v>9979</v>
      </c>
      <c r="E2810" s="18" t="s">
        <v>68</v>
      </c>
    </row>
    <row r="2811">
      <c r="A2811" s="1" t="s">
        <v>4184</v>
      </c>
      <c r="B2811" s="1">
        <v>9.18247643819E11</v>
      </c>
      <c r="C2811" s="15" t="str">
        <f t="shared" si="1"/>
        <v>sravaninaidu499@gmail.com918247643819</v>
      </c>
      <c r="D2811" s="17" t="s">
        <v>9980</v>
      </c>
      <c r="E2811" s="18" t="s">
        <v>68</v>
      </c>
    </row>
    <row r="2812">
      <c r="A2812" s="1" t="s">
        <v>4331</v>
      </c>
      <c r="B2812" s="1">
        <v>9.18431726383E11</v>
      </c>
      <c r="C2812" s="15" t="str">
        <f t="shared" si="1"/>
        <v>jayanthiv761@gmail.com918431726383</v>
      </c>
      <c r="D2812" s="17" t="s">
        <v>9981</v>
      </c>
      <c r="E2812" s="18" t="s">
        <v>68</v>
      </c>
    </row>
    <row r="2813">
      <c r="A2813" s="1" t="s">
        <v>9924</v>
      </c>
      <c r="B2813" s="1">
        <v>9.17629882789E11</v>
      </c>
      <c r="C2813" s="15" t="str">
        <f t="shared" si="1"/>
        <v>bhairido123@gmail.com917629882789</v>
      </c>
      <c r="D2813" s="17" t="s">
        <v>9982</v>
      </c>
      <c r="E2813" s="18" t="s">
        <v>74</v>
      </c>
    </row>
    <row r="2814">
      <c r="A2814" s="1" t="s">
        <v>9983</v>
      </c>
      <c r="B2814" s="1">
        <v>9.1902002323E11</v>
      </c>
      <c r="C2814" s="15" t="str">
        <f t="shared" si="1"/>
        <v>nasvpo@gmail.com919020023230</v>
      </c>
      <c r="D2814" s="17" t="s">
        <v>9984</v>
      </c>
      <c r="E2814" s="18" t="s">
        <v>74</v>
      </c>
    </row>
    <row r="2815">
      <c r="A2815" s="1" t="s">
        <v>3811</v>
      </c>
      <c r="B2815" s="1">
        <v>9.19926298797E11</v>
      </c>
      <c r="C2815" s="15" t="str">
        <f t="shared" si="1"/>
        <v>pandeyshiksha000@gmail.com919926298797</v>
      </c>
      <c r="D2815" s="17" t="s">
        <v>9985</v>
      </c>
      <c r="E2815" s="18" t="s">
        <v>68</v>
      </c>
    </row>
    <row r="2816">
      <c r="A2816" s="1" t="s">
        <v>7283</v>
      </c>
      <c r="B2816" s="1">
        <v>9.19166106191E11</v>
      </c>
      <c r="C2816" s="15" t="str">
        <f t="shared" si="1"/>
        <v>rastogivishal00011@gmail.com919166106191</v>
      </c>
      <c r="D2816" s="17" t="s">
        <v>9986</v>
      </c>
      <c r="E2816" s="18" t="s">
        <v>151</v>
      </c>
    </row>
    <row r="2817">
      <c r="A2817" s="1" t="s">
        <v>5914</v>
      </c>
      <c r="B2817" s="1">
        <v>9.19958019752E11</v>
      </c>
      <c r="C2817" s="15" t="str">
        <f t="shared" si="1"/>
        <v>monicahira29@yahoo.com919958019752</v>
      </c>
      <c r="D2817" s="17" t="s">
        <v>9987</v>
      </c>
      <c r="E2817" s="18" t="s">
        <v>74</v>
      </c>
    </row>
    <row r="2818">
      <c r="A2818" s="1" t="s">
        <v>5899</v>
      </c>
      <c r="B2818" s="1">
        <v>9.19871843457E11</v>
      </c>
      <c r="C2818" s="15" t="str">
        <f t="shared" si="1"/>
        <v>anshu123h@gmail.com919871843457</v>
      </c>
      <c r="D2818" s="17" t="s">
        <v>9988</v>
      </c>
      <c r="E2818" s="18" t="s">
        <v>68</v>
      </c>
    </row>
    <row r="2819">
      <c r="A2819" s="1" t="s">
        <v>4726</v>
      </c>
      <c r="B2819" s="1">
        <v>9.18368843871E11</v>
      </c>
      <c r="C2819" s="15" t="str">
        <f t="shared" si="1"/>
        <v>nk32293@gmail.com918368843871</v>
      </c>
      <c r="D2819" s="17" t="s">
        <v>9989</v>
      </c>
      <c r="E2819" s="18" t="s">
        <v>68</v>
      </c>
    </row>
    <row r="2820">
      <c r="A2820" s="1" t="s">
        <v>4332</v>
      </c>
      <c r="B2820" s="1">
        <v>9.1880685118E11</v>
      </c>
      <c r="C2820" s="15" t="str">
        <f t="shared" si="1"/>
        <v>sonaladdu361@gmail.com918806851180</v>
      </c>
      <c r="D2820" s="17" t="s">
        <v>9990</v>
      </c>
      <c r="E2820" s="18" t="s">
        <v>68</v>
      </c>
    </row>
    <row r="2821">
      <c r="A2821" s="1" t="s">
        <v>6501</v>
      </c>
      <c r="B2821" s="1">
        <v>9.19593380027E11</v>
      </c>
      <c r="C2821" s="15" t="str">
        <f t="shared" si="1"/>
        <v>sreeparnadasnath2015@gmail.com919593380027</v>
      </c>
      <c r="D2821" s="17" t="s">
        <v>9991</v>
      </c>
      <c r="E2821" s="18" t="s">
        <v>74</v>
      </c>
    </row>
    <row r="2822">
      <c r="A2822" s="1" t="s">
        <v>4726</v>
      </c>
      <c r="B2822" s="1">
        <v>9.18368843871E11</v>
      </c>
      <c r="C2822" s="15" t="str">
        <f t="shared" si="1"/>
        <v>nk32293@gmail.com918368843871</v>
      </c>
      <c r="D2822" s="17" t="s">
        <v>9992</v>
      </c>
      <c r="E2822" s="18" t="s">
        <v>68</v>
      </c>
    </row>
    <row r="2823">
      <c r="A2823" s="1" t="s">
        <v>6140</v>
      </c>
      <c r="B2823" s="1">
        <v>9.19007981333E11</v>
      </c>
      <c r="C2823" s="15" t="str">
        <f t="shared" si="1"/>
        <v>mushrifk76@gmail.com919007981333</v>
      </c>
      <c r="D2823" s="17" t="s">
        <v>9993</v>
      </c>
      <c r="E2823" s="18" t="s">
        <v>68</v>
      </c>
    </row>
    <row r="2824">
      <c r="A2824" s="1" t="s">
        <v>9994</v>
      </c>
      <c r="B2824" s="1">
        <v>9.17303191577E11</v>
      </c>
      <c r="C2824" s="15" t="str">
        <f t="shared" si="1"/>
        <v>gautam.rampal@gmail.com917303191577</v>
      </c>
      <c r="D2824" s="17" t="s">
        <v>9995</v>
      </c>
      <c r="E2824" s="18" t="s">
        <v>97</v>
      </c>
    </row>
    <row r="2825">
      <c r="A2825" s="1" t="s">
        <v>4333</v>
      </c>
      <c r="B2825" s="1">
        <v>9.19318380912E11</v>
      </c>
      <c r="C2825" s="15" t="str">
        <f t="shared" si="1"/>
        <v>mkumar147258@gmail.com919318380912</v>
      </c>
      <c r="D2825" s="17" t="s">
        <v>9996</v>
      </c>
      <c r="E2825" s="18" t="s">
        <v>68</v>
      </c>
    </row>
    <row r="2826">
      <c r="A2826" s="1" t="s">
        <v>6500</v>
      </c>
      <c r="B2826" s="1">
        <v>9.19884976841E11</v>
      </c>
      <c r="C2826" s="15" t="str">
        <f t="shared" si="1"/>
        <v>novonilghosh84@gmail.com919884976841</v>
      </c>
      <c r="D2826" s="17" t="s">
        <v>9997</v>
      </c>
      <c r="E2826" s="18" t="s">
        <v>74</v>
      </c>
    </row>
    <row r="2827">
      <c r="A2827" s="1" t="s">
        <v>2382</v>
      </c>
      <c r="B2827" s="1">
        <v>9.17696803173E11</v>
      </c>
      <c r="C2827" s="15" t="str">
        <f t="shared" si="1"/>
        <v>bhavneetk87@gmail.com917696803173</v>
      </c>
      <c r="D2827" s="17" t="s">
        <v>9998</v>
      </c>
      <c r="E2827" s="18" t="s">
        <v>68</v>
      </c>
    </row>
    <row r="2828">
      <c r="A2828" s="1" t="s">
        <v>9999</v>
      </c>
      <c r="B2828" s="1">
        <v>9.18107251054E11</v>
      </c>
      <c r="C2828" s="15" t="str">
        <f t="shared" si="1"/>
        <v>barboraannapurna19@gmail.com918107251054</v>
      </c>
      <c r="D2828" s="17" t="s">
        <v>10000</v>
      </c>
      <c r="E2828" s="18" t="s">
        <v>97</v>
      </c>
    </row>
    <row r="2829">
      <c r="A2829" s="1" t="s">
        <v>2679</v>
      </c>
      <c r="B2829" s="1">
        <v>9.18794360554E11</v>
      </c>
      <c r="C2829" s="15" t="str">
        <f t="shared" si="1"/>
        <v>geetpurkayastha@gmail.com918794360554</v>
      </c>
      <c r="D2829" s="17" t="s">
        <v>10001</v>
      </c>
      <c r="E2829" s="18" t="s">
        <v>151</v>
      </c>
    </row>
    <row r="2830">
      <c r="A2830" s="1" t="s">
        <v>6554</v>
      </c>
      <c r="B2830" s="1">
        <v>9.19840718371E11</v>
      </c>
      <c r="C2830" s="15" t="str">
        <f t="shared" si="1"/>
        <v>shreefinancials@hotmail.com919840718371</v>
      </c>
      <c r="D2830" s="17" t="s">
        <v>10002</v>
      </c>
      <c r="E2830" s="18" t="s">
        <v>68</v>
      </c>
    </row>
    <row r="2831">
      <c r="A2831" s="1" t="s">
        <v>6554</v>
      </c>
      <c r="B2831" s="1">
        <v>9.19840609903E11</v>
      </c>
      <c r="C2831" s="15" t="str">
        <f t="shared" si="1"/>
        <v>shreefinancials@hotmail.com919840609903</v>
      </c>
      <c r="D2831" s="17" t="s">
        <v>10003</v>
      </c>
      <c r="E2831" s="18" t="s">
        <v>68</v>
      </c>
    </row>
    <row r="2832">
      <c r="A2832" s="1" t="s">
        <v>3479</v>
      </c>
      <c r="B2832" s="1">
        <v>9.19097552007E11</v>
      </c>
      <c r="C2832" s="15" t="str">
        <f t="shared" si="1"/>
        <v>luckycharm846003@gmail.com919097552007</v>
      </c>
      <c r="D2832" s="17" t="s">
        <v>10004</v>
      </c>
      <c r="E2832" s="18" t="s">
        <v>74</v>
      </c>
    </row>
    <row r="2833">
      <c r="A2833" s="1" t="s">
        <v>10005</v>
      </c>
      <c r="B2833" s="1">
        <v>9.188258721E11</v>
      </c>
      <c r="C2833" s="15" t="str">
        <f t="shared" si="1"/>
        <v>priyanka.dheer98@gmail.com918825872100</v>
      </c>
      <c r="D2833" s="17" t="s">
        <v>10006</v>
      </c>
      <c r="E2833" s="18" t="s">
        <v>74</v>
      </c>
    </row>
    <row r="2834">
      <c r="A2834" s="1" t="s">
        <v>7344</v>
      </c>
      <c r="B2834" s="1">
        <v>9.19310818126E11</v>
      </c>
      <c r="C2834" s="15" t="str">
        <f t="shared" si="1"/>
        <v>thebakery1509@gmail.com919310818126</v>
      </c>
      <c r="D2834" s="17" t="s">
        <v>10007</v>
      </c>
      <c r="E2834" s="18" t="s">
        <v>68</v>
      </c>
    </row>
    <row r="2835">
      <c r="A2835" s="1" t="s">
        <v>4727</v>
      </c>
      <c r="B2835" s="1">
        <v>9.17859910412E11</v>
      </c>
      <c r="C2835" s="15" t="str">
        <f t="shared" si="1"/>
        <v>rudraagrawal2004@gmail.com917859910412</v>
      </c>
      <c r="D2835" s="17" t="s">
        <v>10008</v>
      </c>
      <c r="E2835" s="18" t="s">
        <v>68</v>
      </c>
    </row>
    <row r="2836">
      <c r="A2836" s="1" t="s">
        <v>6196</v>
      </c>
      <c r="B2836" s="1">
        <v>9.17588057407E11</v>
      </c>
      <c r="C2836" s="15" t="str">
        <f t="shared" si="1"/>
        <v>sunitagutte407@gmail.com917588057407</v>
      </c>
      <c r="D2836" s="17" t="s">
        <v>10009</v>
      </c>
      <c r="E2836" s="18" t="s">
        <v>68</v>
      </c>
    </row>
    <row r="2837">
      <c r="A2837" s="1" t="s">
        <v>3923</v>
      </c>
      <c r="B2837" s="1">
        <v>9.17976317993E11</v>
      </c>
      <c r="C2837" s="15" t="str">
        <f t="shared" si="1"/>
        <v>dhanjeetmalakar87@gmail.com917976317993</v>
      </c>
      <c r="D2837" s="17" t="s">
        <v>10010</v>
      </c>
      <c r="E2837" s="18" t="s">
        <v>68</v>
      </c>
    </row>
    <row r="2838">
      <c r="A2838" s="1" t="s">
        <v>3479</v>
      </c>
      <c r="B2838" s="1">
        <v>9.19097552007E11</v>
      </c>
      <c r="C2838" s="15" t="str">
        <f t="shared" si="1"/>
        <v>luckycharm846003@gmail.com919097552007</v>
      </c>
      <c r="D2838" s="17" t="s">
        <v>10011</v>
      </c>
      <c r="E2838" s="18" t="s">
        <v>74</v>
      </c>
    </row>
    <row r="2839">
      <c r="A2839" s="1" t="s">
        <v>2679</v>
      </c>
      <c r="B2839" s="1">
        <v>9.18794360554E11</v>
      </c>
      <c r="C2839" s="15" t="str">
        <f t="shared" si="1"/>
        <v>geetpurkayastha@gmail.com918794360554</v>
      </c>
      <c r="D2839" s="17" t="s">
        <v>10012</v>
      </c>
      <c r="E2839" s="18" t="s">
        <v>97</v>
      </c>
    </row>
    <row r="2840">
      <c r="A2840" s="1" t="s">
        <v>4334</v>
      </c>
      <c r="B2840" s="1">
        <v>9.18595411738E11</v>
      </c>
      <c r="C2840" s="15" t="str">
        <f t="shared" si="1"/>
        <v>msquareinternationalm@gmail.com918595411738</v>
      </c>
      <c r="D2840" s="17" t="s">
        <v>10013</v>
      </c>
      <c r="E2840" s="18" t="s">
        <v>151</v>
      </c>
    </row>
    <row r="2841">
      <c r="A2841" s="1" t="s">
        <v>5041</v>
      </c>
      <c r="B2841" s="1">
        <v>9.19462928027E11</v>
      </c>
      <c r="C2841" s="15" t="str">
        <f t="shared" si="1"/>
        <v>ysaloni872@gmail.com919462928027</v>
      </c>
      <c r="D2841" s="17" t="s">
        <v>10014</v>
      </c>
      <c r="E2841" s="18" t="s">
        <v>68</v>
      </c>
    </row>
    <row r="2842">
      <c r="A2842" s="1" t="s">
        <v>4334</v>
      </c>
      <c r="B2842" s="1">
        <v>9.18595411738E11</v>
      </c>
      <c r="C2842" s="15" t="str">
        <f t="shared" si="1"/>
        <v>msquareinternationalm@gmail.com918595411738</v>
      </c>
      <c r="D2842" s="17" t="s">
        <v>10015</v>
      </c>
      <c r="E2842" s="18" t="s">
        <v>151</v>
      </c>
    </row>
    <row r="2843">
      <c r="A2843" s="1" t="s">
        <v>6512</v>
      </c>
      <c r="B2843" s="1">
        <v>9.19819599898E11</v>
      </c>
      <c r="C2843" s="15" t="str">
        <f t="shared" si="1"/>
        <v>rk.neurekar@gmail.com919819599898</v>
      </c>
      <c r="D2843" s="17" t="s">
        <v>10016</v>
      </c>
      <c r="E2843" s="18" t="s">
        <v>68</v>
      </c>
    </row>
    <row r="2844">
      <c r="A2844" s="1" t="s">
        <v>4837</v>
      </c>
      <c r="B2844" s="1">
        <v>9.19694677834E11</v>
      </c>
      <c r="C2844" s="15" t="str">
        <f t="shared" si="1"/>
        <v>pink.meenu84@gmail.com919694677834</v>
      </c>
      <c r="D2844" s="17" t="s">
        <v>10017</v>
      </c>
      <c r="E2844" s="18" t="s">
        <v>68</v>
      </c>
    </row>
    <row r="2845">
      <c r="A2845" s="1" t="s">
        <v>3924</v>
      </c>
      <c r="B2845" s="1">
        <v>9.17349180717E11</v>
      </c>
      <c r="C2845" s="15" t="str">
        <f t="shared" si="1"/>
        <v>hardikkatne@gmail.com917349180717</v>
      </c>
      <c r="D2845" s="17" t="s">
        <v>10018</v>
      </c>
      <c r="E2845" s="18" t="s">
        <v>151</v>
      </c>
    </row>
    <row r="2846">
      <c r="A2846" s="1" t="s">
        <v>4484</v>
      </c>
      <c r="B2846" s="1">
        <v>9.19036659449E11</v>
      </c>
      <c r="C2846" s="15" t="str">
        <f t="shared" si="1"/>
        <v>nazz7867@gmail.com919036659449</v>
      </c>
      <c r="D2846" s="17" t="s">
        <v>10019</v>
      </c>
      <c r="E2846" s="18" t="s">
        <v>68</v>
      </c>
    </row>
    <row r="2847">
      <c r="A2847" s="1" t="s">
        <v>4185</v>
      </c>
      <c r="B2847" s="1">
        <v>9.19632509996E11</v>
      </c>
      <c r="C2847" s="15" t="str">
        <f t="shared" si="1"/>
        <v>amruth.kumarnn@iipr.in919632509996</v>
      </c>
      <c r="D2847" s="17" t="s">
        <v>10020</v>
      </c>
      <c r="E2847" s="18" t="s">
        <v>68</v>
      </c>
    </row>
    <row r="2848">
      <c r="A2848" s="1" t="s">
        <v>2539</v>
      </c>
      <c r="B2848" s="1">
        <v>9.19930012925E11</v>
      </c>
      <c r="C2848" s="15" t="str">
        <f t="shared" si="1"/>
        <v>phiranandani@gmail.com919930012925</v>
      </c>
      <c r="D2848" s="17" t="s">
        <v>10021</v>
      </c>
      <c r="E2848" s="18" t="s">
        <v>68</v>
      </c>
    </row>
    <row r="2849">
      <c r="A2849" s="1" t="s">
        <v>3991</v>
      </c>
      <c r="B2849" s="1">
        <v>9.19870000144E11</v>
      </c>
      <c r="C2849" s="15" t="str">
        <f t="shared" si="1"/>
        <v>prashanttrupani@yahoo.com919870000144</v>
      </c>
      <c r="D2849" s="17" t="s">
        <v>10022</v>
      </c>
      <c r="E2849" s="18" t="s">
        <v>74</v>
      </c>
    </row>
    <row r="2850">
      <c r="A2850" s="1" t="s">
        <v>10023</v>
      </c>
      <c r="B2850" s="1">
        <v>9.17872809608E11</v>
      </c>
      <c r="C2850" s="15" t="str">
        <f t="shared" si="1"/>
        <v>chauhantina708@gmail.com917872809608</v>
      </c>
      <c r="D2850" s="17" t="s">
        <v>10024</v>
      </c>
      <c r="E2850" s="18" t="s">
        <v>74</v>
      </c>
    </row>
    <row r="2851">
      <c r="A2851" s="1" t="s">
        <v>10025</v>
      </c>
      <c r="B2851" s="1">
        <v>9.1977393022E11</v>
      </c>
      <c r="C2851" s="15" t="str">
        <f t="shared" si="1"/>
        <v>vidhawans@gmail.com919773930220</v>
      </c>
      <c r="D2851" s="17" t="s">
        <v>10026</v>
      </c>
      <c r="E2851" s="18" t="s">
        <v>68</v>
      </c>
    </row>
    <row r="2852">
      <c r="A2852" s="1" t="s">
        <v>6141</v>
      </c>
      <c r="B2852" s="1">
        <v>9.19632661017E11</v>
      </c>
      <c r="C2852" s="15" t="str">
        <f t="shared" si="1"/>
        <v>jagadhishmcom@gmail.com919632661017</v>
      </c>
      <c r="D2852" s="17" t="s">
        <v>10027</v>
      </c>
      <c r="E2852" s="18" t="s">
        <v>68</v>
      </c>
    </row>
    <row r="2853">
      <c r="A2853" s="1" t="s">
        <v>3812</v>
      </c>
      <c r="B2853" s="1">
        <v>9.19742183381E11</v>
      </c>
      <c r="C2853" s="15" t="str">
        <f t="shared" si="1"/>
        <v>rajcse09@gmail.com919742183381</v>
      </c>
      <c r="D2853" s="17" t="s">
        <v>10028</v>
      </c>
      <c r="E2853" s="18" t="s">
        <v>97</v>
      </c>
    </row>
    <row r="2854">
      <c r="A2854" s="1" t="s">
        <v>2844</v>
      </c>
      <c r="B2854" s="1">
        <v>9.17093081109E11</v>
      </c>
      <c r="C2854" s="15" t="str">
        <f t="shared" si="1"/>
        <v>scarysai@gmail.com917093081109</v>
      </c>
      <c r="D2854" s="17" t="s">
        <v>10029</v>
      </c>
      <c r="E2854" s="18" t="s">
        <v>68</v>
      </c>
    </row>
    <row r="2855">
      <c r="A2855" s="1" t="s">
        <v>3135</v>
      </c>
      <c r="B2855" s="1">
        <v>9.19100252335E11</v>
      </c>
      <c r="C2855" s="15" t="str">
        <f t="shared" si="1"/>
        <v>bajigamd@gmail.com919100252335</v>
      </c>
      <c r="D2855" s="17" t="s">
        <v>10030</v>
      </c>
      <c r="E2855" s="18" t="s">
        <v>68</v>
      </c>
    </row>
    <row r="2856">
      <c r="A2856" s="1" t="s">
        <v>3136</v>
      </c>
      <c r="B2856" s="1">
        <v>9.17995809689E11</v>
      </c>
      <c r="C2856" s="15" t="str">
        <f t="shared" si="1"/>
        <v>adivipallesravani99@gmail.com917995809689</v>
      </c>
      <c r="D2856" s="17" t="s">
        <v>10031</v>
      </c>
      <c r="E2856" s="18" t="s">
        <v>68</v>
      </c>
    </row>
    <row r="2857">
      <c r="A2857" s="1" t="s">
        <v>10032</v>
      </c>
      <c r="B2857" s="1">
        <v>9.19819824687E11</v>
      </c>
      <c r="C2857" s="15" t="str">
        <f t="shared" si="1"/>
        <v>mansikallianpur@gmail.com919819824687</v>
      </c>
      <c r="D2857" s="17" t="s">
        <v>10033</v>
      </c>
      <c r="E2857" s="18" t="s">
        <v>68</v>
      </c>
    </row>
    <row r="2858">
      <c r="A2858" s="1" t="s">
        <v>4728</v>
      </c>
      <c r="B2858" s="1">
        <v>9.19823721602E11</v>
      </c>
      <c r="C2858" s="15" t="str">
        <f t="shared" si="1"/>
        <v>anandm4m@gmail.com919823721602</v>
      </c>
      <c r="D2858" s="17" t="s">
        <v>10034</v>
      </c>
      <c r="E2858" s="18" t="s">
        <v>68</v>
      </c>
    </row>
    <row r="2859">
      <c r="A2859" s="1" t="s">
        <v>10035</v>
      </c>
      <c r="B2859" s="1">
        <v>9.19769008917E11</v>
      </c>
      <c r="C2859" s="15" t="str">
        <f t="shared" si="1"/>
        <v>pawar.swapnesh007@gmail.com919769008917</v>
      </c>
      <c r="D2859" s="17" t="s">
        <v>10036</v>
      </c>
      <c r="E2859" s="18" t="s">
        <v>68</v>
      </c>
    </row>
    <row r="2860">
      <c r="A2860" s="1" t="s">
        <v>9571</v>
      </c>
      <c r="B2860" s="1">
        <v>9.19048493429E11</v>
      </c>
      <c r="C2860" s="15" t="str">
        <f t="shared" si="1"/>
        <v>malavikas34@gmail.com919048493429</v>
      </c>
      <c r="D2860" s="17" t="s">
        <v>10037</v>
      </c>
      <c r="E2860" s="18" t="s">
        <v>74</v>
      </c>
    </row>
    <row r="2861">
      <c r="A2861" s="1" t="s">
        <v>3992</v>
      </c>
      <c r="B2861" s="1">
        <v>9.19867944988E11</v>
      </c>
      <c r="C2861" s="15" t="str">
        <f t="shared" si="1"/>
        <v>kripi46@gmail.com919867944988</v>
      </c>
      <c r="D2861" s="17" t="s">
        <v>10038</v>
      </c>
      <c r="E2861" s="18" t="s">
        <v>74</v>
      </c>
    </row>
    <row r="2862">
      <c r="A2862" s="1" t="s">
        <v>2540</v>
      </c>
      <c r="B2862" s="1">
        <v>9.17276167675E11</v>
      </c>
      <c r="C2862" s="15" t="str">
        <f t="shared" si="1"/>
        <v>sunnylalwani07@gmail.com917276167675</v>
      </c>
      <c r="D2862" s="17" t="s">
        <v>10039</v>
      </c>
      <c r="E2862" s="18" t="s">
        <v>68</v>
      </c>
    </row>
    <row r="2863">
      <c r="A2863" s="1" t="s">
        <v>3255</v>
      </c>
      <c r="B2863" s="1">
        <v>9.19567287965E11</v>
      </c>
      <c r="C2863" s="15" t="str">
        <f t="shared" si="1"/>
        <v>aga972@gmail.com919567287965</v>
      </c>
      <c r="D2863" s="17" t="s">
        <v>10040</v>
      </c>
      <c r="E2863" s="18" t="s">
        <v>74</v>
      </c>
    </row>
    <row r="2864">
      <c r="A2864" s="1" t="s">
        <v>4198</v>
      </c>
      <c r="B2864" s="1">
        <v>9.19976111404E11</v>
      </c>
      <c r="C2864" s="15" t="str">
        <f t="shared" si="1"/>
        <v>aarthi865@gmail.com919976111404</v>
      </c>
      <c r="D2864" s="17" t="s">
        <v>10041</v>
      </c>
      <c r="E2864" s="18" t="s">
        <v>151</v>
      </c>
    </row>
    <row r="2865">
      <c r="A2865" s="1" t="s">
        <v>10042</v>
      </c>
      <c r="B2865" s="1">
        <v>9.19600183034E11</v>
      </c>
      <c r="C2865" s="15" t="str">
        <f t="shared" si="1"/>
        <v>vishnupriyast27@gmail.com919600183034</v>
      </c>
      <c r="D2865" s="17" t="s">
        <v>10043</v>
      </c>
      <c r="E2865" s="18" t="s">
        <v>68</v>
      </c>
    </row>
    <row r="2866">
      <c r="A2866" s="1" t="s">
        <v>10044</v>
      </c>
      <c r="B2866" s="1">
        <v>9.17003630651E11</v>
      </c>
      <c r="C2866" s="15" t="str">
        <f t="shared" si="1"/>
        <v>ghoshdebolina18@gmail.com917003630651</v>
      </c>
      <c r="D2866" s="17" t="s">
        <v>10045</v>
      </c>
      <c r="E2866" s="18" t="s">
        <v>68</v>
      </c>
    </row>
    <row r="2867">
      <c r="A2867" s="1" t="s">
        <v>10046</v>
      </c>
      <c r="B2867" s="1">
        <v>9.16366661191E11</v>
      </c>
      <c r="C2867" s="15" t="str">
        <f t="shared" si="1"/>
        <v>1ms19ec015@gmail.com916366661191</v>
      </c>
      <c r="D2867" s="17" t="s">
        <v>10047</v>
      </c>
      <c r="E2867" s="18" t="s">
        <v>68</v>
      </c>
    </row>
    <row r="2868">
      <c r="A2868" s="1" t="s">
        <v>10048</v>
      </c>
      <c r="B2868" s="1">
        <v>9.18249746907E11</v>
      </c>
      <c r="C2868" s="15" t="str">
        <f t="shared" si="1"/>
        <v>sonmijey@gmail.com918249746907</v>
      </c>
      <c r="D2868" s="17" t="s">
        <v>10049</v>
      </c>
      <c r="E2868" s="18" t="s">
        <v>74</v>
      </c>
    </row>
    <row r="2869">
      <c r="A2869" s="1" t="s">
        <v>2871</v>
      </c>
      <c r="B2869" s="1">
        <v>9.19789036189E11</v>
      </c>
      <c r="C2869" s="15" t="str">
        <f t="shared" si="1"/>
        <v>poornamgk@gmail.com919789036189</v>
      </c>
      <c r="D2869" s="17" t="s">
        <v>10050</v>
      </c>
      <c r="E2869" s="18" t="s">
        <v>68</v>
      </c>
    </row>
    <row r="2870">
      <c r="A2870" s="1" t="s">
        <v>3325</v>
      </c>
      <c r="B2870" s="1">
        <v>9.19827215662E11</v>
      </c>
      <c r="C2870" s="15" t="str">
        <f t="shared" si="1"/>
        <v>hpravesh@rediffmail.com919827215662</v>
      </c>
      <c r="D2870" s="17" t="s">
        <v>10051</v>
      </c>
      <c r="E2870" s="18" t="s">
        <v>151</v>
      </c>
    </row>
    <row r="2871">
      <c r="A2871" s="1" t="s">
        <v>4186</v>
      </c>
      <c r="B2871" s="1">
        <v>9.18270200725E11</v>
      </c>
      <c r="C2871" s="15" t="str">
        <f t="shared" si="1"/>
        <v>dutta99anindita@gmail.com918270200725</v>
      </c>
      <c r="D2871" s="17" t="s">
        <v>10052</v>
      </c>
      <c r="E2871" s="18" t="s">
        <v>68</v>
      </c>
    </row>
    <row r="2872">
      <c r="A2872" s="1" t="s">
        <v>2872</v>
      </c>
      <c r="B2872" s="1">
        <v>9.1861885622E11</v>
      </c>
      <c r="C2872" s="15" t="str">
        <f t="shared" si="1"/>
        <v>srijith.asianp@gmail.com918618856220</v>
      </c>
      <c r="D2872" s="17" t="s">
        <v>10053</v>
      </c>
      <c r="E2872" s="18" t="s">
        <v>68</v>
      </c>
    </row>
    <row r="2873">
      <c r="A2873" s="1" t="s">
        <v>5543</v>
      </c>
      <c r="B2873" s="1">
        <v>9.18249427653E11</v>
      </c>
      <c r="C2873" s="15" t="str">
        <f t="shared" si="1"/>
        <v>jayashreepanda091@gmail.com918249427653</v>
      </c>
      <c r="D2873" s="17" t="s">
        <v>10054</v>
      </c>
      <c r="E2873" s="18" t="s">
        <v>68</v>
      </c>
    </row>
    <row r="2874">
      <c r="A2874" s="1" t="s">
        <v>5470</v>
      </c>
      <c r="B2874" s="1">
        <v>9.19686244607E11</v>
      </c>
      <c r="C2874" s="15" t="str">
        <f t="shared" si="1"/>
        <v>vinay4607.19@kgmcindia.edu919686244607</v>
      </c>
      <c r="D2874" s="17" t="s">
        <v>10055</v>
      </c>
      <c r="E2874" s="18" t="s">
        <v>68</v>
      </c>
    </row>
    <row r="2875">
      <c r="A2875" s="1" t="s">
        <v>10056</v>
      </c>
      <c r="B2875" s="1">
        <v>9.16305924166E11</v>
      </c>
      <c r="C2875" s="15" t="str">
        <f t="shared" si="1"/>
        <v>aeomorgi28@gmail.com916305924166</v>
      </c>
      <c r="D2875" s="17" t="s">
        <v>10057</v>
      </c>
      <c r="E2875" s="18" t="s">
        <v>151</v>
      </c>
    </row>
    <row r="2876">
      <c r="A2876" s="1" t="s">
        <v>6413</v>
      </c>
      <c r="B2876" s="1">
        <v>9.17397595985E11</v>
      </c>
      <c r="C2876" s="15" t="str">
        <f t="shared" si="1"/>
        <v>muzaina2000@gmail.com917397595985</v>
      </c>
      <c r="D2876" s="17" t="s">
        <v>10058</v>
      </c>
      <c r="E2876" s="18" t="s">
        <v>68</v>
      </c>
    </row>
    <row r="2877">
      <c r="A2877" s="1" t="s">
        <v>6413</v>
      </c>
      <c r="B2877" s="1">
        <v>9.17397595985E11</v>
      </c>
      <c r="C2877" s="15" t="str">
        <f t="shared" si="1"/>
        <v>muzaina2000@gmail.com917397595985</v>
      </c>
      <c r="D2877" s="17" t="s">
        <v>10059</v>
      </c>
      <c r="E2877" s="18" t="s">
        <v>68</v>
      </c>
    </row>
    <row r="2878">
      <c r="A2878" s="1" t="s">
        <v>6413</v>
      </c>
      <c r="B2878" s="1">
        <v>9.17397595985E11</v>
      </c>
      <c r="C2878" s="15" t="str">
        <f t="shared" si="1"/>
        <v>muzaina2000@gmail.com917397595985</v>
      </c>
      <c r="D2878" s="17" t="s">
        <v>10060</v>
      </c>
      <c r="E2878" s="18" t="s">
        <v>68</v>
      </c>
    </row>
    <row r="2879">
      <c r="A2879" s="1" t="s">
        <v>2541</v>
      </c>
      <c r="B2879" s="1">
        <v>9.19589937446E11</v>
      </c>
      <c r="C2879" s="15" t="str">
        <f t="shared" si="1"/>
        <v>rupalimahla@gmail.com919589937446</v>
      </c>
      <c r="D2879" s="17" t="s">
        <v>10061</v>
      </c>
      <c r="E2879" s="18" t="s">
        <v>68</v>
      </c>
    </row>
    <row r="2880">
      <c r="A2880" s="1" t="s">
        <v>6413</v>
      </c>
      <c r="B2880" s="1">
        <v>9.17397595985E11</v>
      </c>
      <c r="C2880" s="15" t="str">
        <f t="shared" si="1"/>
        <v>muzaina2000@gmail.com917397595985</v>
      </c>
      <c r="D2880" s="17" t="s">
        <v>10062</v>
      </c>
      <c r="E2880" s="18" t="s">
        <v>74</v>
      </c>
    </row>
    <row r="2881">
      <c r="A2881" s="1" t="s">
        <v>3813</v>
      </c>
      <c r="B2881" s="1">
        <v>9.19739866025E11</v>
      </c>
      <c r="C2881" s="15" t="str">
        <f t="shared" si="1"/>
        <v>sharmith67@gmail.com919739866025</v>
      </c>
      <c r="D2881" s="17" t="s">
        <v>10063</v>
      </c>
      <c r="E2881" s="18" t="s">
        <v>68</v>
      </c>
    </row>
    <row r="2882">
      <c r="A2882" s="1" t="s">
        <v>5544</v>
      </c>
      <c r="B2882" s="1">
        <v>9.1958902703E11</v>
      </c>
      <c r="C2882" s="15" t="str">
        <f t="shared" si="1"/>
        <v>eng.arpit420@gmail.com919589027030</v>
      </c>
      <c r="D2882" s="17" t="s">
        <v>10064</v>
      </c>
      <c r="E2882" s="18" t="s">
        <v>68</v>
      </c>
    </row>
    <row r="2883">
      <c r="A2883" s="1" t="s">
        <v>2680</v>
      </c>
      <c r="B2883" s="1">
        <v>9.19666730334E11</v>
      </c>
      <c r="C2883" s="15" t="str">
        <f t="shared" si="1"/>
        <v>jyothigoud98@gmail.com919666730334</v>
      </c>
      <c r="D2883" s="17" t="s">
        <v>10065</v>
      </c>
      <c r="E2883" s="18" t="s">
        <v>68</v>
      </c>
    </row>
    <row r="2884">
      <c r="A2884" s="1" t="s">
        <v>5545</v>
      </c>
      <c r="B2884" s="1">
        <v>9.19179190048E11</v>
      </c>
      <c r="C2884" s="15" t="str">
        <f t="shared" si="1"/>
        <v>ns001670@gmail.com919179190048</v>
      </c>
      <c r="D2884" s="17" t="s">
        <v>10066</v>
      </c>
      <c r="E2884" s="18" t="s">
        <v>68</v>
      </c>
    </row>
    <row r="2885">
      <c r="A2885" s="1" t="s">
        <v>3925</v>
      </c>
      <c r="B2885" s="1">
        <v>9.18500203078E11</v>
      </c>
      <c r="C2885" s="15" t="str">
        <f t="shared" si="1"/>
        <v>manideep.vicky@gmail.com918500203078</v>
      </c>
      <c r="D2885" s="17" t="s">
        <v>10067</v>
      </c>
      <c r="E2885" s="18" t="s">
        <v>68</v>
      </c>
    </row>
    <row r="2886">
      <c r="A2886" s="1" t="s">
        <v>6413</v>
      </c>
      <c r="B2886" s="1">
        <v>9.17397595985E11</v>
      </c>
      <c r="C2886" s="15" t="str">
        <f t="shared" si="1"/>
        <v>muzaina2000@gmail.com917397595985</v>
      </c>
      <c r="D2886" s="17" t="s">
        <v>10068</v>
      </c>
      <c r="E2886" s="18" t="s">
        <v>68</v>
      </c>
    </row>
    <row r="2887">
      <c r="A2887" s="1" t="s">
        <v>6555</v>
      </c>
      <c r="B2887" s="1">
        <v>9.19780467958E11</v>
      </c>
      <c r="C2887" s="15" t="str">
        <f t="shared" si="1"/>
        <v>charumaggu@gmail.com919780467958</v>
      </c>
      <c r="D2887" s="17" t="s">
        <v>10069</v>
      </c>
      <c r="E2887" s="18" t="s">
        <v>68</v>
      </c>
    </row>
    <row r="2888">
      <c r="A2888" s="1" t="s">
        <v>10070</v>
      </c>
      <c r="B2888" s="1">
        <v>9.17905362131E11</v>
      </c>
      <c r="C2888" s="15" t="str">
        <f t="shared" si="1"/>
        <v>manishbsn188@gmail.com917905362131</v>
      </c>
      <c r="D2888" s="17" t="s">
        <v>10071</v>
      </c>
      <c r="E2888" s="18" t="s">
        <v>68</v>
      </c>
    </row>
    <row r="2889">
      <c r="A2889" s="1" t="s">
        <v>10072</v>
      </c>
      <c r="B2889" s="1">
        <v>9.1789440608E11</v>
      </c>
      <c r="C2889" s="15" t="str">
        <f t="shared" si="1"/>
        <v>kingr5@rediffmail.com917894406080</v>
      </c>
      <c r="D2889" s="17" t="s">
        <v>10073</v>
      </c>
      <c r="E2889" s="18" t="s">
        <v>68</v>
      </c>
    </row>
    <row r="2890">
      <c r="A2890" s="1" t="s">
        <v>3814</v>
      </c>
      <c r="B2890" s="1">
        <v>9.18553590469E11</v>
      </c>
      <c r="C2890" s="15" t="str">
        <f t="shared" si="1"/>
        <v>praveenkumar.venk96@gmail.com918553590469</v>
      </c>
      <c r="D2890" s="17" t="s">
        <v>10074</v>
      </c>
      <c r="E2890" s="18" t="s">
        <v>68</v>
      </c>
    </row>
    <row r="2891">
      <c r="A2891" s="1" t="s">
        <v>10075</v>
      </c>
      <c r="B2891" s="1">
        <v>9.19842644796E11</v>
      </c>
      <c r="C2891" s="15" t="str">
        <f t="shared" si="1"/>
        <v>iafcr27@gmail.com919842644796</v>
      </c>
      <c r="D2891" s="17" t="s">
        <v>10076</v>
      </c>
      <c r="E2891" s="18" t="s">
        <v>68</v>
      </c>
    </row>
    <row r="2892">
      <c r="A2892" s="1" t="s">
        <v>4851</v>
      </c>
      <c r="B2892" s="1">
        <v>9.19881313175E11</v>
      </c>
      <c r="C2892" s="15" t="str">
        <f t="shared" si="1"/>
        <v>shrutisethi292@gmail.com919881313175</v>
      </c>
      <c r="D2892" s="17" t="s">
        <v>10077</v>
      </c>
      <c r="E2892" s="18" t="s">
        <v>68</v>
      </c>
    </row>
    <row r="2893">
      <c r="A2893" s="1" t="s">
        <v>4729</v>
      </c>
      <c r="B2893" s="1">
        <v>9.1880198022E11</v>
      </c>
      <c r="C2893" s="15" t="str">
        <f t="shared" si="1"/>
        <v>mrmdrizwan09@gmail.com918801980220</v>
      </c>
      <c r="D2893" s="17" t="s">
        <v>10078</v>
      </c>
      <c r="E2893" s="18" t="s">
        <v>74</v>
      </c>
    </row>
    <row r="2894">
      <c r="A2894" s="1" t="s">
        <v>5546</v>
      </c>
      <c r="B2894" s="1">
        <v>9.18233680989E11</v>
      </c>
      <c r="C2894" s="15" t="str">
        <f t="shared" si="1"/>
        <v>mathurdevesh37@gmail.com918233680989</v>
      </c>
      <c r="D2894" s="17" t="s">
        <v>10079</v>
      </c>
      <c r="E2894" s="18" t="s">
        <v>68</v>
      </c>
    </row>
    <row r="2895">
      <c r="A2895" s="1" t="s">
        <v>1448</v>
      </c>
      <c r="B2895" s="1">
        <v>9.19769200933E11</v>
      </c>
      <c r="C2895" s="15" t="str">
        <f t="shared" si="1"/>
        <v>anky05@gmail.com919769200933</v>
      </c>
      <c r="D2895" s="17" t="s">
        <v>10080</v>
      </c>
      <c r="E2895" s="18" t="s">
        <v>68</v>
      </c>
    </row>
    <row r="2896">
      <c r="A2896" s="1" t="s">
        <v>4730</v>
      </c>
      <c r="B2896" s="1">
        <v>9.19666025084E11</v>
      </c>
      <c r="C2896" s="15" t="str">
        <f t="shared" si="1"/>
        <v>chaitanyakumarsc@gmail.com919666025084</v>
      </c>
      <c r="D2896" s="17" t="s">
        <v>10081</v>
      </c>
      <c r="E2896" s="18" t="s">
        <v>68</v>
      </c>
    </row>
    <row r="2897">
      <c r="A2897" s="1" t="s">
        <v>5547</v>
      </c>
      <c r="B2897" s="1">
        <v>9.17780975456E11</v>
      </c>
      <c r="C2897" s="15" t="str">
        <f t="shared" si="1"/>
        <v>romika747.rs@gmail.com917780975456</v>
      </c>
      <c r="D2897" s="17" t="s">
        <v>10082</v>
      </c>
      <c r="E2897" s="18" t="s">
        <v>68</v>
      </c>
    </row>
    <row r="2898">
      <c r="A2898" s="1" t="s">
        <v>5279</v>
      </c>
      <c r="B2898" s="1">
        <v>9.19971981649E11</v>
      </c>
      <c r="C2898" s="15" t="str">
        <f t="shared" si="1"/>
        <v>geetarao926@gmail.com919971981649</v>
      </c>
      <c r="D2898" s="17" t="s">
        <v>10083</v>
      </c>
      <c r="E2898" s="18" t="s">
        <v>68</v>
      </c>
    </row>
    <row r="2899">
      <c r="A2899" s="1" t="s">
        <v>4335</v>
      </c>
      <c r="B2899" s="1">
        <v>9.19611815533E11</v>
      </c>
      <c r="C2899" s="15" t="str">
        <f t="shared" si="1"/>
        <v>kunalgour.gour@gmail.com919611815533</v>
      </c>
      <c r="D2899" s="17" t="s">
        <v>10084</v>
      </c>
      <c r="E2899" s="18" t="s">
        <v>68</v>
      </c>
    </row>
    <row r="2900">
      <c r="A2900" s="1" t="s">
        <v>10085</v>
      </c>
      <c r="B2900" s="1">
        <v>9.1787947304E11</v>
      </c>
      <c r="C2900" s="15" t="str">
        <f t="shared" si="1"/>
        <v>vaidikakashikar@gmail.com917879473040</v>
      </c>
      <c r="D2900" s="17" t="s">
        <v>10086</v>
      </c>
      <c r="E2900" s="18" t="s">
        <v>68</v>
      </c>
    </row>
    <row r="2901">
      <c r="A2901" s="1" t="s">
        <v>10087</v>
      </c>
      <c r="B2901" s="1">
        <v>9.16382673676E11</v>
      </c>
      <c r="C2901" s="15" t="str">
        <f t="shared" si="1"/>
        <v>ramyaravi107@gmail.com916382673676</v>
      </c>
      <c r="D2901" s="17" t="s">
        <v>10088</v>
      </c>
      <c r="E2901" s="18" t="s">
        <v>68</v>
      </c>
    </row>
    <row r="2902">
      <c r="A2902" s="1" t="s">
        <v>10087</v>
      </c>
      <c r="B2902" s="1">
        <v>9.16382673676E11</v>
      </c>
      <c r="C2902" s="15" t="str">
        <f t="shared" si="1"/>
        <v>ramyaravi107@gmail.com916382673676</v>
      </c>
      <c r="D2902" s="17" t="s">
        <v>10089</v>
      </c>
      <c r="E2902" s="18" t="s">
        <v>68</v>
      </c>
    </row>
    <row r="2903">
      <c r="A2903" s="1" t="s">
        <v>6556</v>
      </c>
      <c r="B2903" s="1">
        <v>9.19791147047E11</v>
      </c>
      <c r="C2903" s="15" t="str">
        <f t="shared" si="1"/>
        <v>sridharan89@hotmail.com919791147047</v>
      </c>
      <c r="D2903" s="17" t="s">
        <v>10090</v>
      </c>
      <c r="E2903" s="18" t="s">
        <v>68</v>
      </c>
    </row>
    <row r="2904">
      <c r="A2904" s="1" t="s">
        <v>4731</v>
      </c>
      <c r="B2904" s="1">
        <v>9.19975288822E11</v>
      </c>
      <c r="C2904" s="15" t="str">
        <f t="shared" si="1"/>
        <v>prabirbera23@gmail.com919975288822</v>
      </c>
      <c r="D2904" s="17" t="s">
        <v>10091</v>
      </c>
      <c r="E2904" s="18" t="s">
        <v>68</v>
      </c>
    </row>
    <row r="2905">
      <c r="A2905" s="1" t="s">
        <v>10092</v>
      </c>
      <c r="B2905" s="1">
        <v>9.18095888474E11</v>
      </c>
      <c r="C2905" s="15" t="str">
        <f t="shared" si="1"/>
        <v>triptimondal.31jan@gmail.com918095888474</v>
      </c>
      <c r="D2905" s="17" t="s">
        <v>10093</v>
      </c>
      <c r="E2905" s="18" t="s">
        <v>74</v>
      </c>
    </row>
    <row r="2906">
      <c r="A2906" s="1" t="s">
        <v>3926</v>
      </c>
      <c r="B2906" s="1">
        <v>9.19057574767E11</v>
      </c>
      <c r="C2906" s="15" t="str">
        <f t="shared" si="1"/>
        <v>abhijeetshaji8@gmail.com919057574767</v>
      </c>
      <c r="D2906" s="17" t="s">
        <v>10094</v>
      </c>
      <c r="E2906" s="18" t="s">
        <v>68</v>
      </c>
    </row>
    <row r="2907">
      <c r="A2907" s="1" t="s">
        <v>3926</v>
      </c>
      <c r="B2907" s="1">
        <v>9.19057574767E11</v>
      </c>
      <c r="C2907" s="15" t="str">
        <f t="shared" si="1"/>
        <v>abhijeetshaji8@gmail.com919057574767</v>
      </c>
      <c r="D2907" s="17" t="s">
        <v>10095</v>
      </c>
      <c r="E2907" s="18" t="s">
        <v>68</v>
      </c>
    </row>
    <row r="2908">
      <c r="A2908" s="1" t="s">
        <v>3480</v>
      </c>
      <c r="B2908" s="1">
        <v>9.17337464892E11</v>
      </c>
      <c r="C2908" s="15" t="str">
        <f t="shared" si="1"/>
        <v>pwani365@outlook.com917337464892</v>
      </c>
      <c r="D2908" s="17" t="s">
        <v>10096</v>
      </c>
      <c r="E2908" s="18" t="s">
        <v>68</v>
      </c>
    </row>
    <row r="2909">
      <c r="A2909" s="1" t="s">
        <v>10097</v>
      </c>
      <c r="B2909" s="1">
        <v>9.19337522087E11</v>
      </c>
      <c r="C2909" s="15" t="str">
        <f t="shared" si="1"/>
        <v>gouramuli183@gmail.com919337522087</v>
      </c>
      <c r="D2909" s="17" t="s">
        <v>10098</v>
      </c>
      <c r="E2909" s="18" t="s">
        <v>151</v>
      </c>
    </row>
    <row r="2910">
      <c r="A2910" s="1" t="s">
        <v>10097</v>
      </c>
      <c r="B2910" s="1">
        <v>9.19337522087E11</v>
      </c>
      <c r="C2910" s="15" t="str">
        <f t="shared" si="1"/>
        <v>gouramuli183@gmail.com919337522087</v>
      </c>
      <c r="D2910" s="17" t="s">
        <v>10099</v>
      </c>
      <c r="E2910" s="18" t="s">
        <v>151</v>
      </c>
    </row>
    <row r="2911">
      <c r="A2911" s="1" t="s">
        <v>4187</v>
      </c>
      <c r="B2911" s="1">
        <v>9.19643705505E11</v>
      </c>
      <c r="C2911" s="15" t="str">
        <f t="shared" si="1"/>
        <v>anshikachugh5@gmail.com919643705505</v>
      </c>
      <c r="D2911" s="17" t="s">
        <v>10100</v>
      </c>
      <c r="E2911" s="18" t="s">
        <v>68</v>
      </c>
    </row>
    <row r="2912">
      <c r="A2912" s="1" t="s">
        <v>4187</v>
      </c>
      <c r="B2912" s="1">
        <v>9.19643705505E11</v>
      </c>
      <c r="C2912" s="15" t="str">
        <f t="shared" si="1"/>
        <v>anshikachugh5@gmail.com919643705505</v>
      </c>
      <c r="D2912" s="17" t="s">
        <v>10101</v>
      </c>
      <c r="E2912" s="18" t="s">
        <v>68</v>
      </c>
    </row>
    <row r="2913">
      <c r="A2913" s="1" t="s">
        <v>6414</v>
      </c>
      <c r="B2913" s="1">
        <v>9.1808220044E11</v>
      </c>
      <c r="C2913" s="15" t="str">
        <f t="shared" si="1"/>
        <v>nevilbarai1993@gmail.com918082200440</v>
      </c>
      <c r="D2913" s="17" t="s">
        <v>10102</v>
      </c>
      <c r="E2913" s="18" t="s">
        <v>68</v>
      </c>
    </row>
    <row r="2914">
      <c r="A2914" s="1" t="s">
        <v>10103</v>
      </c>
      <c r="B2914" s="1">
        <v>9.1968819012E11</v>
      </c>
      <c r="C2914" s="15" t="str">
        <f t="shared" si="1"/>
        <v>indirakayathar123@gmail.com919688190120</v>
      </c>
      <c r="D2914" s="17" t="s">
        <v>10104</v>
      </c>
      <c r="E2914" s="18" t="s">
        <v>74</v>
      </c>
    </row>
    <row r="2915">
      <c r="A2915" s="1" t="s">
        <v>6142</v>
      </c>
      <c r="B2915" s="1">
        <v>9.19940966439E11</v>
      </c>
      <c r="C2915" s="15" t="str">
        <f t="shared" si="1"/>
        <v>anandvis@live.com919940966439</v>
      </c>
      <c r="D2915" s="17" t="s">
        <v>10105</v>
      </c>
      <c r="E2915" s="18" t="s">
        <v>68</v>
      </c>
    </row>
    <row r="2916">
      <c r="A2916" s="1" t="s">
        <v>3481</v>
      </c>
      <c r="B2916" s="1">
        <v>9.19815342237E11</v>
      </c>
      <c r="C2916" s="15" t="str">
        <f t="shared" si="1"/>
        <v>bridgingthespace@gmail.com919815342237</v>
      </c>
      <c r="D2916" s="17" t="s">
        <v>10106</v>
      </c>
      <c r="E2916" s="18" t="s">
        <v>68</v>
      </c>
    </row>
    <row r="2917">
      <c r="A2917" s="1" t="s">
        <v>3256</v>
      </c>
      <c r="B2917" s="1">
        <v>9.17993319154E11</v>
      </c>
      <c r="C2917" s="15" t="str">
        <f t="shared" si="1"/>
        <v>akshith.doddi129@gmail.com917993319154</v>
      </c>
      <c r="D2917" s="17" t="s">
        <v>10107</v>
      </c>
      <c r="E2917" s="18" t="s">
        <v>68</v>
      </c>
    </row>
    <row r="2918">
      <c r="A2918" s="1" t="s">
        <v>6415</v>
      </c>
      <c r="B2918" s="1">
        <v>9.18328562118E11</v>
      </c>
      <c r="C2918" s="15" t="str">
        <f t="shared" si="1"/>
        <v>collabwithbsy@gmail.com918328562118</v>
      </c>
      <c r="D2918" s="17" t="s">
        <v>10108</v>
      </c>
      <c r="E2918" s="18" t="s">
        <v>68</v>
      </c>
    </row>
    <row r="2919">
      <c r="A2919" s="1" t="s">
        <v>6296</v>
      </c>
      <c r="B2919" s="1">
        <v>9.19443501189E11</v>
      </c>
      <c r="C2919" s="15" t="str">
        <f t="shared" si="1"/>
        <v>rubanbalajig05@gmail.com919443501189</v>
      </c>
      <c r="D2919" s="17" t="s">
        <v>10109</v>
      </c>
      <c r="E2919" s="18" t="s">
        <v>68</v>
      </c>
    </row>
    <row r="2920">
      <c r="A2920" s="1" t="s">
        <v>5548</v>
      </c>
      <c r="B2920" s="1">
        <v>9.19808146756E11</v>
      </c>
      <c r="C2920" s="15" t="str">
        <f t="shared" si="1"/>
        <v>swapniloct22@gmail.com919808146756</v>
      </c>
      <c r="D2920" s="17" t="s">
        <v>10110</v>
      </c>
      <c r="E2920" s="18" t="s">
        <v>68</v>
      </c>
    </row>
    <row r="2921">
      <c r="A2921" s="1" t="s">
        <v>4732</v>
      </c>
      <c r="B2921" s="1">
        <v>9.17620632258E11</v>
      </c>
      <c r="C2921" s="15" t="str">
        <f t="shared" si="1"/>
        <v>gurudepandurang@gmail.com917620632258</v>
      </c>
      <c r="D2921" s="17" t="s">
        <v>10111</v>
      </c>
      <c r="E2921" s="18" t="s">
        <v>68</v>
      </c>
    </row>
    <row r="2922">
      <c r="A2922" s="1" t="s">
        <v>10112</v>
      </c>
      <c r="B2922" s="1">
        <v>9.18360408467E11</v>
      </c>
      <c r="C2922" s="15" t="str">
        <f t="shared" si="1"/>
        <v>erprince909@gmail.com918360408467</v>
      </c>
      <c r="D2922" s="17" t="s">
        <v>10113</v>
      </c>
      <c r="E2922" s="18" t="s">
        <v>68</v>
      </c>
    </row>
    <row r="2923">
      <c r="A2923" s="1" t="s">
        <v>3815</v>
      </c>
      <c r="B2923" s="1">
        <v>9.19004368733E11</v>
      </c>
      <c r="C2923" s="15" t="str">
        <f t="shared" si="1"/>
        <v>sagar210188@gmail.com919004368733</v>
      </c>
      <c r="D2923" s="17" t="s">
        <v>10114</v>
      </c>
      <c r="E2923" s="18" t="s">
        <v>151</v>
      </c>
    </row>
    <row r="2924">
      <c r="A2924" s="1" t="s">
        <v>5946</v>
      </c>
      <c r="B2924" s="1">
        <v>9.19810394776E11</v>
      </c>
      <c r="C2924" s="15" t="str">
        <f t="shared" si="1"/>
        <v>rparasher@hotmail.com919810394776</v>
      </c>
      <c r="D2924" s="17" t="s">
        <v>10115</v>
      </c>
      <c r="E2924" s="18" t="s">
        <v>97</v>
      </c>
    </row>
    <row r="2925">
      <c r="A2925" s="1" t="s">
        <v>6143</v>
      </c>
      <c r="B2925" s="1">
        <v>9.19738382026E11</v>
      </c>
      <c r="C2925" s="15" t="str">
        <f t="shared" si="1"/>
        <v>gr8arvind44999@gmail.com919738382026</v>
      </c>
      <c r="D2925" s="17" t="s">
        <v>10116</v>
      </c>
      <c r="E2925" s="18" t="s">
        <v>68</v>
      </c>
    </row>
    <row r="2926">
      <c r="A2926" s="1" t="s">
        <v>10117</v>
      </c>
      <c r="B2926" s="1">
        <v>9.17369922021E11</v>
      </c>
      <c r="C2926" s="15" t="str">
        <f t="shared" si="1"/>
        <v>kumarpankaj83109@gmail.com917369922021</v>
      </c>
      <c r="D2926" s="17" t="s">
        <v>10118</v>
      </c>
      <c r="E2926" s="18" t="s">
        <v>97</v>
      </c>
    </row>
    <row r="2927">
      <c r="A2927" s="1" t="s">
        <v>5915</v>
      </c>
      <c r="B2927" s="1">
        <v>9.19075382534E11</v>
      </c>
      <c r="C2927" s="15" t="str">
        <f t="shared" si="1"/>
        <v>blackhamelizabeth@gmail.com919075382534</v>
      </c>
      <c r="D2927" s="17" t="s">
        <v>10119</v>
      </c>
      <c r="E2927" s="18" t="s">
        <v>97</v>
      </c>
    </row>
    <row r="2928">
      <c r="A2928" s="1" t="s">
        <v>6416</v>
      </c>
      <c r="B2928" s="1">
        <v>9.18333070716E11</v>
      </c>
      <c r="C2928" s="15" t="str">
        <f t="shared" si="1"/>
        <v>dharsha96@gmail.com918333070716</v>
      </c>
      <c r="D2928" s="17" t="s">
        <v>10120</v>
      </c>
      <c r="E2928" s="18" t="s">
        <v>68</v>
      </c>
    </row>
    <row r="2929">
      <c r="A2929" s="1" t="s">
        <v>3137</v>
      </c>
      <c r="B2929" s="1">
        <v>9.19811770481E11</v>
      </c>
      <c r="C2929" s="15" t="str">
        <f t="shared" si="1"/>
        <v>shireesh_jain@rediffmail.com919811770481</v>
      </c>
      <c r="D2929" s="17" t="s">
        <v>10121</v>
      </c>
      <c r="E2929" s="18" t="s">
        <v>68</v>
      </c>
    </row>
    <row r="2930">
      <c r="A2930" s="1" t="s">
        <v>4336</v>
      </c>
      <c r="B2930" s="1">
        <v>9.17694074788E11</v>
      </c>
      <c r="C2930" s="15" t="str">
        <f t="shared" si="1"/>
        <v>himanichauhan699@gmail.com917694074788</v>
      </c>
      <c r="D2930" s="17" t="s">
        <v>10122</v>
      </c>
      <c r="E2930" s="18" t="s">
        <v>68</v>
      </c>
    </row>
    <row r="2931">
      <c r="A2931" s="1" t="s">
        <v>6297</v>
      </c>
      <c r="B2931" s="1">
        <v>9.17776834455E11</v>
      </c>
      <c r="C2931" s="15" t="str">
        <f t="shared" si="1"/>
        <v>shubhamd4455@gmail.com917776834455</v>
      </c>
      <c r="D2931" s="17" t="s">
        <v>10123</v>
      </c>
      <c r="E2931" s="18" t="s">
        <v>68</v>
      </c>
    </row>
    <row r="2932">
      <c r="A2932" s="1" t="s">
        <v>2873</v>
      </c>
      <c r="B2932" s="1">
        <v>9.17406252191E11</v>
      </c>
      <c r="C2932" s="15" t="str">
        <f t="shared" si="1"/>
        <v>purplesandblues@gmail.com917406252191</v>
      </c>
      <c r="D2932" s="17" t="s">
        <v>10124</v>
      </c>
      <c r="E2932" s="18" t="s">
        <v>151</v>
      </c>
    </row>
    <row r="2933">
      <c r="A2933" s="1" t="s">
        <v>5549</v>
      </c>
      <c r="B2933" s="1">
        <v>9.19665892321E11</v>
      </c>
      <c r="C2933" s="15" t="str">
        <f t="shared" si="1"/>
        <v>gopi.sahane@gmail.com919665892321</v>
      </c>
      <c r="D2933" s="17" t="s">
        <v>10125</v>
      </c>
      <c r="E2933" s="18" t="s">
        <v>68</v>
      </c>
    </row>
    <row r="2934">
      <c r="A2934" s="1" t="s">
        <v>6557</v>
      </c>
      <c r="B2934" s="1">
        <v>9.19975387989E11</v>
      </c>
      <c r="C2934" s="15" t="str">
        <f t="shared" si="1"/>
        <v>dramritaagrawal@gmail.com919975387989</v>
      </c>
      <c r="D2934" s="17" t="s">
        <v>10126</v>
      </c>
      <c r="E2934" s="18" t="s">
        <v>97</v>
      </c>
    </row>
    <row r="2935">
      <c r="A2935" s="1" t="s">
        <v>2681</v>
      </c>
      <c r="B2935" s="1">
        <v>9.1964318433E11</v>
      </c>
      <c r="C2935" s="15" t="str">
        <f t="shared" si="1"/>
        <v>van.diagram@gmail.com919643184330</v>
      </c>
      <c r="D2935" s="17" t="s">
        <v>10127</v>
      </c>
      <c r="E2935" s="18" t="s">
        <v>68</v>
      </c>
    </row>
    <row r="2936">
      <c r="A2936" s="1" t="s">
        <v>6558</v>
      </c>
      <c r="B2936" s="1">
        <v>9.19727743592E11</v>
      </c>
      <c r="C2936" s="15" t="str">
        <f t="shared" si="1"/>
        <v>otwani.nikki@gmail.com919727743592</v>
      </c>
      <c r="D2936" s="17" t="s">
        <v>10128</v>
      </c>
      <c r="E2936" s="18" t="s">
        <v>68</v>
      </c>
    </row>
    <row r="2937">
      <c r="A2937" s="1" t="s">
        <v>5042</v>
      </c>
      <c r="B2937" s="1">
        <v>9.17987148025E11</v>
      </c>
      <c r="C2937" s="15" t="str">
        <f t="shared" si="1"/>
        <v>soumik.bhattacharya55@gmail.com917987148025</v>
      </c>
      <c r="D2937" s="17" t="s">
        <v>10129</v>
      </c>
      <c r="E2937" s="18" t="s">
        <v>68</v>
      </c>
    </row>
    <row r="2938">
      <c r="A2938" s="1" t="s">
        <v>3816</v>
      </c>
      <c r="B2938" s="1">
        <v>9.19887005955E11</v>
      </c>
      <c r="C2938" s="15" t="str">
        <f t="shared" si="1"/>
        <v>sharadmathur75@yahoo.com919887005955</v>
      </c>
      <c r="D2938" s="17" t="s">
        <v>10130</v>
      </c>
      <c r="E2938" s="18" t="s">
        <v>151</v>
      </c>
    </row>
    <row r="2939">
      <c r="A2939" s="1" t="s">
        <v>6144</v>
      </c>
      <c r="B2939" s="1">
        <v>9.1995070971E11</v>
      </c>
      <c r="C2939" s="15" t="str">
        <f t="shared" si="1"/>
        <v>drsachinsharma1234.ss@gmail.com919950709710</v>
      </c>
      <c r="D2939" s="17" t="s">
        <v>10131</v>
      </c>
      <c r="E2939" s="18" t="s">
        <v>68</v>
      </c>
    </row>
    <row r="2940">
      <c r="A2940" s="1" t="s">
        <v>5471</v>
      </c>
      <c r="B2940" s="1">
        <v>9.19566419332E11</v>
      </c>
      <c r="C2940" s="15" t="str">
        <f t="shared" si="1"/>
        <v>maliniprithivakumari@gmail.com919566419332</v>
      </c>
      <c r="D2940" s="17" t="s">
        <v>10132</v>
      </c>
      <c r="E2940" s="18" t="s">
        <v>68</v>
      </c>
    </row>
    <row r="2941">
      <c r="A2941" s="1" t="s">
        <v>4937</v>
      </c>
      <c r="B2941" s="1">
        <v>9.19163066743E11</v>
      </c>
      <c r="C2941" s="15" t="str">
        <f t="shared" si="1"/>
        <v>sayanghosh987@gmail.com919163066743</v>
      </c>
      <c r="D2941" s="17" t="s">
        <v>10133</v>
      </c>
      <c r="E2941" s="18" t="s">
        <v>68</v>
      </c>
    </row>
    <row r="2942">
      <c r="A2942" s="1" t="s">
        <v>2425</v>
      </c>
      <c r="B2942" s="1">
        <v>9.1932520704E11</v>
      </c>
      <c r="C2942" s="15" t="str">
        <f t="shared" si="1"/>
        <v>aditisuri07@gmail.com919325207040</v>
      </c>
      <c r="D2942" s="17" t="s">
        <v>10134</v>
      </c>
      <c r="E2942" s="18" t="s">
        <v>74</v>
      </c>
    </row>
    <row r="2943">
      <c r="A2943" s="1" t="s">
        <v>4838</v>
      </c>
      <c r="B2943" s="1">
        <v>9.19112774858E11</v>
      </c>
      <c r="C2943" s="15" t="str">
        <f t="shared" si="1"/>
        <v>sandeshmagar1982@gmail.com919112774858</v>
      </c>
      <c r="D2943" s="17" t="s">
        <v>10135</v>
      </c>
      <c r="E2943" s="18" t="s">
        <v>68</v>
      </c>
    </row>
    <row r="2944">
      <c r="A2944" s="1" t="s">
        <v>4838</v>
      </c>
      <c r="B2944" s="1">
        <v>9.19112774858E11</v>
      </c>
      <c r="C2944" s="15" t="str">
        <f t="shared" si="1"/>
        <v>sandeshmagar1982@gmail.com919112774858</v>
      </c>
      <c r="D2944" s="17" t="s">
        <v>10136</v>
      </c>
      <c r="E2944" s="18" t="s">
        <v>68</v>
      </c>
    </row>
    <row r="2945">
      <c r="A2945" s="1" t="s">
        <v>4337</v>
      </c>
      <c r="B2945" s="1">
        <v>9.18149722659E11</v>
      </c>
      <c r="C2945" s="15" t="str">
        <f t="shared" si="1"/>
        <v>suruchighaiye@yahoo.com918149722659</v>
      </c>
      <c r="D2945" s="17" t="s">
        <v>10137</v>
      </c>
      <c r="E2945" s="18" t="s">
        <v>68</v>
      </c>
    </row>
    <row r="2946">
      <c r="A2946" s="1" t="s">
        <v>6145</v>
      </c>
      <c r="B2946" s="1">
        <v>9.19636838795E11</v>
      </c>
      <c r="C2946" s="15" t="str">
        <f t="shared" si="1"/>
        <v>dheerendrapalsinghjadon9889@gamil.com919636838795</v>
      </c>
      <c r="D2946" s="17" t="s">
        <v>10138</v>
      </c>
      <c r="E2946" s="18" t="s">
        <v>74</v>
      </c>
    </row>
    <row r="2947">
      <c r="A2947" s="1" t="s">
        <v>6145</v>
      </c>
      <c r="B2947" s="1">
        <v>9.19636838795E11</v>
      </c>
      <c r="C2947" s="15" t="str">
        <f t="shared" si="1"/>
        <v>dheerendrapalsinghjadon9889@gamil.com919636838795</v>
      </c>
      <c r="D2947" s="17" t="s">
        <v>10139</v>
      </c>
      <c r="E2947" s="18" t="s">
        <v>74</v>
      </c>
    </row>
    <row r="2948">
      <c r="A2948" s="1" t="s">
        <v>6145</v>
      </c>
      <c r="B2948" s="1">
        <v>9.19636838795E11</v>
      </c>
      <c r="C2948" s="15" t="str">
        <f t="shared" si="1"/>
        <v>dheerendrapalsinghjadon9889@gamil.com919636838795</v>
      </c>
      <c r="D2948" s="17" t="s">
        <v>10140</v>
      </c>
      <c r="E2948" s="18" t="s">
        <v>68</v>
      </c>
    </row>
    <row r="2949">
      <c r="A2949" s="1" t="s">
        <v>6145</v>
      </c>
      <c r="B2949" s="1">
        <v>9.19636838795E11</v>
      </c>
      <c r="C2949" s="15" t="str">
        <f t="shared" si="1"/>
        <v>dheerendrapalsinghjadon9889@gamil.com919636838795</v>
      </c>
      <c r="D2949" s="17" t="s">
        <v>10141</v>
      </c>
      <c r="E2949" s="18" t="s">
        <v>68</v>
      </c>
    </row>
    <row r="2950">
      <c r="A2950" s="1" t="s">
        <v>2682</v>
      </c>
      <c r="B2950" s="1">
        <v>9.19870224003E11</v>
      </c>
      <c r="C2950" s="15" t="str">
        <f t="shared" si="1"/>
        <v>namrataidnani@gmail.com919870224003</v>
      </c>
      <c r="D2950" s="17" t="s">
        <v>10142</v>
      </c>
      <c r="E2950" s="18" t="s">
        <v>68</v>
      </c>
    </row>
    <row r="2951">
      <c r="A2951" s="1" t="s">
        <v>5043</v>
      </c>
      <c r="B2951" s="1">
        <v>9.19061519082E11</v>
      </c>
      <c r="C2951" s="15" t="str">
        <f t="shared" si="1"/>
        <v>adithyakochoos@gmail.com919061519082</v>
      </c>
      <c r="D2951" s="17" t="s">
        <v>10143</v>
      </c>
      <c r="E2951" s="18" t="s">
        <v>68</v>
      </c>
    </row>
    <row r="2952">
      <c r="A2952" s="1" t="s">
        <v>5550</v>
      </c>
      <c r="B2952" s="1">
        <v>9.17018656827E11</v>
      </c>
      <c r="C2952" s="15" t="str">
        <f t="shared" si="1"/>
        <v>kritikathakur12001312@gmail.com917018656827</v>
      </c>
      <c r="D2952" s="17" t="s">
        <v>10144</v>
      </c>
      <c r="E2952" s="18" t="s">
        <v>68</v>
      </c>
    </row>
    <row r="2953">
      <c r="A2953" s="1" t="s">
        <v>4188</v>
      </c>
      <c r="B2953" s="1">
        <v>9.19774150855E11</v>
      </c>
      <c r="C2953" s="15" t="str">
        <f t="shared" si="1"/>
        <v>tsukjem.aj@gmail.com919774150855</v>
      </c>
      <c r="D2953" s="17" t="s">
        <v>10145</v>
      </c>
      <c r="E2953" s="18" t="s">
        <v>74</v>
      </c>
    </row>
    <row r="2954">
      <c r="A2954" s="1" t="s">
        <v>4485</v>
      </c>
      <c r="B2954" s="1">
        <v>9.19676374558E11</v>
      </c>
      <c r="C2954" s="15" t="str">
        <f t="shared" si="1"/>
        <v>erevathi21@gmail.com919676374558</v>
      </c>
      <c r="D2954" s="17" t="s">
        <v>10146</v>
      </c>
      <c r="E2954" s="18" t="s">
        <v>97</v>
      </c>
    </row>
    <row r="2955">
      <c r="A2955" s="1" t="s">
        <v>10147</v>
      </c>
      <c r="B2955" s="1">
        <v>9.16299300169E11</v>
      </c>
      <c r="C2955" s="15" t="str">
        <f t="shared" si="1"/>
        <v>shekharkumarsahu75@gmail.com916299300169</v>
      </c>
      <c r="D2955" s="17" t="s">
        <v>10148</v>
      </c>
      <c r="E2955" s="18" t="s">
        <v>151</v>
      </c>
    </row>
    <row r="2956">
      <c r="A2956" s="1" t="s">
        <v>10149</v>
      </c>
      <c r="B2956" s="1">
        <v>9.19833464118E11</v>
      </c>
      <c r="C2956" s="15" t="str">
        <f t="shared" si="1"/>
        <v>ikhlasyusuf3@gmail.com919833464118</v>
      </c>
      <c r="D2956" s="17" t="s">
        <v>10150</v>
      </c>
      <c r="E2956" s="18" t="s">
        <v>74</v>
      </c>
    </row>
    <row r="2957">
      <c r="A2957" s="1" t="s">
        <v>3313</v>
      </c>
      <c r="B2957" s="1">
        <v>9.19888470272E11</v>
      </c>
      <c r="C2957" s="15" t="str">
        <f t="shared" si="1"/>
        <v>himanshusaleria@gmail.com919888470272</v>
      </c>
      <c r="D2957" s="17" t="s">
        <v>10151</v>
      </c>
      <c r="E2957" s="18" t="s">
        <v>68</v>
      </c>
    </row>
    <row r="2958">
      <c r="A2958" s="1" t="s">
        <v>5044</v>
      </c>
      <c r="B2958" s="1">
        <v>9.19825578995E11</v>
      </c>
      <c r="C2958" s="15" t="str">
        <f t="shared" si="1"/>
        <v>prakashsingh427427@gmail.com919825578995</v>
      </c>
      <c r="D2958" s="17" t="s">
        <v>10152</v>
      </c>
      <c r="E2958" s="18" t="s">
        <v>74</v>
      </c>
    </row>
    <row r="2959">
      <c r="A2959" s="1" t="s">
        <v>5044</v>
      </c>
      <c r="B2959" s="1">
        <v>9.19825578995E11</v>
      </c>
      <c r="C2959" s="15" t="str">
        <f t="shared" si="1"/>
        <v>prakashsingh427427@gmail.com919825578995</v>
      </c>
      <c r="D2959" s="17" t="s">
        <v>10153</v>
      </c>
      <c r="E2959" s="18" t="s">
        <v>68</v>
      </c>
    </row>
    <row r="2960">
      <c r="A2960" s="1" t="s">
        <v>5044</v>
      </c>
      <c r="B2960" s="1">
        <v>9.19825578995E11</v>
      </c>
      <c r="C2960" s="15" t="str">
        <f t="shared" si="1"/>
        <v>prakashsingh427427@gmail.com919825578995</v>
      </c>
      <c r="D2960" s="17" t="s">
        <v>10154</v>
      </c>
      <c r="E2960" s="18" t="s">
        <v>151</v>
      </c>
    </row>
    <row r="2961">
      <c r="A2961" s="1" t="s">
        <v>5044</v>
      </c>
      <c r="B2961" s="1">
        <v>9.19825578995E11</v>
      </c>
      <c r="C2961" s="15" t="str">
        <f t="shared" si="1"/>
        <v>prakashsingh427427@gmail.com919825578995</v>
      </c>
      <c r="D2961" s="17" t="s">
        <v>10155</v>
      </c>
      <c r="E2961" s="18" t="s">
        <v>68</v>
      </c>
    </row>
    <row r="2962">
      <c r="A2962" s="1" t="s">
        <v>3315</v>
      </c>
      <c r="B2962" s="1">
        <v>9.19985198322E11</v>
      </c>
      <c r="C2962" s="15" t="str">
        <f t="shared" si="1"/>
        <v>subhakalak@gmail.com919985198322</v>
      </c>
      <c r="D2962" s="17" t="s">
        <v>10156</v>
      </c>
      <c r="E2962" s="18" t="s">
        <v>68</v>
      </c>
    </row>
    <row r="2963">
      <c r="A2963" s="1" t="s">
        <v>4839</v>
      </c>
      <c r="B2963" s="1">
        <v>9.19121648339E11</v>
      </c>
      <c r="C2963" s="15" t="str">
        <f t="shared" si="1"/>
        <v>anamikayadavakkaldev@gmail.com919121648339</v>
      </c>
      <c r="D2963" s="17" t="s">
        <v>10157</v>
      </c>
      <c r="E2963" s="18" t="s">
        <v>68</v>
      </c>
    </row>
    <row r="2964">
      <c r="A2964" s="1" t="s">
        <v>10158</v>
      </c>
      <c r="B2964" s="1">
        <v>9.17378998336E11</v>
      </c>
      <c r="C2964" s="15" t="str">
        <f t="shared" si="1"/>
        <v>rpwasankar2002@gmail.com917378998336</v>
      </c>
      <c r="D2964" s="17" t="s">
        <v>10159</v>
      </c>
      <c r="E2964" s="18" t="s">
        <v>74</v>
      </c>
    </row>
    <row r="2965">
      <c r="A2965" s="1" t="s">
        <v>4189</v>
      </c>
      <c r="B2965" s="1">
        <v>9.19701936867E11</v>
      </c>
      <c r="C2965" s="15" t="str">
        <f t="shared" si="1"/>
        <v>meghana.chintapalli09@gmail.com919701936867</v>
      </c>
      <c r="D2965" s="17" t="s">
        <v>10160</v>
      </c>
      <c r="E2965" s="18" t="s">
        <v>68</v>
      </c>
    </row>
    <row r="2966">
      <c r="A2966" s="1" t="s">
        <v>10161</v>
      </c>
      <c r="B2966" s="1">
        <v>9.17089257384E11</v>
      </c>
      <c r="C2966" s="15" t="str">
        <f t="shared" si="1"/>
        <v>veenaswami27@gmail.com917089257384</v>
      </c>
      <c r="D2966" s="17" t="s">
        <v>10162</v>
      </c>
      <c r="E2966" s="18" t="s">
        <v>68</v>
      </c>
    </row>
    <row r="2967">
      <c r="A2967" s="1" t="s">
        <v>5551</v>
      </c>
      <c r="B2967" s="1">
        <v>9.19074120123E11</v>
      </c>
      <c r="C2967" s="15" t="str">
        <f t="shared" si="1"/>
        <v>pawankt@yahoo.com919074120123</v>
      </c>
      <c r="D2967" s="17" t="s">
        <v>10163</v>
      </c>
      <c r="E2967" s="18" t="s">
        <v>68</v>
      </c>
    </row>
    <row r="2968">
      <c r="A2968" s="1" t="s">
        <v>10164</v>
      </c>
      <c r="B2968" s="1">
        <v>9.17354559125E11</v>
      </c>
      <c r="C2968" s="15" t="str">
        <f t="shared" si="1"/>
        <v>kanupriyakakodia96@gmail.com917354559125</v>
      </c>
      <c r="D2968" s="17" t="s">
        <v>10165</v>
      </c>
      <c r="E2968" s="18" t="s">
        <v>68</v>
      </c>
    </row>
    <row r="2969">
      <c r="A2969" s="1" t="s">
        <v>10166</v>
      </c>
      <c r="B2969" s="1">
        <v>9.17431918817E11</v>
      </c>
      <c r="C2969" s="15" t="str">
        <f t="shared" si="1"/>
        <v>dibyendughosh364@gmail.com917431918817</v>
      </c>
      <c r="D2969" s="17" t="s">
        <v>10167</v>
      </c>
      <c r="E2969" s="18" t="s">
        <v>151</v>
      </c>
    </row>
    <row r="2970">
      <c r="A2970" s="1" t="s">
        <v>10168</v>
      </c>
      <c r="B2970" s="1">
        <v>9.17431918817E11</v>
      </c>
      <c r="C2970" s="15" t="str">
        <f t="shared" si="1"/>
        <v>dibyensdughosj364@gmail.com917431918817</v>
      </c>
      <c r="D2970" s="17" t="s">
        <v>10169</v>
      </c>
      <c r="E2970" s="18" t="s">
        <v>151</v>
      </c>
    </row>
    <row r="2971">
      <c r="A2971" s="1" t="s">
        <v>4733</v>
      </c>
      <c r="B2971" s="1">
        <v>9.18086498114E11</v>
      </c>
      <c r="C2971" s="15" t="str">
        <f t="shared" si="1"/>
        <v>siyadshameera70@gmail.com918086498114</v>
      </c>
      <c r="D2971" s="17" t="s">
        <v>10170</v>
      </c>
      <c r="E2971" s="18" t="s">
        <v>68</v>
      </c>
    </row>
    <row r="2972">
      <c r="A2972" s="1" t="s">
        <v>6146</v>
      </c>
      <c r="B2972" s="1">
        <v>9.18240531651E11</v>
      </c>
      <c r="C2972" s="15" t="str">
        <f t="shared" si="1"/>
        <v>2021arijitdeb@gmail.com918240531651</v>
      </c>
      <c r="D2972" s="17" t="s">
        <v>10171</v>
      </c>
      <c r="E2972" s="18" t="s">
        <v>74</v>
      </c>
    </row>
    <row r="2973">
      <c r="A2973" s="1" t="s">
        <v>10166</v>
      </c>
      <c r="B2973" s="1">
        <v>9.17431918817E11</v>
      </c>
      <c r="C2973" s="15" t="str">
        <f t="shared" si="1"/>
        <v>dibyendughosh364@gmail.com917431918817</v>
      </c>
      <c r="D2973" s="17" t="s">
        <v>10172</v>
      </c>
      <c r="E2973" s="18" t="s">
        <v>68</v>
      </c>
    </row>
    <row r="2974">
      <c r="A2974" s="1" t="s">
        <v>9808</v>
      </c>
      <c r="B2974" s="1">
        <v>9.19064489228E11</v>
      </c>
      <c r="C2974" s="15" t="str">
        <f t="shared" si="1"/>
        <v>annewashas@gmail.com919064489228</v>
      </c>
      <c r="D2974" s="17" t="s">
        <v>10173</v>
      </c>
      <c r="E2974" s="18" t="s">
        <v>151</v>
      </c>
    </row>
    <row r="2975">
      <c r="A2975" s="1" t="s">
        <v>10174</v>
      </c>
      <c r="B2975" s="1">
        <v>9.1955034332E11</v>
      </c>
      <c r="C2975" s="15" t="str">
        <f t="shared" si="1"/>
        <v>lokeshguptha9@gmail.com919550343320</v>
      </c>
      <c r="D2975" s="17" t="s">
        <v>10175</v>
      </c>
      <c r="E2975" s="18" t="s">
        <v>151</v>
      </c>
    </row>
    <row r="2976">
      <c r="A2976" s="1" t="s">
        <v>4381</v>
      </c>
      <c r="B2976" s="1">
        <v>9.19884041538E11</v>
      </c>
      <c r="C2976" s="15" t="str">
        <f t="shared" si="1"/>
        <v>srinivishvarun@gmail.com919884041538</v>
      </c>
      <c r="D2976" s="17" t="s">
        <v>10176</v>
      </c>
      <c r="E2976" s="18" t="s">
        <v>68</v>
      </c>
    </row>
    <row r="2977">
      <c r="A2977" s="1" t="s">
        <v>3257</v>
      </c>
      <c r="B2977" s="1">
        <v>9.19739747733E11</v>
      </c>
      <c r="C2977" s="15" t="str">
        <f t="shared" si="1"/>
        <v>rupa.shakena89@gmail.com919739747733</v>
      </c>
      <c r="D2977" s="17" t="s">
        <v>10177</v>
      </c>
      <c r="E2977" s="18" t="s">
        <v>68</v>
      </c>
    </row>
    <row r="2978">
      <c r="A2978" s="1" t="s">
        <v>5472</v>
      </c>
      <c r="B2978" s="1">
        <v>9.1955034332E11</v>
      </c>
      <c r="C2978" s="15" t="str">
        <f t="shared" si="1"/>
        <v>aligetilokesh@gmail.com919550343320</v>
      </c>
      <c r="D2978" s="17" t="s">
        <v>10178</v>
      </c>
      <c r="E2978" s="18" t="s">
        <v>151</v>
      </c>
    </row>
    <row r="2979">
      <c r="A2979" s="1" t="s">
        <v>3709</v>
      </c>
      <c r="B2979" s="1">
        <v>9.17550286753E11</v>
      </c>
      <c r="C2979" s="15" t="str">
        <f t="shared" si="1"/>
        <v>brindhals052@gmail.com917550286753</v>
      </c>
      <c r="D2979" s="17" t="s">
        <v>10179</v>
      </c>
      <c r="E2979" s="18" t="s">
        <v>74</v>
      </c>
    </row>
    <row r="2980">
      <c r="A2980" s="1" t="s">
        <v>2683</v>
      </c>
      <c r="B2980" s="1">
        <v>9.16360484826E11</v>
      </c>
      <c r="C2980" s="15" t="str">
        <f t="shared" si="1"/>
        <v>arunabjames@gmail.com916360484826</v>
      </c>
      <c r="D2980" s="17" t="s">
        <v>10180</v>
      </c>
      <c r="E2980" s="18" t="s">
        <v>68</v>
      </c>
    </row>
    <row r="2981">
      <c r="A2981" s="1" t="s">
        <v>2874</v>
      </c>
      <c r="B2981" s="1">
        <v>9.19809776147E11</v>
      </c>
      <c r="C2981" s="15" t="str">
        <f t="shared" si="1"/>
        <v>vipindaspd@gmail.com919809776147</v>
      </c>
      <c r="D2981" s="17" t="s">
        <v>10181</v>
      </c>
      <c r="E2981" s="18" t="s">
        <v>68</v>
      </c>
    </row>
    <row r="2982">
      <c r="A2982" s="1" t="s">
        <v>6147</v>
      </c>
      <c r="B2982" s="1">
        <v>9.18755953014E11</v>
      </c>
      <c r="C2982" s="15" t="str">
        <f t="shared" si="1"/>
        <v>harshchawla905@gmail.com918755953014</v>
      </c>
      <c r="D2982" s="17" t="s">
        <v>10182</v>
      </c>
      <c r="E2982" s="18" t="s">
        <v>68</v>
      </c>
    </row>
    <row r="2983">
      <c r="A2983" s="1" t="s">
        <v>10183</v>
      </c>
      <c r="B2983" s="1">
        <v>9.1958947392E11</v>
      </c>
      <c r="C2983" s="15" t="str">
        <f t="shared" si="1"/>
        <v>singhpriya0608@gmail.com919589473920</v>
      </c>
      <c r="D2983" s="17" t="s">
        <v>10184</v>
      </c>
      <c r="E2983" s="18" t="s">
        <v>151</v>
      </c>
    </row>
    <row r="2984">
      <c r="A2984" s="1" t="s">
        <v>5473</v>
      </c>
      <c r="B2984" s="1">
        <v>9.18770849568E11</v>
      </c>
      <c r="C2984" s="15" t="str">
        <f t="shared" si="1"/>
        <v>istiyaqmansuri29@gmail.com918770849568</v>
      </c>
      <c r="D2984" s="17" t="s">
        <v>10185</v>
      </c>
      <c r="E2984" s="18" t="s">
        <v>68</v>
      </c>
    </row>
    <row r="2985">
      <c r="A2985" s="1" t="s">
        <v>5916</v>
      </c>
      <c r="B2985" s="1">
        <v>9.19747905797E11</v>
      </c>
      <c r="C2985" s="15" t="str">
        <f t="shared" si="1"/>
        <v>rajan.karthik7@gmail.com919747905797</v>
      </c>
      <c r="D2985" s="17" t="s">
        <v>10186</v>
      </c>
      <c r="E2985" s="18" t="s">
        <v>68</v>
      </c>
    </row>
    <row r="2986">
      <c r="A2986" s="1" t="s">
        <v>10187</v>
      </c>
      <c r="B2986" s="1">
        <v>9.19019764859E11</v>
      </c>
      <c r="C2986" s="15" t="str">
        <f t="shared" si="1"/>
        <v>kumarikt1995@gmail.com919019764859</v>
      </c>
      <c r="D2986" s="17" t="s">
        <v>10188</v>
      </c>
      <c r="E2986" s="18" t="s">
        <v>74</v>
      </c>
    </row>
    <row r="2987">
      <c r="A2987" s="1" t="s">
        <v>10187</v>
      </c>
      <c r="B2987" s="1">
        <v>9.19019764859E11</v>
      </c>
      <c r="C2987" s="15" t="str">
        <f t="shared" si="1"/>
        <v>kumarikt1995@gmail.com919019764859</v>
      </c>
      <c r="D2987" s="17" t="s">
        <v>10189</v>
      </c>
      <c r="E2987" s="18" t="s">
        <v>74</v>
      </c>
    </row>
    <row r="2988">
      <c r="A2988" s="1" t="s">
        <v>10187</v>
      </c>
      <c r="B2988" s="1">
        <v>9.19019764859E11</v>
      </c>
      <c r="C2988" s="15" t="str">
        <f t="shared" si="1"/>
        <v>kumarikt1995@gmail.com919019764859</v>
      </c>
      <c r="D2988" s="17" t="s">
        <v>10190</v>
      </c>
      <c r="E2988" s="18" t="s">
        <v>74</v>
      </c>
    </row>
    <row r="2989">
      <c r="A2989" s="1" t="s">
        <v>5280</v>
      </c>
      <c r="B2989" s="1">
        <v>9.18090208755E11</v>
      </c>
      <c r="C2989" s="15" t="str">
        <f t="shared" si="1"/>
        <v>raj.divyansh3@gmail.com918090208755</v>
      </c>
      <c r="D2989" s="17" t="s">
        <v>10191</v>
      </c>
      <c r="E2989" s="18" t="s">
        <v>68</v>
      </c>
    </row>
    <row r="2990">
      <c r="A2990" s="1" t="s">
        <v>10192</v>
      </c>
      <c r="B2990" s="1">
        <v>9.19820096169E11</v>
      </c>
      <c r="C2990" s="15" t="str">
        <f t="shared" si="1"/>
        <v>seemabhanap@yahoo.in919820096169</v>
      </c>
      <c r="D2990" s="17" t="s">
        <v>10193</v>
      </c>
      <c r="E2990" s="18" t="s">
        <v>74</v>
      </c>
    </row>
    <row r="2991">
      <c r="A2991" s="1" t="s">
        <v>10192</v>
      </c>
      <c r="B2991" s="1">
        <v>9.19820096169E11</v>
      </c>
      <c r="C2991" s="15" t="str">
        <f t="shared" si="1"/>
        <v>seemabhanap@yahoo.in919820096169</v>
      </c>
      <c r="D2991" s="17" t="s">
        <v>10194</v>
      </c>
      <c r="E2991" s="18" t="s">
        <v>74</v>
      </c>
    </row>
    <row r="2992">
      <c r="A2992" s="1" t="s">
        <v>5474</v>
      </c>
      <c r="B2992" s="1">
        <v>9.18320657503E11</v>
      </c>
      <c r="C2992" s="15" t="str">
        <f t="shared" si="1"/>
        <v>kinjalmehta0108@gmail.com918320657503</v>
      </c>
      <c r="D2992" s="17" t="s">
        <v>10195</v>
      </c>
      <c r="E2992" s="18" t="s">
        <v>68</v>
      </c>
    </row>
    <row r="2993">
      <c r="A2993" s="1" t="s">
        <v>3927</v>
      </c>
      <c r="B2993" s="1">
        <v>9.16287783448E11</v>
      </c>
      <c r="C2993" s="15" t="str">
        <f t="shared" si="1"/>
        <v>walim674@gmail.com916287783448</v>
      </c>
      <c r="D2993" s="17" t="s">
        <v>10196</v>
      </c>
      <c r="E2993" s="18" t="s">
        <v>68</v>
      </c>
    </row>
    <row r="2994">
      <c r="A2994" s="1" t="s">
        <v>4338</v>
      </c>
      <c r="B2994" s="1">
        <v>9.19977430111E11</v>
      </c>
      <c r="C2994" s="15" t="str">
        <f t="shared" si="1"/>
        <v>mitali8989@gmail.com919977430111</v>
      </c>
      <c r="D2994" s="17" t="s">
        <v>10197</v>
      </c>
      <c r="E2994" s="18" t="s">
        <v>68</v>
      </c>
    </row>
    <row r="2995">
      <c r="A2995" s="1" t="s">
        <v>4486</v>
      </c>
      <c r="B2995" s="1">
        <v>9.18538021882E11</v>
      </c>
      <c r="C2995" s="15" t="str">
        <f t="shared" si="1"/>
        <v>saraniangelbanerjee@gmail.com918538021882</v>
      </c>
      <c r="D2995" s="17" t="s">
        <v>10198</v>
      </c>
      <c r="E2995" s="18" t="s">
        <v>68</v>
      </c>
    </row>
    <row r="2996">
      <c r="A2996" s="1" t="s">
        <v>2542</v>
      </c>
      <c r="B2996" s="1">
        <v>9.19996537899E11</v>
      </c>
      <c r="C2996" s="15" t="str">
        <f t="shared" si="1"/>
        <v>deepanshi.ashri@gmail.com919996537899</v>
      </c>
      <c r="D2996" s="17" t="s">
        <v>10199</v>
      </c>
      <c r="E2996" s="18" t="s">
        <v>68</v>
      </c>
    </row>
    <row r="2997">
      <c r="A2997" s="1" t="s">
        <v>4734</v>
      </c>
      <c r="B2997" s="1">
        <v>9.19822325579E11</v>
      </c>
      <c r="C2997" s="15" t="str">
        <f t="shared" si="1"/>
        <v>pratikjadhav027@gmail.com919822325579</v>
      </c>
      <c r="D2997" s="17" t="s">
        <v>10200</v>
      </c>
      <c r="E2997" s="18" t="s">
        <v>68</v>
      </c>
    </row>
    <row r="2998">
      <c r="A2998" s="1" t="s">
        <v>4339</v>
      </c>
      <c r="B2998" s="1">
        <v>9.19545451193E11</v>
      </c>
      <c r="C2998" s="15" t="str">
        <f t="shared" si="1"/>
        <v>sonybagga@gmail.com919545451193</v>
      </c>
      <c r="D2998" s="17" t="s">
        <v>10201</v>
      </c>
      <c r="E2998" s="18" t="s">
        <v>68</v>
      </c>
    </row>
    <row r="2999">
      <c r="A2999" s="1" t="s">
        <v>10202</v>
      </c>
      <c r="B2999" s="1">
        <v>9.19937036205E11</v>
      </c>
      <c r="C2999" s="15" t="str">
        <f t="shared" si="1"/>
        <v>sk_samal@yahoo.com919937036205</v>
      </c>
      <c r="D2999" s="17" t="s">
        <v>10203</v>
      </c>
      <c r="E2999" s="18" t="s">
        <v>68</v>
      </c>
    </row>
    <row r="3000">
      <c r="A3000" s="1" t="s">
        <v>4487</v>
      </c>
      <c r="B3000" s="1">
        <v>9.19591812767E11</v>
      </c>
      <c r="C3000" s="15" t="str">
        <f t="shared" si="1"/>
        <v>jyothi8008@gmail.com919591812767</v>
      </c>
      <c r="D3000" s="17" t="s">
        <v>10204</v>
      </c>
      <c r="E3000" s="18" t="s">
        <v>68</v>
      </c>
    </row>
    <row r="3001">
      <c r="A3001" s="1" t="s">
        <v>5160</v>
      </c>
      <c r="B3001" s="1">
        <v>9.18668022259E11</v>
      </c>
      <c r="C3001" s="15" t="str">
        <f t="shared" si="1"/>
        <v>ranjaniflutter@gmail.com918668022259</v>
      </c>
      <c r="D3001" s="17" t="s">
        <v>10205</v>
      </c>
      <c r="E3001" s="18" t="s">
        <v>68</v>
      </c>
    </row>
    <row r="3002">
      <c r="A3002" s="1" t="s">
        <v>6148</v>
      </c>
      <c r="B3002" s="1">
        <v>9.18284983011E11</v>
      </c>
      <c r="C3002" s="15" t="str">
        <f t="shared" si="1"/>
        <v>bashambuniharika33@gmail.com918284983011</v>
      </c>
      <c r="D3002" s="17" t="s">
        <v>10206</v>
      </c>
      <c r="E3002" s="18" t="s">
        <v>68</v>
      </c>
    </row>
    <row r="3003">
      <c r="A3003" s="1" t="s">
        <v>4382</v>
      </c>
      <c r="B3003" s="1">
        <v>9.19804510896E11</v>
      </c>
      <c r="C3003" s="15" t="str">
        <f t="shared" si="1"/>
        <v>future.nag@gmail.com919804510896</v>
      </c>
      <c r="D3003" s="17" t="s">
        <v>10207</v>
      </c>
      <c r="E3003" s="18" t="s">
        <v>74</v>
      </c>
    </row>
    <row r="3004">
      <c r="A3004" s="1" t="s">
        <v>4382</v>
      </c>
      <c r="B3004" s="1">
        <v>9.19804510896E11</v>
      </c>
      <c r="C3004" s="15" t="str">
        <f t="shared" si="1"/>
        <v>future.nag@gmail.com919804510896</v>
      </c>
      <c r="D3004" s="17" t="s">
        <v>10208</v>
      </c>
      <c r="E3004" s="18" t="s">
        <v>151</v>
      </c>
    </row>
    <row r="3005">
      <c r="A3005" s="1" t="s">
        <v>4382</v>
      </c>
      <c r="B3005" s="1">
        <v>9.19804510896E11</v>
      </c>
      <c r="C3005" s="15" t="str">
        <f t="shared" si="1"/>
        <v>future.nag@gmail.com919804510896</v>
      </c>
      <c r="D3005" s="17" t="s">
        <v>10209</v>
      </c>
      <c r="E3005" s="18" t="s">
        <v>74</v>
      </c>
    </row>
    <row r="3006">
      <c r="A3006" s="1" t="s">
        <v>6149</v>
      </c>
      <c r="B3006" s="1">
        <v>9.18085507013E11</v>
      </c>
      <c r="C3006" s="15" t="str">
        <f t="shared" si="1"/>
        <v>uttamy07@gmail.com918085507013</v>
      </c>
      <c r="D3006" s="17" t="s">
        <v>10210</v>
      </c>
      <c r="E3006" s="18" t="s">
        <v>68</v>
      </c>
    </row>
    <row r="3007">
      <c r="A3007" s="1" t="s">
        <v>3138</v>
      </c>
      <c r="B3007" s="1">
        <v>9.19983411578E11</v>
      </c>
      <c r="C3007" s="15" t="str">
        <f t="shared" si="1"/>
        <v>hasanzaiba084@gmail.com919983411578</v>
      </c>
      <c r="D3007" s="17" t="s">
        <v>10211</v>
      </c>
      <c r="E3007" s="18" t="s">
        <v>68</v>
      </c>
    </row>
    <row r="3008">
      <c r="A3008" s="1" t="s">
        <v>10212</v>
      </c>
      <c r="B3008" s="1">
        <v>9.19990077517E11</v>
      </c>
      <c r="C3008" s="15" t="str">
        <f t="shared" si="1"/>
        <v>mithu.pandey@srmuniversitu.ac.in919990077517</v>
      </c>
      <c r="D3008" s="17" t="s">
        <v>10213</v>
      </c>
      <c r="E3008" s="18" t="s">
        <v>151</v>
      </c>
    </row>
    <row r="3009">
      <c r="A3009" s="1" t="s">
        <v>10214</v>
      </c>
      <c r="B3009" s="1">
        <v>9.19797004297E11</v>
      </c>
      <c r="C3009" s="15" t="str">
        <f t="shared" si="1"/>
        <v>manoharbhat67@gmail.com919797004297</v>
      </c>
      <c r="D3009" s="17" t="s">
        <v>10215</v>
      </c>
      <c r="E3009" s="18" t="s">
        <v>74</v>
      </c>
    </row>
    <row r="3010">
      <c r="A3010" s="1" t="s">
        <v>10214</v>
      </c>
      <c r="B3010" s="1">
        <v>9.19797004297E11</v>
      </c>
      <c r="C3010" s="15" t="str">
        <f t="shared" si="1"/>
        <v>manoharbhat67@gmail.com919797004297</v>
      </c>
      <c r="D3010" s="17" t="s">
        <v>10216</v>
      </c>
      <c r="E3010" s="18" t="s">
        <v>74</v>
      </c>
    </row>
    <row r="3011">
      <c r="A3011" s="1" t="s">
        <v>3258</v>
      </c>
      <c r="B3011" s="1">
        <v>9.18089408986E11</v>
      </c>
      <c r="C3011" s="15" t="str">
        <f t="shared" si="1"/>
        <v>mercurymonster@gmail.com918089408986</v>
      </c>
      <c r="D3011" s="17" t="s">
        <v>10217</v>
      </c>
      <c r="E3011" s="18" t="s">
        <v>151</v>
      </c>
    </row>
    <row r="3012">
      <c r="A3012" s="1" t="s">
        <v>3258</v>
      </c>
      <c r="B3012" s="1">
        <v>9.18089408986E11</v>
      </c>
      <c r="C3012" s="15" t="str">
        <f t="shared" si="1"/>
        <v>mercurymonster@gmail.com918089408986</v>
      </c>
      <c r="D3012" s="17" t="s">
        <v>10218</v>
      </c>
      <c r="E3012" s="18" t="s">
        <v>68</v>
      </c>
    </row>
    <row r="3013">
      <c r="A3013" s="1" t="s">
        <v>4383</v>
      </c>
      <c r="B3013" s="1">
        <v>9.18008449452E11</v>
      </c>
      <c r="C3013" s="15" t="str">
        <f t="shared" si="1"/>
        <v>balarajumallikarjuna@gmail.com918008449452</v>
      </c>
      <c r="D3013" s="17" t="s">
        <v>10219</v>
      </c>
      <c r="E3013" s="18" t="s">
        <v>68</v>
      </c>
    </row>
    <row r="3014">
      <c r="A3014" s="1" t="s">
        <v>10220</v>
      </c>
      <c r="B3014" s="1">
        <v>9.18076082641E11</v>
      </c>
      <c r="C3014" s="15" t="str">
        <f t="shared" si="1"/>
        <v>ruchisuccess55@gmail.com918076082641</v>
      </c>
      <c r="D3014" s="17" t="s">
        <v>10221</v>
      </c>
      <c r="E3014" s="18" t="s">
        <v>151</v>
      </c>
    </row>
    <row r="3015">
      <c r="A3015" s="1" t="s">
        <v>10220</v>
      </c>
      <c r="B3015" s="1">
        <v>9.18076082641E11</v>
      </c>
      <c r="C3015" s="15" t="str">
        <f t="shared" si="1"/>
        <v>ruchisuccess55@gmail.com918076082641</v>
      </c>
      <c r="D3015" s="17" t="s">
        <v>10222</v>
      </c>
      <c r="E3015" s="18" t="s">
        <v>151</v>
      </c>
    </row>
    <row r="3016">
      <c r="A3016" s="1" t="s">
        <v>2684</v>
      </c>
      <c r="B3016" s="1">
        <v>9.19167663335E11</v>
      </c>
      <c r="C3016" s="15" t="str">
        <f t="shared" si="1"/>
        <v>ckelkar@gmail.com919167663335</v>
      </c>
      <c r="D3016" s="17" t="s">
        <v>10223</v>
      </c>
      <c r="E3016" s="18" t="s">
        <v>68</v>
      </c>
    </row>
    <row r="3017">
      <c r="A3017" s="1" t="s">
        <v>10224</v>
      </c>
      <c r="B3017" s="1">
        <v>9.16291785451E11</v>
      </c>
      <c r="C3017" s="15" t="str">
        <f t="shared" si="1"/>
        <v>disharidey38@gmail.com916291785451</v>
      </c>
      <c r="D3017" s="17" t="s">
        <v>10225</v>
      </c>
      <c r="E3017" s="18" t="s">
        <v>68</v>
      </c>
    </row>
    <row r="3018">
      <c r="A3018" s="1" t="s">
        <v>10224</v>
      </c>
      <c r="B3018" s="1">
        <v>9.19163095603E11</v>
      </c>
      <c r="C3018" s="15" t="str">
        <f t="shared" si="1"/>
        <v>disharidey38@gmail.com919163095603</v>
      </c>
      <c r="D3018" s="17" t="s">
        <v>10226</v>
      </c>
      <c r="E3018" s="18" t="s">
        <v>68</v>
      </c>
    </row>
    <row r="3019">
      <c r="A3019" s="1" t="s">
        <v>10227</v>
      </c>
      <c r="B3019" s="1">
        <v>9.1809681211E11</v>
      </c>
      <c r="C3019" s="15" t="str">
        <f t="shared" si="1"/>
        <v>swarnapandu16@gmail.com918096812110</v>
      </c>
      <c r="D3019" s="17" t="s">
        <v>10228</v>
      </c>
      <c r="E3019" s="18" t="s">
        <v>68</v>
      </c>
    </row>
    <row r="3020">
      <c r="A3020" s="1" t="s">
        <v>4488</v>
      </c>
      <c r="B3020" s="1">
        <v>9.19425692964E11</v>
      </c>
      <c r="C3020" s="15" t="str">
        <f t="shared" si="1"/>
        <v>padmawatirajput94@gmail.com919425692964</v>
      </c>
      <c r="D3020" s="17" t="s">
        <v>10229</v>
      </c>
      <c r="E3020" s="18" t="s">
        <v>68</v>
      </c>
    </row>
    <row r="3021">
      <c r="A3021" s="1" t="s">
        <v>2890</v>
      </c>
      <c r="B3021" s="1">
        <v>9.17000039027E11</v>
      </c>
      <c r="C3021" s="15" t="str">
        <f t="shared" si="1"/>
        <v>shirshendubharadwaj@gmail.com917000039027</v>
      </c>
      <c r="D3021" s="17" t="s">
        <v>10230</v>
      </c>
      <c r="E3021" s="18" t="s">
        <v>74</v>
      </c>
    </row>
    <row r="3022">
      <c r="A3022" s="1" t="s">
        <v>6192</v>
      </c>
      <c r="B3022" s="1">
        <v>9.17978584688E11</v>
      </c>
      <c r="C3022" s="15" t="str">
        <f t="shared" si="1"/>
        <v>shubhasree.sarkar3103@gmail.com917978584688</v>
      </c>
      <c r="D3022" s="17" t="s">
        <v>10231</v>
      </c>
      <c r="E3022" s="18" t="s">
        <v>151</v>
      </c>
    </row>
    <row r="3023">
      <c r="A3023" s="1" t="s">
        <v>6192</v>
      </c>
      <c r="B3023" s="1">
        <v>9.17978584688E11</v>
      </c>
      <c r="C3023" s="15" t="str">
        <f t="shared" si="1"/>
        <v>shubhasree.sarkar3103@gmail.com917978584688</v>
      </c>
      <c r="D3023" s="17" t="s">
        <v>10232</v>
      </c>
      <c r="E3023" s="18" t="s">
        <v>74</v>
      </c>
    </row>
    <row r="3024">
      <c r="A3024" s="1" t="s">
        <v>3139</v>
      </c>
      <c r="B3024" s="1">
        <v>9.1827603035E11</v>
      </c>
      <c r="C3024" s="15" t="str">
        <f t="shared" si="1"/>
        <v>uparnachatterjee06@gmail.com918276030350</v>
      </c>
      <c r="D3024" s="17" t="s">
        <v>10233</v>
      </c>
      <c r="E3024" s="18" t="s">
        <v>68</v>
      </c>
    </row>
    <row r="3025">
      <c r="A3025" s="1" t="s">
        <v>2875</v>
      </c>
      <c r="B3025" s="1">
        <v>9.19578500007E11</v>
      </c>
      <c r="C3025" s="15" t="str">
        <f t="shared" si="1"/>
        <v>navdeep2000nk@gmail.com919578500007</v>
      </c>
      <c r="D3025" s="17" t="s">
        <v>10234</v>
      </c>
      <c r="E3025" s="18" t="s">
        <v>68</v>
      </c>
    </row>
    <row r="3026">
      <c r="A3026" s="1" t="s">
        <v>2875</v>
      </c>
      <c r="B3026" s="1">
        <v>9.19578500007E11</v>
      </c>
      <c r="C3026" s="15" t="str">
        <f t="shared" si="1"/>
        <v>navdeep2000nk@gmail.com919578500007</v>
      </c>
      <c r="D3026" s="17" t="s">
        <v>10235</v>
      </c>
      <c r="E3026" s="18" t="s">
        <v>151</v>
      </c>
    </row>
    <row r="3027">
      <c r="A3027" s="1" t="s">
        <v>6150</v>
      </c>
      <c r="B3027" s="1">
        <v>9.18408895719E11</v>
      </c>
      <c r="C3027" s="15" t="str">
        <f t="shared" si="1"/>
        <v>a.p.hankare@gmail.com918408895719</v>
      </c>
      <c r="D3027" s="17" t="s">
        <v>10236</v>
      </c>
      <c r="E3027" s="18" t="s">
        <v>68</v>
      </c>
    </row>
    <row r="3028">
      <c r="A3028" s="1" t="s">
        <v>2875</v>
      </c>
      <c r="B3028" s="1">
        <v>9.19578500007E11</v>
      </c>
      <c r="C3028" s="15" t="str">
        <f t="shared" si="1"/>
        <v>navdeep2000nk@gmail.com919578500007</v>
      </c>
      <c r="D3028" s="17" t="s">
        <v>10237</v>
      </c>
      <c r="E3028" s="18" t="s">
        <v>74</v>
      </c>
    </row>
    <row r="3029">
      <c r="A3029" s="1" t="s">
        <v>2875</v>
      </c>
      <c r="B3029" s="1">
        <v>9.19578500007E11</v>
      </c>
      <c r="C3029" s="15" t="str">
        <f t="shared" si="1"/>
        <v>navdeep2000nk@gmail.com919578500007</v>
      </c>
      <c r="D3029" s="17" t="s">
        <v>10238</v>
      </c>
      <c r="E3029" s="18" t="s">
        <v>68</v>
      </c>
    </row>
    <row r="3030">
      <c r="A3030" s="1" t="s">
        <v>3711</v>
      </c>
      <c r="B3030" s="1">
        <v>9.19488509982E11</v>
      </c>
      <c r="C3030" s="15" t="str">
        <f t="shared" si="1"/>
        <v>landlinlanson23@gmail.com919488509982</v>
      </c>
      <c r="D3030" s="17" t="s">
        <v>10239</v>
      </c>
      <c r="E3030" s="18" t="s">
        <v>68</v>
      </c>
    </row>
    <row r="3031">
      <c r="A3031" s="1" t="s">
        <v>3711</v>
      </c>
      <c r="B3031" s="1">
        <v>9.19488509982E11</v>
      </c>
      <c r="C3031" s="15" t="str">
        <f t="shared" si="1"/>
        <v>landlinlanson23@gmail.com919488509982</v>
      </c>
      <c r="D3031" s="17" t="s">
        <v>10240</v>
      </c>
      <c r="E3031" s="18" t="s">
        <v>68</v>
      </c>
    </row>
    <row r="3032">
      <c r="A3032" s="1" t="s">
        <v>4190</v>
      </c>
      <c r="B3032" s="1">
        <v>9.1993054533E11</v>
      </c>
      <c r="C3032" s="15" t="str">
        <f t="shared" si="1"/>
        <v>jayshree.awle1503@gmail.com919930545330</v>
      </c>
      <c r="D3032" s="17" t="s">
        <v>10241</v>
      </c>
      <c r="E3032" s="18" t="s">
        <v>68</v>
      </c>
    </row>
    <row r="3033">
      <c r="A3033" s="1" t="s">
        <v>6559</v>
      </c>
      <c r="B3033" s="1">
        <v>9.18100081812E11</v>
      </c>
      <c r="C3033" s="15" t="str">
        <f t="shared" si="1"/>
        <v>deepshikhahore1710@gmail.com918100081812</v>
      </c>
      <c r="D3033" s="17" t="s">
        <v>10242</v>
      </c>
      <c r="E3033" s="18" t="s">
        <v>68</v>
      </c>
    </row>
    <row r="3034">
      <c r="A3034" s="1" t="s">
        <v>4340</v>
      </c>
      <c r="B3034" s="1">
        <v>9.19644518495E11</v>
      </c>
      <c r="C3034" s="15" t="str">
        <f t="shared" si="1"/>
        <v>ambadevaid@gmail.com919644518495</v>
      </c>
      <c r="D3034" s="17" t="s">
        <v>10243</v>
      </c>
      <c r="E3034" s="18" t="s">
        <v>68</v>
      </c>
    </row>
    <row r="3035">
      <c r="A3035" s="1" t="s">
        <v>4340</v>
      </c>
      <c r="B3035" s="1">
        <v>9.19644518495E11</v>
      </c>
      <c r="C3035" s="15" t="str">
        <f t="shared" si="1"/>
        <v>ambadevaid@gmail.com919644518495</v>
      </c>
      <c r="D3035" s="17" t="s">
        <v>10244</v>
      </c>
      <c r="E3035" s="18" t="s">
        <v>68</v>
      </c>
    </row>
    <row r="3036">
      <c r="A3036" s="1" t="s">
        <v>3259</v>
      </c>
      <c r="B3036" s="1">
        <v>9.17000941809E11</v>
      </c>
      <c r="C3036" s="15" t="str">
        <f t="shared" si="1"/>
        <v>gunjanj550@gmail.com917000941809</v>
      </c>
      <c r="D3036" s="17" t="s">
        <v>10245</v>
      </c>
      <c r="E3036" s="18" t="s">
        <v>68</v>
      </c>
    </row>
    <row r="3037">
      <c r="A3037" s="1" t="s">
        <v>10246</v>
      </c>
      <c r="B3037" s="1">
        <v>9.19883579588E11</v>
      </c>
      <c r="C3037" s="15" t="str">
        <f t="shared" si="1"/>
        <v>mousumibiswas2102@gmal.com919883579588</v>
      </c>
      <c r="D3037" s="17" t="s">
        <v>10247</v>
      </c>
      <c r="E3037" s="18" t="s">
        <v>151</v>
      </c>
    </row>
    <row r="3038">
      <c r="A3038" s="1" t="s">
        <v>10248</v>
      </c>
      <c r="B3038" s="1">
        <v>9.18169601543E11</v>
      </c>
      <c r="C3038" s="15" t="str">
        <f t="shared" si="1"/>
        <v>diksha.priyanka15@gamil.com918169601543</v>
      </c>
      <c r="D3038" s="17" t="s">
        <v>10249</v>
      </c>
      <c r="E3038" s="18" t="s">
        <v>68</v>
      </c>
    </row>
    <row r="3039">
      <c r="A3039" s="1" t="s">
        <v>4735</v>
      </c>
      <c r="B3039" s="1">
        <v>9.1999086677E11</v>
      </c>
      <c r="C3039" s="15" t="str">
        <f t="shared" si="1"/>
        <v>singhshivamlaw93@gmail.com919990866770</v>
      </c>
      <c r="D3039" s="17" t="s">
        <v>10250</v>
      </c>
      <c r="E3039" s="18" t="s">
        <v>74</v>
      </c>
    </row>
    <row r="3040">
      <c r="A3040" s="1" t="s">
        <v>4735</v>
      </c>
      <c r="B3040" s="1">
        <v>9.1999086677E11</v>
      </c>
      <c r="C3040" s="15" t="str">
        <f t="shared" si="1"/>
        <v>singhshivamlaw93@gmail.com919990866770</v>
      </c>
      <c r="D3040" s="17" t="s">
        <v>10251</v>
      </c>
      <c r="E3040" s="18" t="s">
        <v>74</v>
      </c>
    </row>
    <row r="3041">
      <c r="A3041" s="1" t="s">
        <v>4735</v>
      </c>
      <c r="B3041" s="1">
        <v>9.1999086677E11</v>
      </c>
      <c r="C3041" s="15" t="str">
        <f t="shared" si="1"/>
        <v>singhshivamlaw93@gmail.com919990866770</v>
      </c>
      <c r="D3041" s="17" t="s">
        <v>10252</v>
      </c>
      <c r="E3041" s="18" t="s">
        <v>68</v>
      </c>
    </row>
    <row r="3042">
      <c r="A3042" s="1" t="s">
        <v>5281</v>
      </c>
      <c r="B3042" s="1">
        <v>9.19740170552E11</v>
      </c>
      <c r="C3042" s="15" t="str">
        <f t="shared" si="1"/>
        <v>bankapur.shruti@gmail.com919740170552</v>
      </c>
      <c r="D3042" s="17" t="s">
        <v>10253</v>
      </c>
      <c r="E3042" s="18" t="s">
        <v>68</v>
      </c>
    </row>
    <row r="3043">
      <c r="A3043" s="1" t="s">
        <v>10254</v>
      </c>
      <c r="B3043" s="1">
        <v>9.19870814621E11</v>
      </c>
      <c r="C3043" s="15" t="str">
        <f t="shared" si="1"/>
        <v>dagurrj05@gmail.com919870814621</v>
      </c>
      <c r="D3043" s="17" t="s">
        <v>10255</v>
      </c>
      <c r="E3043" s="18" t="s">
        <v>74</v>
      </c>
    </row>
    <row r="3044">
      <c r="A3044" s="1" t="s">
        <v>5552</v>
      </c>
      <c r="B3044" s="1">
        <v>9.18802776998E11</v>
      </c>
      <c r="C3044" s="15" t="str">
        <f t="shared" si="1"/>
        <v>cooladityavats@gmail.com918802776998</v>
      </c>
      <c r="D3044" s="17" t="s">
        <v>10256</v>
      </c>
      <c r="E3044" s="18" t="s">
        <v>68</v>
      </c>
    </row>
    <row r="3045">
      <c r="A3045" s="1" t="s">
        <v>4938</v>
      </c>
      <c r="B3045" s="1">
        <v>9.18879556953E11</v>
      </c>
      <c r="C3045" s="15" t="str">
        <f t="shared" si="1"/>
        <v>juhi.momaya91@gmail.com918879556953</v>
      </c>
      <c r="D3045" s="17" t="s">
        <v>10257</v>
      </c>
      <c r="E3045" s="18" t="s">
        <v>74</v>
      </c>
    </row>
    <row r="3046">
      <c r="A3046" s="1" t="s">
        <v>5552</v>
      </c>
      <c r="B3046" s="1">
        <v>9.18802776998E11</v>
      </c>
      <c r="C3046" s="15" t="str">
        <f t="shared" si="1"/>
        <v>cooladityavats@gmail.com918802776998</v>
      </c>
      <c r="D3046" s="17" t="s">
        <v>10258</v>
      </c>
      <c r="E3046" s="18" t="s">
        <v>68</v>
      </c>
    </row>
    <row r="3047">
      <c r="A3047" s="1" t="s">
        <v>10259</v>
      </c>
      <c r="B3047" s="1">
        <v>9.17708442475E11</v>
      </c>
      <c r="C3047" s="15" t="str">
        <f t="shared" si="1"/>
        <v>maheshtech50@gmail.com917708442475</v>
      </c>
      <c r="D3047" s="17" t="s">
        <v>10260</v>
      </c>
      <c r="E3047" s="18" t="s">
        <v>151</v>
      </c>
    </row>
    <row r="3048">
      <c r="A3048" s="1" t="s">
        <v>6646</v>
      </c>
      <c r="B3048" s="1">
        <v>9.19909768106E11</v>
      </c>
      <c r="C3048" s="15" t="str">
        <f t="shared" si="1"/>
        <v>roshnimsubhash@gmail.com919909768106</v>
      </c>
      <c r="D3048" s="17" t="s">
        <v>10261</v>
      </c>
      <c r="E3048" s="18" t="s">
        <v>68</v>
      </c>
    </row>
    <row r="3049">
      <c r="A3049" s="1" t="s">
        <v>2543</v>
      </c>
      <c r="B3049" s="1">
        <v>9.18010405899E11</v>
      </c>
      <c r="C3049" s="15" t="str">
        <f t="shared" si="1"/>
        <v>amareshsingh1995@gmail.com918010405899</v>
      </c>
      <c r="D3049" s="17" t="s">
        <v>10262</v>
      </c>
      <c r="E3049" s="18" t="s">
        <v>68</v>
      </c>
    </row>
    <row r="3050">
      <c r="A3050" s="1" t="s">
        <v>5045</v>
      </c>
      <c r="B3050" s="1">
        <v>9.19140585496E11</v>
      </c>
      <c r="C3050" s="15" t="str">
        <f t="shared" si="1"/>
        <v>tripathishreya072@gmail.com919140585496</v>
      </c>
      <c r="D3050" s="17" t="s">
        <v>10263</v>
      </c>
      <c r="E3050" s="18" t="s">
        <v>97</v>
      </c>
    </row>
    <row r="3051">
      <c r="A3051" s="1" t="s">
        <v>4940</v>
      </c>
      <c r="B3051" s="1">
        <v>9.1960946698E11</v>
      </c>
      <c r="C3051" s="15" t="str">
        <f t="shared" si="1"/>
        <v>sahaankita2010@gmail.com919609466980</v>
      </c>
      <c r="D3051" s="17" t="s">
        <v>10264</v>
      </c>
      <c r="E3051" s="18" t="s">
        <v>151</v>
      </c>
    </row>
    <row r="3052">
      <c r="A3052" s="1" t="s">
        <v>10265</v>
      </c>
      <c r="B3052" s="1">
        <v>9.19985066658E11</v>
      </c>
      <c r="C3052" s="15" t="str">
        <f t="shared" si="1"/>
        <v>amanikajjam@gmail.com919985066658</v>
      </c>
      <c r="D3052" s="17" t="s">
        <v>10266</v>
      </c>
      <c r="E3052" s="18" t="s">
        <v>74</v>
      </c>
    </row>
    <row r="3053">
      <c r="A3053" s="1" t="s">
        <v>10265</v>
      </c>
      <c r="B3053" s="1">
        <v>9.19985066658E11</v>
      </c>
      <c r="C3053" s="15" t="str">
        <f t="shared" si="1"/>
        <v>amanikajjam@gmail.com919985066658</v>
      </c>
      <c r="D3053" s="17" t="s">
        <v>10267</v>
      </c>
      <c r="E3053" s="18" t="s">
        <v>74</v>
      </c>
    </row>
    <row r="3054">
      <c r="A3054" s="1" t="s">
        <v>5553</v>
      </c>
      <c r="B3054" s="1">
        <v>9.19099812436E11</v>
      </c>
      <c r="C3054" s="15" t="str">
        <f t="shared" si="1"/>
        <v>prajapatiayu148@gmail.com919099812436</v>
      </c>
      <c r="D3054" s="17" t="s">
        <v>10268</v>
      </c>
      <c r="E3054" s="18" t="s">
        <v>68</v>
      </c>
    </row>
    <row r="3055">
      <c r="A3055" s="1" t="s">
        <v>2684</v>
      </c>
      <c r="B3055" s="1">
        <v>9.19167663335E11</v>
      </c>
      <c r="C3055" s="15" t="str">
        <f t="shared" si="1"/>
        <v>ckelkar@gmail.com919167663335</v>
      </c>
      <c r="D3055" s="17" t="s">
        <v>10269</v>
      </c>
      <c r="E3055" s="18" t="s">
        <v>68</v>
      </c>
    </row>
    <row r="3056">
      <c r="A3056" s="1" t="s">
        <v>3140</v>
      </c>
      <c r="B3056" s="1">
        <v>9.17811967779E11</v>
      </c>
      <c r="C3056" s="15" t="str">
        <f t="shared" si="1"/>
        <v>vaheethraj250@gmail.com917811967779</v>
      </c>
      <c r="D3056" s="17" t="s">
        <v>10270</v>
      </c>
      <c r="E3056" s="18" t="s">
        <v>68</v>
      </c>
    </row>
    <row r="3057">
      <c r="A3057" s="1" t="s">
        <v>10265</v>
      </c>
      <c r="B3057" s="1">
        <v>9.19985066658E11</v>
      </c>
      <c r="C3057" s="15" t="str">
        <f t="shared" si="1"/>
        <v>amanikajjam@gmail.com919985066658</v>
      </c>
      <c r="D3057" s="17" t="s">
        <v>10271</v>
      </c>
      <c r="E3057" s="18" t="s">
        <v>74</v>
      </c>
    </row>
    <row r="3058">
      <c r="A3058" s="1" t="s">
        <v>10158</v>
      </c>
      <c r="B3058" s="1">
        <v>9.17378998336E11</v>
      </c>
      <c r="C3058" s="15" t="str">
        <f t="shared" si="1"/>
        <v>rpwasankar2002@gmail.com917378998336</v>
      </c>
      <c r="D3058" s="17" t="s">
        <v>10272</v>
      </c>
      <c r="E3058" s="18" t="s">
        <v>74</v>
      </c>
    </row>
    <row r="3059">
      <c r="A3059" s="1" t="s">
        <v>3817</v>
      </c>
      <c r="B3059" s="1">
        <v>9.18554919832E11</v>
      </c>
      <c r="C3059" s="15" t="str">
        <f t="shared" si="1"/>
        <v>nemadevivek@gmail.com918554919832</v>
      </c>
      <c r="D3059" s="17" t="s">
        <v>10273</v>
      </c>
      <c r="E3059" s="18" t="s">
        <v>68</v>
      </c>
    </row>
    <row r="3060">
      <c r="A3060" s="1" t="s">
        <v>3141</v>
      </c>
      <c r="B3060" s="1">
        <v>9.17903130415E11</v>
      </c>
      <c r="C3060" s="15" t="str">
        <f t="shared" si="1"/>
        <v>janvimalviya21@gmail.com917903130415</v>
      </c>
      <c r="D3060" s="17" t="s">
        <v>10274</v>
      </c>
      <c r="E3060" s="18" t="s">
        <v>68</v>
      </c>
    </row>
    <row r="3061">
      <c r="A3061" s="1" t="s">
        <v>3141</v>
      </c>
      <c r="B3061" s="1">
        <v>9.17903130415E11</v>
      </c>
      <c r="C3061" s="15" t="str">
        <f t="shared" si="1"/>
        <v>janvimalviya21@gmail.com917903130415</v>
      </c>
      <c r="D3061" s="17" t="s">
        <v>10275</v>
      </c>
      <c r="E3061" s="18" t="s">
        <v>68</v>
      </c>
    </row>
    <row r="3062">
      <c r="A3062" s="1" t="s">
        <v>3141</v>
      </c>
      <c r="B3062" s="1">
        <v>9.17903130415E11</v>
      </c>
      <c r="C3062" s="15" t="str">
        <f t="shared" si="1"/>
        <v>janvimalviya21@gmail.com917903130415</v>
      </c>
      <c r="D3062" s="17" t="s">
        <v>10276</v>
      </c>
      <c r="E3062" s="18" t="s">
        <v>68</v>
      </c>
    </row>
    <row r="3063">
      <c r="A3063" s="1" t="s">
        <v>4191</v>
      </c>
      <c r="B3063" s="1">
        <v>9.18709300469E11</v>
      </c>
      <c r="C3063" s="15" t="str">
        <f t="shared" si="1"/>
        <v>aishwaryabala69@gmail.com918709300469</v>
      </c>
      <c r="D3063" s="17" t="s">
        <v>10277</v>
      </c>
      <c r="E3063" s="18" t="s">
        <v>68</v>
      </c>
    </row>
    <row r="3064">
      <c r="A3064" s="1" t="s">
        <v>3482</v>
      </c>
      <c r="B3064" s="1">
        <v>9.17899164935E11</v>
      </c>
      <c r="C3064" s="15" t="str">
        <f t="shared" si="1"/>
        <v>gokkulnathts@gmail.com917899164935</v>
      </c>
      <c r="D3064" s="17" t="s">
        <v>10278</v>
      </c>
      <c r="E3064" s="18" t="s">
        <v>68</v>
      </c>
    </row>
    <row r="3065">
      <c r="A3065" s="1" t="s">
        <v>4192</v>
      </c>
      <c r="B3065" s="1">
        <v>9.1858698907E11</v>
      </c>
      <c r="C3065" s="15" t="str">
        <f t="shared" si="1"/>
        <v>act.shivani12@gmail.com918586989070</v>
      </c>
      <c r="D3065" s="17" t="s">
        <v>10279</v>
      </c>
      <c r="E3065" s="18" t="s">
        <v>151</v>
      </c>
    </row>
    <row r="3066">
      <c r="A3066" s="1" t="s">
        <v>10280</v>
      </c>
      <c r="B3066" s="1">
        <v>9.18867166289E11</v>
      </c>
      <c r="C3066" s="15" t="str">
        <f t="shared" si="1"/>
        <v>slakshmipathi205@gmail.com918867166289</v>
      </c>
      <c r="D3066" s="17" t="s">
        <v>10281</v>
      </c>
      <c r="E3066" s="18" t="s">
        <v>151</v>
      </c>
    </row>
    <row r="3067">
      <c r="A3067" s="1" t="s">
        <v>6560</v>
      </c>
      <c r="B3067" s="1">
        <v>9.1852734351E11</v>
      </c>
      <c r="C3067" s="15" t="str">
        <f t="shared" si="1"/>
        <v>abhishek.s.dalal@gmail.com918527343510</v>
      </c>
      <c r="D3067" s="17" t="s">
        <v>10282</v>
      </c>
      <c r="E3067" s="18" t="s">
        <v>97</v>
      </c>
    </row>
    <row r="3068">
      <c r="A3068" s="1" t="s">
        <v>10283</v>
      </c>
      <c r="B3068" s="1">
        <v>9.16304154638E11</v>
      </c>
      <c r="C3068" s="15" t="str">
        <f t="shared" si="1"/>
        <v>boykafighter143@gmail.com916304154638</v>
      </c>
      <c r="D3068" s="17" t="s">
        <v>10284</v>
      </c>
      <c r="E3068" s="18" t="s">
        <v>97</v>
      </c>
    </row>
    <row r="3069">
      <c r="A3069" s="1" t="s">
        <v>10283</v>
      </c>
      <c r="B3069" s="1">
        <v>9.16304154638E11</v>
      </c>
      <c r="C3069" s="15" t="str">
        <f t="shared" si="1"/>
        <v>boykafighter143@gmail.com916304154638</v>
      </c>
      <c r="D3069" s="17" t="s">
        <v>10285</v>
      </c>
      <c r="E3069" s="18" t="s">
        <v>151</v>
      </c>
    </row>
    <row r="3070">
      <c r="A3070" s="1" t="s">
        <v>8935</v>
      </c>
      <c r="B3070" s="1">
        <v>9.19416684521E11</v>
      </c>
      <c r="C3070" s="15" t="str">
        <f t="shared" si="1"/>
        <v>sunderprakashkaushik@gmail.com919416684521</v>
      </c>
      <c r="D3070" s="17" t="s">
        <v>10286</v>
      </c>
      <c r="E3070" s="18" t="s">
        <v>74</v>
      </c>
    </row>
    <row r="3071">
      <c r="A3071" s="1" t="s">
        <v>5554</v>
      </c>
      <c r="B3071" s="1">
        <v>9.18978600632E11</v>
      </c>
      <c r="C3071" s="15" t="str">
        <f t="shared" si="1"/>
        <v>monicaselesallampalli@gmail.com918978600632</v>
      </c>
      <c r="D3071" s="17" t="s">
        <v>10287</v>
      </c>
      <c r="E3071" s="18" t="s">
        <v>68</v>
      </c>
    </row>
    <row r="3072">
      <c r="A3072" s="1" t="s">
        <v>5554</v>
      </c>
      <c r="B3072" s="1">
        <v>9.18978600632E11</v>
      </c>
      <c r="C3072" s="15" t="str">
        <f t="shared" si="1"/>
        <v>monicaselesallampalli@gmail.com918978600632</v>
      </c>
      <c r="D3072" s="17" t="s">
        <v>10288</v>
      </c>
      <c r="E3072" s="18" t="s">
        <v>151</v>
      </c>
    </row>
    <row r="3073">
      <c r="A3073" s="1" t="s">
        <v>6647</v>
      </c>
      <c r="B3073" s="1">
        <v>9.1788879458E11</v>
      </c>
      <c r="C3073" s="15" t="str">
        <f t="shared" si="1"/>
        <v>pragatisohal@gmail.com917888794580</v>
      </c>
      <c r="D3073" s="17" t="s">
        <v>10289</v>
      </c>
      <c r="E3073" s="18" t="s">
        <v>68</v>
      </c>
    </row>
    <row r="3074">
      <c r="A3074" s="1" t="s">
        <v>4193</v>
      </c>
      <c r="B3074" s="1">
        <v>9.17406541514E11</v>
      </c>
      <c r="C3074" s="15" t="str">
        <f t="shared" si="1"/>
        <v>vaishprakash2001@gmail.com917406541514</v>
      </c>
      <c r="D3074" s="17" t="s">
        <v>10290</v>
      </c>
      <c r="E3074" s="18" t="s">
        <v>68</v>
      </c>
    </row>
    <row r="3075">
      <c r="A3075" s="1" t="s">
        <v>5282</v>
      </c>
      <c r="B3075" s="1">
        <v>9.19840106359E11</v>
      </c>
      <c r="C3075" s="15" t="str">
        <f t="shared" si="1"/>
        <v>kalyaninair86@gmail.com919840106359</v>
      </c>
      <c r="D3075" s="17" t="s">
        <v>10291</v>
      </c>
      <c r="E3075" s="18" t="s">
        <v>68</v>
      </c>
    </row>
    <row r="3076">
      <c r="A3076" s="1" t="s">
        <v>5045</v>
      </c>
      <c r="B3076" s="1">
        <v>9.19140585496E11</v>
      </c>
      <c r="C3076" s="15" t="str">
        <f t="shared" si="1"/>
        <v>tripathishreya072@gmail.com919140585496</v>
      </c>
      <c r="D3076" s="17" t="s">
        <v>10292</v>
      </c>
      <c r="E3076" s="18" t="s">
        <v>74</v>
      </c>
    </row>
    <row r="3077">
      <c r="A3077" s="1" t="s">
        <v>5045</v>
      </c>
      <c r="B3077" s="1">
        <v>9.19140585496E11</v>
      </c>
      <c r="C3077" s="15" t="str">
        <f t="shared" si="1"/>
        <v>tripathishreya072@gmail.com919140585496</v>
      </c>
      <c r="D3077" s="17" t="s">
        <v>10293</v>
      </c>
      <c r="E3077" s="18" t="s">
        <v>74</v>
      </c>
    </row>
    <row r="3078">
      <c r="A3078" s="1" t="s">
        <v>4489</v>
      </c>
      <c r="B3078" s="1">
        <v>9.17904174347E11</v>
      </c>
      <c r="C3078" s="15" t="str">
        <f t="shared" si="1"/>
        <v>selvarajanj97@gmail.com917904174347</v>
      </c>
      <c r="D3078" s="17" t="s">
        <v>10294</v>
      </c>
      <c r="E3078" s="18" t="s">
        <v>68</v>
      </c>
    </row>
    <row r="3079">
      <c r="A3079" s="1" t="s">
        <v>10295</v>
      </c>
      <c r="B3079" s="1">
        <v>9.17719993924E11</v>
      </c>
      <c r="C3079" s="15" t="str">
        <f t="shared" si="1"/>
        <v>desaipramod56@gmail.com917719993924</v>
      </c>
      <c r="D3079" s="17" t="s">
        <v>10296</v>
      </c>
      <c r="E3079" s="18" t="s">
        <v>68</v>
      </c>
    </row>
    <row r="3080">
      <c r="A3080" s="1" t="s">
        <v>5555</v>
      </c>
      <c r="B3080" s="1">
        <v>9.18962625363E11</v>
      </c>
      <c r="C3080" s="15" t="str">
        <f t="shared" si="1"/>
        <v>mishrareetika11@gmail.com918962625363</v>
      </c>
      <c r="D3080" s="17" t="s">
        <v>10297</v>
      </c>
      <c r="E3080" s="18" t="s">
        <v>68</v>
      </c>
    </row>
    <row r="3081">
      <c r="A3081" s="1" t="s">
        <v>10298</v>
      </c>
      <c r="B3081" s="1">
        <v>9.1896273327E11</v>
      </c>
      <c r="C3081" s="15" t="str">
        <f t="shared" si="1"/>
        <v>prashantchhaliwal@gmail.com918962733270</v>
      </c>
      <c r="D3081" s="17" t="s">
        <v>10299</v>
      </c>
      <c r="E3081" s="18" t="s">
        <v>68</v>
      </c>
    </row>
    <row r="3082">
      <c r="A3082" s="1" t="s">
        <v>2544</v>
      </c>
      <c r="B3082" s="1">
        <v>9.17904785764E11</v>
      </c>
      <c r="C3082" s="15" t="str">
        <f t="shared" si="1"/>
        <v>harshan0498@gmail.com917904785764</v>
      </c>
      <c r="D3082" s="17" t="s">
        <v>10300</v>
      </c>
      <c r="E3082" s="18" t="s">
        <v>68</v>
      </c>
    </row>
    <row r="3083">
      <c r="A3083" s="1" t="s">
        <v>5475</v>
      </c>
      <c r="B3083" s="1">
        <v>9.18878177386E11</v>
      </c>
      <c r="C3083" s="15" t="str">
        <f t="shared" si="1"/>
        <v>ayushjain1309@gmail.com918878177386</v>
      </c>
      <c r="D3083" s="17" t="s">
        <v>10301</v>
      </c>
      <c r="E3083" s="18" t="s">
        <v>68</v>
      </c>
    </row>
    <row r="3084">
      <c r="A3084" s="1" t="s">
        <v>2686</v>
      </c>
      <c r="B3084" s="1">
        <v>9.1870006606E11</v>
      </c>
      <c r="C3084" s="15" t="str">
        <f t="shared" si="1"/>
        <v>rishirathi1989@gmail.com918700066060</v>
      </c>
      <c r="D3084" s="17" t="s">
        <v>10302</v>
      </c>
      <c r="E3084" s="18" t="s">
        <v>68</v>
      </c>
    </row>
    <row r="3085">
      <c r="A3085" s="1" t="s">
        <v>4409</v>
      </c>
      <c r="B3085" s="1">
        <v>9.19891363718E11</v>
      </c>
      <c r="C3085" s="15" t="str">
        <f t="shared" si="1"/>
        <v>anujaggl1980@gmail.com919891363718</v>
      </c>
      <c r="D3085" s="17" t="s">
        <v>10303</v>
      </c>
      <c r="E3085" s="18" t="s">
        <v>68</v>
      </c>
    </row>
    <row r="3086">
      <c r="A3086" s="1" t="s">
        <v>5556</v>
      </c>
      <c r="B3086" s="1">
        <v>9.19000507561E11</v>
      </c>
      <c r="C3086" s="15" t="str">
        <f t="shared" si="1"/>
        <v>bgv.2195@gmail.com919000507561</v>
      </c>
      <c r="D3086" s="17" t="s">
        <v>10304</v>
      </c>
      <c r="E3086" s="18" t="s">
        <v>68</v>
      </c>
    </row>
    <row r="3087">
      <c r="A3087" s="1" t="s">
        <v>5046</v>
      </c>
      <c r="B3087" s="1">
        <v>9.18904226106E11</v>
      </c>
      <c r="C3087" s="15" t="str">
        <f t="shared" si="1"/>
        <v>vinodkumar11125@gmail.com918904226106</v>
      </c>
      <c r="D3087" s="17" t="s">
        <v>10305</v>
      </c>
      <c r="E3087" s="18" t="s">
        <v>68</v>
      </c>
    </row>
    <row r="3088">
      <c r="A3088" s="1" t="s">
        <v>2877</v>
      </c>
      <c r="B3088" s="1">
        <v>9.18420041265E11</v>
      </c>
      <c r="C3088" s="15" t="str">
        <f t="shared" si="1"/>
        <v>sonupincha.sp@gmail.com918420041265</v>
      </c>
      <c r="D3088" s="17" t="s">
        <v>10306</v>
      </c>
      <c r="E3088" s="18" t="s">
        <v>68</v>
      </c>
    </row>
    <row r="3089">
      <c r="A3089" s="1" t="s">
        <v>4840</v>
      </c>
      <c r="B3089" s="1">
        <v>9.1809079517E11</v>
      </c>
      <c r="C3089" s="15" t="str">
        <f t="shared" si="1"/>
        <v>tariquealam8090@gmail.com918090795170</v>
      </c>
      <c r="D3089" s="17" t="s">
        <v>10307</v>
      </c>
      <c r="E3089" s="18" t="s">
        <v>68</v>
      </c>
    </row>
    <row r="3090">
      <c r="A3090" s="1" t="s">
        <v>4840</v>
      </c>
      <c r="B3090" s="1">
        <v>9.1809079517E11</v>
      </c>
      <c r="C3090" s="15" t="str">
        <f t="shared" si="1"/>
        <v>tariquealam8090@gmail.com918090795170</v>
      </c>
      <c r="D3090" s="17" t="s">
        <v>10308</v>
      </c>
      <c r="E3090" s="18" t="s">
        <v>68</v>
      </c>
    </row>
    <row r="3091">
      <c r="A3091" s="1" t="s">
        <v>10309</v>
      </c>
      <c r="B3091" s="1">
        <v>9.19900707772E11</v>
      </c>
      <c r="C3091" s="15" t="str">
        <f t="shared" si="1"/>
        <v>jyothi_bohra@gmail.com919900707772</v>
      </c>
      <c r="D3091" s="17" t="s">
        <v>10310</v>
      </c>
      <c r="E3091" s="18" t="s">
        <v>74</v>
      </c>
    </row>
    <row r="3092">
      <c r="A3092" s="1" t="s">
        <v>10311</v>
      </c>
      <c r="B3092" s="1">
        <v>9.19560557636E11</v>
      </c>
      <c r="C3092" s="15" t="str">
        <f t="shared" si="1"/>
        <v>shanusansu@gmail.com919560557636</v>
      </c>
      <c r="D3092" s="17" t="s">
        <v>10312</v>
      </c>
      <c r="E3092" s="18" t="s">
        <v>74</v>
      </c>
    </row>
    <row r="3093">
      <c r="A3093" s="1" t="s">
        <v>10313</v>
      </c>
      <c r="B3093" s="1">
        <v>9.19108563191E11</v>
      </c>
      <c r="C3093" s="15" t="str">
        <f t="shared" si="1"/>
        <v>ayudhraj26@gmail.com919108563191</v>
      </c>
      <c r="D3093" s="17" t="s">
        <v>10314</v>
      </c>
      <c r="E3093" s="18" t="s">
        <v>68</v>
      </c>
    </row>
    <row r="3094">
      <c r="A3094" s="1" t="s">
        <v>4941</v>
      </c>
      <c r="B3094" s="1">
        <v>9.19820586219E11</v>
      </c>
      <c r="C3094" s="15" t="str">
        <f t="shared" si="1"/>
        <v>darshana.d1011@gmail.com919820586219</v>
      </c>
      <c r="D3094" s="17" t="s">
        <v>10315</v>
      </c>
      <c r="E3094" s="18" t="s">
        <v>68</v>
      </c>
    </row>
    <row r="3095">
      <c r="A3095" s="1" t="s">
        <v>5477</v>
      </c>
      <c r="B3095" s="1">
        <v>9.18296632605E11</v>
      </c>
      <c r="C3095" s="15" t="str">
        <f t="shared" si="1"/>
        <v>chetanreddy19@gmail.com918296632605</v>
      </c>
      <c r="D3095" s="17" t="s">
        <v>10316</v>
      </c>
      <c r="E3095" s="18" t="s">
        <v>68</v>
      </c>
    </row>
    <row r="3096">
      <c r="A3096" s="1" t="s">
        <v>3818</v>
      </c>
      <c r="B3096" s="1">
        <v>9.19059043583E11</v>
      </c>
      <c r="C3096" s="15" t="str">
        <f t="shared" si="1"/>
        <v>sunil.edupuganti29@gmail.com919059043583</v>
      </c>
      <c r="D3096" s="17" t="s">
        <v>10317</v>
      </c>
      <c r="E3096" s="18" t="s">
        <v>97</v>
      </c>
    </row>
    <row r="3097">
      <c r="A3097" s="1" t="s">
        <v>3143</v>
      </c>
      <c r="B3097" s="1">
        <v>9.17505580579E11</v>
      </c>
      <c r="C3097" s="15" t="str">
        <f t="shared" si="1"/>
        <v>shephali864@gmail.com917505580579</v>
      </c>
      <c r="D3097" s="17" t="s">
        <v>10318</v>
      </c>
      <c r="E3097" s="18" t="s">
        <v>68</v>
      </c>
    </row>
    <row r="3098">
      <c r="A3098" s="1" t="s">
        <v>3144</v>
      </c>
      <c r="B3098" s="1">
        <v>9.19810115373E11</v>
      </c>
      <c r="C3098" s="15" t="str">
        <f t="shared" si="1"/>
        <v>arivg25@gmail.com919810115373</v>
      </c>
      <c r="D3098" s="17" t="s">
        <v>10319</v>
      </c>
      <c r="E3098" s="18" t="s">
        <v>97</v>
      </c>
    </row>
    <row r="3099">
      <c r="A3099" s="1" t="s">
        <v>3928</v>
      </c>
      <c r="B3099" s="1">
        <v>9.180838735E11</v>
      </c>
      <c r="C3099" s="15" t="str">
        <f t="shared" si="1"/>
        <v>vvidya2411@gmail.com918083873500</v>
      </c>
      <c r="D3099" s="17" t="s">
        <v>10320</v>
      </c>
      <c r="E3099" s="18" t="s">
        <v>68</v>
      </c>
    </row>
    <row r="3100">
      <c r="A3100" s="1" t="s">
        <v>10321</v>
      </c>
      <c r="B3100" s="1">
        <v>9.18447780348E11</v>
      </c>
      <c r="C3100" s="15" t="str">
        <f t="shared" si="1"/>
        <v>devyaniimishra96@gmail.com918447780348</v>
      </c>
      <c r="D3100" s="17" t="s">
        <v>10322</v>
      </c>
      <c r="E3100" s="18" t="s">
        <v>74</v>
      </c>
    </row>
    <row r="3101">
      <c r="A3101" s="1" t="s">
        <v>5557</v>
      </c>
      <c r="B3101" s="1">
        <v>9.19877802556E11</v>
      </c>
      <c r="C3101" s="15" t="str">
        <f t="shared" si="1"/>
        <v>demonrana1997@gmail.com919877802556</v>
      </c>
      <c r="D3101" s="17" t="s">
        <v>10323</v>
      </c>
      <c r="E3101" s="18" t="s">
        <v>68</v>
      </c>
    </row>
    <row r="3102">
      <c r="A3102" s="1" t="s">
        <v>5558</v>
      </c>
      <c r="B3102" s="1">
        <v>9.17078837488E11</v>
      </c>
      <c r="C3102" s="15" t="str">
        <f t="shared" si="1"/>
        <v>rahulnagar3532@gmail.com917078837488</v>
      </c>
      <c r="D3102" s="17" t="s">
        <v>10324</v>
      </c>
      <c r="E3102" s="18" t="s">
        <v>68</v>
      </c>
    </row>
    <row r="3103">
      <c r="A3103" s="1" t="s">
        <v>5971</v>
      </c>
      <c r="B3103" s="1">
        <v>9.19930146203E11</v>
      </c>
      <c r="C3103" s="15" t="str">
        <f t="shared" si="1"/>
        <v>pallavi.tauro@gmail.com919930146203</v>
      </c>
      <c r="D3103" s="17" t="s">
        <v>10325</v>
      </c>
      <c r="E3103" s="18" t="s">
        <v>74</v>
      </c>
    </row>
    <row r="3104">
      <c r="A3104" s="1" t="s">
        <v>3305</v>
      </c>
      <c r="B3104" s="1">
        <v>9.1770806631E11</v>
      </c>
      <c r="C3104" s="15" t="str">
        <f t="shared" si="1"/>
        <v>harinsrini@gmail.com917708066310</v>
      </c>
      <c r="D3104" s="17" t="s">
        <v>10326</v>
      </c>
      <c r="E3104" s="18" t="s">
        <v>97</v>
      </c>
    </row>
    <row r="3105">
      <c r="A3105" s="1" t="s">
        <v>3305</v>
      </c>
      <c r="B3105" s="1">
        <v>9.1770806631E11</v>
      </c>
      <c r="C3105" s="15" t="str">
        <f t="shared" si="1"/>
        <v>harinsrini@gmail.com917708066310</v>
      </c>
      <c r="D3105" s="17" t="s">
        <v>10327</v>
      </c>
      <c r="E3105" s="18" t="s">
        <v>97</v>
      </c>
    </row>
    <row r="3106">
      <c r="A3106" s="1" t="s">
        <v>3305</v>
      </c>
      <c r="B3106" s="1">
        <v>9.1770806631E11</v>
      </c>
      <c r="C3106" s="15" t="str">
        <f t="shared" si="1"/>
        <v>harinsrini@gmail.com917708066310</v>
      </c>
      <c r="D3106" s="17" t="s">
        <v>10328</v>
      </c>
      <c r="E3106" s="18" t="s">
        <v>97</v>
      </c>
    </row>
    <row r="3107">
      <c r="A3107" s="1" t="s">
        <v>3305</v>
      </c>
      <c r="B3107" s="1">
        <v>9.1770806631E11</v>
      </c>
      <c r="C3107" s="15" t="str">
        <f t="shared" si="1"/>
        <v>harinsrini@gmail.com917708066310</v>
      </c>
      <c r="D3107" s="17" t="s">
        <v>10329</v>
      </c>
      <c r="E3107" s="18" t="s">
        <v>68</v>
      </c>
    </row>
    <row r="3108">
      <c r="A3108" s="1" t="s">
        <v>3305</v>
      </c>
      <c r="B3108" s="1">
        <v>9.1770806631E11</v>
      </c>
      <c r="C3108" s="15" t="str">
        <f t="shared" si="1"/>
        <v>harinsrini@gmail.com917708066310</v>
      </c>
      <c r="D3108" s="17" t="s">
        <v>10330</v>
      </c>
      <c r="E3108" s="18" t="s">
        <v>97</v>
      </c>
    </row>
    <row r="3109">
      <c r="A3109" s="1" t="s">
        <v>3260</v>
      </c>
      <c r="B3109" s="1">
        <v>9.18107697752E11</v>
      </c>
      <c r="C3109" s="15" t="str">
        <f t="shared" si="1"/>
        <v>chauhany7@gmail.com918107697752</v>
      </c>
      <c r="D3109" s="17" t="s">
        <v>10331</v>
      </c>
      <c r="E3109" s="18" t="s">
        <v>68</v>
      </c>
    </row>
    <row r="3110">
      <c r="A3110" s="1" t="s">
        <v>3260</v>
      </c>
      <c r="B3110" s="1">
        <v>9.18107697752E11</v>
      </c>
      <c r="C3110" s="15" t="str">
        <f t="shared" si="1"/>
        <v>chauhany7@gmail.com918107697752</v>
      </c>
      <c r="D3110" s="17" t="s">
        <v>10332</v>
      </c>
      <c r="E3110" s="18" t="s">
        <v>68</v>
      </c>
    </row>
    <row r="3111">
      <c r="A3111" s="1" t="s">
        <v>3260</v>
      </c>
      <c r="B3111" s="1">
        <v>9.18107697752E11</v>
      </c>
      <c r="C3111" s="15" t="str">
        <f t="shared" si="1"/>
        <v>chauhany7@gmail.com918107697752</v>
      </c>
      <c r="D3111" s="17" t="s">
        <v>10333</v>
      </c>
      <c r="E3111" s="18" t="s">
        <v>68</v>
      </c>
    </row>
    <row r="3112">
      <c r="A3112" s="1" t="s">
        <v>4384</v>
      </c>
      <c r="B3112" s="1">
        <v>9.18460102401E11</v>
      </c>
      <c r="C3112" s="15" t="str">
        <f t="shared" si="1"/>
        <v>patel.zil245@gmail.com918460102401</v>
      </c>
      <c r="D3112" s="17" t="s">
        <v>10334</v>
      </c>
      <c r="E3112" s="18" t="s">
        <v>68</v>
      </c>
    </row>
    <row r="3113">
      <c r="A3113" s="1" t="s">
        <v>10335</v>
      </c>
      <c r="B3113" s="1">
        <v>9.19877739858E11</v>
      </c>
      <c r="C3113" s="15" t="str">
        <f t="shared" si="1"/>
        <v>riya.nain1297@gmail.com919877739858</v>
      </c>
      <c r="D3113" s="17" t="s">
        <v>10336</v>
      </c>
      <c r="E3113" s="18" t="s">
        <v>68</v>
      </c>
    </row>
    <row r="3114">
      <c r="A3114" s="1" t="s">
        <v>10335</v>
      </c>
      <c r="B3114" s="1">
        <v>9.19877739858E11</v>
      </c>
      <c r="C3114" s="15" t="str">
        <f t="shared" si="1"/>
        <v>riya.nain1297@gmail.com919877739858</v>
      </c>
      <c r="D3114" s="17" t="s">
        <v>10337</v>
      </c>
      <c r="E3114" s="18" t="s">
        <v>68</v>
      </c>
    </row>
    <row r="3115">
      <c r="A3115" s="1" t="s">
        <v>3305</v>
      </c>
      <c r="B3115" s="1">
        <v>9.1770806631E11</v>
      </c>
      <c r="C3115" s="15" t="str">
        <f t="shared" si="1"/>
        <v>harinsrini@gmail.com917708066310</v>
      </c>
      <c r="D3115" s="17" t="s">
        <v>10338</v>
      </c>
      <c r="E3115" s="18" t="s">
        <v>68</v>
      </c>
    </row>
    <row r="3116">
      <c r="A3116" s="1" t="s">
        <v>2687</v>
      </c>
      <c r="B3116" s="1">
        <v>9.19877729858E11</v>
      </c>
      <c r="C3116" s="15" t="str">
        <f t="shared" si="1"/>
        <v>riya.jain1297@gmail.com919877729858</v>
      </c>
      <c r="D3116" s="17" t="s">
        <v>10339</v>
      </c>
      <c r="E3116" s="18" t="s">
        <v>68</v>
      </c>
    </row>
    <row r="3117">
      <c r="A3117" s="1" t="s">
        <v>5917</v>
      </c>
      <c r="B3117" s="1">
        <v>9.19673100939E11</v>
      </c>
      <c r="C3117" s="15" t="str">
        <f t="shared" si="1"/>
        <v>rajpurohotpooja20@gmail.com919673100939</v>
      </c>
      <c r="D3117" s="17" t="s">
        <v>10340</v>
      </c>
      <c r="E3117" s="18" t="s">
        <v>68</v>
      </c>
    </row>
    <row r="3118">
      <c r="A3118" s="1" t="s">
        <v>6298</v>
      </c>
      <c r="B3118" s="1">
        <v>9.1870813506E11</v>
      </c>
      <c r="C3118" s="15" t="str">
        <f t="shared" si="1"/>
        <v>office.mittal20000@gmail.com918708135060</v>
      </c>
      <c r="D3118" s="17" t="s">
        <v>10341</v>
      </c>
      <c r="E3118" s="18" t="s">
        <v>68</v>
      </c>
    </row>
    <row r="3119">
      <c r="A3119" s="1" t="s">
        <v>4737</v>
      </c>
      <c r="B3119" s="1">
        <v>9.18197517349E11</v>
      </c>
      <c r="C3119" s="15" t="str">
        <f t="shared" si="1"/>
        <v>pema.jamson@gmail.com918197517349</v>
      </c>
      <c r="D3119" s="17" t="s">
        <v>10342</v>
      </c>
      <c r="E3119" s="18" t="s">
        <v>68</v>
      </c>
    </row>
    <row r="3120">
      <c r="A3120" s="1" t="s">
        <v>4738</v>
      </c>
      <c r="B3120" s="1">
        <v>9.18056597405E11</v>
      </c>
      <c r="C3120" s="15" t="str">
        <f t="shared" si="1"/>
        <v>nayazbashaa01@gmail.com918056597405</v>
      </c>
      <c r="D3120" s="17" t="s">
        <v>10343</v>
      </c>
      <c r="E3120" s="18" t="s">
        <v>68</v>
      </c>
    </row>
    <row r="3121">
      <c r="A3121" s="1" t="s">
        <v>10344</v>
      </c>
      <c r="B3121" s="1">
        <v>9.19462150482E11</v>
      </c>
      <c r="C3121" s="15" t="str">
        <f t="shared" si="1"/>
        <v>mittaldipesh4@gmail.com919462150482</v>
      </c>
      <c r="D3121" s="17" t="s">
        <v>10345</v>
      </c>
      <c r="E3121" s="18" t="s">
        <v>151</v>
      </c>
    </row>
    <row r="3122">
      <c r="A3122" s="1" t="s">
        <v>6417</v>
      </c>
      <c r="B3122" s="1">
        <v>9.1965421E11</v>
      </c>
      <c r="C3122" s="15" t="str">
        <f t="shared" si="1"/>
        <v>shatrughan.dixit@gmail.com919654210000</v>
      </c>
      <c r="D3122" s="17" t="s">
        <v>10346</v>
      </c>
      <c r="E3122" s="18" t="s">
        <v>74</v>
      </c>
    </row>
    <row r="3123">
      <c r="A3123" s="1" t="s">
        <v>10347</v>
      </c>
      <c r="B3123" s="1">
        <v>9.19893043063E11</v>
      </c>
      <c r="C3123" s="15" t="str">
        <f t="shared" si="1"/>
        <v>ssuparna22277@gmail.com919893043063</v>
      </c>
      <c r="D3123" s="17" t="s">
        <v>10348</v>
      </c>
      <c r="E3123" s="18" t="s">
        <v>68</v>
      </c>
    </row>
    <row r="3124">
      <c r="A3124" s="1" t="s">
        <v>5283</v>
      </c>
      <c r="B3124" s="1">
        <v>9.16295797197E11</v>
      </c>
      <c r="C3124" s="15" t="str">
        <f t="shared" si="1"/>
        <v>satyamrrr8@gmail.com916295797197</v>
      </c>
      <c r="D3124" s="17" t="s">
        <v>10349</v>
      </c>
      <c r="E3124" s="18" t="s">
        <v>68</v>
      </c>
    </row>
    <row r="3125">
      <c r="A3125" s="1" t="s">
        <v>10350</v>
      </c>
      <c r="B3125" s="1">
        <v>9.19487151057E11</v>
      </c>
      <c r="C3125" s="15" t="str">
        <f t="shared" si="1"/>
        <v>sharumethaa78@gmail.com919487151057</v>
      </c>
      <c r="D3125" s="17" t="s">
        <v>10351</v>
      </c>
      <c r="E3125" s="18" t="s">
        <v>151</v>
      </c>
    </row>
    <row r="3126">
      <c r="A3126" s="1" t="s">
        <v>10350</v>
      </c>
      <c r="B3126" s="1">
        <v>9.19487151057E11</v>
      </c>
      <c r="C3126" s="15" t="str">
        <f t="shared" si="1"/>
        <v>sharumethaa78@gmail.com919487151057</v>
      </c>
      <c r="D3126" s="17" t="s">
        <v>10352</v>
      </c>
      <c r="E3126" s="18" t="s">
        <v>151</v>
      </c>
    </row>
    <row r="3127">
      <c r="A3127" s="1" t="s">
        <v>10347</v>
      </c>
      <c r="B3127" s="1">
        <v>9.19893043063E11</v>
      </c>
      <c r="C3127" s="15" t="str">
        <f t="shared" si="1"/>
        <v>ssuparna22277@gmail.com919893043063</v>
      </c>
      <c r="D3127" s="17" t="s">
        <v>10353</v>
      </c>
      <c r="E3127" s="18" t="s">
        <v>68</v>
      </c>
    </row>
    <row r="3128">
      <c r="A3128" s="1" t="s">
        <v>10354</v>
      </c>
      <c r="B3128" s="1">
        <v>9.18655083949E11</v>
      </c>
      <c r="C3128" s="15" t="str">
        <f t="shared" si="1"/>
        <v>deesha.1404.dv@gmail.com918655083949</v>
      </c>
      <c r="D3128" s="17" t="s">
        <v>10355</v>
      </c>
      <c r="E3128" s="18" t="s">
        <v>68</v>
      </c>
    </row>
    <row r="3129">
      <c r="A3129" s="1" t="s">
        <v>5161</v>
      </c>
      <c r="B3129" s="1">
        <v>9.18377877536E11</v>
      </c>
      <c r="C3129" s="15" t="str">
        <f t="shared" si="1"/>
        <v>oakgroves.drbs@gmail.com918377877536</v>
      </c>
      <c r="D3129" s="17" t="s">
        <v>10356</v>
      </c>
      <c r="E3129" s="18" t="s">
        <v>68</v>
      </c>
    </row>
    <row r="3130">
      <c r="A3130" s="1" t="s">
        <v>10357</v>
      </c>
      <c r="B3130" s="1">
        <v>9.18127134255E11</v>
      </c>
      <c r="C3130" s="15" t="str">
        <f t="shared" si="1"/>
        <v>gautsahuja32@yahoo.co.in918127134255</v>
      </c>
      <c r="D3130" s="17" t="s">
        <v>10358</v>
      </c>
      <c r="E3130" s="18" t="s">
        <v>151</v>
      </c>
    </row>
    <row r="3131">
      <c r="A3131" s="1" t="s">
        <v>10359</v>
      </c>
      <c r="B3131" s="1">
        <v>9.17999586652E11</v>
      </c>
      <c r="C3131" s="15" t="str">
        <f t="shared" si="1"/>
        <v>vedumahajan3344@gmail.com917999586652</v>
      </c>
      <c r="D3131" s="17" t="s">
        <v>10360</v>
      </c>
      <c r="E3131" s="18" t="s">
        <v>68</v>
      </c>
    </row>
    <row r="3132">
      <c r="A3132" s="1" t="s">
        <v>4194</v>
      </c>
      <c r="B3132" s="1">
        <v>9.17671013908E11</v>
      </c>
      <c r="C3132" s="15" t="str">
        <f t="shared" si="1"/>
        <v>pchenna61@gmail.com917671013908</v>
      </c>
      <c r="D3132" s="17" t="s">
        <v>10361</v>
      </c>
      <c r="E3132" s="18" t="s">
        <v>74</v>
      </c>
    </row>
    <row r="3133">
      <c r="A3133" s="1" t="s">
        <v>4194</v>
      </c>
      <c r="B3133" s="1">
        <v>9.17671013908E11</v>
      </c>
      <c r="C3133" s="15" t="str">
        <f t="shared" si="1"/>
        <v>pchenna61@gmail.com917671013908</v>
      </c>
      <c r="D3133" s="17" t="s">
        <v>10362</v>
      </c>
      <c r="E3133" s="18" t="s">
        <v>74</v>
      </c>
    </row>
    <row r="3134">
      <c r="A3134" s="1" t="s">
        <v>4194</v>
      </c>
      <c r="B3134" s="1">
        <v>9.17671013908E11</v>
      </c>
      <c r="C3134" s="15" t="str">
        <f t="shared" si="1"/>
        <v>pchenna61@gmail.com917671013908</v>
      </c>
      <c r="D3134" s="17" t="s">
        <v>10363</v>
      </c>
      <c r="E3134" s="18" t="s">
        <v>68</v>
      </c>
    </row>
    <row r="3135">
      <c r="A3135" s="1" t="s">
        <v>4194</v>
      </c>
      <c r="B3135" s="1">
        <v>9.17671013908E11</v>
      </c>
      <c r="C3135" s="15" t="str">
        <f t="shared" si="1"/>
        <v>pchenna61@gmail.com917671013908</v>
      </c>
      <c r="D3135" s="17" t="s">
        <v>10364</v>
      </c>
      <c r="E3135" s="18" t="s">
        <v>68</v>
      </c>
    </row>
    <row r="3136">
      <c r="A3136" s="1" t="s">
        <v>4194</v>
      </c>
      <c r="B3136" s="1">
        <v>9.17671013908E11</v>
      </c>
      <c r="C3136" s="15" t="str">
        <f t="shared" si="1"/>
        <v>pchenna61@gmail.com917671013908</v>
      </c>
      <c r="D3136" s="17" t="s">
        <v>10365</v>
      </c>
      <c r="E3136" s="18" t="s">
        <v>151</v>
      </c>
    </row>
    <row r="3137">
      <c r="A3137" s="1" t="s">
        <v>4194</v>
      </c>
      <c r="B3137" s="1">
        <v>9.17671013908E11</v>
      </c>
      <c r="C3137" s="15" t="str">
        <f t="shared" si="1"/>
        <v>pchenna61@gmail.com917671013908</v>
      </c>
      <c r="D3137" s="17" t="s">
        <v>10366</v>
      </c>
      <c r="E3137" s="18" t="s">
        <v>97</v>
      </c>
    </row>
    <row r="3138">
      <c r="A3138" s="1" t="s">
        <v>4194</v>
      </c>
      <c r="B3138" s="1">
        <v>9.17671013908E11</v>
      </c>
      <c r="C3138" s="15" t="str">
        <f t="shared" si="1"/>
        <v>pchenna61@gmail.com917671013908</v>
      </c>
      <c r="D3138" s="17" t="s">
        <v>10367</v>
      </c>
      <c r="E3138" s="18" t="s">
        <v>151</v>
      </c>
    </row>
    <row r="3139">
      <c r="A3139" s="1" t="s">
        <v>3819</v>
      </c>
      <c r="B3139" s="1">
        <v>9.19962442942E11</v>
      </c>
      <c r="C3139" s="15" t="str">
        <f t="shared" si="1"/>
        <v>harishamugesh@gmail.com919962442942</v>
      </c>
      <c r="D3139" s="17" t="s">
        <v>10368</v>
      </c>
      <c r="E3139" s="18" t="s">
        <v>68</v>
      </c>
    </row>
    <row r="3140">
      <c r="A3140" s="1" t="s">
        <v>3262</v>
      </c>
      <c r="B3140" s="1">
        <v>9.18285442983E11</v>
      </c>
      <c r="C3140" s="15" t="str">
        <f t="shared" si="1"/>
        <v>aman.chat335@gmail.com918285442983</v>
      </c>
      <c r="D3140" s="17" t="s">
        <v>10369</v>
      </c>
      <c r="E3140" s="18" t="s">
        <v>68</v>
      </c>
    </row>
    <row r="3141">
      <c r="A3141" s="1" t="s">
        <v>5284</v>
      </c>
      <c r="B3141" s="1">
        <v>9.19845819013E11</v>
      </c>
      <c r="C3141" s="15" t="str">
        <f t="shared" si="1"/>
        <v>hanumanthappa.shubha32@gmail.com919845819013</v>
      </c>
      <c r="D3141" s="17" t="s">
        <v>10370</v>
      </c>
      <c r="E3141" s="18" t="s">
        <v>68</v>
      </c>
    </row>
    <row r="3142">
      <c r="A3142" s="1" t="s">
        <v>5047</v>
      </c>
      <c r="B3142" s="1">
        <v>9.19701312827E11</v>
      </c>
      <c r="C3142" s="15" t="str">
        <f t="shared" si="1"/>
        <v>y.v.v.hemanth981@gmail.com919701312827</v>
      </c>
      <c r="D3142" s="17" t="s">
        <v>10371</v>
      </c>
      <c r="E3142" s="18" t="s">
        <v>68</v>
      </c>
    </row>
    <row r="3143">
      <c r="A3143" s="1" t="s">
        <v>3820</v>
      </c>
      <c r="B3143" s="1">
        <v>9.18088096106E11</v>
      </c>
      <c r="C3143" s="15" t="str">
        <f t="shared" si="1"/>
        <v>ksabaareeshguptha@gmail.com918088096106</v>
      </c>
      <c r="D3143" s="17" t="s">
        <v>10372</v>
      </c>
      <c r="E3143" s="18" t="s">
        <v>68</v>
      </c>
    </row>
    <row r="3144">
      <c r="A3144" s="1" t="s">
        <v>3263</v>
      </c>
      <c r="B3144" s="1">
        <v>9.1908868016E11</v>
      </c>
      <c r="C3144" s="15" t="str">
        <f t="shared" si="1"/>
        <v>prasenjitbiswas86@gmail.com919088680160</v>
      </c>
      <c r="D3144" s="17" t="s">
        <v>10373</v>
      </c>
      <c r="E3144" s="18" t="s">
        <v>68</v>
      </c>
    </row>
    <row r="3145">
      <c r="A3145" s="1" t="s">
        <v>10374</v>
      </c>
      <c r="B3145" s="1">
        <v>9.19721969364E11</v>
      </c>
      <c r="C3145" s="15" t="str">
        <f t="shared" si="1"/>
        <v>sarfrazkhan248@gmail.com919721969364</v>
      </c>
      <c r="D3145" s="17" t="s">
        <v>10375</v>
      </c>
      <c r="E3145" s="18" t="s">
        <v>151</v>
      </c>
    </row>
    <row r="3146">
      <c r="A3146" s="1" t="s">
        <v>10376</v>
      </c>
      <c r="B3146" s="1">
        <v>9.19811742023E11</v>
      </c>
      <c r="C3146" s="15" t="str">
        <f t="shared" si="1"/>
        <v>liveimages@ymail.com919811742023</v>
      </c>
      <c r="D3146" s="17" t="s">
        <v>10377</v>
      </c>
      <c r="E3146" s="18" t="s">
        <v>74</v>
      </c>
    </row>
    <row r="3147">
      <c r="A3147" s="1" t="s">
        <v>10376</v>
      </c>
      <c r="B3147" s="1">
        <v>9.19811742023E11</v>
      </c>
      <c r="C3147" s="15" t="str">
        <f t="shared" si="1"/>
        <v>liveimages@ymail.com919811742023</v>
      </c>
      <c r="D3147" s="17" t="s">
        <v>10378</v>
      </c>
      <c r="E3147" s="18" t="s">
        <v>74</v>
      </c>
    </row>
    <row r="3148">
      <c r="A3148" s="1" t="s">
        <v>6418</v>
      </c>
      <c r="B3148" s="1">
        <v>9.19100221702E11</v>
      </c>
      <c r="C3148" s="15" t="str">
        <f t="shared" si="1"/>
        <v>bbindu732@gmail.com919100221702</v>
      </c>
      <c r="D3148" s="17" t="s">
        <v>10379</v>
      </c>
      <c r="E3148" s="18" t="s">
        <v>68</v>
      </c>
    </row>
    <row r="3149">
      <c r="A3149" s="1" t="s">
        <v>2545</v>
      </c>
      <c r="B3149" s="1">
        <v>9.1962546471E11</v>
      </c>
      <c r="C3149" s="15" t="str">
        <f t="shared" si="1"/>
        <v>hiya2199@gmail.com919625464710</v>
      </c>
      <c r="D3149" s="17" t="s">
        <v>10380</v>
      </c>
      <c r="E3149" s="18" t="s">
        <v>68</v>
      </c>
    </row>
    <row r="3150">
      <c r="A3150" s="1" t="s">
        <v>6478</v>
      </c>
      <c r="B3150" s="1">
        <v>9.1903675527E11</v>
      </c>
      <c r="C3150" s="15" t="str">
        <f t="shared" si="1"/>
        <v>sunderr20@gmail.com919036755270</v>
      </c>
      <c r="D3150" s="17" t="s">
        <v>10381</v>
      </c>
      <c r="E3150" s="18" t="s">
        <v>151</v>
      </c>
    </row>
    <row r="3151">
      <c r="A3151" s="1" t="s">
        <v>6478</v>
      </c>
      <c r="B3151" s="1">
        <v>9.1903675527E11</v>
      </c>
      <c r="C3151" s="15" t="str">
        <f t="shared" si="1"/>
        <v>sunderr20@gmail.com919036755270</v>
      </c>
      <c r="D3151" s="17" t="s">
        <v>10382</v>
      </c>
      <c r="E3151" s="18" t="s">
        <v>97</v>
      </c>
    </row>
    <row r="3152">
      <c r="A3152" s="1" t="s">
        <v>4195</v>
      </c>
      <c r="B3152" s="1">
        <v>9.17978687669E11</v>
      </c>
      <c r="C3152" s="15" t="str">
        <f t="shared" si="1"/>
        <v>sweetaarti1976@gmail.com917978687669</v>
      </c>
      <c r="D3152" s="17" t="s">
        <v>10383</v>
      </c>
      <c r="E3152" s="18" t="s">
        <v>68</v>
      </c>
    </row>
    <row r="3153">
      <c r="A3153" s="1" t="s">
        <v>5048</v>
      </c>
      <c r="B3153" s="1">
        <v>9.19493567276E11</v>
      </c>
      <c r="C3153" s="15" t="str">
        <f t="shared" si="1"/>
        <v>dadas.com.dep@gmail.com919493567276</v>
      </c>
      <c r="D3153" s="17" t="s">
        <v>10384</v>
      </c>
      <c r="E3153" s="18" t="s">
        <v>74</v>
      </c>
    </row>
    <row r="3154">
      <c r="A3154" s="1" t="s">
        <v>10385</v>
      </c>
      <c r="B3154" s="1">
        <v>9.19925031353E11</v>
      </c>
      <c r="C3154" s="15" t="str">
        <f t="shared" si="1"/>
        <v>kggroupsurat@gmail.com919925031353</v>
      </c>
      <c r="D3154" s="17" t="s">
        <v>10386</v>
      </c>
      <c r="E3154" s="18" t="s">
        <v>68</v>
      </c>
    </row>
    <row r="3155">
      <c r="A3155" s="1" t="s">
        <v>10385</v>
      </c>
      <c r="B3155" s="1">
        <v>9.19925031353E11</v>
      </c>
      <c r="C3155" s="15" t="str">
        <f t="shared" si="1"/>
        <v>kggroupsurat@gmail.com919925031353</v>
      </c>
      <c r="D3155" s="17" t="s">
        <v>10387</v>
      </c>
      <c r="E3155" s="18" t="s">
        <v>68</v>
      </c>
    </row>
    <row r="3156">
      <c r="A3156" s="1" t="s">
        <v>5049</v>
      </c>
      <c r="B3156" s="1">
        <v>9.19818066593E11</v>
      </c>
      <c r="C3156" s="15" t="str">
        <f t="shared" si="1"/>
        <v>pandey1sushila@gmail.com919818066593</v>
      </c>
      <c r="D3156" s="17" t="s">
        <v>10388</v>
      </c>
      <c r="E3156" s="18" t="s">
        <v>68</v>
      </c>
    </row>
    <row r="3157">
      <c r="A3157" s="1" t="s">
        <v>4196</v>
      </c>
      <c r="B3157" s="1">
        <v>9.18496865968E11</v>
      </c>
      <c r="C3157" s="15" t="str">
        <f t="shared" si="1"/>
        <v>s880115424@gmail.com918496865968</v>
      </c>
      <c r="D3157" s="17" t="s">
        <v>10389</v>
      </c>
      <c r="E3157" s="18" t="s">
        <v>68</v>
      </c>
    </row>
    <row r="3158">
      <c r="A3158" s="1" t="s">
        <v>5918</v>
      </c>
      <c r="B3158" s="1">
        <v>9.19893043063E11</v>
      </c>
      <c r="C3158" s="15" t="str">
        <f t="shared" si="1"/>
        <v>suparna22277@gmail.com919893043063</v>
      </c>
      <c r="D3158" s="17" t="s">
        <v>10390</v>
      </c>
      <c r="E3158" s="18" t="s">
        <v>151</v>
      </c>
    </row>
    <row r="3159">
      <c r="A3159" s="1" t="s">
        <v>5918</v>
      </c>
      <c r="B3159" s="1">
        <v>9.19893043063E11</v>
      </c>
      <c r="C3159" s="15" t="str">
        <f t="shared" si="1"/>
        <v>suparna22277@gmail.com919893043063</v>
      </c>
      <c r="D3159" s="17" t="s">
        <v>10391</v>
      </c>
      <c r="E3159" s="18" t="s">
        <v>68</v>
      </c>
    </row>
    <row r="3160">
      <c r="A3160" s="1" t="s">
        <v>5559</v>
      </c>
      <c r="B3160" s="1">
        <v>9.19892410073E11</v>
      </c>
      <c r="C3160" s="15" t="str">
        <f t="shared" si="1"/>
        <v>raneshreyangi1994@gmail.com919892410073</v>
      </c>
      <c r="D3160" s="17" t="s">
        <v>10392</v>
      </c>
      <c r="E3160" s="18" t="s">
        <v>68</v>
      </c>
    </row>
    <row r="3161">
      <c r="A3161" s="1" t="s">
        <v>3145</v>
      </c>
      <c r="B3161" s="1">
        <v>9.18910275498E11</v>
      </c>
      <c r="C3161" s="15" t="str">
        <f t="shared" si="1"/>
        <v>gunjankr5416@gmail.com918910275498</v>
      </c>
      <c r="D3161" s="17" t="s">
        <v>10393</v>
      </c>
      <c r="E3161" s="18" t="s">
        <v>74</v>
      </c>
    </row>
    <row r="3162">
      <c r="A3162" s="1" t="s">
        <v>2878</v>
      </c>
      <c r="B3162" s="1">
        <v>9.18885747184E11</v>
      </c>
      <c r="C3162" s="15" t="str">
        <f t="shared" si="1"/>
        <v>sravani1789@gmail.com918885747184</v>
      </c>
      <c r="D3162" s="17" t="s">
        <v>10394</v>
      </c>
      <c r="E3162" s="18" t="s">
        <v>68</v>
      </c>
    </row>
    <row r="3163">
      <c r="A3163" s="1" t="s">
        <v>3821</v>
      </c>
      <c r="B3163" s="1">
        <v>9.18286178078E11</v>
      </c>
      <c r="C3163" s="15" t="str">
        <f t="shared" si="1"/>
        <v>grvnarang32@gmail.com918286178078</v>
      </c>
      <c r="D3163" s="17" t="s">
        <v>10395</v>
      </c>
      <c r="E3163" s="18" t="s">
        <v>151</v>
      </c>
    </row>
    <row r="3164">
      <c r="A3164" s="1" t="s">
        <v>3823</v>
      </c>
      <c r="B3164" s="1">
        <v>9.18501013821E11</v>
      </c>
      <c r="C3164" s="15" t="str">
        <f t="shared" si="1"/>
        <v>amith.ghosh821@gmail.com918501013821</v>
      </c>
      <c r="D3164" s="17" t="s">
        <v>10396</v>
      </c>
      <c r="E3164" s="18" t="s">
        <v>68</v>
      </c>
    </row>
    <row r="3165">
      <c r="A3165" s="1" t="s">
        <v>3823</v>
      </c>
      <c r="B3165" s="1">
        <v>9.18501013821E11</v>
      </c>
      <c r="C3165" s="15" t="str">
        <f t="shared" si="1"/>
        <v>amith.ghosh821@gmail.com918501013821</v>
      </c>
      <c r="D3165" s="17" t="s">
        <v>10397</v>
      </c>
      <c r="E3165" s="18" t="s">
        <v>68</v>
      </c>
    </row>
    <row r="3166">
      <c r="A3166" s="1" t="s">
        <v>4490</v>
      </c>
      <c r="B3166" s="1">
        <v>9.17828922558E11</v>
      </c>
      <c r="C3166" s="15" t="str">
        <f t="shared" si="1"/>
        <v>ppatidardivya740@gmail.com917828922558</v>
      </c>
      <c r="D3166" s="17" t="s">
        <v>10398</v>
      </c>
      <c r="E3166" s="18" t="s">
        <v>68</v>
      </c>
    </row>
    <row r="3167">
      <c r="A3167" s="1" t="s">
        <v>6648</v>
      </c>
      <c r="B3167" s="1">
        <v>9.1789329353E11</v>
      </c>
      <c r="C3167" s="15" t="str">
        <f t="shared" si="1"/>
        <v>divya.ganapathi410@gmail.com917893293530</v>
      </c>
      <c r="D3167" s="17" t="s">
        <v>10399</v>
      </c>
      <c r="E3167" s="18" t="s">
        <v>68</v>
      </c>
    </row>
    <row r="3168">
      <c r="A3168" s="1" t="s">
        <v>10400</v>
      </c>
      <c r="B3168" s="1">
        <v>9.19214896569E11</v>
      </c>
      <c r="C3168" s="15" t="str">
        <f t="shared" si="1"/>
        <v>deepa011sharma1311@gmail.com919214896569</v>
      </c>
      <c r="D3168" s="17" t="s">
        <v>10401</v>
      </c>
      <c r="E3168" s="18" t="s">
        <v>151</v>
      </c>
    </row>
    <row r="3169">
      <c r="A3169" s="1" t="s">
        <v>3146</v>
      </c>
      <c r="B3169" s="1">
        <v>9.17021122874E11</v>
      </c>
      <c r="C3169" s="15" t="str">
        <f t="shared" si="1"/>
        <v>dilip.rg@hotmail.com917021122874</v>
      </c>
      <c r="D3169" s="17" t="s">
        <v>10402</v>
      </c>
      <c r="E3169" s="18" t="s">
        <v>68</v>
      </c>
    </row>
    <row r="3170">
      <c r="A3170" s="1" t="s">
        <v>3146</v>
      </c>
      <c r="B3170" s="1">
        <v>9.17021122874E11</v>
      </c>
      <c r="C3170" s="15" t="str">
        <f t="shared" si="1"/>
        <v>dilip.rg@hotmail.com917021122874</v>
      </c>
      <c r="D3170" s="17" t="s">
        <v>10403</v>
      </c>
      <c r="E3170" s="18" t="s">
        <v>68</v>
      </c>
    </row>
    <row r="3171">
      <c r="A3171" s="1" t="s">
        <v>5560</v>
      </c>
      <c r="B3171" s="1">
        <v>9.17895363374E11</v>
      </c>
      <c r="C3171" s="15" t="str">
        <f t="shared" si="1"/>
        <v>hvats1603@gmail.com917895363374</v>
      </c>
      <c r="D3171" s="17" t="s">
        <v>10404</v>
      </c>
      <c r="E3171" s="18" t="s">
        <v>68</v>
      </c>
    </row>
    <row r="3172">
      <c r="A3172" s="1" t="s">
        <v>10405</v>
      </c>
      <c r="B3172" s="1">
        <v>9.19021359887E11</v>
      </c>
      <c r="C3172" s="15" t="str">
        <f t="shared" si="1"/>
        <v>hemajarande1111@gmail.com919021359887</v>
      </c>
      <c r="D3172" s="17" t="s">
        <v>10406</v>
      </c>
      <c r="E3172" s="18" t="s">
        <v>68</v>
      </c>
    </row>
    <row r="3173">
      <c r="A3173" s="1" t="s">
        <v>2546</v>
      </c>
      <c r="B3173" s="1">
        <v>9.19711341773E11</v>
      </c>
      <c r="C3173" s="15" t="str">
        <f t="shared" si="1"/>
        <v>abhijit.jha33@gmail.con919711341773</v>
      </c>
      <c r="D3173" s="17" t="s">
        <v>10407</v>
      </c>
      <c r="E3173" s="18" t="s">
        <v>68</v>
      </c>
    </row>
    <row r="3174">
      <c r="A3174" s="1" t="s">
        <v>2879</v>
      </c>
      <c r="B3174" s="1">
        <v>9.19600183034E11</v>
      </c>
      <c r="C3174" s="15" t="str">
        <f t="shared" si="1"/>
        <v>vishnupriya.st@yahoo.com919600183034</v>
      </c>
      <c r="D3174" s="17" t="s">
        <v>10408</v>
      </c>
      <c r="E3174" s="18" t="s">
        <v>151</v>
      </c>
    </row>
    <row r="3175">
      <c r="A3175" s="1" t="s">
        <v>4491</v>
      </c>
      <c r="B3175" s="1">
        <v>9.19594435171E11</v>
      </c>
      <c r="C3175" s="15" t="str">
        <f t="shared" si="1"/>
        <v>anita.korade@gmail.com919594435171</v>
      </c>
      <c r="D3175" s="17" t="s">
        <v>10409</v>
      </c>
      <c r="E3175" s="18" t="s">
        <v>68</v>
      </c>
    </row>
    <row r="3176">
      <c r="A3176" s="1" t="s">
        <v>3824</v>
      </c>
      <c r="B3176" s="1">
        <v>9.18446301948E11</v>
      </c>
      <c r="C3176" s="15" t="str">
        <f t="shared" si="1"/>
        <v>tejaspalwe@gmail.com918446301948</v>
      </c>
      <c r="D3176" s="17" t="s">
        <v>10410</v>
      </c>
      <c r="E3176" s="18" t="s">
        <v>74</v>
      </c>
    </row>
    <row r="3177">
      <c r="A3177" s="1" t="s">
        <v>10411</v>
      </c>
      <c r="B3177" s="1">
        <v>9.18240705778E11</v>
      </c>
      <c r="C3177" s="15" t="str">
        <f t="shared" si="1"/>
        <v>aarun1234singh@gmail.com918240705778</v>
      </c>
      <c r="D3177" s="17" t="s">
        <v>10412</v>
      </c>
      <c r="E3177" s="18" t="s">
        <v>74</v>
      </c>
    </row>
    <row r="3178">
      <c r="A3178" s="1" t="s">
        <v>10411</v>
      </c>
      <c r="B3178" s="1">
        <v>9.18240705778E11</v>
      </c>
      <c r="C3178" s="15" t="str">
        <f t="shared" si="1"/>
        <v>aarun1234singh@gmail.com918240705778</v>
      </c>
      <c r="D3178" s="17" t="s">
        <v>10413</v>
      </c>
      <c r="E3178" s="18" t="s">
        <v>74</v>
      </c>
    </row>
    <row r="3179">
      <c r="A3179" s="1" t="s">
        <v>6419</v>
      </c>
      <c r="B3179" s="1">
        <v>9.18097978668E11</v>
      </c>
      <c r="C3179" s="15" t="str">
        <f t="shared" si="1"/>
        <v>konkasaraswathi0@gmail.com918097978668</v>
      </c>
      <c r="D3179" s="17" t="s">
        <v>10414</v>
      </c>
      <c r="E3179" s="18" t="s">
        <v>68</v>
      </c>
    </row>
    <row r="3180">
      <c r="A3180" s="1" t="s">
        <v>5561</v>
      </c>
      <c r="B3180" s="1">
        <v>9.17016649532E11</v>
      </c>
      <c r="C3180" s="15" t="str">
        <f t="shared" si="1"/>
        <v>jaineha4294@gmail.com917016649532</v>
      </c>
      <c r="D3180" s="17" t="s">
        <v>10415</v>
      </c>
      <c r="E3180" s="18" t="s">
        <v>68</v>
      </c>
    </row>
    <row r="3181">
      <c r="A3181" s="1" t="s">
        <v>3712</v>
      </c>
      <c r="B3181" s="1">
        <v>9.19940022321E11</v>
      </c>
      <c r="C3181" s="15" t="str">
        <f t="shared" si="1"/>
        <v>jnshiva@gmail.com919940022321</v>
      </c>
      <c r="D3181" s="17" t="s">
        <v>10416</v>
      </c>
      <c r="E3181" s="18" t="s">
        <v>97</v>
      </c>
    </row>
    <row r="3182">
      <c r="A3182" s="1" t="s">
        <v>3993</v>
      </c>
      <c r="B3182" s="1">
        <v>9.18072741848E11</v>
      </c>
      <c r="C3182" s="15" t="str">
        <f t="shared" si="1"/>
        <v>pavithran7777@gmail.com918072741848</v>
      </c>
      <c r="D3182" s="17" t="s">
        <v>10417</v>
      </c>
      <c r="E3182" s="18" t="s">
        <v>68</v>
      </c>
    </row>
    <row r="3183">
      <c r="A3183" s="1" t="s">
        <v>6562</v>
      </c>
      <c r="B3183" s="1">
        <v>9.19884660705E11</v>
      </c>
      <c r="C3183" s="15" t="str">
        <f t="shared" si="1"/>
        <v>poppoye0705@gmail.com919884660705</v>
      </c>
      <c r="D3183" s="17" t="s">
        <v>10418</v>
      </c>
      <c r="E3183" s="18" t="s">
        <v>68</v>
      </c>
    </row>
    <row r="3184">
      <c r="A3184" s="1" t="s">
        <v>4739</v>
      </c>
      <c r="B3184" s="1">
        <v>9.19756031125E11</v>
      </c>
      <c r="C3184" s="15" t="str">
        <f t="shared" si="1"/>
        <v>singhsangeet120@gmail.com919756031125</v>
      </c>
      <c r="D3184" s="17" t="s">
        <v>10419</v>
      </c>
      <c r="E3184" s="18" t="s">
        <v>68</v>
      </c>
    </row>
    <row r="3185">
      <c r="A3185" s="1" t="s">
        <v>6813</v>
      </c>
      <c r="B3185" s="1">
        <v>9.19599577212E11</v>
      </c>
      <c r="C3185" s="15" t="str">
        <f t="shared" si="1"/>
        <v>rajpreettomar@gmail.com919599577212</v>
      </c>
      <c r="D3185" s="17" t="s">
        <v>10420</v>
      </c>
      <c r="E3185" s="18" t="s">
        <v>74</v>
      </c>
    </row>
    <row r="3186">
      <c r="A3186" s="1" t="s">
        <v>6245</v>
      </c>
      <c r="B3186" s="1">
        <v>9.19966884366E11</v>
      </c>
      <c r="C3186" s="15" t="str">
        <f t="shared" si="1"/>
        <v>bunnykartik@gmail.com919966884366</v>
      </c>
      <c r="D3186" s="17" t="s">
        <v>10421</v>
      </c>
      <c r="E3186" s="18" t="s">
        <v>68</v>
      </c>
    </row>
    <row r="3187">
      <c r="A3187" s="1" t="s">
        <v>6245</v>
      </c>
      <c r="B3187" s="1">
        <v>9.19966884366E11</v>
      </c>
      <c r="C3187" s="15" t="str">
        <f t="shared" si="1"/>
        <v>bunnykartik@gmail.com919966884366</v>
      </c>
      <c r="D3187" s="17" t="s">
        <v>10422</v>
      </c>
      <c r="E3187" s="18" t="s">
        <v>68</v>
      </c>
    </row>
    <row r="3188">
      <c r="A3188" s="1" t="s">
        <v>6178</v>
      </c>
      <c r="B3188" s="1">
        <v>9.19987808183E11</v>
      </c>
      <c r="C3188" s="15" t="str">
        <f t="shared" si="1"/>
        <v>preeti.janwasia@gmail.com919987808183</v>
      </c>
      <c r="D3188" s="17" t="s">
        <v>10423</v>
      </c>
      <c r="E3188" s="18" t="s">
        <v>68</v>
      </c>
    </row>
    <row r="3189">
      <c r="A3189" s="1" t="s">
        <v>1227</v>
      </c>
      <c r="B3189" s="1">
        <v>9.19681482727E11</v>
      </c>
      <c r="C3189" s="15" t="str">
        <f t="shared" si="1"/>
        <v>prince.varun14@gmail.com919681482727</v>
      </c>
      <c r="D3189" s="17" t="s">
        <v>10424</v>
      </c>
      <c r="E3189" s="18" t="s">
        <v>151</v>
      </c>
    </row>
    <row r="3190">
      <c r="A3190" s="1" t="s">
        <v>5919</v>
      </c>
      <c r="B3190" s="1">
        <v>9.18249097433E11</v>
      </c>
      <c r="C3190" s="15" t="str">
        <f t="shared" si="1"/>
        <v>nirakardas.tutu@gmail.com918249097433</v>
      </c>
      <c r="D3190" s="17" t="s">
        <v>10425</v>
      </c>
      <c r="E3190" s="18" t="s">
        <v>151</v>
      </c>
    </row>
    <row r="3191">
      <c r="A3191" s="1" t="s">
        <v>4578</v>
      </c>
      <c r="B3191" s="1">
        <v>9.19036333975E11</v>
      </c>
      <c r="C3191" s="15" t="str">
        <f t="shared" si="1"/>
        <v>umasnairassocham@gmail.com919036333975</v>
      </c>
      <c r="D3191" s="17" t="s">
        <v>10426</v>
      </c>
      <c r="E3191" s="18" t="s">
        <v>68</v>
      </c>
    </row>
    <row r="3192">
      <c r="A3192" s="1" t="s">
        <v>5834</v>
      </c>
      <c r="B3192" s="1">
        <v>9.19993209318E11</v>
      </c>
      <c r="C3192" s="15" t="str">
        <f t="shared" si="1"/>
        <v>gaurav.sindhiya@gmail.com919993209318</v>
      </c>
      <c r="D3192" s="17" t="s">
        <v>10427</v>
      </c>
      <c r="E3192" s="18" t="s">
        <v>68</v>
      </c>
    </row>
    <row r="3193">
      <c r="A3193" s="1" t="s">
        <v>5834</v>
      </c>
      <c r="B3193" s="1">
        <v>9.19993209318E11</v>
      </c>
      <c r="C3193" s="15" t="str">
        <f t="shared" si="1"/>
        <v>gaurav.sindhiya@gmail.com919993209318</v>
      </c>
      <c r="D3193" s="17" t="s">
        <v>10428</v>
      </c>
      <c r="E3193" s="18" t="s">
        <v>68</v>
      </c>
    </row>
    <row r="3194">
      <c r="A3194" s="1" t="s">
        <v>5562</v>
      </c>
      <c r="B3194" s="1">
        <v>9.18668517384E11</v>
      </c>
      <c r="C3194" s="15" t="str">
        <f t="shared" si="1"/>
        <v>shubhampansare141@gmail.com918668517384</v>
      </c>
      <c r="D3194" s="17" t="s">
        <v>10429</v>
      </c>
      <c r="E3194" s="18" t="s">
        <v>68</v>
      </c>
    </row>
    <row r="3195">
      <c r="A3195" s="1" t="s">
        <v>5562</v>
      </c>
      <c r="B3195" s="1">
        <v>9.18668517384E11</v>
      </c>
      <c r="C3195" s="15" t="str">
        <f t="shared" si="1"/>
        <v>shubhampansare141@gmail.com918668517384</v>
      </c>
      <c r="D3195" s="17" t="s">
        <v>10430</v>
      </c>
      <c r="E3195" s="18" t="s">
        <v>68</v>
      </c>
    </row>
    <row r="3196">
      <c r="A3196" s="1" t="s">
        <v>3059</v>
      </c>
      <c r="B3196" s="1">
        <v>9.18953547813E11</v>
      </c>
      <c r="C3196" s="15" t="str">
        <f t="shared" si="1"/>
        <v>ajitrai.ajit@gmail.com918953547813</v>
      </c>
      <c r="D3196" s="17" t="s">
        <v>10431</v>
      </c>
      <c r="E3196" s="18" t="s">
        <v>68</v>
      </c>
    </row>
    <row r="3197">
      <c r="A3197" s="1" t="s">
        <v>6253</v>
      </c>
      <c r="B3197" s="1">
        <v>9.1971343586E11</v>
      </c>
      <c r="C3197" s="15" t="str">
        <f t="shared" si="1"/>
        <v>kratirajak971@gmail.com919713435860</v>
      </c>
      <c r="D3197" s="17" t="s">
        <v>10432</v>
      </c>
      <c r="E3197" s="18" t="s">
        <v>68</v>
      </c>
    </row>
    <row r="3198">
      <c r="A3198" s="1" t="s">
        <v>3264</v>
      </c>
      <c r="B3198" s="1">
        <v>9.1773184172E11</v>
      </c>
      <c r="C3198" s="15" t="str">
        <f t="shared" si="1"/>
        <v>rvykuntham@gmail.com917731841720</v>
      </c>
      <c r="D3198" s="17" t="s">
        <v>10433</v>
      </c>
      <c r="E3198" s="18" t="s">
        <v>68</v>
      </c>
    </row>
    <row r="3199">
      <c r="A3199" s="1" t="s">
        <v>5285</v>
      </c>
      <c r="B3199" s="1">
        <v>9.19351211353E11</v>
      </c>
      <c r="C3199" s="15" t="str">
        <f t="shared" si="1"/>
        <v>jainmamta17866@gmail.com919351211353</v>
      </c>
      <c r="D3199" s="17" t="s">
        <v>10434</v>
      </c>
      <c r="E3199" s="18" t="s">
        <v>68</v>
      </c>
    </row>
    <row r="3200">
      <c r="A3200" s="1" t="s">
        <v>4565</v>
      </c>
      <c r="B3200" s="1">
        <v>9.19820358107E11</v>
      </c>
      <c r="C3200" s="15" t="str">
        <f t="shared" si="1"/>
        <v>saurabhhsingh1@gmail.com919820358107</v>
      </c>
      <c r="D3200" s="17" t="s">
        <v>10435</v>
      </c>
      <c r="E3200" s="18" t="s">
        <v>68</v>
      </c>
    </row>
    <row r="3201">
      <c r="A3201" s="1" t="s">
        <v>4565</v>
      </c>
      <c r="B3201" s="1">
        <v>9.19820358107E11</v>
      </c>
      <c r="C3201" s="15" t="str">
        <f t="shared" si="1"/>
        <v>saurabhhsingh1@gmail.com919820358107</v>
      </c>
      <c r="D3201" s="17" t="s">
        <v>10436</v>
      </c>
      <c r="E3201" s="18" t="s">
        <v>68</v>
      </c>
    </row>
    <row r="3202">
      <c r="A3202" s="1" t="s">
        <v>5050</v>
      </c>
      <c r="B3202" s="1">
        <v>9.19100224622E11</v>
      </c>
      <c r="C3202" s="15" t="str">
        <f t="shared" si="1"/>
        <v>sonisamudrala22@gmail.com919100224622</v>
      </c>
      <c r="D3202" s="17" t="s">
        <v>10437</v>
      </c>
      <c r="E3202" s="18" t="s">
        <v>151</v>
      </c>
    </row>
    <row r="3203">
      <c r="A3203" s="1" t="s">
        <v>5050</v>
      </c>
      <c r="B3203" s="1">
        <v>9.19100224622E11</v>
      </c>
      <c r="C3203" s="15" t="str">
        <f t="shared" si="1"/>
        <v>sonisamudrala22@gmail.com919100224622</v>
      </c>
      <c r="D3203" s="17" t="s">
        <v>10438</v>
      </c>
      <c r="E3203" s="18" t="s">
        <v>97</v>
      </c>
    </row>
    <row r="3204">
      <c r="A3204" s="1" t="s">
        <v>5050</v>
      </c>
      <c r="B3204" s="1">
        <v>9.19100224622E11</v>
      </c>
      <c r="C3204" s="15" t="str">
        <f t="shared" si="1"/>
        <v>sonisamudrala22@gmail.com919100224622</v>
      </c>
      <c r="D3204" s="17" t="s">
        <v>10439</v>
      </c>
      <c r="E3204" s="18" t="s">
        <v>151</v>
      </c>
    </row>
    <row r="3205">
      <c r="A3205" s="1" t="s">
        <v>5478</v>
      </c>
      <c r="B3205" s="1">
        <v>9.19091560661E11</v>
      </c>
      <c r="C3205" s="15" t="str">
        <f t="shared" si="1"/>
        <v>das.anik3@gmail.com919091560661</v>
      </c>
      <c r="D3205" s="17" t="s">
        <v>10440</v>
      </c>
      <c r="E3205" s="18" t="s">
        <v>68</v>
      </c>
    </row>
    <row r="3206">
      <c r="A3206" s="1" t="s">
        <v>3265</v>
      </c>
      <c r="B3206" s="1">
        <v>9.19818154017E11</v>
      </c>
      <c r="C3206" s="15" t="str">
        <f t="shared" si="1"/>
        <v>24mohityadav@gmail.com919818154017</v>
      </c>
      <c r="D3206" s="17" t="s">
        <v>10441</v>
      </c>
      <c r="E3206" s="18" t="s">
        <v>68</v>
      </c>
    </row>
    <row r="3207">
      <c r="A3207" s="1" t="s">
        <v>3825</v>
      </c>
      <c r="B3207" s="1">
        <v>9.18247820094E11</v>
      </c>
      <c r="C3207" s="15" t="str">
        <f t="shared" si="1"/>
        <v>santhoshreddynelapatla@gmail.com918247820094</v>
      </c>
      <c r="D3207" s="17" t="s">
        <v>10442</v>
      </c>
      <c r="E3207" s="18" t="s">
        <v>68</v>
      </c>
    </row>
    <row r="3208">
      <c r="A3208" s="1" t="s">
        <v>3048</v>
      </c>
      <c r="B3208" s="1">
        <v>9.19400802624E11</v>
      </c>
      <c r="C3208" s="15" t="str">
        <f t="shared" si="1"/>
        <v>kabeerputhoor@gmail.com919400802624</v>
      </c>
      <c r="D3208" s="17" t="s">
        <v>10443</v>
      </c>
      <c r="E3208" s="18" t="s">
        <v>68</v>
      </c>
    </row>
    <row r="3209">
      <c r="A3209" s="1" t="s">
        <v>5708</v>
      </c>
      <c r="B3209" s="1">
        <v>9.1991044804E11</v>
      </c>
      <c r="C3209" s="15" t="str">
        <f t="shared" si="1"/>
        <v>jyotsnab@mdi.ac.in919910448040</v>
      </c>
      <c r="D3209" s="17" t="s">
        <v>10444</v>
      </c>
      <c r="E3209" s="18" t="s">
        <v>68</v>
      </c>
    </row>
    <row r="3210">
      <c r="A3210" s="1" t="s">
        <v>3826</v>
      </c>
      <c r="B3210" s="1">
        <v>9.1703636203E11</v>
      </c>
      <c r="C3210" s="15" t="str">
        <f t="shared" si="1"/>
        <v>shivarampeddapaka1311@gmail.com917036362030</v>
      </c>
      <c r="D3210" s="17" t="s">
        <v>10445</v>
      </c>
      <c r="E3210" s="18" t="s">
        <v>68</v>
      </c>
    </row>
    <row r="3211">
      <c r="A3211" s="1" t="s">
        <v>3827</v>
      </c>
      <c r="B3211" s="1">
        <v>9.19133651692E11</v>
      </c>
      <c r="C3211" s="15" t="str">
        <f t="shared" si="1"/>
        <v>anupkanna69@gmail.com919133651692</v>
      </c>
      <c r="D3211" s="17" t="s">
        <v>10446</v>
      </c>
      <c r="E3211" s="18" t="s">
        <v>68</v>
      </c>
    </row>
    <row r="3212">
      <c r="A3212" s="1" t="s">
        <v>5724</v>
      </c>
      <c r="B3212" s="1">
        <v>9.17416118311E11</v>
      </c>
      <c r="C3212" s="15" t="str">
        <f t="shared" si="1"/>
        <v>reddyyogeshwari@yahoo.co.in917416118311</v>
      </c>
      <c r="D3212" s="17" t="s">
        <v>10447</v>
      </c>
      <c r="E3212" s="18" t="s">
        <v>97</v>
      </c>
    </row>
    <row r="3213">
      <c r="A3213" s="1" t="s">
        <v>5724</v>
      </c>
      <c r="B3213" s="1">
        <v>9.17416118311E11</v>
      </c>
      <c r="C3213" s="15" t="str">
        <f t="shared" si="1"/>
        <v>reddyyogeshwari@yahoo.co.in917416118311</v>
      </c>
      <c r="D3213" s="17" t="s">
        <v>10448</v>
      </c>
      <c r="E3213" s="18" t="s">
        <v>68</v>
      </c>
    </row>
    <row r="3214">
      <c r="A3214" s="1" t="s">
        <v>6471</v>
      </c>
      <c r="B3214" s="1">
        <v>9.1978942335E11</v>
      </c>
      <c r="C3214" s="15" t="str">
        <f t="shared" si="1"/>
        <v>ishukrish21@gmail.com919789423350</v>
      </c>
      <c r="D3214" s="17" t="s">
        <v>10449</v>
      </c>
      <c r="E3214" s="18" t="s">
        <v>97</v>
      </c>
    </row>
    <row r="3215">
      <c r="A3215" s="1" t="s">
        <v>3313</v>
      </c>
      <c r="B3215" s="1">
        <v>9.19888470272E11</v>
      </c>
      <c r="C3215" s="15" t="str">
        <f t="shared" si="1"/>
        <v>himanshusaleria@gmail.com919888470272</v>
      </c>
      <c r="D3215" s="17" t="s">
        <v>10450</v>
      </c>
      <c r="E3215" s="18" t="s">
        <v>68</v>
      </c>
    </row>
    <row r="3216">
      <c r="A3216" s="1" t="s">
        <v>3313</v>
      </c>
      <c r="B3216" s="1">
        <v>9.19888470272E11</v>
      </c>
      <c r="C3216" s="15" t="str">
        <f t="shared" si="1"/>
        <v>himanshusaleria@gmail.com919888470272</v>
      </c>
      <c r="D3216" s="17" t="s">
        <v>10451</v>
      </c>
      <c r="E3216" s="18" t="s">
        <v>68</v>
      </c>
    </row>
    <row r="3217">
      <c r="A3217" s="1" t="s">
        <v>3313</v>
      </c>
      <c r="B3217" s="1">
        <v>9.19888470272E11</v>
      </c>
      <c r="C3217" s="15" t="str">
        <f t="shared" si="1"/>
        <v>himanshusaleria@gmail.com919888470272</v>
      </c>
      <c r="D3217" s="17" t="s">
        <v>10452</v>
      </c>
      <c r="E3217" s="18" t="s">
        <v>68</v>
      </c>
    </row>
    <row r="3218">
      <c r="A3218" s="1" t="s">
        <v>3313</v>
      </c>
      <c r="B3218" s="1">
        <v>9.19888470272E11</v>
      </c>
      <c r="C3218" s="15" t="str">
        <f t="shared" si="1"/>
        <v>himanshusaleria@gmail.com919888470272</v>
      </c>
      <c r="D3218" s="17" t="s">
        <v>10453</v>
      </c>
      <c r="E3218" s="18" t="s">
        <v>68</v>
      </c>
    </row>
    <row r="3219">
      <c r="A3219" s="1" t="s">
        <v>6323</v>
      </c>
      <c r="B3219" s="1">
        <v>9.1982039501E11</v>
      </c>
      <c r="C3219" s="15" t="str">
        <f t="shared" si="1"/>
        <v>jesal3ster@gmail.com919820395010</v>
      </c>
      <c r="D3219" s="17" t="s">
        <v>10454</v>
      </c>
      <c r="E3219" s="18" t="s">
        <v>68</v>
      </c>
    </row>
    <row r="3220">
      <c r="A3220" s="1" t="s">
        <v>5920</v>
      </c>
      <c r="B3220" s="1">
        <v>9.19836212221E11</v>
      </c>
      <c r="C3220" s="15" t="str">
        <f t="shared" si="1"/>
        <v>srijoni.s@gmail.com919836212221</v>
      </c>
      <c r="D3220" s="17" t="s">
        <v>10455</v>
      </c>
      <c r="E3220" s="18" t="s">
        <v>68</v>
      </c>
    </row>
    <row r="3221">
      <c r="A3221" s="1" t="s">
        <v>5920</v>
      </c>
      <c r="B3221" s="1">
        <v>9.19836212221E11</v>
      </c>
      <c r="C3221" s="15" t="str">
        <f t="shared" si="1"/>
        <v>srijoni.s@gmail.com919836212221</v>
      </c>
      <c r="D3221" s="17" t="s">
        <v>10456</v>
      </c>
      <c r="E3221" s="18" t="s">
        <v>68</v>
      </c>
    </row>
    <row r="3222">
      <c r="A3222" s="1" t="s">
        <v>5920</v>
      </c>
      <c r="B3222" s="1">
        <v>9.19836212221E11</v>
      </c>
      <c r="C3222" s="15" t="str">
        <f t="shared" si="1"/>
        <v>srijoni.s@gmail.com919836212221</v>
      </c>
      <c r="D3222" s="17" t="s">
        <v>10457</v>
      </c>
      <c r="E3222" s="18" t="s">
        <v>68</v>
      </c>
    </row>
    <row r="3223">
      <c r="A3223" s="1" t="s">
        <v>5725</v>
      </c>
      <c r="B3223" s="1">
        <v>9.1991044804E11</v>
      </c>
      <c r="C3223" s="15" t="str">
        <f t="shared" si="1"/>
        <v>bhatnagar.jyo@gmail.com919910448040</v>
      </c>
      <c r="D3223" s="17" t="s">
        <v>10458</v>
      </c>
      <c r="E3223" s="18" t="s">
        <v>68</v>
      </c>
    </row>
    <row r="3224">
      <c r="A3224" s="1" t="s">
        <v>2343</v>
      </c>
      <c r="B3224" s="1">
        <v>9.18076913071E11</v>
      </c>
      <c r="C3224" s="15" t="str">
        <f t="shared" si="1"/>
        <v>debjanibose4319@gmail.com918076913071</v>
      </c>
      <c r="D3224" s="17" t="s">
        <v>10459</v>
      </c>
      <c r="E3224" s="18" t="s">
        <v>74</v>
      </c>
    </row>
    <row r="3225">
      <c r="A3225" s="1" t="s">
        <v>3483</v>
      </c>
      <c r="B3225" s="1">
        <v>9.17002080824E11</v>
      </c>
      <c r="C3225" s="15" t="str">
        <f t="shared" si="1"/>
        <v>phukanpuja744@gmail.com917002080824</v>
      </c>
      <c r="D3225" s="17" t="s">
        <v>10460</v>
      </c>
      <c r="E3225" s="18" t="s">
        <v>68</v>
      </c>
    </row>
    <row r="3226">
      <c r="A3226" s="1" t="s">
        <v>5835</v>
      </c>
      <c r="B3226" s="1">
        <v>9.18375983569E11</v>
      </c>
      <c r="C3226" s="15" t="str">
        <f t="shared" si="1"/>
        <v>manjotkaurrathore@gmail.com918375983569</v>
      </c>
      <c r="D3226" s="17" t="s">
        <v>10461</v>
      </c>
      <c r="E3226" s="18" t="s">
        <v>151</v>
      </c>
    </row>
    <row r="3227">
      <c r="A3227" s="1" t="s">
        <v>5835</v>
      </c>
      <c r="B3227" s="1">
        <v>9.18375983569E11</v>
      </c>
      <c r="C3227" s="15" t="str">
        <f t="shared" si="1"/>
        <v>manjotkaurrathore@gmail.com918375983569</v>
      </c>
      <c r="D3227" s="17" t="s">
        <v>10462</v>
      </c>
      <c r="E3227" s="18" t="s">
        <v>74</v>
      </c>
    </row>
    <row r="3228">
      <c r="A3228" s="1" t="s">
        <v>9036</v>
      </c>
      <c r="B3228" s="1">
        <v>9.19884191335E11</v>
      </c>
      <c r="C3228" s="15" t="str">
        <f t="shared" si="1"/>
        <v>praneethrajkanakam@gmail.com919884191335</v>
      </c>
      <c r="D3228" s="17" t="s">
        <v>10463</v>
      </c>
      <c r="E3228" s="18" t="s">
        <v>97</v>
      </c>
    </row>
    <row r="3229">
      <c r="A3229" s="1" t="s">
        <v>6180</v>
      </c>
      <c r="B3229" s="1">
        <v>9.19820684252E11</v>
      </c>
      <c r="C3229" s="15" t="str">
        <f t="shared" si="1"/>
        <v>shubharambhces@gmail.com919820684252</v>
      </c>
      <c r="D3229" s="17" t="s">
        <v>10464</v>
      </c>
      <c r="E3229" s="18" t="s">
        <v>68</v>
      </c>
    </row>
    <row r="3230">
      <c r="A3230" s="1" t="s">
        <v>6254</v>
      </c>
      <c r="B3230" s="1">
        <v>9.18669123501E11</v>
      </c>
      <c r="C3230" s="15" t="str">
        <f t="shared" si="1"/>
        <v>naman0035@gmail.com918669123501</v>
      </c>
      <c r="D3230" s="17" t="s">
        <v>10465</v>
      </c>
      <c r="E3230" s="18" t="s">
        <v>68</v>
      </c>
    </row>
    <row r="3231">
      <c r="A3231" s="1" t="s">
        <v>6321</v>
      </c>
      <c r="B3231" s="1">
        <v>9.18886237899E11</v>
      </c>
      <c r="C3231" s="15" t="str">
        <f t="shared" si="1"/>
        <v>gladiators.eternity@gmail.com918886237899</v>
      </c>
      <c r="D3231" s="17" t="s">
        <v>10466</v>
      </c>
      <c r="E3231" s="18" t="s">
        <v>68</v>
      </c>
    </row>
    <row r="3232">
      <c r="A3232" s="1" t="s">
        <v>5056</v>
      </c>
      <c r="B3232" s="1">
        <v>9.1987289718E11</v>
      </c>
      <c r="C3232" s="15" t="str">
        <f t="shared" si="1"/>
        <v>nishj456@gmail.com919872897180</v>
      </c>
      <c r="D3232" s="17" t="s">
        <v>10467</v>
      </c>
      <c r="E3232" s="18" t="s">
        <v>74</v>
      </c>
    </row>
    <row r="3233">
      <c r="A3233" s="1" t="s">
        <v>5056</v>
      </c>
      <c r="B3233" s="1">
        <v>9.1987289718E11</v>
      </c>
      <c r="C3233" s="15" t="str">
        <f t="shared" si="1"/>
        <v>nishj456@gmail.com919872897180</v>
      </c>
      <c r="D3233" s="17" t="s">
        <v>10468</v>
      </c>
      <c r="E3233" s="18" t="s">
        <v>74</v>
      </c>
    </row>
    <row r="3234">
      <c r="A3234" s="1" t="s">
        <v>4197</v>
      </c>
      <c r="B3234" s="1">
        <v>9.183090058E11</v>
      </c>
      <c r="C3234" s="15" t="str">
        <f t="shared" si="1"/>
        <v>aishwaryarajulu.p@gmail.com918309005800</v>
      </c>
      <c r="D3234" s="17" t="s">
        <v>10469</v>
      </c>
      <c r="E3234" s="18" t="s">
        <v>74</v>
      </c>
    </row>
    <row r="3235">
      <c r="A3235" s="1" t="s">
        <v>3856</v>
      </c>
      <c r="B3235" s="1">
        <v>9.19968938999E11</v>
      </c>
      <c r="C3235" s="15" t="str">
        <f t="shared" si="1"/>
        <v>bharat.oberoi.9@gmail.com919968938999</v>
      </c>
      <c r="D3235" s="17" t="s">
        <v>10470</v>
      </c>
      <c r="E3235" s="18" t="s">
        <v>74</v>
      </c>
    </row>
    <row r="3236">
      <c r="A3236" s="1" t="s">
        <v>10471</v>
      </c>
      <c r="B3236" s="1">
        <v>9.17898803633E11</v>
      </c>
      <c r="C3236" s="15" t="str">
        <f t="shared" si="1"/>
        <v>gssystem14@gmail.com917898803633</v>
      </c>
      <c r="D3236" s="17" t="s">
        <v>10472</v>
      </c>
      <c r="E3236" s="18" t="s">
        <v>68</v>
      </c>
    </row>
    <row r="3237">
      <c r="A3237" s="1" t="s">
        <v>10471</v>
      </c>
      <c r="B3237" s="1">
        <v>9.17898803633E11</v>
      </c>
      <c r="C3237" s="15" t="str">
        <f t="shared" si="1"/>
        <v>gssystem14@gmail.com917898803633</v>
      </c>
      <c r="D3237" s="17" t="s">
        <v>10473</v>
      </c>
      <c r="E3237" s="18" t="s">
        <v>68</v>
      </c>
    </row>
    <row r="3238">
      <c r="A3238" s="1" t="s">
        <v>5163</v>
      </c>
      <c r="B3238" s="1">
        <v>9.1969643206E11</v>
      </c>
      <c r="C3238" s="15" t="str">
        <f t="shared" si="1"/>
        <v>rumanashamim8@gmail.com919696432060</v>
      </c>
      <c r="D3238" s="17" t="s">
        <v>10474</v>
      </c>
      <c r="E3238" s="18" t="s">
        <v>68</v>
      </c>
    </row>
    <row r="3239">
      <c r="A3239" s="1" t="s">
        <v>5163</v>
      </c>
      <c r="B3239" s="1">
        <v>9.1969643206E11</v>
      </c>
      <c r="C3239" s="15" t="str">
        <f t="shared" si="1"/>
        <v>rumanashamim8@gmail.com919696432060</v>
      </c>
      <c r="D3239" s="17" t="s">
        <v>10475</v>
      </c>
      <c r="E3239" s="18" t="s">
        <v>68</v>
      </c>
    </row>
    <row r="3240">
      <c r="A3240" s="1" t="s">
        <v>5163</v>
      </c>
      <c r="B3240" s="1">
        <v>9.1969643206E11</v>
      </c>
      <c r="C3240" s="15" t="str">
        <f t="shared" si="1"/>
        <v>rumanashamim8@gmail.com919696432060</v>
      </c>
      <c r="D3240" s="17" t="s">
        <v>10476</v>
      </c>
      <c r="E3240" s="18" t="s">
        <v>68</v>
      </c>
    </row>
    <row r="3241">
      <c r="A3241" s="1" t="s">
        <v>2151</v>
      </c>
      <c r="B3241" s="1">
        <v>9.18247716036E11</v>
      </c>
      <c r="C3241" s="15" t="str">
        <f t="shared" si="1"/>
        <v>bchaneelkumar@gmail.com918247716036</v>
      </c>
      <c r="D3241" s="17" t="s">
        <v>10477</v>
      </c>
      <c r="E3241" s="18" t="s">
        <v>151</v>
      </c>
    </row>
    <row r="3242">
      <c r="A3242" s="1" t="s">
        <v>3994</v>
      </c>
      <c r="B3242" s="1">
        <v>9.19565555592E11</v>
      </c>
      <c r="C3242" s="15" t="str">
        <f t="shared" si="1"/>
        <v>tarunchaudhary30.tc@gmail.com919565555592</v>
      </c>
      <c r="D3242" s="17" t="s">
        <v>10478</v>
      </c>
      <c r="E3242" s="18" t="s">
        <v>68</v>
      </c>
    </row>
    <row r="3243">
      <c r="A3243" s="1" t="s">
        <v>4617</v>
      </c>
      <c r="B3243" s="1">
        <v>9.19893972743E11</v>
      </c>
      <c r="C3243" s="15" t="str">
        <f t="shared" si="1"/>
        <v>poojarathore1071992@gmail.com919893972743</v>
      </c>
      <c r="D3243" s="17" t="s">
        <v>10479</v>
      </c>
      <c r="E3243" s="18" t="s">
        <v>68</v>
      </c>
    </row>
    <row r="3244">
      <c r="A3244" s="1" t="s">
        <v>4617</v>
      </c>
      <c r="B3244" s="1">
        <v>9.19893972743E11</v>
      </c>
      <c r="C3244" s="15" t="str">
        <f t="shared" si="1"/>
        <v>poojarathore1071992@gmail.com919893972743</v>
      </c>
      <c r="D3244" s="17" t="s">
        <v>10480</v>
      </c>
      <c r="E3244" s="18" t="s">
        <v>74</v>
      </c>
    </row>
    <row r="3245">
      <c r="A3245" s="1" t="s">
        <v>4198</v>
      </c>
      <c r="B3245" s="1">
        <v>9.19976111404E11</v>
      </c>
      <c r="C3245" s="15" t="str">
        <f t="shared" si="1"/>
        <v>aarthi865@gmail.com919976111404</v>
      </c>
      <c r="D3245" s="17" t="s">
        <v>10481</v>
      </c>
      <c r="E3245" s="18" t="s">
        <v>74</v>
      </c>
    </row>
    <row r="3246">
      <c r="A3246" s="1" t="s">
        <v>5563</v>
      </c>
      <c r="B3246" s="1">
        <v>9.17088683014E11</v>
      </c>
      <c r="C3246" s="15" t="str">
        <f t="shared" si="1"/>
        <v>janmejayhero367@gmail.com917088683014</v>
      </c>
      <c r="D3246" s="17" t="s">
        <v>10482</v>
      </c>
      <c r="E3246" s="18" t="s">
        <v>68</v>
      </c>
    </row>
    <row r="3247">
      <c r="A3247" s="1" t="s">
        <v>5564</v>
      </c>
      <c r="B3247" s="1">
        <v>9.19983213992E11</v>
      </c>
      <c r="C3247" s="15" t="str">
        <f t="shared" si="1"/>
        <v>jainpunit9983@gmail.com919983213992</v>
      </c>
      <c r="D3247" s="17" t="s">
        <v>10483</v>
      </c>
      <c r="E3247" s="18" t="s">
        <v>68</v>
      </c>
    </row>
    <row r="3248">
      <c r="A3248" s="1" t="s">
        <v>10484</v>
      </c>
      <c r="B3248" s="1">
        <v>9.19933205653E11</v>
      </c>
      <c r="C3248" s="15" t="str">
        <f t="shared" si="1"/>
        <v>bhavanimannu1993@gmail.com919933205653</v>
      </c>
      <c r="D3248" s="17" t="s">
        <v>10485</v>
      </c>
      <c r="E3248" s="18" t="s">
        <v>74</v>
      </c>
    </row>
    <row r="3249">
      <c r="A3249" s="1" t="s">
        <v>10484</v>
      </c>
      <c r="B3249" s="1">
        <v>9.19933205653E11</v>
      </c>
      <c r="C3249" s="15" t="str">
        <f t="shared" si="1"/>
        <v>bhavanimannu1993@gmail.com919933205653</v>
      </c>
      <c r="D3249" s="17" t="s">
        <v>10486</v>
      </c>
      <c r="E3249" s="18" t="s">
        <v>74</v>
      </c>
    </row>
    <row r="3250">
      <c r="A3250" s="1" t="s">
        <v>10487</v>
      </c>
      <c r="B3250" s="1">
        <v>9.19819523409E11</v>
      </c>
      <c r="C3250" s="15" t="str">
        <f t="shared" si="1"/>
        <v>sacha.mumbai@gmail.com919819523409</v>
      </c>
      <c r="D3250" s="17" t="s">
        <v>10488</v>
      </c>
      <c r="E3250" s="18" t="s">
        <v>68</v>
      </c>
    </row>
    <row r="3251">
      <c r="A3251" s="1" t="s">
        <v>3484</v>
      </c>
      <c r="B3251" s="1">
        <v>9.19591248618E11</v>
      </c>
      <c r="C3251" s="15" t="str">
        <f t="shared" si="1"/>
        <v>arpithadas@gmail.com919591248618</v>
      </c>
      <c r="D3251" s="17" t="s">
        <v>10489</v>
      </c>
      <c r="E3251" s="18" t="s">
        <v>68</v>
      </c>
    </row>
    <row r="3252">
      <c r="A3252" s="1" t="s">
        <v>3484</v>
      </c>
      <c r="B3252" s="1">
        <v>9.19591248618E11</v>
      </c>
      <c r="C3252" s="15" t="str">
        <f t="shared" si="1"/>
        <v>arpithadas@gmail.com919591248618</v>
      </c>
      <c r="D3252" s="17" t="s">
        <v>10490</v>
      </c>
      <c r="E3252" s="18" t="s">
        <v>68</v>
      </c>
    </row>
    <row r="3253">
      <c r="A3253" s="1" t="s">
        <v>6490</v>
      </c>
      <c r="B3253" s="1">
        <v>9.19844939825E11</v>
      </c>
      <c r="C3253" s="15" t="str">
        <f t="shared" si="1"/>
        <v>bharathipaddy@gmail.com919844939825</v>
      </c>
      <c r="D3253" s="17" t="s">
        <v>10491</v>
      </c>
      <c r="E3253" s="18" t="s">
        <v>151</v>
      </c>
    </row>
    <row r="3254">
      <c r="A3254" s="1" t="s">
        <v>10492</v>
      </c>
      <c r="B3254" s="1">
        <v>9.188274923E11</v>
      </c>
      <c r="C3254" s="15" t="str">
        <f t="shared" si="1"/>
        <v>coolji1212@gmail.com918827492300</v>
      </c>
      <c r="D3254" s="17" t="s">
        <v>10493</v>
      </c>
      <c r="E3254" s="18" t="s">
        <v>151</v>
      </c>
    </row>
    <row r="3255">
      <c r="A3255" s="1" t="s">
        <v>3484</v>
      </c>
      <c r="B3255" s="1">
        <v>9.19591248618E11</v>
      </c>
      <c r="C3255" s="15" t="str">
        <f t="shared" si="1"/>
        <v>arpithadas@gmail.com919591248618</v>
      </c>
      <c r="D3255" s="17" t="s">
        <v>10494</v>
      </c>
      <c r="E3255" s="18" t="s">
        <v>68</v>
      </c>
    </row>
    <row r="3256">
      <c r="A3256" s="1" t="s">
        <v>3484</v>
      </c>
      <c r="B3256" s="1">
        <v>9.19591248618E11</v>
      </c>
      <c r="C3256" s="15" t="str">
        <f t="shared" si="1"/>
        <v>arpithadas@gmail.com919591248618</v>
      </c>
      <c r="D3256" s="17" t="s">
        <v>10495</v>
      </c>
      <c r="E3256" s="18" t="s">
        <v>68</v>
      </c>
    </row>
    <row r="3257">
      <c r="A3257" s="1" t="s">
        <v>10496</v>
      </c>
      <c r="B3257" s="1">
        <v>9.17387824878E11</v>
      </c>
      <c r="C3257" s="15" t="str">
        <f t="shared" si="1"/>
        <v>saurabhnandekar@ymail.com917387824878</v>
      </c>
      <c r="D3257" s="17" t="s">
        <v>10497</v>
      </c>
      <c r="E3257" s="18" t="s">
        <v>68</v>
      </c>
    </row>
    <row r="3258">
      <c r="A3258" s="1" t="s">
        <v>10496</v>
      </c>
      <c r="B3258" s="1">
        <v>9.17387824878E11</v>
      </c>
      <c r="C3258" s="15" t="str">
        <f t="shared" si="1"/>
        <v>saurabhnandekar@ymail.com917387824878</v>
      </c>
      <c r="D3258" s="17" t="s">
        <v>10498</v>
      </c>
      <c r="E3258" s="18" t="s">
        <v>68</v>
      </c>
    </row>
    <row r="3259">
      <c r="A3259" s="1" t="s">
        <v>4841</v>
      </c>
      <c r="B3259" s="1">
        <v>9.18408830222E11</v>
      </c>
      <c r="C3259" s="15" t="str">
        <f t="shared" si="1"/>
        <v>kulkarnivainayaki@gmail.com918408830222</v>
      </c>
      <c r="D3259" s="17" t="s">
        <v>10499</v>
      </c>
      <c r="E3259" s="18" t="s">
        <v>68</v>
      </c>
    </row>
    <row r="3260">
      <c r="A3260" s="1" t="s">
        <v>9948</v>
      </c>
      <c r="B3260" s="1">
        <v>9.19544433732E11</v>
      </c>
      <c r="C3260" s="15" t="str">
        <f t="shared" si="1"/>
        <v>johnvaidyan4494@gmail.com919544433732</v>
      </c>
      <c r="D3260" s="17" t="s">
        <v>10500</v>
      </c>
      <c r="E3260" s="18" t="s">
        <v>74</v>
      </c>
    </row>
    <row r="3261">
      <c r="A3261" s="1" t="s">
        <v>9948</v>
      </c>
      <c r="B3261" s="1">
        <v>9.19544433732E11</v>
      </c>
      <c r="C3261" s="15" t="str">
        <f t="shared" si="1"/>
        <v>johnvaidyan4494@gmail.com919544433732</v>
      </c>
      <c r="D3261" s="17" t="s">
        <v>10501</v>
      </c>
      <c r="E3261" s="18" t="s">
        <v>74</v>
      </c>
    </row>
    <row r="3262">
      <c r="A3262" s="1" t="s">
        <v>10502</v>
      </c>
      <c r="B3262" s="1">
        <v>9.1879687304E11</v>
      </c>
      <c r="C3262" s="15" t="str">
        <f t="shared" si="1"/>
        <v>abarse12@gmail.com918796873040</v>
      </c>
      <c r="D3262" s="17" t="s">
        <v>10503</v>
      </c>
      <c r="E3262" s="18" t="s">
        <v>74</v>
      </c>
    </row>
    <row r="3263">
      <c r="A3263" s="1" t="s">
        <v>4199</v>
      </c>
      <c r="B3263" s="1">
        <v>9.19618671668E11</v>
      </c>
      <c r="C3263" s="15" t="str">
        <f t="shared" si="1"/>
        <v>saitejaswi66@gmail.com919618671668</v>
      </c>
      <c r="D3263" s="17" t="s">
        <v>10504</v>
      </c>
      <c r="E3263" s="18" t="s">
        <v>68</v>
      </c>
    </row>
    <row r="3264">
      <c r="A3264" s="1" t="s">
        <v>4842</v>
      </c>
      <c r="B3264" s="1">
        <v>9.18390160816E11</v>
      </c>
      <c r="C3264" s="15" t="str">
        <f t="shared" si="1"/>
        <v>diptig2831996@gmail.com918390160816</v>
      </c>
      <c r="D3264" s="17" t="s">
        <v>10505</v>
      </c>
      <c r="E3264" s="18" t="s">
        <v>68</v>
      </c>
    </row>
    <row r="3265">
      <c r="A3265" s="1" t="s">
        <v>10506</v>
      </c>
      <c r="B3265" s="1">
        <v>9.17619014232E11</v>
      </c>
      <c r="C3265" s="15" t="str">
        <f t="shared" si="1"/>
        <v>samrakamal786@gmail.com917619014232</v>
      </c>
      <c r="D3265" s="17" t="s">
        <v>10507</v>
      </c>
      <c r="E3265" s="18" t="s">
        <v>151</v>
      </c>
    </row>
    <row r="3266">
      <c r="A3266" s="1" t="s">
        <v>4200</v>
      </c>
      <c r="B3266" s="1">
        <v>9.17357857071E11</v>
      </c>
      <c r="C3266" s="15" t="str">
        <f t="shared" si="1"/>
        <v>preritanama7023@gmail.com917357857071</v>
      </c>
      <c r="D3266" s="17" t="s">
        <v>10508</v>
      </c>
      <c r="E3266" s="18" t="s">
        <v>68</v>
      </c>
    </row>
    <row r="3267">
      <c r="A3267" s="1" t="s">
        <v>2688</v>
      </c>
      <c r="B3267" s="1">
        <v>9.19535628559E11</v>
      </c>
      <c r="C3267" s="15" t="str">
        <f t="shared" si="1"/>
        <v>ipsitaaagarwal@gmail.com919535628559</v>
      </c>
      <c r="D3267" s="17" t="s">
        <v>10509</v>
      </c>
      <c r="E3267" s="18" t="s">
        <v>68</v>
      </c>
    </row>
    <row r="3268">
      <c r="A3268" s="1" t="s">
        <v>10484</v>
      </c>
      <c r="B3268" s="1">
        <v>9.19933205653E11</v>
      </c>
      <c r="C3268" s="15" t="str">
        <f t="shared" si="1"/>
        <v>bhavanimannu1993@gmail.com919933205653</v>
      </c>
      <c r="D3268" s="17" t="s">
        <v>10510</v>
      </c>
      <c r="E3268" s="18" t="s">
        <v>74</v>
      </c>
    </row>
    <row r="3269">
      <c r="A3269" s="1" t="s">
        <v>10484</v>
      </c>
      <c r="B3269" s="1">
        <v>9.19933205653E11</v>
      </c>
      <c r="C3269" s="15" t="str">
        <f t="shared" si="1"/>
        <v>bhavanimannu1993@gmail.com919933205653</v>
      </c>
      <c r="D3269" s="17" t="s">
        <v>10511</v>
      </c>
      <c r="E3269" s="18" t="s">
        <v>74</v>
      </c>
    </row>
    <row r="3270">
      <c r="A3270" s="1" t="s">
        <v>5922</v>
      </c>
      <c r="B3270" s="1">
        <v>9.19899978563E11</v>
      </c>
      <c r="C3270" s="15" t="str">
        <f t="shared" si="1"/>
        <v>nehayushi1424@gmail.com919899978563</v>
      </c>
      <c r="D3270" s="17" t="s">
        <v>10512</v>
      </c>
      <c r="E3270" s="18" t="s">
        <v>68</v>
      </c>
    </row>
    <row r="3271">
      <c r="A3271" s="1" t="s">
        <v>5164</v>
      </c>
      <c r="B3271" s="1">
        <v>9.19920441108E11</v>
      </c>
      <c r="C3271" s="15" t="str">
        <f t="shared" si="1"/>
        <v>richa.haware@gmail.com919920441108</v>
      </c>
      <c r="D3271" s="17" t="s">
        <v>10513</v>
      </c>
      <c r="E3271" s="18" t="s">
        <v>68</v>
      </c>
    </row>
    <row r="3272">
      <c r="A3272" s="1" t="s">
        <v>3828</v>
      </c>
      <c r="B3272" s="1">
        <v>9.19686911132E11</v>
      </c>
      <c r="C3272" s="15" t="str">
        <f t="shared" si="1"/>
        <v>vikaskoul92@gmail.com919686911132</v>
      </c>
      <c r="D3272" s="17" t="s">
        <v>10514</v>
      </c>
      <c r="E3272" s="18" t="s">
        <v>68</v>
      </c>
    </row>
    <row r="3273">
      <c r="A3273" s="1" t="s">
        <v>3313</v>
      </c>
      <c r="B3273" s="1">
        <v>9.19888470272E11</v>
      </c>
      <c r="C3273" s="15" t="str">
        <f t="shared" si="1"/>
        <v>himanshusaleria@gmail.com919888470272</v>
      </c>
      <c r="D3273" s="17" t="s">
        <v>10515</v>
      </c>
      <c r="E3273" s="18" t="s">
        <v>68</v>
      </c>
    </row>
    <row r="3274">
      <c r="A3274" s="1" t="s">
        <v>3485</v>
      </c>
      <c r="B3274" s="1">
        <v>9.19438055598E11</v>
      </c>
      <c r="C3274" s="15" t="str">
        <f t="shared" si="1"/>
        <v>ankitadas.ib@gmail.com919438055598</v>
      </c>
      <c r="D3274" s="17" t="s">
        <v>10516</v>
      </c>
      <c r="E3274" s="18" t="s">
        <v>68</v>
      </c>
    </row>
    <row r="3275">
      <c r="A3275" s="1" t="s">
        <v>4385</v>
      </c>
      <c r="B3275" s="1">
        <v>9.18457886513E11</v>
      </c>
      <c r="C3275" s="15" t="str">
        <f t="shared" si="1"/>
        <v>adityaparhimfc@gmail.com918457886513</v>
      </c>
      <c r="D3275" s="17" t="s">
        <v>10517</v>
      </c>
      <c r="E3275" s="18" t="s">
        <v>97</v>
      </c>
    </row>
    <row r="3276">
      <c r="A3276" s="1" t="s">
        <v>5565</v>
      </c>
      <c r="B3276" s="1">
        <v>9.1755850498E11</v>
      </c>
      <c r="C3276" s="15" t="str">
        <f t="shared" si="1"/>
        <v>sapkaler2000@gmail.com917558504980</v>
      </c>
      <c r="D3276" s="17" t="s">
        <v>10518</v>
      </c>
      <c r="E3276" s="18" t="s">
        <v>68</v>
      </c>
    </row>
    <row r="3277">
      <c r="A3277" s="1" t="s">
        <v>6420</v>
      </c>
      <c r="B3277" s="1">
        <v>9.19443309229E11</v>
      </c>
      <c r="C3277" s="15" t="str">
        <f t="shared" si="1"/>
        <v>approachuday@hotmail.com919443309229</v>
      </c>
      <c r="D3277" s="17" t="s">
        <v>10519</v>
      </c>
      <c r="E3277" s="18" t="s">
        <v>74</v>
      </c>
    </row>
    <row r="3278">
      <c r="A3278" s="1" t="s">
        <v>5566</v>
      </c>
      <c r="B3278" s="1">
        <v>9.17207605091E11</v>
      </c>
      <c r="C3278" s="15" t="str">
        <f t="shared" si="1"/>
        <v>imranpasha4828@gmail.com917207605091</v>
      </c>
      <c r="D3278" s="17" t="s">
        <v>10520</v>
      </c>
      <c r="E3278" s="18" t="s">
        <v>68</v>
      </c>
    </row>
    <row r="3279">
      <c r="A3279" s="1" t="s">
        <v>2075</v>
      </c>
      <c r="B3279" s="1">
        <v>9.18130226858E11</v>
      </c>
      <c r="C3279" s="15" t="str">
        <f t="shared" si="1"/>
        <v>sahibasodhi5217@gmail.com918130226858</v>
      </c>
      <c r="D3279" s="17" t="s">
        <v>10521</v>
      </c>
      <c r="E3279" s="18" t="s">
        <v>68</v>
      </c>
    </row>
    <row r="3280">
      <c r="A3280" s="1" t="s">
        <v>3713</v>
      </c>
      <c r="B3280" s="1">
        <v>9.18894882544E11</v>
      </c>
      <c r="C3280" s="15" t="str">
        <f t="shared" si="1"/>
        <v>munishsharma3644@gmail.com918894882544</v>
      </c>
      <c r="D3280" s="17" t="s">
        <v>10522</v>
      </c>
      <c r="E3280" s="18" t="s">
        <v>68</v>
      </c>
    </row>
    <row r="3281">
      <c r="A3281" s="1" t="s">
        <v>3266</v>
      </c>
      <c r="B3281" s="1">
        <v>9.18377944474E11</v>
      </c>
      <c r="C3281" s="15" t="str">
        <f t="shared" si="1"/>
        <v>singh.anuj6@gmail.com918377944474</v>
      </c>
      <c r="D3281" s="17" t="s">
        <v>10523</v>
      </c>
      <c r="E3281" s="18" t="s">
        <v>68</v>
      </c>
    </row>
    <row r="3282">
      <c r="A3282" s="1" t="s">
        <v>2639</v>
      </c>
      <c r="B3282" s="1">
        <v>9.1987177711E11</v>
      </c>
      <c r="C3282" s="15" t="str">
        <f t="shared" si="1"/>
        <v>varna.sr@gmail.com919871777110</v>
      </c>
      <c r="D3282" s="17" t="s">
        <v>10524</v>
      </c>
      <c r="E3282" s="18" t="s">
        <v>74</v>
      </c>
    </row>
    <row r="3283">
      <c r="A3283" s="1" t="s">
        <v>3829</v>
      </c>
      <c r="B3283" s="1">
        <v>9.16305893165E11</v>
      </c>
      <c r="C3283" s="15" t="str">
        <f t="shared" si="1"/>
        <v>ratanmanoj888@gmail.com916305893165</v>
      </c>
      <c r="D3283" s="17" t="s">
        <v>10525</v>
      </c>
      <c r="E3283" s="18" t="s">
        <v>68</v>
      </c>
    </row>
    <row r="3284">
      <c r="A3284" s="1" t="s">
        <v>2639</v>
      </c>
      <c r="B3284" s="1">
        <v>9.1987177711E11</v>
      </c>
      <c r="C3284" s="15" t="str">
        <f t="shared" si="1"/>
        <v>varna.sr@gmail.com919871777110</v>
      </c>
      <c r="D3284" s="17" t="s">
        <v>10526</v>
      </c>
      <c r="E3284" s="18" t="s">
        <v>68</v>
      </c>
    </row>
    <row r="3285">
      <c r="A3285" s="1" t="s">
        <v>10527</v>
      </c>
      <c r="B3285" s="1">
        <v>9.19988730182E11</v>
      </c>
      <c r="C3285" s="15" t="str">
        <f t="shared" si="1"/>
        <v>settlershweta@gmail.com919988730182</v>
      </c>
      <c r="D3285" s="17" t="s">
        <v>10528</v>
      </c>
      <c r="E3285" s="18" t="s">
        <v>74</v>
      </c>
    </row>
    <row r="3286">
      <c r="A3286" s="1" t="s">
        <v>6299</v>
      </c>
      <c r="B3286" s="1">
        <v>9.19571183844E11</v>
      </c>
      <c r="C3286" s="15" t="str">
        <f t="shared" si="1"/>
        <v>js9610352@gmail.com919571183844</v>
      </c>
      <c r="D3286" s="17" t="s">
        <v>10529</v>
      </c>
      <c r="E3286" s="18" t="s">
        <v>68</v>
      </c>
    </row>
    <row r="3287">
      <c r="A3287" s="1" t="s">
        <v>3929</v>
      </c>
      <c r="B3287" s="1">
        <v>9.17396868755E11</v>
      </c>
      <c r="C3287" s="15" t="str">
        <f t="shared" si="1"/>
        <v>shanthan29398@gmail.com917396868755</v>
      </c>
      <c r="D3287" s="17" t="s">
        <v>10530</v>
      </c>
      <c r="E3287" s="18" t="s">
        <v>68</v>
      </c>
    </row>
    <row r="3288">
      <c r="A3288" s="1" t="s">
        <v>6649</v>
      </c>
      <c r="B3288" s="1">
        <v>9.19148004262E11</v>
      </c>
      <c r="C3288" s="15" t="str">
        <f t="shared" si="1"/>
        <v>chandu80089@gmail.com919148004262</v>
      </c>
      <c r="D3288" s="17" t="s">
        <v>10531</v>
      </c>
      <c r="E3288" s="18" t="s">
        <v>74</v>
      </c>
    </row>
    <row r="3289">
      <c r="A3289" s="1" t="s">
        <v>6351</v>
      </c>
      <c r="B3289" s="1">
        <v>9.19418436544E11</v>
      </c>
      <c r="C3289" s="15" t="str">
        <f t="shared" si="1"/>
        <v>tarunsood.86@gmail.com919418436544</v>
      </c>
      <c r="D3289" s="17" t="s">
        <v>10532</v>
      </c>
      <c r="E3289" s="18" t="s">
        <v>68</v>
      </c>
    </row>
    <row r="3290">
      <c r="A3290" s="1" t="s">
        <v>10533</v>
      </c>
      <c r="B3290" s="1">
        <v>9.198111206E11</v>
      </c>
      <c r="C3290" s="15" t="str">
        <f t="shared" si="1"/>
        <v>amulya.bhatnagar06@gmail.com919811120600</v>
      </c>
      <c r="D3290" s="17" t="s">
        <v>10534</v>
      </c>
      <c r="E3290" s="18" t="s">
        <v>74</v>
      </c>
    </row>
    <row r="3291">
      <c r="A3291" s="1" t="s">
        <v>5479</v>
      </c>
      <c r="B3291" s="1">
        <v>9.18408011996E11</v>
      </c>
      <c r="C3291" s="15" t="str">
        <f t="shared" si="1"/>
        <v>tadasareniraj@gmail.com918408011996</v>
      </c>
      <c r="D3291" s="17" t="s">
        <v>10535</v>
      </c>
      <c r="E3291" s="18" t="s">
        <v>68</v>
      </c>
    </row>
    <row r="3292">
      <c r="A3292" s="1" t="s">
        <v>3486</v>
      </c>
      <c r="B3292" s="1">
        <v>9.1887039981E11</v>
      </c>
      <c r="C3292" s="15" t="str">
        <f t="shared" si="1"/>
        <v>ramapriyassj@gmail.com918870399810</v>
      </c>
      <c r="D3292" s="17" t="s">
        <v>10536</v>
      </c>
      <c r="E3292" s="18" t="s">
        <v>68</v>
      </c>
    </row>
    <row r="3293">
      <c r="A3293" s="1" t="s">
        <v>3486</v>
      </c>
      <c r="B3293" s="1">
        <v>9.1887039981E11</v>
      </c>
      <c r="C3293" s="15" t="str">
        <f t="shared" si="1"/>
        <v>ramapriyassj@gmail.com918870399810</v>
      </c>
      <c r="D3293" s="17" t="s">
        <v>10537</v>
      </c>
      <c r="E3293" s="18" t="s">
        <v>68</v>
      </c>
    </row>
    <row r="3294">
      <c r="A3294" s="1" t="s">
        <v>3486</v>
      </c>
      <c r="B3294" s="1">
        <v>9.1887039981E11</v>
      </c>
      <c r="C3294" s="15" t="str">
        <f t="shared" si="1"/>
        <v>ramapriyassj@gmail.com918870399810</v>
      </c>
      <c r="D3294" s="17" t="s">
        <v>10538</v>
      </c>
      <c r="E3294" s="18" t="s">
        <v>68</v>
      </c>
    </row>
    <row r="3295">
      <c r="A3295" s="1" t="s">
        <v>3486</v>
      </c>
      <c r="B3295" s="1">
        <v>9.1887039981E11</v>
      </c>
      <c r="C3295" s="15" t="str">
        <f t="shared" si="1"/>
        <v>ramapriyassj@gmail.com918870399810</v>
      </c>
      <c r="D3295" s="17" t="s">
        <v>10539</v>
      </c>
      <c r="E3295" s="18" t="s">
        <v>68</v>
      </c>
    </row>
    <row r="3296">
      <c r="A3296" s="1" t="s">
        <v>5480</v>
      </c>
      <c r="B3296" s="1">
        <v>9.18504043456E11</v>
      </c>
      <c r="C3296" s="15" t="str">
        <f t="shared" si="1"/>
        <v>vmittalvishalmittal1234@gmail.com918504043456</v>
      </c>
      <c r="D3296" s="17" t="s">
        <v>10540</v>
      </c>
      <c r="E3296" s="18" t="s">
        <v>68</v>
      </c>
    </row>
    <row r="3297">
      <c r="A3297" s="1" t="s">
        <v>3487</v>
      </c>
      <c r="B3297" s="1">
        <v>9.17052727179E11</v>
      </c>
      <c r="C3297" s="15" t="str">
        <f t="shared" si="1"/>
        <v>kushagrarastogi17@gmail.com917052727179</v>
      </c>
      <c r="D3297" s="17" t="s">
        <v>10541</v>
      </c>
      <c r="E3297" s="18" t="s">
        <v>68</v>
      </c>
    </row>
    <row r="3298">
      <c r="A3298" s="1" t="s">
        <v>4492</v>
      </c>
      <c r="B3298" s="1">
        <v>9.19769821754E11</v>
      </c>
      <c r="C3298" s="15" t="str">
        <f t="shared" si="1"/>
        <v>deshu97@gmail.com919769821754</v>
      </c>
      <c r="D3298" s="17" t="s">
        <v>10542</v>
      </c>
      <c r="E3298" s="18" t="s">
        <v>68</v>
      </c>
    </row>
    <row r="3299">
      <c r="A3299" s="1" t="s">
        <v>6300</v>
      </c>
      <c r="B3299" s="1">
        <v>9.19624530601E11</v>
      </c>
      <c r="C3299" s="15" t="str">
        <f t="shared" si="1"/>
        <v>parthraj16ramlvat@gmail.com919624530601</v>
      </c>
      <c r="D3299" s="17" t="s">
        <v>10543</v>
      </c>
      <c r="E3299" s="18" t="s">
        <v>68</v>
      </c>
    </row>
    <row r="3300">
      <c r="A3300" s="1" t="s">
        <v>3050</v>
      </c>
      <c r="B3300" s="1">
        <v>9.19284395413E11</v>
      </c>
      <c r="C3300" s="15" t="str">
        <f t="shared" si="1"/>
        <v>poojaparashar90@gmail.com919284395413</v>
      </c>
      <c r="D3300" s="17" t="s">
        <v>10544</v>
      </c>
      <c r="E3300" s="18" t="s">
        <v>68</v>
      </c>
    </row>
    <row r="3301">
      <c r="A3301" s="1" t="s">
        <v>3050</v>
      </c>
      <c r="B3301" s="1">
        <v>9.19284395413E11</v>
      </c>
      <c r="C3301" s="15" t="str">
        <f t="shared" si="1"/>
        <v>poojaparashar90@gmail.com919284395413</v>
      </c>
      <c r="D3301" s="17" t="s">
        <v>10545</v>
      </c>
      <c r="E3301" s="18" t="s">
        <v>68</v>
      </c>
    </row>
    <row r="3302">
      <c r="A3302" s="1" t="s">
        <v>3488</v>
      </c>
      <c r="B3302" s="1">
        <v>9.1962093764E11</v>
      </c>
      <c r="C3302" s="15" t="str">
        <f t="shared" si="1"/>
        <v>shilpaprabhakar991@gmail.com919620937640</v>
      </c>
      <c r="D3302" s="17" t="s">
        <v>10546</v>
      </c>
      <c r="E3302" s="18" t="s">
        <v>68</v>
      </c>
    </row>
    <row r="3303">
      <c r="A3303" s="1" t="s">
        <v>3488</v>
      </c>
      <c r="B3303" s="1">
        <v>9.1962093764E11</v>
      </c>
      <c r="C3303" s="15" t="str">
        <f t="shared" si="1"/>
        <v>shilpaprabhakar991@gmail.com919620937640</v>
      </c>
      <c r="D3303" s="17" t="s">
        <v>10547</v>
      </c>
      <c r="E3303" s="18" t="s">
        <v>68</v>
      </c>
    </row>
    <row r="3304">
      <c r="A3304" s="1" t="s">
        <v>5165</v>
      </c>
      <c r="B3304" s="1">
        <v>9.19172373901E11</v>
      </c>
      <c r="C3304" s="15" t="str">
        <f t="shared" si="1"/>
        <v>metraveller89@gmail.com919172373901</v>
      </c>
      <c r="D3304" s="17" t="s">
        <v>10548</v>
      </c>
      <c r="E3304" s="18" t="s">
        <v>74</v>
      </c>
    </row>
    <row r="3305">
      <c r="A3305" s="1" t="s">
        <v>10549</v>
      </c>
      <c r="B3305" s="1">
        <v>9.18360907822E11</v>
      </c>
      <c r="C3305" s="15" t="str">
        <f t="shared" si="1"/>
        <v>vidkha03@gmail.com918360907822</v>
      </c>
      <c r="D3305" s="17" t="s">
        <v>10550</v>
      </c>
      <c r="E3305" s="18" t="s">
        <v>74</v>
      </c>
    </row>
    <row r="3306">
      <c r="A3306" s="1" t="s">
        <v>3714</v>
      </c>
      <c r="B3306" s="1">
        <v>9.19988251725E11</v>
      </c>
      <c r="C3306" s="15" t="str">
        <f t="shared" si="1"/>
        <v>lavanyaarora1996@gmail.com919988251725</v>
      </c>
      <c r="D3306" s="17" t="s">
        <v>10551</v>
      </c>
      <c r="E3306" s="18" t="s">
        <v>68</v>
      </c>
    </row>
    <row r="3307">
      <c r="A3307" s="1" t="s">
        <v>3147</v>
      </c>
      <c r="B3307" s="1">
        <v>9.19819557546E11</v>
      </c>
      <c r="C3307" s="15" t="str">
        <f t="shared" si="1"/>
        <v>kavya100899@gmail.com919819557546</v>
      </c>
      <c r="D3307" s="17" t="s">
        <v>10552</v>
      </c>
      <c r="E3307" s="18" t="s">
        <v>74</v>
      </c>
    </row>
    <row r="3308">
      <c r="A3308" s="1" t="s">
        <v>2689</v>
      </c>
      <c r="B3308" s="1">
        <v>9.199129077E11</v>
      </c>
      <c r="C3308" s="15" t="str">
        <f t="shared" si="1"/>
        <v>tripryagarwal05@gmail.com919912907700</v>
      </c>
      <c r="D3308" s="17" t="s">
        <v>10553</v>
      </c>
      <c r="E3308" s="18" t="s">
        <v>68</v>
      </c>
    </row>
    <row r="3309">
      <c r="A3309" s="1" t="s">
        <v>10554</v>
      </c>
      <c r="B3309" s="1">
        <v>9.1894996888E11</v>
      </c>
      <c r="C3309" s="15" t="str">
        <f t="shared" si="1"/>
        <v>csan.nn08@gmail.com918949968880</v>
      </c>
      <c r="D3309" s="17" t="s">
        <v>10555</v>
      </c>
      <c r="E3309" s="18" t="s">
        <v>68</v>
      </c>
    </row>
    <row r="3310">
      <c r="A3310" s="1" t="s">
        <v>10556</v>
      </c>
      <c r="B3310" s="1">
        <v>9.19315613391E11</v>
      </c>
      <c r="C3310" s="15" t="str">
        <f t="shared" si="1"/>
        <v>preetigujjr@gmail.com919315613391</v>
      </c>
      <c r="D3310" s="17" t="s">
        <v>10557</v>
      </c>
      <c r="E3310" s="18" t="s">
        <v>74</v>
      </c>
    </row>
    <row r="3311">
      <c r="A3311" s="1" t="s">
        <v>6421</v>
      </c>
      <c r="B3311" s="1">
        <v>9.19790961843E11</v>
      </c>
      <c r="C3311" s="15" t="str">
        <f t="shared" si="1"/>
        <v>nc3454@yahoo.co.in919790961843</v>
      </c>
      <c r="D3311" s="17" t="s">
        <v>10558</v>
      </c>
      <c r="E3311" s="18" t="s">
        <v>68</v>
      </c>
    </row>
    <row r="3312">
      <c r="A3312" s="1" t="s">
        <v>10556</v>
      </c>
      <c r="B3312" s="1">
        <v>9.19315613391E11</v>
      </c>
      <c r="C3312" s="15" t="str">
        <f t="shared" si="1"/>
        <v>preetigujjr@gmail.com919315613391</v>
      </c>
      <c r="D3312" s="17" t="s">
        <v>10559</v>
      </c>
      <c r="E3312" s="18" t="s">
        <v>68</v>
      </c>
    </row>
    <row r="3313">
      <c r="A3313" s="1" t="s">
        <v>10556</v>
      </c>
      <c r="B3313" s="1">
        <v>9.19315613391E11</v>
      </c>
      <c r="C3313" s="15" t="str">
        <f t="shared" si="1"/>
        <v>preetigujjr@gmail.com919315613391</v>
      </c>
      <c r="D3313" s="17" t="s">
        <v>10560</v>
      </c>
      <c r="E3313" s="18" t="s">
        <v>74</v>
      </c>
    </row>
    <row r="3314">
      <c r="A3314" s="1" t="s">
        <v>10556</v>
      </c>
      <c r="B3314" s="1">
        <v>9.19315613391E11</v>
      </c>
      <c r="C3314" s="15" t="str">
        <f t="shared" si="1"/>
        <v>preetigujjr@gmail.com919315613391</v>
      </c>
      <c r="D3314" s="17" t="s">
        <v>10561</v>
      </c>
      <c r="E3314" s="18" t="s">
        <v>74</v>
      </c>
    </row>
    <row r="3315">
      <c r="A3315" s="1" t="s">
        <v>2547</v>
      </c>
      <c r="B3315" s="1">
        <v>9.19110437338E11</v>
      </c>
      <c r="C3315" s="15" t="str">
        <f t="shared" si="1"/>
        <v>rakeshnature68@gnail.com919110437338</v>
      </c>
      <c r="D3315" s="17" t="s">
        <v>10562</v>
      </c>
      <c r="E3315" s="18" t="s">
        <v>68</v>
      </c>
    </row>
    <row r="3316">
      <c r="A3316" s="1" t="s">
        <v>4740</v>
      </c>
      <c r="B3316" s="1">
        <v>9.17526057875E11</v>
      </c>
      <c r="C3316" s="15" t="str">
        <f t="shared" si="1"/>
        <v>farhataisha@gmail.com917526057875</v>
      </c>
      <c r="D3316" s="17" t="s">
        <v>10563</v>
      </c>
      <c r="E3316" s="18" t="s">
        <v>97</v>
      </c>
    </row>
    <row r="3317">
      <c r="A3317" s="1" t="s">
        <v>6422</v>
      </c>
      <c r="B3317" s="1">
        <v>9.19811572056E11</v>
      </c>
      <c r="C3317" s="15" t="str">
        <f t="shared" si="1"/>
        <v>007shivamgaba@gmail.com919811572056</v>
      </c>
      <c r="D3317" s="17" t="s">
        <v>10564</v>
      </c>
      <c r="E3317" s="18" t="s">
        <v>68</v>
      </c>
    </row>
    <row r="3318">
      <c r="A3318" s="1" t="s">
        <v>4740</v>
      </c>
      <c r="B3318" s="1">
        <v>9.17526057875E11</v>
      </c>
      <c r="C3318" s="15" t="str">
        <f t="shared" si="1"/>
        <v>farhataisha@gmail.com917526057875</v>
      </c>
      <c r="D3318" s="17" t="s">
        <v>10565</v>
      </c>
      <c r="E3318" s="18" t="s">
        <v>68</v>
      </c>
    </row>
    <row r="3319">
      <c r="A3319" s="1" t="s">
        <v>5567</v>
      </c>
      <c r="B3319" s="1">
        <v>9.19919525412E11</v>
      </c>
      <c r="C3319" s="15" t="str">
        <f t="shared" si="1"/>
        <v>rockstar9919525413@gmail.com919919525412</v>
      </c>
      <c r="D3319" s="17" t="s">
        <v>10566</v>
      </c>
      <c r="E3319" s="18" t="s">
        <v>68</v>
      </c>
    </row>
    <row r="3320">
      <c r="A3320" s="1" t="s">
        <v>5051</v>
      </c>
      <c r="B3320" s="1">
        <v>9.198055069E11</v>
      </c>
      <c r="C3320" s="15" t="str">
        <f t="shared" si="1"/>
        <v>kajalrathore772@gmail.com919805506900</v>
      </c>
      <c r="D3320" s="17" t="s">
        <v>10567</v>
      </c>
      <c r="E3320" s="18" t="s">
        <v>68</v>
      </c>
    </row>
    <row r="3321">
      <c r="A3321" s="1" t="s">
        <v>4493</v>
      </c>
      <c r="B3321" s="1">
        <v>9.17548867943E11</v>
      </c>
      <c r="C3321" s="15" t="str">
        <f t="shared" si="1"/>
        <v>venkateshg4562@gmail.com917548867943</v>
      </c>
      <c r="D3321" s="17" t="s">
        <v>10568</v>
      </c>
      <c r="E3321" s="18" t="s">
        <v>68</v>
      </c>
    </row>
    <row r="3322">
      <c r="A3322" s="1" t="s">
        <v>10569</v>
      </c>
      <c r="B3322" s="1">
        <v>9.19816745456E11</v>
      </c>
      <c r="C3322" s="15" t="str">
        <f t="shared" si="1"/>
        <v>sharmarohan0077@gmail.com919816745456</v>
      </c>
      <c r="D3322" s="17" t="s">
        <v>10570</v>
      </c>
      <c r="E3322" s="18" t="s">
        <v>68</v>
      </c>
    </row>
    <row r="3323">
      <c r="A3323" s="1" t="s">
        <v>6352</v>
      </c>
      <c r="B3323" s="1">
        <v>9.17710820119E11</v>
      </c>
      <c r="C3323" s="15" t="str">
        <f t="shared" si="1"/>
        <v>rohini.kumar89@gmail.com917710820119</v>
      </c>
      <c r="D3323" s="17" t="s">
        <v>10571</v>
      </c>
      <c r="E3323" s="18" t="s">
        <v>68</v>
      </c>
    </row>
    <row r="3324">
      <c r="A3324" s="1" t="s">
        <v>6353</v>
      </c>
      <c r="B3324" s="1">
        <v>9.19963362903E11</v>
      </c>
      <c r="C3324" s="15" t="str">
        <f t="shared" si="1"/>
        <v>bhagyashreechoudhary@gmail.com919963362903</v>
      </c>
      <c r="D3324" s="17" t="s">
        <v>10572</v>
      </c>
      <c r="E3324" s="18" t="s">
        <v>68</v>
      </c>
    </row>
    <row r="3325">
      <c r="A3325" s="1" t="s">
        <v>4201</v>
      </c>
      <c r="B3325" s="1">
        <v>9.1999543423E11</v>
      </c>
      <c r="C3325" s="15" t="str">
        <f t="shared" si="1"/>
        <v>cherianjmerlin@gmail.com919995434230</v>
      </c>
      <c r="D3325" s="17" t="s">
        <v>10573</v>
      </c>
      <c r="E3325" s="18" t="s">
        <v>74</v>
      </c>
    </row>
    <row r="3326">
      <c r="A3326" s="1" t="s">
        <v>4201</v>
      </c>
      <c r="B3326" s="1">
        <v>9.1999543423E11</v>
      </c>
      <c r="C3326" s="15" t="str">
        <f t="shared" si="1"/>
        <v>cherianjmerlin@gmail.com919995434230</v>
      </c>
      <c r="D3326" s="17" t="s">
        <v>10574</v>
      </c>
      <c r="E3326" s="18" t="s">
        <v>74</v>
      </c>
    </row>
    <row r="3327">
      <c r="A3327" s="1" t="s">
        <v>4410</v>
      </c>
      <c r="B3327" s="1">
        <v>9.19007260879E11</v>
      </c>
      <c r="C3327" s="15" t="str">
        <f t="shared" si="1"/>
        <v>sumega24@gmail.com919007260879</v>
      </c>
      <c r="D3327" s="17" t="s">
        <v>10575</v>
      </c>
      <c r="E3327" s="18" t="s">
        <v>74</v>
      </c>
    </row>
    <row r="3328">
      <c r="A3328" s="1" t="s">
        <v>4201</v>
      </c>
      <c r="B3328" s="1">
        <v>9.1812979486E11</v>
      </c>
      <c r="C3328" s="15" t="str">
        <f t="shared" si="1"/>
        <v>cherianjmerlin@gmail.com918129794860</v>
      </c>
      <c r="D3328" s="17" t="s">
        <v>10576</v>
      </c>
      <c r="E3328" s="18" t="s">
        <v>74</v>
      </c>
    </row>
    <row r="3329">
      <c r="A3329" s="1" t="s">
        <v>4201</v>
      </c>
      <c r="B3329" s="1">
        <v>9.1812979486E11</v>
      </c>
      <c r="C3329" s="15" t="str">
        <f t="shared" si="1"/>
        <v>cherianjmerlin@gmail.com918129794860</v>
      </c>
      <c r="D3329" s="17" t="s">
        <v>10577</v>
      </c>
      <c r="E3329" s="18" t="s">
        <v>74</v>
      </c>
    </row>
    <row r="3330">
      <c r="A3330" s="1" t="s">
        <v>4201</v>
      </c>
      <c r="B3330" s="1">
        <v>9.1999543423E11</v>
      </c>
      <c r="C3330" s="15" t="str">
        <f t="shared" si="1"/>
        <v>cherianjmerlin@gmail.com919995434230</v>
      </c>
      <c r="D3330" s="17" t="s">
        <v>10578</v>
      </c>
      <c r="E3330" s="18" t="s">
        <v>74</v>
      </c>
    </row>
    <row r="3331">
      <c r="A3331" s="1" t="s">
        <v>4410</v>
      </c>
      <c r="B3331" s="1">
        <v>9.19007260879E11</v>
      </c>
      <c r="C3331" s="15" t="str">
        <f t="shared" si="1"/>
        <v>sumega24@gmail.com919007260879</v>
      </c>
      <c r="D3331" s="17" t="s">
        <v>10579</v>
      </c>
      <c r="E3331" s="18" t="s">
        <v>68</v>
      </c>
    </row>
    <row r="3332">
      <c r="A3332" s="1" t="s">
        <v>4203</v>
      </c>
      <c r="B3332" s="1">
        <v>9.19713479592E11</v>
      </c>
      <c r="C3332" s="15" t="str">
        <f t="shared" si="1"/>
        <v>satviksadh13@gamil.com919713479592</v>
      </c>
      <c r="D3332" s="17" t="s">
        <v>10580</v>
      </c>
      <c r="E3332" s="18" t="s">
        <v>68</v>
      </c>
    </row>
    <row r="3333">
      <c r="A3333" s="1" t="s">
        <v>4494</v>
      </c>
      <c r="B3333" s="1">
        <v>9.19690416784E11</v>
      </c>
      <c r="C3333" s="15" t="str">
        <f t="shared" si="1"/>
        <v>agarwals112@live.com919690416784</v>
      </c>
      <c r="D3333" s="17" t="s">
        <v>10581</v>
      </c>
      <c r="E3333" s="18" t="s">
        <v>68</v>
      </c>
    </row>
    <row r="3334">
      <c r="A3334" s="1" t="s">
        <v>3830</v>
      </c>
      <c r="B3334" s="1">
        <v>9.1920683136E11</v>
      </c>
      <c r="C3334" s="15" t="str">
        <f t="shared" si="1"/>
        <v>abhi973@live.com919206831360</v>
      </c>
      <c r="D3334" s="17" t="s">
        <v>10582</v>
      </c>
      <c r="E3334" s="18" t="s">
        <v>68</v>
      </c>
    </row>
    <row r="3335">
      <c r="A3335" s="1" t="s">
        <v>3489</v>
      </c>
      <c r="B3335" s="1">
        <v>9.19618219525E11</v>
      </c>
      <c r="C3335" s="15" t="str">
        <f t="shared" si="1"/>
        <v>h.vipparla3@gmail.com919618219525</v>
      </c>
      <c r="D3335" s="17" t="s">
        <v>10583</v>
      </c>
      <c r="E3335" s="18" t="s">
        <v>68</v>
      </c>
    </row>
    <row r="3336">
      <c r="A3336" s="1" t="s">
        <v>3489</v>
      </c>
      <c r="B3336" s="1">
        <v>9.19618219528E11</v>
      </c>
      <c r="C3336" s="15" t="str">
        <f t="shared" si="1"/>
        <v>h.vipparla3@gmail.com919618219528</v>
      </c>
      <c r="D3336" s="17" t="s">
        <v>10584</v>
      </c>
      <c r="E3336" s="18" t="s">
        <v>68</v>
      </c>
    </row>
    <row r="3337">
      <c r="A3337" s="1" t="s">
        <v>3490</v>
      </c>
      <c r="B3337" s="1">
        <v>9.19650598794E11</v>
      </c>
      <c r="C3337" s="15" t="str">
        <f t="shared" si="1"/>
        <v>specialmeah1@gmail.com919650598794</v>
      </c>
      <c r="D3337" s="17" t="s">
        <v>10585</v>
      </c>
      <c r="E3337" s="18" t="s">
        <v>68</v>
      </c>
    </row>
    <row r="3338">
      <c r="A3338" s="1" t="s">
        <v>3490</v>
      </c>
      <c r="B3338" s="1">
        <v>9.19650598794E11</v>
      </c>
      <c r="C3338" s="15" t="str">
        <f t="shared" si="1"/>
        <v>specialmeah1@gmail.com919650598794</v>
      </c>
      <c r="D3338" s="17" t="s">
        <v>10586</v>
      </c>
      <c r="E3338" s="18" t="s">
        <v>68</v>
      </c>
    </row>
    <row r="3339">
      <c r="A3339" s="1" t="s">
        <v>5568</v>
      </c>
      <c r="B3339" s="1">
        <v>9.18383033821E11</v>
      </c>
      <c r="C3339" s="15" t="str">
        <f t="shared" si="1"/>
        <v>harshitakhandelwal83830@gmail.com918383033821</v>
      </c>
      <c r="D3339" s="17" t="s">
        <v>10587</v>
      </c>
      <c r="E3339" s="18" t="s">
        <v>68</v>
      </c>
    </row>
    <row r="3340">
      <c r="A3340" s="1" t="s">
        <v>4204</v>
      </c>
      <c r="B3340" s="1">
        <v>9.18501977101E11</v>
      </c>
      <c r="C3340" s="15" t="str">
        <f t="shared" si="1"/>
        <v>ayonachanda28@gmail.com918501977101</v>
      </c>
      <c r="D3340" s="17" t="s">
        <v>10588</v>
      </c>
      <c r="E3340" s="18" t="s">
        <v>68</v>
      </c>
    </row>
    <row r="3341">
      <c r="A3341" s="1" t="s">
        <v>10589</v>
      </c>
      <c r="B3341" s="1">
        <v>9.1900823132E11</v>
      </c>
      <c r="C3341" s="15" t="str">
        <f t="shared" si="1"/>
        <v>sharmilabhat513@gmail.com919008231320</v>
      </c>
      <c r="D3341" s="17" t="s">
        <v>10590</v>
      </c>
      <c r="E3341" s="18" t="s">
        <v>74</v>
      </c>
    </row>
    <row r="3342">
      <c r="A3342" s="1" t="s">
        <v>10589</v>
      </c>
      <c r="B3342" s="1">
        <v>9.1900823132E11</v>
      </c>
      <c r="C3342" s="15" t="str">
        <f t="shared" si="1"/>
        <v>sharmilabhat513@gmail.com919008231320</v>
      </c>
      <c r="D3342" s="17" t="s">
        <v>10591</v>
      </c>
      <c r="E3342" s="18" t="s">
        <v>74</v>
      </c>
    </row>
    <row r="3343">
      <c r="A3343" s="1" t="s">
        <v>10589</v>
      </c>
      <c r="B3343" s="1">
        <v>9.1900823132E11</v>
      </c>
      <c r="C3343" s="15" t="str">
        <f t="shared" si="1"/>
        <v>sharmilabhat513@gmail.com919008231320</v>
      </c>
      <c r="D3343" s="17" t="s">
        <v>10592</v>
      </c>
      <c r="E3343" s="18" t="s">
        <v>74</v>
      </c>
    </row>
    <row r="3344">
      <c r="A3344" s="1" t="s">
        <v>10589</v>
      </c>
      <c r="B3344" s="1">
        <v>9.1900823132E11</v>
      </c>
      <c r="C3344" s="15" t="str">
        <f t="shared" si="1"/>
        <v>sharmilabhat513@gmail.com919008231320</v>
      </c>
      <c r="D3344" s="17" t="s">
        <v>10593</v>
      </c>
      <c r="E3344" s="18" t="s">
        <v>74</v>
      </c>
    </row>
    <row r="3345">
      <c r="A3345" s="1" t="s">
        <v>10589</v>
      </c>
      <c r="B3345" s="1">
        <v>9.1900823132E11</v>
      </c>
      <c r="C3345" s="15" t="str">
        <f t="shared" si="1"/>
        <v>sharmilabhat513@gmail.com919008231320</v>
      </c>
      <c r="D3345" s="17" t="s">
        <v>10594</v>
      </c>
      <c r="E3345" s="18" t="s">
        <v>74</v>
      </c>
    </row>
    <row r="3346">
      <c r="A3346" s="1" t="s">
        <v>5569</v>
      </c>
      <c r="B3346" s="1">
        <v>9.19888452619E11</v>
      </c>
      <c r="C3346" s="15" t="str">
        <f t="shared" si="1"/>
        <v>yogeshyadav9300@gmail.com919888452619</v>
      </c>
      <c r="D3346" s="17" t="s">
        <v>10595</v>
      </c>
      <c r="E3346" s="18" t="s">
        <v>68</v>
      </c>
    </row>
    <row r="3347">
      <c r="A3347" s="1" t="s">
        <v>4844</v>
      </c>
      <c r="B3347" s="1">
        <v>9.18897323795E11</v>
      </c>
      <c r="C3347" s="15" t="str">
        <f t="shared" si="1"/>
        <v>himasainee3@gmail.com918897323795</v>
      </c>
      <c r="D3347" s="17" t="s">
        <v>10596</v>
      </c>
      <c r="E3347" s="18" t="s">
        <v>68</v>
      </c>
    </row>
    <row r="3348">
      <c r="A3348" s="1" t="s">
        <v>4844</v>
      </c>
      <c r="B3348" s="1">
        <v>9.18897323795E11</v>
      </c>
      <c r="C3348" s="15" t="str">
        <f t="shared" si="1"/>
        <v>himasainee3@gmail.com918897323795</v>
      </c>
      <c r="D3348" s="17" t="s">
        <v>10597</v>
      </c>
      <c r="E3348" s="18" t="s">
        <v>68</v>
      </c>
    </row>
    <row r="3349">
      <c r="A3349" s="1" t="s">
        <v>4844</v>
      </c>
      <c r="B3349" s="1">
        <v>9.18897323795E11</v>
      </c>
      <c r="C3349" s="15" t="str">
        <f t="shared" si="1"/>
        <v>himasainee3@gmail.com918897323795</v>
      </c>
      <c r="D3349" s="17" t="s">
        <v>10598</v>
      </c>
      <c r="E3349" s="18" t="s">
        <v>68</v>
      </c>
    </row>
    <row r="3350">
      <c r="A3350" s="1" t="s">
        <v>4844</v>
      </c>
      <c r="B3350" s="1">
        <v>9.18897323795E11</v>
      </c>
      <c r="C3350" s="15" t="str">
        <f t="shared" si="1"/>
        <v>himasainee3@gmail.com918897323795</v>
      </c>
      <c r="D3350" s="17" t="s">
        <v>10599</v>
      </c>
      <c r="E3350" s="18" t="s">
        <v>74</v>
      </c>
    </row>
    <row r="3351">
      <c r="A3351" s="1" t="s">
        <v>5923</v>
      </c>
      <c r="B3351" s="1">
        <v>9.19861879919E11</v>
      </c>
      <c r="C3351" s="15" t="str">
        <f t="shared" si="1"/>
        <v>sarojssahu@gmail.com919861879919</v>
      </c>
      <c r="D3351" s="17" t="s">
        <v>10600</v>
      </c>
      <c r="E3351" s="18" t="s">
        <v>68</v>
      </c>
    </row>
    <row r="3352">
      <c r="A3352" s="1" t="s">
        <v>3491</v>
      </c>
      <c r="B3352" s="1">
        <v>9.19064181482E11</v>
      </c>
      <c r="C3352" s="15" t="str">
        <f t="shared" si="1"/>
        <v>swarnl567@gmail.com919064181482</v>
      </c>
      <c r="D3352" s="17" t="s">
        <v>10601</v>
      </c>
      <c r="E3352" s="18" t="s">
        <v>68</v>
      </c>
    </row>
    <row r="3353">
      <c r="A3353" s="1" t="s">
        <v>3148</v>
      </c>
      <c r="B3353" s="1">
        <v>9.19178852326E11</v>
      </c>
      <c r="C3353" s="15" t="str">
        <f t="shared" si="1"/>
        <v>pragnya199820@gmail.com919178852326</v>
      </c>
      <c r="D3353" s="17" t="s">
        <v>10602</v>
      </c>
      <c r="E3353" s="18" t="s">
        <v>68</v>
      </c>
    </row>
    <row r="3354">
      <c r="A3354" s="1" t="s">
        <v>3492</v>
      </c>
      <c r="B3354" s="1">
        <v>9.19894686997E11</v>
      </c>
      <c r="C3354" s="15" t="str">
        <f t="shared" si="1"/>
        <v>priyaparjapath@gmail.com919894686997</v>
      </c>
      <c r="D3354" s="17" t="s">
        <v>10603</v>
      </c>
      <c r="E3354" s="18" t="s">
        <v>68</v>
      </c>
    </row>
    <row r="3355">
      <c r="A3355" s="1" t="s">
        <v>3930</v>
      </c>
      <c r="B3355" s="1">
        <v>9.19365502715E11</v>
      </c>
      <c r="C3355" s="15" t="str">
        <f t="shared" si="1"/>
        <v>bikash36b@gmail.com919365502715</v>
      </c>
      <c r="D3355" s="17" t="s">
        <v>10604</v>
      </c>
      <c r="E3355" s="18" t="s">
        <v>68</v>
      </c>
    </row>
    <row r="3356">
      <c r="A3356" s="1" t="s">
        <v>2880</v>
      </c>
      <c r="B3356" s="1">
        <v>9.19945349064E11</v>
      </c>
      <c r="C3356" s="15" t="str">
        <f t="shared" si="1"/>
        <v>shantna37@gmail.com919945349064</v>
      </c>
      <c r="D3356" s="17" t="s">
        <v>10605</v>
      </c>
      <c r="E3356" s="18" t="s">
        <v>68</v>
      </c>
    </row>
    <row r="3357">
      <c r="A3357" s="1" t="s">
        <v>4205</v>
      </c>
      <c r="B3357" s="1">
        <v>9.18152910891E11</v>
      </c>
      <c r="C3357" s="15" t="str">
        <f t="shared" si="1"/>
        <v>bianca.skumar@gmail.com918152910891</v>
      </c>
      <c r="D3357" s="17" t="s">
        <v>10606</v>
      </c>
      <c r="E3357" s="18" t="s">
        <v>68</v>
      </c>
    </row>
    <row r="3358">
      <c r="A3358" s="1" t="s">
        <v>5481</v>
      </c>
      <c r="B3358" s="1">
        <v>9.19773736657E11</v>
      </c>
      <c r="C3358" s="15" t="str">
        <f t="shared" si="1"/>
        <v>japman.dang@gmail.com919773736657</v>
      </c>
      <c r="D3358" s="17" t="s">
        <v>10607</v>
      </c>
      <c r="E3358" s="18" t="s">
        <v>68</v>
      </c>
    </row>
    <row r="3359">
      <c r="A3359" s="1" t="s">
        <v>5481</v>
      </c>
      <c r="B3359" s="1">
        <v>9.19773736657E11</v>
      </c>
      <c r="C3359" s="15" t="str">
        <f t="shared" si="1"/>
        <v>japman.dang@gmail.com919773736657</v>
      </c>
      <c r="D3359" s="17" t="s">
        <v>10608</v>
      </c>
      <c r="E3359" s="18" t="s">
        <v>68</v>
      </c>
    </row>
    <row r="3360">
      <c r="A3360" s="1" t="s">
        <v>3051</v>
      </c>
      <c r="B3360" s="1">
        <v>9.17676374459E11</v>
      </c>
      <c r="C3360" s="15" t="str">
        <f t="shared" si="1"/>
        <v>sureka.shubham1@gmail.com917676374459</v>
      </c>
      <c r="D3360" s="17" t="s">
        <v>10609</v>
      </c>
      <c r="E3360" s="18" t="s">
        <v>68</v>
      </c>
    </row>
    <row r="3361">
      <c r="A3361" s="1" t="s">
        <v>4845</v>
      </c>
      <c r="B3361" s="1">
        <v>9.19749075836E11</v>
      </c>
      <c r="C3361" s="15" t="str">
        <f t="shared" si="1"/>
        <v>layekayon@gmail.com919749075836</v>
      </c>
      <c r="D3361" s="17" t="s">
        <v>10610</v>
      </c>
      <c r="E3361" s="18" t="s">
        <v>68</v>
      </c>
    </row>
    <row r="3362">
      <c r="A3362" s="1" t="s">
        <v>3267</v>
      </c>
      <c r="B3362" s="1">
        <v>9.19446339439E11</v>
      </c>
      <c r="C3362" s="15" t="str">
        <f t="shared" si="1"/>
        <v>nohalalex070@gmail.com919446339439</v>
      </c>
      <c r="D3362" s="17" t="s">
        <v>10611</v>
      </c>
      <c r="E3362" s="18" t="s">
        <v>68</v>
      </c>
    </row>
    <row r="3363">
      <c r="A3363" s="1" t="s">
        <v>3831</v>
      </c>
      <c r="B3363" s="1">
        <v>9.17013379771E11</v>
      </c>
      <c r="C3363" s="15" t="str">
        <f t="shared" si="1"/>
        <v>somu769876@gmail.com917013379771</v>
      </c>
      <c r="D3363" s="17" t="s">
        <v>10612</v>
      </c>
      <c r="E3363" s="18" t="s">
        <v>68</v>
      </c>
    </row>
    <row r="3364">
      <c r="A3364" s="1" t="s">
        <v>3831</v>
      </c>
      <c r="B3364" s="1">
        <v>9.17013379771E11</v>
      </c>
      <c r="C3364" s="15" t="str">
        <f t="shared" si="1"/>
        <v>somu769876@gmail.com917013379771</v>
      </c>
      <c r="D3364" s="17" t="s">
        <v>10613</v>
      </c>
      <c r="E3364" s="18" t="s">
        <v>68</v>
      </c>
    </row>
    <row r="3365">
      <c r="A3365" s="1" t="s">
        <v>3715</v>
      </c>
      <c r="B3365" s="1">
        <v>9.19833262219E11</v>
      </c>
      <c r="C3365" s="15" t="str">
        <f t="shared" si="1"/>
        <v>joydebmandal22@gmail.com919833262219</v>
      </c>
      <c r="D3365" s="17" t="s">
        <v>10614</v>
      </c>
      <c r="E3365" s="18" t="s">
        <v>68</v>
      </c>
    </row>
    <row r="3366">
      <c r="A3366" s="1" t="s">
        <v>2690</v>
      </c>
      <c r="B3366" s="1">
        <v>9.1987802386E11</v>
      </c>
      <c r="C3366" s="15" t="str">
        <f t="shared" si="1"/>
        <v>amitagupta72@gmail.com919878023860</v>
      </c>
      <c r="D3366" s="17" t="s">
        <v>10615</v>
      </c>
      <c r="E3366" s="18" t="s">
        <v>68</v>
      </c>
    </row>
    <row r="3367">
      <c r="A3367" s="1" t="s">
        <v>10616</v>
      </c>
      <c r="B3367" s="1">
        <v>9.19540069171E11</v>
      </c>
      <c r="C3367" s="15" t="str">
        <f t="shared" si="1"/>
        <v>akansha.johri06@gmail.com919540069171</v>
      </c>
      <c r="D3367" s="17" t="s">
        <v>10617</v>
      </c>
      <c r="E3367" s="18" t="s">
        <v>68</v>
      </c>
    </row>
    <row r="3368">
      <c r="A3368" s="1" t="s">
        <v>2690</v>
      </c>
      <c r="B3368" s="1">
        <v>9.1987802386E11</v>
      </c>
      <c r="C3368" s="15" t="str">
        <f t="shared" si="1"/>
        <v>amitagupta72@gmail.com919878023860</v>
      </c>
      <c r="D3368" s="17" t="s">
        <v>10618</v>
      </c>
      <c r="E3368" s="18" t="s">
        <v>68</v>
      </c>
    </row>
    <row r="3369">
      <c r="A3369" s="1" t="s">
        <v>4846</v>
      </c>
      <c r="B3369" s="1">
        <v>9.19989054224E11</v>
      </c>
      <c r="C3369" s="15" t="str">
        <f t="shared" si="1"/>
        <v>tummanaren@gmail.com919989054224</v>
      </c>
      <c r="D3369" s="17" t="s">
        <v>10619</v>
      </c>
      <c r="E3369" s="18" t="s">
        <v>68</v>
      </c>
    </row>
    <row r="3370">
      <c r="A3370" s="1" t="s">
        <v>5924</v>
      </c>
      <c r="B3370" s="1">
        <v>9.19849338076E11</v>
      </c>
      <c r="C3370" s="15" t="str">
        <f t="shared" si="1"/>
        <v>bhartiyaashok59@gmail.com919849338076</v>
      </c>
      <c r="D3370" s="17" t="s">
        <v>10620</v>
      </c>
      <c r="E3370" s="18" t="s">
        <v>151</v>
      </c>
    </row>
    <row r="3371">
      <c r="A3371" s="1" t="s">
        <v>5924</v>
      </c>
      <c r="B3371" s="1">
        <v>9.19849338076E11</v>
      </c>
      <c r="C3371" s="15" t="str">
        <f t="shared" si="1"/>
        <v>bhartiyaashok59@gmail.com919849338076</v>
      </c>
      <c r="D3371" s="17" t="s">
        <v>10621</v>
      </c>
      <c r="E3371" s="18" t="s">
        <v>151</v>
      </c>
    </row>
    <row r="3372">
      <c r="A3372" s="1" t="s">
        <v>5924</v>
      </c>
      <c r="B3372" s="1">
        <v>9.19849338076E11</v>
      </c>
      <c r="C3372" s="15" t="str">
        <f t="shared" si="1"/>
        <v>bhartiyaashok59@gmail.com919849338076</v>
      </c>
      <c r="D3372" s="17" t="s">
        <v>10622</v>
      </c>
      <c r="E3372" s="18" t="s">
        <v>151</v>
      </c>
    </row>
    <row r="3373">
      <c r="A3373" s="1" t="s">
        <v>5570</v>
      </c>
      <c r="B3373" s="1">
        <v>9.19515689149E11</v>
      </c>
      <c r="C3373" s="15" t="str">
        <f t="shared" si="1"/>
        <v>harshitha.viriventi5@gmail.com919515689149</v>
      </c>
      <c r="D3373" s="17" t="s">
        <v>10623</v>
      </c>
      <c r="E3373" s="18" t="s">
        <v>68</v>
      </c>
    </row>
    <row r="3374">
      <c r="A3374" s="1" t="s">
        <v>6650</v>
      </c>
      <c r="B3374" s="1">
        <v>9.19133191931E11</v>
      </c>
      <c r="C3374" s="15" t="str">
        <f t="shared" si="1"/>
        <v>rakeshpavan4@gmail.com919133191931</v>
      </c>
      <c r="D3374" s="17" t="s">
        <v>10624</v>
      </c>
      <c r="E3374" s="18" t="s">
        <v>68</v>
      </c>
    </row>
    <row r="3375">
      <c r="A3375" s="1" t="s">
        <v>3721</v>
      </c>
      <c r="B3375" s="1">
        <v>9.19920356552E11</v>
      </c>
      <c r="C3375" s="15" t="str">
        <f t="shared" si="1"/>
        <v>dmit2163@gmail.com919920356552</v>
      </c>
      <c r="D3375" s="17" t="s">
        <v>10625</v>
      </c>
      <c r="E3375" s="18" t="s">
        <v>68</v>
      </c>
    </row>
    <row r="3376">
      <c r="A3376" s="1" t="s">
        <v>4207</v>
      </c>
      <c r="B3376" s="1">
        <v>9.19351666758E11</v>
      </c>
      <c r="C3376" s="15" t="str">
        <f t="shared" si="1"/>
        <v>kanodialata@gmail.com919351666758</v>
      </c>
      <c r="D3376" s="17" t="s">
        <v>10626</v>
      </c>
      <c r="E3376" s="18" t="s">
        <v>68</v>
      </c>
    </row>
    <row r="3377">
      <c r="A3377" s="1" t="s">
        <v>3268</v>
      </c>
      <c r="B3377" s="1">
        <v>9.19315501711E11</v>
      </c>
      <c r="C3377" s="15" t="str">
        <f t="shared" si="1"/>
        <v>anushkaaa.2701@gmail.com919315501711</v>
      </c>
      <c r="D3377" s="17" t="s">
        <v>10627</v>
      </c>
      <c r="E3377" s="18" t="s">
        <v>68</v>
      </c>
    </row>
    <row r="3378">
      <c r="A3378" s="1" t="s">
        <v>3268</v>
      </c>
      <c r="B3378" s="1">
        <v>9.19315501711E11</v>
      </c>
      <c r="C3378" s="15" t="str">
        <f t="shared" si="1"/>
        <v>anushkaaa.2701@gmail.com919315501711</v>
      </c>
      <c r="D3378" s="17" t="s">
        <v>10628</v>
      </c>
      <c r="E3378" s="18" t="s">
        <v>68</v>
      </c>
    </row>
    <row r="3379">
      <c r="A3379" s="1" t="s">
        <v>2109</v>
      </c>
      <c r="B3379" s="1">
        <v>9.19833928818E11</v>
      </c>
      <c r="C3379" s="15" t="str">
        <f t="shared" si="1"/>
        <v>lamyarassiwala@gmail.com919833928818</v>
      </c>
      <c r="D3379" s="17" t="s">
        <v>10629</v>
      </c>
      <c r="E3379" s="18" t="s">
        <v>68</v>
      </c>
    </row>
    <row r="3380">
      <c r="A3380" s="1" t="s">
        <v>4206</v>
      </c>
      <c r="B3380" s="1">
        <v>9.18108401195E11</v>
      </c>
      <c r="C3380" s="15" t="str">
        <f t="shared" si="1"/>
        <v>avishapoojari10@gmail.com918108401195</v>
      </c>
      <c r="D3380" s="17" t="s">
        <v>10630</v>
      </c>
      <c r="E3380" s="18" t="s">
        <v>68</v>
      </c>
    </row>
    <row r="3381">
      <c r="A3381" s="1" t="s">
        <v>6900</v>
      </c>
      <c r="B3381" s="1">
        <v>9.1986277986E11</v>
      </c>
      <c r="C3381" s="15" t="str">
        <f t="shared" si="1"/>
        <v>mamoii.khiangte@gmail.com919862779860</v>
      </c>
      <c r="D3381" s="17" t="s">
        <v>10631</v>
      </c>
      <c r="E3381" s="18" t="s">
        <v>74</v>
      </c>
    </row>
    <row r="3382">
      <c r="A3382" s="1" t="s">
        <v>5482</v>
      </c>
      <c r="B3382" s="1">
        <v>9.19167095969E11</v>
      </c>
      <c r="C3382" s="15" t="str">
        <f t="shared" si="1"/>
        <v>sharmamanisha081198@gmail.com919167095969</v>
      </c>
      <c r="D3382" s="17" t="s">
        <v>10632</v>
      </c>
      <c r="E3382" s="18" t="s">
        <v>68</v>
      </c>
    </row>
    <row r="3383">
      <c r="A3383" s="1" t="s">
        <v>3832</v>
      </c>
      <c r="B3383" s="1">
        <v>9.18527781333E11</v>
      </c>
      <c r="C3383" s="15" t="str">
        <f t="shared" si="1"/>
        <v>chayankh@gmail.com918527781333</v>
      </c>
      <c r="D3383" s="17" t="s">
        <v>10633</v>
      </c>
      <c r="E3383" s="18" t="s">
        <v>68</v>
      </c>
    </row>
    <row r="3384">
      <c r="A3384" s="1" t="s">
        <v>2548</v>
      </c>
      <c r="B3384" s="1">
        <v>9.17642034091E11</v>
      </c>
      <c r="C3384" s="15" t="str">
        <f t="shared" si="1"/>
        <v>karsangnini4@gmail.com917642034091</v>
      </c>
      <c r="D3384" s="17" t="s">
        <v>10634</v>
      </c>
      <c r="E3384" s="18" t="s">
        <v>68</v>
      </c>
    </row>
    <row r="3385">
      <c r="A3385" s="1" t="s">
        <v>3833</v>
      </c>
      <c r="B3385" s="1">
        <v>9.19390224229E11</v>
      </c>
      <c r="C3385" s="15" t="str">
        <f t="shared" si="1"/>
        <v>kolleparayuvaraj@gmail.com919390224229</v>
      </c>
      <c r="D3385" s="17" t="s">
        <v>10635</v>
      </c>
      <c r="E3385" s="18" t="s">
        <v>68</v>
      </c>
    </row>
    <row r="3386">
      <c r="A3386" s="1" t="s">
        <v>4207</v>
      </c>
      <c r="B3386" s="1">
        <v>9.19351666758E11</v>
      </c>
      <c r="C3386" s="15" t="str">
        <f t="shared" si="1"/>
        <v>kanodialata@gmail.com919351666758</v>
      </c>
      <c r="D3386" s="17" t="s">
        <v>10636</v>
      </c>
      <c r="E3386" s="18" t="s">
        <v>68</v>
      </c>
    </row>
    <row r="3387">
      <c r="A3387" s="1" t="s">
        <v>10637</v>
      </c>
      <c r="B3387" s="1">
        <v>9.18052576031E11</v>
      </c>
      <c r="C3387" s="15" t="str">
        <f t="shared" si="1"/>
        <v>reminisce.h12@gmail.com918052576031</v>
      </c>
      <c r="D3387" s="17" t="s">
        <v>10638</v>
      </c>
      <c r="E3387" s="18" t="s">
        <v>68</v>
      </c>
    </row>
    <row r="3388">
      <c r="A3388" s="1" t="s">
        <v>3931</v>
      </c>
      <c r="B3388" s="1">
        <v>9.19156558855E11</v>
      </c>
      <c r="C3388" s="15" t="str">
        <f t="shared" si="1"/>
        <v>ayushjotani224@gmail.com919156558855</v>
      </c>
      <c r="D3388" s="17" t="s">
        <v>10639</v>
      </c>
      <c r="E3388" s="18" t="s">
        <v>68</v>
      </c>
    </row>
    <row r="3389">
      <c r="A3389" s="1" t="s">
        <v>4208</v>
      </c>
      <c r="B3389" s="1">
        <v>9.1788900938E11</v>
      </c>
      <c r="C3389" s="15" t="str">
        <f t="shared" si="1"/>
        <v>nikhilkalia1991@gmail.com917889009380</v>
      </c>
      <c r="D3389" s="17" t="s">
        <v>10640</v>
      </c>
      <c r="E3389" s="18" t="s">
        <v>68</v>
      </c>
    </row>
    <row r="3390">
      <c r="A3390" s="1" t="s">
        <v>10641</v>
      </c>
      <c r="B3390" s="1">
        <v>9.19082418238E11</v>
      </c>
      <c r="C3390" s="15" t="str">
        <f t="shared" si="1"/>
        <v>vaibhavkhambayat27@gmail.com919082418238</v>
      </c>
      <c r="D3390" s="17" t="s">
        <v>10642</v>
      </c>
      <c r="E3390" s="18" t="s">
        <v>68</v>
      </c>
    </row>
    <row r="3391">
      <c r="A3391" s="1" t="s">
        <v>4742</v>
      </c>
      <c r="B3391" s="1">
        <v>9.19131583694E11</v>
      </c>
      <c r="C3391" s="15" t="str">
        <f t="shared" si="1"/>
        <v>shivamthakkar79@gmail.com919131583694</v>
      </c>
      <c r="D3391" s="17" t="s">
        <v>10643</v>
      </c>
      <c r="E3391" s="18" t="s">
        <v>68</v>
      </c>
    </row>
    <row r="3392">
      <c r="A3392" s="1" t="s">
        <v>4495</v>
      </c>
      <c r="B3392" s="1">
        <v>9.19394347179E11</v>
      </c>
      <c r="C3392" s="15" t="str">
        <f t="shared" si="1"/>
        <v>nanitha.dulam97@gmail.com919394347179</v>
      </c>
      <c r="D3392" s="17" t="s">
        <v>10644</v>
      </c>
      <c r="E3392" s="18" t="s">
        <v>68</v>
      </c>
    </row>
    <row r="3393">
      <c r="A3393" s="1" t="s">
        <v>3717</v>
      </c>
      <c r="B3393" s="1">
        <v>9.18374838168E11</v>
      </c>
      <c r="C3393" s="15" t="str">
        <f t="shared" si="1"/>
        <v>praggy.revu@gmail.com918374838168</v>
      </c>
      <c r="D3393" s="17" t="s">
        <v>10645</v>
      </c>
      <c r="E3393" s="18" t="s">
        <v>68</v>
      </c>
    </row>
    <row r="3394">
      <c r="A3394" s="1" t="s">
        <v>5483</v>
      </c>
      <c r="B3394" s="1">
        <v>9.18848602007E11</v>
      </c>
      <c r="C3394" s="15" t="str">
        <f t="shared" si="1"/>
        <v>saikrishnasanil@gmail.com918848602007</v>
      </c>
      <c r="D3394" s="17" t="s">
        <v>10646</v>
      </c>
      <c r="E3394" s="18" t="s">
        <v>68</v>
      </c>
    </row>
    <row r="3395">
      <c r="A3395" s="1" t="s">
        <v>5571</v>
      </c>
      <c r="B3395" s="1">
        <v>9.19603725406E11</v>
      </c>
      <c r="C3395" s="15" t="str">
        <f t="shared" si="1"/>
        <v>mk2721970@gmail.com919603725406</v>
      </c>
      <c r="D3395" s="17" t="s">
        <v>10647</v>
      </c>
      <c r="E3395" s="18" t="s">
        <v>68</v>
      </c>
    </row>
    <row r="3396">
      <c r="A3396" s="1" t="s">
        <v>5572</v>
      </c>
      <c r="B3396" s="1">
        <v>9.19718236313E11</v>
      </c>
      <c r="C3396" s="15" t="str">
        <f t="shared" si="1"/>
        <v>arpitagupta3500@gmail.com919718236313</v>
      </c>
      <c r="D3396" s="17" t="s">
        <v>10648</v>
      </c>
      <c r="E3396" s="18" t="s">
        <v>68</v>
      </c>
    </row>
    <row r="3397">
      <c r="A3397" s="1" t="s">
        <v>3718</v>
      </c>
      <c r="B3397" s="1">
        <v>9.19008718406E11</v>
      </c>
      <c r="C3397" s="15" t="str">
        <f t="shared" si="1"/>
        <v>guhanjune@gmail.com919008718406</v>
      </c>
      <c r="D3397" s="17" t="s">
        <v>10649</v>
      </c>
      <c r="E3397" s="18" t="s">
        <v>74</v>
      </c>
    </row>
    <row r="3398">
      <c r="A3398" s="1" t="s">
        <v>3932</v>
      </c>
      <c r="B3398" s="1">
        <v>6.39089398155E11</v>
      </c>
      <c r="C3398" s="15" t="str">
        <f t="shared" si="1"/>
        <v>johnnoel86@gmail.com639089398155</v>
      </c>
      <c r="D3398" s="17" t="s">
        <v>10650</v>
      </c>
      <c r="E3398" s="18" t="s">
        <v>68</v>
      </c>
    </row>
    <row r="3399">
      <c r="A3399" s="1" t="s">
        <v>6564</v>
      </c>
      <c r="B3399" s="1">
        <v>9.19934935983E11</v>
      </c>
      <c r="C3399" s="15" t="str">
        <f t="shared" si="1"/>
        <v>biswas.ssb30@gmail.com919934935983</v>
      </c>
      <c r="D3399" s="17" t="s">
        <v>10651</v>
      </c>
      <c r="E3399" s="18" t="s">
        <v>74</v>
      </c>
    </row>
    <row r="3400">
      <c r="A3400" s="1" t="s">
        <v>6565</v>
      </c>
      <c r="B3400" s="1">
        <v>9.17209943488E11</v>
      </c>
      <c r="C3400" s="15" t="str">
        <f t="shared" si="1"/>
        <v>shilpi110290@gmail.com917209943488</v>
      </c>
      <c r="D3400" s="17" t="s">
        <v>10652</v>
      </c>
      <c r="E3400" s="18" t="s">
        <v>74</v>
      </c>
    </row>
    <row r="3401">
      <c r="A3401" s="1" t="s">
        <v>4847</v>
      </c>
      <c r="B3401" s="1">
        <v>9.18667627957E11</v>
      </c>
      <c r="C3401" s="15" t="str">
        <f t="shared" si="1"/>
        <v>jaishnaa19@gmail.com918667627957</v>
      </c>
      <c r="D3401" s="17" t="s">
        <v>10653</v>
      </c>
      <c r="E3401" s="18" t="s">
        <v>68</v>
      </c>
    </row>
    <row r="3402">
      <c r="A3402" s="1" t="s">
        <v>3719</v>
      </c>
      <c r="B3402" s="1">
        <v>9.19525236334E11</v>
      </c>
      <c r="C3402" s="15" t="str">
        <f t="shared" si="1"/>
        <v>nj88765@gmail.com919525236334</v>
      </c>
      <c r="D3402" s="17" t="s">
        <v>10654</v>
      </c>
      <c r="E3402" s="18" t="s">
        <v>68</v>
      </c>
    </row>
    <row r="3403">
      <c r="A3403" s="1" t="s">
        <v>10655</v>
      </c>
      <c r="B3403" s="1">
        <v>9.18178265008E11</v>
      </c>
      <c r="C3403" s="15" t="str">
        <f t="shared" si="1"/>
        <v>sahilkwatra40@gmail.com918178265008</v>
      </c>
      <c r="D3403" s="17" t="s">
        <v>10656</v>
      </c>
      <c r="E3403" s="18" t="s">
        <v>68</v>
      </c>
    </row>
    <row r="3404">
      <c r="A3404" s="1" t="s">
        <v>5287</v>
      </c>
      <c r="B3404" s="1">
        <v>9.18861347671E11</v>
      </c>
      <c r="C3404" s="15" t="str">
        <f t="shared" si="1"/>
        <v>pavanuppar17@gmail.com918861347671</v>
      </c>
      <c r="D3404" s="17" t="s">
        <v>10657</v>
      </c>
      <c r="E3404" s="18" t="s">
        <v>68</v>
      </c>
    </row>
    <row r="3405">
      <c r="A3405" s="1" t="s">
        <v>10658</v>
      </c>
      <c r="B3405" s="1">
        <v>9.16382275088E11</v>
      </c>
      <c r="C3405" s="15" t="str">
        <f t="shared" si="1"/>
        <v>anusasi06@gmail.com916382275088</v>
      </c>
      <c r="D3405" s="17" t="s">
        <v>10659</v>
      </c>
      <c r="E3405" s="18" t="s">
        <v>74</v>
      </c>
    </row>
    <row r="3406">
      <c r="A3406" s="1" t="s">
        <v>10658</v>
      </c>
      <c r="B3406" s="1">
        <v>9.16382275088E11</v>
      </c>
      <c r="C3406" s="15" t="str">
        <f t="shared" si="1"/>
        <v>anusasi06@gmail.com916382275088</v>
      </c>
      <c r="D3406" s="17" t="s">
        <v>10660</v>
      </c>
      <c r="E3406" s="18" t="s">
        <v>74</v>
      </c>
    </row>
    <row r="3407">
      <c r="A3407" s="1" t="s">
        <v>10658</v>
      </c>
      <c r="B3407" s="1">
        <v>9.16382275088E11</v>
      </c>
      <c r="C3407" s="15" t="str">
        <f t="shared" si="1"/>
        <v>anusasi06@gmail.com916382275088</v>
      </c>
      <c r="D3407" s="17" t="s">
        <v>10661</v>
      </c>
      <c r="E3407" s="18" t="s">
        <v>74</v>
      </c>
    </row>
    <row r="3408">
      <c r="A3408" s="1" t="s">
        <v>5166</v>
      </c>
      <c r="B3408" s="1">
        <v>9.1965451071E11</v>
      </c>
      <c r="C3408" s="15" t="str">
        <f t="shared" si="1"/>
        <v>sicher.vani@gmail.com919654510710</v>
      </c>
      <c r="D3408" s="17" t="s">
        <v>10662</v>
      </c>
      <c r="E3408" s="18" t="s">
        <v>68</v>
      </c>
    </row>
    <row r="3409">
      <c r="A3409" s="1" t="s">
        <v>6232</v>
      </c>
      <c r="B3409" s="1">
        <v>9.186602593E11</v>
      </c>
      <c r="C3409" s="15" t="str">
        <f t="shared" si="1"/>
        <v>nagarjunsk8@gmail.com918660259300</v>
      </c>
      <c r="D3409" s="17" t="s">
        <v>10663</v>
      </c>
      <c r="E3409" s="18" t="s">
        <v>68</v>
      </c>
    </row>
    <row r="3410">
      <c r="A3410" s="1" t="s">
        <v>4209</v>
      </c>
      <c r="B3410" s="1">
        <v>9.18851253061E11</v>
      </c>
      <c r="C3410" s="15" t="str">
        <f t="shared" si="1"/>
        <v>aasthagoel797@gmail.com918851253061</v>
      </c>
      <c r="D3410" s="17" t="s">
        <v>10664</v>
      </c>
      <c r="E3410" s="18" t="s">
        <v>74</v>
      </c>
    </row>
    <row r="3411">
      <c r="A3411" s="1" t="s">
        <v>5925</v>
      </c>
      <c r="B3411" s="1">
        <v>9.18722390555E11</v>
      </c>
      <c r="C3411" s="15" t="str">
        <f t="shared" si="1"/>
        <v>saxenaaditya2001@gmail.com918722390555</v>
      </c>
      <c r="D3411" s="17" t="s">
        <v>10665</v>
      </c>
      <c r="E3411" s="18" t="s">
        <v>97</v>
      </c>
    </row>
    <row r="3412">
      <c r="A3412" s="1" t="s">
        <v>5056</v>
      </c>
      <c r="B3412" s="1">
        <v>9.1987289718E11</v>
      </c>
      <c r="C3412" s="15" t="str">
        <f t="shared" si="1"/>
        <v>nishj456@gmail.com919872897180</v>
      </c>
      <c r="D3412" s="17" t="s">
        <v>10666</v>
      </c>
      <c r="E3412" s="18" t="s">
        <v>74</v>
      </c>
    </row>
    <row r="3413">
      <c r="A3413" s="1" t="s">
        <v>6499</v>
      </c>
      <c r="B3413" s="1">
        <v>9.18790446089E11</v>
      </c>
      <c r="C3413" s="15" t="str">
        <f t="shared" si="1"/>
        <v>divyablu7@gmail.com918790446089</v>
      </c>
      <c r="D3413" s="17" t="s">
        <v>10667</v>
      </c>
      <c r="E3413" s="18" t="s">
        <v>68</v>
      </c>
    </row>
    <row r="3414">
      <c r="A3414" s="1" t="s">
        <v>2151</v>
      </c>
      <c r="B3414" s="1">
        <v>9.18247716036E11</v>
      </c>
      <c r="C3414" s="15" t="str">
        <f t="shared" si="1"/>
        <v>bchaneelkumar@gmail.com918247716036</v>
      </c>
      <c r="D3414" s="17" t="s">
        <v>10668</v>
      </c>
      <c r="E3414" s="18" t="s">
        <v>68</v>
      </c>
    </row>
    <row r="3415">
      <c r="A3415" s="1" t="s">
        <v>4411</v>
      </c>
      <c r="B3415" s="1">
        <v>9.18124342599E11</v>
      </c>
      <c r="C3415" s="15" t="str">
        <f t="shared" si="1"/>
        <v>micheal0827@gmail.com918124342599</v>
      </c>
      <c r="D3415" s="17" t="s">
        <v>10669</v>
      </c>
      <c r="E3415" s="18" t="s">
        <v>151</v>
      </c>
    </row>
    <row r="3416">
      <c r="A3416" s="1" t="s">
        <v>4411</v>
      </c>
      <c r="B3416" s="1">
        <v>9.18124342599E11</v>
      </c>
      <c r="C3416" s="15" t="str">
        <f t="shared" si="1"/>
        <v>micheal0827@gmail.com918124342599</v>
      </c>
      <c r="D3416" s="17" t="s">
        <v>10670</v>
      </c>
      <c r="E3416" s="18" t="s">
        <v>151</v>
      </c>
    </row>
    <row r="3417">
      <c r="A3417" s="1" t="s">
        <v>5484</v>
      </c>
      <c r="B3417" s="1">
        <v>9.17349483853E11</v>
      </c>
      <c r="C3417" s="15" t="str">
        <f t="shared" si="1"/>
        <v>madhuapugol111@gmail.com917349483853</v>
      </c>
      <c r="D3417" s="17" t="s">
        <v>10671</v>
      </c>
      <c r="E3417" s="18" t="s">
        <v>68</v>
      </c>
    </row>
    <row r="3418">
      <c r="A3418" s="1" t="s">
        <v>5573</v>
      </c>
      <c r="B3418" s="1">
        <v>9.1703722896E11</v>
      </c>
      <c r="C3418" s="15" t="str">
        <f t="shared" si="1"/>
        <v>drganesh53@gmail.com917037228960</v>
      </c>
      <c r="D3418" s="17" t="s">
        <v>10672</v>
      </c>
      <c r="E3418" s="18" t="s">
        <v>68</v>
      </c>
    </row>
    <row r="3419">
      <c r="A3419" s="1" t="s">
        <v>4218</v>
      </c>
      <c r="B3419" s="1">
        <v>9.19446697854E11</v>
      </c>
      <c r="C3419" s="15" t="str">
        <f t="shared" si="1"/>
        <v>jayalakshmip101@gmail.com919446697854</v>
      </c>
      <c r="D3419" s="17" t="s">
        <v>10673</v>
      </c>
      <c r="E3419" s="18" t="s">
        <v>68</v>
      </c>
    </row>
    <row r="3420">
      <c r="A3420" s="1" t="s">
        <v>10674</v>
      </c>
      <c r="B3420" s="1">
        <v>9.18985671545E11</v>
      </c>
      <c r="C3420" s="15" t="str">
        <f t="shared" si="1"/>
        <v>tulasisrinivas1969@gmail.com918985671545</v>
      </c>
      <c r="D3420" s="17" t="s">
        <v>10675</v>
      </c>
      <c r="E3420" s="18" t="s">
        <v>68</v>
      </c>
    </row>
    <row r="3421">
      <c r="A3421" s="1" t="s">
        <v>3995</v>
      </c>
      <c r="B3421" s="1">
        <v>9.18007939553E11</v>
      </c>
      <c r="C3421" s="15" t="str">
        <f t="shared" si="1"/>
        <v>avinashrox@gmail.com918007939553</v>
      </c>
      <c r="D3421" s="17" t="s">
        <v>10676</v>
      </c>
      <c r="E3421" s="18" t="s">
        <v>68</v>
      </c>
    </row>
    <row r="3422">
      <c r="A3422" s="1" t="s">
        <v>10677</v>
      </c>
      <c r="B3422" s="1">
        <v>9.1894792289E11</v>
      </c>
      <c r="C3422" s="15" t="str">
        <f t="shared" si="1"/>
        <v>saran.apr666@gmail.com918947922890</v>
      </c>
      <c r="D3422" s="17" t="s">
        <v>10678</v>
      </c>
      <c r="E3422" s="18" t="s">
        <v>68</v>
      </c>
    </row>
    <row r="3423">
      <c r="A3423" s="1" t="s">
        <v>3052</v>
      </c>
      <c r="B3423" s="1">
        <v>9.19686668283E11</v>
      </c>
      <c r="C3423" s="15" t="str">
        <f t="shared" si="1"/>
        <v>maryamnawaz.in@gmail.com919686668283</v>
      </c>
      <c r="D3423" s="17" t="s">
        <v>10679</v>
      </c>
      <c r="E3423" s="18" t="s">
        <v>68</v>
      </c>
    </row>
    <row r="3424">
      <c r="A3424" s="1" t="s">
        <v>3625</v>
      </c>
      <c r="B3424" s="1">
        <v>9.19930432551E11</v>
      </c>
      <c r="C3424" s="15" t="str">
        <f t="shared" si="1"/>
        <v>salilt.001@gmail.com919930432551</v>
      </c>
      <c r="D3424" s="17" t="s">
        <v>10680</v>
      </c>
      <c r="E3424" s="18" t="s">
        <v>68</v>
      </c>
    </row>
    <row r="3425">
      <c r="A3425" s="1" t="s">
        <v>5485</v>
      </c>
      <c r="B3425" s="1">
        <v>9.17440520944E11</v>
      </c>
      <c r="C3425" s="15" t="str">
        <f t="shared" si="1"/>
        <v>sanketchanda17@gmail.com917440520944</v>
      </c>
      <c r="D3425" s="17" t="s">
        <v>10681</v>
      </c>
      <c r="E3425" s="18" t="s">
        <v>68</v>
      </c>
    </row>
    <row r="3426">
      <c r="A3426" s="1" t="s">
        <v>4496</v>
      </c>
      <c r="B3426" s="1">
        <v>9.19663735277E11</v>
      </c>
      <c r="C3426" s="15" t="str">
        <f t="shared" si="1"/>
        <v>suchi@idaksh.in919663735277</v>
      </c>
      <c r="D3426" s="17" t="s">
        <v>10682</v>
      </c>
      <c r="E3426" s="18" t="s">
        <v>68</v>
      </c>
    </row>
    <row r="3427">
      <c r="A3427" s="1" t="s">
        <v>5574</v>
      </c>
      <c r="B3427" s="1">
        <v>9.18826063256E11</v>
      </c>
      <c r="C3427" s="15" t="str">
        <f t="shared" si="1"/>
        <v>gurjeetkaur20060@gmail.com918826063256</v>
      </c>
      <c r="D3427" s="17" t="s">
        <v>10683</v>
      </c>
      <c r="E3427" s="18" t="s">
        <v>68</v>
      </c>
    </row>
    <row r="3428">
      <c r="A3428" s="1" t="s">
        <v>3834</v>
      </c>
      <c r="B3428" s="1">
        <v>9.17204999037E11</v>
      </c>
      <c r="C3428" s="15" t="str">
        <f t="shared" si="1"/>
        <v>ujjwal.anand0123@gmail.com917204999037</v>
      </c>
      <c r="D3428" s="17" t="s">
        <v>10684</v>
      </c>
      <c r="E3428" s="18" t="s">
        <v>68</v>
      </c>
    </row>
    <row r="3429">
      <c r="A3429" s="1" t="s">
        <v>10685</v>
      </c>
      <c r="B3429" s="1">
        <v>9.17087362779E11</v>
      </c>
      <c r="C3429" s="15" t="str">
        <f t="shared" si="1"/>
        <v>yuvrajsinghmidha@gmail.com917087362779</v>
      </c>
      <c r="D3429" s="17" t="s">
        <v>10686</v>
      </c>
      <c r="E3429" s="18" t="s">
        <v>74</v>
      </c>
    </row>
    <row r="3430">
      <c r="A3430" s="1" t="s">
        <v>10685</v>
      </c>
      <c r="B3430" s="1">
        <v>9.17087362779E11</v>
      </c>
      <c r="C3430" s="15" t="str">
        <f t="shared" si="1"/>
        <v>yuvrajsinghmidha@gmail.com917087362779</v>
      </c>
      <c r="D3430" s="17" t="s">
        <v>10687</v>
      </c>
      <c r="E3430" s="18" t="s">
        <v>74</v>
      </c>
    </row>
    <row r="3431">
      <c r="A3431" s="1" t="s">
        <v>10688</v>
      </c>
      <c r="B3431" s="1">
        <v>9.16360131647E11</v>
      </c>
      <c r="C3431" s="15" t="str">
        <f t="shared" si="1"/>
        <v>kavithamuppalla34@gmail.com916360131647</v>
      </c>
      <c r="D3431" s="17" t="s">
        <v>10689</v>
      </c>
      <c r="E3431" s="18" t="s">
        <v>68</v>
      </c>
    </row>
    <row r="3432">
      <c r="A3432" s="1" t="s">
        <v>3933</v>
      </c>
      <c r="B3432" s="1">
        <v>9.19840100485E11</v>
      </c>
      <c r="C3432" s="15" t="str">
        <f t="shared" si="1"/>
        <v>info.lalsar@gmail.com919840100485</v>
      </c>
      <c r="D3432" s="17" t="s">
        <v>10690</v>
      </c>
      <c r="E3432" s="18" t="s">
        <v>74</v>
      </c>
    </row>
    <row r="3433">
      <c r="A3433" s="1" t="s">
        <v>5486</v>
      </c>
      <c r="B3433" s="1">
        <v>9.19656555196E11</v>
      </c>
      <c r="C3433" s="15" t="str">
        <f t="shared" si="1"/>
        <v>aslam.muhammadaslam15@gmail.com919656555196</v>
      </c>
      <c r="D3433" s="17" t="s">
        <v>10691</v>
      </c>
      <c r="E3433" s="18" t="s">
        <v>68</v>
      </c>
    </row>
    <row r="3434">
      <c r="A3434" s="1" t="s">
        <v>5926</v>
      </c>
      <c r="B3434" s="1">
        <v>9.18968902833E11</v>
      </c>
      <c r="C3434" s="15" t="str">
        <f t="shared" si="1"/>
        <v>mukesh_billa@rediffmail.com918968902833</v>
      </c>
      <c r="D3434" s="17" t="s">
        <v>10692</v>
      </c>
      <c r="E3434" s="18" t="s">
        <v>68</v>
      </c>
    </row>
    <row r="3435">
      <c r="A3435" s="1" t="s">
        <v>10693</v>
      </c>
      <c r="B3435" s="1">
        <v>9.19773428667E11</v>
      </c>
      <c r="C3435" s="15" t="str">
        <f t="shared" si="1"/>
        <v>sanjay_sawalkar@rediffmail.com919773428667</v>
      </c>
      <c r="D3435" s="17" t="s">
        <v>10694</v>
      </c>
      <c r="E3435" s="18" t="s">
        <v>74</v>
      </c>
    </row>
    <row r="3436">
      <c r="A3436" s="1" t="s">
        <v>3934</v>
      </c>
      <c r="B3436" s="1">
        <v>9.17741011418E11</v>
      </c>
      <c r="C3436" s="15" t="str">
        <f t="shared" si="1"/>
        <v>gauravlange8181@gmail.com917741011418</v>
      </c>
      <c r="D3436" s="17" t="s">
        <v>10695</v>
      </c>
      <c r="E3436" s="18" t="s">
        <v>68</v>
      </c>
    </row>
    <row r="3437">
      <c r="A3437" s="1" t="s">
        <v>4210</v>
      </c>
      <c r="B3437" s="1">
        <v>9.19345639466E11</v>
      </c>
      <c r="C3437" s="15" t="str">
        <f t="shared" si="1"/>
        <v>girijacr24@gmail.com919345639466</v>
      </c>
      <c r="D3437" s="17" t="s">
        <v>10696</v>
      </c>
      <c r="E3437" s="18" t="s">
        <v>68</v>
      </c>
    </row>
    <row r="3438">
      <c r="A3438" s="1" t="s">
        <v>4210</v>
      </c>
      <c r="B3438" s="1">
        <v>9.19345639466E11</v>
      </c>
      <c r="C3438" s="15" t="str">
        <f t="shared" si="1"/>
        <v>girijacr24@gmail.com919345639466</v>
      </c>
      <c r="D3438" s="17" t="s">
        <v>10697</v>
      </c>
      <c r="E3438" s="18" t="s">
        <v>68</v>
      </c>
    </row>
    <row r="3439">
      <c r="A3439" s="1" t="s">
        <v>5575</v>
      </c>
      <c r="B3439" s="1">
        <v>9.1952704452E11</v>
      </c>
      <c r="C3439" s="15" t="str">
        <f t="shared" si="1"/>
        <v>hkakde1998@gmail.com919527044520</v>
      </c>
      <c r="D3439" s="17" t="s">
        <v>10698</v>
      </c>
      <c r="E3439" s="18" t="s">
        <v>68</v>
      </c>
    </row>
    <row r="3440">
      <c r="A3440" s="1" t="s">
        <v>3935</v>
      </c>
      <c r="B3440" s="1">
        <v>9.19558892187E11</v>
      </c>
      <c r="C3440" s="15" t="str">
        <f t="shared" si="1"/>
        <v>sthacker1535@gmail.com919558892187</v>
      </c>
      <c r="D3440" s="17" t="s">
        <v>10699</v>
      </c>
      <c r="E3440" s="18" t="s">
        <v>68</v>
      </c>
    </row>
    <row r="3441">
      <c r="A3441" s="1" t="s">
        <v>10700</v>
      </c>
      <c r="B3441" s="1">
        <v>9.19462979553E11</v>
      </c>
      <c r="C3441" s="15" t="str">
        <f t="shared" si="1"/>
        <v>dineshkhushi9462@gmail.com919462979553</v>
      </c>
      <c r="D3441" s="17" t="s">
        <v>10701</v>
      </c>
      <c r="E3441" s="18" t="s">
        <v>151</v>
      </c>
    </row>
    <row r="3442">
      <c r="A3442" s="1" t="s">
        <v>2691</v>
      </c>
      <c r="B3442" s="1">
        <v>9.19845491945E11</v>
      </c>
      <c r="C3442" s="15" t="str">
        <f t="shared" si="1"/>
        <v>bsk@kambargroup.com919845491945</v>
      </c>
      <c r="D3442" s="17" t="s">
        <v>10702</v>
      </c>
      <c r="E3442" s="18" t="s">
        <v>68</v>
      </c>
    </row>
    <row r="3443">
      <c r="A3443" s="1" t="s">
        <v>3493</v>
      </c>
      <c r="B3443" s="1">
        <v>9.19511799363E11</v>
      </c>
      <c r="C3443" s="15" t="str">
        <f t="shared" si="1"/>
        <v>chaitalisinghthakur@gmail.com919511799363</v>
      </c>
      <c r="D3443" s="17" t="s">
        <v>10703</v>
      </c>
      <c r="E3443" s="18" t="s">
        <v>68</v>
      </c>
    </row>
    <row r="3444">
      <c r="A3444" s="1" t="s">
        <v>5576</v>
      </c>
      <c r="B3444" s="1">
        <v>9.18295118282E11</v>
      </c>
      <c r="C3444" s="15" t="str">
        <f t="shared" si="1"/>
        <v>mayankmalik0006@gmail.com918295118282</v>
      </c>
      <c r="D3444" s="17" t="s">
        <v>10704</v>
      </c>
      <c r="E3444" s="18" t="s">
        <v>68</v>
      </c>
    </row>
    <row r="3445">
      <c r="A3445" s="1" t="s">
        <v>5577</v>
      </c>
      <c r="B3445" s="1">
        <v>9.19319320335E11</v>
      </c>
      <c r="C3445" s="15" t="str">
        <f t="shared" si="1"/>
        <v>gaman6794@gmail.com919319320335</v>
      </c>
      <c r="D3445" s="17" t="s">
        <v>10705</v>
      </c>
      <c r="E3445" s="18" t="s">
        <v>68</v>
      </c>
    </row>
    <row r="3446">
      <c r="A3446" s="1" t="s">
        <v>3936</v>
      </c>
      <c r="B3446" s="1">
        <v>9.19980509578E11</v>
      </c>
      <c r="C3446" s="15" t="str">
        <f t="shared" si="1"/>
        <v>ds.dhanush31@gmail.com919980509578</v>
      </c>
      <c r="D3446" s="17" t="s">
        <v>10706</v>
      </c>
      <c r="E3446" s="18" t="s">
        <v>68</v>
      </c>
    </row>
    <row r="3447">
      <c r="A3447" s="1" t="s">
        <v>2549</v>
      </c>
      <c r="B3447" s="1">
        <v>9.19614789882E11</v>
      </c>
      <c r="C3447" s="15" t="str">
        <f t="shared" si="1"/>
        <v>satyendrakrchauhan@gmail.com919614789882</v>
      </c>
      <c r="D3447" s="17" t="s">
        <v>10707</v>
      </c>
      <c r="E3447" s="18" t="s">
        <v>68</v>
      </c>
    </row>
    <row r="3448">
      <c r="A3448" s="1" t="s">
        <v>2549</v>
      </c>
      <c r="B3448" s="1">
        <v>9.19614789882E11</v>
      </c>
      <c r="C3448" s="15" t="str">
        <f t="shared" si="1"/>
        <v>satyendrakrchauhan@gmail.com919614789882</v>
      </c>
      <c r="D3448" s="17" t="s">
        <v>10708</v>
      </c>
      <c r="E3448" s="18" t="s">
        <v>74</v>
      </c>
    </row>
    <row r="3449">
      <c r="A3449" s="1" t="s">
        <v>4497</v>
      </c>
      <c r="B3449" s="1">
        <v>9.1956661891E11</v>
      </c>
      <c r="C3449" s="15" t="str">
        <f t="shared" si="1"/>
        <v>abilashsp@gmail.com919566618910</v>
      </c>
      <c r="D3449" s="17" t="s">
        <v>10709</v>
      </c>
      <c r="E3449" s="18" t="s">
        <v>74</v>
      </c>
    </row>
    <row r="3450">
      <c r="A3450" s="1" t="s">
        <v>10710</v>
      </c>
      <c r="B3450" s="1">
        <v>9.19689236682E11</v>
      </c>
      <c r="C3450" s="15" t="str">
        <f t="shared" si="1"/>
        <v>nrgupta22@gmail.com919689236682</v>
      </c>
      <c r="D3450" s="17" t="s">
        <v>10711</v>
      </c>
      <c r="E3450" s="18" t="s">
        <v>68</v>
      </c>
    </row>
    <row r="3451">
      <c r="A3451" s="1" t="s">
        <v>2550</v>
      </c>
      <c r="B3451" s="1">
        <v>9.18861355515E11</v>
      </c>
      <c r="C3451" s="15" t="str">
        <f t="shared" si="1"/>
        <v>manasi.chauhan19@gmail.com918861355515</v>
      </c>
      <c r="D3451" s="17" t="s">
        <v>10712</v>
      </c>
      <c r="E3451" s="18" t="s">
        <v>68</v>
      </c>
    </row>
    <row r="3452">
      <c r="A3452" s="1" t="s">
        <v>2480</v>
      </c>
      <c r="B3452" s="1">
        <v>9.19916242098E11</v>
      </c>
      <c r="C3452" s="15" t="str">
        <f t="shared" si="1"/>
        <v>guru_3@yahoo.com919916242098</v>
      </c>
      <c r="D3452" s="17" t="s">
        <v>10713</v>
      </c>
      <c r="E3452" s="18" t="s">
        <v>68</v>
      </c>
    </row>
    <row r="3453">
      <c r="A3453" s="1" t="s">
        <v>2480</v>
      </c>
      <c r="B3453" s="1">
        <v>9.19916242098E11</v>
      </c>
      <c r="C3453" s="15" t="str">
        <f t="shared" si="1"/>
        <v>guru_3@yahoo.com919916242098</v>
      </c>
      <c r="D3453" s="17" t="s">
        <v>10714</v>
      </c>
      <c r="E3453" s="18" t="s">
        <v>68</v>
      </c>
    </row>
    <row r="3454">
      <c r="A3454" s="1" t="s">
        <v>6651</v>
      </c>
      <c r="B3454" s="1">
        <v>9.18886855527E11</v>
      </c>
      <c r="C3454" s="15" t="str">
        <f t="shared" si="1"/>
        <v>deeps.jans@gmail.com918886855527</v>
      </c>
      <c r="D3454" s="17" t="s">
        <v>10715</v>
      </c>
      <c r="E3454" s="18" t="s">
        <v>68</v>
      </c>
    </row>
    <row r="3455">
      <c r="A3455" s="1" t="s">
        <v>3269</v>
      </c>
      <c r="B3455" s="1">
        <v>9.17265939492E11</v>
      </c>
      <c r="C3455" s="15" t="str">
        <f t="shared" si="1"/>
        <v>sonejikaran2@gmail.com917265939492</v>
      </c>
      <c r="D3455" s="17" t="s">
        <v>10716</v>
      </c>
      <c r="E3455" s="18" t="s">
        <v>74</v>
      </c>
    </row>
    <row r="3456">
      <c r="A3456" s="1" t="s">
        <v>10717</v>
      </c>
      <c r="B3456" s="1">
        <v>9.19625104728E11</v>
      </c>
      <c r="C3456" s="15" t="str">
        <f t="shared" si="1"/>
        <v>mahi10909090@gmail.com919625104728</v>
      </c>
      <c r="D3456" s="17" t="s">
        <v>10718</v>
      </c>
      <c r="E3456" s="18" t="s">
        <v>68</v>
      </c>
    </row>
    <row r="3457">
      <c r="A3457" s="1" t="s">
        <v>10719</v>
      </c>
      <c r="B3457" s="1">
        <v>9.19435231114E11</v>
      </c>
      <c r="C3457" s="15" t="str">
        <f t="shared" si="1"/>
        <v>jonali.bhatta2804@gmail.com919435231114</v>
      </c>
      <c r="D3457" s="17" t="s">
        <v>10720</v>
      </c>
      <c r="E3457" s="18" t="s">
        <v>68</v>
      </c>
    </row>
    <row r="3458">
      <c r="A3458" s="1" t="s">
        <v>2881</v>
      </c>
      <c r="B3458" s="1">
        <v>9.19769140082E11</v>
      </c>
      <c r="C3458" s="15" t="str">
        <f t="shared" si="1"/>
        <v>jyotsnavanjankar@gmail.com919769140082</v>
      </c>
      <c r="D3458" s="17" t="s">
        <v>10721</v>
      </c>
      <c r="E3458" s="18" t="s">
        <v>68</v>
      </c>
    </row>
    <row r="3459">
      <c r="A3459" s="1" t="s">
        <v>3149</v>
      </c>
      <c r="B3459" s="1">
        <v>9.19979379645E11</v>
      </c>
      <c r="C3459" s="15" t="str">
        <f t="shared" si="1"/>
        <v>aashnadhakan00@gmail.com919979379645</v>
      </c>
      <c r="D3459" s="17" t="s">
        <v>10722</v>
      </c>
      <c r="E3459" s="18" t="s">
        <v>74</v>
      </c>
    </row>
    <row r="3460">
      <c r="A3460" s="1" t="s">
        <v>2692</v>
      </c>
      <c r="B3460" s="1">
        <v>9.18390258878E11</v>
      </c>
      <c r="C3460" s="15" t="str">
        <f t="shared" si="1"/>
        <v>revathypanicker93@gmail.com918390258878</v>
      </c>
      <c r="D3460" s="17" t="s">
        <v>10723</v>
      </c>
      <c r="E3460" s="18" t="s">
        <v>68</v>
      </c>
    </row>
    <row r="3461">
      <c r="A3461" s="1" t="s">
        <v>4848</v>
      </c>
      <c r="B3461" s="1">
        <v>9.18830448148E11</v>
      </c>
      <c r="C3461" s="15" t="str">
        <f t="shared" si="1"/>
        <v>vaishnavibaniya05@gmail.com918830448148</v>
      </c>
      <c r="D3461" s="17" t="s">
        <v>10724</v>
      </c>
      <c r="E3461" s="18" t="s">
        <v>68</v>
      </c>
    </row>
    <row r="3462">
      <c r="A3462" s="1" t="s">
        <v>10502</v>
      </c>
      <c r="B3462" s="1">
        <v>9.1879687304E11</v>
      </c>
      <c r="C3462" s="15" t="str">
        <f t="shared" si="1"/>
        <v>abarse12@gmail.com918796873040</v>
      </c>
      <c r="D3462" s="17" t="s">
        <v>10725</v>
      </c>
      <c r="E3462" s="18" t="s">
        <v>97</v>
      </c>
    </row>
    <row r="3463">
      <c r="A3463" s="1" t="s">
        <v>6491</v>
      </c>
      <c r="B3463" s="1">
        <v>9.19696046295E11</v>
      </c>
      <c r="C3463" s="15" t="str">
        <f t="shared" si="1"/>
        <v>singhvineeta.786@gmail.com919696046295</v>
      </c>
      <c r="D3463" s="17" t="s">
        <v>10726</v>
      </c>
      <c r="E3463" s="18" t="s">
        <v>97</v>
      </c>
    </row>
    <row r="3464">
      <c r="A3464" s="1" t="s">
        <v>4211</v>
      </c>
      <c r="B3464" s="1">
        <v>9.19920620909E11</v>
      </c>
      <c r="C3464" s="15" t="str">
        <f t="shared" si="1"/>
        <v>unnati300999@gmail.com919920620909</v>
      </c>
      <c r="D3464" s="17" t="s">
        <v>10727</v>
      </c>
      <c r="E3464" s="18" t="s">
        <v>74</v>
      </c>
    </row>
    <row r="3465">
      <c r="A3465" s="1" t="s">
        <v>9119</v>
      </c>
      <c r="B3465" s="1">
        <v>9.16005365879E11</v>
      </c>
      <c r="C3465" s="15" t="str">
        <f t="shared" si="1"/>
        <v>sanamattoo1921@gmail.com916005365879</v>
      </c>
      <c r="D3465" s="17" t="s">
        <v>10728</v>
      </c>
      <c r="E3465" s="18" t="s">
        <v>74</v>
      </c>
    </row>
    <row r="3466">
      <c r="A3466" s="1" t="s">
        <v>10729</v>
      </c>
      <c r="B3466" s="1">
        <v>9.19902709941E11</v>
      </c>
      <c r="C3466" s="15" t="str">
        <f t="shared" si="1"/>
        <v>hharshi102@gmail.com919902709941</v>
      </c>
      <c r="D3466" s="17" t="s">
        <v>10730</v>
      </c>
      <c r="E3466" s="18" t="s">
        <v>74</v>
      </c>
    </row>
    <row r="3467">
      <c r="A3467" s="1" t="s">
        <v>6479</v>
      </c>
      <c r="B3467" s="1">
        <v>9.19899972124E11</v>
      </c>
      <c r="C3467" s="15" t="str">
        <f t="shared" si="1"/>
        <v>palak1507@gmail.com919899972124</v>
      </c>
      <c r="D3467" s="17" t="s">
        <v>10731</v>
      </c>
      <c r="E3467" s="18" t="s">
        <v>68</v>
      </c>
    </row>
    <row r="3468">
      <c r="A3468" s="1" t="s">
        <v>10685</v>
      </c>
      <c r="B3468" s="1">
        <v>9.17087362779E11</v>
      </c>
      <c r="C3468" s="15" t="str">
        <f t="shared" si="1"/>
        <v>yuvrajsinghmidha@gmail.com917087362779</v>
      </c>
      <c r="D3468" s="17" t="s">
        <v>10732</v>
      </c>
      <c r="E3468" s="18" t="s">
        <v>74</v>
      </c>
    </row>
    <row r="3469">
      <c r="A3469" s="1" t="s">
        <v>10733</v>
      </c>
      <c r="B3469" s="1">
        <v>9.19908188645E11</v>
      </c>
      <c r="C3469" s="15" t="str">
        <f t="shared" si="1"/>
        <v>veenasarath95@gmail.com919908188645</v>
      </c>
      <c r="D3469" s="17" t="s">
        <v>10734</v>
      </c>
      <c r="E3469" s="18" t="s">
        <v>68</v>
      </c>
    </row>
    <row r="3470">
      <c r="A3470" s="1" t="s">
        <v>10735</v>
      </c>
      <c r="B3470" s="1">
        <v>9.19688828748E11</v>
      </c>
      <c r="C3470" s="15" t="str">
        <f t="shared" si="1"/>
        <v>patnaiksangeeta23@gmail.com919688828748</v>
      </c>
      <c r="D3470" s="17" t="s">
        <v>10736</v>
      </c>
      <c r="E3470" s="18" t="s">
        <v>68</v>
      </c>
    </row>
    <row r="3471">
      <c r="A3471" s="1" t="s">
        <v>2337</v>
      </c>
      <c r="B3471" s="1">
        <v>9.1981171518E11</v>
      </c>
      <c r="C3471" s="15" t="str">
        <f t="shared" si="1"/>
        <v>mail.ruchikarastogi@gmail.com919811715180</v>
      </c>
      <c r="D3471" s="17" t="s">
        <v>10737</v>
      </c>
      <c r="E3471" s="18" t="s">
        <v>68</v>
      </c>
    </row>
    <row r="3472">
      <c r="A3472" s="1" t="s">
        <v>6483</v>
      </c>
      <c r="B3472" s="1">
        <v>9.19448847519E11</v>
      </c>
      <c r="C3472" s="15" t="str">
        <f t="shared" si="1"/>
        <v>inv.anshu@gmail.com919448847519</v>
      </c>
      <c r="D3472" s="17" t="s">
        <v>10738</v>
      </c>
      <c r="E3472" s="18" t="s">
        <v>151</v>
      </c>
    </row>
    <row r="3473">
      <c r="A3473" s="1" t="s">
        <v>10739</v>
      </c>
      <c r="B3473" s="1">
        <v>9.19389417002E11</v>
      </c>
      <c r="C3473" s="15" t="str">
        <f t="shared" si="1"/>
        <v>saifspanish18@gmail.com919389417002</v>
      </c>
      <c r="D3473" s="17" t="s">
        <v>10740</v>
      </c>
      <c r="E3473" s="18" t="s">
        <v>68</v>
      </c>
    </row>
    <row r="3474">
      <c r="A3474" s="1" t="s">
        <v>6473</v>
      </c>
      <c r="B3474" s="1">
        <v>9.19873965908E11</v>
      </c>
      <c r="C3474" s="15" t="str">
        <f t="shared" si="1"/>
        <v>pallavi.dua008@gmail.com919873965908</v>
      </c>
      <c r="D3474" s="17" t="s">
        <v>10741</v>
      </c>
      <c r="E3474" s="18" t="s">
        <v>68</v>
      </c>
    </row>
    <row r="3475">
      <c r="A3475" s="1" t="s">
        <v>10742</v>
      </c>
      <c r="B3475" s="1">
        <v>9.19315189838E11</v>
      </c>
      <c r="C3475" s="15" t="str">
        <f t="shared" si="1"/>
        <v>shubhamsharma6705@gmail.com919315189838</v>
      </c>
      <c r="D3475" s="17" t="s">
        <v>10743</v>
      </c>
      <c r="E3475" s="18" t="s">
        <v>74</v>
      </c>
    </row>
    <row r="3476">
      <c r="A3476" s="1" t="s">
        <v>10742</v>
      </c>
      <c r="B3476" s="1">
        <v>9.19315189838E11</v>
      </c>
      <c r="C3476" s="15" t="str">
        <f t="shared" si="1"/>
        <v>shubhamsharma6705@gmail.com919315189838</v>
      </c>
      <c r="D3476" s="17" t="s">
        <v>10744</v>
      </c>
      <c r="E3476" s="18" t="s">
        <v>74</v>
      </c>
    </row>
    <row r="3477">
      <c r="A3477" s="1" t="s">
        <v>3270</v>
      </c>
      <c r="B3477" s="1">
        <v>9.16284176946E11</v>
      </c>
      <c r="C3477" s="15" t="str">
        <f t="shared" si="1"/>
        <v>nkalonia5@gmail.com916284176946</v>
      </c>
      <c r="D3477" s="17" t="s">
        <v>10745</v>
      </c>
      <c r="E3477" s="18" t="s">
        <v>68</v>
      </c>
    </row>
    <row r="3478">
      <c r="A3478" s="1" t="s">
        <v>3270</v>
      </c>
      <c r="B3478" s="1">
        <v>9.16284176946E11</v>
      </c>
      <c r="C3478" s="15" t="str">
        <f t="shared" si="1"/>
        <v>nkalonia5@gmail.com916284176946</v>
      </c>
      <c r="D3478" s="17" t="s">
        <v>10746</v>
      </c>
      <c r="E3478" s="18" t="s">
        <v>68</v>
      </c>
    </row>
    <row r="3479">
      <c r="A3479" s="1" t="s">
        <v>10742</v>
      </c>
      <c r="B3479" s="1">
        <v>9.19315189838E11</v>
      </c>
      <c r="C3479" s="15" t="str">
        <f t="shared" si="1"/>
        <v>shubhamsharma6705@gmail.com919315189838</v>
      </c>
      <c r="D3479" s="17" t="s">
        <v>10747</v>
      </c>
      <c r="E3479" s="18" t="s">
        <v>74</v>
      </c>
    </row>
    <row r="3480">
      <c r="A3480" s="1" t="s">
        <v>10742</v>
      </c>
      <c r="B3480" s="1">
        <v>9.19315189838E11</v>
      </c>
      <c r="C3480" s="15" t="str">
        <f t="shared" si="1"/>
        <v>shubhamsharma6705@gmail.com919315189838</v>
      </c>
      <c r="D3480" s="17" t="s">
        <v>10748</v>
      </c>
      <c r="E3480" s="18" t="s">
        <v>74</v>
      </c>
    </row>
    <row r="3481">
      <c r="A3481" s="1" t="s">
        <v>10742</v>
      </c>
      <c r="B3481" s="1">
        <v>9.19315189838E11</v>
      </c>
      <c r="C3481" s="15" t="str">
        <f t="shared" si="1"/>
        <v>shubhamsharma6705@gmail.com919315189838</v>
      </c>
      <c r="D3481" s="17" t="s">
        <v>10749</v>
      </c>
      <c r="E3481" s="18" t="s">
        <v>151</v>
      </c>
    </row>
    <row r="3482">
      <c r="A3482" s="1" t="s">
        <v>6566</v>
      </c>
      <c r="B3482" s="1">
        <v>9.19000578337E11</v>
      </c>
      <c r="C3482" s="15" t="str">
        <f t="shared" si="1"/>
        <v>saikishore809@gmail.com919000578337</v>
      </c>
      <c r="D3482" s="17" t="s">
        <v>10750</v>
      </c>
      <c r="E3482" s="18" t="s">
        <v>68</v>
      </c>
    </row>
    <row r="3483">
      <c r="A3483" s="1" t="s">
        <v>5487</v>
      </c>
      <c r="B3483" s="1">
        <v>9.18335883002E11</v>
      </c>
      <c r="C3483" s="15" t="str">
        <f t="shared" si="1"/>
        <v>anuskachakraborty0098@gmail.com918335883002</v>
      </c>
      <c r="D3483" s="17" t="s">
        <v>10751</v>
      </c>
      <c r="E3483" s="18" t="s">
        <v>68</v>
      </c>
    </row>
    <row r="3484">
      <c r="A3484" s="1" t="s">
        <v>2882</v>
      </c>
      <c r="B3484" s="1">
        <v>9.19885039353E11</v>
      </c>
      <c r="C3484" s="15" t="str">
        <f t="shared" si="1"/>
        <v>amar75643@gmail.com919885039353</v>
      </c>
      <c r="D3484" s="17" t="s">
        <v>10752</v>
      </c>
      <c r="E3484" s="18" t="s">
        <v>68</v>
      </c>
    </row>
    <row r="3485">
      <c r="A3485" s="1" t="s">
        <v>4849</v>
      </c>
      <c r="B3485" s="1">
        <v>9.19958144371E11</v>
      </c>
      <c r="C3485" s="15" t="str">
        <f t="shared" si="1"/>
        <v>mukherjeeaprajita14@gmail.com919958144371</v>
      </c>
      <c r="D3485" s="17" t="s">
        <v>10753</v>
      </c>
      <c r="E3485" s="18" t="s">
        <v>68</v>
      </c>
    </row>
    <row r="3486">
      <c r="A3486" s="1" t="s">
        <v>5488</v>
      </c>
      <c r="B3486" s="1">
        <v>9.17384252628E11</v>
      </c>
      <c r="C3486" s="15" t="str">
        <f t="shared" si="1"/>
        <v>sanket.seksaria@gmail.com917384252628</v>
      </c>
      <c r="D3486" s="17" t="s">
        <v>10754</v>
      </c>
      <c r="E3486" s="18" t="s">
        <v>151</v>
      </c>
    </row>
    <row r="3487">
      <c r="A3487" s="1" t="s">
        <v>6489</v>
      </c>
      <c r="B3487" s="1">
        <v>9.1989983766E11</v>
      </c>
      <c r="C3487" s="15" t="str">
        <f t="shared" si="1"/>
        <v>ma.arora@yahoo.in919899837660</v>
      </c>
      <c r="D3487" s="17" t="s">
        <v>10755</v>
      </c>
      <c r="E3487" s="18" t="s">
        <v>97</v>
      </c>
    </row>
    <row r="3488">
      <c r="A3488" s="1" t="s">
        <v>6489</v>
      </c>
      <c r="B3488" s="1">
        <v>9.1989983766E11</v>
      </c>
      <c r="C3488" s="15" t="str">
        <f t="shared" si="1"/>
        <v>ma.arora@yahoo.in919899837660</v>
      </c>
      <c r="D3488" s="17" t="s">
        <v>10756</v>
      </c>
      <c r="E3488" s="18" t="s">
        <v>97</v>
      </c>
    </row>
    <row r="3489">
      <c r="A3489" s="1" t="s">
        <v>4212</v>
      </c>
      <c r="B3489" s="1">
        <v>9.19822271319E11</v>
      </c>
      <c r="C3489" s="15" t="str">
        <f t="shared" si="1"/>
        <v>surabhi.bhosale1772@gmail.com919822271319</v>
      </c>
      <c r="D3489" s="17" t="s">
        <v>10757</v>
      </c>
      <c r="E3489" s="18" t="s">
        <v>74</v>
      </c>
    </row>
    <row r="3490">
      <c r="A3490" s="1" t="s">
        <v>6222</v>
      </c>
      <c r="B3490" s="1">
        <v>9.19449692235E11</v>
      </c>
      <c r="C3490" s="15" t="str">
        <f t="shared" si="1"/>
        <v>santhosh8975@gmail.com919449692235</v>
      </c>
      <c r="D3490" s="17" t="s">
        <v>10758</v>
      </c>
      <c r="E3490" s="18" t="s">
        <v>68</v>
      </c>
    </row>
    <row r="3491">
      <c r="A3491" s="1" t="s">
        <v>10759</v>
      </c>
      <c r="B3491" s="1">
        <v>9.19827893714E11</v>
      </c>
      <c r="C3491" s="15" t="str">
        <f t="shared" si="1"/>
        <v>shrmamonu777@gmail.com919827893714</v>
      </c>
      <c r="D3491" s="17" t="s">
        <v>10760</v>
      </c>
      <c r="E3491" s="18" t="s">
        <v>151</v>
      </c>
    </row>
    <row r="3492">
      <c r="A3492" s="1" t="s">
        <v>6490</v>
      </c>
      <c r="B3492" s="1">
        <v>9.19844939825E11</v>
      </c>
      <c r="C3492" s="15" t="str">
        <f t="shared" si="1"/>
        <v>bharathipaddy@gmail.com919844939825</v>
      </c>
      <c r="D3492" s="17" t="s">
        <v>10761</v>
      </c>
      <c r="E3492" s="18" t="s">
        <v>151</v>
      </c>
    </row>
    <row r="3493">
      <c r="A3493" s="1" t="s">
        <v>6490</v>
      </c>
      <c r="B3493" s="1">
        <v>9.19844939825E11</v>
      </c>
      <c r="C3493" s="15" t="str">
        <f t="shared" si="1"/>
        <v>bharathipaddy@gmail.com919844939825</v>
      </c>
      <c r="D3493" s="17" t="s">
        <v>10762</v>
      </c>
      <c r="E3493" s="18" t="s">
        <v>151</v>
      </c>
    </row>
    <row r="3494">
      <c r="A3494" s="1" t="s">
        <v>6490</v>
      </c>
      <c r="B3494" s="1">
        <v>9.19844939825E11</v>
      </c>
      <c r="C3494" s="15" t="str">
        <f t="shared" si="1"/>
        <v>bharathipaddy@gmail.com919844939825</v>
      </c>
      <c r="D3494" s="17" t="s">
        <v>10763</v>
      </c>
      <c r="E3494" s="18" t="s">
        <v>151</v>
      </c>
    </row>
    <row r="3495">
      <c r="A3495" s="1" t="s">
        <v>4743</v>
      </c>
      <c r="B3495" s="1">
        <v>9.17893266797E11</v>
      </c>
      <c r="C3495" s="15" t="str">
        <f t="shared" si="1"/>
        <v>malleshkattera420@gmail.com917893266797</v>
      </c>
      <c r="D3495" s="17" t="s">
        <v>10764</v>
      </c>
      <c r="E3495" s="18" t="s">
        <v>68</v>
      </c>
    </row>
    <row r="3496">
      <c r="A3496" s="1" t="s">
        <v>530</v>
      </c>
      <c r="B3496" s="1">
        <v>9.19828882444E11</v>
      </c>
      <c r="C3496" s="15" t="str">
        <f t="shared" si="1"/>
        <v>ruchiemiddha@gmail.com919828882444</v>
      </c>
      <c r="D3496" s="17" t="s">
        <v>10765</v>
      </c>
      <c r="E3496" s="18" t="s">
        <v>68</v>
      </c>
    </row>
    <row r="3497">
      <c r="A3497" s="1" t="s">
        <v>4850</v>
      </c>
      <c r="B3497" s="1">
        <v>9.17277976511E11</v>
      </c>
      <c r="C3497" s="15" t="str">
        <f t="shared" si="1"/>
        <v>mdarmaan13@gmail.com917277976511</v>
      </c>
      <c r="D3497" s="17" t="s">
        <v>10766</v>
      </c>
      <c r="E3497" s="18" t="s">
        <v>68</v>
      </c>
    </row>
    <row r="3498">
      <c r="A3498" s="1" t="s">
        <v>10767</v>
      </c>
      <c r="B3498" s="1">
        <v>9.18590530973E11</v>
      </c>
      <c r="C3498" s="15" t="str">
        <f t="shared" si="1"/>
        <v>bindhusabu2020@gmail.com918590530973</v>
      </c>
      <c r="D3498" s="17" t="s">
        <v>10768</v>
      </c>
      <c r="E3498" s="18" t="s">
        <v>68</v>
      </c>
    </row>
    <row r="3499">
      <c r="A3499" s="1" t="s">
        <v>5578</v>
      </c>
      <c r="B3499" s="1">
        <v>9.17979931656E11</v>
      </c>
      <c r="C3499" s="15" t="str">
        <f t="shared" si="1"/>
        <v>snehasmriti44@gmail.com917979931656</v>
      </c>
      <c r="D3499" s="17" t="s">
        <v>10769</v>
      </c>
      <c r="E3499" s="18" t="s">
        <v>68</v>
      </c>
    </row>
    <row r="3500">
      <c r="A3500" s="1" t="s">
        <v>10770</v>
      </c>
      <c r="B3500" s="1">
        <v>9.19899847114E11</v>
      </c>
      <c r="C3500" s="15" t="str">
        <f t="shared" si="1"/>
        <v>komal.rawat1112@gmail.com919899847114</v>
      </c>
      <c r="D3500" s="17" t="s">
        <v>10771</v>
      </c>
      <c r="E3500" s="18" t="s">
        <v>68</v>
      </c>
    </row>
    <row r="3501">
      <c r="A3501" s="1" t="s">
        <v>5579</v>
      </c>
      <c r="B3501" s="1">
        <v>9.18971763523E11</v>
      </c>
      <c r="C3501" s="15" t="str">
        <f t="shared" si="1"/>
        <v>vanishree709@gmail.com918971763523</v>
      </c>
      <c r="D3501" s="17" t="s">
        <v>10772</v>
      </c>
      <c r="E3501" s="18" t="s">
        <v>68</v>
      </c>
    </row>
    <row r="3502">
      <c r="A3502" s="1" t="s">
        <v>3835</v>
      </c>
      <c r="B3502" s="1">
        <v>9.18827350954E11</v>
      </c>
      <c r="C3502" s="15" t="str">
        <f t="shared" si="1"/>
        <v>gaurangkhode04@gmail.com918827350954</v>
      </c>
      <c r="D3502" s="17" t="s">
        <v>10773</v>
      </c>
      <c r="E3502" s="18" t="s">
        <v>68</v>
      </c>
    </row>
    <row r="3503">
      <c r="A3503" s="1" t="s">
        <v>4213</v>
      </c>
      <c r="B3503" s="1">
        <v>9.18080221993E11</v>
      </c>
      <c r="C3503" s="15" t="str">
        <f t="shared" si="1"/>
        <v>gichu92@gmail.com918080221993</v>
      </c>
      <c r="D3503" s="17" t="s">
        <v>10774</v>
      </c>
      <c r="E3503" s="18" t="s">
        <v>68</v>
      </c>
    </row>
    <row r="3504">
      <c r="A3504" s="1" t="s">
        <v>4498</v>
      </c>
      <c r="B3504" s="1">
        <v>9.19952412626E11</v>
      </c>
      <c r="C3504" s="15" t="str">
        <f t="shared" si="1"/>
        <v>aksamicheal@gmail.com919952412626</v>
      </c>
      <c r="D3504" s="17" t="s">
        <v>10775</v>
      </c>
      <c r="E3504" s="18" t="s">
        <v>74</v>
      </c>
    </row>
    <row r="3505">
      <c r="A3505" s="1" t="s">
        <v>5928</v>
      </c>
      <c r="B3505" s="1">
        <v>9.19137073565E11</v>
      </c>
      <c r="C3505" s="15" t="str">
        <f t="shared" si="1"/>
        <v>manoharchohan@ymail.com919137073565</v>
      </c>
      <c r="D3505" s="17" t="s">
        <v>10776</v>
      </c>
      <c r="E3505" s="18" t="s">
        <v>68</v>
      </c>
    </row>
    <row r="3506">
      <c r="A3506" s="1" t="s">
        <v>5927</v>
      </c>
      <c r="B3506" s="1">
        <v>9.19049249508E11</v>
      </c>
      <c r="C3506" s="15" t="str">
        <f t="shared" si="1"/>
        <v>arpitalade25@gmail.com919049249508</v>
      </c>
      <c r="D3506" s="17" t="s">
        <v>10777</v>
      </c>
      <c r="E3506" s="18" t="s">
        <v>68</v>
      </c>
    </row>
    <row r="3507">
      <c r="A3507" s="1" t="s">
        <v>5928</v>
      </c>
      <c r="B3507" s="1">
        <v>9.19137073565E11</v>
      </c>
      <c r="C3507" s="15" t="str">
        <f t="shared" si="1"/>
        <v>manoharchohan@ymail.com919137073565</v>
      </c>
      <c r="D3507" s="17" t="s">
        <v>10778</v>
      </c>
      <c r="E3507" s="18" t="s">
        <v>68</v>
      </c>
    </row>
    <row r="3508">
      <c r="A3508" s="1" t="s">
        <v>4499</v>
      </c>
      <c r="B3508" s="1">
        <v>9.19099963966E11</v>
      </c>
      <c r="C3508" s="15" t="str">
        <f t="shared" si="1"/>
        <v>darshitashah1920@gmail.com919099963966</v>
      </c>
      <c r="D3508" s="17" t="s">
        <v>10779</v>
      </c>
      <c r="E3508" s="18" t="s">
        <v>68</v>
      </c>
    </row>
    <row r="3509">
      <c r="A3509" s="1" t="s">
        <v>4499</v>
      </c>
      <c r="B3509" s="1">
        <v>9.19099963966E11</v>
      </c>
      <c r="C3509" s="15" t="str">
        <f t="shared" si="1"/>
        <v>darshitashah1920@gmail.com919099963966</v>
      </c>
      <c r="D3509" s="17" t="s">
        <v>10780</v>
      </c>
      <c r="E3509" s="18" t="s">
        <v>68</v>
      </c>
    </row>
    <row r="3510">
      <c r="A3510" s="1" t="s">
        <v>4214</v>
      </c>
      <c r="B3510" s="1">
        <v>9.19989395281E11</v>
      </c>
      <c r="C3510" s="15" t="str">
        <f t="shared" si="1"/>
        <v>sonalini.rai@gmail.com919989395281</v>
      </c>
      <c r="D3510" s="17" t="s">
        <v>10781</v>
      </c>
      <c r="E3510" s="18" t="s">
        <v>68</v>
      </c>
    </row>
    <row r="3511">
      <c r="A3511" s="1" t="s">
        <v>4215</v>
      </c>
      <c r="B3511" s="1">
        <v>9.17814060491E11</v>
      </c>
      <c r="C3511" s="15" t="str">
        <f t="shared" si="1"/>
        <v>diyab929@gmail.com917814060491</v>
      </c>
      <c r="D3511" s="17" t="s">
        <v>10782</v>
      </c>
      <c r="E3511" s="18" t="s">
        <v>68</v>
      </c>
    </row>
    <row r="3512">
      <c r="A3512" s="1" t="s">
        <v>5580</v>
      </c>
      <c r="B3512" s="1">
        <v>9.19673631493E11</v>
      </c>
      <c r="C3512" s="15" t="str">
        <f t="shared" si="1"/>
        <v>kateteerthraj14@gmail.com919673631493</v>
      </c>
      <c r="D3512" s="17" t="s">
        <v>10783</v>
      </c>
      <c r="E3512" s="18" t="s">
        <v>68</v>
      </c>
    </row>
    <row r="3513">
      <c r="A3513" s="1" t="s">
        <v>5580</v>
      </c>
      <c r="B3513" s="1">
        <v>9.19673631493E11</v>
      </c>
      <c r="C3513" s="15" t="str">
        <f t="shared" si="1"/>
        <v>kateteerthraj14@gmail.com919673631493</v>
      </c>
      <c r="D3513" s="17" t="s">
        <v>10784</v>
      </c>
      <c r="E3513" s="18" t="s">
        <v>68</v>
      </c>
    </row>
    <row r="3514">
      <c r="A3514" s="1" t="s">
        <v>10785</v>
      </c>
      <c r="B3514" s="1">
        <v>9.19981143457E11</v>
      </c>
      <c r="C3514" s="15" t="str">
        <f t="shared" si="1"/>
        <v>akshaychoubey457@gmail.com919981143457</v>
      </c>
      <c r="D3514" s="17" t="s">
        <v>10786</v>
      </c>
      <c r="E3514" s="18" t="s">
        <v>74</v>
      </c>
    </row>
    <row r="3515">
      <c r="A3515" s="1" t="s">
        <v>10787</v>
      </c>
      <c r="B3515" s="1">
        <v>9.18295705605E11</v>
      </c>
      <c r="C3515" s="15" t="str">
        <f t="shared" si="1"/>
        <v>mohitpannu20@gmail.com918295705605</v>
      </c>
      <c r="D3515" s="17" t="s">
        <v>10788</v>
      </c>
      <c r="E3515" s="18" t="s">
        <v>74</v>
      </c>
    </row>
    <row r="3516">
      <c r="A3516" s="1" t="s">
        <v>10787</v>
      </c>
      <c r="B3516" s="1">
        <v>9.18295705605E11</v>
      </c>
      <c r="C3516" s="15" t="str">
        <f t="shared" si="1"/>
        <v>mohitpannu20@gmail.com918295705605</v>
      </c>
      <c r="D3516" s="17" t="s">
        <v>10789</v>
      </c>
      <c r="E3516" s="18" t="s">
        <v>74</v>
      </c>
    </row>
    <row r="3517">
      <c r="A3517" s="1" t="s">
        <v>10787</v>
      </c>
      <c r="B3517" s="1">
        <v>9.18295705605E11</v>
      </c>
      <c r="C3517" s="15" t="str">
        <f t="shared" si="1"/>
        <v>mohitpannu20@gmail.com918295705605</v>
      </c>
      <c r="D3517" s="17" t="s">
        <v>10790</v>
      </c>
      <c r="E3517" s="18" t="s">
        <v>74</v>
      </c>
    </row>
    <row r="3518">
      <c r="A3518" s="1" t="s">
        <v>10685</v>
      </c>
      <c r="B3518" s="1">
        <v>9.17087362779E11</v>
      </c>
      <c r="C3518" s="15" t="str">
        <f t="shared" si="1"/>
        <v>yuvrajsinghmidha@gmail.com917087362779</v>
      </c>
      <c r="D3518" s="17" t="s">
        <v>10791</v>
      </c>
      <c r="E3518" s="18" t="s">
        <v>74</v>
      </c>
    </row>
    <row r="3519">
      <c r="A3519" s="1" t="s">
        <v>10685</v>
      </c>
      <c r="B3519" s="1">
        <v>9.17087362779E11</v>
      </c>
      <c r="C3519" s="15" t="str">
        <f t="shared" si="1"/>
        <v>yuvrajsinghmidha@gmail.com917087362779</v>
      </c>
      <c r="D3519" s="17" t="s">
        <v>10792</v>
      </c>
      <c r="E3519" s="18" t="s">
        <v>74</v>
      </c>
    </row>
    <row r="3520">
      <c r="A3520" s="1" t="s">
        <v>3313</v>
      </c>
      <c r="B3520" s="1">
        <v>9.19888470272E11</v>
      </c>
      <c r="C3520" s="15" t="str">
        <f t="shared" si="1"/>
        <v>himanshusaleria@gmail.com919888470272</v>
      </c>
      <c r="D3520" s="17" t="s">
        <v>10793</v>
      </c>
      <c r="E3520" s="18" t="s">
        <v>68</v>
      </c>
    </row>
    <row r="3521">
      <c r="A3521" s="1" t="s">
        <v>10685</v>
      </c>
      <c r="B3521" s="1">
        <v>9.17087362779E11</v>
      </c>
      <c r="C3521" s="15" t="str">
        <f t="shared" si="1"/>
        <v>yuvrajsinghmidha@gmail.com917087362779</v>
      </c>
      <c r="D3521" s="17" t="s">
        <v>10794</v>
      </c>
      <c r="E3521" s="18" t="s">
        <v>74</v>
      </c>
    </row>
    <row r="3522">
      <c r="A3522" s="1" t="s">
        <v>3313</v>
      </c>
      <c r="B3522" s="1">
        <v>9.19888470272E11</v>
      </c>
      <c r="C3522" s="15" t="str">
        <f t="shared" si="1"/>
        <v>himanshusaleria@gmail.com919888470272</v>
      </c>
      <c r="D3522" s="17" t="s">
        <v>10795</v>
      </c>
      <c r="E3522" s="18" t="s">
        <v>68</v>
      </c>
    </row>
    <row r="3523">
      <c r="A3523" s="1" t="s">
        <v>10685</v>
      </c>
      <c r="B3523" s="1">
        <v>9.17087362779E11</v>
      </c>
      <c r="C3523" s="15" t="str">
        <f t="shared" si="1"/>
        <v>yuvrajsinghmidha@gmail.com917087362779</v>
      </c>
      <c r="D3523" s="17" t="s">
        <v>10796</v>
      </c>
      <c r="E3523" s="18" t="s">
        <v>74</v>
      </c>
    </row>
    <row r="3524">
      <c r="A3524" s="1" t="s">
        <v>10797</v>
      </c>
      <c r="B3524" s="1">
        <v>9.17382934323E11</v>
      </c>
      <c r="C3524" s="15" t="str">
        <f t="shared" si="1"/>
        <v>parasriram@gmail.com917382934323</v>
      </c>
      <c r="D3524" s="17" t="s">
        <v>10798</v>
      </c>
      <c r="E3524" s="18" t="s">
        <v>151</v>
      </c>
    </row>
    <row r="3525">
      <c r="A3525" s="1" t="s">
        <v>2458</v>
      </c>
      <c r="B3525" s="1">
        <v>9.19416173796E11</v>
      </c>
      <c r="C3525" s="15" t="str">
        <f t="shared" si="1"/>
        <v>mahirgupta98@gmail.com919416173796</v>
      </c>
      <c r="D3525" s="17" t="s">
        <v>10799</v>
      </c>
      <c r="E3525" s="18" t="s">
        <v>68</v>
      </c>
    </row>
    <row r="3526">
      <c r="A3526" s="1" t="s">
        <v>10685</v>
      </c>
      <c r="B3526" s="1">
        <v>9.17087362779E11</v>
      </c>
      <c r="C3526" s="15" t="str">
        <f t="shared" si="1"/>
        <v>yuvrajsinghmidha@gmail.com917087362779</v>
      </c>
      <c r="D3526" s="17" t="s">
        <v>10800</v>
      </c>
      <c r="E3526" s="18" t="s">
        <v>74</v>
      </c>
    </row>
    <row r="3527">
      <c r="A3527" s="1" t="s">
        <v>10685</v>
      </c>
      <c r="B3527" s="1">
        <v>9.17087362779E11</v>
      </c>
      <c r="C3527" s="15" t="str">
        <f t="shared" si="1"/>
        <v>yuvrajsinghmidha@gmail.com917087362779</v>
      </c>
      <c r="D3527" s="17" t="s">
        <v>10801</v>
      </c>
      <c r="E3527" s="18" t="s">
        <v>74</v>
      </c>
    </row>
    <row r="3528">
      <c r="A3528" s="1" t="s">
        <v>10685</v>
      </c>
      <c r="B3528" s="1">
        <v>9.17087362779E11</v>
      </c>
      <c r="C3528" s="15" t="str">
        <f t="shared" si="1"/>
        <v>yuvrajsinghmidha@gmail.com917087362779</v>
      </c>
      <c r="D3528" s="17" t="s">
        <v>10802</v>
      </c>
      <c r="E3528" s="18" t="s">
        <v>74</v>
      </c>
    </row>
    <row r="3529">
      <c r="A3529" s="1" t="s">
        <v>2458</v>
      </c>
      <c r="B3529" s="1">
        <v>9.19416173796E11</v>
      </c>
      <c r="C3529" s="15" t="str">
        <f t="shared" si="1"/>
        <v>mahirgupta98@gmail.com919416173796</v>
      </c>
      <c r="D3529" s="17" t="s">
        <v>10803</v>
      </c>
      <c r="E3529" s="18" t="s">
        <v>68</v>
      </c>
    </row>
    <row r="3530">
      <c r="A3530" s="1" t="s">
        <v>4216</v>
      </c>
      <c r="B3530" s="1">
        <v>9.17208157797E11</v>
      </c>
      <c r="C3530" s="15" t="str">
        <f t="shared" si="1"/>
        <v>mihir@likeminds.community917208157797</v>
      </c>
      <c r="D3530" s="17" t="s">
        <v>10804</v>
      </c>
      <c r="E3530" s="18" t="s">
        <v>68</v>
      </c>
    </row>
    <row r="3531">
      <c r="A3531" s="1" t="s">
        <v>10685</v>
      </c>
      <c r="B3531" s="1">
        <v>9.17087362779E11</v>
      </c>
      <c r="C3531" s="15" t="str">
        <f t="shared" si="1"/>
        <v>yuvrajsinghmidha@gmail.com917087362779</v>
      </c>
      <c r="D3531" s="17" t="s">
        <v>10805</v>
      </c>
      <c r="E3531" s="18" t="s">
        <v>74</v>
      </c>
    </row>
    <row r="3532">
      <c r="A3532" s="1" t="s">
        <v>3937</v>
      </c>
      <c r="B3532" s="1">
        <v>9.19741115915E11</v>
      </c>
      <c r="C3532" s="15" t="str">
        <f t="shared" si="1"/>
        <v>hskiran20@yahoo.com919741115915</v>
      </c>
      <c r="D3532" s="17" t="s">
        <v>10806</v>
      </c>
      <c r="E3532" s="18" t="s">
        <v>97</v>
      </c>
    </row>
    <row r="3533">
      <c r="A3533" s="1" t="s">
        <v>2458</v>
      </c>
      <c r="B3533" s="1">
        <v>9.19416173796E11</v>
      </c>
      <c r="C3533" s="15" t="str">
        <f t="shared" si="1"/>
        <v>mahirgupta98@gmail.com919416173796</v>
      </c>
      <c r="D3533" s="17" t="s">
        <v>10807</v>
      </c>
      <c r="E3533" s="18" t="s">
        <v>68</v>
      </c>
    </row>
    <row r="3534">
      <c r="A3534" s="1" t="s">
        <v>3494</v>
      </c>
      <c r="B3534" s="1">
        <v>9.19667948057E11</v>
      </c>
      <c r="C3534" s="15" t="str">
        <f t="shared" si="1"/>
        <v>shashankgupta598@gmail.com919667948057</v>
      </c>
      <c r="D3534" s="17" t="s">
        <v>10808</v>
      </c>
      <c r="E3534" s="18" t="s">
        <v>68</v>
      </c>
    </row>
    <row r="3535">
      <c r="A3535" s="1" t="s">
        <v>3151</v>
      </c>
      <c r="B3535" s="1">
        <v>9.19540823923E11</v>
      </c>
      <c r="C3535" s="15" t="str">
        <f t="shared" si="1"/>
        <v>abhinavtuteja1997@gmail.com919540823923</v>
      </c>
      <c r="D3535" s="17" t="s">
        <v>10809</v>
      </c>
      <c r="E3535" s="18" t="s">
        <v>68</v>
      </c>
    </row>
    <row r="3536">
      <c r="A3536" s="1" t="s">
        <v>3151</v>
      </c>
      <c r="B3536" s="1">
        <v>9.19540823923E11</v>
      </c>
      <c r="C3536" s="15" t="str">
        <f t="shared" si="1"/>
        <v>abhinavtuteja1997@gmail.com919540823923</v>
      </c>
      <c r="D3536" s="17" t="s">
        <v>10810</v>
      </c>
      <c r="E3536" s="18" t="s">
        <v>68</v>
      </c>
    </row>
    <row r="3537">
      <c r="A3537" s="1" t="s">
        <v>10811</v>
      </c>
      <c r="B3537" s="1">
        <v>9.19434540484E11</v>
      </c>
      <c r="C3537" s="15" t="str">
        <f t="shared" si="1"/>
        <v>babinmanihara@gmail.com919434540484</v>
      </c>
      <c r="D3537" s="17" t="s">
        <v>10812</v>
      </c>
      <c r="E3537" s="18" t="s">
        <v>74</v>
      </c>
    </row>
    <row r="3538">
      <c r="A3538" s="1" t="s">
        <v>10813</v>
      </c>
      <c r="B3538" s="1">
        <v>9.18826977359E11</v>
      </c>
      <c r="C3538" s="15" t="str">
        <f t="shared" si="1"/>
        <v>akanshaayadav@gmail.com918826977359</v>
      </c>
      <c r="D3538" s="17" t="s">
        <v>10814</v>
      </c>
      <c r="E3538" s="18" t="s">
        <v>68</v>
      </c>
    </row>
    <row r="3539">
      <c r="A3539" s="1" t="s">
        <v>10811</v>
      </c>
      <c r="B3539" s="1">
        <v>9.19434540484E11</v>
      </c>
      <c r="C3539" s="15" t="str">
        <f t="shared" si="1"/>
        <v>babinmanihara@gmail.com919434540484</v>
      </c>
      <c r="D3539" s="17" t="s">
        <v>10815</v>
      </c>
      <c r="E3539" s="18" t="s">
        <v>97</v>
      </c>
    </row>
    <row r="3540">
      <c r="A3540" s="1" t="s">
        <v>10685</v>
      </c>
      <c r="B3540" s="1">
        <v>9.17087362779E11</v>
      </c>
      <c r="C3540" s="15" t="str">
        <f t="shared" si="1"/>
        <v>yuvrajsinghmidha@gmail.com917087362779</v>
      </c>
      <c r="D3540" s="17" t="s">
        <v>10816</v>
      </c>
      <c r="E3540" s="18" t="s">
        <v>74</v>
      </c>
    </row>
    <row r="3541">
      <c r="A3541" s="1" t="s">
        <v>5929</v>
      </c>
      <c r="B3541" s="1">
        <v>9.19414328532E11</v>
      </c>
      <c r="C3541" s="15" t="str">
        <f t="shared" si="1"/>
        <v>adhm2524@gmail.com919414328532</v>
      </c>
      <c r="D3541" s="17" t="s">
        <v>10817</v>
      </c>
      <c r="E3541" s="18" t="s">
        <v>151</v>
      </c>
    </row>
    <row r="3542">
      <c r="A3542" s="1" t="s">
        <v>2693</v>
      </c>
      <c r="B3542" s="1">
        <v>9.19632832897E11</v>
      </c>
      <c r="C3542" s="15" t="str">
        <f t="shared" si="1"/>
        <v>virtuousvp@gmail.com919632832897</v>
      </c>
      <c r="D3542" s="17" t="s">
        <v>10818</v>
      </c>
      <c r="E3542" s="18" t="s">
        <v>68</v>
      </c>
    </row>
    <row r="3543">
      <c r="A3543" s="1" t="s">
        <v>4140</v>
      </c>
      <c r="B3543" s="1">
        <v>9.19416093035E11</v>
      </c>
      <c r="C3543" s="15" t="str">
        <f t="shared" si="1"/>
        <v>hardiksuneja@gmail.com919416093035</v>
      </c>
      <c r="D3543" s="17" t="s">
        <v>10819</v>
      </c>
      <c r="E3543" s="18" t="s">
        <v>68</v>
      </c>
    </row>
    <row r="3544">
      <c r="A3544" s="1" t="s">
        <v>3495</v>
      </c>
      <c r="B3544" s="1">
        <v>9.19818435102E11</v>
      </c>
      <c r="C3544" s="15" t="str">
        <f t="shared" si="1"/>
        <v>satnam8698@gmail.com919818435102</v>
      </c>
      <c r="D3544" s="17" t="s">
        <v>10820</v>
      </c>
      <c r="E3544" s="18" t="s">
        <v>68</v>
      </c>
    </row>
    <row r="3545">
      <c r="A3545" s="1" t="s">
        <v>5929</v>
      </c>
      <c r="B3545" s="1">
        <v>9.19414328532E11</v>
      </c>
      <c r="C3545" s="15" t="str">
        <f t="shared" si="1"/>
        <v>adhm2524@gmail.com919414328532</v>
      </c>
      <c r="D3545" s="17" t="s">
        <v>10821</v>
      </c>
      <c r="E3545" s="18" t="s">
        <v>68</v>
      </c>
    </row>
    <row r="3546">
      <c r="A3546" s="1" t="s">
        <v>5929</v>
      </c>
      <c r="B3546" s="1">
        <v>9.19414328532E11</v>
      </c>
      <c r="C3546" s="15" t="str">
        <f t="shared" si="1"/>
        <v>adhm2524@gmail.com919414328532</v>
      </c>
      <c r="D3546" s="17" t="s">
        <v>10822</v>
      </c>
      <c r="E3546" s="18" t="s">
        <v>68</v>
      </c>
    </row>
    <row r="3547">
      <c r="A3547" s="1" t="s">
        <v>5929</v>
      </c>
      <c r="B3547" s="1">
        <v>9.19414328532E11</v>
      </c>
      <c r="C3547" s="15" t="str">
        <f t="shared" si="1"/>
        <v>adhm2524@gmail.com919414328532</v>
      </c>
      <c r="D3547" s="17" t="s">
        <v>10823</v>
      </c>
      <c r="E3547" s="18" t="s">
        <v>74</v>
      </c>
    </row>
    <row r="3548">
      <c r="A3548" s="1" t="s">
        <v>3872</v>
      </c>
      <c r="B3548" s="1">
        <v>9.17007956134E11</v>
      </c>
      <c r="C3548" s="15" t="str">
        <f t="shared" si="1"/>
        <v>narula.dhruv05@gmail.com917007956134</v>
      </c>
      <c r="D3548" s="17" t="s">
        <v>10824</v>
      </c>
      <c r="E3548" s="18" t="s">
        <v>68</v>
      </c>
    </row>
    <row r="3549">
      <c r="A3549" s="1" t="s">
        <v>10825</v>
      </c>
      <c r="B3549" s="1">
        <v>9.17039818469E11</v>
      </c>
      <c r="C3549" s="15" t="str">
        <f t="shared" si="1"/>
        <v>omkagole20@gmail.com917039818469</v>
      </c>
      <c r="D3549" s="17" t="s">
        <v>10826</v>
      </c>
      <c r="E3549" s="18" t="s">
        <v>151</v>
      </c>
    </row>
    <row r="3550">
      <c r="A3550" s="1" t="s">
        <v>10685</v>
      </c>
      <c r="B3550" s="1">
        <v>9.17087362779E11</v>
      </c>
      <c r="C3550" s="15" t="str">
        <f t="shared" si="1"/>
        <v>yuvrajsinghmidha@gmail.com917087362779</v>
      </c>
      <c r="D3550" s="17" t="s">
        <v>10827</v>
      </c>
      <c r="E3550" s="18" t="s">
        <v>74</v>
      </c>
    </row>
    <row r="3551">
      <c r="A3551" s="1" t="s">
        <v>3313</v>
      </c>
      <c r="B3551" s="1">
        <v>9.19888470272E11</v>
      </c>
      <c r="C3551" s="15" t="str">
        <f t="shared" si="1"/>
        <v>himanshusaleria@gmail.com919888470272</v>
      </c>
      <c r="D3551" s="17" t="s">
        <v>10828</v>
      </c>
      <c r="E3551" s="18" t="s">
        <v>68</v>
      </c>
    </row>
    <row r="3552">
      <c r="A3552" s="1" t="s">
        <v>10685</v>
      </c>
      <c r="B3552" s="1">
        <v>9.17087362779E11</v>
      </c>
      <c r="C3552" s="15" t="str">
        <f t="shared" si="1"/>
        <v>yuvrajsinghmidha@gmail.com917087362779</v>
      </c>
      <c r="D3552" s="17" t="s">
        <v>10829</v>
      </c>
      <c r="E3552" s="18" t="s">
        <v>74</v>
      </c>
    </row>
    <row r="3553">
      <c r="A3553" s="1" t="s">
        <v>10685</v>
      </c>
      <c r="B3553" s="1">
        <v>9.17087362779E11</v>
      </c>
      <c r="C3553" s="15" t="str">
        <f t="shared" si="1"/>
        <v>yuvrajsinghmidha@gmail.com917087362779</v>
      </c>
      <c r="D3553" s="17" t="s">
        <v>10830</v>
      </c>
      <c r="E3553" s="18" t="s">
        <v>74</v>
      </c>
    </row>
    <row r="3554">
      <c r="A3554" s="1" t="s">
        <v>3153</v>
      </c>
      <c r="B3554" s="1">
        <v>9.19182259556E11</v>
      </c>
      <c r="C3554" s="15" t="str">
        <f t="shared" si="1"/>
        <v>krishnakantsinha5@gmail.com919182259556</v>
      </c>
      <c r="D3554" s="17" t="s">
        <v>10831</v>
      </c>
      <c r="E3554" s="18" t="s">
        <v>68</v>
      </c>
    </row>
    <row r="3555">
      <c r="A3555" s="1" t="s">
        <v>10685</v>
      </c>
      <c r="B3555" s="1">
        <v>9.17087362779E11</v>
      </c>
      <c r="C3555" s="15" t="str">
        <f t="shared" si="1"/>
        <v>yuvrajsinghmidha@gmail.com917087362779</v>
      </c>
      <c r="D3555" s="17" t="s">
        <v>10832</v>
      </c>
      <c r="E3555" s="18" t="s">
        <v>74</v>
      </c>
    </row>
    <row r="3556">
      <c r="A3556" s="1" t="s">
        <v>6567</v>
      </c>
      <c r="B3556" s="1">
        <v>9.18769526938E11</v>
      </c>
      <c r="C3556" s="15" t="str">
        <f t="shared" si="1"/>
        <v>poojachaudhry21@gmail.com918769526938</v>
      </c>
      <c r="D3556" s="17" t="s">
        <v>10833</v>
      </c>
      <c r="E3556" s="18" t="s">
        <v>68</v>
      </c>
    </row>
    <row r="3557">
      <c r="A3557" s="1" t="s">
        <v>3957</v>
      </c>
      <c r="B3557" s="1">
        <v>9.18148413883E11</v>
      </c>
      <c r="C3557" s="15" t="str">
        <f t="shared" si="1"/>
        <v>raghavendira.sankaran@gmail.com918148413883</v>
      </c>
      <c r="D3557" s="17" t="s">
        <v>10834</v>
      </c>
      <c r="E3557" s="18" t="s">
        <v>74</v>
      </c>
    </row>
    <row r="3558">
      <c r="A3558" s="1" t="s">
        <v>3957</v>
      </c>
      <c r="B3558" s="1">
        <v>9.18148413883E11</v>
      </c>
      <c r="C3558" s="15" t="str">
        <f t="shared" si="1"/>
        <v>raghavendira.sankaran@gmail.com918148413883</v>
      </c>
      <c r="D3558" s="17" t="s">
        <v>10835</v>
      </c>
      <c r="E3558" s="18" t="s">
        <v>68</v>
      </c>
    </row>
    <row r="3559">
      <c r="A3559" s="1" t="s">
        <v>3720</v>
      </c>
      <c r="B3559" s="1">
        <v>9.19892835224E11</v>
      </c>
      <c r="C3559" s="15" t="str">
        <f t="shared" si="1"/>
        <v>ritwikghosh3112@gmail.com919892835224</v>
      </c>
      <c r="D3559" s="17" t="s">
        <v>10836</v>
      </c>
      <c r="E3559" s="18" t="s">
        <v>68</v>
      </c>
    </row>
    <row r="3560">
      <c r="A3560" s="1" t="s">
        <v>4217</v>
      </c>
      <c r="B3560" s="1">
        <v>9.18801523296E11</v>
      </c>
      <c r="C3560" s="15" t="str">
        <f t="shared" si="1"/>
        <v>vishaljayanth931@gmail.com918801523296</v>
      </c>
      <c r="D3560" s="17" t="s">
        <v>10837</v>
      </c>
      <c r="E3560" s="18" t="s">
        <v>68</v>
      </c>
    </row>
    <row r="3561">
      <c r="A3561" s="1" t="s">
        <v>4500</v>
      </c>
      <c r="B3561" s="1">
        <v>9.18317334139E11</v>
      </c>
      <c r="C3561" s="15" t="str">
        <f t="shared" si="1"/>
        <v>deekshithasims@gmail.com918317334139</v>
      </c>
      <c r="D3561" s="17" t="s">
        <v>10838</v>
      </c>
      <c r="E3561" s="18" t="s">
        <v>68</v>
      </c>
    </row>
    <row r="3562">
      <c r="A3562" s="1" t="s">
        <v>3836</v>
      </c>
      <c r="B3562" s="1">
        <v>9.17504133997E11</v>
      </c>
      <c r="C3562" s="15" t="str">
        <f t="shared" si="1"/>
        <v>vbkrishna228@gmail.com917504133997</v>
      </c>
      <c r="D3562" s="17" t="s">
        <v>10839</v>
      </c>
      <c r="E3562" s="18" t="s">
        <v>68</v>
      </c>
    </row>
    <row r="3563">
      <c r="A3563" s="1" t="s">
        <v>3836</v>
      </c>
      <c r="B3563" s="1">
        <v>9.17504133997E11</v>
      </c>
      <c r="C3563" s="15" t="str">
        <f t="shared" si="1"/>
        <v>vbkrishna228@gmail.com917504133997</v>
      </c>
      <c r="D3563" s="17" t="s">
        <v>10840</v>
      </c>
      <c r="E3563" s="18" t="s">
        <v>68</v>
      </c>
    </row>
    <row r="3564">
      <c r="A3564" s="1" t="s">
        <v>3836</v>
      </c>
      <c r="B3564" s="1">
        <v>9.17504133997E11</v>
      </c>
      <c r="C3564" s="15" t="str">
        <f t="shared" si="1"/>
        <v>vbkrishna228@gmail.com917504133997</v>
      </c>
      <c r="D3564" s="17" t="s">
        <v>10841</v>
      </c>
      <c r="E3564" s="18" t="s">
        <v>68</v>
      </c>
    </row>
    <row r="3565">
      <c r="A3565" s="1" t="s">
        <v>5833</v>
      </c>
      <c r="B3565" s="1">
        <v>9.19871014612E11</v>
      </c>
      <c r="C3565" s="15" t="str">
        <f t="shared" si="1"/>
        <v>joggaasingh@gmail.com919871014612</v>
      </c>
      <c r="D3565" s="17" t="s">
        <v>10842</v>
      </c>
      <c r="E3565" s="18" t="s">
        <v>68</v>
      </c>
    </row>
    <row r="3566">
      <c r="A3566" s="1" t="s">
        <v>3271</v>
      </c>
      <c r="B3566" s="1">
        <v>9.19740594324E11</v>
      </c>
      <c r="C3566" s="15" t="str">
        <f t="shared" si="1"/>
        <v>tanuj101199@gmail.com919740594324</v>
      </c>
      <c r="D3566" s="17" t="s">
        <v>10843</v>
      </c>
      <c r="E3566" s="18" t="s">
        <v>68</v>
      </c>
    </row>
    <row r="3567">
      <c r="A3567" s="1" t="s">
        <v>3271</v>
      </c>
      <c r="B3567" s="1">
        <v>9.19740594324E11</v>
      </c>
      <c r="C3567" s="15" t="str">
        <f t="shared" si="1"/>
        <v>tanuj101199@gmail.com919740594324</v>
      </c>
      <c r="D3567" s="17" t="s">
        <v>10844</v>
      </c>
      <c r="E3567" s="18" t="s">
        <v>68</v>
      </c>
    </row>
    <row r="3568">
      <c r="A3568" s="1" t="s">
        <v>5581</v>
      </c>
      <c r="B3568" s="1">
        <v>9.1811887471E11</v>
      </c>
      <c r="C3568" s="15" t="str">
        <f t="shared" si="1"/>
        <v>razzsatish000@gmail.com918118874710</v>
      </c>
      <c r="D3568" s="17" t="s">
        <v>10845</v>
      </c>
      <c r="E3568" s="18" t="s">
        <v>68</v>
      </c>
    </row>
    <row r="3569">
      <c r="A3569" s="1" t="s">
        <v>3938</v>
      </c>
      <c r="B3569" s="1">
        <v>9.19740196916E11</v>
      </c>
      <c r="C3569" s="15" t="str">
        <f t="shared" si="1"/>
        <v>cachethan7@gmail.com919740196916</v>
      </c>
      <c r="D3569" s="17" t="s">
        <v>10846</v>
      </c>
      <c r="E3569" s="18" t="s">
        <v>151</v>
      </c>
    </row>
    <row r="3570">
      <c r="A3570" s="1" t="s">
        <v>3938</v>
      </c>
      <c r="B3570" s="1">
        <v>9.19740196916E11</v>
      </c>
      <c r="C3570" s="15" t="str">
        <f t="shared" si="1"/>
        <v>cachethan7@gmail.com919740196916</v>
      </c>
      <c r="D3570" s="17" t="s">
        <v>10847</v>
      </c>
      <c r="E3570" s="18" t="s">
        <v>68</v>
      </c>
    </row>
    <row r="3571">
      <c r="A3571" s="1" t="s">
        <v>3938</v>
      </c>
      <c r="B3571" s="1">
        <v>9.19740196916E11</v>
      </c>
      <c r="C3571" s="15" t="str">
        <f t="shared" si="1"/>
        <v>cachethan7@gmail.com919740196916</v>
      </c>
      <c r="D3571" s="17" t="s">
        <v>10848</v>
      </c>
      <c r="E3571" s="18" t="s">
        <v>68</v>
      </c>
    </row>
    <row r="3572">
      <c r="A3572" s="1" t="s">
        <v>3938</v>
      </c>
      <c r="B3572" s="1">
        <v>9.19740196916E11</v>
      </c>
      <c r="C3572" s="15" t="str">
        <f t="shared" si="1"/>
        <v>cachethan7@gmail.com919740196916</v>
      </c>
      <c r="D3572" s="17" t="s">
        <v>10849</v>
      </c>
      <c r="E3572" s="18" t="s">
        <v>68</v>
      </c>
    </row>
    <row r="3573">
      <c r="A3573" s="1" t="s">
        <v>5167</v>
      </c>
      <c r="B3573" s="1">
        <v>9.17093045014E11</v>
      </c>
      <c r="C3573" s="15" t="str">
        <f t="shared" si="1"/>
        <v>sowmyagaikwad25@gmail.com917093045014</v>
      </c>
      <c r="D3573" s="17" t="s">
        <v>10850</v>
      </c>
      <c r="E3573" s="18" t="s">
        <v>68</v>
      </c>
    </row>
    <row r="3574">
      <c r="A3574" s="1" t="s">
        <v>4744</v>
      </c>
      <c r="B3574" s="1">
        <v>9.19599483841E11</v>
      </c>
      <c r="C3574" s="15" t="str">
        <f t="shared" si="1"/>
        <v>gssoni1999@gmail.com919599483841</v>
      </c>
      <c r="D3574" s="17" t="s">
        <v>10851</v>
      </c>
      <c r="E3574" s="18" t="s">
        <v>68</v>
      </c>
    </row>
    <row r="3575">
      <c r="A3575" s="1" t="s">
        <v>5288</v>
      </c>
      <c r="B3575" s="1">
        <v>9.19841025607E11</v>
      </c>
      <c r="C3575" s="15" t="str">
        <f t="shared" si="1"/>
        <v>barkha1657@gmail.com919841025607</v>
      </c>
      <c r="D3575" s="17" t="s">
        <v>10852</v>
      </c>
      <c r="E3575" s="18" t="s">
        <v>74</v>
      </c>
    </row>
    <row r="3576">
      <c r="A3576" s="1" t="s">
        <v>3152</v>
      </c>
      <c r="B3576" s="1">
        <v>9.19052925483E11</v>
      </c>
      <c r="C3576" s="15" t="str">
        <f t="shared" si="1"/>
        <v>saidheeraj1998@gmail.com919052925483</v>
      </c>
      <c r="D3576" s="17" t="s">
        <v>10853</v>
      </c>
      <c r="E3576" s="18" t="s">
        <v>68</v>
      </c>
    </row>
    <row r="3577">
      <c r="A3577" s="1" t="s">
        <v>10854</v>
      </c>
      <c r="B3577" s="1">
        <v>9.17795997953E11</v>
      </c>
      <c r="C3577" s="15" t="str">
        <f t="shared" si="1"/>
        <v>rakeshdalawai78@gmail.com917795997953</v>
      </c>
      <c r="D3577" s="17" t="s">
        <v>10855</v>
      </c>
      <c r="E3577" s="18" t="s">
        <v>74</v>
      </c>
    </row>
    <row r="3578">
      <c r="A3578" s="1" t="s">
        <v>5582</v>
      </c>
      <c r="B3578" s="1">
        <v>9.18168141859E11</v>
      </c>
      <c r="C3578" s="15" t="str">
        <f t="shared" si="1"/>
        <v>sharmavibhuti1507@gmail.com918168141859</v>
      </c>
      <c r="D3578" s="17" t="s">
        <v>10856</v>
      </c>
      <c r="E3578" s="18" t="s">
        <v>68</v>
      </c>
    </row>
    <row r="3579">
      <c r="A3579" s="1" t="s">
        <v>6476</v>
      </c>
      <c r="B3579" s="1">
        <v>9.19811316353E11</v>
      </c>
      <c r="C3579" s="15" t="str">
        <f t="shared" si="1"/>
        <v>parulmehra84@gmail.com919811316353</v>
      </c>
      <c r="D3579" s="17" t="s">
        <v>10857</v>
      </c>
      <c r="E3579" s="18" t="s">
        <v>151</v>
      </c>
    </row>
    <row r="3580">
      <c r="A3580" s="1" t="s">
        <v>5930</v>
      </c>
      <c r="B3580" s="1">
        <v>9.19822334266E11</v>
      </c>
      <c r="C3580" s="15" t="str">
        <f t="shared" si="1"/>
        <v>tejaswini.nimbalkar@gmail.com919822334266</v>
      </c>
      <c r="D3580" s="17" t="s">
        <v>10858</v>
      </c>
      <c r="E3580" s="18" t="s">
        <v>74</v>
      </c>
    </row>
    <row r="3581">
      <c r="A3581" s="1" t="s">
        <v>3721</v>
      </c>
      <c r="B3581" s="1">
        <v>9.19920356582E11</v>
      </c>
      <c r="C3581" s="15" t="str">
        <f t="shared" si="1"/>
        <v>dmit2163@gmail.com919920356582</v>
      </c>
      <c r="D3581" s="17" t="s">
        <v>10859</v>
      </c>
      <c r="E3581" s="18" t="s">
        <v>68</v>
      </c>
    </row>
    <row r="3582">
      <c r="A3582" s="1" t="s">
        <v>6476</v>
      </c>
      <c r="B3582" s="1">
        <v>9.19811316353E11</v>
      </c>
      <c r="C3582" s="15" t="str">
        <f t="shared" si="1"/>
        <v>parulmehra84@gmail.com919811316353</v>
      </c>
      <c r="D3582" s="17" t="s">
        <v>10860</v>
      </c>
      <c r="E3582" s="18" t="s">
        <v>151</v>
      </c>
    </row>
    <row r="3583">
      <c r="A3583" s="1" t="s">
        <v>10861</v>
      </c>
      <c r="B3583" s="1">
        <v>9.18125094567E11</v>
      </c>
      <c r="C3583" s="15" t="str">
        <f t="shared" si="1"/>
        <v>francis.carlsberg@gmail.com918125094567</v>
      </c>
      <c r="D3583" s="17" t="s">
        <v>10862</v>
      </c>
      <c r="E3583" s="18" t="s">
        <v>74</v>
      </c>
    </row>
    <row r="3584">
      <c r="A3584" s="1" t="s">
        <v>6476</v>
      </c>
      <c r="B3584" s="1">
        <v>9.19811316353E11</v>
      </c>
      <c r="C3584" s="15" t="str">
        <f t="shared" si="1"/>
        <v>parulmehra84@gmail.com919811316353</v>
      </c>
      <c r="D3584" s="17" t="s">
        <v>10863</v>
      </c>
      <c r="E3584" s="18" t="s">
        <v>97</v>
      </c>
    </row>
    <row r="3585">
      <c r="A3585" s="1" t="s">
        <v>6493</v>
      </c>
      <c r="B3585" s="1">
        <v>9.19898956482E11</v>
      </c>
      <c r="C3585" s="15" t="str">
        <f t="shared" si="1"/>
        <v>rishiti.rao_11@rediffmail.com919898956482</v>
      </c>
      <c r="D3585" s="17" t="s">
        <v>10864</v>
      </c>
      <c r="E3585" s="18" t="s">
        <v>74</v>
      </c>
    </row>
    <row r="3586">
      <c r="A3586" s="1" t="s">
        <v>5583</v>
      </c>
      <c r="B3586" s="1">
        <v>9.1766748865E11</v>
      </c>
      <c r="C3586" s="15" t="str">
        <f t="shared" si="1"/>
        <v>click2rohit03@gmail.com917667488650</v>
      </c>
      <c r="D3586" s="17" t="s">
        <v>10865</v>
      </c>
      <c r="E3586" s="18" t="s">
        <v>74</v>
      </c>
    </row>
    <row r="3587">
      <c r="A3587" s="1" t="s">
        <v>5289</v>
      </c>
      <c r="B3587" s="1">
        <v>9.19482136591E11</v>
      </c>
      <c r="C3587" s="15" t="str">
        <f t="shared" si="1"/>
        <v>rn3641@gmail.com919482136591</v>
      </c>
      <c r="D3587" s="17" t="s">
        <v>10866</v>
      </c>
      <c r="E3587" s="18" t="s">
        <v>68</v>
      </c>
    </row>
    <row r="3588">
      <c r="A3588" s="1" t="s">
        <v>3496</v>
      </c>
      <c r="B3588" s="1">
        <v>9.19130055145E11</v>
      </c>
      <c r="C3588" s="15" t="str">
        <f t="shared" si="1"/>
        <v>dixitarya02@gmail.com919130055145</v>
      </c>
      <c r="D3588" s="17" t="s">
        <v>10867</v>
      </c>
      <c r="E3588" s="18" t="s">
        <v>68</v>
      </c>
    </row>
    <row r="3589">
      <c r="A3589" s="1" t="s">
        <v>5931</v>
      </c>
      <c r="B3589" s="1">
        <v>9.19717924468E11</v>
      </c>
      <c r="C3589" s="15" t="str">
        <f t="shared" si="1"/>
        <v>surabhi.kapsime@gmail.com919717924468</v>
      </c>
      <c r="D3589" s="17" t="s">
        <v>10868</v>
      </c>
      <c r="E3589" s="18" t="s">
        <v>68</v>
      </c>
    </row>
    <row r="3590">
      <c r="A3590" s="1" t="s">
        <v>3153</v>
      </c>
      <c r="B3590" s="1">
        <v>9.19182259556E11</v>
      </c>
      <c r="C3590" s="15" t="str">
        <f t="shared" si="1"/>
        <v>krishnakantsinha5@gmail.com919182259556</v>
      </c>
      <c r="D3590" s="17" t="s">
        <v>10869</v>
      </c>
      <c r="E3590" s="18" t="s">
        <v>68</v>
      </c>
    </row>
    <row r="3591">
      <c r="A3591" s="1" t="s">
        <v>5583</v>
      </c>
      <c r="B3591" s="1">
        <v>9.1766748865E11</v>
      </c>
      <c r="C3591" s="15" t="str">
        <f t="shared" si="1"/>
        <v>click2rohit03@gmail.com917667488650</v>
      </c>
      <c r="D3591" s="17" t="s">
        <v>10870</v>
      </c>
      <c r="E3591" s="18" t="s">
        <v>74</v>
      </c>
    </row>
    <row r="3592">
      <c r="A3592" s="1" t="s">
        <v>6301</v>
      </c>
      <c r="B3592" s="1">
        <v>9.19939958815E11</v>
      </c>
      <c r="C3592" s="15" t="str">
        <f t="shared" si="1"/>
        <v>imrannyaz32@gmail.com919939958815</v>
      </c>
      <c r="D3592" s="17" t="s">
        <v>10871</v>
      </c>
      <c r="E3592" s="18" t="s">
        <v>68</v>
      </c>
    </row>
    <row r="3593">
      <c r="A3593" s="1" t="s">
        <v>5583</v>
      </c>
      <c r="B3593" s="1">
        <v>9.1766748865E11</v>
      </c>
      <c r="C3593" s="15" t="str">
        <f t="shared" si="1"/>
        <v>click2rohit03@gmail.com917667488650</v>
      </c>
      <c r="D3593" s="17" t="s">
        <v>10872</v>
      </c>
      <c r="E3593" s="18" t="s">
        <v>74</v>
      </c>
    </row>
    <row r="3594">
      <c r="A3594" s="1" t="s">
        <v>4745</v>
      </c>
      <c r="B3594" s="1">
        <v>9.17569842427E11</v>
      </c>
      <c r="C3594" s="15" t="str">
        <f t="shared" si="1"/>
        <v>kaminisushmitha@gmail.com917569842427</v>
      </c>
      <c r="D3594" s="17" t="s">
        <v>10873</v>
      </c>
      <c r="E3594" s="18" t="s">
        <v>68</v>
      </c>
    </row>
    <row r="3595">
      <c r="A3595" s="1" t="s">
        <v>5583</v>
      </c>
      <c r="B3595" s="1">
        <v>9.1766748865E11</v>
      </c>
      <c r="C3595" s="15" t="str">
        <f t="shared" si="1"/>
        <v>click2rohit03@gmail.com917667488650</v>
      </c>
      <c r="D3595" s="17" t="s">
        <v>10874</v>
      </c>
      <c r="E3595" s="18" t="s">
        <v>68</v>
      </c>
    </row>
    <row r="3596">
      <c r="A3596" s="1" t="s">
        <v>5585</v>
      </c>
      <c r="B3596" s="1">
        <v>9.18447771521E11</v>
      </c>
      <c r="C3596" s="15" t="str">
        <f t="shared" si="1"/>
        <v>djha2099@gmail.com918447771521</v>
      </c>
      <c r="D3596" s="17" t="s">
        <v>10875</v>
      </c>
      <c r="E3596" s="18" t="s">
        <v>151</v>
      </c>
    </row>
    <row r="3597">
      <c r="A3597" s="1" t="s">
        <v>5583</v>
      </c>
      <c r="B3597" s="1">
        <v>9.1766748865E11</v>
      </c>
      <c r="C3597" s="15" t="str">
        <f t="shared" si="1"/>
        <v>click2rohit03@gmail.com917667488650</v>
      </c>
      <c r="D3597" s="17" t="s">
        <v>10876</v>
      </c>
      <c r="E3597" s="18" t="s">
        <v>74</v>
      </c>
    </row>
    <row r="3598">
      <c r="A3598" s="1" t="s">
        <v>4745</v>
      </c>
      <c r="B3598" s="1">
        <v>9.17569842427E11</v>
      </c>
      <c r="C3598" s="15" t="str">
        <f t="shared" si="1"/>
        <v>kaminisushmitha@gmail.com917569842427</v>
      </c>
      <c r="D3598" s="17" t="s">
        <v>10877</v>
      </c>
      <c r="E3598" s="18" t="s">
        <v>68</v>
      </c>
    </row>
    <row r="3599">
      <c r="A3599" s="1" t="s">
        <v>5585</v>
      </c>
      <c r="B3599" s="1">
        <v>9.18447771521E11</v>
      </c>
      <c r="C3599" s="15" t="str">
        <f t="shared" si="1"/>
        <v>djha2099@gmail.com918447771521</v>
      </c>
      <c r="D3599" s="17" t="s">
        <v>10878</v>
      </c>
      <c r="E3599" s="18" t="s">
        <v>68</v>
      </c>
    </row>
    <row r="3600">
      <c r="A3600" s="1" t="s">
        <v>10879</v>
      </c>
      <c r="B3600" s="1">
        <v>9.19829023091E11</v>
      </c>
      <c r="C3600" s="15" t="str">
        <f t="shared" si="1"/>
        <v>abhishekbaldua23@gmail.com919829023091</v>
      </c>
      <c r="D3600" s="17" t="s">
        <v>10880</v>
      </c>
      <c r="E3600" s="18" t="s">
        <v>68</v>
      </c>
    </row>
    <row r="3601">
      <c r="A3601" s="1" t="s">
        <v>4218</v>
      </c>
      <c r="B3601" s="1">
        <v>9.19446697854E11</v>
      </c>
      <c r="C3601" s="15" t="str">
        <f t="shared" si="1"/>
        <v>jayalakshmip101@gmail.com919446697854</v>
      </c>
      <c r="D3601" s="17" t="s">
        <v>10881</v>
      </c>
      <c r="E3601" s="18" t="s">
        <v>68</v>
      </c>
    </row>
    <row r="3602">
      <c r="A3602" s="1" t="s">
        <v>5586</v>
      </c>
      <c r="B3602" s="1">
        <v>9.19012381546E11</v>
      </c>
      <c r="C3602" s="15" t="str">
        <f t="shared" si="1"/>
        <v>arpittiwari827@gmail.com919012381546</v>
      </c>
      <c r="D3602" s="17" t="s">
        <v>10882</v>
      </c>
      <c r="E3602" s="18" t="s">
        <v>68</v>
      </c>
    </row>
    <row r="3603">
      <c r="A3603" s="1" t="s">
        <v>4386</v>
      </c>
      <c r="B3603" s="1">
        <v>9.1944205424E11</v>
      </c>
      <c r="C3603" s="15" t="str">
        <f t="shared" si="1"/>
        <v>roseramaa@gmail.com919442054240</v>
      </c>
      <c r="D3603" s="17" t="s">
        <v>10883</v>
      </c>
      <c r="E3603" s="18" t="s">
        <v>74</v>
      </c>
    </row>
    <row r="3604">
      <c r="A3604" s="1" t="s">
        <v>10884</v>
      </c>
      <c r="B3604" s="1">
        <v>9.19567913866E11</v>
      </c>
      <c r="C3604" s="15" t="str">
        <f t="shared" si="1"/>
        <v>neenupriyask@gmail.com919567913866</v>
      </c>
      <c r="D3604" s="17" t="s">
        <v>10885</v>
      </c>
      <c r="E3604" s="18" t="s">
        <v>74</v>
      </c>
    </row>
    <row r="3605">
      <c r="A3605" s="1" t="s">
        <v>10884</v>
      </c>
      <c r="B3605" s="1">
        <v>9.19567913866E11</v>
      </c>
      <c r="C3605" s="15" t="str">
        <f t="shared" si="1"/>
        <v>neenupriyask@gmail.com919567913866</v>
      </c>
      <c r="D3605" s="17" t="s">
        <v>10886</v>
      </c>
      <c r="E3605" s="18" t="s">
        <v>74</v>
      </c>
    </row>
    <row r="3606">
      <c r="A3606" s="1" t="s">
        <v>10884</v>
      </c>
      <c r="B3606" s="1">
        <v>9.19567913866E11</v>
      </c>
      <c r="C3606" s="15" t="str">
        <f t="shared" si="1"/>
        <v>neenupriyask@gmail.com919567913866</v>
      </c>
      <c r="D3606" s="17" t="s">
        <v>10887</v>
      </c>
      <c r="E3606" s="18" t="s">
        <v>74</v>
      </c>
    </row>
    <row r="3607">
      <c r="A3607" s="1" t="s">
        <v>10888</v>
      </c>
      <c r="B3607" s="1">
        <v>9.17774001176E11</v>
      </c>
      <c r="C3607" s="15" t="str">
        <f t="shared" si="1"/>
        <v>dd.anuja@gmail.com917774001176</v>
      </c>
      <c r="D3607" s="17" t="s">
        <v>10889</v>
      </c>
      <c r="E3607" s="18" t="s">
        <v>74</v>
      </c>
    </row>
    <row r="3608">
      <c r="A3608" s="1" t="s">
        <v>10890</v>
      </c>
      <c r="B3608" s="1">
        <v>9.19884120229E11</v>
      </c>
      <c r="C3608" s="15" t="str">
        <f t="shared" si="1"/>
        <v>charanjithkaur@gmail.com919884120229</v>
      </c>
      <c r="D3608" s="17" t="s">
        <v>10891</v>
      </c>
      <c r="E3608" s="18" t="s">
        <v>151</v>
      </c>
    </row>
    <row r="3609">
      <c r="A3609" s="1" t="s">
        <v>10890</v>
      </c>
      <c r="B3609" s="1">
        <v>9.19884120229E11</v>
      </c>
      <c r="C3609" s="15" t="str">
        <f t="shared" si="1"/>
        <v>charanjithkaur@gmail.com919884120229</v>
      </c>
      <c r="D3609" s="17" t="s">
        <v>10892</v>
      </c>
      <c r="E3609" s="18" t="s">
        <v>151</v>
      </c>
    </row>
    <row r="3610">
      <c r="A3610" s="1" t="s">
        <v>4219</v>
      </c>
      <c r="B3610" s="1">
        <v>9.18390855988E11</v>
      </c>
      <c r="C3610" s="15" t="str">
        <f t="shared" si="1"/>
        <v>chinmaiekarlapudi1998@gmail.com918390855988</v>
      </c>
      <c r="D3610" s="17" t="s">
        <v>10893</v>
      </c>
      <c r="E3610" s="18" t="s">
        <v>68</v>
      </c>
    </row>
    <row r="3611">
      <c r="A3611" s="1" t="s">
        <v>3837</v>
      </c>
      <c r="B3611" s="1">
        <v>9.19963933226E11</v>
      </c>
      <c r="C3611" s="15" t="str">
        <f t="shared" si="1"/>
        <v>mnaudu40@gmail.com919963933226</v>
      </c>
      <c r="D3611" s="17" t="s">
        <v>10894</v>
      </c>
      <c r="E3611" s="18" t="s">
        <v>74</v>
      </c>
    </row>
    <row r="3612">
      <c r="A3612" s="1" t="s">
        <v>5125</v>
      </c>
      <c r="B3612" s="1">
        <v>9.19619857736E11</v>
      </c>
      <c r="C3612" s="15" t="str">
        <f t="shared" si="1"/>
        <v>shefalipoojary@gmail.com919619857736</v>
      </c>
      <c r="D3612" s="17" t="s">
        <v>10895</v>
      </c>
      <c r="E3612" s="18" t="s">
        <v>74</v>
      </c>
    </row>
    <row r="3613">
      <c r="A3613" s="1" t="s">
        <v>4501</v>
      </c>
      <c r="B3613" s="1">
        <v>9.19667255077E11</v>
      </c>
      <c r="C3613" s="15" t="str">
        <f t="shared" si="1"/>
        <v>gupta.atulgupta@gmail.com919667255077</v>
      </c>
      <c r="D3613" s="17" t="s">
        <v>10896</v>
      </c>
      <c r="E3613" s="18" t="s">
        <v>68</v>
      </c>
    </row>
    <row r="3614">
      <c r="A3614" s="1" t="s">
        <v>10897</v>
      </c>
      <c r="B3614" s="1">
        <v>9.19207508554E11</v>
      </c>
      <c r="C3614" s="15" t="str">
        <f t="shared" si="1"/>
        <v>athulyagracebiju@gmail.com919207508554</v>
      </c>
      <c r="D3614" s="17" t="s">
        <v>10898</v>
      </c>
      <c r="E3614" s="18" t="s">
        <v>74</v>
      </c>
    </row>
    <row r="3615">
      <c r="A3615" s="1" t="s">
        <v>10897</v>
      </c>
      <c r="B3615" s="1">
        <v>9.19207508554E11</v>
      </c>
      <c r="C3615" s="15" t="str">
        <f t="shared" si="1"/>
        <v>athulyagracebiju@gmail.com919207508554</v>
      </c>
      <c r="D3615" s="17" t="s">
        <v>10899</v>
      </c>
      <c r="E3615" s="18" t="s">
        <v>74</v>
      </c>
    </row>
    <row r="3616">
      <c r="A3616" s="1" t="s">
        <v>10897</v>
      </c>
      <c r="B3616" s="1">
        <v>9.19207508554E11</v>
      </c>
      <c r="C3616" s="15" t="str">
        <f t="shared" si="1"/>
        <v>athulyagracebiju@gmail.com919207508554</v>
      </c>
      <c r="D3616" s="17" t="s">
        <v>10900</v>
      </c>
      <c r="E3616" s="18" t="s">
        <v>74</v>
      </c>
    </row>
    <row r="3617">
      <c r="A3617" s="1" t="s">
        <v>6423</v>
      </c>
      <c r="B3617" s="1">
        <v>9.1783686829E11</v>
      </c>
      <c r="C3617" s="15" t="str">
        <f t="shared" si="1"/>
        <v>chiragaggarwal98@gmail.com917836868290</v>
      </c>
      <c r="D3617" s="17" t="s">
        <v>10901</v>
      </c>
      <c r="E3617" s="18" t="s">
        <v>68</v>
      </c>
    </row>
    <row r="3618">
      <c r="A3618" s="1" t="s">
        <v>5489</v>
      </c>
      <c r="B3618" s="1">
        <v>9.18200463339E11</v>
      </c>
      <c r="C3618" s="15" t="str">
        <f t="shared" si="1"/>
        <v>kamothidhaval@gmail.com918200463339</v>
      </c>
      <c r="D3618" s="17" t="s">
        <v>10902</v>
      </c>
      <c r="E3618" s="18" t="s">
        <v>68</v>
      </c>
    </row>
    <row r="3619">
      <c r="A3619" s="1" t="s">
        <v>3154</v>
      </c>
      <c r="B3619" s="1">
        <v>9.17737720695E11</v>
      </c>
      <c r="C3619" s="15" t="str">
        <f t="shared" si="1"/>
        <v>keenlearner2016@gmail.com917737720695</v>
      </c>
      <c r="D3619" s="17" t="s">
        <v>10903</v>
      </c>
      <c r="E3619" s="18" t="s">
        <v>151</v>
      </c>
    </row>
    <row r="3620">
      <c r="A3620" s="1" t="s">
        <v>3154</v>
      </c>
      <c r="B3620" s="1">
        <v>9.17737720695E11</v>
      </c>
      <c r="C3620" s="15" t="str">
        <f t="shared" si="1"/>
        <v>keenlearner2016@gmail.com917737720695</v>
      </c>
      <c r="D3620" s="17" t="s">
        <v>10904</v>
      </c>
      <c r="E3620" s="18" t="s">
        <v>151</v>
      </c>
    </row>
    <row r="3621">
      <c r="A3621" s="1" t="s">
        <v>3154</v>
      </c>
      <c r="B3621" s="1">
        <v>9.1946107655E11</v>
      </c>
      <c r="C3621" s="15" t="str">
        <f t="shared" si="1"/>
        <v>keenlearner2016@gmail.com919461076550</v>
      </c>
      <c r="D3621" s="17" t="s">
        <v>10905</v>
      </c>
      <c r="E3621" s="18" t="s">
        <v>68</v>
      </c>
    </row>
    <row r="3622">
      <c r="A3622" s="1" t="s">
        <v>2551</v>
      </c>
      <c r="B3622" s="1">
        <v>9.19035015257E11</v>
      </c>
      <c r="C3622" s="15" t="str">
        <f t="shared" si="1"/>
        <v>suniltrue@gmail.com919035015257</v>
      </c>
      <c r="D3622" s="17" t="s">
        <v>10906</v>
      </c>
      <c r="E3622" s="18" t="s">
        <v>68</v>
      </c>
    </row>
    <row r="3623">
      <c r="A3623" s="1" t="s">
        <v>3272</v>
      </c>
      <c r="B3623" s="1">
        <v>9.19923400813E11</v>
      </c>
      <c r="C3623" s="15" t="str">
        <f t="shared" si="1"/>
        <v>drahul.mku@yahoo.com919923400813</v>
      </c>
      <c r="D3623" s="17" t="s">
        <v>10907</v>
      </c>
      <c r="E3623" s="18" t="s">
        <v>68</v>
      </c>
    </row>
    <row r="3624">
      <c r="A3624" s="1" t="s">
        <v>3939</v>
      </c>
      <c r="B3624" s="1">
        <v>9.19907896802E11</v>
      </c>
      <c r="C3624" s="15" t="str">
        <f t="shared" si="1"/>
        <v>rohitsm0711@gmail.com919907896802</v>
      </c>
      <c r="D3624" s="17" t="s">
        <v>10908</v>
      </c>
      <c r="E3624" s="18" t="s">
        <v>68</v>
      </c>
    </row>
    <row r="3625">
      <c r="A3625" s="1" t="s">
        <v>2883</v>
      </c>
      <c r="B3625" s="1">
        <v>9.17769805E11</v>
      </c>
      <c r="C3625" s="15" t="str">
        <f t="shared" si="1"/>
        <v>rutujamukne@gmail.com917769805000</v>
      </c>
      <c r="D3625" s="17" t="s">
        <v>10909</v>
      </c>
      <c r="E3625" s="18" t="s">
        <v>68</v>
      </c>
    </row>
    <row r="3626">
      <c r="A3626" s="1" t="s">
        <v>10910</v>
      </c>
      <c r="B3626" s="1">
        <v>9.19845238729E11</v>
      </c>
      <c r="C3626" s="15" t="str">
        <f t="shared" si="1"/>
        <v>sudha.ganesh@gmail.com919845238729</v>
      </c>
      <c r="D3626" s="17" t="s">
        <v>10911</v>
      </c>
      <c r="E3626" s="18" t="s">
        <v>68</v>
      </c>
    </row>
    <row r="3627">
      <c r="A3627" s="1" t="s">
        <v>4220</v>
      </c>
      <c r="B3627" s="1">
        <v>9.18638183211E11</v>
      </c>
      <c r="C3627" s="15" t="str">
        <f t="shared" si="1"/>
        <v>anniekashyap7019@gmail.com918638183211</v>
      </c>
      <c r="D3627" s="17" t="s">
        <v>10912</v>
      </c>
      <c r="E3627" s="18" t="s">
        <v>74</v>
      </c>
    </row>
    <row r="3628">
      <c r="A3628" s="1" t="s">
        <v>4221</v>
      </c>
      <c r="B3628" s="1">
        <v>9.19844501967E11</v>
      </c>
      <c r="C3628" s="15" t="str">
        <f t="shared" si="1"/>
        <v>lakshmishree202@gmail.com919844501967</v>
      </c>
      <c r="D3628" s="17" t="s">
        <v>10913</v>
      </c>
      <c r="E3628" s="18" t="s">
        <v>68</v>
      </c>
    </row>
    <row r="3629">
      <c r="A3629" s="1" t="s">
        <v>10914</v>
      </c>
      <c r="B3629" s="1">
        <v>9.17355389195E11</v>
      </c>
      <c r="C3629" s="15" t="str">
        <f t="shared" si="1"/>
        <v>srivastavau59@gmail.com917355389195</v>
      </c>
      <c r="D3629" s="17" t="s">
        <v>10915</v>
      </c>
      <c r="E3629" s="18" t="s">
        <v>74</v>
      </c>
    </row>
    <row r="3630">
      <c r="A3630" s="1" t="s">
        <v>5490</v>
      </c>
      <c r="B3630" s="1">
        <v>9.18630509871E11</v>
      </c>
      <c r="C3630" s="15" t="str">
        <f t="shared" si="1"/>
        <v>pranshulsethiptl@gmail.com918630509871</v>
      </c>
      <c r="D3630" s="17" t="s">
        <v>10916</v>
      </c>
      <c r="E3630" s="18" t="s">
        <v>68</v>
      </c>
    </row>
    <row r="3631">
      <c r="A3631" s="1" t="s">
        <v>3722</v>
      </c>
      <c r="B3631" s="1">
        <v>9.19569907211E11</v>
      </c>
      <c r="C3631" s="15" t="str">
        <f t="shared" si="1"/>
        <v>shikhagupta2392@gmail.com919569907211</v>
      </c>
      <c r="D3631" s="17" t="s">
        <v>10917</v>
      </c>
      <c r="E3631" s="18" t="s">
        <v>68</v>
      </c>
    </row>
    <row r="3632">
      <c r="A3632" s="1" t="s">
        <v>3273</v>
      </c>
      <c r="B3632" s="1">
        <v>9.19822354466E11</v>
      </c>
      <c r="C3632" s="15" t="str">
        <f t="shared" si="1"/>
        <v>aishtekawade@gmail.com919822354466</v>
      </c>
      <c r="D3632" s="17" t="s">
        <v>10918</v>
      </c>
      <c r="E3632" s="18" t="s">
        <v>74</v>
      </c>
    </row>
    <row r="3633">
      <c r="A3633" s="1" t="s">
        <v>3497</v>
      </c>
      <c r="B3633" s="1">
        <v>9.1961972557E11</v>
      </c>
      <c r="C3633" s="15" t="str">
        <f t="shared" si="1"/>
        <v>ashrith.writes@gmail.com919619725570</v>
      </c>
      <c r="D3633" s="17" t="s">
        <v>10919</v>
      </c>
      <c r="E3633" s="18" t="s">
        <v>151</v>
      </c>
    </row>
    <row r="3634">
      <c r="A3634" s="1" t="s">
        <v>5168</v>
      </c>
      <c r="B3634" s="1">
        <v>9.199113806E11</v>
      </c>
      <c r="C3634" s="15" t="str">
        <f t="shared" si="1"/>
        <v>tuliruchika89@gmail.com919911380600</v>
      </c>
      <c r="D3634" s="17" t="s">
        <v>10920</v>
      </c>
      <c r="E3634" s="18" t="s">
        <v>68</v>
      </c>
    </row>
    <row r="3635">
      <c r="A3635" s="1" t="s">
        <v>3497</v>
      </c>
      <c r="B3635" s="1">
        <v>9.1961972557E11</v>
      </c>
      <c r="C3635" s="15" t="str">
        <f t="shared" si="1"/>
        <v>ashrith.writes@gmail.com919619725570</v>
      </c>
      <c r="D3635" s="17" t="s">
        <v>10921</v>
      </c>
      <c r="E3635" s="18" t="s">
        <v>68</v>
      </c>
    </row>
    <row r="3636">
      <c r="A3636" s="1" t="s">
        <v>5169</v>
      </c>
      <c r="B3636" s="1">
        <v>9.19663693796E11</v>
      </c>
      <c r="C3636" s="15" t="str">
        <f t="shared" si="1"/>
        <v>sakchi.sethi@gmail.com919663693796</v>
      </c>
      <c r="D3636" s="17" t="s">
        <v>10922</v>
      </c>
      <c r="E3636" s="18" t="s">
        <v>68</v>
      </c>
    </row>
    <row r="3637">
      <c r="A3637" s="1" t="s">
        <v>5169</v>
      </c>
      <c r="B3637" s="1">
        <v>9.19663693796E11</v>
      </c>
      <c r="C3637" s="15" t="str">
        <f t="shared" si="1"/>
        <v>sakchi.sethi@gmail.com919663693796</v>
      </c>
      <c r="D3637" s="17" t="s">
        <v>10923</v>
      </c>
      <c r="E3637" s="18" t="s">
        <v>68</v>
      </c>
    </row>
    <row r="3638">
      <c r="A3638" s="1" t="s">
        <v>6354</v>
      </c>
      <c r="B3638" s="1">
        <v>9.17675021262E11</v>
      </c>
      <c r="C3638" s="15" t="str">
        <f t="shared" si="1"/>
        <v>sahiway_plusshop@yahoo.com917675021262</v>
      </c>
      <c r="D3638" s="17" t="s">
        <v>10924</v>
      </c>
      <c r="E3638" s="18" t="s">
        <v>68</v>
      </c>
    </row>
    <row r="3639">
      <c r="A3639" s="1" t="s">
        <v>6151</v>
      </c>
      <c r="B3639" s="1">
        <v>9.18860625333E11</v>
      </c>
      <c r="C3639" s="15" t="str">
        <f t="shared" si="1"/>
        <v>anupam.niift@gmail.com918860625333</v>
      </c>
      <c r="D3639" s="17" t="s">
        <v>10925</v>
      </c>
      <c r="E3639" s="18" t="s">
        <v>68</v>
      </c>
    </row>
    <row r="3640">
      <c r="A3640" s="1" t="s">
        <v>4387</v>
      </c>
      <c r="B3640" s="1">
        <v>9.19850173327E11</v>
      </c>
      <c r="C3640" s="15" t="str">
        <f t="shared" si="1"/>
        <v>neetunt@hotmail.com919850173327</v>
      </c>
      <c r="D3640" s="17" t="s">
        <v>10926</v>
      </c>
      <c r="E3640" s="18" t="s">
        <v>97</v>
      </c>
    </row>
    <row r="3641">
      <c r="A3641" s="1" t="s">
        <v>3838</v>
      </c>
      <c r="B3641" s="1">
        <v>9.19880931835E11</v>
      </c>
      <c r="C3641" s="15" t="str">
        <f t="shared" si="1"/>
        <v>raj.rajuu1995@gmail.com919880931835</v>
      </c>
      <c r="D3641" s="17" t="s">
        <v>10927</v>
      </c>
      <c r="E3641" s="18" t="s">
        <v>68</v>
      </c>
    </row>
    <row r="3642">
      <c r="A3642" s="1" t="s">
        <v>4387</v>
      </c>
      <c r="B3642" s="1">
        <v>9.19850173327E11</v>
      </c>
      <c r="C3642" s="15" t="str">
        <f t="shared" si="1"/>
        <v>neetunt@hotmail.com919850173327</v>
      </c>
      <c r="D3642" s="17" t="s">
        <v>10928</v>
      </c>
      <c r="E3642" s="18" t="s">
        <v>68</v>
      </c>
    </row>
    <row r="3643">
      <c r="A3643" s="1" t="s">
        <v>6424</v>
      </c>
      <c r="B3643" s="1">
        <v>9.19789970712E11</v>
      </c>
      <c r="C3643" s="15" t="str">
        <f t="shared" si="1"/>
        <v>m.visdravid@gmail.com919789970712</v>
      </c>
      <c r="D3643" s="17" t="s">
        <v>10929</v>
      </c>
      <c r="E3643" s="18" t="s">
        <v>68</v>
      </c>
    </row>
    <row r="3644">
      <c r="A3644" s="1" t="s">
        <v>3274</v>
      </c>
      <c r="B3644" s="1">
        <v>9.17893167586E11</v>
      </c>
      <c r="C3644" s="15" t="str">
        <f t="shared" si="1"/>
        <v>sivakrishnamanyam97@gmail.com917893167586</v>
      </c>
      <c r="D3644" s="17" t="s">
        <v>10930</v>
      </c>
      <c r="E3644" s="18" t="s">
        <v>68</v>
      </c>
    </row>
    <row r="3645">
      <c r="A3645" s="1" t="s">
        <v>5587</v>
      </c>
      <c r="B3645" s="1">
        <v>9.18975973296E11</v>
      </c>
      <c r="C3645" s="15" t="str">
        <f t="shared" si="1"/>
        <v>vaibhavjainavantika@gmail.com918975973296</v>
      </c>
      <c r="D3645" s="17" t="s">
        <v>10931</v>
      </c>
      <c r="E3645" s="18" t="s">
        <v>68</v>
      </c>
    </row>
    <row r="3646">
      <c r="A3646" s="1" t="s">
        <v>3996</v>
      </c>
      <c r="B3646" s="1">
        <v>9.19900511779E11</v>
      </c>
      <c r="C3646" s="15" t="str">
        <f t="shared" si="1"/>
        <v>asmita1617@gmail.com919900511779</v>
      </c>
      <c r="D3646" s="17" t="s">
        <v>10932</v>
      </c>
      <c r="E3646" s="18" t="s">
        <v>97</v>
      </c>
    </row>
    <row r="3647">
      <c r="A3647" s="1" t="s">
        <v>3996</v>
      </c>
      <c r="B3647" s="1">
        <v>9.19900511779E11</v>
      </c>
      <c r="C3647" s="15" t="str">
        <f t="shared" si="1"/>
        <v>asmita1617@gmail.com919900511779</v>
      </c>
      <c r="D3647" s="17" t="s">
        <v>10933</v>
      </c>
      <c r="E3647" s="18" t="s">
        <v>151</v>
      </c>
    </row>
    <row r="3648">
      <c r="A3648" s="1" t="s">
        <v>3996</v>
      </c>
      <c r="B3648" s="1">
        <v>9.19900511779E11</v>
      </c>
      <c r="C3648" s="15" t="str">
        <f t="shared" si="1"/>
        <v>asmita1617@gmail.com919900511779</v>
      </c>
      <c r="D3648" s="17" t="s">
        <v>10934</v>
      </c>
      <c r="E3648" s="18" t="s">
        <v>68</v>
      </c>
    </row>
    <row r="3649">
      <c r="A3649" s="1" t="s">
        <v>10935</v>
      </c>
      <c r="B3649" s="1">
        <v>9.18319436615E11</v>
      </c>
      <c r="C3649" s="15" t="str">
        <f t="shared" si="1"/>
        <v>apoorvadube22@gmail.com918319436615</v>
      </c>
      <c r="D3649" s="17" t="s">
        <v>10936</v>
      </c>
      <c r="E3649" s="18" t="s">
        <v>68</v>
      </c>
    </row>
    <row r="3650">
      <c r="A3650" s="1" t="s">
        <v>3723</v>
      </c>
      <c r="B3650" s="1">
        <v>9.19873879862E11</v>
      </c>
      <c r="C3650" s="15" t="str">
        <f t="shared" si="1"/>
        <v>ritikamail18@gmail.com919873879862</v>
      </c>
      <c r="D3650" s="17" t="s">
        <v>10937</v>
      </c>
      <c r="E3650" s="18" t="s">
        <v>68</v>
      </c>
    </row>
    <row r="3651">
      <c r="A3651" s="1" t="s">
        <v>5588</v>
      </c>
      <c r="B3651" s="1">
        <v>9.18090205655E11</v>
      </c>
      <c r="C3651" s="15" t="str">
        <f t="shared" si="1"/>
        <v>dilipsaini2296@gmail.com918090205655</v>
      </c>
      <c r="D3651" s="17" t="s">
        <v>10938</v>
      </c>
      <c r="E3651" s="18" t="s">
        <v>68</v>
      </c>
    </row>
    <row r="3652">
      <c r="A3652" s="1" t="s">
        <v>5588</v>
      </c>
      <c r="B3652" s="1">
        <v>9.18090205655E11</v>
      </c>
      <c r="C3652" s="15" t="str">
        <f t="shared" si="1"/>
        <v>dilipsaini2296@gmail.com918090205655</v>
      </c>
      <c r="D3652" s="17" t="s">
        <v>10939</v>
      </c>
      <c r="E3652" s="18" t="s">
        <v>68</v>
      </c>
    </row>
    <row r="3653">
      <c r="A3653" s="1" t="s">
        <v>5946</v>
      </c>
      <c r="B3653" s="1">
        <v>9.19810394776E11</v>
      </c>
      <c r="C3653" s="15" t="str">
        <f t="shared" si="1"/>
        <v>rparasher@hotmail.com919810394776</v>
      </c>
      <c r="D3653" s="17" t="s">
        <v>10940</v>
      </c>
      <c r="E3653" s="18" t="s">
        <v>97</v>
      </c>
    </row>
    <row r="3654">
      <c r="A3654" s="1" t="s">
        <v>5588</v>
      </c>
      <c r="B3654" s="1">
        <v>9.18090205655E11</v>
      </c>
      <c r="C3654" s="15" t="str">
        <f t="shared" si="1"/>
        <v>dilipsaini2296@gmail.com918090205655</v>
      </c>
      <c r="D3654" s="17" t="s">
        <v>10941</v>
      </c>
      <c r="E3654" s="18" t="s">
        <v>68</v>
      </c>
    </row>
    <row r="3655">
      <c r="A3655" s="1" t="s">
        <v>3275</v>
      </c>
      <c r="B3655" s="1">
        <v>9.19996521691E11</v>
      </c>
      <c r="C3655" s="15" t="str">
        <f t="shared" si="1"/>
        <v>jahanvi.virmani@gmail.com919996521691</v>
      </c>
      <c r="D3655" s="17" t="s">
        <v>10942</v>
      </c>
      <c r="E3655" s="18" t="s">
        <v>68</v>
      </c>
    </row>
    <row r="3656">
      <c r="A3656" s="1" t="s">
        <v>3155</v>
      </c>
      <c r="B3656" s="1">
        <v>9.19560033242E11</v>
      </c>
      <c r="C3656" s="15" t="str">
        <f t="shared" si="1"/>
        <v>neeronetop@gmail.com919560033242</v>
      </c>
      <c r="D3656" s="17" t="s">
        <v>10943</v>
      </c>
      <c r="E3656" s="18" t="s">
        <v>74</v>
      </c>
    </row>
    <row r="3657">
      <c r="A3657" s="1" t="s">
        <v>10944</v>
      </c>
      <c r="B3657" s="1">
        <v>9.19586810426E11</v>
      </c>
      <c r="C3657" s="15" t="str">
        <f t="shared" si="1"/>
        <v>bhumikamodi4@gmail.com919586810426</v>
      </c>
      <c r="D3657" s="17" t="s">
        <v>10945</v>
      </c>
      <c r="E3657" s="18" t="s">
        <v>74</v>
      </c>
    </row>
    <row r="3658">
      <c r="A3658" s="1" t="s">
        <v>4746</v>
      </c>
      <c r="B3658" s="1">
        <v>9.19765669495E11</v>
      </c>
      <c r="C3658" s="15" t="str">
        <f t="shared" si="1"/>
        <v>anuja382000@gmail.com919765669495</v>
      </c>
      <c r="D3658" s="17" t="s">
        <v>10946</v>
      </c>
      <c r="E3658" s="18" t="s">
        <v>68</v>
      </c>
    </row>
    <row r="3659">
      <c r="A3659" s="1" t="s">
        <v>6568</v>
      </c>
      <c r="B3659" s="1">
        <v>9.19595822206E11</v>
      </c>
      <c r="C3659" s="15" t="str">
        <f t="shared" si="1"/>
        <v>nupurakhot94@gmail.com919595822206</v>
      </c>
      <c r="D3659" s="17" t="s">
        <v>10947</v>
      </c>
      <c r="E3659" s="18" t="s">
        <v>151</v>
      </c>
    </row>
    <row r="3660">
      <c r="A3660" s="1" t="s">
        <v>10948</v>
      </c>
      <c r="B3660" s="1">
        <v>9.1786013703E11</v>
      </c>
      <c r="C3660" s="15" t="str">
        <f t="shared" si="1"/>
        <v>mohammad786013@gmail.com917860137030</v>
      </c>
      <c r="D3660" s="17" t="s">
        <v>10949</v>
      </c>
      <c r="E3660" s="18" t="s">
        <v>68</v>
      </c>
    </row>
    <row r="3661">
      <c r="A3661" s="1" t="s">
        <v>5839</v>
      </c>
      <c r="B3661" s="1">
        <v>9.184249383E11</v>
      </c>
      <c r="C3661" s="15" t="str">
        <f t="shared" si="1"/>
        <v>kamleshganguly1@gmail.com918424938300</v>
      </c>
      <c r="D3661" s="17" t="s">
        <v>10950</v>
      </c>
      <c r="E3661" s="18" t="s">
        <v>74</v>
      </c>
    </row>
    <row r="3662">
      <c r="A3662" s="1" t="s">
        <v>5839</v>
      </c>
      <c r="B3662" s="1">
        <v>9.184249383E11</v>
      </c>
      <c r="C3662" s="15" t="str">
        <f t="shared" si="1"/>
        <v>kamleshganguly1@gmail.com918424938300</v>
      </c>
      <c r="D3662" s="17" t="s">
        <v>10951</v>
      </c>
      <c r="E3662" s="18" t="s">
        <v>74</v>
      </c>
    </row>
    <row r="3663">
      <c r="A3663" s="1" t="s">
        <v>3997</v>
      </c>
      <c r="B3663" s="1">
        <v>2.44932825465E11</v>
      </c>
      <c r="C3663" s="15" t="str">
        <f t="shared" si="1"/>
        <v>pisturoxan@gmail.com244932825465</v>
      </c>
      <c r="D3663" s="17" t="s">
        <v>10952</v>
      </c>
      <c r="E3663" s="18" t="s">
        <v>68</v>
      </c>
    </row>
    <row r="3664">
      <c r="A3664" s="1" t="s">
        <v>5839</v>
      </c>
      <c r="B3664" s="1">
        <v>9.184249383E11</v>
      </c>
      <c r="C3664" s="15" t="str">
        <f t="shared" si="1"/>
        <v>kamleshganguly1@gmail.com918424938300</v>
      </c>
      <c r="D3664" s="17" t="s">
        <v>10953</v>
      </c>
      <c r="E3664" s="18" t="s">
        <v>74</v>
      </c>
    </row>
    <row r="3665">
      <c r="A3665" s="1" t="s">
        <v>10954</v>
      </c>
      <c r="B3665" s="1">
        <v>9.19347947881E11</v>
      </c>
      <c r="C3665" s="15" t="str">
        <f t="shared" si="1"/>
        <v>vasanth02307@gmail.com919347947881</v>
      </c>
      <c r="D3665" s="17" t="s">
        <v>10955</v>
      </c>
      <c r="E3665" s="18" t="s">
        <v>151</v>
      </c>
    </row>
    <row r="3666">
      <c r="A3666" s="1" t="s">
        <v>10956</v>
      </c>
      <c r="B3666" s="1">
        <v>9.19884054425E11</v>
      </c>
      <c r="C3666" s="15" t="str">
        <f t="shared" si="1"/>
        <v>tomailmurugan@gmail.com919884054425</v>
      </c>
      <c r="D3666" s="17" t="s">
        <v>10957</v>
      </c>
      <c r="E3666" s="18" t="s">
        <v>74</v>
      </c>
    </row>
    <row r="3667">
      <c r="A3667" s="1" t="s">
        <v>3940</v>
      </c>
      <c r="B3667" s="1">
        <v>9.17744081753E11</v>
      </c>
      <c r="C3667" s="15" t="str">
        <f t="shared" si="1"/>
        <v>prashantnikose31@gmail.com917744081753</v>
      </c>
      <c r="D3667" s="17" t="s">
        <v>10958</v>
      </c>
      <c r="E3667" s="18" t="s">
        <v>68</v>
      </c>
    </row>
    <row r="3668">
      <c r="A3668" s="1" t="s">
        <v>6569</v>
      </c>
      <c r="B3668" s="1">
        <v>9.17905887677E11</v>
      </c>
      <c r="C3668" s="15" t="str">
        <f t="shared" si="1"/>
        <v>ankitarajput1978@gmail.com917905887677</v>
      </c>
      <c r="D3668" s="17" t="s">
        <v>10959</v>
      </c>
      <c r="E3668" s="18" t="s">
        <v>74</v>
      </c>
    </row>
    <row r="3669">
      <c r="A3669" s="1" t="s">
        <v>3942</v>
      </c>
      <c r="B3669" s="1">
        <v>9.17010780648E11</v>
      </c>
      <c r="C3669" s="15" t="str">
        <f t="shared" si="1"/>
        <v>vprforever@gmail.com917010780648</v>
      </c>
      <c r="D3669" s="17" t="s">
        <v>10960</v>
      </c>
      <c r="E3669" s="18" t="s">
        <v>68</v>
      </c>
    </row>
    <row r="3670">
      <c r="A3670" s="1" t="s">
        <v>4429</v>
      </c>
      <c r="B3670" s="1">
        <v>9.19384399515E11</v>
      </c>
      <c r="C3670" s="15" t="str">
        <f t="shared" si="1"/>
        <v>ajibujji98@gmail.com919384399515</v>
      </c>
      <c r="D3670" s="17" t="s">
        <v>10961</v>
      </c>
      <c r="E3670" s="18" t="s">
        <v>68</v>
      </c>
    </row>
    <row r="3671">
      <c r="A3671" s="1" t="s">
        <v>4429</v>
      </c>
      <c r="B3671" s="1">
        <v>9.19384399515E11</v>
      </c>
      <c r="C3671" s="15" t="str">
        <f t="shared" si="1"/>
        <v>ajibujji98@gmail.com919384399515</v>
      </c>
      <c r="D3671" s="17" t="s">
        <v>10962</v>
      </c>
      <c r="E3671" s="18" t="s">
        <v>68</v>
      </c>
    </row>
    <row r="3672">
      <c r="A3672" s="1" t="s">
        <v>3276</v>
      </c>
      <c r="B3672" s="1">
        <v>9.19028748097E11</v>
      </c>
      <c r="C3672" s="15" t="str">
        <f t="shared" si="1"/>
        <v>triptivjadhav@gmail.com919028748097</v>
      </c>
      <c r="D3672" s="17" t="s">
        <v>10963</v>
      </c>
      <c r="E3672" s="18" t="s">
        <v>68</v>
      </c>
    </row>
    <row r="3673">
      <c r="A3673" s="1" t="s">
        <v>5932</v>
      </c>
      <c r="B3673" s="1">
        <v>9.19115731291E11</v>
      </c>
      <c r="C3673" s="15" t="str">
        <f t="shared" si="1"/>
        <v>shreemahalakshmi9@gmail.com919115731291</v>
      </c>
      <c r="D3673" s="17" t="s">
        <v>10964</v>
      </c>
      <c r="E3673" s="18" t="s">
        <v>68</v>
      </c>
    </row>
    <row r="3674">
      <c r="A3674" s="1" t="s">
        <v>2698</v>
      </c>
      <c r="B3674" s="1">
        <v>9.19366199127E11</v>
      </c>
      <c r="C3674" s="15" t="str">
        <f t="shared" si="1"/>
        <v>adas.apple7@gmail.com919366199127</v>
      </c>
      <c r="D3674" s="17" t="s">
        <v>10965</v>
      </c>
      <c r="E3674" s="18" t="s">
        <v>68</v>
      </c>
    </row>
    <row r="3675">
      <c r="A3675" s="1" t="s">
        <v>2698</v>
      </c>
      <c r="B3675" s="1">
        <v>9.19366199127E11</v>
      </c>
      <c r="C3675" s="15" t="str">
        <f t="shared" si="1"/>
        <v>adas.apple7@gmail.com919366199127</v>
      </c>
      <c r="D3675" s="17" t="s">
        <v>10966</v>
      </c>
      <c r="E3675" s="18" t="s">
        <v>68</v>
      </c>
    </row>
    <row r="3676">
      <c r="A3676" s="1" t="s">
        <v>4851</v>
      </c>
      <c r="B3676" s="1">
        <v>9.19881313175E11</v>
      </c>
      <c r="C3676" s="15" t="str">
        <f t="shared" si="1"/>
        <v>shrutisethi292@gmail.com919881313175</v>
      </c>
      <c r="D3676" s="17" t="s">
        <v>10967</v>
      </c>
      <c r="E3676" s="18" t="s">
        <v>68</v>
      </c>
    </row>
    <row r="3677">
      <c r="A3677" s="1" t="s">
        <v>4222</v>
      </c>
      <c r="B3677" s="1">
        <v>9.1790631755E11</v>
      </c>
      <c r="C3677" s="15" t="str">
        <f t="shared" si="1"/>
        <v>aditi242408@gmail.com917906317550</v>
      </c>
      <c r="D3677" s="17" t="s">
        <v>10968</v>
      </c>
      <c r="E3677" s="18" t="s">
        <v>68</v>
      </c>
    </row>
    <row r="3678">
      <c r="A3678" s="1" t="s">
        <v>4222</v>
      </c>
      <c r="B3678" s="1">
        <v>9.1790631755E11</v>
      </c>
      <c r="C3678" s="15" t="str">
        <f t="shared" si="1"/>
        <v>aditi242408@gmail.com917906317550</v>
      </c>
      <c r="D3678" s="17" t="s">
        <v>10969</v>
      </c>
      <c r="E3678" s="18" t="s">
        <v>68</v>
      </c>
    </row>
    <row r="3679">
      <c r="A3679" s="1" t="s">
        <v>3156</v>
      </c>
      <c r="B3679" s="1">
        <v>9.19170902099E11</v>
      </c>
      <c r="C3679" s="15" t="str">
        <f t="shared" si="1"/>
        <v>sashwatp9@gmail.com919170902099</v>
      </c>
      <c r="D3679" s="17" t="s">
        <v>10970</v>
      </c>
      <c r="E3679" s="18" t="s">
        <v>68</v>
      </c>
    </row>
    <row r="3680">
      <c r="A3680" s="1" t="s">
        <v>5491</v>
      </c>
      <c r="B3680" s="1">
        <v>9.19898782068E11</v>
      </c>
      <c r="C3680" s="15" t="str">
        <f t="shared" si="1"/>
        <v>anaghakhade31@gmail.com919898782068</v>
      </c>
      <c r="D3680" s="17" t="s">
        <v>10971</v>
      </c>
      <c r="E3680" s="18" t="s">
        <v>74</v>
      </c>
    </row>
    <row r="3681">
      <c r="A3681" s="1" t="s">
        <v>3157</v>
      </c>
      <c r="B3681" s="1">
        <v>9.18791606651E11</v>
      </c>
      <c r="C3681" s="15" t="str">
        <f t="shared" si="1"/>
        <v>saijalkaushal@gmail.com918791606651</v>
      </c>
      <c r="D3681" s="17" t="s">
        <v>10972</v>
      </c>
      <c r="E3681" s="18" t="s">
        <v>68</v>
      </c>
    </row>
    <row r="3682">
      <c r="A3682" s="1" t="s">
        <v>5589</v>
      </c>
      <c r="B3682" s="1">
        <v>9.18081934339E11</v>
      </c>
      <c r="C3682" s="15" t="str">
        <f t="shared" si="1"/>
        <v>ankitasinha248@gmail.com918081934339</v>
      </c>
      <c r="D3682" s="17" t="s">
        <v>10973</v>
      </c>
      <c r="E3682" s="18" t="s">
        <v>68</v>
      </c>
    </row>
    <row r="3683">
      <c r="A3683" s="1" t="s">
        <v>3498</v>
      </c>
      <c r="B3683" s="1">
        <v>9.19899927413E11</v>
      </c>
      <c r="C3683" s="15" t="str">
        <f t="shared" si="1"/>
        <v>k.jaitly07@gmail.com919899927413</v>
      </c>
      <c r="D3683" s="17" t="s">
        <v>10974</v>
      </c>
      <c r="E3683" s="18" t="s">
        <v>68</v>
      </c>
    </row>
    <row r="3684">
      <c r="A3684" s="1" t="s">
        <v>5933</v>
      </c>
      <c r="B3684" s="1">
        <v>9.19892951909E11</v>
      </c>
      <c r="C3684" s="15" t="str">
        <f t="shared" si="1"/>
        <v>rupalibarai6@gmail.com919892951909</v>
      </c>
      <c r="D3684" s="17" t="s">
        <v>10975</v>
      </c>
      <c r="E3684" s="18" t="s">
        <v>68</v>
      </c>
    </row>
    <row r="3685">
      <c r="A3685" s="1" t="s">
        <v>5933</v>
      </c>
      <c r="B3685" s="1">
        <v>9.19892951909E11</v>
      </c>
      <c r="C3685" s="15" t="str">
        <f t="shared" si="1"/>
        <v>rupalibarai6@gmail.com919892951909</v>
      </c>
      <c r="D3685" s="17" t="s">
        <v>10976</v>
      </c>
      <c r="E3685" s="18" t="s">
        <v>68</v>
      </c>
    </row>
    <row r="3686">
      <c r="A3686" s="1" t="s">
        <v>10977</v>
      </c>
      <c r="B3686" s="1">
        <v>9.17795498791E11</v>
      </c>
      <c r="C3686" s="15" t="str">
        <f t="shared" si="1"/>
        <v>shriimahalakshmi9@gmail.com917795498791</v>
      </c>
      <c r="D3686" s="17" t="s">
        <v>10978</v>
      </c>
      <c r="E3686" s="18" t="s">
        <v>68</v>
      </c>
    </row>
    <row r="3687">
      <c r="A3687" s="1" t="s">
        <v>3568</v>
      </c>
      <c r="B3687" s="1">
        <v>9.17760461129E11</v>
      </c>
      <c r="C3687" s="15" t="str">
        <f t="shared" si="1"/>
        <v>premrajaparna@gmail.com917760461129</v>
      </c>
      <c r="D3687" s="17" t="s">
        <v>10979</v>
      </c>
      <c r="E3687" s="18" t="s">
        <v>151</v>
      </c>
    </row>
    <row r="3688">
      <c r="A3688" s="1" t="s">
        <v>5590</v>
      </c>
      <c r="B3688" s="1">
        <v>9.17057092709E11</v>
      </c>
      <c r="C3688" s="15" t="str">
        <f t="shared" si="1"/>
        <v>abhishekk25407@gmail.com917057092709</v>
      </c>
      <c r="D3688" s="17" t="s">
        <v>10980</v>
      </c>
      <c r="E3688" s="18" t="s">
        <v>68</v>
      </c>
    </row>
    <row r="3689">
      <c r="A3689" s="1" t="s">
        <v>5052</v>
      </c>
      <c r="B3689" s="1">
        <v>9.19360794218E11</v>
      </c>
      <c r="C3689" s="15" t="str">
        <f t="shared" si="1"/>
        <v>sowndharyasakthivel30@gmail.com919360794218</v>
      </c>
      <c r="D3689" s="17" t="s">
        <v>10981</v>
      </c>
      <c r="E3689" s="18" t="s">
        <v>68</v>
      </c>
    </row>
    <row r="3690">
      <c r="A3690" s="1" t="s">
        <v>10982</v>
      </c>
      <c r="B3690" s="1">
        <v>9.19878820279E11</v>
      </c>
      <c r="C3690" s="15" t="str">
        <f t="shared" si="1"/>
        <v>kaujasreen67@gmail.com919878820279</v>
      </c>
      <c r="D3690" s="17" t="s">
        <v>10983</v>
      </c>
      <c r="E3690" s="18" t="s">
        <v>74</v>
      </c>
    </row>
    <row r="3691">
      <c r="A3691" s="1" t="s">
        <v>10984</v>
      </c>
      <c r="B3691" s="1">
        <v>9.19999882308E11</v>
      </c>
      <c r="C3691" s="15" t="str">
        <f t="shared" si="1"/>
        <v>20amitmishra@gmail.com919999882308</v>
      </c>
      <c r="D3691" s="17" t="s">
        <v>10985</v>
      </c>
      <c r="E3691" s="18" t="s">
        <v>74</v>
      </c>
    </row>
    <row r="3692">
      <c r="A3692" s="1" t="s">
        <v>6302</v>
      </c>
      <c r="B3692" s="1">
        <v>9.17820939978E11</v>
      </c>
      <c r="C3692" s="15" t="str">
        <f t="shared" si="1"/>
        <v>triggerprassy@gmail.com917820939978</v>
      </c>
      <c r="D3692" s="17" t="s">
        <v>10986</v>
      </c>
      <c r="E3692" s="18" t="s">
        <v>68</v>
      </c>
    </row>
    <row r="3693">
      <c r="A3693" s="1" t="s">
        <v>5492</v>
      </c>
      <c r="B3693" s="1">
        <v>9.18297073432E11</v>
      </c>
      <c r="C3693" s="15" t="str">
        <f t="shared" si="1"/>
        <v>hameedsyed98@yahoo.com918297073432</v>
      </c>
      <c r="D3693" s="17" t="s">
        <v>10987</v>
      </c>
      <c r="E3693" s="18" t="s">
        <v>74</v>
      </c>
    </row>
    <row r="3694">
      <c r="A3694" s="1" t="s">
        <v>6570</v>
      </c>
      <c r="B3694" s="1">
        <v>9.19818148156E11</v>
      </c>
      <c r="C3694" s="15" t="str">
        <f t="shared" si="1"/>
        <v>monika300383@gmail.com919818148156</v>
      </c>
      <c r="D3694" s="17" t="s">
        <v>10988</v>
      </c>
      <c r="E3694" s="18" t="s">
        <v>68</v>
      </c>
    </row>
    <row r="3695">
      <c r="A3695" s="1" t="s">
        <v>6570</v>
      </c>
      <c r="B3695" s="1">
        <v>9.19818148156E11</v>
      </c>
      <c r="C3695" s="15" t="str">
        <f t="shared" si="1"/>
        <v>monika300383@gmail.com919818148156</v>
      </c>
      <c r="D3695" s="17" t="s">
        <v>10989</v>
      </c>
      <c r="E3695" s="18" t="s">
        <v>68</v>
      </c>
    </row>
    <row r="3696">
      <c r="A3696" s="1" t="s">
        <v>6570</v>
      </c>
      <c r="B3696" s="1">
        <v>9.19818148156E11</v>
      </c>
      <c r="C3696" s="15" t="str">
        <f t="shared" si="1"/>
        <v>monika300383@gmail.com919818148156</v>
      </c>
      <c r="D3696" s="17" t="s">
        <v>10990</v>
      </c>
      <c r="E3696" s="18" t="s">
        <v>68</v>
      </c>
    </row>
    <row r="3697">
      <c r="A3697" s="1" t="s">
        <v>3499</v>
      </c>
      <c r="B3697" s="1">
        <v>9.19337946722E11</v>
      </c>
      <c r="C3697" s="15" t="str">
        <f t="shared" si="1"/>
        <v>subhalaxmi.sr@gmail.com919337946722</v>
      </c>
      <c r="D3697" s="17" t="s">
        <v>10991</v>
      </c>
      <c r="E3697" s="18" t="s">
        <v>74</v>
      </c>
    </row>
    <row r="3698">
      <c r="A3698" s="1" t="s">
        <v>4747</v>
      </c>
      <c r="B3698" s="1">
        <v>9.19130612265E11</v>
      </c>
      <c r="C3698" s="15" t="str">
        <f t="shared" si="1"/>
        <v>bhavishyajn7@gmail.com919130612265</v>
      </c>
      <c r="D3698" s="17" t="s">
        <v>10992</v>
      </c>
      <c r="E3698" s="18" t="s">
        <v>68</v>
      </c>
    </row>
    <row r="3699">
      <c r="A3699" s="1" t="s">
        <v>4748</v>
      </c>
      <c r="B3699" s="1">
        <v>9.19393444115E11</v>
      </c>
      <c r="C3699" s="15" t="str">
        <f t="shared" si="1"/>
        <v>mrmohammed939@gmail.com919393444115</v>
      </c>
      <c r="D3699" s="17" t="s">
        <v>10993</v>
      </c>
      <c r="E3699" s="18" t="s">
        <v>68</v>
      </c>
    </row>
    <row r="3700">
      <c r="A3700" s="1" t="s">
        <v>10994</v>
      </c>
      <c r="B3700" s="1">
        <v>9.19625991598E11</v>
      </c>
      <c r="C3700" s="15" t="str">
        <f t="shared" si="1"/>
        <v>ar632614@gmail.com919625991598</v>
      </c>
      <c r="D3700" s="17" t="s">
        <v>10995</v>
      </c>
      <c r="E3700" s="18" t="s">
        <v>68</v>
      </c>
    </row>
    <row r="3701">
      <c r="A3701" s="1" t="s">
        <v>6652</v>
      </c>
      <c r="B3701" s="1">
        <v>9.18208793221E11</v>
      </c>
      <c r="C3701" s="15" t="str">
        <f t="shared" si="1"/>
        <v>ncgandhi93@gmail.com918208793221</v>
      </c>
      <c r="D3701" s="17" t="s">
        <v>10996</v>
      </c>
      <c r="E3701" s="18" t="s">
        <v>68</v>
      </c>
    </row>
    <row r="3702">
      <c r="A3702" s="1" t="s">
        <v>10997</v>
      </c>
      <c r="B3702" s="1">
        <v>9.17049343111E11</v>
      </c>
      <c r="C3702" s="15" t="str">
        <f t="shared" si="1"/>
        <v>khomansinha007@gmail.com917049343111</v>
      </c>
      <c r="D3702" s="17" t="s">
        <v>10998</v>
      </c>
      <c r="E3702" s="18" t="s">
        <v>68</v>
      </c>
    </row>
    <row r="3703">
      <c r="A3703" s="1" t="s">
        <v>10999</v>
      </c>
      <c r="B3703" s="1">
        <v>9.1855406072E11</v>
      </c>
      <c r="C3703" s="15" t="str">
        <f t="shared" si="1"/>
        <v>singh.devwardhan@gmail.com918554060720</v>
      </c>
      <c r="D3703" s="17" t="s">
        <v>11000</v>
      </c>
      <c r="E3703" s="18" t="s">
        <v>74</v>
      </c>
    </row>
    <row r="3704">
      <c r="A3704" s="1" t="s">
        <v>4749</v>
      </c>
      <c r="B3704" s="1">
        <v>9.1888767375E11</v>
      </c>
      <c r="C3704" s="15" t="str">
        <f t="shared" si="1"/>
        <v>pandeypooja4618@gmail.com918887673750</v>
      </c>
      <c r="D3704" s="17" t="s">
        <v>11001</v>
      </c>
      <c r="E3704" s="18" t="s">
        <v>68</v>
      </c>
    </row>
    <row r="3705">
      <c r="A3705" s="1" t="s">
        <v>5493</v>
      </c>
      <c r="B3705" s="1">
        <v>9.18108894246E11</v>
      </c>
      <c r="C3705" s="15" t="str">
        <f t="shared" si="1"/>
        <v>prajakta7089.pv@gmail.com918108894246</v>
      </c>
      <c r="D3705" s="17" t="s">
        <v>11002</v>
      </c>
      <c r="E3705" s="18" t="s">
        <v>68</v>
      </c>
    </row>
    <row r="3706">
      <c r="A3706" s="1" t="s">
        <v>3158</v>
      </c>
      <c r="B3706" s="1">
        <v>9.19790471941E11</v>
      </c>
      <c r="C3706" s="15" t="str">
        <f t="shared" si="1"/>
        <v>venkidu2012@gmail.com919790471941</v>
      </c>
      <c r="D3706" s="17" t="s">
        <v>11003</v>
      </c>
      <c r="E3706" s="18" t="s">
        <v>68</v>
      </c>
    </row>
    <row r="3707">
      <c r="A3707" s="1" t="s">
        <v>5053</v>
      </c>
      <c r="B3707" s="1">
        <v>9.19819597283E11</v>
      </c>
      <c r="C3707" s="15" t="str">
        <f t="shared" si="1"/>
        <v>aartilad13@gmail.com919819597283</v>
      </c>
      <c r="D3707" s="17" t="s">
        <v>11004</v>
      </c>
      <c r="E3707" s="18" t="s">
        <v>68</v>
      </c>
    </row>
    <row r="3708">
      <c r="A3708" s="1" t="s">
        <v>2884</v>
      </c>
      <c r="B3708" s="1">
        <v>9.19986932177E11</v>
      </c>
      <c r="C3708" s="15" t="str">
        <f t="shared" si="1"/>
        <v>prabhakar.mourthy@gmail.com919986932177</v>
      </c>
      <c r="D3708" s="17" t="s">
        <v>11005</v>
      </c>
      <c r="E3708" s="18" t="s">
        <v>68</v>
      </c>
    </row>
    <row r="3709">
      <c r="A3709" s="1" t="s">
        <v>3159</v>
      </c>
      <c r="B3709" s="1">
        <v>9.1797077293E11</v>
      </c>
      <c r="C3709" s="15" t="str">
        <f t="shared" si="1"/>
        <v>mishrashruti202@gmail.com917970772930</v>
      </c>
      <c r="D3709" s="17" t="s">
        <v>11006</v>
      </c>
      <c r="E3709" s="18" t="s">
        <v>68</v>
      </c>
    </row>
    <row r="3710">
      <c r="A3710" s="1" t="s">
        <v>3160</v>
      </c>
      <c r="B3710" s="1">
        <v>9.18093944003E11</v>
      </c>
      <c r="C3710" s="15" t="str">
        <f t="shared" si="1"/>
        <v>anamika23.t@gmail.com918093944003</v>
      </c>
      <c r="D3710" s="17" t="s">
        <v>11007</v>
      </c>
      <c r="E3710" s="18" t="s">
        <v>74</v>
      </c>
    </row>
    <row r="3711">
      <c r="A3711" s="1" t="s">
        <v>3160</v>
      </c>
      <c r="B3711" s="1">
        <v>9.18093944003E11</v>
      </c>
      <c r="C3711" s="15" t="str">
        <f t="shared" si="1"/>
        <v>anamika23.t@gmail.com918093944003</v>
      </c>
      <c r="D3711" s="17" t="s">
        <v>11008</v>
      </c>
      <c r="E3711" s="18" t="s">
        <v>97</v>
      </c>
    </row>
    <row r="3712">
      <c r="A3712" s="1" t="s">
        <v>3160</v>
      </c>
      <c r="B3712" s="1">
        <v>9.18093944003E11</v>
      </c>
      <c r="C3712" s="15" t="str">
        <f t="shared" si="1"/>
        <v>anamika23.t@gmail.com918093944003</v>
      </c>
      <c r="D3712" s="17" t="s">
        <v>11009</v>
      </c>
      <c r="E3712" s="18" t="s">
        <v>97</v>
      </c>
    </row>
    <row r="3713">
      <c r="A3713" s="1" t="s">
        <v>3160</v>
      </c>
      <c r="B3713" s="1">
        <v>9.18093944003E11</v>
      </c>
      <c r="C3713" s="15" t="str">
        <f t="shared" si="1"/>
        <v>anamika23.t@gmail.com918093944003</v>
      </c>
      <c r="D3713" s="17" t="s">
        <v>11010</v>
      </c>
      <c r="E3713" s="18" t="s">
        <v>74</v>
      </c>
    </row>
    <row r="3714">
      <c r="A3714" s="1" t="s">
        <v>3160</v>
      </c>
      <c r="B3714" s="1">
        <v>9.18093944003E11</v>
      </c>
      <c r="C3714" s="15" t="str">
        <f t="shared" si="1"/>
        <v>anamika23.t@gmail.com918093944003</v>
      </c>
      <c r="D3714" s="17" t="s">
        <v>11011</v>
      </c>
      <c r="E3714" s="18" t="s">
        <v>68</v>
      </c>
    </row>
    <row r="3715">
      <c r="A3715" s="1" t="s">
        <v>3277</v>
      </c>
      <c r="B3715" s="1">
        <v>9.19900767046E11</v>
      </c>
      <c r="C3715" s="15" t="str">
        <f t="shared" si="1"/>
        <v>dhanushcachar@gmail.com919900767046</v>
      </c>
      <c r="D3715" s="17" t="s">
        <v>11012</v>
      </c>
      <c r="E3715" s="18" t="s">
        <v>68</v>
      </c>
    </row>
    <row r="3716">
      <c r="A3716" s="1" t="s">
        <v>3277</v>
      </c>
      <c r="B3716" s="1">
        <v>9.19900767046E11</v>
      </c>
      <c r="C3716" s="15" t="str">
        <f t="shared" si="1"/>
        <v>dhanushcachar@gmail.com919900767046</v>
      </c>
      <c r="D3716" s="17" t="s">
        <v>11013</v>
      </c>
      <c r="E3716" s="18" t="s">
        <v>68</v>
      </c>
    </row>
    <row r="3717">
      <c r="A3717" s="1" t="s">
        <v>5591</v>
      </c>
      <c r="B3717" s="1">
        <v>9.19720803108E11</v>
      </c>
      <c r="C3717" s="15" t="str">
        <f t="shared" si="1"/>
        <v>riyachand794@gmail.com919720803108</v>
      </c>
      <c r="D3717" s="17" t="s">
        <v>11014</v>
      </c>
      <c r="E3717" s="18" t="s">
        <v>68</v>
      </c>
    </row>
    <row r="3718">
      <c r="A3718" s="1" t="s">
        <v>5591</v>
      </c>
      <c r="B3718" s="1">
        <v>9.19720803108E11</v>
      </c>
      <c r="C3718" s="15" t="str">
        <f t="shared" si="1"/>
        <v>riyachand794@gmail.com919720803108</v>
      </c>
      <c r="D3718" s="17" t="s">
        <v>11015</v>
      </c>
      <c r="E3718" s="18" t="s">
        <v>68</v>
      </c>
    </row>
    <row r="3719">
      <c r="A3719" s="1" t="s">
        <v>2885</v>
      </c>
      <c r="B3719" s="1">
        <v>9.18921529516E11</v>
      </c>
      <c r="C3719" s="15" t="str">
        <f t="shared" si="1"/>
        <v>kanchanajayan2@gmail.com918921529516</v>
      </c>
      <c r="D3719" s="17" t="s">
        <v>11016</v>
      </c>
      <c r="E3719" s="18" t="s">
        <v>68</v>
      </c>
    </row>
    <row r="3720">
      <c r="A3720" s="1" t="s">
        <v>5494</v>
      </c>
      <c r="B3720" s="1">
        <v>9.17007526375E11</v>
      </c>
      <c r="C3720" s="15" t="str">
        <f t="shared" si="1"/>
        <v>divyanshisingh196@gmail.com917007526375</v>
      </c>
      <c r="D3720" s="17" t="s">
        <v>11017</v>
      </c>
      <c r="E3720" s="18" t="s">
        <v>68</v>
      </c>
    </row>
    <row r="3721">
      <c r="A3721" s="1" t="s">
        <v>5592</v>
      </c>
      <c r="B3721" s="1">
        <v>9.17506863248E11</v>
      </c>
      <c r="C3721" s="15" t="str">
        <f t="shared" si="1"/>
        <v>pranitbandre005@gmail.com917506863248</v>
      </c>
      <c r="D3721" s="17" t="s">
        <v>11018</v>
      </c>
      <c r="E3721" s="18" t="s">
        <v>68</v>
      </c>
    </row>
    <row r="3722">
      <c r="A3722" s="1" t="s">
        <v>11019</v>
      </c>
      <c r="B3722" s="1">
        <v>9.1639372122E11</v>
      </c>
      <c r="C3722" s="15" t="str">
        <f t="shared" si="1"/>
        <v>preciouspearl16@ymail.com916393721220</v>
      </c>
      <c r="D3722" s="17" t="s">
        <v>11020</v>
      </c>
      <c r="E3722" s="18" t="s">
        <v>97</v>
      </c>
    </row>
    <row r="3723">
      <c r="A3723" s="1" t="s">
        <v>4389</v>
      </c>
      <c r="B3723" s="1">
        <v>9.18919555586E11</v>
      </c>
      <c r="C3723" s="15" t="str">
        <f t="shared" si="1"/>
        <v>sandeepsheshadri.m@gmail.com918919555586</v>
      </c>
      <c r="D3723" s="17" t="s">
        <v>11021</v>
      </c>
      <c r="E3723" s="18" t="s">
        <v>68</v>
      </c>
    </row>
    <row r="3724">
      <c r="A3724" s="1" t="s">
        <v>11022</v>
      </c>
      <c r="B3724" s="1">
        <v>9.17887568169E11</v>
      </c>
      <c r="C3724" s="15" t="str">
        <f t="shared" si="1"/>
        <v>apurvadesale04@gmail.com917887568169</v>
      </c>
      <c r="D3724" s="17" t="s">
        <v>11023</v>
      </c>
      <c r="E3724" s="18" t="s">
        <v>68</v>
      </c>
    </row>
    <row r="3725">
      <c r="A3725" s="1" t="s">
        <v>6425</v>
      </c>
      <c r="B3725" s="1">
        <v>9.17013284115E11</v>
      </c>
      <c r="C3725" s="15" t="str">
        <f t="shared" si="1"/>
        <v>imransyed.ayaanss@gmail.com917013284115</v>
      </c>
      <c r="D3725" s="17" t="s">
        <v>11024</v>
      </c>
      <c r="E3725" s="18" t="s">
        <v>68</v>
      </c>
    </row>
    <row r="3726">
      <c r="A3726" s="1" t="s">
        <v>3941</v>
      </c>
      <c r="B3726" s="1">
        <v>9.19004757978E11</v>
      </c>
      <c r="C3726" s="15" t="str">
        <f t="shared" si="1"/>
        <v>maheshkunder07@gmail.com919004757978</v>
      </c>
      <c r="D3726" s="17" t="s">
        <v>11025</v>
      </c>
      <c r="E3726" s="18" t="s">
        <v>68</v>
      </c>
    </row>
    <row r="3727">
      <c r="A3727" s="1" t="s">
        <v>11026</v>
      </c>
      <c r="B3727" s="1">
        <v>9.18446188859E11</v>
      </c>
      <c r="C3727" s="15" t="str">
        <f t="shared" si="1"/>
        <v>ntg0411@gmail.com918446188859</v>
      </c>
      <c r="D3727" s="17" t="s">
        <v>11027</v>
      </c>
      <c r="E3727" s="18" t="s">
        <v>151</v>
      </c>
    </row>
    <row r="3728">
      <c r="A3728" s="1" t="s">
        <v>3158</v>
      </c>
      <c r="B3728" s="1">
        <v>9.19790471941E11</v>
      </c>
      <c r="C3728" s="15" t="str">
        <f t="shared" si="1"/>
        <v>venkidu2012@gmail.com919790471941</v>
      </c>
      <c r="D3728" s="17" t="s">
        <v>11028</v>
      </c>
      <c r="E3728" s="18" t="s">
        <v>68</v>
      </c>
    </row>
    <row r="3729">
      <c r="A3729" s="1" t="s">
        <v>4502</v>
      </c>
      <c r="B3729" s="1">
        <v>9.19820808583E11</v>
      </c>
      <c r="C3729" s="15" t="str">
        <f t="shared" si="1"/>
        <v>garg_dheeraj@ymail.com919820808583</v>
      </c>
      <c r="D3729" s="17" t="s">
        <v>11029</v>
      </c>
      <c r="E3729" s="18" t="s">
        <v>68</v>
      </c>
    </row>
    <row r="3730">
      <c r="A3730" s="1" t="s">
        <v>11030</v>
      </c>
      <c r="B3730" s="1">
        <v>9.1886191647E11</v>
      </c>
      <c r="C3730" s="15" t="str">
        <f t="shared" si="1"/>
        <v>indira1918@gmail.com918861916470</v>
      </c>
      <c r="D3730" s="17" t="s">
        <v>11031</v>
      </c>
      <c r="E3730" s="18" t="s">
        <v>151</v>
      </c>
    </row>
    <row r="3731">
      <c r="A3731" s="1" t="s">
        <v>11032</v>
      </c>
      <c r="B3731" s="1">
        <v>9.19366515714E11</v>
      </c>
      <c r="C3731" s="15" t="str">
        <f t="shared" si="1"/>
        <v>mre172430@gmail.com919366515714</v>
      </c>
      <c r="D3731" s="17" t="s">
        <v>11033</v>
      </c>
      <c r="E3731" s="18" t="s">
        <v>151</v>
      </c>
    </row>
    <row r="3732">
      <c r="A3732" s="1" t="s">
        <v>11034</v>
      </c>
      <c r="B3732" s="1">
        <v>9.19205073089E11</v>
      </c>
      <c r="C3732" s="15" t="str">
        <f t="shared" si="1"/>
        <v>jitenmangla20.2015@gmail.com919205073089</v>
      </c>
      <c r="D3732" s="17" t="s">
        <v>11035</v>
      </c>
      <c r="E3732" s="18" t="s">
        <v>151</v>
      </c>
    </row>
    <row r="3733">
      <c r="A3733" s="1" t="s">
        <v>11034</v>
      </c>
      <c r="B3733" s="1">
        <v>9.19205073089E11</v>
      </c>
      <c r="C3733" s="15" t="str">
        <f t="shared" si="1"/>
        <v>jitenmangla20.2015@gmail.com919205073089</v>
      </c>
      <c r="D3733" s="17" t="s">
        <v>11036</v>
      </c>
      <c r="E3733" s="18" t="s">
        <v>151</v>
      </c>
    </row>
    <row r="3734">
      <c r="A3734" s="1" t="s">
        <v>11034</v>
      </c>
      <c r="B3734" s="1">
        <v>9.19205073089E11</v>
      </c>
      <c r="C3734" s="15" t="str">
        <f t="shared" si="1"/>
        <v>jitenmangla20.2015@gmail.com919205073089</v>
      </c>
      <c r="D3734" s="17" t="s">
        <v>11037</v>
      </c>
      <c r="E3734" s="18" t="s">
        <v>68</v>
      </c>
    </row>
    <row r="3735">
      <c r="A3735" s="1" t="s">
        <v>2844</v>
      </c>
      <c r="B3735" s="1">
        <v>9.17093081109E11</v>
      </c>
      <c r="C3735" s="15" t="str">
        <f t="shared" si="1"/>
        <v>scarysai@gmail.com917093081109</v>
      </c>
      <c r="D3735" s="17" t="s">
        <v>11038</v>
      </c>
      <c r="E3735" s="18" t="s">
        <v>68</v>
      </c>
    </row>
    <row r="3736">
      <c r="A3736" s="1" t="s">
        <v>11039</v>
      </c>
      <c r="B3736" s="1">
        <v>9.19083166563E11</v>
      </c>
      <c r="C3736" s="15" t="str">
        <f t="shared" si="1"/>
        <v>jakirhossin6871@gmail.com919083166563</v>
      </c>
      <c r="D3736" s="17" t="s">
        <v>11040</v>
      </c>
      <c r="E3736" s="18" t="s">
        <v>151</v>
      </c>
    </row>
    <row r="3737">
      <c r="A3737" s="1" t="s">
        <v>11041</v>
      </c>
      <c r="B3737" s="1">
        <v>9.18105206252E11</v>
      </c>
      <c r="C3737" s="15" t="str">
        <f t="shared" si="1"/>
        <v>nishalakandri319@gmail.com918105206252</v>
      </c>
      <c r="D3737" s="17" t="s">
        <v>11042</v>
      </c>
      <c r="E3737" s="18" t="s">
        <v>68</v>
      </c>
    </row>
    <row r="3738">
      <c r="A3738" s="1" t="s">
        <v>3500</v>
      </c>
      <c r="B3738" s="1">
        <v>9.18317432829E11</v>
      </c>
      <c r="C3738" s="15" t="str">
        <f t="shared" si="1"/>
        <v>ritusneha9@gmail.com918317432829</v>
      </c>
      <c r="D3738" s="17" t="s">
        <v>11043</v>
      </c>
      <c r="E3738" s="18" t="s">
        <v>68</v>
      </c>
    </row>
    <row r="3739">
      <c r="A3739" s="1" t="s">
        <v>11044</v>
      </c>
      <c r="B3739" s="1">
        <v>9.18528137219E11</v>
      </c>
      <c r="C3739" s="15" t="str">
        <f t="shared" si="1"/>
        <v>neharajputneha074@gmail.com918528137219</v>
      </c>
      <c r="D3739" s="17" t="s">
        <v>11045</v>
      </c>
      <c r="E3739" s="18" t="s">
        <v>151</v>
      </c>
    </row>
    <row r="3740">
      <c r="A3740" s="1" t="s">
        <v>4750</v>
      </c>
      <c r="B3740" s="1">
        <v>9.170244462E11</v>
      </c>
      <c r="C3740" s="15" t="str">
        <f t="shared" si="1"/>
        <v>gaquravsihani27@gmail.com917024446200</v>
      </c>
      <c r="D3740" s="17" t="s">
        <v>11046</v>
      </c>
      <c r="E3740" s="18" t="s">
        <v>68</v>
      </c>
    </row>
    <row r="3741">
      <c r="A3741" s="1" t="s">
        <v>2886</v>
      </c>
      <c r="B3741" s="1">
        <v>9.18288928554E11</v>
      </c>
      <c r="C3741" s="15" t="str">
        <f t="shared" si="1"/>
        <v>mehaksharma2606@gmail.com918288928554</v>
      </c>
      <c r="D3741" s="17" t="s">
        <v>11047</v>
      </c>
      <c r="E3741" s="18" t="s">
        <v>68</v>
      </c>
    </row>
    <row r="3742">
      <c r="A3742" s="1" t="s">
        <v>3278</v>
      </c>
      <c r="B3742" s="1">
        <v>9.1773814126E11</v>
      </c>
      <c r="C3742" s="15" t="str">
        <f t="shared" si="1"/>
        <v>tejshreeamankar@gmail.com917738141260</v>
      </c>
      <c r="D3742" s="17" t="s">
        <v>11048</v>
      </c>
      <c r="E3742" s="18" t="s">
        <v>68</v>
      </c>
    </row>
    <row r="3743">
      <c r="A3743" s="1" t="s">
        <v>5934</v>
      </c>
      <c r="B3743" s="1">
        <v>9.19049999609E11</v>
      </c>
      <c r="C3743" s="15" t="str">
        <f t="shared" si="1"/>
        <v>ashishkuril81@gmail.com919049999609</v>
      </c>
      <c r="D3743" s="17" t="s">
        <v>11049</v>
      </c>
      <c r="E3743" s="18" t="s">
        <v>97</v>
      </c>
    </row>
    <row r="3744">
      <c r="A3744" s="1" t="s">
        <v>11050</v>
      </c>
      <c r="B3744" s="1">
        <v>9.19717171246E11</v>
      </c>
      <c r="C3744" s="15" t="str">
        <f t="shared" si="1"/>
        <v>punnaa.puneet@gmail.com919717171246</v>
      </c>
      <c r="D3744" s="17" t="s">
        <v>11051</v>
      </c>
      <c r="E3744" s="18" t="s">
        <v>74</v>
      </c>
    </row>
    <row r="3745">
      <c r="A3745" s="1" t="s">
        <v>11050</v>
      </c>
      <c r="B3745" s="1">
        <v>9.19717171246E11</v>
      </c>
      <c r="C3745" s="15" t="str">
        <f t="shared" si="1"/>
        <v>punnaa.puneet@gmail.com919717171246</v>
      </c>
      <c r="D3745" s="17" t="s">
        <v>11052</v>
      </c>
      <c r="E3745" s="18" t="s">
        <v>74</v>
      </c>
    </row>
    <row r="3746">
      <c r="A3746" s="1" t="s">
        <v>11053</v>
      </c>
      <c r="B3746" s="1">
        <v>9.18956969419E11</v>
      </c>
      <c r="C3746" s="15" t="str">
        <f t="shared" si="1"/>
        <v>kuraneeraj18@gmail.com918956969419</v>
      </c>
      <c r="D3746" s="17" t="s">
        <v>11054</v>
      </c>
      <c r="E3746" s="18" t="s">
        <v>151</v>
      </c>
    </row>
    <row r="3747">
      <c r="A3747" s="1" t="s">
        <v>3724</v>
      </c>
      <c r="B3747" s="1">
        <v>9.17585806931E11</v>
      </c>
      <c r="C3747" s="15" t="str">
        <f t="shared" si="1"/>
        <v>animeshpradhan27@gmail.com917585806931</v>
      </c>
      <c r="D3747" s="17" t="s">
        <v>11055</v>
      </c>
      <c r="E3747" s="18" t="s">
        <v>68</v>
      </c>
    </row>
    <row r="3748">
      <c r="A3748" s="1" t="s">
        <v>3998</v>
      </c>
      <c r="B3748" s="1">
        <v>9.1967317997E11</v>
      </c>
      <c r="C3748" s="15" t="str">
        <f t="shared" si="1"/>
        <v>05poojapatil@gmail.com919673179970</v>
      </c>
      <c r="D3748" s="17" t="s">
        <v>11056</v>
      </c>
      <c r="E3748" s="18" t="s">
        <v>68</v>
      </c>
    </row>
    <row r="3749">
      <c r="A3749" s="1" t="s">
        <v>2552</v>
      </c>
      <c r="B3749" s="1">
        <v>9.18427693486E11</v>
      </c>
      <c r="C3749" s="15" t="str">
        <f t="shared" si="1"/>
        <v>vanshikathakur2811@gmail.com918427693486</v>
      </c>
      <c r="D3749" s="17" t="s">
        <v>11057</v>
      </c>
      <c r="E3749" s="18" t="s">
        <v>68</v>
      </c>
    </row>
    <row r="3750">
      <c r="A3750" s="1" t="s">
        <v>11058</v>
      </c>
      <c r="B3750" s="1">
        <v>9.17993004993E11</v>
      </c>
      <c r="C3750" s="15" t="str">
        <f t="shared" si="1"/>
        <v>rayudugontimukkala@gmail.com917993004993</v>
      </c>
      <c r="D3750" s="17" t="s">
        <v>11059</v>
      </c>
      <c r="E3750" s="18" t="s">
        <v>151</v>
      </c>
    </row>
    <row r="3751">
      <c r="A3751" s="1" t="s">
        <v>11060</v>
      </c>
      <c r="B3751" s="1">
        <v>9.17749908126E11</v>
      </c>
      <c r="C3751" s="15" t="str">
        <f t="shared" si="1"/>
        <v>designsbynishita@gmail.com917749908126</v>
      </c>
      <c r="D3751" s="17" t="s">
        <v>11061</v>
      </c>
      <c r="E3751" s="18" t="s">
        <v>74</v>
      </c>
    </row>
    <row r="3752">
      <c r="A3752" s="1" t="s">
        <v>3725</v>
      </c>
      <c r="B3752" s="1">
        <v>9.19910014871E11</v>
      </c>
      <c r="C3752" s="15" t="str">
        <f t="shared" si="1"/>
        <v>srishti.amity@gmail.com919910014871</v>
      </c>
      <c r="D3752" s="17" t="s">
        <v>11062</v>
      </c>
      <c r="E3752" s="18" t="s">
        <v>68</v>
      </c>
    </row>
    <row r="3753">
      <c r="A3753" s="1" t="s">
        <v>4751</v>
      </c>
      <c r="B3753" s="1">
        <v>9.18360293596E11</v>
      </c>
      <c r="C3753" s="15" t="str">
        <f t="shared" si="1"/>
        <v>vandanarawat197@yahoo.com918360293596</v>
      </c>
      <c r="D3753" s="17" t="s">
        <v>11063</v>
      </c>
      <c r="E3753" s="18" t="s">
        <v>74</v>
      </c>
    </row>
    <row r="3754">
      <c r="A3754" s="1" t="s">
        <v>4752</v>
      </c>
      <c r="B3754" s="1">
        <v>9.191649878E11</v>
      </c>
      <c r="C3754" s="15" t="str">
        <f t="shared" si="1"/>
        <v>sumeetdba@gmail.com919164987800</v>
      </c>
      <c r="D3754" s="17" t="s">
        <v>11064</v>
      </c>
      <c r="E3754" s="18" t="s">
        <v>74</v>
      </c>
    </row>
    <row r="3755">
      <c r="A3755" s="1" t="s">
        <v>11065</v>
      </c>
      <c r="B3755" s="1">
        <v>9.18607372348E11</v>
      </c>
      <c r="C3755" s="15" t="str">
        <f t="shared" si="1"/>
        <v>sanchitdas214@gmail.com918607372348</v>
      </c>
      <c r="D3755" s="17" t="s">
        <v>11066</v>
      </c>
      <c r="E3755" s="18" t="s">
        <v>74</v>
      </c>
    </row>
    <row r="3756">
      <c r="A3756" s="1" t="s">
        <v>4503</v>
      </c>
      <c r="B3756" s="1">
        <v>9.18149833346E11</v>
      </c>
      <c r="C3756" s="15" t="str">
        <f t="shared" si="1"/>
        <v>pavee4all@gmail.com918149833346</v>
      </c>
      <c r="D3756" s="17" t="s">
        <v>11067</v>
      </c>
      <c r="E3756" s="18" t="s">
        <v>68</v>
      </c>
    </row>
    <row r="3757">
      <c r="A3757" s="1" t="s">
        <v>3839</v>
      </c>
      <c r="B3757" s="1">
        <v>9.18756894044E11</v>
      </c>
      <c r="C3757" s="15" t="str">
        <f t="shared" si="1"/>
        <v>raghu2890@gmail.com918756894044</v>
      </c>
      <c r="D3757" s="17" t="s">
        <v>11068</v>
      </c>
      <c r="E3757" s="18" t="s">
        <v>68</v>
      </c>
    </row>
    <row r="3758">
      <c r="A3758" s="1" t="s">
        <v>5290</v>
      </c>
      <c r="B3758" s="1">
        <v>9.19717389836E11</v>
      </c>
      <c r="C3758" s="15" t="str">
        <f t="shared" si="1"/>
        <v>mlpgayathri@gmail.com919717389836</v>
      </c>
      <c r="D3758" s="17" t="s">
        <v>11069</v>
      </c>
      <c r="E3758" s="18" t="s">
        <v>68</v>
      </c>
    </row>
    <row r="3759">
      <c r="A3759" s="1" t="s">
        <v>3942</v>
      </c>
      <c r="B3759" s="1">
        <v>9.17010780648E11</v>
      </c>
      <c r="C3759" s="15" t="str">
        <f t="shared" si="1"/>
        <v>vprforever@gmail.com917010780648</v>
      </c>
      <c r="D3759" s="17" t="s">
        <v>11070</v>
      </c>
      <c r="E3759" s="18" t="s">
        <v>68</v>
      </c>
    </row>
    <row r="3760">
      <c r="A3760" s="1" t="s">
        <v>5291</v>
      </c>
      <c r="B3760" s="1">
        <v>9.19911240246E11</v>
      </c>
      <c r="C3760" s="15" t="str">
        <f t="shared" si="1"/>
        <v>ssg009008@gmail.com919911240246</v>
      </c>
      <c r="D3760" s="17" t="s">
        <v>11071</v>
      </c>
      <c r="E3760" s="18" t="s">
        <v>68</v>
      </c>
    </row>
    <row r="3761">
      <c r="A3761" s="1" t="s">
        <v>2553</v>
      </c>
      <c r="B3761" s="1">
        <v>9.17875897782E11</v>
      </c>
      <c r="C3761" s="15" t="str">
        <f t="shared" si="1"/>
        <v>ayushijain0624@gmail.com917875897782</v>
      </c>
      <c r="D3761" s="17" t="s">
        <v>11072</v>
      </c>
      <c r="E3761" s="18" t="s">
        <v>68</v>
      </c>
    </row>
    <row r="3762">
      <c r="A3762" s="1" t="s">
        <v>6485</v>
      </c>
      <c r="B3762" s="1">
        <v>9.18447208914E11</v>
      </c>
      <c r="C3762" s="15" t="str">
        <f t="shared" si="1"/>
        <v>annusmail@gmail.com918447208914</v>
      </c>
      <c r="D3762" s="17" t="s">
        <v>11073</v>
      </c>
      <c r="E3762" s="18" t="s">
        <v>74</v>
      </c>
    </row>
    <row r="3763">
      <c r="A3763" s="1" t="s">
        <v>6653</v>
      </c>
      <c r="B3763" s="1">
        <v>9.18770198368E11</v>
      </c>
      <c r="C3763" s="15" t="str">
        <f t="shared" si="1"/>
        <v>ss70259@gmail.com918770198368</v>
      </c>
      <c r="D3763" s="17" t="s">
        <v>11074</v>
      </c>
      <c r="E3763" s="18" t="s">
        <v>68</v>
      </c>
    </row>
    <row r="3764">
      <c r="A3764" s="1" t="s">
        <v>4753</v>
      </c>
      <c r="B3764" s="1">
        <v>9.19051517176E11</v>
      </c>
      <c r="C3764" s="15" t="str">
        <f t="shared" si="1"/>
        <v>firozshaikh622@gmail.com919051517176</v>
      </c>
      <c r="D3764" s="17" t="s">
        <v>11075</v>
      </c>
      <c r="E3764" s="18" t="s">
        <v>68</v>
      </c>
    </row>
    <row r="3765">
      <c r="A3765" s="1" t="s">
        <v>2442</v>
      </c>
      <c r="B3765" s="1">
        <v>9.18283088675E11</v>
      </c>
      <c r="C3765" s="15" t="str">
        <f t="shared" si="1"/>
        <v>thehappypankaj@yahoo.com918283088675</v>
      </c>
      <c r="D3765" s="17" t="s">
        <v>11076</v>
      </c>
      <c r="E3765" s="18" t="s">
        <v>68</v>
      </c>
    </row>
    <row r="3766">
      <c r="A3766" s="1" t="s">
        <v>11077</v>
      </c>
      <c r="B3766" s="1">
        <v>9.17036045678E11</v>
      </c>
      <c r="C3766" s="15" t="str">
        <f t="shared" si="1"/>
        <v>yashagarwal45678@gmail.com917036045678</v>
      </c>
      <c r="D3766" s="17" t="s">
        <v>11078</v>
      </c>
      <c r="E3766" s="18" t="s">
        <v>151</v>
      </c>
    </row>
    <row r="3767">
      <c r="A3767" s="1" t="s">
        <v>5495</v>
      </c>
      <c r="B3767" s="1">
        <v>9.19123065728E11</v>
      </c>
      <c r="C3767" s="15" t="str">
        <f t="shared" si="1"/>
        <v>sagniksnow@gmail.com919123065728</v>
      </c>
      <c r="D3767" s="17" t="s">
        <v>11079</v>
      </c>
      <c r="E3767" s="18" t="s">
        <v>68</v>
      </c>
    </row>
    <row r="3768">
      <c r="A3768" s="1" t="s">
        <v>5593</v>
      </c>
      <c r="B3768" s="1">
        <v>9.19741601609E11</v>
      </c>
      <c r="C3768" s="15" t="str">
        <f t="shared" si="1"/>
        <v>sanyogeeta999@gmail.com919741601609</v>
      </c>
      <c r="D3768" s="17" t="s">
        <v>11080</v>
      </c>
      <c r="E3768" s="18" t="s">
        <v>68</v>
      </c>
    </row>
    <row r="3769">
      <c r="A3769" s="1" t="s">
        <v>5593</v>
      </c>
      <c r="B3769" s="1">
        <v>9.19741601609E11</v>
      </c>
      <c r="C3769" s="15" t="str">
        <f t="shared" si="1"/>
        <v>sanyogeeta999@gmail.com919741601609</v>
      </c>
      <c r="D3769" s="17" t="s">
        <v>11081</v>
      </c>
      <c r="E3769" s="18" t="s">
        <v>68</v>
      </c>
    </row>
    <row r="3770">
      <c r="A3770" s="1" t="s">
        <v>5055</v>
      </c>
      <c r="B3770" s="1">
        <v>9.19657233842E11</v>
      </c>
      <c r="C3770" s="15" t="str">
        <f t="shared" si="1"/>
        <v>akshaykhaire13@gmail.com919657233842</v>
      </c>
      <c r="D3770" s="17" t="s">
        <v>11082</v>
      </c>
      <c r="E3770" s="18" t="s">
        <v>68</v>
      </c>
    </row>
    <row r="3771">
      <c r="A3771" s="1" t="s">
        <v>3501</v>
      </c>
      <c r="B3771" s="1">
        <v>9.19987116121E11</v>
      </c>
      <c r="C3771" s="15" t="str">
        <f t="shared" si="1"/>
        <v>shailleshtannu@gmail.com919987116121</v>
      </c>
      <c r="D3771" s="17" t="s">
        <v>11083</v>
      </c>
      <c r="E3771" s="18" t="s">
        <v>68</v>
      </c>
    </row>
    <row r="3772">
      <c r="A3772" s="1" t="s">
        <v>5594</v>
      </c>
      <c r="B3772" s="1">
        <v>9.1807698554E11</v>
      </c>
      <c r="C3772" s="15" t="str">
        <f t="shared" si="1"/>
        <v>karishmasain7@gmail.com918076985540</v>
      </c>
      <c r="D3772" s="17" t="s">
        <v>11084</v>
      </c>
      <c r="E3772" s="18" t="s">
        <v>68</v>
      </c>
    </row>
    <row r="3773">
      <c r="A3773" s="1" t="s">
        <v>11085</v>
      </c>
      <c r="B3773" s="1">
        <v>9.19267939654E11</v>
      </c>
      <c r="C3773" s="15" t="str">
        <f t="shared" si="1"/>
        <v>dt.dharana@gmail.com919267939654</v>
      </c>
      <c r="D3773" s="17" t="s">
        <v>11086</v>
      </c>
      <c r="E3773" s="18" t="s">
        <v>68</v>
      </c>
    </row>
    <row r="3774">
      <c r="A3774" s="1" t="s">
        <v>3840</v>
      </c>
      <c r="B3774" s="1">
        <v>9.19004650532E11</v>
      </c>
      <c r="C3774" s="15" t="str">
        <f t="shared" si="1"/>
        <v>mohammed.kanor.07@gmail.com919004650532</v>
      </c>
      <c r="D3774" s="17" t="s">
        <v>11087</v>
      </c>
      <c r="E3774" s="18" t="s">
        <v>68</v>
      </c>
    </row>
    <row r="3775">
      <c r="A3775" s="1" t="s">
        <v>11085</v>
      </c>
      <c r="B3775" s="1">
        <v>9.19267939654E11</v>
      </c>
      <c r="C3775" s="15" t="str">
        <f t="shared" si="1"/>
        <v>dt.dharana@gmail.com919267939654</v>
      </c>
      <c r="D3775" s="17" t="s">
        <v>11088</v>
      </c>
      <c r="E3775" s="18" t="s">
        <v>68</v>
      </c>
    </row>
    <row r="3776">
      <c r="A3776" s="1" t="s">
        <v>11085</v>
      </c>
      <c r="B3776" s="1">
        <v>9.19267939654E11</v>
      </c>
      <c r="C3776" s="15" t="str">
        <f t="shared" si="1"/>
        <v>dt.dharana@gmail.com919267939654</v>
      </c>
      <c r="D3776" s="17" t="s">
        <v>11089</v>
      </c>
      <c r="E3776" s="18" t="s">
        <v>68</v>
      </c>
    </row>
    <row r="3777">
      <c r="A3777" s="1" t="s">
        <v>11085</v>
      </c>
      <c r="B3777" s="1">
        <v>9.19267939654E11</v>
      </c>
      <c r="C3777" s="15" t="str">
        <f t="shared" si="1"/>
        <v>dt.dharana@gmail.com919267939654</v>
      </c>
      <c r="D3777" s="17" t="s">
        <v>11090</v>
      </c>
      <c r="E3777" s="18" t="s">
        <v>68</v>
      </c>
    </row>
    <row r="3778">
      <c r="A3778" s="1" t="s">
        <v>3726</v>
      </c>
      <c r="B3778" s="1">
        <v>9.19174444411E11</v>
      </c>
      <c r="C3778" s="15" t="str">
        <f t="shared" si="1"/>
        <v>rakeshprajapati2012@gmail.com919174444411</v>
      </c>
      <c r="D3778" s="17" t="s">
        <v>11091</v>
      </c>
      <c r="E3778" s="18" t="s">
        <v>74</v>
      </c>
    </row>
    <row r="3779">
      <c r="A3779" s="1" t="s">
        <v>4223</v>
      </c>
      <c r="B3779" s="1">
        <v>9.19560893235E11</v>
      </c>
      <c r="C3779" s="15" t="str">
        <f t="shared" si="1"/>
        <v>komalkashyap01999@gmail.com919560893235</v>
      </c>
      <c r="D3779" s="17" t="s">
        <v>11092</v>
      </c>
      <c r="E3779" s="18" t="s">
        <v>68</v>
      </c>
    </row>
    <row r="3780">
      <c r="A3780" s="1" t="s">
        <v>4223</v>
      </c>
      <c r="B3780" s="1">
        <v>9.19560893235E11</v>
      </c>
      <c r="C3780" s="15" t="str">
        <f t="shared" si="1"/>
        <v>komalkashyap01999@gmail.com919560893235</v>
      </c>
      <c r="D3780" s="17" t="s">
        <v>11093</v>
      </c>
      <c r="E3780" s="18" t="s">
        <v>68</v>
      </c>
    </row>
    <row r="3781">
      <c r="A3781" s="1" t="s">
        <v>4224</v>
      </c>
      <c r="B3781" s="1">
        <v>9.17358489972E11</v>
      </c>
      <c r="C3781" s="15" t="str">
        <f t="shared" si="1"/>
        <v>shananair00@gmail.com917358489972</v>
      </c>
      <c r="D3781" s="17" t="s">
        <v>11094</v>
      </c>
      <c r="E3781" s="18" t="s">
        <v>68</v>
      </c>
    </row>
    <row r="3782">
      <c r="A3782" s="1" t="s">
        <v>11095</v>
      </c>
      <c r="B3782" s="1">
        <v>9.1769742543E11</v>
      </c>
      <c r="C3782" s="15" t="str">
        <f t="shared" si="1"/>
        <v>pg877073@gmail.com917697425430</v>
      </c>
      <c r="D3782" s="17" t="s">
        <v>11096</v>
      </c>
      <c r="E3782" s="18" t="s">
        <v>68</v>
      </c>
    </row>
    <row r="3783">
      <c r="A3783" s="1" t="s">
        <v>4224</v>
      </c>
      <c r="B3783" s="1">
        <v>9.17358489972E11</v>
      </c>
      <c r="C3783" s="15" t="str">
        <f t="shared" si="1"/>
        <v>shananair00@gmail.com917358489972</v>
      </c>
      <c r="D3783" s="17" t="s">
        <v>11097</v>
      </c>
      <c r="E3783" s="18" t="s">
        <v>68</v>
      </c>
    </row>
    <row r="3784">
      <c r="A3784" s="1" t="s">
        <v>4224</v>
      </c>
      <c r="B3784" s="1">
        <v>9.17358489972E11</v>
      </c>
      <c r="C3784" s="15" t="str">
        <f t="shared" si="1"/>
        <v>shananair00@gmail.com917358489972</v>
      </c>
      <c r="D3784" s="17" t="s">
        <v>11098</v>
      </c>
      <c r="E3784" s="18" t="s">
        <v>68</v>
      </c>
    </row>
    <row r="3785">
      <c r="A3785" s="1" t="s">
        <v>11099</v>
      </c>
      <c r="B3785" s="1">
        <v>9.17807388213E11</v>
      </c>
      <c r="C3785" s="15" t="str">
        <f t="shared" si="1"/>
        <v>nilesht8@gmail.com917807388213</v>
      </c>
      <c r="D3785" s="17" t="s">
        <v>11100</v>
      </c>
      <c r="E3785" s="18" t="s">
        <v>74</v>
      </c>
    </row>
    <row r="3786">
      <c r="A3786" s="1" t="s">
        <v>3502</v>
      </c>
      <c r="B3786" s="1">
        <v>9.19769683159E11</v>
      </c>
      <c r="C3786" s="15" t="str">
        <f t="shared" si="1"/>
        <v>komal20kharat@gmail.com919769683159</v>
      </c>
      <c r="D3786" s="17" t="s">
        <v>11101</v>
      </c>
      <c r="E3786" s="18" t="s">
        <v>68</v>
      </c>
    </row>
    <row r="3787">
      <c r="A3787" s="1" t="s">
        <v>6570</v>
      </c>
      <c r="B3787" s="1">
        <v>9.19818148156E11</v>
      </c>
      <c r="C3787" s="15" t="str">
        <f t="shared" si="1"/>
        <v>monika300383@gmail.com919818148156</v>
      </c>
      <c r="D3787" s="17" t="s">
        <v>11102</v>
      </c>
      <c r="E3787" s="18" t="s">
        <v>68</v>
      </c>
    </row>
    <row r="3788">
      <c r="A3788" s="1" t="s">
        <v>5595</v>
      </c>
      <c r="B3788" s="1">
        <v>9.179729688E11</v>
      </c>
      <c r="C3788" s="15" t="str">
        <f t="shared" si="1"/>
        <v>sushantb0007@gmail.com917972968800</v>
      </c>
      <c r="D3788" s="17" t="s">
        <v>11103</v>
      </c>
      <c r="E3788" s="18" t="s">
        <v>68</v>
      </c>
    </row>
    <row r="3789">
      <c r="A3789" s="1" t="s">
        <v>3503</v>
      </c>
      <c r="B3789" s="1">
        <v>9.19749886626E11</v>
      </c>
      <c r="C3789" s="15" t="str">
        <f t="shared" si="1"/>
        <v>mainaktito9@gmail.com919749886626</v>
      </c>
      <c r="D3789" s="17" t="s">
        <v>11104</v>
      </c>
      <c r="E3789" s="18" t="s">
        <v>68</v>
      </c>
    </row>
    <row r="3790">
      <c r="A3790" s="1" t="s">
        <v>5595</v>
      </c>
      <c r="B3790" s="1">
        <v>9.179729688E11</v>
      </c>
      <c r="C3790" s="15" t="str">
        <f t="shared" si="1"/>
        <v>sushantb0007@gmail.com917972968800</v>
      </c>
      <c r="D3790" s="17" t="s">
        <v>11105</v>
      </c>
      <c r="E3790" s="18" t="s">
        <v>68</v>
      </c>
    </row>
    <row r="3791">
      <c r="A3791" s="1" t="s">
        <v>5596</v>
      </c>
      <c r="B3791" s="1">
        <v>9.19793163491E11</v>
      </c>
      <c r="C3791" s="15" t="str">
        <f t="shared" si="1"/>
        <v>sanjiv.monu94@gmail.com919793163491</v>
      </c>
      <c r="D3791" s="17" t="s">
        <v>11106</v>
      </c>
      <c r="E3791" s="18" t="s">
        <v>68</v>
      </c>
    </row>
    <row r="3792">
      <c r="A3792" s="1" t="s">
        <v>11107</v>
      </c>
      <c r="B3792" s="1">
        <v>9.19370099127E11</v>
      </c>
      <c r="C3792" s="15" t="str">
        <f t="shared" si="1"/>
        <v>priteedhamane85@gmail.com919370099127</v>
      </c>
      <c r="D3792" s="17" t="s">
        <v>11108</v>
      </c>
      <c r="E3792" s="18" t="s">
        <v>151</v>
      </c>
    </row>
    <row r="3793">
      <c r="A3793" s="1" t="s">
        <v>5597</v>
      </c>
      <c r="B3793" s="1">
        <v>9.18000436505E11</v>
      </c>
      <c r="C3793" s="15" t="str">
        <f t="shared" si="1"/>
        <v>gauravkalal10@gmail.com918000436505</v>
      </c>
      <c r="D3793" s="17" t="s">
        <v>11109</v>
      </c>
      <c r="E3793" s="18" t="s">
        <v>68</v>
      </c>
    </row>
    <row r="3794">
      <c r="A3794" s="1" t="s">
        <v>11110</v>
      </c>
      <c r="B3794" s="1">
        <v>9.18885892598E11</v>
      </c>
      <c r="C3794" s="15" t="str">
        <f t="shared" si="1"/>
        <v>vickynani74@gmail.com918885892598</v>
      </c>
      <c r="D3794" s="17" t="s">
        <v>11111</v>
      </c>
      <c r="E3794" s="18" t="s">
        <v>151</v>
      </c>
    </row>
    <row r="3795">
      <c r="A3795" s="1" t="s">
        <v>11112</v>
      </c>
      <c r="B3795" s="1">
        <v>9.18762158057E11</v>
      </c>
      <c r="C3795" s="15" t="str">
        <f t="shared" si="1"/>
        <v>amol.madhale8@gmail.com918762158057</v>
      </c>
      <c r="D3795" s="17" t="s">
        <v>11113</v>
      </c>
      <c r="E3795" s="18" t="s">
        <v>151</v>
      </c>
    </row>
    <row r="3796">
      <c r="A3796" s="1" t="s">
        <v>5292</v>
      </c>
      <c r="B3796" s="1">
        <v>9.17007308238E11</v>
      </c>
      <c r="C3796" s="15" t="str">
        <f t="shared" si="1"/>
        <v>yajan.singh0@gmail.com917007308238</v>
      </c>
      <c r="D3796" s="17" t="s">
        <v>11114</v>
      </c>
      <c r="E3796" s="18" t="s">
        <v>68</v>
      </c>
    </row>
    <row r="3797">
      <c r="A3797" s="1" t="s">
        <v>11115</v>
      </c>
      <c r="B3797" s="1">
        <v>9.17007355405E11</v>
      </c>
      <c r="C3797" s="15" t="str">
        <f t="shared" si="1"/>
        <v>ksidra09aa@gmail.com917007355405</v>
      </c>
      <c r="D3797" s="17" t="s">
        <v>11116</v>
      </c>
      <c r="E3797" s="18" t="s">
        <v>74</v>
      </c>
    </row>
    <row r="3798">
      <c r="A3798" s="1" t="s">
        <v>5292</v>
      </c>
      <c r="B3798" s="1">
        <v>9.17007308238E11</v>
      </c>
      <c r="C3798" s="15" t="str">
        <f t="shared" si="1"/>
        <v>yajan.singh0@gmail.com917007308238</v>
      </c>
      <c r="D3798" s="17" t="s">
        <v>11117</v>
      </c>
      <c r="E3798" s="18" t="s">
        <v>68</v>
      </c>
    </row>
    <row r="3799">
      <c r="A3799" s="1" t="s">
        <v>11115</v>
      </c>
      <c r="B3799" s="1">
        <v>9.17007355405E11</v>
      </c>
      <c r="C3799" s="15" t="str">
        <f t="shared" si="1"/>
        <v>ksidra09aa@gmail.com917007355405</v>
      </c>
      <c r="D3799" s="17" t="s">
        <v>11118</v>
      </c>
      <c r="E3799" s="18" t="s">
        <v>74</v>
      </c>
    </row>
    <row r="3800">
      <c r="A3800" s="1" t="s">
        <v>3999</v>
      </c>
      <c r="B3800" s="1">
        <v>9.19871330327E11</v>
      </c>
      <c r="C3800" s="15" t="str">
        <f t="shared" si="1"/>
        <v>ankita.dasgupta04@gmail.com919871330327</v>
      </c>
      <c r="D3800" s="17" t="s">
        <v>11119</v>
      </c>
      <c r="E3800" s="18" t="s">
        <v>68</v>
      </c>
    </row>
    <row r="3801">
      <c r="A3801" s="1" t="s">
        <v>5598</v>
      </c>
      <c r="B3801" s="1">
        <v>9.19738212989E11</v>
      </c>
      <c r="C3801" s="15" t="str">
        <f t="shared" si="1"/>
        <v>manoharmd79@gmail.com919738212989</v>
      </c>
      <c r="D3801" s="17" t="s">
        <v>11120</v>
      </c>
      <c r="E3801" s="18" t="s">
        <v>68</v>
      </c>
    </row>
    <row r="3802">
      <c r="A3802" s="1" t="s">
        <v>2699</v>
      </c>
      <c r="B3802" s="1">
        <v>9.17291925134E11</v>
      </c>
      <c r="C3802" s="15" t="str">
        <f t="shared" si="1"/>
        <v>aashna.arora2912@gmail.com917291925134</v>
      </c>
      <c r="D3802" s="17" t="s">
        <v>11121</v>
      </c>
      <c r="E3802" s="18" t="s">
        <v>68</v>
      </c>
    </row>
    <row r="3803">
      <c r="A3803" s="1" t="s">
        <v>5496</v>
      </c>
      <c r="B3803" s="1">
        <v>9.19992649292E11</v>
      </c>
      <c r="C3803" s="15" t="str">
        <f t="shared" si="1"/>
        <v>dhingrag50@gmail.com919992649292</v>
      </c>
      <c r="D3803" s="17" t="s">
        <v>11122</v>
      </c>
      <c r="E3803" s="18" t="s">
        <v>68</v>
      </c>
    </row>
    <row r="3804">
      <c r="A3804" s="1" t="s">
        <v>5599</v>
      </c>
      <c r="B3804" s="1">
        <v>9.19896986611E11</v>
      </c>
      <c r="C3804" s="15" t="str">
        <f t="shared" si="1"/>
        <v>ankit.kaushal4@gmail.com919896986611</v>
      </c>
      <c r="D3804" s="17" t="s">
        <v>11123</v>
      </c>
      <c r="E3804" s="18" t="s">
        <v>68</v>
      </c>
    </row>
    <row r="3805">
      <c r="A3805" s="1" t="s">
        <v>2554</v>
      </c>
      <c r="B3805" s="1">
        <v>9.17321988222E11</v>
      </c>
      <c r="C3805" s="15" t="str">
        <f t="shared" si="1"/>
        <v>adesarakhyati9@gmail.com917321988222</v>
      </c>
      <c r="D3805" s="17" t="s">
        <v>11124</v>
      </c>
      <c r="E3805" s="18" t="s">
        <v>68</v>
      </c>
    </row>
    <row r="3806">
      <c r="A3806" s="1" t="s">
        <v>4390</v>
      </c>
      <c r="B3806" s="1">
        <v>9.19960903637E11</v>
      </c>
      <c r="C3806" s="15" t="str">
        <f t="shared" si="1"/>
        <v>amolchitale11@gmail.com919960903637</v>
      </c>
      <c r="D3806" s="17" t="s">
        <v>11125</v>
      </c>
      <c r="E3806" s="18" t="s">
        <v>68</v>
      </c>
    </row>
    <row r="3807">
      <c r="A3807" s="1" t="s">
        <v>11126</v>
      </c>
      <c r="B3807" s="1">
        <v>9.19966012928E11</v>
      </c>
      <c r="C3807" s="15" t="str">
        <f t="shared" si="1"/>
        <v>smitarani@yahoo.com919966012928</v>
      </c>
      <c r="D3807" s="17" t="s">
        <v>11127</v>
      </c>
      <c r="E3807" s="18" t="s">
        <v>68</v>
      </c>
    </row>
    <row r="3808">
      <c r="A3808" s="1" t="s">
        <v>11126</v>
      </c>
      <c r="B3808" s="1">
        <v>9.19966012928E11</v>
      </c>
      <c r="C3808" s="15" t="str">
        <f t="shared" si="1"/>
        <v>smitarani@yahoo.com919966012928</v>
      </c>
      <c r="D3808" s="17" t="s">
        <v>11128</v>
      </c>
      <c r="E3808" s="18" t="s">
        <v>74</v>
      </c>
    </row>
    <row r="3809">
      <c r="A3809" s="1" t="s">
        <v>4000</v>
      </c>
      <c r="B3809" s="1">
        <v>9.19819675259E11</v>
      </c>
      <c r="C3809" s="15" t="str">
        <f t="shared" si="1"/>
        <v>ksheth22@gmail.com919819675259</v>
      </c>
      <c r="D3809" s="17" t="s">
        <v>11129</v>
      </c>
      <c r="E3809" s="18" t="s">
        <v>68</v>
      </c>
    </row>
    <row r="3810">
      <c r="A3810" s="1" t="s">
        <v>11130</v>
      </c>
      <c r="B3810" s="1">
        <v>9.19893797078E11</v>
      </c>
      <c r="C3810" s="15" t="str">
        <f t="shared" si="1"/>
        <v>lavanyasaini96@gmail.com919893797078</v>
      </c>
      <c r="D3810" s="17" t="s">
        <v>11131</v>
      </c>
      <c r="E3810" s="18" t="s">
        <v>68</v>
      </c>
    </row>
    <row r="3811">
      <c r="A3811" s="1" t="s">
        <v>3943</v>
      </c>
      <c r="B3811" s="1">
        <v>9.18924876557E11</v>
      </c>
      <c r="C3811" s="15" t="str">
        <f t="shared" si="1"/>
        <v>rai4875@gmail.com918924876557</v>
      </c>
      <c r="D3811" s="17" t="s">
        <v>11132</v>
      </c>
      <c r="E3811" s="18" t="s">
        <v>68</v>
      </c>
    </row>
    <row r="3812">
      <c r="A3812" s="1" t="s">
        <v>11133</v>
      </c>
      <c r="B3812" s="1">
        <v>9.17551092326E11</v>
      </c>
      <c r="C3812" s="15" t="str">
        <f t="shared" si="1"/>
        <v>sabinahangma94@gmail.com917551092326</v>
      </c>
      <c r="D3812" s="17" t="s">
        <v>11134</v>
      </c>
      <c r="E3812" s="18" t="s">
        <v>68</v>
      </c>
    </row>
    <row r="3813">
      <c r="A3813" s="1" t="s">
        <v>11135</v>
      </c>
      <c r="B3813" s="1">
        <v>9.18619313399E11</v>
      </c>
      <c r="C3813" s="15" t="str">
        <f t="shared" si="1"/>
        <v>raoakshay790@gmail.com918619313399</v>
      </c>
      <c r="D3813" s="17" t="s">
        <v>11136</v>
      </c>
      <c r="E3813" s="18" t="s">
        <v>151</v>
      </c>
    </row>
    <row r="3814">
      <c r="A3814" s="1" t="s">
        <v>11135</v>
      </c>
      <c r="B3814" s="1">
        <v>9.17891919727E11</v>
      </c>
      <c r="C3814" s="15" t="str">
        <f t="shared" si="1"/>
        <v>raoakshay790@gmail.com917891919727</v>
      </c>
      <c r="D3814" s="17" t="s">
        <v>11137</v>
      </c>
      <c r="E3814" s="18" t="s">
        <v>151</v>
      </c>
    </row>
    <row r="3815">
      <c r="A3815" s="1" t="s">
        <v>11138</v>
      </c>
      <c r="B3815" s="1">
        <v>9.19424224482E11</v>
      </c>
      <c r="C3815" s="15" t="str">
        <f t="shared" si="1"/>
        <v>vidyapdubey.09@gmail.com919424224482</v>
      </c>
      <c r="D3815" s="17" t="s">
        <v>11139</v>
      </c>
      <c r="E3815" s="18" t="s">
        <v>68</v>
      </c>
    </row>
    <row r="3816">
      <c r="A3816" s="1" t="s">
        <v>11140</v>
      </c>
      <c r="B3816" s="1">
        <v>9.1988436097E11</v>
      </c>
      <c r="C3816" s="15" t="str">
        <f t="shared" si="1"/>
        <v>mugundh.dhivakar@gmail.com919884360970</v>
      </c>
      <c r="D3816" s="17" t="s">
        <v>11141</v>
      </c>
      <c r="E3816" s="18" t="s">
        <v>68</v>
      </c>
    </row>
    <row r="3817">
      <c r="A3817" s="1" t="s">
        <v>5293</v>
      </c>
      <c r="B3817" s="1">
        <v>9.19003200139E11</v>
      </c>
      <c r="C3817" s="15" t="str">
        <f t="shared" si="1"/>
        <v>sivavij2000@gmail.com919003200139</v>
      </c>
      <c r="D3817" s="17" t="s">
        <v>11142</v>
      </c>
      <c r="E3817" s="18" t="s">
        <v>68</v>
      </c>
    </row>
    <row r="3818">
      <c r="A3818" s="1" t="s">
        <v>11143</v>
      </c>
      <c r="B3818" s="1">
        <v>9.1928409554E11</v>
      </c>
      <c r="C3818" s="15" t="str">
        <f t="shared" si="1"/>
        <v>vedant.kadu98@gmail.com919284095540</v>
      </c>
      <c r="D3818" s="17" t="s">
        <v>11144</v>
      </c>
      <c r="E3818" s="18" t="s">
        <v>151</v>
      </c>
    </row>
    <row r="3819">
      <c r="A3819" s="1" t="s">
        <v>6426</v>
      </c>
      <c r="B3819" s="1">
        <v>9.19539598598E11</v>
      </c>
      <c r="C3819" s="15" t="str">
        <f t="shared" si="1"/>
        <v>nidhisubash1312@gmail.com919539598598</v>
      </c>
      <c r="D3819" s="17" t="s">
        <v>11145</v>
      </c>
      <c r="E3819" s="18" t="s">
        <v>151</v>
      </c>
    </row>
    <row r="3820">
      <c r="A3820" s="1" t="s">
        <v>11146</v>
      </c>
      <c r="B3820" s="1">
        <v>9.17032051018E11</v>
      </c>
      <c r="C3820" s="15" t="str">
        <f t="shared" si="1"/>
        <v>krishnavamsireddy77@gmail.com917032051018</v>
      </c>
      <c r="D3820" s="17" t="s">
        <v>11147</v>
      </c>
      <c r="E3820" s="18" t="s">
        <v>151</v>
      </c>
    </row>
    <row r="3821">
      <c r="A3821" s="1" t="s">
        <v>11148</v>
      </c>
      <c r="B3821" s="1">
        <v>9.18555800014E11</v>
      </c>
      <c r="C3821" s="15" t="str">
        <f t="shared" si="1"/>
        <v>vsvishu132@gmail.com918555800014</v>
      </c>
      <c r="D3821" s="17" t="s">
        <v>11149</v>
      </c>
      <c r="E3821" s="18" t="s">
        <v>68</v>
      </c>
    </row>
    <row r="3822">
      <c r="A3822" s="1" t="s">
        <v>5600</v>
      </c>
      <c r="B3822" s="1">
        <v>9.18726424329E11</v>
      </c>
      <c r="C3822" s="15" t="str">
        <f t="shared" si="1"/>
        <v>saudurrahman4u@gmail.com918726424329</v>
      </c>
      <c r="D3822" s="17" t="s">
        <v>11150</v>
      </c>
      <c r="E3822" s="18" t="s">
        <v>68</v>
      </c>
    </row>
    <row r="3823">
      <c r="A3823" s="1" t="s">
        <v>6427</v>
      </c>
      <c r="B3823" s="1">
        <v>9.17991120092E11</v>
      </c>
      <c r="C3823" s="15" t="str">
        <f t="shared" si="1"/>
        <v>susmitakundu255@gmail.com917991120092</v>
      </c>
      <c r="D3823" s="17" t="s">
        <v>11151</v>
      </c>
      <c r="E3823" s="18" t="s">
        <v>68</v>
      </c>
    </row>
    <row r="3824">
      <c r="A3824" s="1" t="s">
        <v>5497</v>
      </c>
      <c r="B3824" s="1">
        <v>9.19701713538E11</v>
      </c>
      <c r="C3824" s="15" t="str">
        <f t="shared" si="1"/>
        <v>dr.anand1420@gmail.com919701713538</v>
      </c>
      <c r="D3824" s="17" t="s">
        <v>11152</v>
      </c>
      <c r="E3824" s="18" t="s">
        <v>68</v>
      </c>
    </row>
    <row r="3825">
      <c r="A3825" s="1" t="s">
        <v>4852</v>
      </c>
      <c r="B3825" s="1">
        <v>9.18013117659E11</v>
      </c>
      <c r="C3825" s="15" t="str">
        <f t="shared" si="1"/>
        <v>poulami87roy@gmail.com918013117659</v>
      </c>
      <c r="D3825" s="17" t="s">
        <v>11153</v>
      </c>
      <c r="E3825" s="18" t="s">
        <v>74</v>
      </c>
    </row>
    <row r="3826">
      <c r="A3826" s="1" t="s">
        <v>11154</v>
      </c>
      <c r="B3826" s="1">
        <v>9.19301041925E11</v>
      </c>
      <c r="C3826" s="15" t="str">
        <f t="shared" si="1"/>
        <v>vedikachouliya1220@gmail.com919301041925</v>
      </c>
      <c r="D3826" s="17" t="s">
        <v>11155</v>
      </c>
      <c r="E3826" s="18" t="s">
        <v>151</v>
      </c>
    </row>
    <row r="3827">
      <c r="A3827" s="1" t="s">
        <v>11156</v>
      </c>
      <c r="B3827" s="1">
        <v>9.19725749488E11</v>
      </c>
      <c r="C3827" s="15" t="str">
        <f t="shared" si="1"/>
        <v>nutritionfitone@gmail.com919725749488</v>
      </c>
      <c r="D3827" s="17" t="s">
        <v>11157</v>
      </c>
      <c r="E3827" s="18" t="s">
        <v>74</v>
      </c>
    </row>
    <row r="3828">
      <c r="A3828" s="1" t="s">
        <v>11158</v>
      </c>
      <c r="B3828" s="1">
        <v>9.1990085808E11</v>
      </c>
      <c r="C3828" s="15" t="str">
        <f t="shared" si="1"/>
        <v>venkatesh.858080@gmail.com919900858080</v>
      </c>
      <c r="D3828" s="17" t="s">
        <v>11159</v>
      </c>
      <c r="E3828" s="18" t="s">
        <v>151</v>
      </c>
    </row>
    <row r="3829">
      <c r="A3829" s="1" t="s">
        <v>4504</v>
      </c>
      <c r="B3829" s="1">
        <v>9.19725749488E11</v>
      </c>
      <c r="C3829" s="15" t="str">
        <f t="shared" si="1"/>
        <v>silentchords@gmail.com919725749488</v>
      </c>
      <c r="D3829" s="17" t="s">
        <v>11160</v>
      </c>
      <c r="E3829" s="18" t="s">
        <v>74</v>
      </c>
    </row>
    <row r="3830">
      <c r="A3830" s="1" t="s">
        <v>4504</v>
      </c>
      <c r="B3830" s="1">
        <v>9.19725749488E11</v>
      </c>
      <c r="C3830" s="15" t="str">
        <f t="shared" si="1"/>
        <v>silentchords@gmail.com919725749488</v>
      </c>
      <c r="D3830" s="17" t="s">
        <v>11161</v>
      </c>
      <c r="E3830" s="18" t="s">
        <v>74</v>
      </c>
    </row>
    <row r="3831">
      <c r="A3831" s="1" t="s">
        <v>5935</v>
      </c>
      <c r="B3831" s="1">
        <v>9.19573000477E11</v>
      </c>
      <c r="C3831" s="15" t="str">
        <f t="shared" si="1"/>
        <v>kalyanidevi0369@gmail.com919573000477</v>
      </c>
      <c r="D3831" s="17" t="s">
        <v>11162</v>
      </c>
      <c r="E3831" s="18" t="s">
        <v>68</v>
      </c>
    </row>
    <row r="3832">
      <c r="A3832" s="1" t="s">
        <v>5601</v>
      </c>
      <c r="B3832" s="1">
        <v>9.17999614131E11</v>
      </c>
      <c r="C3832" s="15" t="str">
        <f t="shared" si="1"/>
        <v>kuhusharma20@gmail.com917999614131</v>
      </c>
      <c r="D3832" s="17" t="s">
        <v>11163</v>
      </c>
      <c r="E3832" s="18" t="s">
        <v>151</v>
      </c>
    </row>
    <row r="3833">
      <c r="A3833" s="1" t="s">
        <v>5601</v>
      </c>
      <c r="B3833" s="1">
        <v>9.17999614131E11</v>
      </c>
      <c r="C3833" s="15" t="str">
        <f t="shared" si="1"/>
        <v>kuhusharma20@gmail.com917999614131</v>
      </c>
      <c r="D3833" s="17" t="s">
        <v>11164</v>
      </c>
      <c r="E3833" s="18" t="s">
        <v>68</v>
      </c>
    </row>
    <row r="3834">
      <c r="A3834" s="1" t="s">
        <v>6371</v>
      </c>
      <c r="B3834" s="1">
        <v>9.17972793242E11</v>
      </c>
      <c r="C3834" s="15" t="str">
        <f t="shared" si="1"/>
        <v>sanket.kondekar4@gmail.com917972793242</v>
      </c>
      <c r="D3834" s="17" t="s">
        <v>11165</v>
      </c>
      <c r="E3834" s="18" t="s">
        <v>68</v>
      </c>
    </row>
    <row r="3835">
      <c r="A3835" s="1" t="s">
        <v>4754</v>
      </c>
      <c r="B3835" s="1">
        <v>9.19644673402E11</v>
      </c>
      <c r="C3835" s="15" t="str">
        <f t="shared" si="1"/>
        <v>leeminho123mansi0607@gmail.com919644673402</v>
      </c>
      <c r="D3835" s="17" t="s">
        <v>11166</v>
      </c>
      <c r="E3835" s="18" t="s">
        <v>151</v>
      </c>
    </row>
    <row r="3836">
      <c r="A3836" s="1" t="s">
        <v>4754</v>
      </c>
      <c r="B3836" s="1">
        <v>9.19644673402E11</v>
      </c>
      <c r="C3836" s="15" t="str">
        <f t="shared" si="1"/>
        <v>leeminho123mansi0607@gmail.com919644673402</v>
      </c>
      <c r="D3836" s="17" t="s">
        <v>11167</v>
      </c>
      <c r="E3836" s="18" t="s">
        <v>74</v>
      </c>
    </row>
    <row r="3837">
      <c r="A3837" s="1" t="s">
        <v>11168</v>
      </c>
      <c r="B3837" s="1">
        <v>9.18638602255E11</v>
      </c>
      <c r="C3837" s="15" t="str">
        <f t="shared" si="1"/>
        <v>wonderarch111@gmail.com918638602255</v>
      </c>
      <c r="D3837" s="17" t="s">
        <v>11169</v>
      </c>
      <c r="E3837" s="18" t="s">
        <v>68</v>
      </c>
    </row>
    <row r="3838">
      <c r="A3838" s="1" t="s">
        <v>11168</v>
      </c>
      <c r="B3838" s="1">
        <v>9.18638602255E11</v>
      </c>
      <c r="C3838" s="15" t="str">
        <f t="shared" si="1"/>
        <v>wonderarch111@gmail.com918638602255</v>
      </c>
      <c r="D3838" s="17" t="s">
        <v>11170</v>
      </c>
      <c r="E3838" s="18" t="s">
        <v>68</v>
      </c>
    </row>
    <row r="3839">
      <c r="A3839" s="1" t="s">
        <v>11171</v>
      </c>
      <c r="B3839" s="1">
        <v>9.18080230985E11</v>
      </c>
      <c r="C3839" s="15" t="str">
        <f t="shared" si="1"/>
        <v>nehamarathe1796@gmail.com918080230985</v>
      </c>
      <c r="D3839" s="17" t="s">
        <v>11172</v>
      </c>
      <c r="E3839" s="18" t="s">
        <v>68</v>
      </c>
    </row>
    <row r="3840">
      <c r="A3840" s="1" t="s">
        <v>11173</v>
      </c>
      <c r="B3840" s="1">
        <v>9.18085420602E11</v>
      </c>
      <c r="C3840" s="15" t="str">
        <f t="shared" si="1"/>
        <v>digitalkaran93@gmail.com918085420602</v>
      </c>
      <c r="D3840" s="17" t="s">
        <v>11174</v>
      </c>
      <c r="E3840" s="18" t="s">
        <v>68</v>
      </c>
    </row>
    <row r="3841">
      <c r="A3841" s="1" t="s">
        <v>5056</v>
      </c>
      <c r="B3841" s="1">
        <v>9.1987289718E11</v>
      </c>
      <c r="C3841" s="15" t="str">
        <f t="shared" si="1"/>
        <v>nishj456@gmail.com919872897180</v>
      </c>
      <c r="D3841" s="17" t="s">
        <v>11175</v>
      </c>
      <c r="E3841" s="18" t="s">
        <v>68</v>
      </c>
    </row>
    <row r="3842">
      <c r="A3842" s="1" t="s">
        <v>5056</v>
      </c>
      <c r="B3842" s="1">
        <v>9.1987289718E11</v>
      </c>
      <c r="C3842" s="15" t="str">
        <f t="shared" si="1"/>
        <v>nishj456@gmail.com919872897180</v>
      </c>
      <c r="D3842" s="17" t="s">
        <v>11176</v>
      </c>
      <c r="E3842" s="18" t="s">
        <v>68</v>
      </c>
    </row>
    <row r="3843">
      <c r="A3843" s="1" t="s">
        <v>11177</v>
      </c>
      <c r="B3843" s="1">
        <v>9.19742535002E11</v>
      </c>
      <c r="C3843" s="15" t="str">
        <f t="shared" si="1"/>
        <v>manonmayi.m@gmail.com919742535002</v>
      </c>
      <c r="D3843" s="17" t="s">
        <v>11178</v>
      </c>
      <c r="E3843" s="18" t="s">
        <v>74</v>
      </c>
    </row>
    <row r="3844">
      <c r="A3844" s="1" t="s">
        <v>2887</v>
      </c>
      <c r="B3844" s="1">
        <v>9.19900872847E11</v>
      </c>
      <c r="C3844" s="15" t="str">
        <f t="shared" si="1"/>
        <v>hegdevinay96@gmail.com919900872847</v>
      </c>
      <c r="D3844" s="17" t="s">
        <v>11179</v>
      </c>
      <c r="E3844" s="18" t="s">
        <v>68</v>
      </c>
    </row>
    <row r="3845">
      <c r="A3845" s="1" t="s">
        <v>5170</v>
      </c>
      <c r="B3845" s="1">
        <v>9.19811390301E11</v>
      </c>
      <c r="C3845" s="15" t="str">
        <f t="shared" si="1"/>
        <v>sainijyoti1986@yahoo.com919811390301</v>
      </c>
      <c r="D3845" s="17" t="s">
        <v>11180</v>
      </c>
      <c r="E3845" s="18" t="s">
        <v>68</v>
      </c>
    </row>
    <row r="3846">
      <c r="A3846" s="1" t="s">
        <v>5294</v>
      </c>
      <c r="B3846" s="1">
        <v>9.18224030254E11</v>
      </c>
      <c r="C3846" s="15" t="str">
        <f t="shared" si="1"/>
        <v>samyak.jain1298@gmail.com918224030254</v>
      </c>
      <c r="D3846" s="17" t="s">
        <v>11181</v>
      </c>
      <c r="E3846" s="18" t="s">
        <v>68</v>
      </c>
    </row>
    <row r="3847">
      <c r="A3847" s="1" t="s">
        <v>11182</v>
      </c>
      <c r="B3847" s="1">
        <v>9.19540311664E11</v>
      </c>
      <c r="C3847" s="15" t="str">
        <f t="shared" si="1"/>
        <v>ashidubey50@gmail.com919540311664</v>
      </c>
      <c r="D3847" s="17" t="s">
        <v>11183</v>
      </c>
      <c r="E3847" s="18" t="s">
        <v>74</v>
      </c>
    </row>
    <row r="3848">
      <c r="A3848" s="1" t="s">
        <v>6654</v>
      </c>
      <c r="B3848" s="1">
        <v>9.19790193074E11</v>
      </c>
      <c r="C3848" s="15" t="str">
        <f t="shared" si="1"/>
        <v>shalininewton@gmail.com919790193074</v>
      </c>
      <c r="D3848" s="17" t="s">
        <v>11184</v>
      </c>
      <c r="E3848" s="18" t="s">
        <v>68</v>
      </c>
    </row>
    <row r="3849">
      <c r="A3849" s="1" t="s">
        <v>4413</v>
      </c>
      <c r="B3849" s="1">
        <v>9.18574492554E11</v>
      </c>
      <c r="C3849" s="15" t="str">
        <f t="shared" si="1"/>
        <v>purnima.bisht21@gmail.com918574492554</v>
      </c>
      <c r="D3849" s="17" t="s">
        <v>11185</v>
      </c>
      <c r="E3849" s="18" t="s">
        <v>68</v>
      </c>
    </row>
    <row r="3850">
      <c r="A3850" s="1" t="s">
        <v>5602</v>
      </c>
      <c r="B3850" s="1">
        <v>9.1903020214E11</v>
      </c>
      <c r="C3850" s="15" t="str">
        <f t="shared" si="1"/>
        <v>deepakjenda501@gmail.com919030202140</v>
      </c>
      <c r="D3850" s="17" t="s">
        <v>11186</v>
      </c>
      <c r="E3850" s="18" t="s">
        <v>68</v>
      </c>
    </row>
    <row r="3851">
      <c r="A3851" s="1" t="s">
        <v>3504</v>
      </c>
      <c r="B3851" s="1">
        <v>9.19811303373E11</v>
      </c>
      <c r="C3851" s="15" t="str">
        <f t="shared" si="1"/>
        <v>shailendra.vijay@gmail.com919811303373</v>
      </c>
      <c r="D3851" s="17" t="s">
        <v>11187</v>
      </c>
      <c r="E3851" s="18" t="s">
        <v>68</v>
      </c>
    </row>
    <row r="3852">
      <c r="A3852" s="1" t="s">
        <v>5602</v>
      </c>
      <c r="B3852" s="1">
        <v>9.1903020214E11</v>
      </c>
      <c r="C3852" s="15" t="str">
        <f t="shared" si="1"/>
        <v>deepakjenda501@gmail.com919030202140</v>
      </c>
      <c r="D3852" s="17" t="s">
        <v>11188</v>
      </c>
      <c r="E3852" s="18" t="s">
        <v>68</v>
      </c>
    </row>
    <row r="3853">
      <c r="A3853" s="1" t="s">
        <v>11189</v>
      </c>
      <c r="B3853" s="1">
        <v>9.19804001369E11</v>
      </c>
      <c r="C3853" s="15" t="str">
        <f t="shared" si="1"/>
        <v>jarman@amityonline.com919804001369</v>
      </c>
      <c r="D3853" s="17" t="s">
        <v>11190</v>
      </c>
      <c r="E3853" s="18" t="s">
        <v>68</v>
      </c>
    </row>
    <row r="3854">
      <c r="A3854" s="1" t="s">
        <v>5936</v>
      </c>
      <c r="B3854" s="1">
        <v>9.19375375303E11</v>
      </c>
      <c r="C3854" s="15" t="str">
        <f t="shared" si="1"/>
        <v>punitm77@gmail.com919375375303</v>
      </c>
      <c r="D3854" s="17" t="s">
        <v>11191</v>
      </c>
      <c r="E3854" s="18" t="s">
        <v>68</v>
      </c>
    </row>
    <row r="3855">
      <c r="A3855" s="1" t="s">
        <v>11192</v>
      </c>
      <c r="B3855" s="1">
        <v>9.1897072068E11</v>
      </c>
      <c r="C3855" s="15" t="str">
        <f t="shared" si="1"/>
        <v>patil.vijaykumar2010@gmail.com918970720680</v>
      </c>
      <c r="D3855" s="17" t="s">
        <v>11193</v>
      </c>
      <c r="E3855" s="18" t="s">
        <v>68</v>
      </c>
    </row>
    <row r="3856">
      <c r="A3856" s="1" t="s">
        <v>4755</v>
      </c>
      <c r="B3856" s="1">
        <v>9.19888848898E11</v>
      </c>
      <c r="C3856" s="15" t="str">
        <f t="shared" si="1"/>
        <v>savindra20nov@gmail.com919888848898</v>
      </c>
      <c r="D3856" s="17" t="s">
        <v>11194</v>
      </c>
      <c r="E3856" s="18" t="s">
        <v>74</v>
      </c>
    </row>
    <row r="3857">
      <c r="A3857" s="1" t="s">
        <v>3506</v>
      </c>
      <c r="B3857" s="1">
        <v>9.19307241591E11</v>
      </c>
      <c r="C3857" s="15" t="str">
        <f t="shared" si="1"/>
        <v>ashishg.jnv@gmail.com919307241591</v>
      </c>
      <c r="D3857" s="17" t="s">
        <v>11195</v>
      </c>
      <c r="E3857" s="18" t="s">
        <v>68</v>
      </c>
    </row>
    <row r="3858">
      <c r="A3858" s="1" t="s">
        <v>3508</v>
      </c>
      <c r="B3858" s="1">
        <v>9.19711114851E11</v>
      </c>
      <c r="C3858" s="15" t="str">
        <f t="shared" si="1"/>
        <v>dsaijari@gmail.com919711114851</v>
      </c>
      <c r="D3858" s="17" t="s">
        <v>11196</v>
      </c>
      <c r="E3858" s="18" t="s">
        <v>68</v>
      </c>
    </row>
    <row r="3859">
      <c r="A3859" s="1" t="s">
        <v>3508</v>
      </c>
      <c r="B3859" s="1">
        <v>9.19711114851E11</v>
      </c>
      <c r="C3859" s="15" t="str">
        <f t="shared" si="1"/>
        <v>dsaijari@gmail.com919711114851</v>
      </c>
      <c r="D3859" s="17" t="s">
        <v>11197</v>
      </c>
      <c r="E3859" s="18" t="s">
        <v>97</v>
      </c>
    </row>
    <row r="3860">
      <c r="A3860" s="1" t="s">
        <v>3507</v>
      </c>
      <c r="B3860" s="1">
        <v>9.19910056385E11</v>
      </c>
      <c r="C3860" s="15" t="str">
        <f t="shared" si="1"/>
        <v>wordzone335@gmail.com919910056385</v>
      </c>
      <c r="D3860" s="17" t="s">
        <v>11198</v>
      </c>
      <c r="E3860" s="18" t="s">
        <v>68</v>
      </c>
    </row>
    <row r="3861">
      <c r="A3861" s="1" t="s">
        <v>5603</v>
      </c>
      <c r="B3861" s="1">
        <v>9.17987369143E11</v>
      </c>
      <c r="C3861" s="15" t="str">
        <f t="shared" si="1"/>
        <v>dograkritika99@gmail.com917987369143</v>
      </c>
      <c r="D3861" s="17" t="s">
        <v>11199</v>
      </c>
      <c r="E3861" s="18" t="s">
        <v>68</v>
      </c>
    </row>
    <row r="3862">
      <c r="A3862" s="1" t="s">
        <v>3841</v>
      </c>
      <c r="B3862" s="1">
        <v>9.17709261519E11</v>
      </c>
      <c r="C3862" s="15" t="str">
        <f t="shared" si="1"/>
        <v>saurabhshitole31@gmail.com917709261519</v>
      </c>
      <c r="D3862" s="17" t="s">
        <v>11200</v>
      </c>
      <c r="E3862" s="18" t="s">
        <v>68</v>
      </c>
    </row>
    <row r="3863">
      <c r="A3863" s="1" t="s">
        <v>5056</v>
      </c>
      <c r="B3863" s="1">
        <v>9.1987289718E11</v>
      </c>
      <c r="C3863" s="15" t="str">
        <f t="shared" si="1"/>
        <v>nishj456@gmail.com919872897180</v>
      </c>
      <c r="D3863" s="17" t="s">
        <v>11201</v>
      </c>
      <c r="E3863" s="18" t="s">
        <v>68</v>
      </c>
    </row>
    <row r="3864">
      <c r="A3864" s="1" t="s">
        <v>3509</v>
      </c>
      <c r="B3864" s="1">
        <v>9.17835860107E11</v>
      </c>
      <c r="C3864" s="15" t="str">
        <f t="shared" si="1"/>
        <v>adityasanyal.bits@gmail.com917835860107</v>
      </c>
      <c r="D3864" s="17" t="s">
        <v>11202</v>
      </c>
      <c r="E3864" s="18" t="s">
        <v>74</v>
      </c>
    </row>
    <row r="3865">
      <c r="A3865" s="1" t="s">
        <v>3841</v>
      </c>
      <c r="B3865" s="1">
        <v>9.17709261519E11</v>
      </c>
      <c r="C3865" s="15" t="str">
        <f t="shared" si="1"/>
        <v>saurabhshitole31@gmail.com917709261519</v>
      </c>
      <c r="D3865" s="17" t="s">
        <v>11203</v>
      </c>
      <c r="E3865" s="18" t="s">
        <v>68</v>
      </c>
    </row>
    <row r="3866">
      <c r="A3866" s="1" t="s">
        <v>4225</v>
      </c>
      <c r="B3866" s="1">
        <v>9.18618210959E11</v>
      </c>
      <c r="C3866" s="15" t="str">
        <f t="shared" si="1"/>
        <v>smeeta551@gmail.com918618210959</v>
      </c>
      <c r="D3866" s="17" t="s">
        <v>11204</v>
      </c>
      <c r="E3866" s="18" t="s">
        <v>68</v>
      </c>
    </row>
    <row r="3867">
      <c r="A3867" s="1" t="s">
        <v>6428</v>
      </c>
      <c r="B3867" s="1">
        <v>9.18975580139E11</v>
      </c>
      <c r="C3867" s="15" t="str">
        <f t="shared" si="1"/>
        <v>adhipawar@gmail.com918975580139</v>
      </c>
      <c r="D3867" s="17" t="s">
        <v>11205</v>
      </c>
      <c r="E3867" s="18" t="s">
        <v>68</v>
      </c>
    </row>
    <row r="3868">
      <c r="A3868" s="1" t="s">
        <v>4505</v>
      </c>
      <c r="B3868" s="1">
        <v>9.1911397354E11</v>
      </c>
      <c r="C3868" s="15" t="str">
        <f t="shared" si="1"/>
        <v>suhasinisubramani@gmail.com919113973540</v>
      </c>
      <c r="D3868" s="17" t="s">
        <v>11206</v>
      </c>
      <c r="E3868" s="18" t="s">
        <v>68</v>
      </c>
    </row>
    <row r="3869">
      <c r="A3869" s="1" t="s">
        <v>4580</v>
      </c>
      <c r="B3869" s="1">
        <v>9.18892009696E11</v>
      </c>
      <c r="C3869" s="15" t="str">
        <f t="shared" si="1"/>
        <v>amahante@gmail.com918892009696</v>
      </c>
      <c r="D3869" s="17" t="s">
        <v>11207</v>
      </c>
      <c r="E3869" s="18" t="s">
        <v>68</v>
      </c>
    </row>
    <row r="3870">
      <c r="A3870" s="1" t="s">
        <v>11208</v>
      </c>
      <c r="B3870" s="1">
        <v>9.19752391479E11</v>
      </c>
      <c r="C3870" s="15" t="str">
        <f t="shared" si="1"/>
        <v>asim.mathur1002@yandex.com919752391479</v>
      </c>
      <c r="D3870" s="17" t="s">
        <v>11209</v>
      </c>
      <c r="E3870" s="18" t="s">
        <v>74</v>
      </c>
    </row>
    <row r="3871">
      <c r="A3871" s="1" t="s">
        <v>4226</v>
      </c>
      <c r="B3871" s="1">
        <v>9.19890658863E11</v>
      </c>
      <c r="C3871" s="15" t="str">
        <f t="shared" si="1"/>
        <v>rupalimundle0309@gmail.com919890658863</v>
      </c>
      <c r="D3871" s="17" t="s">
        <v>11210</v>
      </c>
      <c r="E3871" s="18" t="s">
        <v>68</v>
      </c>
    </row>
    <row r="3872">
      <c r="A3872" s="1" t="s">
        <v>11208</v>
      </c>
      <c r="B3872" s="1">
        <v>9.19752391479E11</v>
      </c>
      <c r="C3872" s="15" t="str">
        <f t="shared" si="1"/>
        <v>asim.mathur1002@yandex.com919752391479</v>
      </c>
      <c r="D3872" s="17" t="s">
        <v>11211</v>
      </c>
      <c r="E3872" s="18" t="s">
        <v>68</v>
      </c>
    </row>
    <row r="3873">
      <c r="A3873" s="1" t="s">
        <v>4227</v>
      </c>
      <c r="B3873" s="1">
        <v>9.19657742062E11</v>
      </c>
      <c r="C3873" s="15" t="str">
        <f t="shared" si="1"/>
        <v>amrutashant08@gmail.com919657742062</v>
      </c>
      <c r="D3873" s="17" t="s">
        <v>11212</v>
      </c>
      <c r="E3873" s="18" t="s">
        <v>68</v>
      </c>
    </row>
    <row r="3874">
      <c r="A3874" s="1" t="s">
        <v>4756</v>
      </c>
      <c r="B3874" s="1">
        <v>9.18797619002E11</v>
      </c>
      <c r="C3874" s="15" t="str">
        <f t="shared" si="1"/>
        <v>abhishekmodi1991@gmail.com918797619002</v>
      </c>
      <c r="D3874" s="17" t="s">
        <v>11213</v>
      </c>
      <c r="E3874" s="18" t="s">
        <v>68</v>
      </c>
    </row>
    <row r="3875">
      <c r="A3875" s="1" t="s">
        <v>5604</v>
      </c>
      <c r="B3875" s="1">
        <v>9.16260341849E11</v>
      </c>
      <c r="C3875" s="15" t="str">
        <f t="shared" si="1"/>
        <v>chhayapandeydigital@gmail.com916260341849</v>
      </c>
      <c r="D3875" s="17" t="s">
        <v>11214</v>
      </c>
      <c r="E3875" s="18" t="s">
        <v>74</v>
      </c>
    </row>
    <row r="3876">
      <c r="A3876" s="1" t="s">
        <v>6429</v>
      </c>
      <c r="B3876" s="1">
        <v>9.181253253E11</v>
      </c>
      <c r="C3876" s="15" t="str">
        <f t="shared" si="1"/>
        <v>hiteshlk@gmail.com918125325300</v>
      </c>
      <c r="D3876" s="17" t="s">
        <v>11215</v>
      </c>
      <c r="E3876" s="18" t="s">
        <v>74</v>
      </c>
    </row>
    <row r="3877">
      <c r="A3877" s="1" t="s">
        <v>5605</v>
      </c>
      <c r="B3877" s="1">
        <v>9.17889752242E11</v>
      </c>
      <c r="C3877" s="15" t="str">
        <f t="shared" si="1"/>
        <v>mubashirshafizargar444@gmail.com917889752242</v>
      </c>
      <c r="D3877" s="17" t="s">
        <v>11216</v>
      </c>
      <c r="E3877" s="18" t="s">
        <v>74</v>
      </c>
    </row>
    <row r="3878">
      <c r="A3878" s="1" t="s">
        <v>3325</v>
      </c>
      <c r="B3878" s="1">
        <v>9.19827215662E11</v>
      </c>
      <c r="C3878" s="15" t="str">
        <f t="shared" si="1"/>
        <v>hpravesh@rediffmail.com919827215662</v>
      </c>
      <c r="D3878" s="17" t="s">
        <v>11217</v>
      </c>
      <c r="E3878" s="18" t="s">
        <v>151</v>
      </c>
    </row>
    <row r="3879">
      <c r="A3879" s="1" t="s">
        <v>11218</v>
      </c>
      <c r="B3879" s="1">
        <v>9.19920620629E11</v>
      </c>
      <c r="C3879" s="15" t="str">
        <f t="shared" si="1"/>
        <v>soniakulshrestha@gmail.com919920620629</v>
      </c>
      <c r="D3879" s="17" t="s">
        <v>11219</v>
      </c>
      <c r="E3879" s="18" t="s">
        <v>97</v>
      </c>
    </row>
    <row r="3880">
      <c r="A3880" s="1" t="s">
        <v>4757</v>
      </c>
      <c r="B3880" s="1">
        <v>9.19840792616E11</v>
      </c>
      <c r="C3880" s="15" t="str">
        <f t="shared" si="1"/>
        <v>cgbijustephen@gmail.com919840792616</v>
      </c>
      <c r="D3880" s="17" t="s">
        <v>11220</v>
      </c>
      <c r="E3880" s="18" t="s">
        <v>68</v>
      </c>
    </row>
    <row r="3881">
      <c r="A3881" s="1" t="s">
        <v>11221</v>
      </c>
      <c r="B3881" s="1">
        <v>9.19896040726E11</v>
      </c>
      <c r="C3881" s="15" t="str">
        <f t="shared" si="1"/>
        <v>duapuneet1976@gmail.com919896040726</v>
      </c>
      <c r="D3881" s="17" t="s">
        <v>11222</v>
      </c>
      <c r="E3881" s="18" t="s">
        <v>74</v>
      </c>
    </row>
    <row r="3882">
      <c r="A3882" s="1" t="s">
        <v>11221</v>
      </c>
      <c r="B3882" s="1">
        <v>9.19896040726E11</v>
      </c>
      <c r="C3882" s="15" t="str">
        <f t="shared" si="1"/>
        <v>duapuneet1976@gmail.com919896040726</v>
      </c>
      <c r="D3882" s="17" t="s">
        <v>11223</v>
      </c>
      <c r="E3882" s="18" t="s">
        <v>74</v>
      </c>
    </row>
    <row r="3883">
      <c r="A3883" s="1" t="s">
        <v>5937</v>
      </c>
      <c r="B3883" s="1">
        <v>9.19616260864E11</v>
      </c>
      <c r="C3883" s="15" t="str">
        <f t="shared" si="1"/>
        <v>h.mishra.250391@gmail.com919616260864</v>
      </c>
      <c r="D3883" s="17" t="s">
        <v>11224</v>
      </c>
      <c r="E3883" s="18" t="s">
        <v>68</v>
      </c>
    </row>
    <row r="3884">
      <c r="A3884" s="1" t="s">
        <v>3510</v>
      </c>
      <c r="B3884" s="1">
        <v>9.18660231308E11</v>
      </c>
      <c r="C3884" s="15" t="str">
        <f t="shared" si="1"/>
        <v>pavangk308@gmail.com918660231308</v>
      </c>
      <c r="D3884" s="17" t="s">
        <v>11225</v>
      </c>
      <c r="E3884" s="18" t="s">
        <v>68</v>
      </c>
    </row>
    <row r="3885">
      <c r="A3885" s="1" t="s">
        <v>3510</v>
      </c>
      <c r="B3885" s="1">
        <v>9.18660231308E11</v>
      </c>
      <c r="C3885" s="15" t="str">
        <f t="shared" si="1"/>
        <v>pavangk308@gmail.com918660231308</v>
      </c>
      <c r="D3885" s="17" t="s">
        <v>11226</v>
      </c>
      <c r="E3885" s="18" t="s">
        <v>68</v>
      </c>
    </row>
    <row r="3886">
      <c r="A3886" s="1" t="s">
        <v>3161</v>
      </c>
      <c r="B3886" s="1">
        <v>9.16374455234E11</v>
      </c>
      <c r="C3886" s="15" t="str">
        <f t="shared" si="1"/>
        <v>sathyanarayanan.r2.2019.mct@rajalakshmi.edu.in916374455234</v>
      </c>
      <c r="D3886" s="17" t="s">
        <v>11227</v>
      </c>
      <c r="E3886" s="18" t="s">
        <v>68</v>
      </c>
    </row>
    <row r="3887">
      <c r="A3887" s="1" t="s">
        <v>3379</v>
      </c>
      <c r="B3887" s="1">
        <v>9.19443100747E11</v>
      </c>
      <c r="C3887" s="15" t="str">
        <f t="shared" si="1"/>
        <v>duraickkd@gmail.com919443100747</v>
      </c>
      <c r="D3887" s="17" t="s">
        <v>11228</v>
      </c>
      <c r="E3887" s="18" t="s">
        <v>74</v>
      </c>
    </row>
    <row r="3888">
      <c r="A3888" s="1" t="s">
        <v>6303</v>
      </c>
      <c r="B3888" s="1">
        <v>9.19686615732E11</v>
      </c>
      <c r="C3888" s="15" t="str">
        <f t="shared" si="1"/>
        <v>prenu413@gmail.com919686615732</v>
      </c>
      <c r="D3888" s="17" t="s">
        <v>11229</v>
      </c>
      <c r="E3888" s="18" t="s">
        <v>68</v>
      </c>
    </row>
    <row r="3889">
      <c r="A3889" s="1" t="s">
        <v>11230</v>
      </c>
      <c r="B3889" s="1">
        <v>9.19676351357E11</v>
      </c>
      <c r="C3889" s="15" t="str">
        <f t="shared" si="1"/>
        <v>adiaox@gmail.com919676351357</v>
      </c>
      <c r="D3889" s="17" t="s">
        <v>11231</v>
      </c>
      <c r="E3889" s="18" t="s">
        <v>151</v>
      </c>
    </row>
    <row r="3890">
      <c r="A3890" s="1" t="s">
        <v>4002</v>
      </c>
      <c r="B3890" s="1">
        <v>9.19145030714E11</v>
      </c>
      <c r="C3890" s="15" t="str">
        <f t="shared" si="1"/>
        <v>akshaykgore123@gmail.com919145030714</v>
      </c>
      <c r="D3890" s="17" t="s">
        <v>11232</v>
      </c>
      <c r="E3890" s="18" t="s">
        <v>68</v>
      </c>
    </row>
    <row r="3891">
      <c r="A3891" s="1" t="s">
        <v>4758</v>
      </c>
      <c r="B3891" s="1">
        <v>9.19145261102E11</v>
      </c>
      <c r="C3891" s="15" t="str">
        <f t="shared" si="1"/>
        <v>devjosh.boddu@gmail.com919145261102</v>
      </c>
      <c r="D3891" s="17" t="s">
        <v>11233</v>
      </c>
      <c r="E3891" s="18" t="s">
        <v>68</v>
      </c>
    </row>
    <row r="3892">
      <c r="A3892" s="1" t="s">
        <v>11234</v>
      </c>
      <c r="B3892" s="1">
        <v>9.1918250653E11</v>
      </c>
      <c r="C3892" s="15" t="str">
        <f t="shared" si="1"/>
        <v>yuvakishore.nelakurthi@gmail.com919182506530</v>
      </c>
      <c r="D3892" s="17" t="s">
        <v>11235</v>
      </c>
      <c r="E3892" s="18" t="s">
        <v>68</v>
      </c>
    </row>
    <row r="3893">
      <c r="A3893" s="1" t="s">
        <v>11236</v>
      </c>
      <c r="B3893" s="1">
        <v>9.19146677673E11</v>
      </c>
      <c r="C3893" s="15" t="str">
        <f t="shared" si="1"/>
        <v>ssa.shyamagrawal@gmail.com919146677673</v>
      </c>
      <c r="D3893" s="17" t="s">
        <v>11237</v>
      </c>
      <c r="E3893" s="18" t="s">
        <v>68</v>
      </c>
    </row>
    <row r="3894">
      <c r="A3894" s="1" t="s">
        <v>6304</v>
      </c>
      <c r="B3894" s="1">
        <v>9.17680808084E11</v>
      </c>
      <c r="C3894" s="15" t="str">
        <f t="shared" si="1"/>
        <v>boddulaadarsh0@gmail.com917680808084</v>
      </c>
      <c r="D3894" s="17" t="s">
        <v>11238</v>
      </c>
      <c r="E3894" s="18" t="s">
        <v>68</v>
      </c>
    </row>
    <row r="3895">
      <c r="A3895" s="1" t="s">
        <v>2555</v>
      </c>
      <c r="B3895" s="1">
        <v>9.19634081231E11</v>
      </c>
      <c r="C3895" s="15" t="str">
        <f t="shared" si="1"/>
        <v>laxminegi2105@gmail.com919634081231</v>
      </c>
      <c r="D3895" s="17" t="s">
        <v>11239</v>
      </c>
      <c r="E3895" s="18" t="s">
        <v>68</v>
      </c>
    </row>
    <row r="3896">
      <c r="A3896" s="1" t="s">
        <v>3162</v>
      </c>
      <c r="B3896" s="1">
        <v>9.19971688162E11</v>
      </c>
      <c r="C3896" s="15" t="str">
        <f t="shared" si="1"/>
        <v>kukreja.shreya@gmail.com919971688162</v>
      </c>
      <c r="D3896" s="17" t="s">
        <v>11240</v>
      </c>
      <c r="E3896" s="18" t="s">
        <v>74</v>
      </c>
    </row>
    <row r="3897">
      <c r="A3897" s="1" t="s">
        <v>11241</v>
      </c>
      <c r="B3897" s="1">
        <v>9.17772882013E11</v>
      </c>
      <c r="C3897" s="15" t="str">
        <f t="shared" si="1"/>
        <v>sourabhsahu1776@gmail.com917772882013</v>
      </c>
      <c r="D3897" s="17" t="s">
        <v>11242</v>
      </c>
      <c r="E3897" s="18" t="s">
        <v>74</v>
      </c>
    </row>
    <row r="3898">
      <c r="A3898" s="1" t="s">
        <v>11243</v>
      </c>
      <c r="B3898" s="1">
        <v>9.19892588534E11</v>
      </c>
      <c r="C3898" s="15" t="str">
        <f t="shared" si="1"/>
        <v>sujaykusher8@gmail.com919892588534</v>
      </c>
      <c r="D3898" s="17" t="s">
        <v>11244</v>
      </c>
      <c r="E3898" s="18" t="s">
        <v>68</v>
      </c>
    </row>
    <row r="3899">
      <c r="A3899" s="1" t="s">
        <v>4853</v>
      </c>
      <c r="B3899" s="1">
        <v>9.18667096433E11</v>
      </c>
      <c r="C3899" s="15" t="str">
        <f t="shared" si="1"/>
        <v>rowenaalwin@gmail.com918667096433</v>
      </c>
      <c r="D3899" s="17" t="s">
        <v>11245</v>
      </c>
      <c r="E3899" s="18" t="s">
        <v>68</v>
      </c>
    </row>
    <row r="3900">
      <c r="A3900" s="1" t="s">
        <v>6430</v>
      </c>
      <c r="B3900" s="1">
        <v>9.18586066209E11</v>
      </c>
      <c r="C3900" s="15" t="str">
        <f t="shared" si="1"/>
        <v>aroradolly776@gmail.com918586066209</v>
      </c>
      <c r="D3900" s="17" t="s">
        <v>11246</v>
      </c>
      <c r="E3900" s="18" t="s">
        <v>68</v>
      </c>
    </row>
    <row r="3901">
      <c r="A3901" s="1" t="s">
        <v>6430</v>
      </c>
      <c r="B3901" s="1">
        <v>9.18586066209E11</v>
      </c>
      <c r="C3901" s="15" t="str">
        <f t="shared" si="1"/>
        <v>aroradolly776@gmail.com918586066209</v>
      </c>
      <c r="D3901" s="17" t="s">
        <v>11247</v>
      </c>
      <c r="E3901" s="18" t="s">
        <v>68</v>
      </c>
    </row>
    <row r="3902">
      <c r="A3902" s="1" t="s">
        <v>5606</v>
      </c>
      <c r="B3902" s="1">
        <v>9.18096838739E11</v>
      </c>
      <c r="C3902" s="15" t="str">
        <f t="shared" si="1"/>
        <v>raghavajagannatham9@gmail.com918096838739</v>
      </c>
      <c r="D3902" s="17" t="s">
        <v>11248</v>
      </c>
      <c r="E3902" s="18" t="s">
        <v>68</v>
      </c>
    </row>
    <row r="3903">
      <c r="A3903" s="1" t="s">
        <v>11249</v>
      </c>
      <c r="B3903" s="1">
        <v>9.17030767694E11</v>
      </c>
      <c r="C3903" s="15" t="str">
        <f t="shared" si="1"/>
        <v>surajpatil9600@gmail.com917030767694</v>
      </c>
      <c r="D3903" s="17" t="s">
        <v>11250</v>
      </c>
      <c r="E3903" s="18" t="s">
        <v>74</v>
      </c>
    </row>
    <row r="3904">
      <c r="A3904" s="1" t="s">
        <v>5727</v>
      </c>
      <c r="B3904" s="1">
        <v>9.198619804E11</v>
      </c>
      <c r="C3904" s="15" t="str">
        <f t="shared" si="1"/>
        <v>ankitanurag1991@gmail.com919861980400</v>
      </c>
      <c r="D3904" s="17" t="s">
        <v>11251</v>
      </c>
      <c r="E3904" s="18" t="s">
        <v>68</v>
      </c>
    </row>
    <row r="3905">
      <c r="A3905" s="1" t="s">
        <v>6355</v>
      </c>
      <c r="B3905" s="1">
        <v>9.1994015434E11</v>
      </c>
      <c r="C3905" s="15" t="str">
        <f t="shared" si="1"/>
        <v>ninjumenon@gmail.com919940154340</v>
      </c>
      <c r="D3905" s="17" t="s">
        <v>11252</v>
      </c>
      <c r="E3905" s="18" t="s">
        <v>74</v>
      </c>
    </row>
    <row r="3906">
      <c r="A3906" s="1" t="s">
        <v>6355</v>
      </c>
      <c r="B3906" s="1">
        <v>9.1994015434E11</v>
      </c>
      <c r="C3906" s="15" t="str">
        <f t="shared" si="1"/>
        <v>ninjumenon@gmail.com919940154340</v>
      </c>
      <c r="D3906" s="17" t="s">
        <v>11253</v>
      </c>
      <c r="E3906" s="18" t="s">
        <v>68</v>
      </c>
    </row>
    <row r="3907">
      <c r="A3907" s="1" t="s">
        <v>11254</v>
      </c>
      <c r="B3907" s="1">
        <v>9.18106222743E11</v>
      </c>
      <c r="C3907" s="15" t="str">
        <f t="shared" si="1"/>
        <v>vinayyaadav137@gmail.com918106222743</v>
      </c>
      <c r="D3907" s="17" t="s">
        <v>11255</v>
      </c>
      <c r="E3907" s="18" t="s">
        <v>151</v>
      </c>
    </row>
    <row r="3908">
      <c r="A3908" s="1" t="s">
        <v>4414</v>
      </c>
      <c r="B3908" s="1">
        <v>9.18754541518E11</v>
      </c>
      <c r="C3908" s="15" t="str">
        <f t="shared" si="1"/>
        <v>arul.georginal@gmail.com918754541518</v>
      </c>
      <c r="D3908" s="17" t="s">
        <v>11256</v>
      </c>
      <c r="E3908" s="18" t="s">
        <v>68</v>
      </c>
    </row>
    <row r="3909">
      <c r="A3909" s="1" t="s">
        <v>11241</v>
      </c>
      <c r="B3909" s="1">
        <v>9.17974749326E11</v>
      </c>
      <c r="C3909" s="15" t="str">
        <f t="shared" si="1"/>
        <v>sourabhsahu1776@gmail.com917974749326</v>
      </c>
      <c r="D3909" s="17" t="s">
        <v>11257</v>
      </c>
      <c r="E3909" s="18" t="s">
        <v>74</v>
      </c>
    </row>
    <row r="3910">
      <c r="A3910" s="1" t="s">
        <v>6431</v>
      </c>
      <c r="B3910" s="1">
        <v>9.16370480629E11</v>
      </c>
      <c r="C3910" s="15" t="str">
        <f t="shared" si="1"/>
        <v>apoorwa12.official@gmail.com916370480629</v>
      </c>
      <c r="D3910" s="17" t="s">
        <v>11258</v>
      </c>
      <c r="E3910" s="18" t="s">
        <v>68</v>
      </c>
    </row>
    <row r="3911">
      <c r="A3911" s="1" t="s">
        <v>11259</v>
      </c>
      <c r="B3911" s="1">
        <v>9.18275805505E11</v>
      </c>
      <c r="C3911" s="15" t="str">
        <f t="shared" si="1"/>
        <v>rvp00026@gmail.com918275805505</v>
      </c>
      <c r="D3911" s="17" t="s">
        <v>11260</v>
      </c>
      <c r="E3911" s="18" t="s">
        <v>68</v>
      </c>
    </row>
    <row r="3912">
      <c r="A3912" s="1" t="s">
        <v>2888</v>
      </c>
      <c r="B3912" s="1">
        <v>9.19866931997E11</v>
      </c>
      <c r="C3912" s="15" t="str">
        <f t="shared" si="1"/>
        <v>manasalbodapati@gmail.com919866931997</v>
      </c>
      <c r="D3912" s="17" t="s">
        <v>11261</v>
      </c>
      <c r="E3912" s="18" t="s">
        <v>68</v>
      </c>
    </row>
    <row r="3913">
      <c r="A3913" s="1" t="s">
        <v>4228</v>
      </c>
      <c r="B3913" s="1">
        <v>9.19445965711E11</v>
      </c>
      <c r="C3913" s="15" t="str">
        <f t="shared" si="1"/>
        <v>gowthamiramesh98@gmail.com919445965711</v>
      </c>
      <c r="D3913" s="17" t="s">
        <v>11262</v>
      </c>
      <c r="E3913" s="18" t="s">
        <v>68</v>
      </c>
    </row>
    <row r="3914">
      <c r="A3914" s="1" t="s">
        <v>11263</v>
      </c>
      <c r="B3914" s="1">
        <v>9.19840926523E11</v>
      </c>
      <c r="C3914" s="15" t="str">
        <f t="shared" si="1"/>
        <v>praveenkrishna14@gmail.com919840926523</v>
      </c>
      <c r="D3914" s="17" t="s">
        <v>11264</v>
      </c>
      <c r="E3914" s="18" t="s">
        <v>97</v>
      </c>
    </row>
    <row r="3915">
      <c r="A3915" s="1" t="s">
        <v>6305</v>
      </c>
      <c r="B3915" s="1">
        <v>9.1629431586E11</v>
      </c>
      <c r="C3915" s="15" t="str">
        <f t="shared" si="1"/>
        <v>sujoysarkar251@gmail.com916294315860</v>
      </c>
      <c r="D3915" s="17" t="s">
        <v>11265</v>
      </c>
      <c r="E3915" s="18" t="s">
        <v>68</v>
      </c>
    </row>
    <row r="3916">
      <c r="A3916" s="1" t="s">
        <v>6305</v>
      </c>
      <c r="B3916" s="1">
        <v>9.1629431586E11</v>
      </c>
      <c r="C3916" s="15" t="str">
        <f t="shared" si="1"/>
        <v>sujoysarkar251@gmail.com916294315860</v>
      </c>
      <c r="D3916" s="17" t="s">
        <v>11266</v>
      </c>
      <c r="E3916" s="18" t="s">
        <v>68</v>
      </c>
    </row>
    <row r="3917">
      <c r="A3917" s="1" t="s">
        <v>6305</v>
      </c>
      <c r="B3917" s="1">
        <v>9.1629431586E11</v>
      </c>
      <c r="C3917" s="15" t="str">
        <f t="shared" si="1"/>
        <v>sujoysarkar251@gmail.com916294315860</v>
      </c>
      <c r="D3917" s="17" t="s">
        <v>11267</v>
      </c>
      <c r="E3917" s="18" t="s">
        <v>68</v>
      </c>
    </row>
    <row r="3918">
      <c r="A3918" s="1" t="s">
        <v>6305</v>
      </c>
      <c r="B3918" s="1">
        <v>9.1629431586E11</v>
      </c>
      <c r="C3918" s="15" t="str">
        <f t="shared" si="1"/>
        <v>sujoysarkar251@gmail.com916294315860</v>
      </c>
      <c r="D3918" s="17" t="s">
        <v>11268</v>
      </c>
      <c r="E3918" s="18" t="s">
        <v>68</v>
      </c>
    </row>
    <row r="3919">
      <c r="A3919" s="1" t="s">
        <v>11269</v>
      </c>
      <c r="B3919" s="1">
        <v>9.17977074421E11</v>
      </c>
      <c r="C3919" s="15" t="str">
        <f t="shared" si="1"/>
        <v>dshiriya86@gmail.com917977074421</v>
      </c>
      <c r="D3919" s="17" t="s">
        <v>11270</v>
      </c>
      <c r="E3919" s="18" t="s">
        <v>68</v>
      </c>
    </row>
    <row r="3920">
      <c r="A3920" s="1" t="s">
        <v>4391</v>
      </c>
      <c r="B3920" s="1">
        <v>9.19819663556E11</v>
      </c>
      <c r="C3920" s="15" t="str">
        <f t="shared" si="1"/>
        <v>sapre.anita1202@gmail.com919819663556</v>
      </c>
      <c r="D3920" s="17" t="s">
        <v>11271</v>
      </c>
      <c r="E3920" s="18" t="s">
        <v>68</v>
      </c>
    </row>
    <row r="3921">
      <c r="A3921" s="1" t="s">
        <v>11272</v>
      </c>
      <c r="B3921" s="1">
        <v>9.17979076683E11</v>
      </c>
      <c r="C3921" s="15" t="str">
        <f t="shared" si="1"/>
        <v>krrishsoni128@gmail.com917979076683</v>
      </c>
      <c r="D3921" s="17" t="s">
        <v>11273</v>
      </c>
      <c r="E3921" s="18" t="s">
        <v>68</v>
      </c>
    </row>
    <row r="3922">
      <c r="A3922" s="1" t="s">
        <v>6655</v>
      </c>
      <c r="B3922" s="1">
        <v>9.19762128751E11</v>
      </c>
      <c r="C3922" s="15" t="str">
        <f t="shared" si="1"/>
        <v>emc.mohammed@gmail.com919762128751</v>
      </c>
      <c r="D3922" s="17" t="s">
        <v>11274</v>
      </c>
      <c r="E3922" s="18" t="s">
        <v>68</v>
      </c>
    </row>
    <row r="3923">
      <c r="A3923" s="1" t="s">
        <v>11275</v>
      </c>
      <c r="B3923" s="1">
        <v>9.18951166276E11</v>
      </c>
      <c r="C3923" s="15" t="str">
        <f t="shared" si="1"/>
        <v>namratarawat89@gmail.com918951166276</v>
      </c>
      <c r="D3923" s="17" t="s">
        <v>11276</v>
      </c>
      <c r="E3923" s="18" t="s">
        <v>74</v>
      </c>
    </row>
    <row r="3924">
      <c r="A3924" s="1" t="s">
        <v>11275</v>
      </c>
      <c r="B3924" s="1">
        <v>9.18951166276E11</v>
      </c>
      <c r="C3924" s="15" t="str">
        <f t="shared" si="1"/>
        <v>namratarawat89@gmail.com918951166276</v>
      </c>
      <c r="D3924" s="17" t="s">
        <v>11277</v>
      </c>
      <c r="E3924" s="18" t="s">
        <v>74</v>
      </c>
    </row>
    <row r="3925">
      <c r="A3925" s="1" t="s">
        <v>11275</v>
      </c>
      <c r="B3925" s="1">
        <v>9.18951166276E11</v>
      </c>
      <c r="C3925" s="15" t="str">
        <f t="shared" si="1"/>
        <v>namratarawat89@gmail.com918951166276</v>
      </c>
      <c r="D3925" s="17" t="s">
        <v>11278</v>
      </c>
      <c r="E3925" s="18" t="s">
        <v>74</v>
      </c>
    </row>
    <row r="3926">
      <c r="A3926" s="1" t="s">
        <v>11279</v>
      </c>
      <c r="B3926" s="1">
        <v>9.187931309E11</v>
      </c>
      <c r="C3926" s="15" t="str">
        <f t="shared" si="1"/>
        <v>pritidodeja430@gmail.com918793130900</v>
      </c>
      <c r="D3926" s="17" t="s">
        <v>11280</v>
      </c>
      <c r="E3926" s="18" t="s">
        <v>74</v>
      </c>
    </row>
    <row r="3927">
      <c r="A3927" s="1" t="s">
        <v>11279</v>
      </c>
      <c r="B3927" s="1">
        <v>9.187931309E11</v>
      </c>
      <c r="C3927" s="15" t="str">
        <f t="shared" si="1"/>
        <v>pritidodeja430@gmail.com918793130900</v>
      </c>
      <c r="D3927" s="17" t="s">
        <v>11281</v>
      </c>
      <c r="E3927" s="18" t="s">
        <v>74</v>
      </c>
    </row>
    <row r="3928">
      <c r="A3928" s="1" t="s">
        <v>5607</v>
      </c>
      <c r="B3928" s="1">
        <v>9.16261182699E11</v>
      </c>
      <c r="C3928" s="15" t="str">
        <f t="shared" si="1"/>
        <v>devendrav231@gmail.com916261182699</v>
      </c>
      <c r="D3928" s="17" t="s">
        <v>11282</v>
      </c>
      <c r="E3928" s="18" t="s">
        <v>68</v>
      </c>
    </row>
    <row r="3929">
      <c r="A3929" s="1" t="s">
        <v>5057</v>
      </c>
      <c r="B3929" s="1">
        <v>9.16369380433E11</v>
      </c>
      <c r="C3929" s="15" t="str">
        <f t="shared" si="1"/>
        <v>saitejapanagatla9999@gmail.com916369380433</v>
      </c>
      <c r="D3929" s="17" t="s">
        <v>11283</v>
      </c>
      <c r="E3929" s="18" t="s">
        <v>151</v>
      </c>
    </row>
    <row r="3930">
      <c r="A3930" s="1" t="s">
        <v>4003</v>
      </c>
      <c r="B3930" s="1">
        <v>9.19711281125E11</v>
      </c>
      <c r="C3930" s="15" t="str">
        <f t="shared" si="1"/>
        <v>daminisharma9540@gmail.com919711281125</v>
      </c>
      <c r="D3930" s="17" t="s">
        <v>11284</v>
      </c>
      <c r="E3930" s="18" t="s">
        <v>74</v>
      </c>
    </row>
    <row r="3931">
      <c r="A3931" s="1" t="s">
        <v>4003</v>
      </c>
      <c r="B3931" s="1">
        <v>9.19711281125E11</v>
      </c>
      <c r="C3931" s="15" t="str">
        <f t="shared" si="1"/>
        <v>daminisharma9540@gmail.com919711281125</v>
      </c>
      <c r="D3931" s="17" t="s">
        <v>11285</v>
      </c>
      <c r="E3931" s="18" t="s">
        <v>74</v>
      </c>
    </row>
    <row r="3932">
      <c r="A3932" s="1" t="s">
        <v>4759</v>
      </c>
      <c r="B3932" s="1">
        <v>9.19036328693E11</v>
      </c>
      <c r="C3932" s="15" t="str">
        <f t="shared" si="1"/>
        <v>keerthivasanb24@gmail.com919036328693</v>
      </c>
      <c r="D3932" s="17" t="s">
        <v>11286</v>
      </c>
      <c r="E3932" s="18" t="s">
        <v>68</v>
      </c>
    </row>
    <row r="3933">
      <c r="A3933" s="1" t="s">
        <v>6356</v>
      </c>
      <c r="B3933" s="1">
        <v>9.18411866088E11</v>
      </c>
      <c r="C3933" s="15" t="str">
        <f t="shared" si="1"/>
        <v>crkhedkar@gmail.com918411866088</v>
      </c>
      <c r="D3933" s="17" t="s">
        <v>11287</v>
      </c>
      <c r="E3933" s="18" t="s">
        <v>68</v>
      </c>
    </row>
    <row r="3934">
      <c r="A3934" s="1" t="s">
        <v>4004</v>
      </c>
      <c r="B3934" s="1">
        <v>9.19205082927E11</v>
      </c>
      <c r="C3934" s="15" t="str">
        <f t="shared" si="1"/>
        <v>pulkit.jmi@gmail.com919205082927</v>
      </c>
      <c r="D3934" s="17" t="s">
        <v>11288</v>
      </c>
      <c r="E3934" s="18" t="s">
        <v>74</v>
      </c>
    </row>
    <row r="3935">
      <c r="A3935" s="1" t="s">
        <v>11289</v>
      </c>
      <c r="B3935" s="1">
        <v>9.18084009493E11</v>
      </c>
      <c r="C3935" s="15" t="str">
        <f t="shared" si="1"/>
        <v>pattanaik1999@gmail.com918084009493</v>
      </c>
      <c r="D3935" s="17" t="s">
        <v>11290</v>
      </c>
      <c r="E3935" s="18" t="s">
        <v>68</v>
      </c>
    </row>
    <row r="3936">
      <c r="A3936" s="1" t="s">
        <v>5608</v>
      </c>
      <c r="B3936" s="1">
        <v>9.18789837244E11</v>
      </c>
      <c r="C3936" s="15" t="str">
        <f t="shared" si="1"/>
        <v>sahaaditya296@gmail.com918789837244</v>
      </c>
      <c r="D3936" s="17" t="s">
        <v>11291</v>
      </c>
      <c r="E3936" s="18" t="s">
        <v>68</v>
      </c>
    </row>
    <row r="3937">
      <c r="A3937" s="1" t="s">
        <v>11292</v>
      </c>
      <c r="B3937" s="1">
        <v>9.17624955603E11</v>
      </c>
      <c r="C3937" s="15" t="str">
        <f t="shared" si="1"/>
        <v>nehathaware58@gmail.com917624955603</v>
      </c>
      <c r="D3937" s="17" t="s">
        <v>11293</v>
      </c>
      <c r="E3937" s="18" t="s">
        <v>68</v>
      </c>
    </row>
    <row r="3938">
      <c r="A3938" s="1" t="s">
        <v>4229</v>
      </c>
      <c r="B3938" s="1">
        <v>9.18197653704E11</v>
      </c>
      <c r="C3938" s="15" t="str">
        <f t="shared" si="1"/>
        <v>fenellalopez@gmail.com918197653704</v>
      </c>
      <c r="D3938" s="17" t="s">
        <v>11294</v>
      </c>
      <c r="E3938" s="18" t="s">
        <v>68</v>
      </c>
    </row>
    <row r="3939">
      <c r="A3939" s="1" t="s">
        <v>11295</v>
      </c>
      <c r="B3939" s="1">
        <v>9.19008763738E11</v>
      </c>
      <c r="C3939" s="15" t="str">
        <f t="shared" si="1"/>
        <v>sriyanshud5@gmail.com919008763738</v>
      </c>
      <c r="D3939" s="17" t="s">
        <v>11296</v>
      </c>
      <c r="E3939" s="18" t="s">
        <v>68</v>
      </c>
    </row>
    <row r="3940">
      <c r="A3940" s="1" t="s">
        <v>3511</v>
      </c>
      <c r="B3940" s="1">
        <v>9.18111077416E11</v>
      </c>
      <c r="C3940" s="15" t="str">
        <f t="shared" si="1"/>
        <v>ramnath2609@gmail.com918111077416</v>
      </c>
      <c r="D3940" s="17" t="s">
        <v>11297</v>
      </c>
      <c r="E3940" s="18" t="s">
        <v>68</v>
      </c>
    </row>
    <row r="3941">
      <c r="A3941" s="1" t="s">
        <v>11295</v>
      </c>
      <c r="B3941" s="1">
        <v>9.19008763738E11</v>
      </c>
      <c r="C3941" s="15" t="str">
        <f t="shared" si="1"/>
        <v>sriyanshud5@gmail.com919008763738</v>
      </c>
      <c r="D3941" s="17" t="s">
        <v>11298</v>
      </c>
      <c r="E3941" s="18" t="s">
        <v>68</v>
      </c>
    </row>
    <row r="3942">
      <c r="A3942" s="1" t="s">
        <v>4506</v>
      </c>
      <c r="B3942" s="1">
        <v>9.19988487048E11</v>
      </c>
      <c r="C3942" s="15" t="str">
        <f t="shared" si="1"/>
        <v>binnymurria@gmail.com919988487048</v>
      </c>
      <c r="D3942" s="17" t="s">
        <v>11299</v>
      </c>
      <c r="E3942" s="18" t="s">
        <v>68</v>
      </c>
    </row>
    <row r="3943">
      <c r="A3943" s="1" t="s">
        <v>3279</v>
      </c>
      <c r="B3943" s="1">
        <v>9.19995955888E11</v>
      </c>
      <c r="C3943" s="15" t="str">
        <f t="shared" si="1"/>
        <v>rzenjith@gmail.com919995955888</v>
      </c>
      <c r="D3943" s="17" t="s">
        <v>11300</v>
      </c>
      <c r="E3943" s="18" t="s">
        <v>68</v>
      </c>
    </row>
    <row r="3944">
      <c r="A3944" s="1" t="s">
        <v>3279</v>
      </c>
      <c r="B3944" s="1">
        <v>9.19995955888E11</v>
      </c>
      <c r="C3944" s="15" t="str">
        <f t="shared" si="1"/>
        <v>rzenjith@gmail.com919995955888</v>
      </c>
      <c r="D3944" s="17" t="s">
        <v>11301</v>
      </c>
      <c r="E3944" s="18" t="s">
        <v>68</v>
      </c>
    </row>
    <row r="3945">
      <c r="A3945" s="1" t="s">
        <v>3279</v>
      </c>
      <c r="B3945" s="1">
        <v>9.19995955888E11</v>
      </c>
      <c r="C3945" s="15" t="str">
        <f t="shared" si="1"/>
        <v>rzenjith@gmail.com919995955888</v>
      </c>
      <c r="D3945" s="17" t="s">
        <v>11302</v>
      </c>
      <c r="E3945" s="18" t="s">
        <v>74</v>
      </c>
    </row>
    <row r="3946">
      <c r="A3946" s="1" t="s">
        <v>6432</v>
      </c>
      <c r="B3946" s="1">
        <v>9.19550943152E11</v>
      </c>
      <c r="C3946" s="15" t="str">
        <f t="shared" si="1"/>
        <v>harshbaldwa1@gmail.com919550943152</v>
      </c>
      <c r="D3946" s="17" t="s">
        <v>11303</v>
      </c>
      <c r="E3946" s="18" t="s">
        <v>68</v>
      </c>
    </row>
    <row r="3947">
      <c r="A3947" s="1" t="s">
        <v>6432</v>
      </c>
      <c r="B3947" s="1">
        <v>9.19550943152E11</v>
      </c>
      <c r="C3947" s="15" t="str">
        <f t="shared" si="1"/>
        <v>harshbaldwa1@gmail.com919550943152</v>
      </c>
      <c r="D3947" s="17" t="s">
        <v>11304</v>
      </c>
      <c r="E3947" s="18" t="s">
        <v>68</v>
      </c>
    </row>
    <row r="3948">
      <c r="A3948" s="1" t="s">
        <v>11305</v>
      </c>
      <c r="B3948" s="1">
        <v>9.17013749149E11</v>
      </c>
      <c r="C3948" s="15" t="str">
        <f t="shared" si="1"/>
        <v>pgmc92.se@gmail.com917013749149</v>
      </c>
      <c r="D3948" s="17" t="s">
        <v>11306</v>
      </c>
      <c r="E3948" s="18" t="s">
        <v>97</v>
      </c>
    </row>
    <row r="3949">
      <c r="A3949" s="1" t="s">
        <v>11305</v>
      </c>
      <c r="B3949" s="1">
        <v>9.17013749149E11</v>
      </c>
      <c r="C3949" s="15" t="str">
        <f t="shared" si="1"/>
        <v>pgmc92.se@gmail.com917013749149</v>
      </c>
      <c r="D3949" s="17" t="s">
        <v>11307</v>
      </c>
      <c r="E3949" s="18" t="s">
        <v>97</v>
      </c>
    </row>
    <row r="3950">
      <c r="A3950" s="1" t="s">
        <v>11308</v>
      </c>
      <c r="B3950" s="1">
        <v>9.19628567942E11</v>
      </c>
      <c r="C3950" s="15" t="str">
        <f t="shared" si="1"/>
        <v>osingh62@gmail.com919628567942</v>
      </c>
      <c r="D3950" s="17" t="s">
        <v>11309</v>
      </c>
      <c r="E3950" s="18" t="s">
        <v>74</v>
      </c>
    </row>
    <row r="3951">
      <c r="A3951" s="1" t="s">
        <v>11310</v>
      </c>
      <c r="B3951" s="1">
        <v>9.17402347273E11</v>
      </c>
      <c r="C3951" s="15" t="str">
        <f t="shared" si="1"/>
        <v>architect.ram4@gmail.com917402347273</v>
      </c>
      <c r="D3951" s="17" t="s">
        <v>11311</v>
      </c>
      <c r="E3951" s="18" t="s">
        <v>68</v>
      </c>
    </row>
    <row r="3952">
      <c r="A3952" s="1" t="s">
        <v>5295</v>
      </c>
      <c r="B3952" s="1">
        <v>9.19706154411E11</v>
      </c>
      <c r="C3952" s="15" t="str">
        <f t="shared" si="1"/>
        <v>piyush.shah91@gmail.com919706154411</v>
      </c>
      <c r="D3952" s="17" t="s">
        <v>11312</v>
      </c>
      <c r="E3952" s="18" t="s">
        <v>68</v>
      </c>
    </row>
    <row r="3953">
      <c r="A3953" s="1" t="s">
        <v>11313</v>
      </c>
      <c r="B3953" s="1">
        <v>9.19166106202E11</v>
      </c>
      <c r="C3953" s="15" t="str">
        <f t="shared" si="1"/>
        <v>lokeshkumar1996949@gmail.com919166106202</v>
      </c>
      <c r="D3953" s="17" t="s">
        <v>11314</v>
      </c>
      <c r="E3953" s="18" t="s">
        <v>68</v>
      </c>
    </row>
    <row r="3954">
      <c r="A3954" s="1" t="s">
        <v>5171</v>
      </c>
      <c r="B3954" s="1">
        <v>9.19051955503E11</v>
      </c>
      <c r="C3954" s="15" t="str">
        <f t="shared" si="1"/>
        <v>momsquadkol@gmail.com919051955503</v>
      </c>
      <c r="D3954" s="17" t="s">
        <v>11315</v>
      </c>
      <c r="E3954" s="18" t="s">
        <v>68</v>
      </c>
    </row>
    <row r="3955">
      <c r="A3955" s="1" t="s">
        <v>11316</v>
      </c>
      <c r="B3955" s="1">
        <v>9.18892844654E11</v>
      </c>
      <c r="C3955" s="15" t="str">
        <f t="shared" si="1"/>
        <v>civilmalu@gmail.com918892844654</v>
      </c>
      <c r="D3955" s="17" t="s">
        <v>11317</v>
      </c>
      <c r="E3955" s="18" t="s">
        <v>68</v>
      </c>
    </row>
    <row r="3956">
      <c r="A3956" s="1" t="s">
        <v>3727</v>
      </c>
      <c r="B3956" s="1">
        <v>9.17006196007E11</v>
      </c>
      <c r="C3956" s="15" t="str">
        <f t="shared" si="1"/>
        <v>rahulsangral36@gmail.com917006196007</v>
      </c>
      <c r="D3956" s="17" t="s">
        <v>11318</v>
      </c>
      <c r="E3956" s="18" t="s">
        <v>151</v>
      </c>
    </row>
    <row r="3957">
      <c r="A3957" s="1" t="s">
        <v>3541</v>
      </c>
      <c r="B3957" s="1">
        <v>9.19503201603E11</v>
      </c>
      <c r="C3957" s="15" t="str">
        <f t="shared" si="1"/>
        <v>sarahmcwann@gmail.com919503201603</v>
      </c>
      <c r="D3957" s="17" t="s">
        <v>11319</v>
      </c>
      <c r="E3957" s="18" t="s">
        <v>68</v>
      </c>
    </row>
    <row r="3958">
      <c r="A3958" s="1" t="s">
        <v>3512</v>
      </c>
      <c r="B3958" s="1">
        <v>9.19899626999E11</v>
      </c>
      <c r="C3958" s="15" t="str">
        <f t="shared" si="1"/>
        <v>bkvaani@gmail.com919899626999</v>
      </c>
      <c r="D3958" s="17" t="s">
        <v>11320</v>
      </c>
      <c r="E3958" s="18" t="s">
        <v>68</v>
      </c>
    </row>
    <row r="3959">
      <c r="A3959" s="1" t="s">
        <v>11321</v>
      </c>
      <c r="B3959" s="1">
        <v>9.19324450683E11</v>
      </c>
      <c r="C3959" s="15" t="str">
        <f t="shared" si="1"/>
        <v>nehakamath04.nk@gmail.com919324450683</v>
      </c>
      <c r="D3959" s="17" t="s">
        <v>11322</v>
      </c>
      <c r="E3959" s="18" t="s">
        <v>68</v>
      </c>
    </row>
    <row r="3960">
      <c r="A3960" s="1" t="s">
        <v>6433</v>
      </c>
      <c r="B3960" s="1">
        <v>9.19502485697E11</v>
      </c>
      <c r="C3960" s="15" t="str">
        <f t="shared" si="1"/>
        <v>nagashourie@gmail.com919502485697</v>
      </c>
      <c r="D3960" s="17" t="s">
        <v>11323</v>
      </c>
      <c r="E3960" s="18" t="s">
        <v>68</v>
      </c>
    </row>
    <row r="3961">
      <c r="A3961" s="1" t="s">
        <v>11324</v>
      </c>
      <c r="B3961" s="1">
        <v>9.18328648401E11</v>
      </c>
      <c r="C3961" s="15" t="str">
        <f t="shared" si="1"/>
        <v>sushmaarikatla@gmail.com918328648401</v>
      </c>
      <c r="D3961" s="17" t="s">
        <v>11325</v>
      </c>
      <c r="E3961" s="18" t="s">
        <v>68</v>
      </c>
    </row>
    <row r="3962">
      <c r="A3962" s="1" t="s">
        <v>4854</v>
      </c>
      <c r="B3962" s="1">
        <v>9.1738516545E11</v>
      </c>
      <c r="C3962" s="15" t="str">
        <f t="shared" si="1"/>
        <v>nadafsalma490@gmail.com917385165450</v>
      </c>
      <c r="D3962" s="17" t="s">
        <v>11326</v>
      </c>
      <c r="E3962" s="18" t="s">
        <v>68</v>
      </c>
    </row>
    <row r="3963">
      <c r="A3963" s="1" t="s">
        <v>4855</v>
      </c>
      <c r="B3963" s="1">
        <v>9.19730330847E11</v>
      </c>
      <c r="C3963" s="15" t="str">
        <f t="shared" si="1"/>
        <v>mayura2309@yahoo.com919730330847</v>
      </c>
      <c r="D3963" s="17" t="s">
        <v>11327</v>
      </c>
      <c r="E3963" s="18" t="s">
        <v>68</v>
      </c>
    </row>
    <row r="3964">
      <c r="A3964" s="1" t="s">
        <v>6434</v>
      </c>
      <c r="B3964" s="1">
        <v>9.18884733798E11</v>
      </c>
      <c r="C3964" s="15" t="str">
        <f t="shared" si="1"/>
        <v>ankit.abhinav24@gmail.com918884733798</v>
      </c>
      <c r="D3964" s="17" t="s">
        <v>11328</v>
      </c>
      <c r="E3964" s="18" t="s">
        <v>97</v>
      </c>
    </row>
    <row r="3965">
      <c r="A3965" s="1" t="s">
        <v>3513</v>
      </c>
      <c r="B3965" s="1">
        <v>9.19628433919E11</v>
      </c>
      <c r="C3965" s="15" t="str">
        <f t="shared" si="1"/>
        <v>sauravd40@gmail.com919628433919</v>
      </c>
      <c r="D3965" s="17" t="s">
        <v>11329</v>
      </c>
      <c r="E3965" s="18" t="s">
        <v>68</v>
      </c>
    </row>
    <row r="3966">
      <c r="A3966" s="1" t="s">
        <v>3842</v>
      </c>
      <c r="B3966" s="1">
        <v>9.19381831659E11</v>
      </c>
      <c r="C3966" s="15" t="str">
        <f t="shared" si="1"/>
        <v>kanakavallichunduri2002@gmail.com919381831659</v>
      </c>
      <c r="D3966" s="17" t="s">
        <v>11330</v>
      </c>
      <c r="E3966" s="18" t="s">
        <v>68</v>
      </c>
    </row>
    <row r="3967">
      <c r="A3967" s="1" t="s">
        <v>11331</v>
      </c>
      <c r="B3967" s="1">
        <v>9.18199918875E11</v>
      </c>
      <c r="C3967" s="15" t="str">
        <f t="shared" si="1"/>
        <v>motivationeducation772@gmail.com918199918875</v>
      </c>
      <c r="D3967" s="17" t="s">
        <v>11332</v>
      </c>
      <c r="E3967" s="18" t="s">
        <v>68</v>
      </c>
    </row>
    <row r="3968">
      <c r="A3968" s="1" t="s">
        <v>11331</v>
      </c>
      <c r="B3968" s="1">
        <v>9.18199918875E11</v>
      </c>
      <c r="C3968" s="15" t="str">
        <f t="shared" si="1"/>
        <v>motivationeducation772@gmail.com918199918875</v>
      </c>
      <c r="D3968" s="17" t="s">
        <v>11333</v>
      </c>
      <c r="E3968" s="18" t="s">
        <v>68</v>
      </c>
    </row>
    <row r="3969">
      <c r="A3969" s="1" t="s">
        <v>11334</v>
      </c>
      <c r="B3969" s="1">
        <v>9.19706066656E11</v>
      </c>
      <c r="C3969" s="15" t="str">
        <f t="shared" si="1"/>
        <v>suruchichoukhany@gmail.com919706066656</v>
      </c>
      <c r="D3969" s="17" t="s">
        <v>11335</v>
      </c>
      <c r="E3969" s="18" t="s">
        <v>74</v>
      </c>
    </row>
    <row r="3970">
      <c r="A3970" s="1" t="s">
        <v>11336</v>
      </c>
      <c r="B3970" s="1">
        <v>9.19962693461E11</v>
      </c>
      <c r="C3970" s="15" t="str">
        <f t="shared" si="1"/>
        <v>sumi.guru7@gmail.com919962693461</v>
      </c>
      <c r="D3970" s="17" t="s">
        <v>11337</v>
      </c>
      <c r="E3970" s="18" t="s">
        <v>151</v>
      </c>
    </row>
    <row r="3971">
      <c r="A3971" s="1" t="s">
        <v>287</v>
      </c>
      <c r="B3971" s="1">
        <v>9.19752391479E11</v>
      </c>
      <c r="C3971" s="15" t="str">
        <f t="shared" si="1"/>
        <v>asim.mathur1002@gmail.com919752391479</v>
      </c>
      <c r="D3971" s="17" t="s">
        <v>11338</v>
      </c>
      <c r="E3971" s="18" t="s">
        <v>68</v>
      </c>
    </row>
    <row r="3972">
      <c r="A3972" s="1" t="s">
        <v>6571</v>
      </c>
      <c r="B3972" s="1">
        <v>9.19999888018E11</v>
      </c>
      <c r="C3972" s="15" t="str">
        <f t="shared" si="1"/>
        <v>bhatia.manit@gmail.com919999888018</v>
      </c>
      <c r="D3972" s="17" t="s">
        <v>11339</v>
      </c>
      <c r="E3972" s="18" t="s">
        <v>68</v>
      </c>
    </row>
    <row r="3973">
      <c r="A3973" s="1" t="s">
        <v>11340</v>
      </c>
      <c r="B3973" s="1">
        <v>9.19618556635E11</v>
      </c>
      <c r="C3973" s="15" t="str">
        <f t="shared" si="1"/>
        <v>priyankachander3@gmail.com919618556635</v>
      </c>
      <c r="D3973" s="17" t="s">
        <v>11341</v>
      </c>
      <c r="E3973" s="18" t="s">
        <v>68</v>
      </c>
    </row>
    <row r="3974">
      <c r="A3974" s="1" t="s">
        <v>4227</v>
      </c>
      <c r="B3974" s="1">
        <v>9.19657742062E11</v>
      </c>
      <c r="C3974" s="15" t="str">
        <f t="shared" si="1"/>
        <v>amrutashant08@gmail.com919657742062</v>
      </c>
      <c r="D3974" s="17" t="s">
        <v>11342</v>
      </c>
      <c r="E3974" s="18" t="s">
        <v>68</v>
      </c>
    </row>
    <row r="3975">
      <c r="A3975" s="1" t="s">
        <v>4227</v>
      </c>
      <c r="B3975" s="1">
        <v>9.19657742062E11</v>
      </c>
      <c r="C3975" s="15" t="str">
        <f t="shared" si="1"/>
        <v>amrutashant08@gmail.com919657742062</v>
      </c>
      <c r="D3975" s="17" t="s">
        <v>11343</v>
      </c>
      <c r="E3975" s="18" t="s">
        <v>68</v>
      </c>
    </row>
    <row r="3976">
      <c r="A3976" s="1" t="s">
        <v>3163</v>
      </c>
      <c r="B3976" s="1">
        <v>9.19886040796E11</v>
      </c>
      <c r="C3976" s="15" t="str">
        <f t="shared" si="1"/>
        <v>menon.here@gmail.com919886040796</v>
      </c>
      <c r="D3976" s="17" t="s">
        <v>11344</v>
      </c>
      <c r="E3976" s="18" t="s">
        <v>68</v>
      </c>
    </row>
    <row r="3977">
      <c r="A3977" s="1" t="s">
        <v>5609</v>
      </c>
      <c r="B3977" s="1">
        <v>9.19337562517E11</v>
      </c>
      <c r="C3977" s="15" t="str">
        <f t="shared" si="1"/>
        <v>cc640050@gmail.com919337562517</v>
      </c>
      <c r="D3977" s="17" t="s">
        <v>11345</v>
      </c>
      <c r="E3977" s="18" t="s">
        <v>68</v>
      </c>
    </row>
    <row r="3978">
      <c r="A3978" s="1" t="s">
        <v>5609</v>
      </c>
      <c r="B3978" s="1">
        <v>9.19337562517E11</v>
      </c>
      <c r="C3978" s="15" t="str">
        <f t="shared" si="1"/>
        <v>cc640050@gmail.com919337562517</v>
      </c>
      <c r="D3978" s="17" t="s">
        <v>11346</v>
      </c>
      <c r="E3978" s="18" t="s">
        <v>68</v>
      </c>
    </row>
    <row r="3979">
      <c r="A3979" s="1" t="s">
        <v>4227</v>
      </c>
      <c r="B3979" s="1">
        <v>9.19657742062E11</v>
      </c>
      <c r="C3979" s="15" t="str">
        <f t="shared" si="1"/>
        <v>amrutashant08@gmail.com919657742062</v>
      </c>
      <c r="D3979" s="17" t="s">
        <v>11347</v>
      </c>
      <c r="E3979" s="18" t="s">
        <v>68</v>
      </c>
    </row>
    <row r="3980">
      <c r="A3980" s="1" t="s">
        <v>4227</v>
      </c>
      <c r="B3980" s="1">
        <v>9.19657742062E11</v>
      </c>
      <c r="C3980" s="15" t="str">
        <f t="shared" si="1"/>
        <v>amrutashant08@gmail.com919657742062</v>
      </c>
      <c r="D3980" s="17" t="s">
        <v>11348</v>
      </c>
      <c r="E3980" s="18" t="s">
        <v>68</v>
      </c>
    </row>
    <row r="3981">
      <c r="A3981" s="1" t="s">
        <v>5944</v>
      </c>
      <c r="B3981" s="1">
        <v>9.19476172172E11</v>
      </c>
      <c r="C3981" s="15" t="str">
        <f t="shared" si="1"/>
        <v>shouvikmandal177@gmail.com919476172172</v>
      </c>
      <c r="D3981" s="17" t="s">
        <v>11349</v>
      </c>
      <c r="E3981" s="18" t="s">
        <v>151</v>
      </c>
    </row>
    <row r="3982">
      <c r="A3982" s="1" t="s">
        <v>3053</v>
      </c>
      <c r="B3982" s="1">
        <v>9.18769792927E11</v>
      </c>
      <c r="C3982" s="15" t="str">
        <f t="shared" si="1"/>
        <v>kaustubh.khandelwal4@gmail.com918769792927</v>
      </c>
      <c r="D3982" s="17" t="s">
        <v>11350</v>
      </c>
      <c r="E3982" s="18" t="s">
        <v>68</v>
      </c>
    </row>
    <row r="3983">
      <c r="A3983" s="1" t="s">
        <v>4005</v>
      </c>
      <c r="B3983" s="1">
        <v>9.18055382304E11</v>
      </c>
      <c r="C3983" s="15" t="str">
        <f t="shared" si="1"/>
        <v>utsavkhare123@gmail.com918055382304</v>
      </c>
      <c r="D3983" s="17" t="s">
        <v>11351</v>
      </c>
      <c r="E3983" s="18" t="s">
        <v>68</v>
      </c>
    </row>
    <row r="3984">
      <c r="A3984" s="1" t="s">
        <v>11352</v>
      </c>
      <c r="B3984" s="1">
        <v>9.18125552026E11</v>
      </c>
      <c r="C3984" s="15" t="str">
        <f t="shared" si="1"/>
        <v>abhanaktode07@gmail.com918125552026</v>
      </c>
      <c r="D3984" s="17" t="s">
        <v>11353</v>
      </c>
      <c r="E3984" s="18" t="s">
        <v>151</v>
      </c>
    </row>
    <row r="3985">
      <c r="A3985" s="1" t="s">
        <v>11354</v>
      </c>
      <c r="B3985" s="1">
        <v>9.1809760352E11</v>
      </c>
      <c r="C3985" s="15" t="str">
        <f t="shared" si="1"/>
        <v>shivaiyer91@yahoo.com918097603520</v>
      </c>
      <c r="D3985" s="17" t="s">
        <v>11355</v>
      </c>
      <c r="E3985" s="18" t="s">
        <v>151</v>
      </c>
    </row>
    <row r="3986">
      <c r="A3986" s="1" t="s">
        <v>11354</v>
      </c>
      <c r="B3986" s="1">
        <v>9.1809760352E11</v>
      </c>
      <c r="C3986" s="15" t="str">
        <f t="shared" si="1"/>
        <v>shivaiyer91@yahoo.com918097603520</v>
      </c>
      <c r="D3986" s="17" t="s">
        <v>11356</v>
      </c>
      <c r="E3986" s="18" t="s">
        <v>151</v>
      </c>
    </row>
    <row r="3987">
      <c r="A3987" s="1" t="s">
        <v>11352</v>
      </c>
      <c r="B3987" s="1">
        <v>9.18125552026E11</v>
      </c>
      <c r="C3987" s="15" t="str">
        <f t="shared" si="1"/>
        <v>abhanaktode07@gmail.com918125552026</v>
      </c>
      <c r="D3987" s="17" t="s">
        <v>11357</v>
      </c>
      <c r="E3987" s="18" t="s">
        <v>151</v>
      </c>
    </row>
    <row r="3988">
      <c r="A3988" s="1" t="s">
        <v>11358</v>
      </c>
      <c r="B3988" s="1">
        <v>9.19221919186E11</v>
      </c>
      <c r="C3988" s="15" t="str">
        <f t="shared" si="1"/>
        <v>kaustubhgogate@gmail.com919221919186</v>
      </c>
      <c r="D3988" s="17" t="s">
        <v>11359</v>
      </c>
      <c r="E3988" s="18" t="s">
        <v>68</v>
      </c>
    </row>
    <row r="3989">
      <c r="A3989" s="1" t="s">
        <v>2458</v>
      </c>
      <c r="B3989" s="1">
        <v>9.19416173796E11</v>
      </c>
      <c r="C3989" s="15" t="str">
        <f t="shared" si="1"/>
        <v>mahirgupta98@gmail.com919416173796</v>
      </c>
      <c r="D3989" s="17" t="s">
        <v>11360</v>
      </c>
      <c r="E3989" s="18" t="s">
        <v>68</v>
      </c>
    </row>
    <row r="3990">
      <c r="A3990" s="1" t="s">
        <v>11361</v>
      </c>
      <c r="B3990" s="1">
        <v>9.17709018599E11</v>
      </c>
      <c r="C3990" s="15" t="str">
        <f t="shared" si="1"/>
        <v>sheetal.gujral@yahoo.com917709018599</v>
      </c>
      <c r="D3990" s="17" t="s">
        <v>11362</v>
      </c>
      <c r="E3990" s="18" t="s">
        <v>74</v>
      </c>
    </row>
    <row r="3991">
      <c r="A3991" s="1" t="s">
        <v>4507</v>
      </c>
      <c r="B3991" s="1">
        <v>9.18867534485E11</v>
      </c>
      <c r="C3991" s="15" t="str">
        <f t="shared" si="1"/>
        <v>kundekarvikram910@gmail.com918867534485</v>
      </c>
      <c r="D3991" s="17" t="s">
        <v>11363</v>
      </c>
      <c r="E3991" s="18" t="s">
        <v>68</v>
      </c>
    </row>
    <row r="3992">
      <c r="A3992" s="1" t="s">
        <v>4230</v>
      </c>
      <c r="B3992" s="1">
        <v>9.1999974073E11</v>
      </c>
      <c r="C3992" s="15" t="str">
        <f t="shared" si="1"/>
        <v>akshita.sharma2901@gmail.com919999740730</v>
      </c>
      <c r="D3992" s="17" t="s">
        <v>11364</v>
      </c>
      <c r="E3992" s="18" t="s">
        <v>68</v>
      </c>
    </row>
    <row r="3993">
      <c r="A3993" s="1" t="s">
        <v>3728</v>
      </c>
      <c r="B3993" s="1">
        <v>9.19881995594E11</v>
      </c>
      <c r="C3993" s="15" t="str">
        <f t="shared" si="1"/>
        <v>shuubhaamkudikalwar@gmail.com919881995594</v>
      </c>
      <c r="D3993" s="17" t="s">
        <v>11365</v>
      </c>
      <c r="E3993" s="18" t="s">
        <v>68</v>
      </c>
    </row>
    <row r="3994">
      <c r="A3994" s="1" t="s">
        <v>3728</v>
      </c>
      <c r="B3994" s="1">
        <v>9.19881995594E11</v>
      </c>
      <c r="C3994" s="15" t="str">
        <f t="shared" si="1"/>
        <v>shuubhaamkudikalwar@gmail.com919881995594</v>
      </c>
      <c r="D3994" s="17" t="s">
        <v>11366</v>
      </c>
      <c r="E3994" s="18" t="s">
        <v>68</v>
      </c>
    </row>
    <row r="3995">
      <c r="A3995" s="1" t="s">
        <v>11367</v>
      </c>
      <c r="B3995" s="1">
        <v>9.19592594071E11</v>
      </c>
      <c r="C3995" s="15" t="str">
        <f t="shared" si="1"/>
        <v>shefalisharma1983@gmail.com919592594071</v>
      </c>
      <c r="D3995" s="17" t="s">
        <v>11368</v>
      </c>
      <c r="E3995" s="18" t="s">
        <v>68</v>
      </c>
    </row>
    <row r="3996">
      <c r="A3996" s="1" t="s">
        <v>5843</v>
      </c>
      <c r="B3996" s="1">
        <v>9.19971389859E11</v>
      </c>
      <c r="C3996" s="15" t="str">
        <f t="shared" si="1"/>
        <v>sachinnbhallla@hotmail.com919971389859</v>
      </c>
      <c r="D3996" s="17" t="s">
        <v>11369</v>
      </c>
      <c r="E3996" s="18" t="s">
        <v>151</v>
      </c>
    </row>
    <row r="3997">
      <c r="A3997" s="1" t="s">
        <v>4231</v>
      </c>
      <c r="B3997" s="1">
        <v>9.18669167266E11</v>
      </c>
      <c r="C3997" s="15" t="str">
        <f t="shared" si="1"/>
        <v>mehermemon2@gmail.com918669167266</v>
      </c>
      <c r="D3997" s="17" t="s">
        <v>11370</v>
      </c>
      <c r="E3997" s="18" t="s">
        <v>74</v>
      </c>
    </row>
    <row r="3998">
      <c r="A3998" s="1" t="s">
        <v>2593</v>
      </c>
      <c r="B3998" s="1">
        <v>9.19582646447E11</v>
      </c>
      <c r="C3998" s="15" t="str">
        <f t="shared" si="1"/>
        <v>praroop.trivedi149@gmail.com919582646447</v>
      </c>
      <c r="D3998" s="17" t="s">
        <v>11371</v>
      </c>
      <c r="E3998" s="18" t="s">
        <v>68</v>
      </c>
    </row>
    <row r="3999">
      <c r="A3999" s="1" t="s">
        <v>2593</v>
      </c>
      <c r="B3999" s="1">
        <v>9.19582646447E11</v>
      </c>
      <c r="C3999" s="15" t="str">
        <f t="shared" si="1"/>
        <v>praroop.trivedi149@gmail.com919582646447</v>
      </c>
      <c r="D3999" s="17" t="s">
        <v>11372</v>
      </c>
      <c r="E3999" s="18" t="s">
        <v>68</v>
      </c>
    </row>
    <row r="4000">
      <c r="A4000" s="1" t="s">
        <v>5915</v>
      </c>
      <c r="B4000" s="1">
        <v>9.19075382534E11</v>
      </c>
      <c r="C4000" s="15" t="str">
        <f t="shared" si="1"/>
        <v>blackhamelizabeth@gmail.com919075382534</v>
      </c>
      <c r="D4000" s="17" t="s">
        <v>11373</v>
      </c>
      <c r="E4000" s="18" t="s">
        <v>97</v>
      </c>
    </row>
    <row r="4001">
      <c r="A4001" s="1" t="s">
        <v>5915</v>
      </c>
      <c r="B4001" s="1">
        <v>9.19075382534E11</v>
      </c>
      <c r="C4001" s="15" t="str">
        <f t="shared" si="1"/>
        <v>blackhamelizabeth@gmail.com919075382534</v>
      </c>
      <c r="D4001" s="17" t="s">
        <v>11374</v>
      </c>
      <c r="E4001" s="18" t="s">
        <v>97</v>
      </c>
    </row>
    <row r="4002">
      <c r="A4002" s="1" t="s">
        <v>11375</v>
      </c>
      <c r="B4002" s="1">
        <v>9.1879087289E11</v>
      </c>
      <c r="C4002" s="15" t="str">
        <f t="shared" si="1"/>
        <v>ashokkumarn901@gmail.com918790872890</v>
      </c>
      <c r="D4002" s="17" t="s">
        <v>11376</v>
      </c>
      <c r="E4002" s="18" t="s">
        <v>74</v>
      </c>
    </row>
    <row r="4003">
      <c r="A4003" s="1" t="s">
        <v>3729</v>
      </c>
      <c r="B4003" s="1">
        <v>9.1974876393E11</v>
      </c>
      <c r="C4003" s="15" t="str">
        <f t="shared" si="1"/>
        <v>divyakejriwal@hotmail.com919748763930</v>
      </c>
      <c r="D4003" s="17" t="s">
        <v>11377</v>
      </c>
      <c r="E4003" s="18" t="s">
        <v>74</v>
      </c>
    </row>
    <row r="4004">
      <c r="A4004" s="1" t="s">
        <v>11378</v>
      </c>
      <c r="B4004" s="1">
        <v>9.18090794004E11</v>
      </c>
      <c r="C4004" s="15" t="str">
        <f t="shared" si="1"/>
        <v>dwivedivandana08@gmail.com918090794004</v>
      </c>
      <c r="D4004" s="17" t="s">
        <v>11379</v>
      </c>
      <c r="E4004" s="18" t="s">
        <v>74</v>
      </c>
    </row>
    <row r="4005">
      <c r="A4005" s="1" t="s">
        <v>11380</v>
      </c>
      <c r="B4005" s="1">
        <v>9.16280856775E11</v>
      </c>
      <c r="C4005" s="15" t="str">
        <f t="shared" si="1"/>
        <v>palak76448@gmail.com916280856775</v>
      </c>
      <c r="D4005" s="17" t="s">
        <v>11381</v>
      </c>
      <c r="E4005" s="18" t="s">
        <v>74</v>
      </c>
    </row>
    <row r="4006">
      <c r="A4006" s="1" t="s">
        <v>11382</v>
      </c>
      <c r="B4006" s="1">
        <v>9.19149201006E11</v>
      </c>
      <c r="C4006" s="15" t="str">
        <f t="shared" si="1"/>
        <v>bhawanabora101@gmail.com919149201006</v>
      </c>
      <c r="D4006" s="17" t="s">
        <v>11383</v>
      </c>
      <c r="E4006" s="18" t="s">
        <v>74</v>
      </c>
    </row>
    <row r="4007">
      <c r="A4007" s="1" t="s">
        <v>5914</v>
      </c>
      <c r="B4007" s="1">
        <v>9.19958019752E11</v>
      </c>
      <c r="C4007" s="15" t="str">
        <f t="shared" si="1"/>
        <v>monicahira29@yahoo.com919958019752</v>
      </c>
      <c r="D4007" s="17" t="s">
        <v>11384</v>
      </c>
      <c r="E4007" s="18" t="s">
        <v>74</v>
      </c>
    </row>
    <row r="4008">
      <c r="A4008" s="1" t="s">
        <v>5952</v>
      </c>
      <c r="B4008" s="1">
        <v>9.18218695021E11</v>
      </c>
      <c r="C4008" s="15" t="str">
        <f t="shared" si="1"/>
        <v>arnabdebroy48@gmail.com918218695021</v>
      </c>
      <c r="D4008" s="17" t="s">
        <v>11385</v>
      </c>
      <c r="E4008" s="18" t="s">
        <v>74</v>
      </c>
    </row>
    <row r="4009">
      <c r="A4009" s="1" t="s">
        <v>11386</v>
      </c>
      <c r="B4009" s="1">
        <v>9.18349252577E11</v>
      </c>
      <c r="C4009" s="15" t="str">
        <f t="shared" si="1"/>
        <v>aishwaryarawat2711@gmail.com918349252577</v>
      </c>
      <c r="D4009" s="17" t="s">
        <v>11387</v>
      </c>
      <c r="E4009" s="18" t="s">
        <v>68</v>
      </c>
    </row>
    <row r="4010">
      <c r="A4010" s="1" t="s">
        <v>189</v>
      </c>
      <c r="B4010" s="1">
        <v>9.1910822943E11</v>
      </c>
      <c r="C4010" s="15" t="str">
        <f t="shared" si="1"/>
        <v>rinhamuneer24@gmail.com919108229430</v>
      </c>
      <c r="D4010" s="17" t="s">
        <v>11388</v>
      </c>
      <c r="E4010" s="18" t="s">
        <v>68</v>
      </c>
    </row>
    <row r="4011">
      <c r="A4011" s="1" t="s">
        <v>6306</v>
      </c>
      <c r="B4011" s="1">
        <v>9.18853595117E11</v>
      </c>
      <c r="C4011" s="15" t="str">
        <f t="shared" si="1"/>
        <v>rajnishstu22@gmail.com918853595117</v>
      </c>
      <c r="D4011" s="17" t="s">
        <v>11389</v>
      </c>
      <c r="E4011" s="18" t="s">
        <v>151</v>
      </c>
    </row>
    <row r="4012">
      <c r="A4012" s="1" t="s">
        <v>3514</v>
      </c>
      <c r="B4012" s="1">
        <v>9.1790819378E11</v>
      </c>
      <c r="C4012" s="15" t="str">
        <f t="shared" si="1"/>
        <v>ats.talha20@gmail.com917908193780</v>
      </c>
      <c r="D4012" s="17" t="s">
        <v>11390</v>
      </c>
      <c r="E4012" s="18" t="s">
        <v>151</v>
      </c>
    </row>
    <row r="4013">
      <c r="A4013" s="1" t="s">
        <v>2556</v>
      </c>
      <c r="B4013" s="1">
        <v>9.19677235852E11</v>
      </c>
      <c r="C4013" s="15" t="str">
        <f t="shared" si="1"/>
        <v>umarr3776@gmail.com919677235852</v>
      </c>
      <c r="D4013" s="17" t="s">
        <v>11391</v>
      </c>
      <c r="E4013" s="18" t="s">
        <v>151</v>
      </c>
    </row>
    <row r="4014">
      <c r="A4014" s="1" t="s">
        <v>5610</v>
      </c>
      <c r="B4014" s="1">
        <v>9.17744870296E11</v>
      </c>
      <c r="C4014" s="15" t="str">
        <f t="shared" si="1"/>
        <v>dhanashreeramteke814@gmail.com917744870296</v>
      </c>
      <c r="D4014" s="17" t="s">
        <v>11392</v>
      </c>
      <c r="E4014" s="18" t="s">
        <v>151</v>
      </c>
    </row>
    <row r="4015">
      <c r="A4015" s="1" t="s">
        <v>5610</v>
      </c>
      <c r="B4015" s="1">
        <v>9.17744870296E11</v>
      </c>
      <c r="C4015" s="15" t="str">
        <f t="shared" si="1"/>
        <v>dhanashreeramteke814@gmail.com917744870296</v>
      </c>
      <c r="D4015" s="17" t="s">
        <v>11393</v>
      </c>
      <c r="E4015" s="18" t="s">
        <v>68</v>
      </c>
    </row>
    <row r="4016">
      <c r="A4016" s="1" t="s">
        <v>11394</v>
      </c>
      <c r="B4016" s="1">
        <v>9.18884902902E11</v>
      </c>
      <c r="C4016" s="15" t="str">
        <f t="shared" si="1"/>
        <v>ramyakrd333@gmail.com918884902902</v>
      </c>
      <c r="D4016" s="17" t="s">
        <v>11395</v>
      </c>
      <c r="E4016" s="18" t="s">
        <v>97</v>
      </c>
    </row>
    <row r="4017">
      <c r="A4017" s="1" t="s">
        <v>11394</v>
      </c>
      <c r="B4017" s="1">
        <v>9.18884902902E11</v>
      </c>
      <c r="C4017" s="15" t="str">
        <f t="shared" si="1"/>
        <v>ramyakrd333@gmail.com918884902902</v>
      </c>
      <c r="D4017" s="17" t="s">
        <v>11396</v>
      </c>
      <c r="E4017" s="18" t="s">
        <v>97</v>
      </c>
    </row>
    <row r="4018">
      <c r="A4018" s="1" t="s">
        <v>11394</v>
      </c>
      <c r="B4018" s="1">
        <v>9.18884902902E11</v>
      </c>
      <c r="C4018" s="15" t="str">
        <f t="shared" si="1"/>
        <v>ramyakrd333@gmail.com918884902902</v>
      </c>
      <c r="D4018" s="17" t="s">
        <v>11397</v>
      </c>
      <c r="E4018" s="18" t="s">
        <v>74</v>
      </c>
    </row>
    <row r="4019">
      <c r="A4019" s="1" t="s">
        <v>11398</v>
      </c>
      <c r="B4019" s="1">
        <v>9.18884902902E11</v>
      </c>
      <c r="C4019" s="15" t="str">
        <f t="shared" si="1"/>
        <v>ramyakr.msa18@gmail.com918884902902</v>
      </c>
      <c r="D4019" s="17" t="s">
        <v>11399</v>
      </c>
      <c r="E4019" s="18" t="s">
        <v>74</v>
      </c>
    </row>
    <row r="4020">
      <c r="A4020" s="1" t="s">
        <v>5611</v>
      </c>
      <c r="B4020" s="1">
        <v>9.19699764241E11</v>
      </c>
      <c r="C4020" s="15" t="str">
        <f t="shared" si="1"/>
        <v>poojashinde2353@gmail.com919699764241</v>
      </c>
      <c r="D4020" s="17" t="s">
        <v>11400</v>
      </c>
      <c r="E4020" s="18" t="s">
        <v>151</v>
      </c>
    </row>
    <row r="4021">
      <c r="A4021" s="1" t="s">
        <v>6656</v>
      </c>
      <c r="B4021" s="1">
        <v>9.18329794326E11</v>
      </c>
      <c r="C4021" s="15" t="str">
        <f t="shared" si="1"/>
        <v>nishagshetty99@gmail.com918329794326</v>
      </c>
      <c r="D4021" s="17" t="s">
        <v>11401</v>
      </c>
      <c r="E4021" s="18" t="s">
        <v>68</v>
      </c>
    </row>
    <row r="4022">
      <c r="A4022" s="1" t="s">
        <v>11402</v>
      </c>
      <c r="B4022" s="1">
        <v>9.19632380565E11</v>
      </c>
      <c r="C4022" s="15" t="str">
        <f t="shared" si="1"/>
        <v>hemanthshetty13013@gmail.com919632380565</v>
      </c>
      <c r="D4022" s="17" t="s">
        <v>11403</v>
      </c>
      <c r="E4022" s="18" t="s">
        <v>68</v>
      </c>
    </row>
    <row r="4023">
      <c r="A4023" s="1" t="s">
        <v>2889</v>
      </c>
      <c r="B4023" s="1">
        <v>9.1722888847E11</v>
      </c>
      <c r="C4023" s="15" t="str">
        <f t="shared" si="1"/>
        <v>ysrehaan@gmail.com917228888470</v>
      </c>
      <c r="D4023" s="17" t="s">
        <v>11404</v>
      </c>
      <c r="E4023" s="18" t="s">
        <v>68</v>
      </c>
    </row>
    <row r="4024">
      <c r="A4024" s="1" t="s">
        <v>4233</v>
      </c>
      <c r="B4024" s="1">
        <v>9.18788034988E11</v>
      </c>
      <c r="C4024" s="15" t="str">
        <f t="shared" si="1"/>
        <v>vaishnavi.gore812@gmail.com918788034988</v>
      </c>
      <c r="D4024" s="17" t="s">
        <v>11405</v>
      </c>
      <c r="E4024" s="18" t="s">
        <v>68</v>
      </c>
    </row>
    <row r="4025">
      <c r="A4025" s="1" t="s">
        <v>4856</v>
      </c>
      <c r="B4025" s="1">
        <v>9.1776056774E11</v>
      </c>
      <c r="C4025" s="15" t="str">
        <f t="shared" si="1"/>
        <v>carrotleaf13@gmail.com917760567740</v>
      </c>
      <c r="D4025" s="17" t="s">
        <v>11406</v>
      </c>
      <c r="E4025" s="18" t="s">
        <v>68</v>
      </c>
    </row>
    <row r="4026">
      <c r="A4026" s="1" t="s">
        <v>5611</v>
      </c>
      <c r="B4026" s="1">
        <v>9.19699764241E11</v>
      </c>
      <c r="C4026" s="15" t="str">
        <f t="shared" si="1"/>
        <v>poojashinde2353@gmail.com919699764241</v>
      </c>
      <c r="D4026" s="17" t="s">
        <v>11407</v>
      </c>
      <c r="E4026" s="18" t="s">
        <v>151</v>
      </c>
    </row>
    <row r="4027">
      <c r="A4027" s="1" t="s">
        <v>11408</v>
      </c>
      <c r="B4027" s="1">
        <v>9.19990971744E11</v>
      </c>
      <c r="C4027" s="15" t="str">
        <f t="shared" si="1"/>
        <v>narendersingh0301@gmail.com919990971744</v>
      </c>
      <c r="D4027" s="17" t="s">
        <v>11409</v>
      </c>
      <c r="E4027" s="18" t="s">
        <v>151</v>
      </c>
    </row>
    <row r="4028">
      <c r="A4028" s="1" t="s">
        <v>11410</v>
      </c>
      <c r="B4028" s="1">
        <v>9.17291020134E11</v>
      </c>
      <c r="C4028" s="15" t="str">
        <f t="shared" si="1"/>
        <v>rajatkain141314@gmail.com917291020134</v>
      </c>
      <c r="D4028" s="17" t="s">
        <v>11411</v>
      </c>
      <c r="E4028" s="18" t="s">
        <v>74</v>
      </c>
    </row>
    <row r="4029">
      <c r="A4029" s="1" t="s">
        <v>11410</v>
      </c>
      <c r="B4029" s="1">
        <v>9.17291020134E11</v>
      </c>
      <c r="C4029" s="15" t="str">
        <f t="shared" si="1"/>
        <v>rajatkain141314@gmail.com917291020134</v>
      </c>
      <c r="D4029" s="17" t="s">
        <v>11412</v>
      </c>
      <c r="E4029" s="18" t="s">
        <v>151</v>
      </c>
    </row>
    <row r="4030">
      <c r="A4030" s="1" t="s">
        <v>4006</v>
      </c>
      <c r="B4030" s="1">
        <v>9.18171055284E11</v>
      </c>
      <c r="C4030" s="15" t="str">
        <f t="shared" si="1"/>
        <v>sapna.sikarwar0611@gmail.com918171055284</v>
      </c>
      <c r="D4030" s="17" t="s">
        <v>11413</v>
      </c>
      <c r="E4030" s="18" t="s">
        <v>74</v>
      </c>
    </row>
    <row r="4031">
      <c r="A4031" s="1" t="s">
        <v>11414</v>
      </c>
      <c r="B4031" s="1">
        <v>9.17981582688E11</v>
      </c>
      <c r="C4031" s="15" t="str">
        <f t="shared" si="1"/>
        <v>apoorva.puvvalu@gmail.com917981582688</v>
      </c>
      <c r="D4031" s="17" t="s">
        <v>11415</v>
      </c>
      <c r="E4031" s="18" t="s">
        <v>68</v>
      </c>
    </row>
    <row r="4032">
      <c r="A4032" s="1" t="s">
        <v>2890</v>
      </c>
      <c r="B4032" s="1">
        <v>9.17000039027E11</v>
      </c>
      <c r="C4032" s="15" t="str">
        <f t="shared" si="1"/>
        <v>shirshendubharadwaj@gmail.com917000039027</v>
      </c>
      <c r="D4032" s="17" t="s">
        <v>11416</v>
      </c>
      <c r="E4032" s="18" t="s">
        <v>74</v>
      </c>
    </row>
    <row r="4033">
      <c r="A4033" s="1" t="s">
        <v>3164</v>
      </c>
      <c r="B4033" s="1">
        <v>9.17772877279E11</v>
      </c>
      <c r="C4033" s="15" t="str">
        <f t="shared" si="1"/>
        <v>raksever25@gmail.com917772877279</v>
      </c>
      <c r="D4033" s="17" t="s">
        <v>11417</v>
      </c>
      <c r="E4033" s="18" t="s">
        <v>74</v>
      </c>
    </row>
    <row r="4034">
      <c r="A4034" s="1" t="s">
        <v>6657</v>
      </c>
      <c r="B4034" s="1">
        <v>9.1740450535E11</v>
      </c>
      <c r="C4034" s="15" t="str">
        <f t="shared" si="1"/>
        <v>pawan.kumar.verma21@gmail.com917404505350</v>
      </c>
      <c r="D4034" s="17" t="s">
        <v>11418</v>
      </c>
      <c r="E4034" s="18" t="s">
        <v>151</v>
      </c>
    </row>
    <row r="4035">
      <c r="A4035" s="1" t="s">
        <v>4508</v>
      </c>
      <c r="B4035" s="1">
        <v>9.19004343795E11</v>
      </c>
      <c r="C4035" s="15" t="str">
        <f t="shared" si="1"/>
        <v>sumit.laxane@gmail.com919004343795</v>
      </c>
      <c r="D4035" s="17" t="s">
        <v>11419</v>
      </c>
      <c r="E4035" s="18" t="s">
        <v>68</v>
      </c>
    </row>
    <row r="4036">
      <c r="A4036" s="1" t="s">
        <v>11420</v>
      </c>
      <c r="B4036" s="1">
        <v>1.3145561781E10</v>
      </c>
      <c r="C4036" s="15" t="str">
        <f t="shared" si="1"/>
        <v>nageshkhanvilkar@gmail.com13145561781</v>
      </c>
      <c r="D4036" s="17" t="s">
        <v>11421</v>
      </c>
      <c r="E4036" s="18" t="s">
        <v>74</v>
      </c>
    </row>
    <row r="4037">
      <c r="A4037" s="1" t="s">
        <v>11420</v>
      </c>
      <c r="B4037" s="1">
        <v>1.3145561781E10</v>
      </c>
      <c r="C4037" s="15" t="str">
        <f t="shared" si="1"/>
        <v>nageshkhanvilkar@gmail.com13145561781</v>
      </c>
      <c r="D4037" s="17" t="s">
        <v>11422</v>
      </c>
      <c r="E4037" s="18" t="s">
        <v>74</v>
      </c>
    </row>
    <row r="4038">
      <c r="A4038" s="1" t="s">
        <v>6657</v>
      </c>
      <c r="B4038" s="1">
        <v>9.1740450535E11</v>
      </c>
      <c r="C4038" s="15" t="str">
        <f t="shared" si="1"/>
        <v>pawan.kumar.verma21@gmail.com917404505350</v>
      </c>
      <c r="D4038" s="17" t="s">
        <v>11423</v>
      </c>
      <c r="E4038" s="18" t="s">
        <v>68</v>
      </c>
    </row>
    <row r="4039">
      <c r="A4039" s="1" t="s">
        <v>11420</v>
      </c>
      <c r="B4039" s="1">
        <v>1.3145561781E10</v>
      </c>
      <c r="C4039" s="15" t="str">
        <f t="shared" si="1"/>
        <v>nageshkhanvilkar@gmail.com13145561781</v>
      </c>
      <c r="D4039" s="17" t="s">
        <v>11424</v>
      </c>
      <c r="E4039" s="18" t="s">
        <v>74</v>
      </c>
    </row>
    <row r="4040">
      <c r="A4040" s="1" t="s">
        <v>11420</v>
      </c>
      <c r="B4040" s="1">
        <v>1.3145561781E10</v>
      </c>
      <c r="C4040" s="15" t="str">
        <f t="shared" si="1"/>
        <v>nageshkhanvilkar@gmail.com13145561781</v>
      </c>
      <c r="D4040" s="17" t="s">
        <v>11425</v>
      </c>
      <c r="E4040" s="18" t="s">
        <v>74</v>
      </c>
    </row>
    <row r="4041">
      <c r="A4041" s="1" t="s">
        <v>11420</v>
      </c>
      <c r="B4041" s="1">
        <v>1.3145561781E10</v>
      </c>
      <c r="C4041" s="15" t="str">
        <f t="shared" si="1"/>
        <v>nageshkhanvilkar@gmail.com13145561781</v>
      </c>
      <c r="D4041" s="17" t="s">
        <v>11426</v>
      </c>
      <c r="E4041" s="18" t="s">
        <v>74</v>
      </c>
    </row>
    <row r="4042">
      <c r="A4042" s="1" t="s">
        <v>6435</v>
      </c>
      <c r="B4042" s="1">
        <v>9.19650566904E11</v>
      </c>
      <c r="C4042" s="15" t="str">
        <f t="shared" si="1"/>
        <v>arorapranay650@gmail.com919650566904</v>
      </c>
      <c r="D4042" s="17" t="s">
        <v>11427</v>
      </c>
      <c r="E4042" s="18" t="s">
        <v>68</v>
      </c>
    </row>
    <row r="4043">
      <c r="A4043" s="1" t="s">
        <v>11420</v>
      </c>
      <c r="B4043" s="1">
        <v>1.3145561781E10</v>
      </c>
      <c r="C4043" s="15" t="str">
        <f t="shared" si="1"/>
        <v>nageshkhanvilkar@gmail.com13145561781</v>
      </c>
      <c r="D4043" s="17" t="s">
        <v>11428</v>
      </c>
      <c r="E4043" s="18" t="s">
        <v>74</v>
      </c>
    </row>
    <row r="4044">
      <c r="A4044" s="1" t="s">
        <v>11420</v>
      </c>
      <c r="B4044" s="1">
        <v>1.3145561781E10</v>
      </c>
      <c r="C4044" s="15" t="str">
        <f t="shared" si="1"/>
        <v>nageshkhanvilkar@gmail.com13145561781</v>
      </c>
      <c r="D4044" s="17" t="s">
        <v>11429</v>
      </c>
      <c r="E4044" s="18" t="s">
        <v>74</v>
      </c>
    </row>
    <row r="4045">
      <c r="A4045" s="1" t="s">
        <v>4415</v>
      </c>
      <c r="B4045" s="1">
        <v>9.18114971986E11</v>
      </c>
      <c r="C4045" s="15" t="str">
        <f t="shared" si="1"/>
        <v>shraddhakunmun97@gmail.com918114971986</v>
      </c>
      <c r="D4045" s="17" t="s">
        <v>11430</v>
      </c>
      <c r="E4045" s="18" t="s">
        <v>68</v>
      </c>
    </row>
    <row r="4046">
      <c r="A4046" s="1" t="s">
        <v>11431</v>
      </c>
      <c r="B4046" s="1">
        <v>9.19531907962E11</v>
      </c>
      <c r="C4046" s="15" t="str">
        <f t="shared" si="1"/>
        <v>pranay.tode@mituniversity.edu.in919531907962</v>
      </c>
      <c r="D4046" s="17" t="s">
        <v>11432</v>
      </c>
      <c r="E4046" s="18" t="s">
        <v>68</v>
      </c>
    </row>
    <row r="4047">
      <c r="A4047" s="1" t="s">
        <v>3730</v>
      </c>
      <c r="B4047" s="1">
        <v>9.1941912044E11</v>
      </c>
      <c r="C4047" s="15" t="str">
        <f t="shared" si="1"/>
        <v>sarngal555@gmail.com919419120440</v>
      </c>
      <c r="D4047" s="17" t="s">
        <v>11433</v>
      </c>
      <c r="E4047" s="18" t="s">
        <v>68</v>
      </c>
    </row>
    <row r="4048">
      <c r="A4048" s="1" t="s">
        <v>11434</v>
      </c>
      <c r="B4048" s="1">
        <v>9.18329174184E11</v>
      </c>
      <c r="C4048" s="15" t="str">
        <f t="shared" si="1"/>
        <v>shailesh.sss2685@gmail.com918329174184</v>
      </c>
      <c r="D4048" s="17" t="s">
        <v>11435</v>
      </c>
      <c r="E4048" s="18" t="s">
        <v>74</v>
      </c>
    </row>
    <row r="4049">
      <c r="A4049" s="1" t="s">
        <v>3165</v>
      </c>
      <c r="B4049" s="1">
        <v>9.1981166785E11</v>
      </c>
      <c r="C4049" s="15" t="str">
        <f t="shared" si="1"/>
        <v>soniabareja76@gmail.com919811667850</v>
      </c>
      <c r="D4049" s="17" t="s">
        <v>11436</v>
      </c>
      <c r="E4049" s="18" t="s">
        <v>68</v>
      </c>
    </row>
    <row r="4050">
      <c r="A4050" s="1" t="s">
        <v>8414</v>
      </c>
      <c r="B4050" s="1">
        <v>9.1726795332E11</v>
      </c>
      <c r="C4050" s="15" t="str">
        <f t="shared" si="1"/>
        <v>chandanidisha0@gmail.com917267953320</v>
      </c>
      <c r="D4050" s="17" t="s">
        <v>11437</v>
      </c>
      <c r="E4050" s="18" t="s">
        <v>97</v>
      </c>
    </row>
    <row r="4051">
      <c r="A4051" s="1" t="s">
        <v>3515</v>
      </c>
      <c r="B4051" s="1">
        <v>9.19597055662E11</v>
      </c>
      <c r="C4051" s="15" t="str">
        <f t="shared" si="1"/>
        <v>dipti.david@gmail.com919597055662</v>
      </c>
      <c r="D4051" s="17" t="s">
        <v>11438</v>
      </c>
      <c r="E4051" s="18" t="s">
        <v>74</v>
      </c>
    </row>
    <row r="4052">
      <c r="A4052" s="1" t="s">
        <v>5938</v>
      </c>
      <c r="B4052" s="1">
        <v>9.18087723261E11</v>
      </c>
      <c r="C4052" s="15" t="str">
        <f t="shared" si="1"/>
        <v>umesh.me01@gmail.com918087723261</v>
      </c>
      <c r="D4052" s="17" t="s">
        <v>11439</v>
      </c>
      <c r="E4052" s="18" t="s">
        <v>68</v>
      </c>
    </row>
    <row r="4053">
      <c r="A4053" s="1" t="s">
        <v>3515</v>
      </c>
      <c r="B4053" s="1">
        <v>9.19597055662E11</v>
      </c>
      <c r="C4053" s="15" t="str">
        <f t="shared" si="1"/>
        <v>dipti.david@gmail.com919597055662</v>
      </c>
      <c r="D4053" s="17" t="s">
        <v>11440</v>
      </c>
      <c r="E4053" s="18" t="s">
        <v>74</v>
      </c>
    </row>
    <row r="4054">
      <c r="A4054" s="1" t="s">
        <v>11441</v>
      </c>
      <c r="B4054" s="1">
        <v>9.17310652739E11</v>
      </c>
      <c r="C4054" s="15" t="str">
        <f t="shared" si="1"/>
        <v>sant.singh14jan@gmail.com917310652739</v>
      </c>
      <c r="D4054" s="17" t="s">
        <v>11442</v>
      </c>
      <c r="E4054" s="18" t="s">
        <v>68</v>
      </c>
    </row>
    <row r="4055">
      <c r="A4055" s="1" t="s">
        <v>3515</v>
      </c>
      <c r="B4055" s="1">
        <v>9.19597055662E11</v>
      </c>
      <c r="C4055" s="15" t="str">
        <f t="shared" si="1"/>
        <v>dipti.david@gmail.com919597055662</v>
      </c>
      <c r="D4055" s="17" t="s">
        <v>11443</v>
      </c>
      <c r="E4055" s="18" t="s">
        <v>74</v>
      </c>
    </row>
    <row r="4056">
      <c r="A4056" s="1" t="s">
        <v>3515</v>
      </c>
      <c r="B4056" s="1">
        <v>9.19597055662E11</v>
      </c>
      <c r="C4056" s="15" t="str">
        <f t="shared" si="1"/>
        <v>dipti.david@gmail.com919597055662</v>
      </c>
      <c r="D4056" s="17" t="s">
        <v>11444</v>
      </c>
      <c r="E4056" s="18" t="s">
        <v>74</v>
      </c>
    </row>
    <row r="4057">
      <c r="A4057" s="1" t="s">
        <v>4509</v>
      </c>
      <c r="B4057" s="1">
        <v>9.18511139665E11</v>
      </c>
      <c r="C4057" s="15" t="str">
        <f t="shared" si="1"/>
        <v>prajinst@gmail.com918511139665</v>
      </c>
      <c r="D4057" s="17" t="s">
        <v>11445</v>
      </c>
      <c r="E4057" s="18" t="s">
        <v>68</v>
      </c>
    </row>
    <row r="4058">
      <c r="A4058" s="1" t="s">
        <v>1912</v>
      </c>
      <c r="B4058" s="1">
        <v>9.1981165092E11</v>
      </c>
      <c r="C4058" s="15" t="str">
        <f t="shared" si="1"/>
        <v>surbhi.pisces@gmail.com919811650920</v>
      </c>
      <c r="D4058" s="17" t="s">
        <v>11446</v>
      </c>
      <c r="E4058" s="18" t="s">
        <v>68</v>
      </c>
    </row>
    <row r="4059">
      <c r="A4059" s="1" t="s">
        <v>2557</v>
      </c>
      <c r="B4059" s="1">
        <v>9.1971135085E11</v>
      </c>
      <c r="C4059" s="15" t="str">
        <f t="shared" si="1"/>
        <v>nikhildhingaun@gmail.com919711350850</v>
      </c>
      <c r="D4059" s="17" t="s">
        <v>11447</v>
      </c>
      <c r="E4059" s="18" t="s">
        <v>151</v>
      </c>
    </row>
    <row r="4060">
      <c r="A4060" s="1" t="s">
        <v>2557</v>
      </c>
      <c r="B4060" s="1">
        <v>9.1971135085E11</v>
      </c>
      <c r="C4060" s="15" t="str">
        <f t="shared" si="1"/>
        <v>nikhildhingaun@gmail.com919711350850</v>
      </c>
      <c r="D4060" s="17" t="s">
        <v>11448</v>
      </c>
      <c r="E4060" s="18" t="s">
        <v>68</v>
      </c>
    </row>
    <row r="4061">
      <c r="A4061" s="1" t="s">
        <v>2891</v>
      </c>
      <c r="B4061" s="1">
        <v>9.17573044691E11</v>
      </c>
      <c r="C4061" s="15" t="str">
        <f t="shared" si="1"/>
        <v>dharamehta18@gmail.com917573044691</v>
      </c>
      <c r="D4061" s="17" t="s">
        <v>11449</v>
      </c>
      <c r="E4061" s="18" t="s">
        <v>68</v>
      </c>
    </row>
    <row r="4062">
      <c r="A4062" s="1" t="s">
        <v>3843</v>
      </c>
      <c r="B4062" s="1">
        <v>9.17718044568E11</v>
      </c>
      <c r="C4062" s="15" t="str">
        <f t="shared" si="1"/>
        <v>deep92002@gmail.com917718044568</v>
      </c>
      <c r="D4062" s="17" t="s">
        <v>11450</v>
      </c>
      <c r="E4062" s="18" t="s">
        <v>68</v>
      </c>
    </row>
    <row r="4063">
      <c r="A4063" s="1" t="s">
        <v>4234</v>
      </c>
      <c r="B4063" s="1">
        <v>9.18983081469E11</v>
      </c>
      <c r="C4063" s="15" t="str">
        <f t="shared" si="1"/>
        <v>rashmijagtap63@gmail.com918983081469</v>
      </c>
      <c r="D4063" s="17" t="s">
        <v>11451</v>
      </c>
      <c r="E4063" s="18" t="s">
        <v>68</v>
      </c>
    </row>
    <row r="4064">
      <c r="A4064" s="1" t="s">
        <v>5612</v>
      </c>
      <c r="B4064" s="1">
        <v>9.19723627628E11</v>
      </c>
      <c r="C4064" s="15" t="str">
        <f t="shared" si="1"/>
        <v>bhaviknarigara12@gmail.com919723627628</v>
      </c>
      <c r="D4064" s="17" t="s">
        <v>11452</v>
      </c>
      <c r="E4064" s="18" t="s">
        <v>68</v>
      </c>
    </row>
    <row r="4065">
      <c r="A4065" s="1" t="s">
        <v>11453</v>
      </c>
      <c r="B4065" s="1">
        <v>9.17895365404E11</v>
      </c>
      <c r="C4065" s="15" t="str">
        <f t="shared" si="1"/>
        <v>aviralbong@gmail.com917895365404</v>
      </c>
      <c r="D4065" s="17" t="s">
        <v>11454</v>
      </c>
      <c r="E4065" s="18" t="s">
        <v>68</v>
      </c>
    </row>
    <row r="4066">
      <c r="A4066" s="1" t="s">
        <v>11453</v>
      </c>
      <c r="B4066" s="1">
        <v>9.17895365404E11</v>
      </c>
      <c r="C4066" s="15" t="str">
        <f t="shared" si="1"/>
        <v>aviralbong@gmail.com917895365404</v>
      </c>
      <c r="D4066" s="17" t="s">
        <v>11455</v>
      </c>
      <c r="E4066" s="18" t="s">
        <v>68</v>
      </c>
    </row>
    <row r="4067">
      <c r="A4067" s="1" t="s">
        <v>11453</v>
      </c>
      <c r="B4067" s="1">
        <v>9.17895365404E11</v>
      </c>
      <c r="C4067" s="15" t="str">
        <f t="shared" si="1"/>
        <v>aviralbong@gmail.com917895365404</v>
      </c>
      <c r="D4067" s="17" t="s">
        <v>11456</v>
      </c>
      <c r="E4067" s="18" t="s">
        <v>68</v>
      </c>
    </row>
    <row r="4068">
      <c r="A4068" s="1" t="s">
        <v>3516</v>
      </c>
      <c r="B4068" s="1">
        <v>9.19643233737E11</v>
      </c>
      <c r="C4068" s="15" t="str">
        <f t="shared" si="1"/>
        <v>20ba013@nluo.ac.in919643233737</v>
      </c>
      <c r="D4068" s="17" t="s">
        <v>11457</v>
      </c>
      <c r="E4068" s="18" t="s">
        <v>68</v>
      </c>
    </row>
    <row r="4069">
      <c r="A4069" s="1" t="s">
        <v>3516</v>
      </c>
      <c r="B4069" s="1">
        <v>9.19643233737E11</v>
      </c>
      <c r="C4069" s="15" t="str">
        <f t="shared" si="1"/>
        <v>20ba013@nluo.ac.in919643233737</v>
      </c>
      <c r="D4069" s="17" t="s">
        <v>11458</v>
      </c>
      <c r="E4069" s="18" t="s">
        <v>68</v>
      </c>
    </row>
    <row r="4070">
      <c r="A4070" s="1" t="s">
        <v>4532</v>
      </c>
      <c r="B4070" s="1">
        <v>9.19829060727E11</v>
      </c>
      <c r="C4070" s="15" t="str">
        <f t="shared" si="1"/>
        <v>sahilsinghal@gmail.com919829060727</v>
      </c>
      <c r="D4070" s="17" t="s">
        <v>11459</v>
      </c>
      <c r="E4070" s="18" t="s">
        <v>68</v>
      </c>
    </row>
    <row r="4071">
      <c r="A4071" s="1" t="s">
        <v>11460</v>
      </c>
      <c r="B4071" s="1">
        <v>9.19738129165E11</v>
      </c>
      <c r="C4071" s="15" t="str">
        <f t="shared" si="1"/>
        <v>mukund808@gmail.com919738129165</v>
      </c>
      <c r="D4071" s="17" t="s">
        <v>11461</v>
      </c>
      <c r="E4071" s="18" t="s">
        <v>151</v>
      </c>
    </row>
    <row r="4072">
      <c r="A4072" s="1" t="s">
        <v>11462</v>
      </c>
      <c r="B4072" s="1">
        <v>9.18010318307E11</v>
      </c>
      <c r="C4072" s="15" t="str">
        <f t="shared" si="1"/>
        <v>hadgesahil408@gmail.com918010318307</v>
      </c>
      <c r="D4072" s="17" t="s">
        <v>11463</v>
      </c>
      <c r="E4072" s="18" t="s">
        <v>151</v>
      </c>
    </row>
    <row r="4073">
      <c r="A4073" s="1" t="s">
        <v>4857</v>
      </c>
      <c r="B4073" s="1">
        <v>9.19818748603E11</v>
      </c>
      <c r="C4073" s="15" t="str">
        <f t="shared" si="1"/>
        <v>saklani.arvind@gmail.com919818748603</v>
      </c>
      <c r="D4073" s="17" t="s">
        <v>11464</v>
      </c>
      <c r="E4073" s="18" t="s">
        <v>68</v>
      </c>
    </row>
    <row r="4074">
      <c r="A4074" s="1" t="s">
        <v>5862</v>
      </c>
      <c r="B4074" s="1">
        <v>9.17905958635E11</v>
      </c>
      <c r="C4074" s="15" t="str">
        <f t="shared" si="1"/>
        <v>kumar.sushil.sushil625@gmail.com917905958635</v>
      </c>
      <c r="D4074" s="17" t="s">
        <v>11465</v>
      </c>
      <c r="E4074" s="18" t="s">
        <v>68</v>
      </c>
    </row>
    <row r="4075">
      <c r="A4075" s="1" t="s">
        <v>3731</v>
      </c>
      <c r="B4075" s="1">
        <v>9.19925607799E11</v>
      </c>
      <c r="C4075" s="15" t="str">
        <f t="shared" si="1"/>
        <v>jooliep9@gmail.com919925607799</v>
      </c>
      <c r="D4075" s="17" t="s">
        <v>11466</v>
      </c>
      <c r="E4075" s="18" t="s">
        <v>68</v>
      </c>
    </row>
    <row r="4076">
      <c r="A4076" s="1" t="s">
        <v>11467</v>
      </c>
      <c r="B4076" s="1">
        <v>9.17034329071E11</v>
      </c>
      <c r="C4076" s="15" t="str">
        <f t="shared" si="1"/>
        <v>abhilash.jango53@gmail.com917034329071</v>
      </c>
      <c r="D4076" s="17" t="s">
        <v>11468</v>
      </c>
      <c r="E4076" s="18" t="s">
        <v>151</v>
      </c>
    </row>
    <row r="4077">
      <c r="A4077" s="1" t="s">
        <v>6436</v>
      </c>
      <c r="B4077" s="1">
        <v>9.19866042682E11</v>
      </c>
      <c r="C4077" s="15" t="str">
        <f t="shared" si="1"/>
        <v>sudheerkumar.gss@gmail.com919866042682</v>
      </c>
      <c r="D4077" s="17" t="s">
        <v>11469</v>
      </c>
      <c r="E4077" s="18" t="s">
        <v>151</v>
      </c>
    </row>
    <row r="4078">
      <c r="A4078" s="1" t="s">
        <v>4859</v>
      </c>
      <c r="B4078" s="1">
        <v>9.16201264611E11</v>
      </c>
      <c r="C4078" s="15" t="str">
        <f t="shared" si="1"/>
        <v>skshweta97@gmail.com916201264611</v>
      </c>
      <c r="D4078" s="17" t="s">
        <v>11470</v>
      </c>
      <c r="E4078" s="18" t="s">
        <v>68</v>
      </c>
    </row>
    <row r="4079">
      <c r="A4079" s="1" t="s">
        <v>11471</v>
      </c>
      <c r="B4079" s="1">
        <v>9.19408920166E11</v>
      </c>
      <c r="C4079" s="15" t="str">
        <f t="shared" si="1"/>
        <v>shahsweni@ymail.com919408920166</v>
      </c>
      <c r="D4079" s="17" t="s">
        <v>11472</v>
      </c>
      <c r="E4079" s="18" t="s">
        <v>74</v>
      </c>
    </row>
    <row r="4080">
      <c r="A4080" s="1" t="s">
        <v>11473</v>
      </c>
      <c r="B4080" s="1">
        <v>9.19111444387E11</v>
      </c>
      <c r="C4080" s="15" t="str">
        <f t="shared" si="1"/>
        <v>drruupalikshirsager@gmail.com919111444387</v>
      </c>
      <c r="D4080" s="17" t="s">
        <v>11474</v>
      </c>
      <c r="E4080" s="18" t="s">
        <v>151</v>
      </c>
    </row>
    <row r="4081">
      <c r="A4081" s="1" t="s">
        <v>11471</v>
      </c>
      <c r="B4081" s="1">
        <v>9.19408920166E11</v>
      </c>
      <c r="C4081" s="15" t="str">
        <f t="shared" si="1"/>
        <v>shahsweni@ymail.com919408920166</v>
      </c>
      <c r="D4081" s="17" t="s">
        <v>11475</v>
      </c>
      <c r="E4081" s="18" t="s">
        <v>74</v>
      </c>
    </row>
    <row r="4082">
      <c r="A4082" s="1" t="s">
        <v>6307</v>
      </c>
      <c r="B4082" s="1">
        <v>9.19706034962E11</v>
      </c>
      <c r="C4082" s="15" t="str">
        <f t="shared" si="1"/>
        <v>lawanibg787@gmail.com919706034962</v>
      </c>
      <c r="D4082" s="17" t="s">
        <v>11476</v>
      </c>
      <c r="E4082" s="18" t="s">
        <v>74</v>
      </c>
    </row>
    <row r="4083">
      <c r="A4083" s="1" t="s">
        <v>11471</v>
      </c>
      <c r="B4083" s="1">
        <v>9.19408920166E11</v>
      </c>
      <c r="C4083" s="15" t="str">
        <f t="shared" si="1"/>
        <v>shahsweni@ymail.com919408920166</v>
      </c>
      <c r="D4083" s="17" t="s">
        <v>11477</v>
      </c>
      <c r="E4083" s="18" t="s">
        <v>74</v>
      </c>
    </row>
    <row r="4084">
      <c r="A4084" s="1" t="s">
        <v>2892</v>
      </c>
      <c r="B4084" s="1">
        <v>9.17386272829E11</v>
      </c>
      <c r="C4084" s="15" t="str">
        <f t="shared" si="1"/>
        <v>sudha943@gmail.com917386272829</v>
      </c>
      <c r="D4084" s="17" t="s">
        <v>11478</v>
      </c>
      <c r="E4084" s="18" t="s">
        <v>68</v>
      </c>
    </row>
    <row r="4085">
      <c r="A4085" s="1" t="s">
        <v>4861</v>
      </c>
      <c r="B4085" s="1">
        <v>9.19159495802E11</v>
      </c>
      <c r="C4085" s="15" t="str">
        <f t="shared" si="1"/>
        <v>poorniparam@gmail.com919159495802</v>
      </c>
      <c r="D4085" s="17" t="s">
        <v>11479</v>
      </c>
      <c r="E4085" s="18" t="s">
        <v>68</v>
      </c>
    </row>
    <row r="4086">
      <c r="A4086" s="1" t="s">
        <v>11480</v>
      </c>
      <c r="B4086" s="1">
        <v>9.19890237549E11</v>
      </c>
      <c r="C4086" s="15" t="str">
        <f t="shared" si="1"/>
        <v>suchi.nikam@gmail.com919890237549</v>
      </c>
      <c r="D4086" s="17" t="s">
        <v>11481</v>
      </c>
      <c r="E4086" s="18" t="s">
        <v>74</v>
      </c>
    </row>
    <row r="4087">
      <c r="A4087" s="1" t="s">
        <v>11480</v>
      </c>
      <c r="B4087" s="1">
        <v>9.19890237549E11</v>
      </c>
      <c r="C4087" s="15" t="str">
        <f t="shared" si="1"/>
        <v>suchi.nikam@gmail.com919890237549</v>
      </c>
      <c r="D4087" s="17" t="s">
        <v>11482</v>
      </c>
      <c r="E4087" s="18" t="s">
        <v>74</v>
      </c>
    </row>
    <row r="4088">
      <c r="A4088" s="1" t="s">
        <v>4863</v>
      </c>
      <c r="B4088" s="1">
        <v>9.16304175156E11</v>
      </c>
      <c r="C4088" s="15" t="str">
        <f t="shared" si="1"/>
        <v>alizaloyolite@gmail.com916304175156</v>
      </c>
      <c r="D4088" s="17" t="s">
        <v>11483</v>
      </c>
      <c r="E4088" s="18" t="s">
        <v>68</v>
      </c>
    </row>
    <row r="4089">
      <c r="A4089" s="1" t="s">
        <v>11484</v>
      </c>
      <c r="B4089" s="1">
        <v>9.18849938211E11</v>
      </c>
      <c r="C4089" s="15" t="str">
        <f t="shared" si="1"/>
        <v>ajmeriabhishek@gmail.com918849938211</v>
      </c>
      <c r="D4089" s="17" t="s">
        <v>11485</v>
      </c>
      <c r="E4089" s="18" t="s">
        <v>68</v>
      </c>
    </row>
    <row r="4090">
      <c r="A4090" s="1" t="s">
        <v>11486</v>
      </c>
      <c r="B4090" s="1">
        <v>9.19619810738E11</v>
      </c>
      <c r="C4090" s="15" t="str">
        <f t="shared" si="1"/>
        <v>parth.mirgal13@nmims.edu.in919619810738</v>
      </c>
      <c r="D4090" s="17" t="s">
        <v>11487</v>
      </c>
      <c r="E4090" s="18" t="s">
        <v>74</v>
      </c>
    </row>
    <row r="4091">
      <c r="A4091" s="1" t="s">
        <v>4510</v>
      </c>
      <c r="B4091" s="1">
        <v>9.19819047773E11</v>
      </c>
      <c r="C4091" s="15" t="str">
        <f t="shared" si="1"/>
        <v>akshugor@gmail.com919819047773</v>
      </c>
      <c r="D4091" s="17" t="s">
        <v>11488</v>
      </c>
      <c r="E4091" s="18" t="s">
        <v>74</v>
      </c>
    </row>
    <row r="4092">
      <c r="A4092" s="1" t="s">
        <v>4510</v>
      </c>
      <c r="B4092" s="1">
        <v>9.19819047773E11</v>
      </c>
      <c r="C4092" s="15" t="str">
        <f t="shared" si="1"/>
        <v>akshugor@gmail.com919819047773</v>
      </c>
      <c r="D4092" s="17" t="s">
        <v>11489</v>
      </c>
      <c r="E4092" s="18" t="s">
        <v>74</v>
      </c>
    </row>
    <row r="4093">
      <c r="A4093" s="1" t="s">
        <v>4510</v>
      </c>
      <c r="B4093" s="1">
        <v>9.19819047773E11</v>
      </c>
      <c r="C4093" s="15" t="str">
        <f t="shared" si="1"/>
        <v>akshugor@gmail.com919819047773</v>
      </c>
      <c r="D4093" s="17" t="s">
        <v>11490</v>
      </c>
      <c r="E4093" s="18" t="s">
        <v>74</v>
      </c>
    </row>
    <row r="4094">
      <c r="A4094" s="1" t="s">
        <v>5940</v>
      </c>
      <c r="B4094" s="1">
        <v>9.1745681081E11</v>
      </c>
      <c r="C4094" s="15" t="str">
        <f t="shared" si="1"/>
        <v>ajohn.amit123@gmail.com917456810810</v>
      </c>
      <c r="D4094" s="17" t="s">
        <v>11491</v>
      </c>
      <c r="E4094" s="18" t="s">
        <v>68</v>
      </c>
    </row>
    <row r="4095">
      <c r="A4095" s="1" t="s">
        <v>11492</v>
      </c>
      <c r="B4095" s="1">
        <v>9.17490052296E11</v>
      </c>
      <c r="C4095" s="15" t="str">
        <f t="shared" si="1"/>
        <v>aashaljoshi28@gmail.com917490052296</v>
      </c>
      <c r="D4095" s="17" t="s">
        <v>11493</v>
      </c>
      <c r="E4095" s="18" t="s">
        <v>68</v>
      </c>
    </row>
    <row r="4096">
      <c r="A4096" s="1" t="s">
        <v>11494</v>
      </c>
      <c r="B4096" s="1">
        <v>9.19587081581E11</v>
      </c>
      <c r="C4096" s="15" t="str">
        <f t="shared" si="1"/>
        <v>diwakar.bhati@gmail.com919587081581</v>
      </c>
      <c r="D4096" s="17" t="s">
        <v>11495</v>
      </c>
      <c r="E4096" s="18" t="s">
        <v>68</v>
      </c>
    </row>
    <row r="4097">
      <c r="A4097" s="1" t="s">
        <v>11496</v>
      </c>
      <c r="B4097" s="1">
        <v>9.19766071846E11</v>
      </c>
      <c r="C4097" s="15" t="str">
        <f t="shared" si="1"/>
        <v>anishkamerkar@gmail.com919766071846</v>
      </c>
      <c r="D4097" s="17" t="s">
        <v>11497</v>
      </c>
      <c r="E4097" s="18" t="s">
        <v>68</v>
      </c>
    </row>
    <row r="4098">
      <c r="A4098" s="1" t="s">
        <v>9738</v>
      </c>
      <c r="B4098" s="1">
        <v>9.17508331886E11</v>
      </c>
      <c r="C4098" s="15" t="str">
        <f t="shared" si="1"/>
        <v>jaswinder.rr@gmail.com917508331886</v>
      </c>
      <c r="D4098" s="17" t="s">
        <v>11498</v>
      </c>
      <c r="E4098" s="18" t="s">
        <v>151</v>
      </c>
    </row>
    <row r="4099">
      <c r="A4099" s="1" t="s">
        <v>11499</v>
      </c>
      <c r="B4099" s="1">
        <v>9.17665660083E11</v>
      </c>
      <c r="C4099" s="15" t="str">
        <f t="shared" si="1"/>
        <v>mayank.mehta1995@gmail.com917665660083</v>
      </c>
      <c r="D4099" s="17" t="s">
        <v>11500</v>
      </c>
      <c r="E4099" s="18" t="s">
        <v>74</v>
      </c>
    </row>
    <row r="4100">
      <c r="A4100" s="1" t="s">
        <v>11499</v>
      </c>
      <c r="B4100" s="1">
        <v>9.17665660083E11</v>
      </c>
      <c r="C4100" s="15" t="str">
        <f t="shared" si="1"/>
        <v>mayank.mehta1995@gmail.com917665660083</v>
      </c>
      <c r="D4100" s="17" t="s">
        <v>11501</v>
      </c>
      <c r="E4100" s="18" t="s">
        <v>68</v>
      </c>
    </row>
    <row r="4101">
      <c r="A4101" s="1" t="s">
        <v>5296</v>
      </c>
      <c r="B4101" s="1">
        <v>9.19298858281E11</v>
      </c>
      <c r="C4101" s="15" t="str">
        <f t="shared" si="1"/>
        <v>padmajamanchanapalli@gmail.com919298858281</v>
      </c>
      <c r="D4101" s="17" t="s">
        <v>11502</v>
      </c>
      <c r="E4101" s="18" t="s">
        <v>74</v>
      </c>
    </row>
    <row r="4102">
      <c r="A4102" s="1" t="s">
        <v>5298</v>
      </c>
      <c r="B4102" s="1">
        <v>9.19413867417E11</v>
      </c>
      <c r="C4102" s="15" t="str">
        <f t="shared" si="1"/>
        <v>ar.mohsin.ahmed@gmail.com919413867417</v>
      </c>
      <c r="D4102" s="17" t="s">
        <v>11503</v>
      </c>
      <c r="E4102" s="18" t="s">
        <v>68</v>
      </c>
    </row>
    <row r="4103">
      <c r="A4103" s="1" t="s">
        <v>2558</v>
      </c>
      <c r="B4103" s="1">
        <v>9.18185918851E11</v>
      </c>
      <c r="C4103" s="15" t="str">
        <f t="shared" si="1"/>
        <v>rguditeamworks@gmail.com918185918851</v>
      </c>
      <c r="D4103" s="17" t="s">
        <v>11504</v>
      </c>
      <c r="E4103" s="18" t="s">
        <v>68</v>
      </c>
    </row>
    <row r="4104">
      <c r="A4104" s="1" t="s">
        <v>11505</v>
      </c>
      <c r="B4104" s="1">
        <v>9.18976880454E11</v>
      </c>
      <c r="C4104" s="15" t="str">
        <f t="shared" si="1"/>
        <v>omkarbhangle@gmail.com918976880454</v>
      </c>
      <c r="D4104" s="17" t="s">
        <v>11506</v>
      </c>
      <c r="E4104" s="18" t="s">
        <v>68</v>
      </c>
    </row>
    <row r="4105">
      <c r="A4105" s="1" t="s">
        <v>2451</v>
      </c>
      <c r="B4105" s="1">
        <v>9.19731761212E11</v>
      </c>
      <c r="C4105" s="15" t="str">
        <f t="shared" si="1"/>
        <v>krishnaraj.bhatns@gmail.com919731761212</v>
      </c>
      <c r="D4105" s="17" t="s">
        <v>11507</v>
      </c>
      <c r="E4105" s="18" t="s">
        <v>68</v>
      </c>
    </row>
    <row r="4106">
      <c r="A4106" s="1" t="s">
        <v>2451</v>
      </c>
      <c r="B4106" s="1">
        <v>9.19731761212E11</v>
      </c>
      <c r="C4106" s="15" t="str">
        <f t="shared" si="1"/>
        <v>krishnaraj.bhatns@gmail.com919731761212</v>
      </c>
      <c r="D4106" s="17" t="s">
        <v>11508</v>
      </c>
      <c r="E4106" s="18" t="s">
        <v>68</v>
      </c>
    </row>
    <row r="4107">
      <c r="A4107" s="1" t="s">
        <v>11509</v>
      </c>
      <c r="B4107" s="1">
        <v>9.19174822222E11</v>
      </c>
      <c r="C4107" s="15" t="str">
        <f t="shared" si="1"/>
        <v>shuklarachna02@gmail.com919174822222</v>
      </c>
      <c r="D4107" s="17" t="s">
        <v>11510</v>
      </c>
      <c r="E4107" s="18" t="s">
        <v>151</v>
      </c>
    </row>
    <row r="4108">
      <c r="A4108" s="1" t="s">
        <v>4761</v>
      </c>
      <c r="B4108" s="1">
        <v>9.19113845355E11</v>
      </c>
      <c r="C4108" s="15" t="str">
        <f t="shared" si="1"/>
        <v>hlsowmya19@gmail.com919113845355</v>
      </c>
      <c r="D4108" s="17" t="s">
        <v>11511</v>
      </c>
      <c r="E4108" s="18" t="s">
        <v>68</v>
      </c>
    </row>
    <row r="4109">
      <c r="A4109" s="1" t="s">
        <v>11512</v>
      </c>
      <c r="B4109" s="1">
        <v>9.18056201325E11</v>
      </c>
      <c r="C4109" s="15" t="str">
        <f t="shared" si="1"/>
        <v>nithy.nik@gmail.com918056201325</v>
      </c>
      <c r="D4109" s="17" t="s">
        <v>11513</v>
      </c>
      <c r="E4109" s="18" t="s">
        <v>68</v>
      </c>
    </row>
    <row r="4110">
      <c r="A4110" s="1" t="s">
        <v>11514</v>
      </c>
      <c r="B4110" s="1">
        <v>9.17389550947E11</v>
      </c>
      <c r="C4110" s="15" t="str">
        <f t="shared" si="1"/>
        <v>aayushbhondekar@gmail.com917389550947</v>
      </c>
      <c r="D4110" s="17" t="s">
        <v>11515</v>
      </c>
      <c r="E4110" s="18" t="s">
        <v>68</v>
      </c>
    </row>
    <row r="4111">
      <c r="A4111" s="1" t="s">
        <v>11516</v>
      </c>
      <c r="B4111" s="1">
        <v>9.18971981005E11</v>
      </c>
      <c r="C4111" s="15" t="str">
        <f t="shared" si="1"/>
        <v>mj5124352@gmail.com918971981005</v>
      </c>
      <c r="D4111" s="17" t="s">
        <v>11517</v>
      </c>
      <c r="E4111" s="18" t="s">
        <v>68</v>
      </c>
    </row>
    <row r="4112">
      <c r="A4112" s="1" t="s">
        <v>11516</v>
      </c>
      <c r="B4112" s="1">
        <v>9.18971981005E11</v>
      </c>
      <c r="C4112" s="15" t="str">
        <f t="shared" si="1"/>
        <v>mj5124352@gmail.com918971981005</v>
      </c>
      <c r="D4112" s="17" t="s">
        <v>11518</v>
      </c>
      <c r="E4112" s="18" t="s">
        <v>68</v>
      </c>
    </row>
    <row r="4113">
      <c r="A4113" s="1" t="s">
        <v>11516</v>
      </c>
      <c r="B4113" s="1">
        <v>9.18971981005E11</v>
      </c>
      <c r="C4113" s="15" t="str">
        <f t="shared" si="1"/>
        <v>mj5124352@gmail.com918971981005</v>
      </c>
      <c r="D4113" s="17" t="s">
        <v>11519</v>
      </c>
      <c r="E4113" s="18" t="s">
        <v>68</v>
      </c>
    </row>
    <row r="4114">
      <c r="A4114" s="1" t="s">
        <v>11520</v>
      </c>
      <c r="B4114" s="1">
        <v>9.19877539476E11</v>
      </c>
      <c r="C4114" s="15" t="str">
        <f t="shared" si="1"/>
        <v>arogyasinghkv@gmail.com919877539476</v>
      </c>
      <c r="D4114" s="17" t="s">
        <v>11521</v>
      </c>
      <c r="E4114" s="18" t="s">
        <v>74</v>
      </c>
    </row>
    <row r="4115">
      <c r="A4115" s="1" t="s">
        <v>3166</v>
      </c>
      <c r="B4115" s="1">
        <v>9.17741070157E11</v>
      </c>
      <c r="C4115" s="15" t="str">
        <f t="shared" si="1"/>
        <v>vicky.gk15@gmail.com917741070157</v>
      </c>
      <c r="D4115" s="17" t="s">
        <v>11522</v>
      </c>
      <c r="E4115" s="18" t="s">
        <v>151</v>
      </c>
    </row>
    <row r="4116">
      <c r="A4116" s="1" t="s">
        <v>11523</v>
      </c>
      <c r="B4116" s="1">
        <v>9.1984515751E11</v>
      </c>
      <c r="C4116" s="15" t="str">
        <f t="shared" si="1"/>
        <v>shubhan0908@gmail.com919845157510</v>
      </c>
      <c r="D4116" s="17" t="s">
        <v>11524</v>
      </c>
      <c r="E4116" s="18" t="s">
        <v>151</v>
      </c>
    </row>
    <row r="4117">
      <c r="A4117" s="1" t="s">
        <v>3166</v>
      </c>
      <c r="B4117" s="1">
        <v>9.19028663456E11</v>
      </c>
      <c r="C4117" s="15" t="str">
        <f t="shared" si="1"/>
        <v>vicky.gk15@gmail.com919028663456</v>
      </c>
      <c r="D4117" s="17" t="s">
        <v>11525</v>
      </c>
      <c r="E4117" s="18" t="s">
        <v>151</v>
      </c>
    </row>
    <row r="4118">
      <c r="A4118" s="1" t="s">
        <v>3166</v>
      </c>
      <c r="B4118" s="1">
        <v>9.19028663456E11</v>
      </c>
      <c r="C4118" s="15" t="str">
        <f t="shared" si="1"/>
        <v>vicky.gk15@gmail.com919028663456</v>
      </c>
      <c r="D4118" s="17" t="s">
        <v>11526</v>
      </c>
      <c r="E4118" s="18" t="s">
        <v>151</v>
      </c>
    </row>
    <row r="4119">
      <c r="A4119" s="1" t="s">
        <v>4007</v>
      </c>
      <c r="B4119" s="1">
        <v>9.71502845925E11</v>
      </c>
      <c r="C4119" s="15" t="str">
        <f t="shared" si="1"/>
        <v>nshusain@outlook.com971502845925</v>
      </c>
      <c r="D4119" s="17" t="s">
        <v>11527</v>
      </c>
      <c r="E4119" s="18" t="s">
        <v>97</v>
      </c>
    </row>
    <row r="4120">
      <c r="A4120" s="1" t="s">
        <v>4007</v>
      </c>
      <c r="B4120" s="1">
        <v>9.7470718294E10</v>
      </c>
      <c r="C4120" s="15" t="str">
        <f t="shared" si="1"/>
        <v>nshusain@outlook.com97470718294</v>
      </c>
      <c r="D4120" s="17" t="s">
        <v>11528</v>
      </c>
      <c r="E4120" s="18" t="s">
        <v>97</v>
      </c>
    </row>
    <row r="4121">
      <c r="A4121" s="1" t="s">
        <v>5614</v>
      </c>
      <c r="B4121" s="1">
        <v>9.19011744354E11</v>
      </c>
      <c r="C4121" s="15" t="str">
        <f t="shared" si="1"/>
        <v>riyakate1503@gmail.com919011744354</v>
      </c>
      <c r="D4121" s="17" t="s">
        <v>11529</v>
      </c>
      <c r="E4121" s="18" t="s">
        <v>68</v>
      </c>
    </row>
    <row r="4122">
      <c r="A4122" s="1" t="s">
        <v>11530</v>
      </c>
      <c r="B4122" s="1">
        <v>9.1900568838E11</v>
      </c>
      <c r="C4122" s="15" t="str">
        <f t="shared" si="1"/>
        <v>tripathi.shivam14@gmail.com919005688380</v>
      </c>
      <c r="D4122" s="17" t="s">
        <v>11531</v>
      </c>
      <c r="E4122" s="18" t="s">
        <v>68</v>
      </c>
    </row>
    <row r="4123">
      <c r="A4123" s="1" t="s">
        <v>6438</v>
      </c>
      <c r="B4123" s="1">
        <v>9.19398678985E11</v>
      </c>
      <c r="C4123" s="15" t="str">
        <f t="shared" si="1"/>
        <v>bharishpatro@gmail.com919398678985</v>
      </c>
      <c r="D4123" s="17" t="s">
        <v>11532</v>
      </c>
      <c r="E4123" s="18" t="s">
        <v>68</v>
      </c>
    </row>
    <row r="4124">
      <c r="A4124" s="1" t="s">
        <v>6438</v>
      </c>
      <c r="B4124" s="1">
        <v>9.19398678985E11</v>
      </c>
      <c r="C4124" s="15" t="str">
        <f t="shared" si="1"/>
        <v>bharishpatro@gmail.com919398678985</v>
      </c>
      <c r="D4124" s="17" t="s">
        <v>11533</v>
      </c>
      <c r="E4124" s="18" t="s">
        <v>68</v>
      </c>
    </row>
    <row r="4125">
      <c r="A4125" s="1" t="s">
        <v>5058</v>
      </c>
      <c r="B4125" s="1">
        <v>9.18884536957E11</v>
      </c>
      <c r="C4125" s="15" t="str">
        <f t="shared" si="1"/>
        <v>sahanabhmtwinkle@gmail.com918884536957</v>
      </c>
      <c r="D4125" s="17" t="s">
        <v>11534</v>
      </c>
      <c r="E4125" s="18" t="s">
        <v>68</v>
      </c>
    </row>
    <row r="4126">
      <c r="A4126" s="1" t="s">
        <v>6246</v>
      </c>
      <c r="B4126" s="1">
        <v>9.17741853402E11</v>
      </c>
      <c r="C4126" s="15" t="str">
        <f t="shared" si="1"/>
        <v>atulpandit233@gmail.com917741853402</v>
      </c>
      <c r="D4126" s="17" t="s">
        <v>11535</v>
      </c>
      <c r="E4126" s="18" t="s">
        <v>151</v>
      </c>
    </row>
    <row r="4127">
      <c r="A4127" s="1" t="s">
        <v>3280</v>
      </c>
      <c r="B4127" s="1">
        <v>9.19654434593E11</v>
      </c>
      <c r="C4127" s="15" t="str">
        <f t="shared" si="1"/>
        <v>upasana.gupta1993@gmail.com919654434593</v>
      </c>
      <c r="D4127" s="17" t="s">
        <v>11536</v>
      </c>
      <c r="E4127" s="18" t="s">
        <v>68</v>
      </c>
    </row>
    <row r="4128">
      <c r="A4128" s="1" t="s">
        <v>11537</v>
      </c>
      <c r="B4128" s="1">
        <v>9.17378363908E11</v>
      </c>
      <c r="C4128" s="15" t="str">
        <f t="shared" si="1"/>
        <v>mayakamblemaya@gmail.com917378363908</v>
      </c>
      <c r="D4128" s="17" t="s">
        <v>11538</v>
      </c>
      <c r="E4128" s="18" t="s">
        <v>151</v>
      </c>
    </row>
    <row r="4129">
      <c r="A4129" s="1" t="s">
        <v>6440</v>
      </c>
      <c r="B4129" s="1">
        <v>9.18446333789E11</v>
      </c>
      <c r="C4129" s="15" t="str">
        <f t="shared" si="1"/>
        <v>krishnajadhav5284@gmail.com918446333789</v>
      </c>
      <c r="D4129" s="17" t="s">
        <v>11539</v>
      </c>
      <c r="E4129" s="18" t="s">
        <v>68</v>
      </c>
    </row>
    <row r="4130">
      <c r="A4130" s="1" t="s">
        <v>6309</v>
      </c>
      <c r="B4130" s="1">
        <v>9.17652067825E11</v>
      </c>
      <c r="C4130" s="15" t="str">
        <f t="shared" si="1"/>
        <v>ryukendu1864@gmail.com917652067825</v>
      </c>
      <c r="D4130" s="17" t="s">
        <v>11540</v>
      </c>
      <c r="E4130" s="18" t="s">
        <v>74</v>
      </c>
    </row>
    <row r="4131">
      <c r="A4131" s="1" t="s">
        <v>6309</v>
      </c>
      <c r="B4131" s="1">
        <v>9.17652067825E11</v>
      </c>
      <c r="C4131" s="15" t="str">
        <f t="shared" si="1"/>
        <v>ryukendu1864@gmail.com917652067825</v>
      </c>
      <c r="D4131" s="17" t="s">
        <v>11541</v>
      </c>
      <c r="E4131" s="18" t="s">
        <v>74</v>
      </c>
    </row>
    <row r="4132">
      <c r="A4132" s="1" t="s">
        <v>6309</v>
      </c>
      <c r="B4132" s="1">
        <v>9.17652067825E11</v>
      </c>
      <c r="C4132" s="15" t="str">
        <f t="shared" si="1"/>
        <v>ryukendu1864@gmail.com917652067825</v>
      </c>
      <c r="D4132" s="17" t="s">
        <v>11542</v>
      </c>
      <c r="E4132" s="18" t="s">
        <v>74</v>
      </c>
    </row>
    <row r="4133">
      <c r="A4133" s="1" t="s">
        <v>11543</v>
      </c>
      <c r="B4133" s="1">
        <v>9.18800910652E11</v>
      </c>
      <c r="C4133" s="15" t="str">
        <f t="shared" si="1"/>
        <v>binuhada@hotmail.com918800910652</v>
      </c>
      <c r="D4133" s="17" t="s">
        <v>11544</v>
      </c>
      <c r="E4133" s="18" t="s">
        <v>151</v>
      </c>
    </row>
    <row r="4134">
      <c r="A4134" s="1" t="s">
        <v>11543</v>
      </c>
      <c r="B4134" s="1">
        <v>9.18800910652E11</v>
      </c>
      <c r="C4134" s="15" t="str">
        <f t="shared" si="1"/>
        <v>binuhada@hotmail.com918800910652</v>
      </c>
      <c r="D4134" s="17" t="s">
        <v>11545</v>
      </c>
      <c r="E4134" s="18" t="s">
        <v>151</v>
      </c>
    </row>
    <row r="4135">
      <c r="A4135" s="1" t="s">
        <v>11471</v>
      </c>
      <c r="B4135" s="1">
        <v>9.19408920166E11</v>
      </c>
      <c r="C4135" s="15" t="str">
        <f t="shared" si="1"/>
        <v>shahsweni@ymail.com919408920166</v>
      </c>
      <c r="D4135" s="17" t="s">
        <v>11546</v>
      </c>
      <c r="E4135" s="18" t="s">
        <v>74</v>
      </c>
    </row>
    <row r="4136">
      <c r="A4136" s="1" t="s">
        <v>4513</v>
      </c>
      <c r="B4136" s="1">
        <v>9.19148591569E11</v>
      </c>
      <c r="C4136" s="15" t="str">
        <f t="shared" si="1"/>
        <v>rajanthangap@gmail.com919148591569</v>
      </c>
      <c r="D4136" s="17" t="s">
        <v>11547</v>
      </c>
      <c r="E4136" s="18" t="s">
        <v>68</v>
      </c>
    </row>
    <row r="4137">
      <c r="A4137" s="1" t="s">
        <v>3518</v>
      </c>
      <c r="B4137" s="1">
        <v>9.17093159311E11</v>
      </c>
      <c r="C4137" s="15" t="str">
        <f t="shared" si="1"/>
        <v>smitamahto@gmail.com917093159311</v>
      </c>
      <c r="D4137" s="17" t="s">
        <v>11548</v>
      </c>
      <c r="E4137" s="18" t="s">
        <v>68</v>
      </c>
    </row>
    <row r="4138">
      <c r="A4138" s="1" t="s">
        <v>3844</v>
      </c>
      <c r="B4138" s="1">
        <v>9.17978416682E11</v>
      </c>
      <c r="C4138" s="15" t="str">
        <f t="shared" si="1"/>
        <v>titikshya.maharana91@gmail.com917978416682</v>
      </c>
      <c r="D4138" s="17" t="s">
        <v>11549</v>
      </c>
      <c r="E4138" s="18" t="s">
        <v>68</v>
      </c>
    </row>
    <row r="4139">
      <c r="A4139" s="1" t="s">
        <v>6658</v>
      </c>
      <c r="B4139" s="1">
        <v>9.18074370645E11</v>
      </c>
      <c r="C4139" s="15" t="str">
        <f t="shared" si="1"/>
        <v>san.recruit7@gmail.com918074370645</v>
      </c>
      <c r="D4139" s="17" t="s">
        <v>11550</v>
      </c>
      <c r="E4139" s="18" t="s">
        <v>74</v>
      </c>
    </row>
    <row r="4140">
      <c r="A4140" s="1" t="s">
        <v>5942</v>
      </c>
      <c r="B4140" s="1">
        <v>9.19820577642E11</v>
      </c>
      <c r="C4140" s="15" t="str">
        <f t="shared" si="1"/>
        <v>aarti.dalal9@gmail.com919820577642</v>
      </c>
      <c r="D4140" s="17" t="s">
        <v>11551</v>
      </c>
      <c r="E4140" s="18" t="s">
        <v>68</v>
      </c>
    </row>
    <row r="4141">
      <c r="A4141" s="1" t="s">
        <v>5944</v>
      </c>
      <c r="B4141" s="1">
        <v>9.19476172172E11</v>
      </c>
      <c r="C4141" s="15" t="str">
        <f t="shared" si="1"/>
        <v>shouvikmandal177@gmail.com919476172172</v>
      </c>
      <c r="D4141" s="17" t="s">
        <v>11552</v>
      </c>
      <c r="E4141" s="18" t="s">
        <v>74</v>
      </c>
    </row>
    <row r="4142">
      <c r="A4142" s="1" t="s">
        <v>5944</v>
      </c>
      <c r="B4142" s="1">
        <v>9.19476172172E11</v>
      </c>
      <c r="C4142" s="15" t="str">
        <f t="shared" si="1"/>
        <v>shouvikmandal177@gmail.com919476172172</v>
      </c>
      <c r="D4142" s="17" t="s">
        <v>11553</v>
      </c>
      <c r="E4142" s="18" t="s">
        <v>74</v>
      </c>
    </row>
    <row r="4143">
      <c r="A4143" s="1" t="s">
        <v>3846</v>
      </c>
      <c r="B4143" s="1">
        <v>9.19080496022E11</v>
      </c>
      <c r="C4143" s="15" t="str">
        <f t="shared" si="1"/>
        <v>nagakn26@gmail.com919080496022</v>
      </c>
      <c r="D4143" s="17" t="s">
        <v>11554</v>
      </c>
      <c r="E4143" s="18" t="s">
        <v>68</v>
      </c>
    </row>
    <row r="4144">
      <c r="A4144" s="1" t="s">
        <v>11555</v>
      </c>
      <c r="B4144" s="1">
        <v>9.1900631582E11</v>
      </c>
      <c r="C4144" s="15" t="str">
        <f t="shared" si="1"/>
        <v>rxrakeshkumarpandey@gmail.com919006315820</v>
      </c>
      <c r="D4144" s="17" t="s">
        <v>11556</v>
      </c>
      <c r="E4144" s="18" t="s">
        <v>151</v>
      </c>
    </row>
    <row r="4145">
      <c r="A4145" s="1" t="s">
        <v>3944</v>
      </c>
      <c r="B4145" s="1">
        <v>9.19163195924E11</v>
      </c>
      <c r="C4145" s="15" t="str">
        <f t="shared" si="1"/>
        <v>drramprasad85@gmail.com919163195924</v>
      </c>
      <c r="D4145" s="17" t="s">
        <v>11557</v>
      </c>
      <c r="E4145" s="18" t="s">
        <v>68</v>
      </c>
    </row>
    <row r="4146">
      <c r="A4146" s="1" t="s">
        <v>11558</v>
      </c>
      <c r="B4146" s="1">
        <v>9.17823906006E11</v>
      </c>
      <c r="C4146" s="15" t="str">
        <f t="shared" si="1"/>
        <v>amrithabaskarnaidu@gmail.com917823906006</v>
      </c>
      <c r="D4146" s="17" t="s">
        <v>11559</v>
      </c>
      <c r="E4146" s="18" t="s">
        <v>68</v>
      </c>
    </row>
    <row r="4147">
      <c r="A4147" s="1" t="s">
        <v>11558</v>
      </c>
      <c r="B4147" s="1">
        <v>9.17823906006E11</v>
      </c>
      <c r="C4147" s="15" t="str">
        <f t="shared" si="1"/>
        <v>amrithabaskarnaidu@gmail.com917823906006</v>
      </c>
      <c r="D4147" s="17" t="s">
        <v>11560</v>
      </c>
      <c r="E4147" s="18" t="s">
        <v>68</v>
      </c>
    </row>
    <row r="4148">
      <c r="A4148" s="1" t="s">
        <v>11558</v>
      </c>
      <c r="B4148" s="1">
        <v>9.17823906006E11</v>
      </c>
      <c r="C4148" s="15" t="str">
        <f t="shared" si="1"/>
        <v>amrithabaskarnaidu@gmail.com917823906006</v>
      </c>
      <c r="D4148" s="17" t="s">
        <v>11561</v>
      </c>
      <c r="E4148" s="18" t="s">
        <v>68</v>
      </c>
    </row>
    <row r="4149">
      <c r="A4149" s="1" t="s">
        <v>11558</v>
      </c>
      <c r="B4149" s="1">
        <v>9.17823906006E11</v>
      </c>
      <c r="C4149" s="15" t="str">
        <f t="shared" si="1"/>
        <v>amrithabaskarnaidu@gmail.com917823906006</v>
      </c>
      <c r="D4149" s="17" t="s">
        <v>11562</v>
      </c>
      <c r="E4149" s="18" t="s">
        <v>68</v>
      </c>
    </row>
    <row r="4150">
      <c r="A4150" s="1" t="s">
        <v>3520</v>
      </c>
      <c r="B4150" s="1">
        <v>9.19638223553E11</v>
      </c>
      <c r="C4150" s="15" t="str">
        <f t="shared" si="1"/>
        <v>namratalib08@gmail.com919638223553</v>
      </c>
      <c r="D4150" s="17" t="s">
        <v>11563</v>
      </c>
      <c r="E4150" s="18" t="s">
        <v>68</v>
      </c>
    </row>
    <row r="4151">
      <c r="A4151" s="1" t="s">
        <v>5616</v>
      </c>
      <c r="B4151" s="1">
        <v>9.17643978998E11</v>
      </c>
      <c r="C4151" s="15" t="str">
        <f t="shared" si="1"/>
        <v>anishkum915571@gmail.com917643978998</v>
      </c>
      <c r="D4151" s="17" t="s">
        <v>11564</v>
      </c>
      <c r="E4151" s="18" t="s">
        <v>68</v>
      </c>
    </row>
    <row r="4152">
      <c r="A4152" s="1" t="s">
        <v>6442</v>
      </c>
      <c r="B4152" s="1">
        <v>9.17007637726E11</v>
      </c>
      <c r="C4152" s="15" t="str">
        <f t="shared" si="1"/>
        <v>kumarabhinavme0046@gmail.com917007637726</v>
      </c>
      <c r="D4152" s="17" t="s">
        <v>11565</v>
      </c>
      <c r="E4152" s="18" t="s">
        <v>68</v>
      </c>
    </row>
    <row r="4153">
      <c r="A4153" s="1" t="s">
        <v>3166</v>
      </c>
      <c r="B4153" s="1">
        <v>9.19028663456E11</v>
      </c>
      <c r="C4153" s="15" t="str">
        <f t="shared" si="1"/>
        <v>vicky.gk15@gmail.com919028663456</v>
      </c>
      <c r="D4153" s="17" t="s">
        <v>11566</v>
      </c>
      <c r="E4153" s="18" t="s">
        <v>151</v>
      </c>
    </row>
    <row r="4154">
      <c r="A4154" s="1" t="s">
        <v>4236</v>
      </c>
      <c r="B4154" s="1">
        <v>9.17605977705E11</v>
      </c>
      <c r="C4154" s="15" t="str">
        <f t="shared" si="1"/>
        <v>layndaynasha@gmail.com917605977705</v>
      </c>
      <c r="D4154" s="17" t="s">
        <v>11567</v>
      </c>
      <c r="E4154" s="18" t="s">
        <v>68</v>
      </c>
    </row>
    <row r="4155">
      <c r="A4155" s="1" t="s">
        <v>3166</v>
      </c>
      <c r="B4155" s="1">
        <v>9.19028663456E11</v>
      </c>
      <c r="C4155" s="15" t="str">
        <f t="shared" si="1"/>
        <v>vicky.gk15@gmail.com919028663456</v>
      </c>
      <c r="D4155" s="17" t="s">
        <v>11568</v>
      </c>
      <c r="E4155" s="18" t="s">
        <v>151</v>
      </c>
    </row>
    <row r="4156">
      <c r="A4156" s="1" t="s">
        <v>3625</v>
      </c>
      <c r="B4156" s="1">
        <v>9.19930432551E11</v>
      </c>
      <c r="C4156" s="15" t="str">
        <f t="shared" si="1"/>
        <v>salilt.001@gmail.com919930432551</v>
      </c>
      <c r="D4156" s="17" t="s">
        <v>11569</v>
      </c>
      <c r="E4156" s="18" t="s">
        <v>68</v>
      </c>
    </row>
    <row r="4157">
      <c r="A4157" s="1" t="s">
        <v>4009</v>
      </c>
      <c r="B4157" s="1">
        <v>9.19905403893E11</v>
      </c>
      <c r="C4157" s="15" t="str">
        <f t="shared" si="1"/>
        <v>rishikeshranjjan@gmail.com919905403893</v>
      </c>
      <c r="D4157" s="17" t="s">
        <v>11570</v>
      </c>
      <c r="E4157" s="18" t="s">
        <v>68</v>
      </c>
    </row>
    <row r="4158">
      <c r="A4158" s="1" t="s">
        <v>5618</v>
      </c>
      <c r="B4158" s="1">
        <v>9.18866868669E11</v>
      </c>
      <c r="C4158" s="15" t="str">
        <f t="shared" si="1"/>
        <v>panchalsgroup@gmail.com918866868669</v>
      </c>
      <c r="D4158" s="17" t="s">
        <v>11571</v>
      </c>
      <c r="E4158" s="18" t="s">
        <v>68</v>
      </c>
    </row>
    <row r="4159">
      <c r="A4159" s="1" t="s">
        <v>11572</v>
      </c>
      <c r="B4159" s="1">
        <v>9.17006293362E11</v>
      </c>
      <c r="C4159" s="15" t="str">
        <f t="shared" si="1"/>
        <v>brinderjasrotia@gmail.com917006293362</v>
      </c>
      <c r="D4159" s="17" t="s">
        <v>11573</v>
      </c>
      <c r="E4159" s="18" t="s">
        <v>74</v>
      </c>
    </row>
    <row r="4160">
      <c r="A4160" s="1" t="s">
        <v>5618</v>
      </c>
      <c r="B4160" s="1">
        <v>9.18866868669E11</v>
      </c>
      <c r="C4160" s="15" t="str">
        <f t="shared" si="1"/>
        <v>panchalsgroup@gmail.com918866868669</v>
      </c>
      <c r="D4160" s="17" t="s">
        <v>11574</v>
      </c>
      <c r="E4160" s="18" t="s">
        <v>68</v>
      </c>
    </row>
    <row r="4161">
      <c r="A4161" s="1" t="s">
        <v>3848</v>
      </c>
      <c r="B4161" s="1">
        <v>9.19890928205E11</v>
      </c>
      <c r="C4161" s="15" t="str">
        <f t="shared" si="1"/>
        <v>phdeshmukh11@gmail.com919890928205</v>
      </c>
      <c r="D4161" s="17" t="s">
        <v>11575</v>
      </c>
      <c r="E4161" s="18" t="s">
        <v>68</v>
      </c>
    </row>
    <row r="4162">
      <c r="A4162" s="1" t="s">
        <v>6572</v>
      </c>
      <c r="B4162" s="1">
        <v>9.18650001204E11</v>
      </c>
      <c r="C4162" s="15" t="str">
        <f t="shared" si="1"/>
        <v>deribs77@gmail.com918650001204</v>
      </c>
      <c r="D4162" s="17" t="s">
        <v>11576</v>
      </c>
      <c r="E4162" s="18" t="s">
        <v>97</v>
      </c>
    </row>
    <row r="4163">
      <c r="A4163" s="1" t="s">
        <v>4514</v>
      </c>
      <c r="B4163" s="1">
        <v>9.17045856108E11</v>
      </c>
      <c r="C4163" s="15" t="str">
        <f t="shared" si="1"/>
        <v>pswbpl@gmail.com917045856108</v>
      </c>
      <c r="D4163" s="17" t="s">
        <v>11577</v>
      </c>
      <c r="E4163" s="18" t="s">
        <v>151</v>
      </c>
    </row>
    <row r="4164">
      <c r="A4164" s="1" t="s">
        <v>4514</v>
      </c>
      <c r="B4164" s="1">
        <v>9.17045856108E11</v>
      </c>
      <c r="C4164" s="15" t="str">
        <f t="shared" si="1"/>
        <v>pswbpl@gmail.com917045856108</v>
      </c>
      <c r="D4164" s="17" t="s">
        <v>11578</v>
      </c>
      <c r="E4164" s="18" t="s">
        <v>68</v>
      </c>
    </row>
    <row r="4165">
      <c r="A4165" s="1" t="s">
        <v>3850</v>
      </c>
      <c r="B4165" s="1">
        <v>9.19901218564E11</v>
      </c>
      <c r="C4165" s="15" t="str">
        <f t="shared" si="1"/>
        <v>mayankrsjobs@gmail.com919901218564</v>
      </c>
      <c r="D4165" s="17" t="s">
        <v>11579</v>
      </c>
      <c r="E4165" s="18" t="s">
        <v>151</v>
      </c>
    </row>
    <row r="4166">
      <c r="A4166" s="1" t="s">
        <v>6444</v>
      </c>
      <c r="B4166" s="1">
        <v>9.196669536E11</v>
      </c>
      <c r="C4166" s="15" t="str">
        <f t="shared" si="1"/>
        <v>rajmadhula@gmail.com919666953600</v>
      </c>
      <c r="D4166" s="17" t="s">
        <v>11580</v>
      </c>
      <c r="E4166" s="18" t="s">
        <v>68</v>
      </c>
    </row>
    <row r="4167">
      <c r="A4167" s="1" t="s">
        <v>5060</v>
      </c>
      <c r="B4167" s="1">
        <v>9.16363220815E11</v>
      </c>
      <c r="C4167" s="15" t="str">
        <f t="shared" si="1"/>
        <v>mamathahc410@gmail.com916363220815</v>
      </c>
      <c r="D4167" s="17" t="s">
        <v>11581</v>
      </c>
      <c r="E4167" s="18" t="s">
        <v>74</v>
      </c>
    </row>
    <row r="4168">
      <c r="A4168" s="1" t="s">
        <v>11582</v>
      </c>
      <c r="B4168" s="1">
        <v>9.19330291172E11</v>
      </c>
      <c r="C4168" s="15" t="str">
        <f t="shared" si="1"/>
        <v>samirojha100@gmail.com919330291172</v>
      </c>
      <c r="D4168" s="17" t="s">
        <v>11583</v>
      </c>
      <c r="E4168" s="18" t="s">
        <v>151</v>
      </c>
    </row>
    <row r="4169">
      <c r="A4169" s="1" t="s">
        <v>3522</v>
      </c>
      <c r="B4169" s="1">
        <v>9.19739963138E11</v>
      </c>
      <c r="C4169" s="15" t="str">
        <f t="shared" si="1"/>
        <v>elvina.densy@gmail.com919739963138</v>
      </c>
      <c r="D4169" s="17" t="s">
        <v>11584</v>
      </c>
      <c r="E4169" s="18" t="s">
        <v>68</v>
      </c>
    </row>
    <row r="4170">
      <c r="A4170" s="1" t="s">
        <v>3524</v>
      </c>
      <c r="B4170" s="1">
        <v>9.19529934008E11</v>
      </c>
      <c r="C4170" s="15" t="str">
        <f t="shared" si="1"/>
        <v>pragatiagarwal30@gmail.com919529934008</v>
      </c>
      <c r="D4170" s="17" t="s">
        <v>11585</v>
      </c>
      <c r="E4170" s="18" t="s">
        <v>68</v>
      </c>
    </row>
    <row r="4171">
      <c r="A4171" s="1" t="s">
        <v>5620</v>
      </c>
      <c r="B4171" s="1">
        <v>9.18819015555E11</v>
      </c>
      <c r="C4171" s="15" t="str">
        <f t="shared" si="1"/>
        <v>babu.jaiswal99@gmail.com918819015555</v>
      </c>
      <c r="D4171" s="17" t="s">
        <v>11586</v>
      </c>
      <c r="E4171" s="18" t="s">
        <v>68</v>
      </c>
    </row>
    <row r="4172">
      <c r="A4172" s="1" t="s">
        <v>11587</v>
      </c>
      <c r="B4172" s="1">
        <v>9.1858599579E11</v>
      </c>
      <c r="C4172" s="15" t="str">
        <f t="shared" si="1"/>
        <v>nargotrarishu@gmail.com918585995790</v>
      </c>
      <c r="D4172" s="17" t="s">
        <v>11588</v>
      </c>
      <c r="E4172" s="18" t="s">
        <v>68</v>
      </c>
    </row>
    <row r="4173">
      <c r="A4173" s="1" t="s">
        <v>3733</v>
      </c>
      <c r="B4173" s="1">
        <v>9.1779565864E11</v>
      </c>
      <c r="C4173" s="15" t="str">
        <f t="shared" si="1"/>
        <v>actorrandheer@gmail.com917795658640</v>
      </c>
      <c r="D4173" s="17" t="s">
        <v>11589</v>
      </c>
      <c r="E4173" s="18" t="s">
        <v>68</v>
      </c>
    </row>
    <row r="4174">
      <c r="A4174" s="1" t="s">
        <v>11590</v>
      </c>
      <c r="B4174" s="1">
        <v>9.17678438651E11</v>
      </c>
      <c r="C4174" s="15" t="str">
        <f t="shared" si="1"/>
        <v>bhattkunal161@gmail.com917678438651</v>
      </c>
      <c r="D4174" s="17" t="s">
        <v>11591</v>
      </c>
      <c r="E4174" s="18" t="s">
        <v>68</v>
      </c>
    </row>
    <row r="4175">
      <c r="A4175" s="1" t="s">
        <v>3733</v>
      </c>
      <c r="B4175" s="1">
        <v>9.1779565864E11</v>
      </c>
      <c r="C4175" s="15" t="str">
        <f t="shared" si="1"/>
        <v>actorrandheer@gmail.com917795658640</v>
      </c>
      <c r="D4175" s="17" t="s">
        <v>11592</v>
      </c>
      <c r="E4175" s="18" t="s">
        <v>151</v>
      </c>
    </row>
    <row r="4176">
      <c r="A4176" s="1" t="s">
        <v>3735</v>
      </c>
      <c r="B4176" s="1">
        <v>9.17416560803E11</v>
      </c>
      <c r="C4176" s="15" t="str">
        <f t="shared" si="1"/>
        <v>niranjansujatha@gmail.com917416560803</v>
      </c>
      <c r="D4176" s="17" t="s">
        <v>11593</v>
      </c>
      <c r="E4176" s="18" t="s">
        <v>68</v>
      </c>
    </row>
    <row r="4177">
      <c r="A4177" s="1" t="s">
        <v>3168</v>
      </c>
      <c r="B4177" s="1">
        <v>9.19924840933E11</v>
      </c>
      <c r="C4177" s="15" t="str">
        <f t="shared" si="1"/>
        <v>anirvan24@gmail.com919924840933</v>
      </c>
      <c r="D4177" s="17" t="s">
        <v>11594</v>
      </c>
      <c r="E4177" s="18" t="s">
        <v>68</v>
      </c>
    </row>
    <row r="4178">
      <c r="A4178" s="1" t="s">
        <v>5498</v>
      </c>
      <c r="B4178" s="1">
        <v>9.17989902303E11</v>
      </c>
      <c r="C4178" s="15" t="str">
        <f t="shared" si="1"/>
        <v>premchand220895@gmail.com917989902303</v>
      </c>
      <c r="D4178" s="17" t="s">
        <v>11595</v>
      </c>
      <c r="E4178" s="18" t="s">
        <v>68</v>
      </c>
    </row>
    <row r="4179">
      <c r="A4179" s="1" t="s">
        <v>3735</v>
      </c>
      <c r="B4179" s="1">
        <v>9.17416560803E11</v>
      </c>
      <c r="C4179" s="15" t="str">
        <f t="shared" si="1"/>
        <v>niranjansujatha@gmail.com917416560803</v>
      </c>
      <c r="D4179" s="17" t="s">
        <v>11596</v>
      </c>
      <c r="E4179" s="18" t="s">
        <v>68</v>
      </c>
    </row>
    <row r="4180">
      <c r="A4180" s="1" t="s">
        <v>4516</v>
      </c>
      <c r="B4180" s="1">
        <v>9.19899144734E11</v>
      </c>
      <c r="C4180" s="15" t="str">
        <f t="shared" si="1"/>
        <v>pratikachauhan1002@gmail.c919899144734</v>
      </c>
      <c r="D4180" s="17" t="s">
        <v>11597</v>
      </c>
      <c r="E4180" s="18" t="s">
        <v>68</v>
      </c>
    </row>
    <row r="4181">
      <c r="A4181" s="1" t="s">
        <v>4416</v>
      </c>
      <c r="B4181" s="1">
        <v>9.19581414567E11</v>
      </c>
      <c r="C4181" s="15" t="str">
        <f t="shared" si="1"/>
        <v>gaurav.chandwani@gmail.com919581414567</v>
      </c>
      <c r="D4181" s="17" t="s">
        <v>11598</v>
      </c>
      <c r="E4181" s="18" t="s">
        <v>68</v>
      </c>
    </row>
    <row r="4182">
      <c r="A4182" s="1" t="s">
        <v>4518</v>
      </c>
      <c r="B4182" s="1">
        <v>9.1984668441E11</v>
      </c>
      <c r="C4182" s="15" t="str">
        <f t="shared" si="1"/>
        <v>sheenusivaraj@sahrdaya.ac.in919846684410</v>
      </c>
      <c r="D4182" s="17" t="s">
        <v>11599</v>
      </c>
      <c r="E4182" s="18" t="s">
        <v>68</v>
      </c>
    </row>
    <row r="4183">
      <c r="A4183" s="1" t="s">
        <v>11600</v>
      </c>
      <c r="B4183" s="1">
        <v>9.19899447908E11</v>
      </c>
      <c r="C4183" s="15" t="str">
        <f t="shared" si="1"/>
        <v>simplifyingdigital@gmail.com919899447908</v>
      </c>
      <c r="D4183" s="17" t="s">
        <v>11601</v>
      </c>
      <c r="E4183" s="18" t="s">
        <v>68</v>
      </c>
    </row>
    <row r="4184">
      <c r="A4184" s="1" t="s">
        <v>2560</v>
      </c>
      <c r="B4184" s="1">
        <v>9.17015129688E11</v>
      </c>
      <c r="C4184" s="15" t="str">
        <f t="shared" si="1"/>
        <v>kaman3724@gmail.com917015129688</v>
      </c>
      <c r="D4184" s="17" t="s">
        <v>11602</v>
      </c>
      <c r="E4184" s="18" t="s">
        <v>68</v>
      </c>
    </row>
    <row r="4185">
      <c r="A4185" s="1" t="s">
        <v>3526</v>
      </c>
      <c r="B4185" s="1">
        <v>9.19532289158E11</v>
      </c>
      <c r="C4185" s="15" t="str">
        <f t="shared" si="1"/>
        <v>aashij809@gmail.com919532289158</v>
      </c>
      <c r="D4185" s="17" t="s">
        <v>11603</v>
      </c>
      <c r="E4185" s="18" t="s">
        <v>68</v>
      </c>
    </row>
    <row r="4186">
      <c r="A4186" s="1" t="s">
        <v>703</v>
      </c>
      <c r="B4186" s="1">
        <v>9.18248059061E11</v>
      </c>
      <c r="C4186" s="15" t="str">
        <f t="shared" si="1"/>
        <v>sainathan1011@gmail.com918248059061</v>
      </c>
      <c r="D4186" s="17" t="s">
        <v>11604</v>
      </c>
      <c r="E4186" s="18" t="s">
        <v>68</v>
      </c>
    </row>
    <row r="4187">
      <c r="A4187" s="1" t="s">
        <v>5622</v>
      </c>
      <c r="B4187" s="1">
        <v>9.17814200641E11</v>
      </c>
      <c r="C4187" s="15" t="str">
        <f t="shared" si="1"/>
        <v>js4746135@gmail.com917814200641</v>
      </c>
      <c r="D4187" s="17" t="s">
        <v>11605</v>
      </c>
      <c r="E4187" s="18" t="s">
        <v>68</v>
      </c>
    </row>
    <row r="4188">
      <c r="A4188" s="1" t="s">
        <v>5622</v>
      </c>
      <c r="B4188" s="1">
        <v>9.17814200641E11</v>
      </c>
      <c r="C4188" s="15" t="str">
        <f t="shared" si="1"/>
        <v>js4746135@gmail.com917814200641</v>
      </c>
      <c r="D4188" s="17" t="s">
        <v>11606</v>
      </c>
      <c r="E4188" s="18" t="s">
        <v>68</v>
      </c>
    </row>
    <row r="4189">
      <c r="A4189" s="1" t="s">
        <v>5946</v>
      </c>
      <c r="B4189" s="1">
        <v>9.19810394776E11</v>
      </c>
      <c r="C4189" s="15" t="str">
        <f t="shared" si="1"/>
        <v>rparasher@hotmail.com919810394776</v>
      </c>
      <c r="D4189" s="17" t="s">
        <v>11607</v>
      </c>
      <c r="E4189" s="18" t="s">
        <v>97</v>
      </c>
    </row>
    <row r="4190">
      <c r="A4190" s="1" t="s">
        <v>6574</v>
      </c>
      <c r="B4190" s="1">
        <v>9.19513333019E11</v>
      </c>
      <c r="C4190" s="15" t="str">
        <f t="shared" si="1"/>
        <v>stellapaul1211@gmail.com919513333019</v>
      </c>
      <c r="D4190" s="17" t="s">
        <v>11608</v>
      </c>
      <c r="E4190" s="18" t="s">
        <v>68</v>
      </c>
    </row>
    <row r="4191">
      <c r="A4191" s="1" t="s">
        <v>3852</v>
      </c>
      <c r="B4191" s="1">
        <v>9.19175893212E11</v>
      </c>
      <c r="C4191" s="15" t="str">
        <f t="shared" si="1"/>
        <v>kunaljoshi210@gmail.com919175893212</v>
      </c>
      <c r="D4191" s="17" t="s">
        <v>11609</v>
      </c>
      <c r="E4191" s="18" t="s">
        <v>68</v>
      </c>
    </row>
    <row r="4192">
      <c r="A4192" s="1" t="s">
        <v>6357</v>
      </c>
      <c r="B4192" s="1">
        <v>9.19971133337E11</v>
      </c>
      <c r="C4192" s="15" t="str">
        <f t="shared" si="1"/>
        <v>anujjain81@hotmail.com919971133337</v>
      </c>
      <c r="D4192" s="17" t="s">
        <v>11610</v>
      </c>
      <c r="E4192" s="18" t="s">
        <v>68</v>
      </c>
    </row>
    <row r="4193">
      <c r="A4193" s="1" t="s">
        <v>3852</v>
      </c>
      <c r="B4193" s="1">
        <v>9.19175893212E11</v>
      </c>
      <c r="C4193" s="15" t="str">
        <f t="shared" si="1"/>
        <v>kunaljoshi210@gmail.com919175893212</v>
      </c>
      <c r="D4193" s="17" t="s">
        <v>11611</v>
      </c>
      <c r="E4193" s="18" t="s">
        <v>74</v>
      </c>
    </row>
    <row r="4194">
      <c r="A4194" s="1" t="s">
        <v>3852</v>
      </c>
      <c r="B4194" s="1">
        <v>9.19175893212E11</v>
      </c>
      <c r="C4194" s="15" t="str">
        <f t="shared" si="1"/>
        <v>kunaljoshi210@gmail.com919175893212</v>
      </c>
      <c r="D4194" s="17" t="s">
        <v>11612</v>
      </c>
      <c r="E4194" s="18" t="s">
        <v>74</v>
      </c>
    </row>
    <row r="4195">
      <c r="A4195" s="1" t="s">
        <v>3852</v>
      </c>
      <c r="B4195" s="1">
        <v>9.19175893212E11</v>
      </c>
      <c r="C4195" s="15" t="str">
        <f t="shared" si="1"/>
        <v>kunaljoshi210@gmail.com919175893212</v>
      </c>
      <c r="D4195" s="17" t="s">
        <v>11613</v>
      </c>
      <c r="E4195" s="18" t="s">
        <v>74</v>
      </c>
    </row>
    <row r="4196">
      <c r="A4196" s="1" t="s">
        <v>3852</v>
      </c>
      <c r="B4196" s="1">
        <v>9.19175893212E11</v>
      </c>
      <c r="C4196" s="15" t="str">
        <f t="shared" si="1"/>
        <v>kunaljoshi210@gmail.com919175893212</v>
      </c>
      <c r="D4196" s="17" t="s">
        <v>11614</v>
      </c>
      <c r="E4196" s="18" t="s">
        <v>68</v>
      </c>
    </row>
    <row r="4197">
      <c r="A4197" s="1" t="s">
        <v>10023</v>
      </c>
      <c r="B4197" s="1">
        <v>9.17872809608E11</v>
      </c>
      <c r="C4197" s="15" t="str">
        <f t="shared" si="1"/>
        <v>chauhantina708@gmail.com917872809608</v>
      </c>
      <c r="D4197" s="17" t="s">
        <v>11615</v>
      </c>
      <c r="E4197" s="18" t="s">
        <v>151</v>
      </c>
    </row>
    <row r="4198">
      <c r="A4198" s="1" t="s">
        <v>11616</v>
      </c>
      <c r="B4198" s="1">
        <v>9.17457985044E11</v>
      </c>
      <c r="C4198" s="15" t="str">
        <f t="shared" si="1"/>
        <v>parikatiyar77@gmail.com917457985044</v>
      </c>
      <c r="D4198" s="17" t="s">
        <v>11617</v>
      </c>
      <c r="E4198" s="18" t="s">
        <v>68</v>
      </c>
    </row>
    <row r="4199">
      <c r="A4199" s="1" t="s">
        <v>11618</v>
      </c>
      <c r="B4199" s="1">
        <v>9.19315664379E11</v>
      </c>
      <c r="C4199" s="15" t="str">
        <f t="shared" si="1"/>
        <v>shwetakumari12140197988@gmail.com919315664379</v>
      </c>
      <c r="D4199" s="17" t="s">
        <v>11619</v>
      </c>
      <c r="E4199" s="18" t="s">
        <v>74</v>
      </c>
    </row>
    <row r="4200">
      <c r="A4200" s="1" t="s">
        <v>10023</v>
      </c>
      <c r="B4200" s="1">
        <v>9.17872809608E11</v>
      </c>
      <c r="C4200" s="15" t="str">
        <f t="shared" si="1"/>
        <v>chauhantina708@gmail.com917872809608</v>
      </c>
      <c r="D4200" s="17" t="s">
        <v>11620</v>
      </c>
      <c r="E4200" s="18" t="s">
        <v>74</v>
      </c>
    </row>
    <row r="4201">
      <c r="A4201" s="1" t="s">
        <v>3854</v>
      </c>
      <c r="B4201" s="1">
        <v>9.19100218494E11</v>
      </c>
      <c r="C4201" s="15" t="str">
        <f t="shared" si="1"/>
        <v>kothapallisatyasai95@gmail.com919100218494</v>
      </c>
      <c r="D4201" s="17" t="s">
        <v>11621</v>
      </c>
      <c r="E4201" s="18" t="s">
        <v>151</v>
      </c>
    </row>
    <row r="4202">
      <c r="A4202" s="1" t="s">
        <v>3854</v>
      </c>
      <c r="B4202" s="1">
        <v>9.19100218494E11</v>
      </c>
      <c r="C4202" s="15" t="str">
        <f t="shared" si="1"/>
        <v>kothapallisatyasai95@gmail.com919100218494</v>
      </c>
      <c r="D4202" s="17" t="s">
        <v>11622</v>
      </c>
      <c r="E4202" s="18" t="s">
        <v>68</v>
      </c>
    </row>
    <row r="4203">
      <c r="A4203" s="1" t="s">
        <v>11623</v>
      </c>
      <c r="B4203" s="1">
        <v>9.17985899488E11</v>
      </c>
      <c r="C4203" s="15" t="str">
        <f t="shared" si="1"/>
        <v>ayushpandey1008@gmail.com917985899488</v>
      </c>
      <c r="D4203" s="17" t="s">
        <v>11624</v>
      </c>
      <c r="E4203" s="18" t="s">
        <v>74</v>
      </c>
    </row>
    <row r="4204">
      <c r="A4204" s="1" t="s">
        <v>4520</v>
      </c>
      <c r="B4204" s="1">
        <v>9.17975250261E11</v>
      </c>
      <c r="C4204" s="15" t="str">
        <f t="shared" si="1"/>
        <v>arbhavani@gmail.com917975250261</v>
      </c>
      <c r="D4204" s="17" t="s">
        <v>11625</v>
      </c>
      <c r="E4204" s="18" t="s">
        <v>68</v>
      </c>
    </row>
    <row r="4205">
      <c r="A4205" s="1" t="s">
        <v>2844</v>
      </c>
      <c r="B4205" s="1">
        <v>9.17093081109E11</v>
      </c>
      <c r="C4205" s="15" t="str">
        <f t="shared" si="1"/>
        <v>scarysai@gmail.com917093081109</v>
      </c>
      <c r="D4205" s="17" t="s">
        <v>11626</v>
      </c>
      <c r="E4205" s="18" t="s">
        <v>68</v>
      </c>
    </row>
    <row r="4206">
      <c r="A4206" s="1" t="s">
        <v>5624</v>
      </c>
      <c r="B4206" s="1">
        <v>9.19982501293E11</v>
      </c>
      <c r="C4206" s="15" t="str">
        <f t="shared" si="1"/>
        <v>ravindrabeniwal027@gmail.com919982501293</v>
      </c>
      <c r="D4206" s="17" t="s">
        <v>11627</v>
      </c>
      <c r="E4206" s="18" t="s">
        <v>68</v>
      </c>
    </row>
    <row r="4207">
      <c r="A4207" s="1" t="s">
        <v>5624</v>
      </c>
      <c r="B4207" s="1">
        <v>9.19982501293E11</v>
      </c>
      <c r="C4207" s="15" t="str">
        <f t="shared" si="1"/>
        <v>ravindrabeniwal027@gmail.com919982501293</v>
      </c>
      <c r="D4207" s="17" t="s">
        <v>11628</v>
      </c>
      <c r="E4207" s="18" t="s">
        <v>68</v>
      </c>
    </row>
    <row r="4208">
      <c r="A4208" s="1" t="s">
        <v>11629</v>
      </c>
      <c r="B4208" s="1">
        <v>9.19016687695E11</v>
      </c>
      <c r="C4208" s="15" t="str">
        <f t="shared" si="1"/>
        <v>roshnivijay1712@gmail.com919016687695</v>
      </c>
      <c r="D4208" s="17" t="s">
        <v>11630</v>
      </c>
      <c r="E4208" s="18" t="s">
        <v>74</v>
      </c>
    </row>
    <row r="4209">
      <c r="A4209" s="1" t="s">
        <v>11629</v>
      </c>
      <c r="B4209" s="1">
        <v>9.19016687695E11</v>
      </c>
      <c r="C4209" s="15" t="str">
        <f t="shared" si="1"/>
        <v>roshnivijay1712@gmail.com919016687695</v>
      </c>
      <c r="D4209" s="17" t="s">
        <v>11631</v>
      </c>
      <c r="E4209" s="18" t="s">
        <v>74</v>
      </c>
    </row>
    <row r="4210">
      <c r="A4210" s="1" t="s">
        <v>11632</v>
      </c>
      <c r="B4210" s="1">
        <v>9.19000599909E11</v>
      </c>
      <c r="C4210" s="15" t="str">
        <f t="shared" si="1"/>
        <v>ssailaja.02@gmail.com919000599909</v>
      </c>
      <c r="D4210" s="17" t="s">
        <v>11633</v>
      </c>
      <c r="E4210" s="18" t="s">
        <v>151</v>
      </c>
    </row>
    <row r="4211">
      <c r="A4211" s="1" t="s">
        <v>5980</v>
      </c>
      <c r="B4211" s="1">
        <v>9.18884543295E11</v>
      </c>
      <c r="C4211" s="15" t="str">
        <f t="shared" si="1"/>
        <v>mpa983484@gmail.com918884543295</v>
      </c>
      <c r="D4211" s="17" t="s">
        <v>11634</v>
      </c>
      <c r="E4211" s="18" t="s">
        <v>68</v>
      </c>
    </row>
    <row r="4212">
      <c r="A4212" s="1" t="s">
        <v>11632</v>
      </c>
      <c r="B4212" s="1">
        <v>9.19000599909E11</v>
      </c>
      <c r="C4212" s="15" t="str">
        <f t="shared" si="1"/>
        <v>ssailaja.02@gmail.com919000599909</v>
      </c>
      <c r="D4212" s="17" t="s">
        <v>11635</v>
      </c>
      <c r="E4212" s="18" t="s">
        <v>151</v>
      </c>
    </row>
    <row r="4213">
      <c r="A4213" s="1" t="s">
        <v>11632</v>
      </c>
      <c r="B4213" s="1">
        <v>9.19000599909E11</v>
      </c>
      <c r="C4213" s="15" t="str">
        <f t="shared" si="1"/>
        <v>ssailaja.02@gmail.com919000599909</v>
      </c>
      <c r="D4213" s="17" t="s">
        <v>11636</v>
      </c>
      <c r="E4213" s="18" t="s">
        <v>151</v>
      </c>
    </row>
    <row r="4214">
      <c r="A4214" s="1" t="s">
        <v>11637</v>
      </c>
      <c r="B4214" s="1">
        <v>9.19923286356E11</v>
      </c>
      <c r="C4214" s="15" t="str">
        <f t="shared" si="1"/>
        <v>valencybraganza21@gmail.com919923286356</v>
      </c>
      <c r="D4214" s="17" t="s">
        <v>11638</v>
      </c>
      <c r="E4214" s="18" t="s">
        <v>74</v>
      </c>
    </row>
    <row r="4215">
      <c r="A4215" s="1" t="s">
        <v>2562</v>
      </c>
      <c r="B4215" s="1">
        <v>9.17906020996E11</v>
      </c>
      <c r="C4215" s="15" t="str">
        <f t="shared" si="1"/>
        <v>nikhilchauhan633@gmail.com917906020996</v>
      </c>
      <c r="D4215" s="17" t="s">
        <v>11639</v>
      </c>
      <c r="E4215" s="18" t="s">
        <v>68</v>
      </c>
    </row>
    <row r="4216">
      <c r="A4216" s="1" t="s">
        <v>5626</v>
      </c>
      <c r="B4216" s="1">
        <v>9.18126300309E11</v>
      </c>
      <c r="C4216" s="15" t="str">
        <f t="shared" si="1"/>
        <v>mohitgoswami190@gmail.com918126300309</v>
      </c>
      <c r="D4216" s="17" t="s">
        <v>11640</v>
      </c>
      <c r="E4216" s="18" t="s">
        <v>151</v>
      </c>
    </row>
    <row r="4217">
      <c r="A4217" s="1" t="s">
        <v>3737</v>
      </c>
      <c r="B4217" s="1">
        <v>9.17838069203E11</v>
      </c>
      <c r="C4217" s="15" t="str">
        <f t="shared" si="1"/>
        <v>soumyashrm@gmail.com917838069203</v>
      </c>
      <c r="D4217" s="17" t="s">
        <v>11641</v>
      </c>
      <c r="E4217" s="18" t="s">
        <v>68</v>
      </c>
    </row>
    <row r="4218">
      <c r="A4218" s="1" t="s">
        <v>2564</v>
      </c>
      <c r="B4218" s="1">
        <v>9.17987036123E11</v>
      </c>
      <c r="C4218" s="15" t="str">
        <f t="shared" si="1"/>
        <v>ppsweetanny12011993@gmail.com917987036123</v>
      </c>
      <c r="D4218" s="17" t="s">
        <v>11642</v>
      </c>
      <c r="E4218" s="18" t="s">
        <v>68</v>
      </c>
    </row>
    <row r="4219">
      <c r="A4219" s="1" t="s">
        <v>11115</v>
      </c>
      <c r="B4219" s="1">
        <v>9.18115218887E11</v>
      </c>
      <c r="C4219" s="15" t="str">
        <f t="shared" si="1"/>
        <v>ksidra09aa@gmail.com918115218887</v>
      </c>
      <c r="D4219" s="17" t="s">
        <v>11643</v>
      </c>
      <c r="E4219" s="18" t="s">
        <v>74</v>
      </c>
    </row>
    <row r="4220">
      <c r="A4220" s="1" t="s">
        <v>4007</v>
      </c>
      <c r="B4220" s="1">
        <v>9.71502845925E11</v>
      </c>
      <c r="C4220" s="15" t="str">
        <f t="shared" si="1"/>
        <v>nshusain@outlook.com971502845925</v>
      </c>
      <c r="D4220" s="17" t="s">
        <v>11644</v>
      </c>
      <c r="E4220" s="18" t="s">
        <v>74</v>
      </c>
    </row>
    <row r="4221">
      <c r="A4221" s="1" t="s">
        <v>3619</v>
      </c>
      <c r="B4221" s="1">
        <v>9.18264960042E11</v>
      </c>
      <c r="C4221" s="15" t="str">
        <f t="shared" si="1"/>
        <v>99jainansh@gmail.com918264960042</v>
      </c>
      <c r="D4221" s="17" t="s">
        <v>11645</v>
      </c>
      <c r="E4221" s="18" t="s">
        <v>151</v>
      </c>
    </row>
    <row r="4222">
      <c r="A4222" s="1" t="s">
        <v>7908</v>
      </c>
      <c r="B4222" s="1">
        <v>9.19944958235E11</v>
      </c>
      <c r="C4222" s="15" t="str">
        <f t="shared" si="1"/>
        <v>suhasini.counder@gmail.com919944958235</v>
      </c>
      <c r="D4222" s="17" t="s">
        <v>11646</v>
      </c>
      <c r="E4222" s="18" t="s">
        <v>74</v>
      </c>
    </row>
    <row r="4223">
      <c r="A4223" s="1" t="s">
        <v>4012</v>
      </c>
      <c r="B4223" s="1">
        <v>9.19727068089E11</v>
      </c>
      <c r="C4223" s="15" t="str">
        <f t="shared" si="1"/>
        <v>devteli28@gmail.com919727068089</v>
      </c>
      <c r="D4223" s="17" t="s">
        <v>11647</v>
      </c>
      <c r="E4223" s="18" t="s">
        <v>151</v>
      </c>
    </row>
    <row r="4224">
      <c r="A4224" s="1" t="s">
        <v>7908</v>
      </c>
      <c r="B4224" s="1">
        <v>9.19944958235E11</v>
      </c>
      <c r="C4224" s="15" t="str">
        <f t="shared" si="1"/>
        <v>suhasini.counder@gmail.com919944958235</v>
      </c>
      <c r="D4224" s="17" t="s">
        <v>11648</v>
      </c>
      <c r="E4224" s="18" t="s">
        <v>74</v>
      </c>
    </row>
    <row r="4225">
      <c r="A4225" s="1" t="s">
        <v>7908</v>
      </c>
      <c r="B4225" s="1">
        <v>9.19944958235E11</v>
      </c>
      <c r="C4225" s="15" t="str">
        <f t="shared" si="1"/>
        <v>suhasini.counder@gmail.com919944958235</v>
      </c>
      <c r="D4225" s="17" t="s">
        <v>11649</v>
      </c>
      <c r="E4225" s="18" t="s">
        <v>74</v>
      </c>
    </row>
    <row r="4226">
      <c r="A4226" s="1" t="s">
        <v>3528</v>
      </c>
      <c r="B4226" s="1">
        <v>9.18121895951E11</v>
      </c>
      <c r="C4226" s="15" t="str">
        <f t="shared" si="1"/>
        <v>sreyak.1998@gmail.com918121895951</v>
      </c>
      <c r="D4226" s="17" t="s">
        <v>11650</v>
      </c>
      <c r="E4226" s="18" t="s">
        <v>74</v>
      </c>
    </row>
    <row r="4227">
      <c r="A4227" s="1" t="s">
        <v>6491</v>
      </c>
      <c r="B4227" s="1">
        <v>9.19696046295E11</v>
      </c>
      <c r="C4227" s="15" t="str">
        <f t="shared" si="1"/>
        <v>singhvineeta.786@gmail.com919696046295</v>
      </c>
      <c r="D4227" s="17" t="s">
        <v>11651</v>
      </c>
      <c r="E4227" s="18" t="s">
        <v>97</v>
      </c>
    </row>
    <row r="4228">
      <c r="A4228" s="1" t="s">
        <v>11652</v>
      </c>
      <c r="B4228" s="1">
        <v>9.19833471548E11</v>
      </c>
      <c r="C4228" s="15" t="str">
        <f t="shared" si="1"/>
        <v>prajaktachavan333@gmail.com919833471548</v>
      </c>
      <c r="D4228" s="17" t="s">
        <v>11653</v>
      </c>
      <c r="E4228" s="18" t="s">
        <v>74</v>
      </c>
    </row>
    <row r="4229">
      <c r="A4229" s="1" t="s">
        <v>11654</v>
      </c>
      <c r="B4229" s="1">
        <v>9.18907119128E11</v>
      </c>
      <c r="C4229" s="15" t="str">
        <f t="shared" si="1"/>
        <v>arunr3500@gmail.com918907119128</v>
      </c>
      <c r="D4229" s="17" t="s">
        <v>11655</v>
      </c>
      <c r="E4229" s="18" t="s">
        <v>74</v>
      </c>
    </row>
    <row r="4230">
      <c r="A4230" s="1" t="s">
        <v>5982</v>
      </c>
      <c r="B4230" s="1">
        <v>9.19886495459E11</v>
      </c>
      <c r="C4230" s="15" t="str">
        <f t="shared" si="1"/>
        <v>romidreamzone@gmail.com919886495459</v>
      </c>
      <c r="D4230" s="17" t="s">
        <v>11656</v>
      </c>
      <c r="E4230" s="18" t="s">
        <v>74</v>
      </c>
    </row>
    <row r="4231">
      <c r="A4231" s="1" t="s">
        <v>2566</v>
      </c>
      <c r="B4231" s="1">
        <v>9.19897523433E11</v>
      </c>
      <c r="C4231" s="15" t="str">
        <f t="shared" si="1"/>
        <v>pratiush.dhiman1994@gmail.com919897523433</v>
      </c>
      <c r="D4231" s="17" t="s">
        <v>11657</v>
      </c>
      <c r="E4231" s="18" t="s">
        <v>68</v>
      </c>
    </row>
    <row r="4232">
      <c r="A4232" s="1" t="s">
        <v>4763</v>
      </c>
      <c r="B4232" s="1">
        <v>9.1932267789E11</v>
      </c>
      <c r="C4232" s="15" t="str">
        <f t="shared" si="1"/>
        <v>riteshgupta2582010@gmail.com919322677890</v>
      </c>
      <c r="D4232" s="17" t="s">
        <v>11658</v>
      </c>
      <c r="E4232" s="18" t="s">
        <v>68</v>
      </c>
    </row>
    <row r="4233">
      <c r="A4233" s="1" t="s">
        <v>2451</v>
      </c>
      <c r="B4233" s="1">
        <v>9.19731761212E11</v>
      </c>
      <c r="C4233" s="15" t="str">
        <f t="shared" si="1"/>
        <v>krishnaraj.bhatns@gmail.com919731761212</v>
      </c>
      <c r="D4233" s="17" t="s">
        <v>11659</v>
      </c>
      <c r="E4233" s="18" t="s">
        <v>68</v>
      </c>
    </row>
    <row r="4234">
      <c r="A4234" s="1" t="s">
        <v>2451</v>
      </c>
      <c r="B4234" s="1">
        <v>9.19731761212E11</v>
      </c>
      <c r="C4234" s="15" t="str">
        <f t="shared" si="1"/>
        <v>krishnaraj.bhatns@gmail.com919731761212</v>
      </c>
      <c r="D4234" s="17" t="s">
        <v>11660</v>
      </c>
      <c r="E4234" s="18" t="s">
        <v>68</v>
      </c>
    </row>
    <row r="4235">
      <c r="A4235" s="1" t="s">
        <v>5628</v>
      </c>
      <c r="B4235" s="1">
        <v>9.18500253053E11</v>
      </c>
      <c r="C4235" s="15" t="str">
        <f t="shared" si="1"/>
        <v>phanindra022@gmail.com918500253053</v>
      </c>
      <c r="D4235" s="17" t="s">
        <v>11661</v>
      </c>
      <c r="E4235" s="18" t="s">
        <v>68</v>
      </c>
    </row>
    <row r="4236">
      <c r="A4236" s="1" t="s">
        <v>4418</v>
      </c>
      <c r="B4236" s="1">
        <v>9.18793790617E11</v>
      </c>
      <c r="C4236" s="15" t="str">
        <f t="shared" si="1"/>
        <v>ashutoshkundan2020@gmail.com918793790617</v>
      </c>
      <c r="D4236" s="17" t="s">
        <v>11662</v>
      </c>
      <c r="E4236" s="18" t="s">
        <v>68</v>
      </c>
    </row>
    <row r="4237">
      <c r="A4237" s="1" t="s">
        <v>9707</v>
      </c>
      <c r="B4237" s="1">
        <v>9.17440795514E11</v>
      </c>
      <c r="C4237" s="15" t="str">
        <f t="shared" si="1"/>
        <v>spratiksha189@gmail.com917440795514</v>
      </c>
      <c r="D4237" s="17" t="s">
        <v>11663</v>
      </c>
      <c r="E4237" s="18" t="s">
        <v>68</v>
      </c>
    </row>
    <row r="4238">
      <c r="A4238" s="1" t="s">
        <v>6660</v>
      </c>
      <c r="B4238" s="1">
        <v>9.19811339168E11</v>
      </c>
      <c r="C4238" s="15" t="str">
        <f t="shared" si="1"/>
        <v>deepaliverma5@gmail.com919811339168</v>
      </c>
      <c r="D4238" s="17" t="s">
        <v>11664</v>
      </c>
      <c r="E4238" s="18" t="s">
        <v>68</v>
      </c>
    </row>
    <row r="4239">
      <c r="A4239" s="1" t="s">
        <v>5299</v>
      </c>
      <c r="B4239" s="1">
        <v>9.1981881646E11</v>
      </c>
      <c r="C4239" s="15" t="str">
        <f t="shared" si="1"/>
        <v>yashisharma52@gmail.com919818816460</v>
      </c>
      <c r="D4239" s="17" t="s">
        <v>11665</v>
      </c>
      <c r="E4239" s="18" t="s">
        <v>74</v>
      </c>
    </row>
    <row r="4240">
      <c r="A4240" s="1" t="s">
        <v>4420</v>
      </c>
      <c r="B4240" s="1">
        <v>9.19515372808E11</v>
      </c>
      <c r="C4240" s="15" t="str">
        <f t="shared" si="1"/>
        <v>diyaredsy21@gmail.com919515372808</v>
      </c>
      <c r="D4240" s="17" t="s">
        <v>11666</v>
      </c>
      <c r="E4240" s="18" t="s">
        <v>68</v>
      </c>
    </row>
    <row r="4241">
      <c r="A4241" s="1" t="s">
        <v>6359</v>
      </c>
      <c r="B4241" s="1">
        <v>9.1983692598E11</v>
      </c>
      <c r="C4241" s="15" t="str">
        <f t="shared" si="1"/>
        <v>thisiskoushik@gmail.com919836925980</v>
      </c>
      <c r="D4241" s="17" t="s">
        <v>11667</v>
      </c>
      <c r="E4241" s="18" t="s">
        <v>74</v>
      </c>
    </row>
    <row r="4242">
      <c r="A4242" s="1" t="s">
        <v>5948</v>
      </c>
      <c r="B4242" s="1">
        <v>9.19988882382E11</v>
      </c>
      <c r="C4242" s="15" t="str">
        <f t="shared" si="1"/>
        <v>deeptitoor28@gmail.com919988882382</v>
      </c>
      <c r="D4242" s="17" t="s">
        <v>11668</v>
      </c>
      <c r="E4242" s="18" t="s">
        <v>68</v>
      </c>
    </row>
    <row r="4243">
      <c r="A4243" s="1" t="s">
        <v>11669</v>
      </c>
      <c r="B4243" s="1">
        <v>9.18104326807E11</v>
      </c>
      <c r="C4243" s="15" t="str">
        <f t="shared" si="1"/>
        <v>tejalgadekar132@gmail.com918104326807</v>
      </c>
      <c r="D4243" s="17" t="s">
        <v>11670</v>
      </c>
      <c r="E4243" s="18" t="s">
        <v>74</v>
      </c>
    </row>
    <row r="4244">
      <c r="A4244" s="1" t="s">
        <v>3530</v>
      </c>
      <c r="B4244" s="1">
        <v>9.17840841999E11</v>
      </c>
      <c r="C4244" s="15" t="str">
        <f t="shared" si="1"/>
        <v>rahulkkarn@gmail.com917840841999</v>
      </c>
      <c r="D4244" s="17" t="s">
        <v>11671</v>
      </c>
      <c r="E4244" s="18" t="s">
        <v>151</v>
      </c>
    </row>
    <row r="4245">
      <c r="A4245" s="1" t="s">
        <v>3530</v>
      </c>
      <c r="B4245" s="1">
        <v>9.17840841999E11</v>
      </c>
      <c r="C4245" s="15" t="str">
        <f t="shared" si="1"/>
        <v>rahulkkarn@gmail.com917840841999</v>
      </c>
      <c r="D4245" s="17" t="s">
        <v>11672</v>
      </c>
      <c r="E4245" s="18" t="s">
        <v>68</v>
      </c>
    </row>
    <row r="4246">
      <c r="A4246" s="1" t="s">
        <v>5062</v>
      </c>
      <c r="B4246" s="1">
        <v>9.17093237385E11</v>
      </c>
      <c r="C4246" s="15" t="str">
        <f t="shared" si="1"/>
        <v>tripurasoni0430@gmail.com917093237385</v>
      </c>
      <c r="D4246" s="17" t="s">
        <v>11673</v>
      </c>
      <c r="E4246" s="18" t="s">
        <v>68</v>
      </c>
    </row>
    <row r="4247">
      <c r="A4247" s="1" t="s">
        <v>5693</v>
      </c>
      <c r="B4247" s="1">
        <v>9.17722849687E11</v>
      </c>
      <c r="C4247" s="15" t="str">
        <f t="shared" si="1"/>
        <v>dodiyanarendrasingh76@gmail.com917722849687</v>
      </c>
      <c r="D4247" s="17" t="s">
        <v>11674</v>
      </c>
      <c r="E4247" s="18" t="s">
        <v>68</v>
      </c>
    </row>
    <row r="4248">
      <c r="A4248" s="1" t="s">
        <v>3530</v>
      </c>
      <c r="B4248" s="1">
        <v>9.17840841999E11</v>
      </c>
      <c r="C4248" s="15" t="str">
        <f t="shared" si="1"/>
        <v>rahulkkarn@gmail.com917840841999</v>
      </c>
      <c r="D4248" s="17" t="s">
        <v>11675</v>
      </c>
      <c r="E4248" s="18" t="s">
        <v>68</v>
      </c>
    </row>
    <row r="4249">
      <c r="A4249" s="1" t="s">
        <v>5630</v>
      </c>
      <c r="B4249" s="1">
        <v>9.19722544329E11</v>
      </c>
      <c r="C4249" s="15" t="str">
        <f t="shared" si="1"/>
        <v>yogeshraje1995@gmail.com919722544329</v>
      </c>
      <c r="D4249" s="17" t="s">
        <v>11676</v>
      </c>
      <c r="E4249" s="18" t="s">
        <v>151</v>
      </c>
    </row>
    <row r="4250">
      <c r="A4250" s="1" t="s">
        <v>5630</v>
      </c>
      <c r="B4250" s="1">
        <v>9.19722544329E11</v>
      </c>
      <c r="C4250" s="15" t="str">
        <f t="shared" si="1"/>
        <v>yogeshraje1995@gmail.com919722544329</v>
      </c>
      <c r="D4250" s="17" t="s">
        <v>11677</v>
      </c>
      <c r="E4250" s="18" t="s">
        <v>68</v>
      </c>
    </row>
    <row r="4251">
      <c r="A4251" s="1" t="s">
        <v>3530</v>
      </c>
      <c r="B4251" s="1">
        <v>9.17840841999E11</v>
      </c>
      <c r="C4251" s="15" t="str">
        <f t="shared" si="1"/>
        <v>rahulkkarn@gmail.com917840841999</v>
      </c>
      <c r="D4251" s="17" t="s">
        <v>11678</v>
      </c>
      <c r="E4251" s="18" t="s">
        <v>74</v>
      </c>
    </row>
    <row r="4252">
      <c r="A4252" s="1" t="s">
        <v>3530</v>
      </c>
      <c r="B4252" s="1">
        <v>9.17840841999E11</v>
      </c>
      <c r="C4252" s="15" t="str">
        <f t="shared" si="1"/>
        <v>rahulkkarn@gmail.com917840841999</v>
      </c>
      <c r="D4252" s="17" t="s">
        <v>11679</v>
      </c>
      <c r="E4252" s="18" t="s">
        <v>97</v>
      </c>
    </row>
    <row r="4253">
      <c r="A4253" s="1" t="s">
        <v>11680</v>
      </c>
      <c r="B4253" s="1">
        <v>9.17869854657E11</v>
      </c>
      <c r="C4253" s="15" t="str">
        <f t="shared" si="1"/>
        <v>amansingh.singh63@gmail.com917869854657</v>
      </c>
      <c r="D4253" s="17" t="s">
        <v>11681</v>
      </c>
      <c r="E4253" s="18" t="s">
        <v>68</v>
      </c>
    </row>
    <row r="4254">
      <c r="A4254" s="1" t="s">
        <v>3532</v>
      </c>
      <c r="B4254" s="1">
        <v>9.19874883791E11</v>
      </c>
      <c r="C4254" s="15" t="str">
        <f t="shared" si="1"/>
        <v>arnaba.saha@gmail.com919874883791</v>
      </c>
      <c r="D4254" s="17" t="s">
        <v>11682</v>
      </c>
      <c r="E4254" s="18" t="s">
        <v>68</v>
      </c>
    </row>
    <row r="4255">
      <c r="A4255" s="1" t="s">
        <v>5500</v>
      </c>
      <c r="B4255" s="1">
        <v>9.18921299687E11</v>
      </c>
      <c r="C4255" s="15" t="str">
        <f t="shared" si="1"/>
        <v>lechusree666@gmail.com918921299687</v>
      </c>
      <c r="D4255" s="17" t="s">
        <v>11683</v>
      </c>
      <c r="E4255" s="18" t="s">
        <v>74</v>
      </c>
    </row>
    <row r="4256">
      <c r="A4256" s="1" t="s">
        <v>5500</v>
      </c>
      <c r="B4256" s="1">
        <v>9.18921299687E11</v>
      </c>
      <c r="C4256" s="15" t="str">
        <f t="shared" si="1"/>
        <v>lechusree666@gmail.com918921299687</v>
      </c>
      <c r="D4256" s="17" t="s">
        <v>11684</v>
      </c>
      <c r="E4256" s="18" t="s">
        <v>74</v>
      </c>
    </row>
    <row r="4257">
      <c r="A4257" s="1" t="s">
        <v>3534</v>
      </c>
      <c r="B4257" s="1">
        <v>9.19686891279E11</v>
      </c>
      <c r="C4257" s="15" t="str">
        <f t="shared" si="1"/>
        <v>nastyfriendraza@gmail.com919686891279</v>
      </c>
      <c r="D4257" s="17" t="s">
        <v>11685</v>
      </c>
      <c r="E4257" s="18" t="s">
        <v>68</v>
      </c>
    </row>
    <row r="4258">
      <c r="A4258" s="1" t="s">
        <v>5500</v>
      </c>
      <c r="B4258" s="1">
        <v>9.18921299687E11</v>
      </c>
      <c r="C4258" s="15" t="str">
        <f t="shared" si="1"/>
        <v>lechusree666@gmail.com918921299687</v>
      </c>
      <c r="D4258" s="17" t="s">
        <v>11686</v>
      </c>
      <c r="E4258" s="18" t="s">
        <v>68</v>
      </c>
    </row>
    <row r="4259">
      <c r="A4259" s="1" t="s">
        <v>3948</v>
      </c>
      <c r="B4259" s="1">
        <v>9.19307421735E11</v>
      </c>
      <c r="C4259" s="15" t="str">
        <f t="shared" si="1"/>
        <v>rajat.shirdhankar25@gmail.com919307421735</v>
      </c>
      <c r="D4259" s="17" t="s">
        <v>11687</v>
      </c>
      <c r="E4259" s="18" t="s">
        <v>68</v>
      </c>
    </row>
    <row r="4260">
      <c r="A4260" s="1" t="s">
        <v>5632</v>
      </c>
      <c r="B4260" s="1">
        <v>9.18076195663E11</v>
      </c>
      <c r="C4260" s="15" t="str">
        <f t="shared" si="1"/>
        <v>mohitprajapati888@gmail.com918076195663</v>
      </c>
      <c r="D4260" s="17" t="s">
        <v>11688</v>
      </c>
      <c r="E4260" s="18" t="s">
        <v>68</v>
      </c>
    </row>
    <row r="4261">
      <c r="A4261" s="1" t="s">
        <v>3739</v>
      </c>
      <c r="B4261" s="1">
        <v>9.19662084121E11</v>
      </c>
      <c r="C4261" s="15" t="str">
        <f t="shared" si="1"/>
        <v>urvi33soulart@rediffmail.com919662084121</v>
      </c>
      <c r="D4261" s="17" t="s">
        <v>11689</v>
      </c>
      <c r="E4261" s="18" t="s">
        <v>151</v>
      </c>
    </row>
    <row r="4262">
      <c r="A4262" s="1" t="s">
        <v>11690</v>
      </c>
      <c r="B4262" s="1">
        <v>9.19898989888E11</v>
      </c>
      <c r="C4262" s="15" t="str">
        <f t="shared" si="1"/>
        <v>xyz@gmail.com919898989888</v>
      </c>
      <c r="D4262" s="17" t="s">
        <v>11691</v>
      </c>
      <c r="E4262" s="18" t="s">
        <v>68</v>
      </c>
    </row>
    <row r="4263">
      <c r="A4263" s="1" t="s">
        <v>3282</v>
      </c>
      <c r="B4263" s="1">
        <v>9.19400008888E11</v>
      </c>
      <c r="C4263" s="15" t="str">
        <f t="shared" si="1"/>
        <v>javadmra@gmail.com919400008888</v>
      </c>
      <c r="D4263" s="17" t="s">
        <v>11692</v>
      </c>
      <c r="E4263" s="18" t="s">
        <v>74</v>
      </c>
    </row>
    <row r="4264">
      <c r="A4264" s="1" t="s">
        <v>5634</v>
      </c>
      <c r="B4264" s="1">
        <v>9.19660969602E11</v>
      </c>
      <c r="C4264" s="15" t="str">
        <f t="shared" si="1"/>
        <v>naveenjarwal05@gmail.com919660969602</v>
      </c>
      <c r="D4264" s="17" t="s">
        <v>11693</v>
      </c>
      <c r="E4264" s="18" t="s">
        <v>68</v>
      </c>
    </row>
    <row r="4265">
      <c r="A4265" s="1" t="s">
        <v>5301</v>
      </c>
      <c r="B4265" s="1">
        <v>9.1725901883E11</v>
      </c>
      <c r="C4265" s="15" t="str">
        <f t="shared" si="1"/>
        <v>ghategastishweta@gmail.com917259018830</v>
      </c>
      <c r="D4265" s="17" t="s">
        <v>11694</v>
      </c>
      <c r="E4265" s="18" t="s">
        <v>68</v>
      </c>
    </row>
    <row r="4266">
      <c r="A4266" s="1" t="s">
        <v>11695</v>
      </c>
      <c r="B4266" s="1">
        <v>9.19847834621E11</v>
      </c>
      <c r="C4266" s="15" t="str">
        <f t="shared" si="1"/>
        <v>nivedhikasasikumar@gmail.com919847834621</v>
      </c>
      <c r="D4266" s="17" t="s">
        <v>11696</v>
      </c>
      <c r="E4266" s="18" t="s">
        <v>151</v>
      </c>
    </row>
    <row r="4267">
      <c r="A4267" s="1" t="s">
        <v>4865</v>
      </c>
      <c r="B4267" s="1">
        <v>9.1733891777E11</v>
      </c>
      <c r="C4267" s="15" t="str">
        <f t="shared" si="1"/>
        <v>msrajput1196@gmail.com917338917770</v>
      </c>
      <c r="D4267" s="17" t="s">
        <v>11697</v>
      </c>
      <c r="E4267" s="18" t="s">
        <v>68</v>
      </c>
    </row>
    <row r="4268">
      <c r="A4268" s="1" t="s">
        <v>11695</v>
      </c>
      <c r="B4268" s="1">
        <v>9.19847834621E11</v>
      </c>
      <c r="C4268" s="15" t="str">
        <f t="shared" si="1"/>
        <v>nivedhikasasikumar@gmail.com919847834621</v>
      </c>
      <c r="D4268" s="17" t="s">
        <v>11698</v>
      </c>
      <c r="E4268" s="18" t="s">
        <v>68</v>
      </c>
    </row>
    <row r="4269">
      <c r="A4269" s="1" t="s">
        <v>11695</v>
      </c>
      <c r="B4269" s="1">
        <v>9.19847834621E11</v>
      </c>
      <c r="C4269" s="15" t="str">
        <f t="shared" si="1"/>
        <v>nivedhikasasikumar@gmail.com919847834621</v>
      </c>
      <c r="D4269" s="17" t="s">
        <v>11699</v>
      </c>
      <c r="E4269" s="18" t="s">
        <v>151</v>
      </c>
    </row>
    <row r="4270">
      <c r="A4270" s="1" t="s">
        <v>11695</v>
      </c>
      <c r="B4270" s="1">
        <v>9.19847834621E11</v>
      </c>
      <c r="C4270" s="15" t="str">
        <f t="shared" si="1"/>
        <v>nivedhikasasikumar@gmail.com919847834621</v>
      </c>
      <c r="D4270" s="17" t="s">
        <v>11700</v>
      </c>
      <c r="E4270" s="18" t="s">
        <v>151</v>
      </c>
    </row>
    <row r="4271">
      <c r="A4271" s="1" t="s">
        <v>6445</v>
      </c>
      <c r="B4271" s="1">
        <v>9.19720208787E11</v>
      </c>
      <c r="C4271" s="15" t="str">
        <f t="shared" si="1"/>
        <v>ch.abhishekmalik4000@gmail.com919720208787</v>
      </c>
      <c r="D4271" s="17" t="s">
        <v>11701</v>
      </c>
      <c r="E4271" s="18" t="s">
        <v>68</v>
      </c>
    </row>
    <row r="4272">
      <c r="A4272" s="1" t="s">
        <v>6445</v>
      </c>
      <c r="B4272" s="1">
        <v>9.19720208787E11</v>
      </c>
      <c r="C4272" s="15" t="str">
        <f t="shared" si="1"/>
        <v>ch.abhishekmalik4000@gmail.com919720208787</v>
      </c>
      <c r="D4272" s="17" t="s">
        <v>11702</v>
      </c>
      <c r="E4272" s="18" t="s">
        <v>68</v>
      </c>
    </row>
    <row r="4273">
      <c r="A4273" s="1" t="s">
        <v>5636</v>
      </c>
      <c r="B4273" s="1">
        <v>9.19049119829E11</v>
      </c>
      <c r="C4273" s="15" t="str">
        <f t="shared" si="1"/>
        <v>avhadsanket4@gmail.com919049119829</v>
      </c>
      <c r="D4273" s="17" t="s">
        <v>11703</v>
      </c>
      <c r="E4273" s="18" t="s">
        <v>74</v>
      </c>
    </row>
    <row r="4274">
      <c r="A4274" s="1" t="s">
        <v>3950</v>
      </c>
      <c r="B4274" s="1">
        <v>9.19886693316E11</v>
      </c>
      <c r="C4274" s="15" t="str">
        <f t="shared" si="1"/>
        <v>ozoneservicesolutions@gmail.com919886693316</v>
      </c>
      <c r="D4274" s="17" t="s">
        <v>11704</v>
      </c>
      <c r="E4274" s="18" t="s">
        <v>68</v>
      </c>
    </row>
    <row r="4275">
      <c r="A4275" s="1" t="s">
        <v>3950</v>
      </c>
      <c r="B4275" s="1">
        <v>9.19886693316E11</v>
      </c>
      <c r="C4275" s="15" t="str">
        <f t="shared" si="1"/>
        <v>ozoneservicesolutions@gmail.com919886693316</v>
      </c>
      <c r="D4275" s="17" t="s">
        <v>11705</v>
      </c>
      <c r="E4275" s="18" t="s">
        <v>74</v>
      </c>
    </row>
    <row r="4276">
      <c r="A4276" s="1" t="s">
        <v>3950</v>
      </c>
      <c r="B4276" s="1">
        <v>9.19886693316E11</v>
      </c>
      <c r="C4276" s="15" t="str">
        <f t="shared" si="1"/>
        <v>ozoneservicesolutions@gmail.com919886693316</v>
      </c>
      <c r="D4276" s="17" t="s">
        <v>11706</v>
      </c>
      <c r="E4276" s="18" t="s">
        <v>74</v>
      </c>
    </row>
    <row r="4277">
      <c r="A4277" s="1" t="s">
        <v>3950</v>
      </c>
      <c r="B4277" s="1">
        <v>9.19886693316E11</v>
      </c>
      <c r="C4277" s="15" t="str">
        <f t="shared" si="1"/>
        <v>ozoneservicesolutions@gmail.com919886693316</v>
      </c>
      <c r="D4277" s="17" t="s">
        <v>11707</v>
      </c>
      <c r="E4277" s="18" t="s">
        <v>68</v>
      </c>
    </row>
    <row r="4278">
      <c r="A4278" s="1" t="s">
        <v>3536</v>
      </c>
      <c r="B4278" s="1">
        <v>9.17906047649E11</v>
      </c>
      <c r="C4278" s="15" t="str">
        <f t="shared" si="1"/>
        <v>prashantbunty21@gmail.com917906047649</v>
      </c>
      <c r="D4278" s="17" t="s">
        <v>11708</v>
      </c>
      <c r="E4278" s="18" t="s">
        <v>68</v>
      </c>
    </row>
    <row r="4279">
      <c r="A4279" s="1" t="s">
        <v>5172</v>
      </c>
      <c r="B4279" s="1">
        <v>9.1974017294E11</v>
      </c>
      <c r="C4279" s="15" t="str">
        <f t="shared" si="1"/>
        <v>nimme5888@gmail.com919740172940</v>
      </c>
      <c r="D4279" s="17" t="s">
        <v>11709</v>
      </c>
      <c r="E4279" s="18" t="s">
        <v>68</v>
      </c>
    </row>
    <row r="4280">
      <c r="A4280" s="1" t="s">
        <v>6447</v>
      </c>
      <c r="B4280" s="1">
        <v>9.19100805185E11</v>
      </c>
      <c r="C4280" s="15" t="str">
        <f t="shared" si="1"/>
        <v>yerawarsomesh@gmail.com919100805185</v>
      </c>
      <c r="D4280" s="17" t="s">
        <v>11710</v>
      </c>
      <c r="E4280" s="18" t="s">
        <v>68</v>
      </c>
    </row>
    <row r="4281">
      <c r="A4281" s="1" t="s">
        <v>4237</v>
      </c>
      <c r="B4281" s="1">
        <v>9.19321852038E11</v>
      </c>
      <c r="C4281" s="15" t="str">
        <f t="shared" si="1"/>
        <v>ayanshmediahouse@gmail.com919321852038</v>
      </c>
      <c r="D4281" s="17" t="s">
        <v>11711</v>
      </c>
      <c r="E4281" s="18" t="s">
        <v>68</v>
      </c>
    </row>
    <row r="4282">
      <c r="A4282" s="1" t="s">
        <v>5396</v>
      </c>
      <c r="B4282" s="1">
        <v>9.18375947597E11</v>
      </c>
      <c r="C4282" s="15" t="str">
        <f t="shared" si="1"/>
        <v>juhi.kumari.5150@gmail.com918375947597</v>
      </c>
      <c r="D4282" s="17" t="s">
        <v>11712</v>
      </c>
      <c r="E4282" s="18" t="s">
        <v>68</v>
      </c>
    </row>
    <row r="4283">
      <c r="A4283" s="1" t="s">
        <v>5064</v>
      </c>
      <c r="B4283" s="1">
        <v>9.18297270835E11</v>
      </c>
      <c r="C4283" s="15" t="str">
        <f t="shared" si="1"/>
        <v>avinashgrandhi9@gmail.com918297270835</v>
      </c>
      <c r="D4283" s="17" t="s">
        <v>11713</v>
      </c>
      <c r="E4283" s="18" t="s">
        <v>68</v>
      </c>
    </row>
    <row r="4284">
      <c r="A4284" s="1" t="s">
        <v>4522</v>
      </c>
      <c r="B4284" s="1">
        <v>9.17023222297E11</v>
      </c>
      <c r="C4284" s="15" t="str">
        <f t="shared" si="1"/>
        <v>yuktasgi@gmail.com917023222297</v>
      </c>
      <c r="D4284" s="17" t="s">
        <v>11714</v>
      </c>
      <c r="E4284" s="18" t="s">
        <v>68</v>
      </c>
    </row>
    <row r="4285">
      <c r="A4285" s="1" t="s">
        <v>5950</v>
      </c>
      <c r="B4285" s="1">
        <v>9.19886693396E11</v>
      </c>
      <c r="C4285" s="15" t="str">
        <f t="shared" si="1"/>
        <v>gunjal.savitri@gmail.com919886693396</v>
      </c>
      <c r="D4285" s="17" t="s">
        <v>11715</v>
      </c>
      <c r="E4285" s="18" t="s">
        <v>68</v>
      </c>
    </row>
    <row r="4286">
      <c r="A4286" s="1" t="s">
        <v>5950</v>
      </c>
      <c r="B4286" s="1">
        <v>9.19886693396E11</v>
      </c>
      <c r="C4286" s="15" t="str">
        <f t="shared" si="1"/>
        <v>gunjal.savitri@gmail.com919886693396</v>
      </c>
      <c r="D4286" s="17" t="s">
        <v>11716</v>
      </c>
      <c r="E4286" s="18" t="s">
        <v>68</v>
      </c>
    </row>
    <row r="4287">
      <c r="A4287" s="1" t="s">
        <v>5950</v>
      </c>
      <c r="B4287" s="1">
        <v>9.19886693396E11</v>
      </c>
      <c r="C4287" s="15" t="str">
        <f t="shared" si="1"/>
        <v>gunjal.savitri@gmail.com919886693396</v>
      </c>
      <c r="D4287" s="17" t="s">
        <v>11717</v>
      </c>
      <c r="E4287" s="18" t="s">
        <v>68</v>
      </c>
    </row>
    <row r="4288">
      <c r="A4288" s="1" t="s">
        <v>3538</v>
      </c>
      <c r="B4288" s="1">
        <v>9.18610981633E11</v>
      </c>
      <c r="C4288" s="15" t="str">
        <f t="shared" si="1"/>
        <v>grenu89@gmail.com918610981633</v>
      </c>
      <c r="D4288" s="17" t="s">
        <v>11718</v>
      </c>
      <c r="E4288" s="18" t="s">
        <v>68</v>
      </c>
    </row>
    <row r="4289">
      <c r="A4289" s="1" t="s">
        <v>5638</v>
      </c>
      <c r="B4289" s="1">
        <v>9.19664013366E11</v>
      </c>
      <c r="C4289" s="15" t="str">
        <f t="shared" si="1"/>
        <v>suchitpatil2612@gmail.com919664013366</v>
      </c>
      <c r="D4289" s="17" t="s">
        <v>11719</v>
      </c>
      <c r="E4289" s="18" t="s">
        <v>68</v>
      </c>
    </row>
    <row r="4290">
      <c r="A4290" s="1" t="s">
        <v>5640</v>
      </c>
      <c r="B4290" s="1">
        <v>9.1996707667E11</v>
      </c>
      <c r="C4290" s="15" t="str">
        <f t="shared" si="1"/>
        <v>vruddhipanchal1481@gmail.com919967076670</v>
      </c>
      <c r="D4290" s="17" t="s">
        <v>11720</v>
      </c>
      <c r="E4290" s="18" t="s">
        <v>68</v>
      </c>
    </row>
    <row r="4291">
      <c r="A4291" s="1" t="s">
        <v>3856</v>
      </c>
      <c r="B4291" s="1">
        <v>9.19968938999E11</v>
      </c>
      <c r="C4291" s="15" t="str">
        <f t="shared" si="1"/>
        <v>bharat.oberoi.9@gmail.com919968938999</v>
      </c>
      <c r="D4291" s="17" t="s">
        <v>11721</v>
      </c>
      <c r="E4291" s="18" t="s">
        <v>74</v>
      </c>
    </row>
    <row r="4292">
      <c r="A4292" s="1" t="s">
        <v>3856</v>
      </c>
      <c r="B4292" s="1">
        <v>9.19968938999E11</v>
      </c>
      <c r="C4292" s="15" t="str">
        <f t="shared" si="1"/>
        <v>bharat.oberoi.9@gmail.com919968938999</v>
      </c>
      <c r="D4292" s="17" t="s">
        <v>11722</v>
      </c>
      <c r="E4292" s="18" t="s">
        <v>151</v>
      </c>
    </row>
    <row r="4293">
      <c r="A4293" s="1" t="s">
        <v>3856</v>
      </c>
      <c r="B4293" s="1">
        <v>9.19968938999E11</v>
      </c>
      <c r="C4293" s="15" t="str">
        <f t="shared" si="1"/>
        <v>bharat.oberoi.9@gmail.com919968938999</v>
      </c>
      <c r="D4293" s="17" t="s">
        <v>11723</v>
      </c>
      <c r="E4293" s="18" t="s">
        <v>74</v>
      </c>
    </row>
    <row r="4294">
      <c r="A4294" s="1" t="s">
        <v>3170</v>
      </c>
      <c r="B4294" s="1">
        <v>9.18709040667E11</v>
      </c>
      <c r="C4294" s="15" t="str">
        <f t="shared" si="1"/>
        <v>shreyansh40590@gmail.com918709040667</v>
      </c>
      <c r="D4294" s="17" t="s">
        <v>11724</v>
      </c>
      <c r="E4294" s="18" t="s">
        <v>68</v>
      </c>
    </row>
    <row r="4295">
      <c r="A4295" s="1" t="s">
        <v>3856</v>
      </c>
      <c r="B4295" s="1">
        <v>9.19968938999E11</v>
      </c>
      <c r="C4295" s="15" t="str">
        <f t="shared" si="1"/>
        <v>bharat.oberoi.9@gmail.com919968938999</v>
      </c>
      <c r="D4295" s="17" t="s">
        <v>11725</v>
      </c>
      <c r="E4295" s="18" t="s">
        <v>74</v>
      </c>
    </row>
    <row r="4296">
      <c r="A4296" s="1" t="s">
        <v>3284</v>
      </c>
      <c r="B4296" s="1">
        <v>9.19594593197E11</v>
      </c>
      <c r="C4296" s="15" t="str">
        <f t="shared" si="1"/>
        <v>chiragmore7@gmail.com919594593197</v>
      </c>
      <c r="D4296" s="17" t="s">
        <v>11726</v>
      </c>
      <c r="E4296" s="18" t="s">
        <v>68</v>
      </c>
    </row>
    <row r="4297">
      <c r="A4297" s="1" t="s">
        <v>3856</v>
      </c>
      <c r="B4297" s="1">
        <v>9.19968938999E11</v>
      </c>
      <c r="C4297" s="15" t="str">
        <f t="shared" si="1"/>
        <v>bharat.oberoi.9@gmail.com919968938999</v>
      </c>
      <c r="D4297" s="17" t="s">
        <v>11727</v>
      </c>
      <c r="E4297" s="18" t="s">
        <v>74</v>
      </c>
    </row>
    <row r="4298">
      <c r="A4298" s="1" t="s">
        <v>11471</v>
      </c>
      <c r="B4298" s="1">
        <v>9.19408920166E11</v>
      </c>
      <c r="C4298" s="15" t="str">
        <f t="shared" si="1"/>
        <v>shahsweni@ymail.com919408920166</v>
      </c>
      <c r="D4298" s="17" t="s">
        <v>11728</v>
      </c>
      <c r="E4298" s="18" t="s">
        <v>74</v>
      </c>
    </row>
    <row r="4299">
      <c r="A4299" s="1" t="s">
        <v>4765</v>
      </c>
      <c r="B4299" s="1">
        <v>9.1916079483E11</v>
      </c>
      <c r="C4299" s="15" t="str">
        <f t="shared" si="1"/>
        <v>madhu.hifi7@gmail.com919160794830</v>
      </c>
      <c r="D4299" s="17" t="s">
        <v>11729</v>
      </c>
      <c r="E4299" s="18" t="s">
        <v>74</v>
      </c>
    </row>
    <row r="4300">
      <c r="A4300" s="1" t="s">
        <v>6361</v>
      </c>
      <c r="B4300" s="1">
        <v>9.19550195891E11</v>
      </c>
      <c r="C4300" s="15" t="str">
        <f t="shared" si="1"/>
        <v>ashokrn999@gmail.com919550195891</v>
      </c>
      <c r="D4300" s="17" t="s">
        <v>11730</v>
      </c>
      <c r="E4300" s="18" t="s">
        <v>68</v>
      </c>
    </row>
    <row r="4301">
      <c r="A4301" s="1" t="s">
        <v>11731</v>
      </c>
      <c r="B4301" s="1">
        <v>9.19888800009E11</v>
      </c>
      <c r="C4301" s="15" t="str">
        <f t="shared" si="1"/>
        <v>shiv_00009@yahoo.com919888800009</v>
      </c>
      <c r="D4301" s="17" t="s">
        <v>11732</v>
      </c>
      <c r="E4301" s="18" t="s">
        <v>151</v>
      </c>
    </row>
    <row r="4302">
      <c r="A4302" s="1" t="s">
        <v>1525</v>
      </c>
      <c r="B4302" s="1">
        <v>9.19815577304E11</v>
      </c>
      <c r="C4302" s="15" t="str">
        <f t="shared" si="1"/>
        <v>princekamboj@gmail.com919815577304</v>
      </c>
      <c r="D4302" s="17" t="s">
        <v>11733</v>
      </c>
      <c r="E4302" s="18" t="s">
        <v>74</v>
      </c>
    </row>
    <row r="4303">
      <c r="A4303" s="1" t="s">
        <v>11734</v>
      </c>
      <c r="B4303" s="1">
        <v>9.17479774088E11</v>
      </c>
      <c r="C4303" s="15" t="str">
        <f t="shared" si="1"/>
        <v>ritikk2315@gmail.com917479774088</v>
      </c>
      <c r="D4303" s="17" t="s">
        <v>11735</v>
      </c>
      <c r="E4303" s="18" t="s">
        <v>151</v>
      </c>
    </row>
    <row r="4304">
      <c r="A4304" s="1" t="s">
        <v>2568</v>
      </c>
      <c r="B4304" s="1">
        <v>9.186050703E11</v>
      </c>
      <c r="C4304" s="15" t="str">
        <f t="shared" si="1"/>
        <v>mukund@paarthholidays.com918605070300</v>
      </c>
      <c r="D4304" s="17" t="s">
        <v>11736</v>
      </c>
      <c r="E4304" s="18" t="s">
        <v>68</v>
      </c>
    </row>
    <row r="4305">
      <c r="A4305" s="1" t="s">
        <v>11737</v>
      </c>
      <c r="B4305" s="1">
        <v>9.1630972594E11</v>
      </c>
      <c r="C4305" s="15" t="str">
        <f t="shared" si="1"/>
        <v>kv60877@gmail.com916309725940</v>
      </c>
      <c r="D4305" s="17" t="s">
        <v>11738</v>
      </c>
      <c r="E4305" s="18" t="s">
        <v>151</v>
      </c>
    </row>
    <row r="4306">
      <c r="A4306" s="1" t="s">
        <v>2570</v>
      </c>
      <c r="B4306" s="1">
        <v>9.19420228386E11</v>
      </c>
      <c r="C4306" s="15" t="str">
        <f t="shared" si="1"/>
        <v>sujit.jena2000@gmail.com919420228386</v>
      </c>
      <c r="D4306" s="17" t="s">
        <v>11739</v>
      </c>
      <c r="E4306" s="18" t="s">
        <v>68</v>
      </c>
    </row>
    <row r="4307">
      <c r="A4307" s="1" t="s">
        <v>5641</v>
      </c>
      <c r="B4307" s="1">
        <v>9.18800535571E11</v>
      </c>
      <c r="C4307" s="15" t="str">
        <f t="shared" si="1"/>
        <v>amitrajput763@gmail.com918800535571</v>
      </c>
      <c r="D4307" s="17" t="s">
        <v>11740</v>
      </c>
      <c r="E4307" s="18" t="s">
        <v>74</v>
      </c>
    </row>
    <row r="4308">
      <c r="A4308" s="1" t="s">
        <v>11741</v>
      </c>
      <c r="B4308" s="1">
        <v>9.17827325568E11</v>
      </c>
      <c r="C4308" s="15" t="str">
        <f t="shared" si="1"/>
        <v>vishalrajavishalraja91365@gmail.com917827325568</v>
      </c>
      <c r="D4308" s="17" t="s">
        <v>11742</v>
      </c>
      <c r="E4308" s="18" t="s">
        <v>151</v>
      </c>
    </row>
    <row r="4309">
      <c r="A4309" s="1" t="s">
        <v>11743</v>
      </c>
      <c r="B4309" s="1">
        <v>9.19781951822E11</v>
      </c>
      <c r="C4309" s="15" t="str">
        <f t="shared" si="1"/>
        <v>harpreetdhillon1987@yahoo.in919781951822</v>
      </c>
      <c r="D4309" s="17" t="s">
        <v>11744</v>
      </c>
      <c r="E4309" s="18" t="s">
        <v>74</v>
      </c>
    </row>
    <row r="4310">
      <c r="A4310" s="1" t="s">
        <v>2445</v>
      </c>
      <c r="B4310" s="1">
        <v>9.19808881888E11</v>
      </c>
      <c r="C4310" s="15" t="str">
        <f t="shared" si="1"/>
        <v>pakhi.garg95@gmail.com919808881888</v>
      </c>
      <c r="D4310" s="17" t="s">
        <v>11745</v>
      </c>
      <c r="E4310" s="18" t="s">
        <v>68</v>
      </c>
    </row>
    <row r="4311">
      <c r="A4311" s="1" t="s">
        <v>5641</v>
      </c>
      <c r="B4311" s="1">
        <v>9.18800535571E11</v>
      </c>
      <c r="C4311" s="15" t="str">
        <f t="shared" si="1"/>
        <v>amitrajput763@gmail.com918800535571</v>
      </c>
      <c r="D4311" s="17" t="s">
        <v>11746</v>
      </c>
      <c r="E4311" s="18" t="s">
        <v>74</v>
      </c>
    </row>
    <row r="4312">
      <c r="A4312" s="1" t="s">
        <v>11747</v>
      </c>
      <c r="B4312" s="1">
        <v>9.17011702711E11</v>
      </c>
      <c r="C4312" s="15" t="str">
        <f t="shared" si="1"/>
        <v>amanmishra701170@gmail.com917011702711</v>
      </c>
      <c r="D4312" s="17" t="s">
        <v>11748</v>
      </c>
      <c r="E4312" s="18" t="s">
        <v>68</v>
      </c>
    </row>
    <row r="4313">
      <c r="A4313" s="1" t="s">
        <v>2353</v>
      </c>
      <c r="B4313" s="1">
        <v>9.19476056203E11</v>
      </c>
      <c r="C4313" s="15" t="str">
        <f t="shared" si="1"/>
        <v>tanujahalder3595@gmail.com919476056203</v>
      </c>
      <c r="D4313" s="17" t="s">
        <v>11749</v>
      </c>
      <c r="E4313" s="18" t="s">
        <v>68</v>
      </c>
    </row>
    <row r="4314">
      <c r="A4314" s="1" t="s">
        <v>2894</v>
      </c>
      <c r="B4314" s="1">
        <v>9.19823384186E11</v>
      </c>
      <c r="C4314" s="15" t="str">
        <f t="shared" si="1"/>
        <v>elizakdutta@gmail.com919823384186</v>
      </c>
      <c r="D4314" s="17" t="s">
        <v>11750</v>
      </c>
      <c r="E4314" s="18" t="s">
        <v>68</v>
      </c>
    </row>
    <row r="4315">
      <c r="A4315" s="1" t="s">
        <v>6502</v>
      </c>
      <c r="B4315" s="1">
        <v>9.17042110059E11</v>
      </c>
      <c r="C4315" s="15" t="str">
        <f t="shared" si="1"/>
        <v>nidhisharma1921@gmail.com917042110059</v>
      </c>
      <c r="D4315" s="17" t="s">
        <v>11751</v>
      </c>
      <c r="E4315" s="18" t="s">
        <v>74</v>
      </c>
    </row>
    <row r="4316">
      <c r="A4316" s="1" t="s">
        <v>4867</v>
      </c>
      <c r="B4316" s="1">
        <v>9.18444944563E11</v>
      </c>
      <c r="C4316" s="15" t="str">
        <f t="shared" si="1"/>
        <v>sangitasingh087@gmail.com918444944563</v>
      </c>
      <c r="D4316" s="17" t="s">
        <v>11752</v>
      </c>
      <c r="E4316" s="18" t="s">
        <v>68</v>
      </c>
    </row>
    <row r="4317">
      <c r="A4317" s="1" t="s">
        <v>5643</v>
      </c>
      <c r="B4317" s="1">
        <v>9.18603922312E11</v>
      </c>
      <c r="C4317" s="15" t="str">
        <f t="shared" si="1"/>
        <v>priyanshupriyadarship@gmail.com918603922312</v>
      </c>
      <c r="D4317" s="17" t="s">
        <v>11753</v>
      </c>
      <c r="E4317" s="18" t="s">
        <v>74</v>
      </c>
    </row>
    <row r="4318">
      <c r="A4318" s="1" t="s">
        <v>5303</v>
      </c>
      <c r="B4318" s="1">
        <v>9.19966271433E11</v>
      </c>
      <c r="C4318" s="15" t="str">
        <f t="shared" si="1"/>
        <v>cmharikrishna89@gmail.com919966271433</v>
      </c>
      <c r="D4318" s="17" t="s">
        <v>11754</v>
      </c>
      <c r="E4318" s="18" t="s">
        <v>68</v>
      </c>
    </row>
    <row r="4319">
      <c r="A4319" s="1" t="s">
        <v>5066</v>
      </c>
      <c r="B4319" s="1">
        <v>9.17559140719E11</v>
      </c>
      <c r="C4319" s="15" t="str">
        <f t="shared" si="1"/>
        <v>ishantpatel172@gmail.com917559140719</v>
      </c>
      <c r="D4319" s="17" t="s">
        <v>11755</v>
      </c>
      <c r="E4319" s="18" t="s">
        <v>74</v>
      </c>
    </row>
    <row r="4320">
      <c r="A4320" s="1" t="s">
        <v>3741</v>
      </c>
      <c r="B4320" s="1">
        <v>9.19810733434E11</v>
      </c>
      <c r="C4320" s="15" t="str">
        <f t="shared" si="1"/>
        <v>akannksha.rawat@gmail.com919810733434</v>
      </c>
      <c r="D4320" s="17" t="s">
        <v>11756</v>
      </c>
      <c r="E4320" s="18" t="s">
        <v>74</v>
      </c>
    </row>
    <row r="4321">
      <c r="A4321" s="1" t="s">
        <v>5643</v>
      </c>
      <c r="B4321" s="1">
        <v>9.18603922312E11</v>
      </c>
      <c r="C4321" s="15" t="str">
        <f t="shared" si="1"/>
        <v>priyanshupriyadarship@gmail.com918603922312</v>
      </c>
      <c r="D4321" s="17" t="s">
        <v>11757</v>
      </c>
      <c r="E4321" s="18" t="s">
        <v>151</v>
      </c>
    </row>
    <row r="4322">
      <c r="A4322" s="1" t="s">
        <v>11758</v>
      </c>
      <c r="B4322" s="1">
        <v>9.17065647777E11</v>
      </c>
      <c r="C4322" s="15" t="str">
        <f t="shared" si="1"/>
        <v>manish167911@gmail.com917065647777</v>
      </c>
      <c r="D4322" s="17" t="s">
        <v>11759</v>
      </c>
      <c r="E4322" s="18" t="s">
        <v>74</v>
      </c>
    </row>
    <row r="4323">
      <c r="A4323" s="1" t="s">
        <v>11758</v>
      </c>
      <c r="B4323" s="1">
        <v>9.17065647777E11</v>
      </c>
      <c r="C4323" s="15" t="str">
        <f t="shared" si="1"/>
        <v>manish167911@gmail.com917065647777</v>
      </c>
      <c r="D4323" s="17" t="s">
        <v>11760</v>
      </c>
      <c r="E4323" s="18" t="s">
        <v>68</v>
      </c>
    </row>
    <row r="4324">
      <c r="A4324" s="1" t="s">
        <v>11761</v>
      </c>
      <c r="B4324" s="1">
        <v>9.18791515207E11</v>
      </c>
      <c r="C4324" s="15" t="str">
        <f t="shared" si="1"/>
        <v>mamtaoriflame2020@gmail.com918791515207</v>
      </c>
      <c r="D4324" s="17" t="s">
        <v>11762</v>
      </c>
      <c r="E4324" s="18" t="s">
        <v>97</v>
      </c>
    </row>
    <row r="4325">
      <c r="A4325" s="1" t="s">
        <v>3622</v>
      </c>
      <c r="B4325" s="1">
        <v>9.19885769857E11</v>
      </c>
      <c r="C4325" s="15" t="str">
        <f t="shared" si="1"/>
        <v>hafiz06@gmail.com919885769857</v>
      </c>
      <c r="D4325" s="17" t="s">
        <v>11763</v>
      </c>
      <c r="E4325" s="18" t="s">
        <v>68</v>
      </c>
    </row>
    <row r="4326">
      <c r="A4326" s="1" t="s">
        <v>4239</v>
      </c>
      <c r="B4326" s="1">
        <v>9.16305799219E11</v>
      </c>
      <c r="C4326" s="15" t="str">
        <f t="shared" si="1"/>
        <v>fizamanu1234@gmail.com916305799219</v>
      </c>
      <c r="D4326" s="17" t="s">
        <v>11764</v>
      </c>
      <c r="E4326" s="18" t="s">
        <v>151</v>
      </c>
    </row>
    <row r="4327">
      <c r="A4327" s="1" t="s">
        <v>5068</v>
      </c>
      <c r="B4327" s="1">
        <v>9.18091028119E11</v>
      </c>
      <c r="C4327" s="15" t="str">
        <f t="shared" si="1"/>
        <v>deepalivermasml@gmail.com918091028119</v>
      </c>
      <c r="D4327" s="17" t="s">
        <v>11765</v>
      </c>
      <c r="E4327" s="18" t="s">
        <v>68</v>
      </c>
    </row>
    <row r="4328">
      <c r="A4328" s="1" t="s">
        <v>3625</v>
      </c>
      <c r="B4328" s="1">
        <v>9.19930432551E11</v>
      </c>
      <c r="C4328" s="15" t="str">
        <f t="shared" si="1"/>
        <v>salilt.001@gmail.com919930432551</v>
      </c>
      <c r="D4328" s="17" t="s">
        <v>11766</v>
      </c>
      <c r="E4328" s="18" t="s">
        <v>68</v>
      </c>
    </row>
    <row r="4329">
      <c r="A4329" s="1" t="s">
        <v>3627</v>
      </c>
      <c r="B4329" s="1">
        <v>9.19538153644E11</v>
      </c>
      <c r="C4329" s="15" t="str">
        <f t="shared" si="1"/>
        <v>mehranmajeed06@gmail.com919538153644</v>
      </c>
      <c r="D4329" s="17" t="s">
        <v>11767</v>
      </c>
      <c r="E4329" s="18" t="s">
        <v>68</v>
      </c>
    </row>
    <row r="4330">
      <c r="A4330" s="1" t="s">
        <v>3313</v>
      </c>
      <c r="B4330" s="1">
        <v>9.19888470272E11</v>
      </c>
      <c r="C4330" s="15" t="str">
        <f t="shared" si="1"/>
        <v>himanshusaleria@gmail.com919888470272</v>
      </c>
      <c r="D4330" s="17" t="s">
        <v>11768</v>
      </c>
      <c r="E4330" s="18" t="s">
        <v>68</v>
      </c>
    </row>
    <row r="4331">
      <c r="A4331" s="1" t="s">
        <v>11769</v>
      </c>
      <c r="B4331" s="1">
        <v>9.17290994787E11</v>
      </c>
      <c r="C4331" s="15" t="str">
        <f t="shared" si="1"/>
        <v>amarsinghadhikari1@gmail.com917290994787</v>
      </c>
      <c r="D4331" s="17" t="s">
        <v>11770</v>
      </c>
      <c r="E4331" s="18" t="s">
        <v>74</v>
      </c>
    </row>
    <row r="4332">
      <c r="A4332" s="1" t="s">
        <v>11769</v>
      </c>
      <c r="B4332" s="1">
        <v>9.17290994787E11</v>
      </c>
      <c r="C4332" s="15" t="str">
        <f t="shared" si="1"/>
        <v>amarsinghadhikari1@gmail.com917290994787</v>
      </c>
      <c r="D4332" s="17" t="s">
        <v>11771</v>
      </c>
      <c r="E4332" s="18" t="s">
        <v>74</v>
      </c>
    </row>
    <row r="4333">
      <c r="A4333" s="1" t="s">
        <v>3541</v>
      </c>
      <c r="B4333" s="1">
        <v>9.19503201603E11</v>
      </c>
      <c r="C4333" s="15" t="str">
        <f t="shared" si="1"/>
        <v>sarahmcwann@gmail.com919503201603</v>
      </c>
      <c r="D4333" s="17" t="s">
        <v>11772</v>
      </c>
      <c r="E4333" s="18" t="s">
        <v>68</v>
      </c>
    </row>
    <row r="4334">
      <c r="A4334" s="1" t="s">
        <v>3629</v>
      </c>
      <c r="B4334" s="1">
        <v>9.18210336536E11</v>
      </c>
      <c r="C4334" s="15" t="str">
        <f t="shared" si="1"/>
        <v>rksarpit@gmail.com918210336536</v>
      </c>
      <c r="D4334" s="17" t="s">
        <v>11773</v>
      </c>
      <c r="E4334" s="18" t="s">
        <v>68</v>
      </c>
    </row>
    <row r="4335">
      <c r="A4335" s="1" t="s">
        <v>3003</v>
      </c>
      <c r="B4335" s="1">
        <v>9.19371636971E11</v>
      </c>
      <c r="C4335" s="15" t="str">
        <f t="shared" si="1"/>
        <v>sofee9@gmail.com919371636971</v>
      </c>
      <c r="D4335" s="17" t="s">
        <v>11774</v>
      </c>
      <c r="E4335" s="18" t="s">
        <v>68</v>
      </c>
    </row>
    <row r="4336">
      <c r="A4336" s="1" t="s">
        <v>3172</v>
      </c>
      <c r="B4336" s="1">
        <v>9.19654036425E11</v>
      </c>
      <c r="C4336" s="15" t="str">
        <f t="shared" si="1"/>
        <v>harish.ag10@gmail.com919654036425</v>
      </c>
      <c r="D4336" s="17" t="s">
        <v>11775</v>
      </c>
      <c r="E4336" s="18" t="s">
        <v>151</v>
      </c>
    </row>
    <row r="4337">
      <c r="A4337" s="1" t="s">
        <v>5070</v>
      </c>
      <c r="B4337" s="1">
        <v>9.71561063735E11</v>
      </c>
      <c r="C4337" s="15" t="str">
        <f t="shared" si="1"/>
        <v>abhay2680@gmail.com971561063735</v>
      </c>
      <c r="D4337" s="17" t="s">
        <v>11776</v>
      </c>
      <c r="E4337" s="18" t="s">
        <v>74</v>
      </c>
    </row>
    <row r="4338">
      <c r="A4338" s="1" t="s">
        <v>3631</v>
      </c>
      <c r="B4338" s="1">
        <v>9.19694278272E11</v>
      </c>
      <c r="C4338" s="15" t="str">
        <f t="shared" si="1"/>
        <v>tusharagrawal147@gmail.com919694278272</v>
      </c>
      <c r="D4338" s="17" t="s">
        <v>11777</v>
      </c>
      <c r="E4338" s="18" t="s">
        <v>68</v>
      </c>
    </row>
    <row r="4339">
      <c r="A4339" s="1" t="s">
        <v>11778</v>
      </c>
      <c r="B4339" s="1">
        <v>9.19893137162E11</v>
      </c>
      <c r="C4339" s="15" t="str">
        <f t="shared" si="1"/>
        <v>rachanasahu.live@gmail.com919893137162</v>
      </c>
      <c r="D4339" s="17" t="s">
        <v>11779</v>
      </c>
      <c r="E4339" s="18" t="s">
        <v>74</v>
      </c>
    </row>
    <row r="4340">
      <c r="A4340" s="1" t="s">
        <v>11780</v>
      </c>
      <c r="B4340" s="1">
        <v>9.17738176805E11</v>
      </c>
      <c r="C4340" s="15" t="str">
        <f t="shared" si="1"/>
        <v>anu2987@gmail.com917738176805</v>
      </c>
      <c r="D4340" s="17" t="s">
        <v>11781</v>
      </c>
      <c r="E4340" s="18" t="s">
        <v>74</v>
      </c>
    </row>
    <row r="4341">
      <c r="A4341" s="1" t="s">
        <v>11782</v>
      </c>
      <c r="B4341" s="1">
        <v>9.19972323847E11</v>
      </c>
      <c r="C4341" s="15" t="str">
        <f t="shared" si="1"/>
        <v>jasonmanakumar@gmail.com919972323847</v>
      </c>
      <c r="D4341" s="17" t="s">
        <v>11783</v>
      </c>
      <c r="E4341" s="18" t="s">
        <v>97</v>
      </c>
    </row>
    <row r="4342">
      <c r="A4342" s="1" t="s">
        <v>4524</v>
      </c>
      <c r="B4342" s="1">
        <v>9.19010567759E11</v>
      </c>
      <c r="C4342" s="15" t="str">
        <f t="shared" si="1"/>
        <v>kalpanareddy27594@gmail.com919010567759</v>
      </c>
      <c r="D4342" s="17" t="s">
        <v>11784</v>
      </c>
      <c r="E4342" s="18" t="s">
        <v>68</v>
      </c>
    </row>
    <row r="4343">
      <c r="A4343" s="1" t="s">
        <v>11785</v>
      </c>
      <c r="B4343" s="1">
        <v>9.19810733329E11</v>
      </c>
      <c r="C4343" s="15" t="str">
        <f t="shared" si="1"/>
        <v>abhinegi@yahoo.com919810733329</v>
      </c>
      <c r="D4343" s="17" t="s">
        <v>11786</v>
      </c>
      <c r="E4343" s="18" t="s">
        <v>74</v>
      </c>
    </row>
    <row r="4344">
      <c r="A4344" s="1" t="s">
        <v>3543</v>
      </c>
      <c r="B4344" s="1">
        <v>9.18806757528E11</v>
      </c>
      <c r="C4344" s="15" t="str">
        <f t="shared" si="1"/>
        <v>i.nnooori@gmail.com918806757528</v>
      </c>
      <c r="D4344" s="17" t="s">
        <v>11787</v>
      </c>
      <c r="E4344" s="18" t="s">
        <v>74</v>
      </c>
    </row>
    <row r="4345">
      <c r="A4345" s="1" t="s">
        <v>11788</v>
      </c>
      <c r="B4345" s="1">
        <v>9.19539402969E11</v>
      </c>
      <c r="C4345" s="15" t="str">
        <f t="shared" si="1"/>
        <v>ajithgnair220@gmail.com919539402969</v>
      </c>
      <c r="D4345" s="17" t="s">
        <v>11789</v>
      </c>
      <c r="E4345" s="18" t="s">
        <v>74</v>
      </c>
    </row>
    <row r="4346">
      <c r="A4346" s="1" t="s">
        <v>5075</v>
      </c>
      <c r="B4346" s="1">
        <v>9.19566813389E11</v>
      </c>
      <c r="C4346" s="15" t="str">
        <f t="shared" si="1"/>
        <v>harists99@gmail.com919566813389</v>
      </c>
      <c r="D4346" s="17" t="s">
        <v>11790</v>
      </c>
      <c r="E4346" s="18" t="s">
        <v>74</v>
      </c>
    </row>
    <row r="4347">
      <c r="A4347" s="1" t="s">
        <v>11791</v>
      </c>
      <c r="B4347" s="1">
        <v>9.19833731093E11</v>
      </c>
      <c r="C4347" s="15" t="str">
        <f t="shared" si="1"/>
        <v>janavijangle17@gmail.com919833731093</v>
      </c>
      <c r="D4347" s="17" t="s">
        <v>11792</v>
      </c>
      <c r="E4347" s="18" t="s">
        <v>68</v>
      </c>
    </row>
    <row r="4348">
      <c r="A4348" s="1" t="s">
        <v>5645</v>
      </c>
      <c r="B4348" s="1">
        <v>9.19772815983E11</v>
      </c>
      <c r="C4348" s="15" t="str">
        <f t="shared" si="1"/>
        <v>manishiit900@gmail.com919772815983</v>
      </c>
      <c r="D4348" s="17" t="s">
        <v>11793</v>
      </c>
      <c r="E4348" s="18" t="s">
        <v>68</v>
      </c>
    </row>
    <row r="4349">
      <c r="A4349" s="1" t="s">
        <v>3743</v>
      </c>
      <c r="B4349" s="1">
        <v>9.1917639052E11</v>
      </c>
      <c r="C4349" s="15" t="str">
        <f t="shared" si="1"/>
        <v>rrishwanth78@gmail.com919176390520</v>
      </c>
      <c r="D4349" s="17" t="s">
        <v>11794</v>
      </c>
      <c r="E4349" s="18" t="s">
        <v>97</v>
      </c>
    </row>
    <row r="4350">
      <c r="A4350" s="1" t="s">
        <v>2572</v>
      </c>
      <c r="B4350" s="1">
        <v>9.19749331382E11</v>
      </c>
      <c r="C4350" s="15" t="str">
        <f t="shared" si="1"/>
        <v>saumikmanc@gmail.com919749331382</v>
      </c>
      <c r="D4350" s="17" t="s">
        <v>11795</v>
      </c>
      <c r="E4350" s="18" t="s">
        <v>68</v>
      </c>
    </row>
    <row r="4351">
      <c r="A4351" s="1" t="s">
        <v>5647</v>
      </c>
      <c r="B4351" s="1">
        <v>9.19484014005E11</v>
      </c>
      <c r="C4351" s="15" t="str">
        <f t="shared" si="1"/>
        <v>parmeetkour9858@gmail.com919484014005</v>
      </c>
      <c r="D4351" s="17" t="s">
        <v>11796</v>
      </c>
      <c r="E4351" s="18" t="s">
        <v>68</v>
      </c>
    </row>
    <row r="4352">
      <c r="A4352" s="1" t="s">
        <v>3634</v>
      </c>
      <c r="B4352" s="1">
        <v>9.19003063063E11</v>
      </c>
      <c r="C4352" s="15" t="str">
        <f t="shared" si="1"/>
        <v>gowrishkar@gmail.com919003063063</v>
      </c>
      <c r="D4352" s="17" t="s">
        <v>11797</v>
      </c>
      <c r="E4352" s="18" t="s">
        <v>68</v>
      </c>
    </row>
    <row r="4353">
      <c r="A4353" s="1" t="s">
        <v>3858</v>
      </c>
      <c r="B4353" s="1">
        <v>9.17338932963E11</v>
      </c>
      <c r="C4353" s="15" t="str">
        <f t="shared" si="1"/>
        <v>naveenreddy9959@gmail.com917338932963</v>
      </c>
      <c r="D4353" s="17" t="s">
        <v>11798</v>
      </c>
      <c r="E4353" s="18" t="s">
        <v>68</v>
      </c>
    </row>
    <row r="4354">
      <c r="A4354" s="1" t="s">
        <v>769</v>
      </c>
      <c r="B4354" s="1">
        <v>9.17083064416E11</v>
      </c>
      <c r="C4354" s="15" t="str">
        <f t="shared" si="1"/>
        <v>adityi.k@gmail.com917083064416</v>
      </c>
      <c r="D4354" s="17" t="s">
        <v>11799</v>
      </c>
      <c r="E4354" s="18" t="s">
        <v>74</v>
      </c>
    </row>
    <row r="4355">
      <c r="A4355" s="1" t="s">
        <v>11800</v>
      </c>
      <c r="B4355" s="1">
        <v>9.18482909628E11</v>
      </c>
      <c r="C4355" s="15" t="str">
        <f t="shared" si="1"/>
        <v>patilmadhuree12@gmail.com918482909628</v>
      </c>
      <c r="D4355" s="17" t="s">
        <v>11801</v>
      </c>
      <c r="E4355" s="18" t="s">
        <v>74</v>
      </c>
    </row>
    <row r="4356">
      <c r="A4356" s="1" t="s">
        <v>3636</v>
      </c>
      <c r="B4356" s="1">
        <v>9.17993141136E11</v>
      </c>
      <c r="C4356" s="15" t="str">
        <f t="shared" si="1"/>
        <v>harisud1313@gmail.com917993141136</v>
      </c>
      <c r="D4356" s="17" t="s">
        <v>11802</v>
      </c>
      <c r="E4356" s="18" t="s">
        <v>68</v>
      </c>
    </row>
    <row r="4357">
      <c r="A4357" s="1" t="s">
        <v>11800</v>
      </c>
      <c r="B4357" s="1">
        <v>9.18482909628E11</v>
      </c>
      <c r="C4357" s="15" t="str">
        <f t="shared" si="1"/>
        <v>patilmadhuree12@gmail.com918482909628</v>
      </c>
      <c r="D4357" s="17" t="s">
        <v>11803</v>
      </c>
      <c r="E4357" s="18" t="s">
        <v>74</v>
      </c>
    </row>
    <row r="4358">
      <c r="A4358" s="1" t="s">
        <v>5952</v>
      </c>
      <c r="B4358" s="1">
        <v>9.18218695021E11</v>
      </c>
      <c r="C4358" s="15" t="str">
        <f t="shared" si="1"/>
        <v>arnabdebroy48@gmail.com918218695021</v>
      </c>
      <c r="D4358" s="17" t="s">
        <v>11804</v>
      </c>
      <c r="E4358" s="18" t="s">
        <v>68</v>
      </c>
    </row>
    <row r="4359">
      <c r="A4359" s="1" t="s">
        <v>11805</v>
      </c>
      <c r="B4359" s="1">
        <v>9.19477252304E11</v>
      </c>
      <c r="C4359" s="15" t="str">
        <f t="shared" si="1"/>
        <v>sarkergourav@gmail.com919477252304</v>
      </c>
      <c r="D4359" s="17" t="s">
        <v>11806</v>
      </c>
      <c r="E4359" s="18" t="s">
        <v>68</v>
      </c>
    </row>
    <row r="4360">
      <c r="A4360" s="1" t="s">
        <v>3953</v>
      </c>
      <c r="B4360" s="1">
        <v>9.18879360028E11</v>
      </c>
      <c r="C4360" s="15" t="str">
        <f t="shared" si="1"/>
        <v>swapnil.khotkar@gmail.com918879360028</v>
      </c>
      <c r="D4360" s="17" t="s">
        <v>11807</v>
      </c>
      <c r="E4360" s="18" t="s">
        <v>68</v>
      </c>
    </row>
    <row r="4361">
      <c r="A4361" s="1" t="s">
        <v>3860</v>
      </c>
      <c r="B4361" s="1">
        <v>9.17020638803E11</v>
      </c>
      <c r="C4361" s="15" t="str">
        <f t="shared" si="1"/>
        <v>ashaymgirgaonkar@gmail.com917020638803</v>
      </c>
      <c r="D4361" s="17" t="s">
        <v>11808</v>
      </c>
      <c r="E4361" s="18" t="s">
        <v>68</v>
      </c>
    </row>
    <row r="4362">
      <c r="A4362" s="1" t="s">
        <v>3860</v>
      </c>
      <c r="B4362" s="1">
        <v>9.17050638803E11</v>
      </c>
      <c r="C4362" s="15" t="str">
        <f t="shared" si="1"/>
        <v>ashaymgirgaonkar@gmail.com917050638803</v>
      </c>
      <c r="D4362" s="17" t="s">
        <v>11809</v>
      </c>
      <c r="E4362" s="18" t="s">
        <v>68</v>
      </c>
    </row>
    <row r="4363">
      <c r="A4363" s="1" t="s">
        <v>11810</v>
      </c>
      <c r="B4363" s="1">
        <v>9.19740718781E11</v>
      </c>
      <c r="C4363" s="15" t="str">
        <f t="shared" si="1"/>
        <v>sahithivenki@gmail.com919740718781</v>
      </c>
      <c r="D4363" s="17" t="s">
        <v>11811</v>
      </c>
      <c r="E4363" s="18" t="s">
        <v>68</v>
      </c>
    </row>
    <row r="4364">
      <c r="A4364" s="1" t="s">
        <v>11810</v>
      </c>
      <c r="B4364" s="1">
        <v>9.19740718781E11</v>
      </c>
      <c r="C4364" s="15" t="str">
        <f t="shared" si="1"/>
        <v>sahithivenki@gmail.com919740718781</v>
      </c>
      <c r="D4364" s="17" t="s">
        <v>11812</v>
      </c>
      <c r="E4364" s="18" t="s">
        <v>68</v>
      </c>
    </row>
    <row r="4365">
      <c r="A4365" s="1" t="s">
        <v>11813</v>
      </c>
      <c r="B4365" s="1">
        <v>9.17988600014E11</v>
      </c>
      <c r="C4365" s="15" t="str">
        <f t="shared" si="1"/>
        <v>pardeep.kumar138@gmail.com917988600014</v>
      </c>
      <c r="D4365" s="17" t="s">
        <v>11814</v>
      </c>
      <c r="E4365" s="18" t="s">
        <v>151</v>
      </c>
    </row>
    <row r="4366">
      <c r="A4366" s="1" t="s">
        <v>11815</v>
      </c>
      <c r="B4366" s="1">
        <v>9.19821034586E11</v>
      </c>
      <c r="C4366" s="15" t="str">
        <f t="shared" si="1"/>
        <v>sneharanalivefree5464@gmail.com919821034586</v>
      </c>
      <c r="D4366" s="17" t="s">
        <v>11816</v>
      </c>
      <c r="E4366" s="18" t="s">
        <v>74</v>
      </c>
    </row>
    <row r="4367">
      <c r="A4367" s="1" t="s">
        <v>3638</v>
      </c>
      <c r="B4367" s="1">
        <v>9.18954084727E11</v>
      </c>
      <c r="C4367" s="15" t="str">
        <f t="shared" si="1"/>
        <v>4727abhi@gmail.com918954084727</v>
      </c>
      <c r="D4367" s="17" t="s">
        <v>11817</v>
      </c>
      <c r="E4367" s="18" t="s">
        <v>68</v>
      </c>
    </row>
    <row r="4368">
      <c r="A4368" s="1" t="s">
        <v>3174</v>
      </c>
      <c r="B4368" s="1">
        <v>9.19370377299E11</v>
      </c>
      <c r="C4368" s="15" t="str">
        <f t="shared" si="1"/>
        <v>niravmajithia10@gmail.com919370377299</v>
      </c>
      <c r="D4368" s="17" t="s">
        <v>11818</v>
      </c>
      <c r="E4368" s="18" t="s">
        <v>68</v>
      </c>
    </row>
    <row r="4369">
      <c r="A4369" s="1" t="s">
        <v>5649</v>
      </c>
      <c r="B4369" s="1">
        <v>9.18872004951E11</v>
      </c>
      <c r="C4369" s="15" t="str">
        <f t="shared" si="1"/>
        <v>joshinancy7700@gmail.com918872004951</v>
      </c>
      <c r="D4369" s="17" t="s">
        <v>11819</v>
      </c>
      <c r="E4369" s="18" t="s">
        <v>68</v>
      </c>
    </row>
    <row r="4370">
      <c r="A4370" s="1" t="s">
        <v>11820</v>
      </c>
      <c r="B4370" s="1">
        <v>9.1993026175E11</v>
      </c>
      <c r="C4370" s="15" t="str">
        <f t="shared" si="1"/>
        <v>sacha.lifeskills@gmail.com919930261750</v>
      </c>
      <c r="D4370" s="17" t="s">
        <v>11821</v>
      </c>
      <c r="E4370" s="18" t="s">
        <v>68</v>
      </c>
    </row>
    <row r="4371">
      <c r="A4371" s="1" t="s">
        <v>6193</v>
      </c>
      <c r="B4371" s="1">
        <v>9.1891931511E11</v>
      </c>
      <c r="C4371" s="15" t="str">
        <f t="shared" si="1"/>
        <v>shashankkodati@gmail.com918919315110</v>
      </c>
      <c r="D4371" s="17" t="s">
        <v>11822</v>
      </c>
      <c r="E4371" s="18" t="s">
        <v>151</v>
      </c>
    </row>
    <row r="4372">
      <c r="A4372" s="1" t="s">
        <v>11823</v>
      </c>
      <c r="B4372" s="1">
        <v>9.17023138695E11</v>
      </c>
      <c r="C4372" s="15" t="str">
        <f t="shared" si="1"/>
        <v>darshansirvi01@gmail.com917023138695</v>
      </c>
      <c r="D4372" s="17" t="s">
        <v>11824</v>
      </c>
      <c r="E4372" s="18" t="s">
        <v>68</v>
      </c>
    </row>
    <row r="4373">
      <c r="A4373" s="1" t="s">
        <v>5651</v>
      </c>
      <c r="B4373" s="1">
        <v>9.19110121929E11</v>
      </c>
      <c r="C4373" s="15" t="str">
        <f t="shared" si="1"/>
        <v>krsonudilli@gmail.com919110121929</v>
      </c>
      <c r="D4373" s="17" t="s">
        <v>11825</v>
      </c>
      <c r="E4373" s="18" t="s">
        <v>68</v>
      </c>
    </row>
    <row r="4374">
      <c r="A4374" s="1" t="s">
        <v>3745</v>
      </c>
      <c r="B4374" s="1">
        <v>9.17587100666E11</v>
      </c>
      <c r="C4374" s="15" t="str">
        <f t="shared" si="1"/>
        <v>shailjag256@gmail.com917587100666</v>
      </c>
      <c r="D4374" s="17" t="s">
        <v>11826</v>
      </c>
      <c r="E4374" s="18" t="s">
        <v>68</v>
      </c>
    </row>
    <row r="4375">
      <c r="A4375" s="1" t="s">
        <v>5073</v>
      </c>
      <c r="B4375" s="1">
        <v>9.19963125648E11</v>
      </c>
      <c r="C4375" s="15" t="str">
        <f t="shared" si="1"/>
        <v>damunadipalli68@gmail.com919963125648</v>
      </c>
      <c r="D4375" s="17" t="s">
        <v>11827</v>
      </c>
      <c r="E4375" s="18" t="s">
        <v>68</v>
      </c>
    </row>
    <row r="4376">
      <c r="A4376" s="1" t="s">
        <v>11828</v>
      </c>
      <c r="B4376" s="1">
        <v>1.6476156602E10</v>
      </c>
      <c r="C4376" s="15" t="str">
        <f t="shared" si="1"/>
        <v>hs0671@gmail.com16476156602</v>
      </c>
      <c r="D4376" s="17" t="s">
        <v>11829</v>
      </c>
      <c r="E4376" s="18" t="s">
        <v>151</v>
      </c>
    </row>
    <row r="4377">
      <c r="A4377" s="1" t="s">
        <v>3313</v>
      </c>
      <c r="B4377" s="1">
        <v>9.19888470272E11</v>
      </c>
      <c r="C4377" s="15" t="str">
        <f t="shared" si="1"/>
        <v>himanshusaleria@gmail.com919888470272</v>
      </c>
      <c r="D4377" s="17" t="s">
        <v>11830</v>
      </c>
      <c r="E4377" s="18" t="s">
        <v>151</v>
      </c>
    </row>
    <row r="4378">
      <c r="A4378" s="1" t="s">
        <v>3640</v>
      </c>
      <c r="B4378" s="1">
        <v>9.19790912347E11</v>
      </c>
      <c r="C4378" s="15" t="str">
        <f t="shared" si="1"/>
        <v>igvikas@gmail.com919790912347</v>
      </c>
      <c r="D4378" s="17" t="s">
        <v>11831</v>
      </c>
      <c r="E4378" s="18" t="s">
        <v>68</v>
      </c>
    </row>
    <row r="4379">
      <c r="A4379" s="1" t="s">
        <v>11832</v>
      </c>
      <c r="B4379" s="1">
        <v>9.1969266666E11</v>
      </c>
      <c r="C4379" s="15" t="str">
        <f t="shared" si="1"/>
        <v>jajatimohanty1990@gmil.com919692666660</v>
      </c>
      <c r="D4379" s="17" t="s">
        <v>11833</v>
      </c>
      <c r="E4379" s="18" t="s">
        <v>68</v>
      </c>
    </row>
    <row r="4380">
      <c r="A4380" s="1" t="s">
        <v>2719</v>
      </c>
      <c r="B4380" s="1">
        <v>9.1851004881E11</v>
      </c>
      <c r="C4380" s="15" t="str">
        <f t="shared" si="1"/>
        <v>bharatdivya.dhingra@gmail.com918510048810</v>
      </c>
      <c r="D4380" s="17" t="s">
        <v>11834</v>
      </c>
      <c r="E4380" s="18" t="s">
        <v>68</v>
      </c>
    </row>
    <row r="4381">
      <c r="A4381" s="1" t="s">
        <v>2896</v>
      </c>
      <c r="B4381" s="1">
        <v>9.18871512983E11</v>
      </c>
      <c r="C4381" s="15" t="str">
        <f t="shared" si="1"/>
        <v>asasadaf01@gmail.c918871512983</v>
      </c>
      <c r="D4381" s="17" t="s">
        <v>11835</v>
      </c>
      <c r="E4381" s="18" t="s">
        <v>68</v>
      </c>
    </row>
    <row r="4382">
      <c r="A4382" s="1" t="s">
        <v>5954</v>
      </c>
      <c r="B4382" s="1">
        <v>9.18630906324E11</v>
      </c>
      <c r="C4382" s="15" t="str">
        <f t="shared" si="1"/>
        <v>prashantmats@ymail.com918630906324</v>
      </c>
      <c r="D4382" s="17" t="s">
        <v>11836</v>
      </c>
      <c r="E4382" s="18" t="s">
        <v>68</v>
      </c>
    </row>
    <row r="4383">
      <c r="A4383" s="1" t="s">
        <v>2447</v>
      </c>
      <c r="B4383" s="1">
        <v>9.18950904883E11</v>
      </c>
      <c r="C4383" s="15" t="str">
        <f t="shared" si="1"/>
        <v>bhawna.sandeep1130@gmail.com918950904883</v>
      </c>
      <c r="D4383" s="17" t="s">
        <v>11837</v>
      </c>
      <c r="E4383" s="18" t="s">
        <v>68</v>
      </c>
    </row>
    <row r="4384">
      <c r="A4384" s="1" t="s">
        <v>3545</v>
      </c>
      <c r="B4384" s="1">
        <v>9.1810809472E11</v>
      </c>
      <c r="C4384" s="15" t="str">
        <f t="shared" si="1"/>
        <v>pagarkarapsara@gmail.com918108094720</v>
      </c>
      <c r="D4384" s="17" t="s">
        <v>11838</v>
      </c>
      <c r="E4384" s="18" t="s">
        <v>74</v>
      </c>
    </row>
    <row r="4385">
      <c r="A4385" s="1" t="s">
        <v>3545</v>
      </c>
      <c r="B4385" s="1">
        <v>9.1810809472E11</v>
      </c>
      <c r="C4385" s="15" t="str">
        <f t="shared" si="1"/>
        <v>pagarkarapsara@gmail.com918108094720</v>
      </c>
      <c r="D4385" s="17" t="s">
        <v>11839</v>
      </c>
      <c r="E4385" s="18" t="s">
        <v>74</v>
      </c>
    </row>
    <row r="4386">
      <c r="A4386" s="1" t="s">
        <v>3545</v>
      </c>
      <c r="B4386" s="1">
        <v>9.1810809472E11</v>
      </c>
      <c r="C4386" s="15" t="str">
        <f t="shared" si="1"/>
        <v>pagarkarapsara@gmail.com918108094720</v>
      </c>
      <c r="D4386" s="17" t="s">
        <v>11840</v>
      </c>
      <c r="E4386" s="18" t="s">
        <v>74</v>
      </c>
    </row>
    <row r="4387">
      <c r="A4387" s="1" t="s">
        <v>3642</v>
      </c>
      <c r="B4387" s="1">
        <v>9.19985674473E11</v>
      </c>
      <c r="C4387" s="15" t="str">
        <f t="shared" si="1"/>
        <v>saikiran3963@gmail.com919985674473</v>
      </c>
      <c r="D4387" s="17" t="s">
        <v>11841</v>
      </c>
      <c r="E4387" s="18" t="s">
        <v>68</v>
      </c>
    </row>
    <row r="4388">
      <c r="A4388" s="1" t="s">
        <v>3545</v>
      </c>
      <c r="B4388" s="1">
        <v>9.1810809472E11</v>
      </c>
      <c r="C4388" s="15" t="str">
        <f t="shared" si="1"/>
        <v>pagarkarapsara@gmail.com918108094720</v>
      </c>
      <c r="D4388" s="17" t="s">
        <v>11842</v>
      </c>
      <c r="E4388" s="18" t="s">
        <v>74</v>
      </c>
    </row>
    <row r="4389">
      <c r="A4389" s="1" t="s">
        <v>3545</v>
      </c>
      <c r="B4389" s="1">
        <v>9.1810809472E11</v>
      </c>
      <c r="C4389" s="15" t="str">
        <f t="shared" si="1"/>
        <v>pagarkarapsara@gmail.com918108094720</v>
      </c>
      <c r="D4389" s="17" t="s">
        <v>11843</v>
      </c>
      <c r="E4389" s="18" t="s">
        <v>151</v>
      </c>
    </row>
    <row r="4390">
      <c r="A4390" s="1" t="s">
        <v>3755</v>
      </c>
      <c r="B4390" s="1">
        <v>9.1893978392E11</v>
      </c>
      <c r="C4390" s="15" t="str">
        <f t="shared" si="1"/>
        <v>mmuthu28007@gmail.com918939783920</v>
      </c>
      <c r="D4390" s="17" t="s">
        <v>11844</v>
      </c>
      <c r="E4390" s="18" t="s">
        <v>74</v>
      </c>
    </row>
    <row r="4391">
      <c r="A4391" s="1" t="s">
        <v>3755</v>
      </c>
      <c r="B4391" s="1">
        <v>9.1893978392E11</v>
      </c>
      <c r="C4391" s="15" t="str">
        <f t="shared" si="1"/>
        <v>mmuthu28007@gmail.com918939783920</v>
      </c>
      <c r="D4391" s="17" t="s">
        <v>11845</v>
      </c>
      <c r="E4391" s="18" t="s">
        <v>74</v>
      </c>
    </row>
    <row r="4392">
      <c r="A4392" s="1" t="s">
        <v>3755</v>
      </c>
      <c r="B4392" s="1">
        <v>9.1893978392E11</v>
      </c>
      <c r="C4392" s="15" t="str">
        <f t="shared" si="1"/>
        <v>mmuthu28007@gmail.com918939783920</v>
      </c>
      <c r="D4392" s="17" t="s">
        <v>11846</v>
      </c>
      <c r="E4392" s="18" t="s">
        <v>74</v>
      </c>
    </row>
    <row r="4393">
      <c r="A4393" s="1" t="s">
        <v>3955</v>
      </c>
      <c r="B4393" s="1">
        <v>9.1996581884E11</v>
      </c>
      <c r="C4393" s="15" t="str">
        <f t="shared" si="1"/>
        <v>mharish.explorer@gmail.com919965818840</v>
      </c>
      <c r="D4393" s="17" t="s">
        <v>11847</v>
      </c>
      <c r="E4393" s="18" t="s">
        <v>68</v>
      </c>
    </row>
    <row r="4394">
      <c r="A4394" s="1" t="s">
        <v>5305</v>
      </c>
      <c r="B4394" s="1">
        <v>9.19911275926E11</v>
      </c>
      <c r="C4394" s="15" t="str">
        <f t="shared" si="1"/>
        <v>vimalarora789@gmail.com919911275926</v>
      </c>
      <c r="D4394" s="17" t="s">
        <v>11848</v>
      </c>
      <c r="E4394" s="18" t="s">
        <v>68</v>
      </c>
    </row>
    <row r="4395">
      <c r="A4395" s="1" t="s">
        <v>4768</v>
      </c>
      <c r="B4395" s="1">
        <v>9.19922277206E11</v>
      </c>
      <c r="C4395" s="15" t="str">
        <f t="shared" si="1"/>
        <v>khandelwalpratham12@gmail.com919922277206</v>
      </c>
      <c r="D4395" s="17" t="s">
        <v>11849</v>
      </c>
      <c r="E4395" s="18" t="s">
        <v>68</v>
      </c>
    </row>
    <row r="4396">
      <c r="A4396" s="1" t="s">
        <v>11850</v>
      </c>
      <c r="B4396" s="1">
        <v>9.19438488403E11</v>
      </c>
      <c r="C4396" s="15" t="str">
        <f t="shared" si="1"/>
        <v>agrawalmridul200@gmail.com919438488403</v>
      </c>
      <c r="D4396" s="17" t="s">
        <v>11851</v>
      </c>
      <c r="E4396" s="18" t="s">
        <v>68</v>
      </c>
    </row>
    <row r="4397">
      <c r="A4397" s="1" t="s">
        <v>5653</v>
      </c>
      <c r="B4397" s="1">
        <v>9.19956740907E11</v>
      </c>
      <c r="C4397" s="15" t="str">
        <f t="shared" si="1"/>
        <v>prashant.prajapati225@gmail.com919956740907</v>
      </c>
      <c r="D4397" s="17" t="s">
        <v>11852</v>
      </c>
      <c r="E4397" s="18" t="s">
        <v>68</v>
      </c>
    </row>
    <row r="4398">
      <c r="A4398" s="1" t="s">
        <v>3176</v>
      </c>
      <c r="B4398" s="1">
        <v>9.19392385479E11</v>
      </c>
      <c r="C4398" s="15" t="str">
        <f t="shared" si="1"/>
        <v>suryavamsireddy000@gmail.com919392385479</v>
      </c>
      <c r="D4398" s="17" t="s">
        <v>11853</v>
      </c>
      <c r="E4398" s="18" t="s">
        <v>68</v>
      </c>
    </row>
    <row r="4399">
      <c r="A4399" s="1" t="s">
        <v>3176</v>
      </c>
      <c r="B4399" s="1">
        <v>9.19392385479E11</v>
      </c>
      <c r="C4399" s="15" t="str">
        <f t="shared" si="1"/>
        <v>suryavamsireddy000@gmail.com919392385479</v>
      </c>
      <c r="D4399" s="17" t="s">
        <v>11854</v>
      </c>
      <c r="E4399" s="18" t="s">
        <v>68</v>
      </c>
    </row>
    <row r="4400">
      <c r="A4400" s="1" t="s">
        <v>8935</v>
      </c>
      <c r="B4400" s="1">
        <v>9.19416684521E11</v>
      </c>
      <c r="C4400" s="15" t="str">
        <f t="shared" si="1"/>
        <v>sunderprakashkaushik@gmail.com919416684521</v>
      </c>
      <c r="D4400" s="17" t="s">
        <v>11855</v>
      </c>
      <c r="E4400" s="18" t="s">
        <v>74</v>
      </c>
    </row>
    <row r="4401">
      <c r="A4401" s="1" t="s">
        <v>4526</v>
      </c>
      <c r="B4401" s="1">
        <v>9.18019010917E11</v>
      </c>
      <c r="C4401" s="15" t="str">
        <f t="shared" si="1"/>
        <v>shirisha.kurra38@gmail.com918019010917</v>
      </c>
      <c r="D4401" s="17" t="s">
        <v>11856</v>
      </c>
      <c r="E4401" s="18" t="s">
        <v>68</v>
      </c>
    </row>
    <row r="4402">
      <c r="A4402" s="1" t="s">
        <v>4526</v>
      </c>
      <c r="B4402" s="1">
        <v>9.18019010917E11</v>
      </c>
      <c r="C4402" s="15" t="str">
        <f t="shared" si="1"/>
        <v>shirisha.kurra38@gmail.com918019010917</v>
      </c>
      <c r="D4402" s="17" t="s">
        <v>11857</v>
      </c>
      <c r="E4402" s="18" t="s">
        <v>68</v>
      </c>
    </row>
    <row r="4403">
      <c r="A4403" s="1" t="s">
        <v>8935</v>
      </c>
      <c r="B4403" s="1">
        <v>9.19416684521E11</v>
      </c>
      <c r="C4403" s="15" t="str">
        <f t="shared" si="1"/>
        <v>sunderprakashkaushik@gmail.com919416684521</v>
      </c>
      <c r="D4403" s="17" t="s">
        <v>11858</v>
      </c>
      <c r="E4403" s="18" t="s">
        <v>74</v>
      </c>
    </row>
    <row r="4404">
      <c r="A4404" s="1" t="s">
        <v>8935</v>
      </c>
      <c r="B4404" s="1">
        <v>9.19416684521E11</v>
      </c>
      <c r="C4404" s="15" t="str">
        <f t="shared" si="1"/>
        <v>sunderprakashkaushik@gmail.com919416684521</v>
      </c>
      <c r="D4404" s="17" t="s">
        <v>11859</v>
      </c>
      <c r="E4404" s="18" t="s">
        <v>74</v>
      </c>
    </row>
    <row r="4405">
      <c r="A4405" s="1" t="s">
        <v>11860</v>
      </c>
      <c r="B4405" s="1">
        <v>9.1888811635E11</v>
      </c>
      <c r="C4405" s="15" t="str">
        <f t="shared" si="1"/>
        <v>jaydeepk7794@gmail.com918888116350</v>
      </c>
      <c r="D4405" s="17" t="s">
        <v>11861</v>
      </c>
      <c r="E4405" s="18" t="s">
        <v>68</v>
      </c>
    </row>
    <row r="4406">
      <c r="A4406" s="1" t="s">
        <v>11862</v>
      </c>
      <c r="B4406" s="1">
        <v>9.18980658986E11</v>
      </c>
      <c r="C4406" s="15" t="str">
        <f t="shared" si="1"/>
        <v>sanjanaprakash@gmail.com918980658986</v>
      </c>
      <c r="D4406" s="17" t="s">
        <v>11863</v>
      </c>
      <c r="E4406" s="18" t="s">
        <v>151</v>
      </c>
    </row>
    <row r="4407">
      <c r="A4407" s="1" t="s">
        <v>3747</v>
      </c>
      <c r="B4407" s="1">
        <v>9.17985528091E11</v>
      </c>
      <c r="C4407" s="15" t="str">
        <f t="shared" si="1"/>
        <v>mohit75991@gmail.com917985528091</v>
      </c>
      <c r="D4407" s="17" t="s">
        <v>11864</v>
      </c>
      <c r="E4407" s="18" t="s">
        <v>68</v>
      </c>
    </row>
    <row r="4408">
      <c r="A4408" s="1" t="s">
        <v>3547</v>
      </c>
      <c r="B4408" s="1">
        <v>9.18368147772E11</v>
      </c>
      <c r="C4408" s="15" t="str">
        <f t="shared" si="1"/>
        <v>tandon.aakansha1910@gmail.com918368147772</v>
      </c>
      <c r="D4408" s="17" t="s">
        <v>11865</v>
      </c>
      <c r="E4408" s="18" t="s">
        <v>68</v>
      </c>
    </row>
    <row r="4409">
      <c r="A4409" s="1" t="s">
        <v>6662</v>
      </c>
      <c r="B4409" s="1">
        <v>9.19714784363E11</v>
      </c>
      <c r="C4409" s="15" t="str">
        <f t="shared" si="1"/>
        <v>pinalsmodi1612@gmail.com919714784363</v>
      </c>
      <c r="D4409" s="17" t="s">
        <v>11866</v>
      </c>
      <c r="E4409" s="18" t="s">
        <v>68</v>
      </c>
    </row>
    <row r="4410">
      <c r="A4410" s="1" t="s">
        <v>3749</v>
      </c>
      <c r="B4410" s="1">
        <v>9.19850255984E11</v>
      </c>
      <c r="C4410" s="15" t="str">
        <f t="shared" si="1"/>
        <v>nikhilshirsagar@freshvnf.com919850255984</v>
      </c>
      <c r="D4410" s="17" t="s">
        <v>11867</v>
      </c>
      <c r="E4410" s="18" t="s">
        <v>68</v>
      </c>
    </row>
    <row r="4411">
      <c r="A4411" s="1" t="s">
        <v>185</v>
      </c>
      <c r="B4411" s="1">
        <v>9.19611611019E11</v>
      </c>
      <c r="C4411" s="15" t="str">
        <f t="shared" si="1"/>
        <v>tanmayee.maiya@gmail.com919611611019</v>
      </c>
      <c r="D4411" s="17" t="s">
        <v>11868</v>
      </c>
      <c r="E4411" s="18" t="s">
        <v>68</v>
      </c>
    </row>
    <row r="4412">
      <c r="A4412" s="1" t="s">
        <v>5655</v>
      </c>
      <c r="B4412" s="1">
        <v>9.18800820356E11</v>
      </c>
      <c r="C4412" s="15" t="str">
        <f t="shared" si="1"/>
        <v>sumer1309@gmail.com918800820356</v>
      </c>
      <c r="D4412" s="17" t="s">
        <v>11869</v>
      </c>
      <c r="E4412" s="18" t="s">
        <v>151</v>
      </c>
    </row>
    <row r="4413">
      <c r="A4413" s="1" t="s">
        <v>11870</v>
      </c>
      <c r="B4413" s="1">
        <v>9.17505126338E11</v>
      </c>
      <c r="C4413" s="15" t="str">
        <f t="shared" si="1"/>
        <v>bharatnarwar68@gmail.com917505126338</v>
      </c>
      <c r="D4413" s="17" t="s">
        <v>11871</v>
      </c>
      <c r="E4413" s="18" t="s">
        <v>68</v>
      </c>
    </row>
    <row r="4414">
      <c r="A4414" s="1" t="s">
        <v>11872</v>
      </c>
      <c r="B4414" s="1">
        <v>9.19310709863E11</v>
      </c>
      <c r="C4414" s="15" t="str">
        <f t="shared" si="1"/>
        <v>dimpleverma.126504@gmail.com919310709863</v>
      </c>
      <c r="D4414" s="17" t="s">
        <v>11873</v>
      </c>
      <c r="E4414" s="18" t="s">
        <v>68</v>
      </c>
    </row>
    <row r="4415">
      <c r="A4415" s="1" t="s">
        <v>11874</v>
      </c>
      <c r="B4415" s="1">
        <v>9.16294982356E11</v>
      </c>
      <c r="C4415" s="15" t="str">
        <f t="shared" si="1"/>
        <v>chattumolla2356@gmail.com916294982356</v>
      </c>
      <c r="D4415" s="17" t="s">
        <v>11875</v>
      </c>
      <c r="E4415" s="18" t="s">
        <v>151</v>
      </c>
    </row>
    <row r="4416">
      <c r="A4416" s="1" t="s">
        <v>11874</v>
      </c>
      <c r="B4416" s="1">
        <v>9.16294982356E11</v>
      </c>
      <c r="C4416" s="15" t="str">
        <f t="shared" si="1"/>
        <v>chattumolla2356@gmail.com916294982356</v>
      </c>
      <c r="D4416" s="17" t="s">
        <v>11876</v>
      </c>
      <c r="E4416" s="18" t="s">
        <v>151</v>
      </c>
    </row>
    <row r="4417">
      <c r="A4417" s="1" t="s">
        <v>11874</v>
      </c>
      <c r="B4417" s="1">
        <v>9.16294982356E11</v>
      </c>
      <c r="C4417" s="15" t="str">
        <f t="shared" si="1"/>
        <v>chattumolla2356@gmail.com916294982356</v>
      </c>
      <c r="D4417" s="17" t="s">
        <v>11877</v>
      </c>
      <c r="E4417" s="18" t="s">
        <v>151</v>
      </c>
    </row>
    <row r="4418">
      <c r="A4418" s="1" t="s">
        <v>4869</v>
      </c>
      <c r="B4418" s="1">
        <v>9.16309541313E11</v>
      </c>
      <c r="C4418" s="15" t="str">
        <f t="shared" si="1"/>
        <v>gk127890@gmail.com916309541313</v>
      </c>
      <c r="D4418" s="17" t="s">
        <v>11878</v>
      </c>
      <c r="E4418" s="18" t="s">
        <v>68</v>
      </c>
    </row>
    <row r="4419">
      <c r="A4419" s="1" t="s">
        <v>5657</v>
      </c>
      <c r="B4419" s="1">
        <v>9.19650394291E11</v>
      </c>
      <c r="C4419" s="15" t="str">
        <f t="shared" si="1"/>
        <v>shweta913.singh@gmail.com919650394291</v>
      </c>
      <c r="D4419" s="17" t="s">
        <v>11879</v>
      </c>
      <c r="E4419" s="18" t="s">
        <v>68</v>
      </c>
    </row>
    <row r="4420">
      <c r="A4420" s="1" t="s">
        <v>5657</v>
      </c>
      <c r="B4420" s="1">
        <v>9.19650394291E11</v>
      </c>
      <c r="C4420" s="15" t="str">
        <f t="shared" si="1"/>
        <v>shweta913.singh@gmail.com919650394291</v>
      </c>
      <c r="D4420" s="17" t="s">
        <v>11880</v>
      </c>
      <c r="E4420" s="18" t="s">
        <v>68</v>
      </c>
    </row>
    <row r="4421">
      <c r="A4421" s="1" t="s">
        <v>3751</v>
      </c>
      <c r="B4421" s="1">
        <v>9.1917962424E11</v>
      </c>
      <c r="C4421" s="15" t="str">
        <f t="shared" si="1"/>
        <v>dubeyashutosh310@gmail.com919179624240</v>
      </c>
      <c r="D4421" s="17" t="s">
        <v>11881</v>
      </c>
      <c r="E4421" s="18" t="s">
        <v>68</v>
      </c>
    </row>
    <row r="4422">
      <c r="A4422" s="1" t="s">
        <v>269</v>
      </c>
      <c r="B4422" s="1">
        <v>9.18281831033E11</v>
      </c>
      <c r="C4422" s="15" t="str">
        <f t="shared" si="1"/>
        <v>chippimuthu96@gmail.com918281831033</v>
      </c>
      <c r="D4422" s="17" t="s">
        <v>11882</v>
      </c>
      <c r="E4422" s="18" t="s">
        <v>68</v>
      </c>
    </row>
    <row r="4423">
      <c r="A4423" s="1" t="s">
        <v>4770</v>
      </c>
      <c r="B4423" s="1">
        <v>9.18424959717E11</v>
      </c>
      <c r="C4423" s="15" t="str">
        <f t="shared" si="1"/>
        <v>kiyer4802@gmail.com918424959717</v>
      </c>
      <c r="D4423" s="17" t="s">
        <v>11883</v>
      </c>
      <c r="E4423" s="18" t="s">
        <v>68</v>
      </c>
    </row>
    <row r="4424">
      <c r="A4424" s="1" t="s">
        <v>5659</v>
      </c>
      <c r="B4424" s="1">
        <v>9.19987366442E11</v>
      </c>
      <c r="C4424" s="15" t="str">
        <f t="shared" si="1"/>
        <v>onkarjadhavoj.61@gmail.com919987366442</v>
      </c>
      <c r="D4424" s="17" t="s">
        <v>11884</v>
      </c>
      <c r="E4424" s="18" t="s">
        <v>68</v>
      </c>
    </row>
    <row r="4425">
      <c r="A4425" s="1" t="s">
        <v>4772</v>
      </c>
      <c r="B4425" s="1">
        <v>9.19943091828E11</v>
      </c>
      <c r="C4425" s="15" t="str">
        <f t="shared" si="1"/>
        <v>asbalan87@gmail.com919943091828</v>
      </c>
      <c r="D4425" s="17" t="s">
        <v>11885</v>
      </c>
      <c r="E4425" s="18" t="s">
        <v>68</v>
      </c>
    </row>
    <row r="4426">
      <c r="A4426" s="1" t="s">
        <v>11886</v>
      </c>
      <c r="B4426" s="1">
        <v>9.19541621225E11</v>
      </c>
      <c r="C4426" s="15" t="str">
        <f t="shared" si="1"/>
        <v>roshankhursheed710@gmail.com919541621225</v>
      </c>
      <c r="D4426" s="17" t="s">
        <v>11887</v>
      </c>
      <c r="E4426" s="18" t="s">
        <v>74</v>
      </c>
    </row>
    <row r="4427">
      <c r="A4427" s="1" t="s">
        <v>4871</v>
      </c>
      <c r="B4427" s="1">
        <v>9.18087136392E11</v>
      </c>
      <c r="C4427" s="15" t="str">
        <f t="shared" si="1"/>
        <v>aartigarje7@gmail.com918087136392</v>
      </c>
      <c r="D4427" s="17" t="s">
        <v>11888</v>
      </c>
      <c r="E4427" s="18" t="s">
        <v>68</v>
      </c>
    </row>
    <row r="4428">
      <c r="A4428" s="1" t="s">
        <v>4392</v>
      </c>
      <c r="B4428" s="1">
        <v>9.17558496133E11</v>
      </c>
      <c r="C4428" s="15" t="str">
        <f t="shared" si="1"/>
        <v>drvidhinshah@gmail.com917558496133</v>
      </c>
      <c r="D4428" s="17" t="s">
        <v>11889</v>
      </c>
      <c r="E4428" s="18" t="s">
        <v>68</v>
      </c>
    </row>
    <row r="4429">
      <c r="A4429" s="1" t="s">
        <v>285</v>
      </c>
      <c r="B4429" s="1">
        <v>9.18979531948E11</v>
      </c>
      <c r="C4429" s="15" t="str">
        <f t="shared" si="1"/>
        <v>saraperry44444444@gmail.com918979531948</v>
      </c>
      <c r="D4429" s="17" t="s">
        <v>11890</v>
      </c>
      <c r="E4429" s="18" t="s">
        <v>68</v>
      </c>
    </row>
    <row r="4430">
      <c r="A4430" s="1" t="s">
        <v>285</v>
      </c>
      <c r="B4430" s="1">
        <v>9.18433238853E11</v>
      </c>
      <c r="C4430" s="15" t="str">
        <f t="shared" si="1"/>
        <v>saraperry44444444@gmail.com918433238853</v>
      </c>
      <c r="D4430" s="17" t="s">
        <v>11891</v>
      </c>
      <c r="E4430" s="18" t="s">
        <v>68</v>
      </c>
    </row>
    <row r="4431">
      <c r="A4431" s="1" t="s">
        <v>285</v>
      </c>
      <c r="B4431" s="1">
        <v>9.18433238853E11</v>
      </c>
      <c r="C4431" s="15" t="str">
        <f t="shared" si="1"/>
        <v>saraperry44444444@gmail.com918433238853</v>
      </c>
      <c r="D4431" s="17" t="s">
        <v>11892</v>
      </c>
      <c r="E4431" s="18" t="s">
        <v>68</v>
      </c>
    </row>
    <row r="4432">
      <c r="A4432" s="1" t="s">
        <v>285</v>
      </c>
      <c r="B4432" s="1">
        <v>9.18433238853E11</v>
      </c>
      <c r="C4432" s="15" t="str">
        <f t="shared" si="1"/>
        <v>saraperry44444444@gmail.com918433238853</v>
      </c>
      <c r="D4432" s="17" t="s">
        <v>11893</v>
      </c>
      <c r="E4432" s="18" t="s">
        <v>68</v>
      </c>
    </row>
    <row r="4433">
      <c r="A4433" s="1" t="s">
        <v>285</v>
      </c>
      <c r="B4433" s="1">
        <v>9.18433238853E11</v>
      </c>
      <c r="C4433" s="15" t="str">
        <f t="shared" si="1"/>
        <v>saraperry44444444@gmail.com918433238853</v>
      </c>
      <c r="D4433" s="17" t="s">
        <v>11894</v>
      </c>
      <c r="E4433" s="18" t="s">
        <v>68</v>
      </c>
    </row>
    <row r="4434">
      <c r="A4434" s="1" t="s">
        <v>285</v>
      </c>
      <c r="B4434" s="1">
        <v>9.18433238853E11</v>
      </c>
      <c r="C4434" s="15" t="str">
        <f t="shared" si="1"/>
        <v>saraperry44444444@gmail.com918433238853</v>
      </c>
      <c r="D4434" s="17" t="s">
        <v>11895</v>
      </c>
      <c r="E4434" s="18" t="s">
        <v>68</v>
      </c>
    </row>
    <row r="4435">
      <c r="A4435" s="1" t="s">
        <v>285</v>
      </c>
      <c r="B4435" s="1">
        <v>9.18433238853E11</v>
      </c>
      <c r="C4435" s="15" t="str">
        <f t="shared" si="1"/>
        <v>saraperry44444444@gmail.com918433238853</v>
      </c>
      <c r="D4435" s="17" t="s">
        <v>11896</v>
      </c>
      <c r="E4435" s="18" t="s">
        <v>68</v>
      </c>
    </row>
    <row r="4436">
      <c r="A4436" s="1" t="s">
        <v>285</v>
      </c>
      <c r="B4436" s="1">
        <v>9.18979531948E11</v>
      </c>
      <c r="C4436" s="15" t="str">
        <f t="shared" si="1"/>
        <v>saraperry44444444@gmail.com918979531948</v>
      </c>
      <c r="D4436" s="17" t="s">
        <v>11897</v>
      </c>
      <c r="E4436" s="18" t="s">
        <v>68</v>
      </c>
    </row>
    <row r="4437">
      <c r="A4437" s="1" t="s">
        <v>285</v>
      </c>
      <c r="B4437" s="1">
        <v>9.18979531948E11</v>
      </c>
      <c r="C4437" s="15" t="str">
        <f t="shared" si="1"/>
        <v>saraperry44444444@gmail.com918979531948</v>
      </c>
      <c r="D4437" s="17" t="s">
        <v>11898</v>
      </c>
      <c r="E4437" s="18" t="s">
        <v>68</v>
      </c>
    </row>
    <row r="4438">
      <c r="A4438" s="1" t="s">
        <v>3178</v>
      </c>
      <c r="B4438" s="1">
        <v>9.19074555416E11</v>
      </c>
      <c r="C4438" s="15" t="str">
        <f t="shared" si="1"/>
        <v>snehasrahman@gmail.com919074555416</v>
      </c>
      <c r="D4438" s="17" t="s">
        <v>11899</v>
      </c>
      <c r="E4438" s="18" t="s">
        <v>68</v>
      </c>
    </row>
    <row r="4439">
      <c r="A4439" s="1" t="s">
        <v>285</v>
      </c>
      <c r="B4439" s="1">
        <v>9.18433238853E11</v>
      </c>
      <c r="C4439" s="15" t="str">
        <f t="shared" si="1"/>
        <v>saraperry44444444@gmail.com918433238853</v>
      </c>
      <c r="D4439" s="17" t="s">
        <v>11900</v>
      </c>
      <c r="E4439" s="18" t="s">
        <v>68</v>
      </c>
    </row>
    <row r="4440">
      <c r="A4440" s="1" t="s">
        <v>285</v>
      </c>
      <c r="B4440" s="1">
        <v>9.18979531948E11</v>
      </c>
      <c r="C4440" s="15" t="str">
        <f t="shared" si="1"/>
        <v>saraperry44444444@gmail.com918979531948</v>
      </c>
      <c r="D4440" s="17" t="s">
        <v>11901</v>
      </c>
      <c r="E4440" s="18" t="s">
        <v>74</v>
      </c>
    </row>
    <row r="4441">
      <c r="A4441" s="1" t="s">
        <v>3180</v>
      </c>
      <c r="B4441" s="1">
        <v>9.19544855303E11</v>
      </c>
      <c r="C4441" s="15" t="str">
        <f t="shared" si="1"/>
        <v>haripriyavaralakshmi@gmail.com919544855303</v>
      </c>
      <c r="D4441" s="17" t="s">
        <v>11902</v>
      </c>
      <c r="E4441" s="18" t="s">
        <v>97</v>
      </c>
    </row>
    <row r="4442">
      <c r="A4442" s="1" t="s">
        <v>3549</v>
      </c>
      <c r="B4442" s="1">
        <v>9.19858262364E11</v>
      </c>
      <c r="C4442" s="15" t="str">
        <f t="shared" si="1"/>
        <v>charuchauhan1103@gmail.com919858262364</v>
      </c>
      <c r="D4442" s="17" t="s">
        <v>11903</v>
      </c>
      <c r="E4442" s="18" t="s">
        <v>68</v>
      </c>
    </row>
    <row r="4443">
      <c r="A4443" s="1" t="s">
        <v>3551</v>
      </c>
      <c r="B4443" s="1">
        <v>9.19497584977E11</v>
      </c>
      <c r="C4443" s="15" t="str">
        <f t="shared" si="1"/>
        <v>shilpagaya1@gmail.com919497584977</v>
      </c>
      <c r="D4443" s="17" t="s">
        <v>11904</v>
      </c>
      <c r="E4443" s="18" t="s">
        <v>68</v>
      </c>
    </row>
    <row r="4444">
      <c r="A4444" s="1" t="s">
        <v>5075</v>
      </c>
      <c r="B4444" s="1">
        <v>9.19566813389E11</v>
      </c>
      <c r="C4444" s="15" t="str">
        <f t="shared" si="1"/>
        <v>harists99@gmail.com919566813389</v>
      </c>
      <c r="D4444" s="17" t="s">
        <v>11905</v>
      </c>
      <c r="E4444" s="18" t="s">
        <v>74</v>
      </c>
    </row>
    <row r="4445">
      <c r="A4445" s="1" t="s">
        <v>3957</v>
      </c>
      <c r="B4445" s="1">
        <v>9.18148413883E11</v>
      </c>
      <c r="C4445" s="15" t="str">
        <f t="shared" si="1"/>
        <v>raghavendira.sankaran@gmail.com918148413883</v>
      </c>
      <c r="D4445" s="17" t="s">
        <v>11906</v>
      </c>
      <c r="E4445" s="18" t="s">
        <v>68</v>
      </c>
    </row>
    <row r="4446">
      <c r="A4446" s="1" t="s">
        <v>3182</v>
      </c>
      <c r="B4446" s="1">
        <v>9.19611132015E11</v>
      </c>
      <c r="C4446" s="15" t="str">
        <f t="shared" si="1"/>
        <v>kapoorshruthi07@gmail.com919611132015</v>
      </c>
      <c r="D4446" s="17" t="s">
        <v>11907</v>
      </c>
      <c r="E4446" s="18" t="s">
        <v>74</v>
      </c>
    </row>
    <row r="4447">
      <c r="A4447" s="1" t="s">
        <v>4528</v>
      </c>
      <c r="B4447" s="1">
        <v>9.19704508777E11</v>
      </c>
      <c r="C4447" s="15" t="str">
        <f t="shared" si="1"/>
        <v>sunraysalapati@yahoo.com919704508777</v>
      </c>
      <c r="D4447" s="17" t="s">
        <v>11908</v>
      </c>
      <c r="E4447" s="18" t="s">
        <v>68</v>
      </c>
    </row>
    <row r="4448">
      <c r="A4448" s="1" t="s">
        <v>3959</v>
      </c>
      <c r="B4448" s="1">
        <v>9.19764192266E11</v>
      </c>
      <c r="C4448" s="15" t="str">
        <f t="shared" si="1"/>
        <v>chavan.kirtan@gmail.com919764192266</v>
      </c>
      <c r="D4448" s="17" t="s">
        <v>11909</v>
      </c>
      <c r="E4448" s="18" t="s">
        <v>151</v>
      </c>
    </row>
    <row r="4449">
      <c r="A4449" s="1" t="s">
        <v>11910</v>
      </c>
      <c r="B4449" s="1">
        <v>9.1773644087E11</v>
      </c>
      <c r="C4449" s="15" t="str">
        <f t="shared" si="1"/>
        <v>anirudhgraj7736@hotmail.com917736440870</v>
      </c>
      <c r="D4449" s="17" t="s">
        <v>11911</v>
      </c>
      <c r="E4449" s="18" t="s">
        <v>68</v>
      </c>
    </row>
    <row r="4450">
      <c r="A4450" s="1" t="s">
        <v>5076</v>
      </c>
      <c r="B4450" s="1">
        <v>9.17338667029E11</v>
      </c>
      <c r="C4450" s="15" t="str">
        <f t="shared" si="1"/>
        <v>lohiarachna5@gmail.com917338667029</v>
      </c>
      <c r="D4450" s="17" t="s">
        <v>11912</v>
      </c>
      <c r="E4450" s="18" t="s">
        <v>68</v>
      </c>
    </row>
    <row r="4451">
      <c r="A4451" s="1" t="s">
        <v>3553</v>
      </c>
      <c r="B4451" s="1">
        <v>9.17903413739E11</v>
      </c>
      <c r="C4451" s="15" t="str">
        <f t="shared" si="1"/>
        <v>ankitasinghdhn@gmail.com917903413739</v>
      </c>
      <c r="D4451" s="17" t="s">
        <v>11913</v>
      </c>
      <c r="E4451" s="18" t="s">
        <v>68</v>
      </c>
    </row>
    <row r="4452">
      <c r="A4452" s="1" t="s">
        <v>3555</v>
      </c>
      <c r="B4452" s="1">
        <v>9.19876195757E11</v>
      </c>
      <c r="C4452" s="15" t="str">
        <f t="shared" si="1"/>
        <v>pushvinder1606@gmail.com919876195757</v>
      </c>
      <c r="D4452" s="17" t="s">
        <v>11914</v>
      </c>
      <c r="E4452" s="18" t="s">
        <v>68</v>
      </c>
    </row>
    <row r="4453">
      <c r="A4453" s="1" t="s">
        <v>11915</v>
      </c>
      <c r="B4453" s="1">
        <v>9.17426985683E11</v>
      </c>
      <c r="C4453" s="15" t="str">
        <f t="shared" si="1"/>
        <v>ravinasharma910@gmail.com917426985683</v>
      </c>
      <c r="D4453" s="17" t="s">
        <v>11916</v>
      </c>
      <c r="E4453" s="18" t="s">
        <v>74</v>
      </c>
    </row>
    <row r="4454">
      <c r="A4454" s="1" t="s">
        <v>11917</v>
      </c>
      <c r="B4454" s="1">
        <v>9.19956320201E11</v>
      </c>
      <c r="C4454" s="15" t="str">
        <f t="shared" si="1"/>
        <v>simran.yadav0896@gmail.com919956320201</v>
      </c>
      <c r="D4454" s="17" t="s">
        <v>11918</v>
      </c>
      <c r="E4454" s="18" t="s">
        <v>68</v>
      </c>
    </row>
    <row r="4455">
      <c r="A4455" s="1" t="s">
        <v>6664</v>
      </c>
      <c r="B4455" s="1">
        <v>9.17045816664E11</v>
      </c>
      <c r="C4455" s="15" t="str">
        <f t="shared" si="1"/>
        <v>khannasonal94@gmail.com917045816664</v>
      </c>
      <c r="D4455" s="17" t="s">
        <v>11919</v>
      </c>
      <c r="E4455" s="18" t="s">
        <v>74</v>
      </c>
    </row>
    <row r="4456">
      <c r="A4456" s="1" t="s">
        <v>6664</v>
      </c>
      <c r="B4456" s="1">
        <v>9.17045816664E11</v>
      </c>
      <c r="C4456" s="15" t="str">
        <f t="shared" si="1"/>
        <v>khannasonal94@gmail.com917045816664</v>
      </c>
      <c r="D4456" s="17" t="s">
        <v>11920</v>
      </c>
      <c r="E4456" s="18" t="s">
        <v>68</v>
      </c>
    </row>
    <row r="4457">
      <c r="A4457" s="1" t="s">
        <v>3860</v>
      </c>
      <c r="B4457" s="1">
        <v>9.17020638803E11</v>
      </c>
      <c r="C4457" s="15" t="str">
        <f t="shared" si="1"/>
        <v>ashaymgirgaonkar@gmail.com917020638803</v>
      </c>
      <c r="D4457" s="17" t="s">
        <v>11921</v>
      </c>
      <c r="E4457" s="18" t="s">
        <v>68</v>
      </c>
    </row>
    <row r="4458">
      <c r="A4458" s="1" t="s">
        <v>5174</v>
      </c>
      <c r="B4458" s="1">
        <v>9.19004311113E11</v>
      </c>
      <c r="C4458" s="15" t="str">
        <f t="shared" si="1"/>
        <v>priya0810@yahoo.com919004311113</v>
      </c>
      <c r="D4458" s="17" t="s">
        <v>11922</v>
      </c>
      <c r="E4458" s="18" t="s">
        <v>74</v>
      </c>
    </row>
    <row r="4459">
      <c r="A4459" s="1" t="s">
        <v>4394</v>
      </c>
      <c r="B4459" s="1">
        <v>9.17011280319E11</v>
      </c>
      <c r="C4459" s="15" t="str">
        <f t="shared" si="1"/>
        <v>choudharymani20@gmail.com917011280319</v>
      </c>
      <c r="D4459" s="17" t="s">
        <v>11923</v>
      </c>
      <c r="E4459" s="18" t="s">
        <v>68</v>
      </c>
    </row>
    <row r="4460">
      <c r="A4460" s="1" t="s">
        <v>3184</v>
      </c>
      <c r="B4460" s="1">
        <v>9.17406710702E11</v>
      </c>
      <c r="C4460" s="15" t="str">
        <f t="shared" si="1"/>
        <v>saiuware@gmail.com917406710702</v>
      </c>
      <c r="D4460" s="17" t="s">
        <v>11924</v>
      </c>
      <c r="E4460" s="18" t="s">
        <v>68</v>
      </c>
    </row>
    <row r="4461">
      <c r="A4461" s="1" t="s">
        <v>5661</v>
      </c>
      <c r="B4461" s="1">
        <v>9.18341134078E11</v>
      </c>
      <c r="C4461" s="15" t="str">
        <f t="shared" si="1"/>
        <v>parvathi.sriram7@gmail.com918341134078</v>
      </c>
      <c r="D4461" s="17" t="s">
        <v>11925</v>
      </c>
      <c r="E4461" s="18" t="s">
        <v>68</v>
      </c>
    </row>
    <row r="4462">
      <c r="A4462" s="1" t="s">
        <v>5661</v>
      </c>
      <c r="B4462" s="1">
        <v>9.18341134078E11</v>
      </c>
      <c r="C4462" s="15" t="str">
        <f t="shared" si="1"/>
        <v>parvathi.sriram7@gmail.com918341134078</v>
      </c>
      <c r="D4462" s="17" t="s">
        <v>11926</v>
      </c>
      <c r="E4462" s="18" t="s">
        <v>68</v>
      </c>
    </row>
    <row r="4463">
      <c r="A4463" s="1" t="s">
        <v>3053</v>
      </c>
      <c r="B4463" s="1">
        <v>9.18769792927E11</v>
      </c>
      <c r="C4463" s="15" t="str">
        <f t="shared" si="1"/>
        <v>kaustubh.khandelwal4@gmail.com918769792927</v>
      </c>
      <c r="D4463" s="17" t="s">
        <v>11927</v>
      </c>
      <c r="E4463" s="18" t="s">
        <v>68</v>
      </c>
    </row>
    <row r="4464">
      <c r="A4464" s="1" t="s">
        <v>3644</v>
      </c>
      <c r="B4464" s="1">
        <v>9.17018326866E11</v>
      </c>
      <c r="C4464" s="15" t="str">
        <f t="shared" si="1"/>
        <v>chauhanvinod87@ymail.com917018326866</v>
      </c>
      <c r="D4464" s="17" t="s">
        <v>11928</v>
      </c>
      <c r="E4464" s="18" t="s">
        <v>151</v>
      </c>
    </row>
    <row r="4465">
      <c r="A4465" s="1" t="s">
        <v>3557</v>
      </c>
      <c r="B4465" s="1">
        <v>9.18617481346E11</v>
      </c>
      <c r="C4465" s="15" t="str">
        <f t="shared" si="1"/>
        <v>shubhamghosh9304@gmail.com918617481346</v>
      </c>
      <c r="D4465" s="17" t="s">
        <v>11929</v>
      </c>
      <c r="E4465" s="18" t="s">
        <v>68</v>
      </c>
    </row>
    <row r="4466">
      <c r="A4466" s="1" t="s">
        <v>11930</v>
      </c>
      <c r="B4466" s="1">
        <v>9.19038362024E11</v>
      </c>
      <c r="C4466" s="15" t="str">
        <f t="shared" si="1"/>
        <v>renualokesingh@gmail.com919038362024</v>
      </c>
      <c r="D4466" s="17" t="s">
        <v>11931</v>
      </c>
      <c r="E4466" s="18" t="s">
        <v>68</v>
      </c>
    </row>
    <row r="4467">
      <c r="A4467" s="1" t="s">
        <v>6449</v>
      </c>
      <c r="B4467" s="1">
        <v>9.19045541213E11</v>
      </c>
      <c r="C4467" s="15" t="str">
        <f t="shared" si="1"/>
        <v>mishram9045@gmail.com919045541213</v>
      </c>
      <c r="D4467" s="17" t="s">
        <v>11932</v>
      </c>
      <c r="E4467" s="18" t="s">
        <v>74</v>
      </c>
    </row>
    <row r="4468">
      <c r="A4468" s="1" t="s">
        <v>3559</v>
      </c>
      <c r="B4468" s="1">
        <v>9.19847272029E11</v>
      </c>
      <c r="C4468" s="15" t="str">
        <f t="shared" si="1"/>
        <v>shahabaspengattiri@gmail.com919847272029</v>
      </c>
      <c r="D4468" s="17" t="s">
        <v>11933</v>
      </c>
      <c r="E4468" s="18" t="s">
        <v>68</v>
      </c>
    </row>
    <row r="4469">
      <c r="A4469" s="1" t="s">
        <v>2574</v>
      </c>
      <c r="B4469" s="1">
        <v>9.1976705314E11</v>
      </c>
      <c r="C4469" s="15" t="str">
        <f t="shared" si="1"/>
        <v>adityaphulsundar5@gmail.com919767053140</v>
      </c>
      <c r="D4469" s="17" t="s">
        <v>11934</v>
      </c>
      <c r="E4469" s="18" t="s">
        <v>68</v>
      </c>
    </row>
    <row r="4470">
      <c r="A4470" s="1" t="s">
        <v>5663</v>
      </c>
      <c r="B4470" s="1">
        <v>9.17499830829E11</v>
      </c>
      <c r="C4470" s="15" t="str">
        <f t="shared" si="1"/>
        <v>runalpawar0.55@gmail.com917499830829</v>
      </c>
      <c r="D4470" s="17" t="s">
        <v>11935</v>
      </c>
      <c r="E4470" s="18" t="s">
        <v>68</v>
      </c>
    </row>
    <row r="4471">
      <c r="A4471" s="1" t="s">
        <v>4245</v>
      </c>
      <c r="B4471" s="1">
        <v>9.18787544244E11</v>
      </c>
      <c r="C4471" s="15" t="str">
        <f t="shared" si="1"/>
        <v>viviennekhaiyar@gmail.com918787544244</v>
      </c>
      <c r="D4471" s="17" t="s">
        <v>11936</v>
      </c>
      <c r="E4471" s="18" t="s">
        <v>151</v>
      </c>
    </row>
    <row r="4472">
      <c r="A4472" s="1" t="s">
        <v>3862</v>
      </c>
      <c r="B4472" s="1">
        <v>9.18252404027E11</v>
      </c>
      <c r="C4472" s="15" t="str">
        <f t="shared" si="1"/>
        <v>vinita2015.nsec@gmail.com918252404027</v>
      </c>
      <c r="D4472" s="17" t="s">
        <v>11937</v>
      </c>
      <c r="E4472" s="18" t="s">
        <v>97</v>
      </c>
    </row>
    <row r="4473">
      <c r="A4473" s="1" t="s">
        <v>2449</v>
      </c>
      <c r="B4473" s="1">
        <v>9.18469114428E11</v>
      </c>
      <c r="C4473" s="15" t="str">
        <f t="shared" si="1"/>
        <v>saumyajoshi89@gmail.com918469114428</v>
      </c>
      <c r="D4473" s="17" t="s">
        <v>11938</v>
      </c>
      <c r="E4473" s="18" t="s">
        <v>74</v>
      </c>
    </row>
    <row r="4474">
      <c r="A4474" s="1" t="s">
        <v>2449</v>
      </c>
      <c r="B4474" s="1">
        <v>9.18469114428E11</v>
      </c>
      <c r="C4474" s="15" t="str">
        <f t="shared" si="1"/>
        <v>saumyajoshi89@gmail.com918469114428</v>
      </c>
      <c r="D4474" s="17" t="s">
        <v>11939</v>
      </c>
      <c r="E4474" s="18" t="s">
        <v>74</v>
      </c>
    </row>
    <row r="4475">
      <c r="A4475" s="1" t="s">
        <v>3646</v>
      </c>
      <c r="B4475" s="1">
        <v>9.19620953312E11</v>
      </c>
      <c r="C4475" s="15" t="str">
        <f t="shared" si="1"/>
        <v>cs.akshata18@gmail.com919620953312</v>
      </c>
      <c r="D4475" s="17" t="s">
        <v>11940</v>
      </c>
      <c r="E4475" s="18" t="s">
        <v>68</v>
      </c>
    </row>
    <row r="4476">
      <c r="A4476" s="1" t="s">
        <v>3561</v>
      </c>
      <c r="B4476" s="1">
        <v>9.18700046907E11</v>
      </c>
      <c r="C4476" s="15" t="str">
        <f t="shared" si="1"/>
        <v>nikhil.joshi.339@gmail.com918700046907</v>
      </c>
      <c r="D4476" s="17" t="s">
        <v>11941</v>
      </c>
      <c r="E4476" s="18" t="s">
        <v>68</v>
      </c>
    </row>
    <row r="4477">
      <c r="A4477" s="1" t="s">
        <v>3648</v>
      </c>
      <c r="B4477" s="1">
        <v>9.18097002242E11</v>
      </c>
      <c r="C4477" s="15" t="str">
        <f t="shared" si="1"/>
        <v>sudhanshu.maheshwari23@gmail.com918097002242</v>
      </c>
      <c r="D4477" s="17" t="s">
        <v>11942</v>
      </c>
      <c r="E4477" s="18" t="s">
        <v>68</v>
      </c>
    </row>
    <row r="4478">
      <c r="A4478" s="1" t="s">
        <v>3648</v>
      </c>
      <c r="B4478" s="1">
        <v>9.18097002242E11</v>
      </c>
      <c r="C4478" s="15" t="str">
        <f t="shared" si="1"/>
        <v>sudhanshu.maheshwari23@gmail.com918097002242</v>
      </c>
      <c r="D4478" s="17" t="s">
        <v>11943</v>
      </c>
      <c r="E4478" s="18" t="s">
        <v>68</v>
      </c>
    </row>
    <row r="4479">
      <c r="A4479" s="1" t="s">
        <v>3648</v>
      </c>
      <c r="B4479" s="1">
        <v>9.18097002242E11</v>
      </c>
      <c r="C4479" s="15" t="str">
        <f t="shared" si="1"/>
        <v>sudhanshu.maheshwari23@gmail.com918097002242</v>
      </c>
      <c r="D4479" s="17" t="s">
        <v>11944</v>
      </c>
      <c r="E4479" s="18" t="s">
        <v>68</v>
      </c>
    </row>
    <row r="4480">
      <c r="A4480" s="1" t="s">
        <v>3563</v>
      </c>
      <c r="B4480" s="1">
        <v>9.18408850686E11</v>
      </c>
      <c r="C4480" s="15" t="str">
        <f t="shared" si="1"/>
        <v>janorikartejshree@gmail.com918408850686</v>
      </c>
      <c r="D4480" s="17" t="s">
        <v>11945</v>
      </c>
      <c r="E4480" s="18" t="s">
        <v>68</v>
      </c>
    </row>
    <row r="4481">
      <c r="A4481" s="1" t="s">
        <v>4247</v>
      </c>
      <c r="B4481" s="1">
        <v>9.18894536226E11</v>
      </c>
      <c r="C4481" s="15" t="str">
        <f t="shared" si="1"/>
        <v>shreyayonhi@gmail.com918894536226</v>
      </c>
      <c r="D4481" s="17" t="s">
        <v>11946</v>
      </c>
      <c r="E4481" s="18" t="s">
        <v>68</v>
      </c>
    </row>
    <row r="4482">
      <c r="A4482" s="1" t="s">
        <v>2576</v>
      </c>
      <c r="B4482" s="1">
        <v>9.19741718758E11</v>
      </c>
      <c r="C4482" s="15" t="str">
        <f t="shared" si="1"/>
        <v>thilakamk18@gmail.com919741718758</v>
      </c>
      <c r="D4482" s="17" t="s">
        <v>11947</v>
      </c>
      <c r="E4482" s="18" t="s">
        <v>68</v>
      </c>
    </row>
    <row r="4483">
      <c r="A4483" s="1" t="s">
        <v>3650</v>
      </c>
      <c r="B4483" s="1">
        <v>9.19629165061E11</v>
      </c>
      <c r="C4483" s="15" t="str">
        <f t="shared" si="1"/>
        <v>akash.e2912@gmail.com919629165061</v>
      </c>
      <c r="D4483" s="17" t="s">
        <v>11948</v>
      </c>
      <c r="E4483" s="18" t="s">
        <v>68</v>
      </c>
    </row>
    <row r="4484">
      <c r="A4484" s="1" t="s">
        <v>333</v>
      </c>
      <c r="B4484" s="1">
        <v>9.18416006631E11</v>
      </c>
      <c r="C4484" s="15" t="str">
        <f t="shared" si="1"/>
        <v>tangreyampati@gmail.com918416006631</v>
      </c>
      <c r="D4484" s="17" t="s">
        <v>11949</v>
      </c>
      <c r="E4484" s="18" t="s">
        <v>74</v>
      </c>
    </row>
    <row r="4485">
      <c r="A4485" s="1" t="s">
        <v>5665</v>
      </c>
      <c r="B4485" s="1">
        <v>9.17836073584E11</v>
      </c>
      <c r="C4485" s="15" t="str">
        <f t="shared" si="1"/>
        <v>dk5483159.star@gmail.com917836073584</v>
      </c>
      <c r="D4485" s="17" t="s">
        <v>11950</v>
      </c>
      <c r="E4485" s="18" t="s">
        <v>68</v>
      </c>
    </row>
    <row r="4486">
      <c r="A4486" s="1" t="s">
        <v>333</v>
      </c>
      <c r="B4486" s="1">
        <v>9.18416006631E11</v>
      </c>
      <c r="C4486" s="15" t="str">
        <f t="shared" si="1"/>
        <v>tangreyampati@gmail.com918416006631</v>
      </c>
      <c r="D4486" s="17" t="s">
        <v>11951</v>
      </c>
      <c r="E4486" s="18" t="s">
        <v>74</v>
      </c>
    </row>
    <row r="4487">
      <c r="A4487" s="1" t="s">
        <v>8534</v>
      </c>
      <c r="B4487" s="1">
        <v>9.17038474891E11</v>
      </c>
      <c r="C4487" s="15" t="str">
        <f t="shared" si="1"/>
        <v>dgautre1996@gmail.com917038474891</v>
      </c>
      <c r="D4487" s="17" t="s">
        <v>11952</v>
      </c>
      <c r="E4487" s="18" t="s">
        <v>74</v>
      </c>
    </row>
    <row r="4488">
      <c r="A4488" s="1" t="s">
        <v>8534</v>
      </c>
      <c r="B4488" s="1">
        <v>9.17038474891E11</v>
      </c>
      <c r="C4488" s="15" t="str">
        <f t="shared" si="1"/>
        <v>dgautre1996@gmail.com917038474891</v>
      </c>
      <c r="D4488" s="17" t="s">
        <v>11953</v>
      </c>
      <c r="E4488" s="18" t="s">
        <v>74</v>
      </c>
    </row>
    <row r="4489">
      <c r="A4489" s="1" t="s">
        <v>3864</v>
      </c>
      <c r="B4489" s="1">
        <v>9.19885689966E11</v>
      </c>
      <c r="C4489" s="15" t="str">
        <f t="shared" si="1"/>
        <v>dinesh.kacee@gmail.com919885689966</v>
      </c>
      <c r="D4489" s="17" t="s">
        <v>11954</v>
      </c>
      <c r="E4489" s="18" t="s">
        <v>68</v>
      </c>
    </row>
    <row r="4490">
      <c r="A4490" s="1" t="s">
        <v>333</v>
      </c>
      <c r="B4490" s="1">
        <v>9.18416006631E11</v>
      </c>
      <c r="C4490" s="15" t="str">
        <f t="shared" si="1"/>
        <v>tangreyampati@gmail.com918416006631</v>
      </c>
      <c r="D4490" s="17" t="s">
        <v>11955</v>
      </c>
      <c r="E4490" s="18" t="s">
        <v>74</v>
      </c>
    </row>
    <row r="4491">
      <c r="A4491" s="1" t="s">
        <v>5667</v>
      </c>
      <c r="B4491" s="1">
        <v>9.19993040197E11</v>
      </c>
      <c r="C4491" s="15" t="str">
        <f t="shared" si="1"/>
        <v>shubhamkishor3@gmail.com919993040197</v>
      </c>
      <c r="D4491" s="17" t="s">
        <v>11956</v>
      </c>
      <c r="E4491" s="18" t="s">
        <v>97</v>
      </c>
    </row>
    <row r="4492">
      <c r="A4492" s="1" t="s">
        <v>3652</v>
      </c>
      <c r="B4492" s="1">
        <v>9.19093109714E11</v>
      </c>
      <c r="C4492" s="15" t="str">
        <f t="shared" si="1"/>
        <v>ghoshrudrakshi@gmail.com919093109714</v>
      </c>
      <c r="D4492" s="17" t="s">
        <v>11957</v>
      </c>
      <c r="E4492" s="18" t="s">
        <v>68</v>
      </c>
    </row>
    <row r="4493">
      <c r="A4493" s="1" t="s">
        <v>3652</v>
      </c>
      <c r="B4493" s="1">
        <v>9.19093109714E11</v>
      </c>
      <c r="C4493" s="15" t="str">
        <f t="shared" si="1"/>
        <v>ghoshrudrakshi@gmail.com919093109714</v>
      </c>
      <c r="D4493" s="17" t="s">
        <v>11958</v>
      </c>
      <c r="E4493" s="18" t="s">
        <v>68</v>
      </c>
    </row>
    <row r="4494">
      <c r="A4494" s="1" t="s">
        <v>3652</v>
      </c>
      <c r="B4494" s="1">
        <v>9.19093109714E11</v>
      </c>
      <c r="C4494" s="15" t="str">
        <f t="shared" si="1"/>
        <v>ghoshrudrakshi@gmail.com919093109714</v>
      </c>
      <c r="D4494" s="17" t="s">
        <v>11959</v>
      </c>
      <c r="E4494" s="18" t="s">
        <v>68</v>
      </c>
    </row>
    <row r="4495">
      <c r="A4495" s="1" t="s">
        <v>11960</v>
      </c>
      <c r="B4495" s="1">
        <v>9.18437039082E11</v>
      </c>
      <c r="C4495" s="15" t="str">
        <f t="shared" si="1"/>
        <v>lekhrajbansal0796@gmail.com918437039082</v>
      </c>
      <c r="D4495" s="17" t="s">
        <v>11961</v>
      </c>
      <c r="E4495" s="18" t="s">
        <v>68</v>
      </c>
    </row>
    <row r="4496">
      <c r="A4496" s="1" t="s">
        <v>2734</v>
      </c>
      <c r="B4496" s="1">
        <v>9.17289987178E11</v>
      </c>
      <c r="C4496" s="15" t="str">
        <f t="shared" si="1"/>
        <v>meghabatra94@gmail.com917289987178</v>
      </c>
      <c r="D4496" s="17" t="s">
        <v>11962</v>
      </c>
      <c r="E4496" s="18" t="s">
        <v>68</v>
      </c>
    </row>
    <row r="4497">
      <c r="A4497" s="1" t="s">
        <v>5669</v>
      </c>
      <c r="B4497" s="1">
        <v>9.18140098109E11</v>
      </c>
      <c r="C4497" s="15" t="str">
        <f t="shared" si="1"/>
        <v>abhirajsinh6@gmail.com918140098109</v>
      </c>
      <c r="D4497" s="17" t="s">
        <v>11963</v>
      </c>
      <c r="E4497" s="18" t="s">
        <v>68</v>
      </c>
    </row>
    <row r="4498">
      <c r="A4498" s="1" t="s">
        <v>11964</v>
      </c>
      <c r="B4498" s="1">
        <v>9.1848680657E11</v>
      </c>
      <c r="C4498" s="15" t="str">
        <f t="shared" si="1"/>
        <v>kalitakitu@gmail.com918486806570</v>
      </c>
      <c r="D4498" s="17" t="s">
        <v>11965</v>
      </c>
      <c r="E4498" s="18" t="s">
        <v>68</v>
      </c>
    </row>
    <row r="4499">
      <c r="A4499" s="1" t="s">
        <v>5669</v>
      </c>
      <c r="B4499" s="1">
        <v>9.18140098109E11</v>
      </c>
      <c r="C4499" s="15" t="str">
        <f t="shared" si="1"/>
        <v>abhirajsinh6@gmail.com918140098109</v>
      </c>
      <c r="D4499" s="17" t="s">
        <v>11966</v>
      </c>
      <c r="E4499" s="18" t="s">
        <v>68</v>
      </c>
    </row>
    <row r="4500">
      <c r="A4500" s="1" t="s">
        <v>5669</v>
      </c>
      <c r="B4500" s="1">
        <v>9.18140098109E11</v>
      </c>
      <c r="C4500" s="15" t="str">
        <f t="shared" si="1"/>
        <v>abhirajsinh6@gmail.com918140098109</v>
      </c>
      <c r="D4500" s="17" t="s">
        <v>11967</v>
      </c>
      <c r="E4500" s="18" t="s">
        <v>68</v>
      </c>
    </row>
    <row r="4501">
      <c r="A4501" s="1" t="s">
        <v>11964</v>
      </c>
      <c r="B4501" s="1">
        <v>9.1848680657E11</v>
      </c>
      <c r="C4501" s="15" t="str">
        <f t="shared" si="1"/>
        <v>kalitakitu@gmail.com918486806570</v>
      </c>
      <c r="D4501" s="17" t="s">
        <v>11968</v>
      </c>
      <c r="E4501" s="18" t="s">
        <v>68</v>
      </c>
    </row>
    <row r="4502">
      <c r="A4502" s="1" t="s">
        <v>4014</v>
      </c>
      <c r="B4502" s="1">
        <v>9.19966456239E11</v>
      </c>
      <c r="C4502" s="15" t="str">
        <f t="shared" si="1"/>
        <v>yashwiz@gmail.com919966456239</v>
      </c>
      <c r="D4502" s="17" t="s">
        <v>11969</v>
      </c>
      <c r="E4502" s="18" t="s">
        <v>68</v>
      </c>
    </row>
    <row r="4503">
      <c r="A4503" s="1" t="s">
        <v>4014</v>
      </c>
      <c r="B4503" s="1">
        <v>9.19966456239E11</v>
      </c>
      <c r="C4503" s="15" t="str">
        <f t="shared" si="1"/>
        <v>yashwiz@gmail.com919966456239</v>
      </c>
      <c r="D4503" s="17" t="s">
        <v>11970</v>
      </c>
      <c r="E4503" s="18" t="s">
        <v>68</v>
      </c>
    </row>
    <row r="4504">
      <c r="A4504" s="1" t="s">
        <v>11971</v>
      </c>
      <c r="B4504" s="1">
        <v>9.18455036589E11</v>
      </c>
      <c r="C4504" s="15" t="str">
        <f t="shared" si="1"/>
        <v>bhoimithun63@gmail.com918455036589</v>
      </c>
      <c r="D4504" s="17" t="s">
        <v>11972</v>
      </c>
      <c r="E4504" s="18" t="s">
        <v>151</v>
      </c>
    </row>
    <row r="4505">
      <c r="A4505" s="1" t="s">
        <v>2578</v>
      </c>
      <c r="B4505" s="1">
        <v>9.19619204241E11</v>
      </c>
      <c r="C4505" s="15" t="str">
        <f t="shared" si="1"/>
        <v>amitabh.madhuri94@gmail.com919619204241</v>
      </c>
      <c r="D4505" s="17" t="s">
        <v>11973</v>
      </c>
      <c r="E4505" s="18" t="s">
        <v>74</v>
      </c>
    </row>
    <row r="4506">
      <c r="A4506" s="1" t="s">
        <v>2578</v>
      </c>
      <c r="B4506" s="1">
        <v>9.19619204241E11</v>
      </c>
      <c r="C4506" s="15" t="str">
        <f t="shared" si="1"/>
        <v>amitabh.madhuri94@gmail.com919619204241</v>
      </c>
      <c r="D4506" s="17" t="s">
        <v>11974</v>
      </c>
      <c r="E4506" s="18" t="s">
        <v>68</v>
      </c>
    </row>
    <row r="4507">
      <c r="A4507" s="1" t="s">
        <v>2578</v>
      </c>
      <c r="B4507" s="1">
        <v>9.19619204241E11</v>
      </c>
      <c r="C4507" s="15" t="str">
        <f t="shared" si="1"/>
        <v>amitabh.madhuri94@gmail.com919619204241</v>
      </c>
      <c r="D4507" s="17" t="s">
        <v>11975</v>
      </c>
      <c r="E4507" s="18" t="s">
        <v>68</v>
      </c>
    </row>
    <row r="4508">
      <c r="A4508" s="1" t="s">
        <v>4016</v>
      </c>
      <c r="B4508" s="1">
        <v>9.19999960734E11</v>
      </c>
      <c r="C4508" s="15" t="str">
        <f t="shared" si="1"/>
        <v>parthbudhraja04@gmail.com919999960734</v>
      </c>
      <c r="D4508" s="17" t="s">
        <v>11976</v>
      </c>
      <c r="E4508" s="18" t="s">
        <v>68</v>
      </c>
    </row>
    <row r="4509">
      <c r="A4509" s="1" t="s">
        <v>2898</v>
      </c>
      <c r="B4509" s="1">
        <v>9.18884543232E11</v>
      </c>
      <c r="C4509" s="15" t="str">
        <f t="shared" si="1"/>
        <v>chandana.vidz@gmail.com918884543232</v>
      </c>
      <c r="D4509" s="17" t="s">
        <v>11977</v>
      </c>
      <c r="E4509" s="18" t="s">
        <v>68</v>
      </c>
    </row>
    <row r="4510">
      <c r="A4510" s="1" t="s">
        <v>5671</v>
      </c>
      <c r="B4510" s="1">
        <v>9.18377817586E11</v>
      </c>
      <c r="C4510" s="15" t="str">
        <f t="shared" si="1"/>
        <v>spot_shaan@rediffmail.com918377817586</v>
      </c>
      <c r="D4510" s="17" t="s">
        <v>11978</v>
      </c>
      <c r="E4510" s="18" t="s">
        <v>68</v>
      </c>
    </row>
    <row r="4511">
      <c r="A4511" s="1" t="s">
        <v>4774</v>
      </c>
      <c r="B4511" s="1">
        <v>9.19729969281E11</v>
      </c>
      <c r="C4511" s="15" t="str">
        <f t="shared" si="1"/>
        <v>komalch1409@gmail.com919729969281</v>
      </c>
      <c r="D4511" s="17" t="s">
        <v>11979</v>
      </c>
      <c r="E4511" s="18" t="s">
        <v>68</v>
      </c>
    </row>
    <row r="4512">
      <c r="A4512" s="1" t="s">
        <v>11980</v>
      </c>
      <c r="B4512" s="1">
        <v>9.17979714474E11</v>
      </c>
      <c r="C4512" s="15" t="str">
        <f t="shared" si="1"/>
        <v>fatimabarira45@gmail.com917979714474</v>
      </c>
      <c r="D4512" s="17" t="s">
        <v>11981</v>
      </c>
      <c r="E4512" s="18" t="s">
        <v>74</v>
      </c>
    </row>
    <row r="4513">
      <c r="A4513" s="1" t="s">
        <v>11980</v>
      </c>
      <c r="B4513" s="1">
        <v>9.17979714474E11</v>
      </c>
      <c r="C4513" s="15" t="str">
        <f t="shared" si="1"/>
        <v>fatimabarira45@gmail.com917979714474</v>
      </c>
      <c r="D4513" s="17" t="s">
        <v>11982</v>
      </c>
      <c r="E4513" s="18" t="s">
        <v>74</v>
      </c>
    </row>
    <row r="4514">
      <c r="A4514" s="1" t="s">
        <v>3866</v>
      </c>
      <c r="B4514" s="1">
        <v>9.19652797105E11</v>
      </c>
      <c r="C4514" s="15" t="str">
        <f t="shared" si="1"/>
        <v>rajluc143@gmail.com919652797105</v>
      </c>
      <c r="D4514" s="17" t="s">
        <v>11983</v>
      </c>
      <c r="E4514" s="18" t="s">
        <v>68</v>
      </c>
    </row>
    <row r="4515">
      <c r="A4515" s="1" t="s">
        <v>11984</v>
      </c>
      <c r="B4515" s="1">
        <v>9.18118918728E11</v>
      </c>
      <c r="C4515" s="15" t="str">
        <f t="shared" si="1"/>
        <v>santoshmayanglambm@gmail.com918118918728</v>
      </c>
      <c r="D4515" s="17" t="s">
        <v>11985</v>
      </c>
      <c r="E4515" s="18" t="s">
        <v>151</v>
      </c>
    </row>
    <row r="4516">
      <c r="A4516" s="1" t="s">
        <v>11986</v>
      </c>
      <c r="B4516" s="1">
        <v>9.1987190111E11</v>
      </c>
      <c r="C4516" s="15" t="str">
        <f t="shared" si="1"/>
        <v>himaanya06@gmail.com919871901110</v>
      </c>
      <c r="D4516" s="17" t="s">
        <v>11987</v>
      </c>
      <c r="E4516" s="18" t="s">
        <v>68</v>
      </c>
    </row>
    <row r="4517">
      <c r="A4517" s="1" t="s">
        <v>3866</v>
      </c>
      <c r="B4517" s="1">
        <v>9.19652797105E11</v>
      </c>
      <c r="C4517" s="15" t="str">
        <f t="shared" si="1"/>
        <v>rajluc143@gmail.com919652797105</v>
      </c>
      <c r="D4517" s="17" t="s">
        <v>11988</v>
      </c>
      <c r="E4517" s="18" t="s">
        <v>68</v>
      </c>
    </row>
    <row r="4518">
      <c r="A4518" s="1" t="s">
        <v>11986</v>
      </c>
      <c r="B4518" s="1">
        <v>9.1987190111E11</v>
      </c>
      <c r="C4518" s="15" t="str">
        <f t="shared" si="1"/>
        <v>himaanya06@gmail.com919871901110</v>
      </c>
      <c r="D4518" s="17" t="s">
        <v>11989</v>
      </c>
      <c r="E4518" s="18" t="s">
        <v>151</v>
      </c>
    </row>
    <row r="4519">
      <c r="A4519" s="1" t="s">
        <v>4248</v>
      </c>
      <c r="B4519" s="1">
        <v>9.19347914978E11</v>
      </c>
      <c r="C4519" s="15" t="str">
        <f t="shared" si="1"/>
        <v>amruthapalukuri01@gmail.com919347914978</v>
      </c>
      <c r="D4519" s="17" t="s">
        <v>11990</v>
      </c>
      <c r="E4519" s="18" t="s">
        <v>68</v>
      </c>
    </row>
    <row r="4520">
      <c r="A4520" s="1" t="s">
        <v>4776</v>
      </c>
      <c r="B4520" s="1">
        <v>9.19030115326E11</v>
      </c>
      <c r="C4520" s="15" t="str">
        <f t="shared" si="1"/>
        <v>hbandaru.mss@gmail.com919030115326</v>
      </c>
      <c r="D4520" s="17" t="s">
        <v>11991</v>
      </c>
      <c r="E4520" s="18" t="s">
        <v>74</v>
      </c>
    </row>
    <row r="4521">
      <c r="A4521" s="1" t="s">
        <v>11992</v>
      </c>
      <c r="B4521" s="1">
        <v>9.19823360266E11</v>
      </c>
      <c r="C4521" s="15" t="str">
        <f t="shared" si="1"/>
        <v>ashwini.ookalkar@gmail.com919823360266</v>
      </c>
      <c r="D4521" s="17" t="s">
        <v>11993</v>
      </c>
      <c r="E4521" s="18" t="s">
        <v>74</v>
      </c>
    </row>
    <row r="4522">
      <c r="A4522" s="1" t="s">
        <v>4036</v>
      </c>
      <c r="B4522" s="1">
        <v>9.18948729723E11</v>
      </c>
      <c r="C4522" s="15" t="str">
        <f t="shared" si="1"/>
        <v>priyasaumyadubey@gmail.com918948729723</v>
      </c>
      <c r="D4522" s="17" t="s">
        <v>11994</v>
      </c>
      <c r="E4522" s="18" t="s">
        <v>68</v>
      </c>
    </row>
    <row r="4523">
      <c r="A4523" s="1" t="s">
        <v>6004</v>
      </c>
      <c r="B4523" s="1">
        <v>9.17544077784E11</v>
      </c>
      <c r="C4523" s="15" t="str">
        <f t="shared" si="1"/>
        <v>ravimahatoslg@gmail.com917544077784</v>
      </c>
      <c r="D4523" s="17" t="s">
        <v>11995</v>
      </c>
      <c r="E4523" s="18" t="s">
        <v>68</v>
      </c>
    </row>
    <row r="4524">
      <c r="A4524" s="1" t="s">
        <v>11996</v>
      </c>
      <c r="B4524" s="1">
        <v>9.1950931041E11</v>
      </c>
      <c r="C4524" s="15" t="str">
        <f t="shared" si="1"/>
        <v>aj.tanishq@gmail.com919509310410</v>
      </c>
      <c r="D4524" s="17" t="s">
        <v>11997</v>
      </c>
      <c r="E4524" s="18" t="s">
        <v>151</v>
      </c>
    </row>
    <row r="4525">
      <c r="A4525" s="1" t="s">
        <v>3753</v>
      </c>
      <c r="B4525" s="1">
        <v>9.17009458959E11</v>
      </c>
      <c r="C4525" s="15" t="str">
        <f t="shared" si="1"/>
        <v>bhumeetgupta2207@gmail.com917009458959</v>
      </c>
      <c r="D4525" s="17" t="s">
        <v>11998</v>
      </c>
      <c r="E4525" s="18" t="s">
        <v>68</v>
      </c>
    </row>
    <row r="4526">
      <c r="A4526" s="1" t="s">
        <v>3654</v>
      </c>
      <c r="B4526" s="1">
        <v>9.18981287494E11</v>
      </c>
      <c r="C4526" s="15" t="str">
        <f t="shared" si="1"/>
        <v>rahul.prasad59336@gmail.com918981287494</v>
      </c>
      <c r="D4526" s="17" t="s">
        <v>11999</v>
      </c>
      <c r="E4526" s="18" t="s">
        <v>68</v>
      </c>
    </row>
    <row r="4527">
      <c r="A4527" s="1" t="s">
        <v>3379</v>
      </c>
      <c r="B4527" s="1">
        <v>9.19443100747E11</v>
      </c>
      <c r="C4527" s="15" t="str">
        <f t="shared" si="1"/>
        <v>duraickkd@gmail.com919443100747</v>
      </c>
      <c r="D4527" s="17" t="s">
        <v>12000</v>
      </c>
      <c r="E4527" s="18" t="s">
        <v>74</v>
      </c>
    </row>
    <row r="4528">
      <c r="A4528" s="1" t="s">
        <v>4251</v>
      </c>
      <c r="B4528" s="1">
        <v>9.17005628647E11</v>
      </c>
      <c r="C4528" s="15" t="str">
        <f t="shared" si="1"/>
        <v>phrangsngi15@gmail.com917005628647</v>
      </c>
      <c r="D4528" s="17" t="s">
        <v>12001</v>
      </c>
      <c r="E4528" s="18" t="s">
        <v>68</v>
      </c>
    </row>
    <row r="4529">
      <c r="A4529" s="1" t="s">
        <v>3656</v>
      </c>
      <c r="B4529" s="1">
        <v>9.18700007979E11</v>
      </c>
      <c r="C4529" s="15" t="str">
        <f t="shared" si="1"/>
        <v>vamsi.palems@gmail.com918700007979</v>
      </c>
      <c r="D4529" s="17" t="s">
        <v>12002</v>
      </c>
      <c r="E4529" s="18" t="s">
        <v>68</v>
      </c>
    </row>
    <row r="4530">
      <c r="A4530" s="1" t="s">
        <v>12003</v>
      </c>
      <c r="B4530" s="1">
        <v>9.1830870452E11</v>
      </c>
      <c r="C4530" s="15" t="str">
        <f t="shared" si="1"/>
        <v>madhuramate2002@gmail.com918308704520</v>
      </c>
      <c r="D4530" s="17" t="s">
        <v>12004</v>
      </c>
      <c r="E4530" s="18" t="s">
        <v>68</v>
      </c>
    </row>
    <row r="4531">
      <c r="A4531" s="1" t="s">
        <v>3658</v>
      </c>
      <c r="B4531" s="1">
        <v>9.18971990104E11</v>
      </c>
      <c r="C4531" s="15" t="str">
        <f t="shared" si="1"/>
        <v>duttguru085@gmail.com918971990104</v>
      </c>
      <c r="D4531" s="17" t="s">
        <v>12005</v>
      </c>
      <c r="E4531" s="18" t="s">
        <v>68</v>
      </c>
    </row>
    <row r="4532">
      <c r="A4532" s="1" t="s">
        <v>3566</v>
      </c>
      <c r="B4532" s="1">
        <v>9.19993727672E11</v>
      </c>
      <c r="C4532" s="15" t="str">
        <f t="shared" si="1"/>
        <v>gunmeet.muchhal@gmail.com919993727672</v>
      </c>
      <c r="D4532" s="17" t="s">
        <v>12006</v>
      </c>
      <c r="E4532" s="18" t="s">
        <v>74</v>
      </c>
    </row>
    <row r="4533">
      <c r="A4533" s="1" t="s">
        <v>5078</v>
      </c>
      <c r="B4533" s="1">
        <v>9.19043982326E11</v>
      </c>
      <c r="C4533" s="15" t="str">
        <f t="shared" si="1"/>
        <v>vigneshvenkatesan5@gmail.com919043982326</v>
      </c>
      <c r="D4533" s="17" t="s">
        <v>12007</v>
      </c>
      <c r="E4533" s="18" t="s">
        <v>97</v>
      </c>
    </row>
    <row r="4534">
      <c r="A4534" s="1" t="s">
        <v>5843</v>
      </c>
      <c r="B4534" s="1">
        <v>9.19971389859E11</v>
      </c>
      <c r="C4534" s="15" t="str">
        <f t="shared" si="1"/>
        <v>sachinnbhallla@hotmail.com919971389859</v>
      </c>
      <c r="D4534" s="17" t="s">
        <v>12008</v>
      </c>
      <c r="E4534" s="18" t="s">
        <v>151</v>
      </c>
    </row>
    <row r="4535">
      <c r="A4535" s="1" t="s">
        <v>12009</v>
      </c>
      <c r="B4535" s="1">
        <v>9.19740345365E11</v>
      </c>
      <c r="C4535" s="15" t="str">
        <f t="shared" si="1"/>
        <v>srikanthsri4738@gmail.com919740345365</v>
      </c>
      <c r="D4535" s="17" t="s">
        <v>12010</v>
      </c>
      <c r="E4535" s="18" t="s">
        <v>68</v>
      </c>
    </row>
    <row r="4536">
      <c r="A4536" s="1" t="s">
        <v>5673</v>
      </c>
      <c r="B4536" s="1">
        <v>9.17992339735E11</v>
      </c>
      <c r="C4536" s="15" t="str">
        <f t="shared" si="1"/>
        <v>rahulshivam867@gmail.com917992339735</v>
      </c>
      <c r="D4536" s="17" t="s">
        <v>12011</v>
      </c>
      <c r="E4536" s="18" t="s">
        <v>68</v>
      </c>
    </row>
    <row r="4537">
      <c r="A4537" s="1" t="s">
        <v>12012</v>
      </c>
      <c r="B4537" s="1">
        <v>9.1958267789E11</v>
      </c>
      <c r="C4537" s="15" t="str">
        <f t="shared" si="1"/>
        <v>insurdoley123@gmsil.com919582677890</v>
      </c>
      <c r="D4537" s="17" t="s">
        <v>12013</v>
      </c>
      <c r="E4537" s="18" t="s">
        <v>68</v>
      </c>
    </row>
    <row r="4538">
      <c r="A4538" s="1" t="s">
        <v>12014</v>
      </c>
      <c r="B4538" s="1">
        <v>9.1958267789E11</v>
      </c>
      <c r="C4538" s="15" t="str">
        <f t="shared" si="1"/>
        <v>insurdoley123@gmail.com919582677890</v>
      </c>
      <c r="D4538" s="17" t="s">
        <v>12015</v>
      </c>
      <c r="E4538" s="18" t="s">
        <v>68</v>
      </c>
    </row>
    <row r="4539">
      <c r="A4539" s="1" t="s">
        <v>2580</v>
      </c>
      <c r="B4539" s="1">
        <v>9.19024031982E11</v>
      </c>
      <c r="C4539" s="15" t="str">
        <f t="shared" si="1"/>
        <v>katariamanish899@gmail.com919024031982</v>
      </c>
      <c r="D4539" s="17" t="s">
        <v>12016</v>
      </c>
      <c r="E4539" s="18" t="s">
        <v>68</v>
      </c>
    </row>
    <row r="4540">
      <c r="A4540" s="1" t="s">
        <v>4776</v>
      </c>
      <c r="B4540" s="1">
        <v>9.19030115326E11</v>
      </c>
      <c r="C4540" s="15" t="str">
        <f t="shared" si="1"/>
        <v>hbandaru.mss@gmail.com919030115326</v>
      </c>
      <c r="D4540" s="17" t="s">
        <v>12017</v>
      </c>
      <c r="E4540" s="18" t="s">
        <v>151</v>
      </c>
    </row>
    <row r="4541">
      <c r="A4541" s="1" t="s">
        <v>4776</v>
      </c>
      <c r="B4541" s="1">
        <v>9.19030115326E11</v>
      </c>
      <c r="C4541" s="15" t="str">
        <f t="shared" si="1"/>
        <v>hbandaru.mss@gmail.com919030115326</v>
      </c>
      <c r="D4541" s="17" t="s">
        <v>12018</v>
      </c>
      <c r="E4541" s="18" t="s">
        <v>151</v>
      </c>
    </row>
    <row r="4542">
      <c r="A4542" s="1" t="s">
        <v>12019</v>
      </c>
      <c r="B4542" s="1">
        <v>9.18099976245E11</v>
      </c>
      <c r="C4542" s="15" t="str">
        <f t="shared" si="1"/>
        <v>sairamtaduri@yahoo.in918099976245</v>
      </c>
      <c r="D4542" s="17" t="s">
        <v>12020</v>
      </c>
      <c r="E4542" s="18" t="s">
        <v>74</v>
      </c>
    </row>
    <row r="4543">
      <c r="A4543" s="1" t="s">
        <v>5080</v>
      </c>
      <c r="B4543" s="1">
        <v>9.1885391673E11</v>
      </c>
      <c r="C4543" s="15" t="str">
        <f t="shared" si="1"/>
        <v>nidhi8oct1997@gmail.com918853916730</v>
      </c>
      <c r="D4543" s="17" t="s">
        <v>12021</v>
      </c>
      <c r="E4543" s="18" t="s">
        <v>68</v>
      </c>
    </row>
    <row r="4544">
      <c r="A4544" s="1" t="s">
        <v>12022</v>
      </c>
      <c r="B4544" s="1">
        <v>9.19474358133E11</v>
      </c>
      <c r="C4544" s="15" t="str">
        <f t="shared" si="1"/>
        <v>parinita.gdg@gmail.com919474358133</v>
      </c>
      <c r="D4544" s="17" t="s">
        <v>12023</v>
      </c>
      <c r="E4544" s="18" t="s">
        <v>74</v>
      </c>
    </row>
    <row r="4545">
      <c r="A4545" s="1" t="s">
        <v>12024</v>
      </c>
      <c r="B4545" s="1">
        <v>9.1810630101E11</v>
      </c>
      <c r="C4545" s="15" t="str">
        <f t="shared" si="1"/>
        <v>shikmrkk@gmail.com918106301010</v>
      </c>
      <c r="D4545" s="17" t="s">
        <v>12025</v>
      </c>
      <c r="E4545" s="18" t="s">
        <v>74</v>
      </c>
    </row>
    <row r="4546">
      <c r="A4546" s="1" t="s">
        <v>3568</v>
      </c>
      <c r="B4546" s="1">
        <v>9.17760461129E11</v>
      </c>
      <c r="C4546" s="15" t="str">
        <f t="shared" si="1"/>
        <v>premrajaparna@gmail.com917760461129</v>
      </c>
      <c r="D4546" s="17" t="s">
        <v>12026</v>
      </c>
      <c r="E4546" s="18" t="s">
        <v>151</v>
      </c>
    </row>
    <row r="4547">
      <c r="A4547" s="1" t="s">
        <v>3570</v>
      </c>
      <c r="B4547" s="1">
        <v>9.18867784378E11</v>
      </c>
      <c r="C4547" s="15" t="str">
        <f t="shared" si="1"/>
        <v>anjummulla70@gmail.com918867784378</v>
      </c>
      <c r="D4547" s="17" t="s">
        <v>12027</v>
      </c>
      <c r="E4547" s="18" t="s">
        <v>68</v>
      </c>
    </row>
    <row r="4548">
      <c r="A4548" s="1" t="s">
        <v>12028</v>
      </c>
      <c r="B4548" s="1">
        <v>9.18586906652E11</v>
      </c>
      <c r="C4548" s="15" t="str">
        <f t="shared" si="1"/>
        <v>shivam01anand@gmail.com918586906652</v>
      </c>
      <c r="D4548" s="17" t="s">
        <v>12029</v>
      </c>
      <c r="E4548" s="18" t="s">
        <v>151</v>
      </c>
    </row>
    <row r="4549">
      <c r="A4549" s="1" t="s">
        <v>6312</v>
      </c>
      <c r="B4549" s="1">
        <v>9.16302631289E11</v>
      </c>
      <c r="C4549" s="15" t="str">
        <f t="shared" si="1"/>
        <v>prudhviraj.chukka426@gmail.com916302631289</v>
      </c>
      <c r="D4549" s="17" t="s">
        <v>12030</v>
      </c>
      <c r="E4549" s="18" t="s">
        <v>68</v>
      </c>
    </row>
    <row r="4550">
      <c r="A4550" s="1" t="s">
        <v>6312</v>
      </c>
      <c r="B4550" s="1">
        <v>9.16302631289E11</v>
      </c>
      <c r="C4550" s="15" t="str">
        <f t="shared" si="1"/>
        <v>prudhviraj.chukka426@gmail.com916302631289</v>
      </c>
      <c r="D4550" s="17" t="s">
        <v>12031</v>
      </c>
      <c r="E4550" s="18" t="s">
        <v>68</v>
      </c>
    </row>
    <row r="4551">
      <c r="A4551" s="1" t="s">
        <v>12032</v>
      </c>
      <c r="B4551" s="1">
        <v>9.18320297743E11</v>
      </c>
      <c r="C4551" s="15" t="str">
        <f t="shared" si="1"/>
        <v>prakashnpdasari@gmail.com918320297743</v>
      </c>
      <c r="D4551" s="17" t="s">
        <v>12033</v>
      </c>
      <c r="E4551" s="18" t="s">
        <v>151</v>
      </c>
    </row>
    <row r="4552">
      <c r="A4552" s="1" t="s">
        <v>3961</v>
      </c>
      <c r="B4552" s="1">
        <v>9.19894218797E11</v>
      </c>
      <c r="C4552" s="15" t="str">
        <f t="shared" si="1"/>
        <v>sankaractive@gmail.com919894218797</v>
      </c>
      <c r="D4552" s="17" t="s">
        <v>12034</v>
      </c>
      <c r="E4552" s="18" t="s">
        <v>74</v>
      </c>
    </row>
    <row r="4553">
      <c r="A4553" s="1" t="s">
        <v>5307</v>
      </c>
      <c r="B4553" s="1">
        <v>9.1989828287E11</v>
      </c>
      <c r="C4553" s="15" t="str">
        <f t="shared" si="1"/>
        <v>jigishanitin@yahoo.com919898282870</v>
      </c>
      <c r="D4553" s="17" t="s">
        <v>12035</v>
      </c>
      <c r="E4553" s="18" t="s">
        <v>74</v>
      </c>
    </row>
    <row r="4554">
      <c r="A4554" s="1" t="s">
        <v>12036</v>
      </c>
      <c r="B4554" s="1">
        <v>9.18334908886E11</v>
      </c>
      <c r="C4554" s="15" t="str">
        <f t="shared" si="1"/>
        <v>rsinha9097@gmail.com918334908886</v>
      </c>
      <c r="D4554" s="17" t="s">
        <v>12037</v>
      </c>
      <c r="E4554" s="18" t="s">
        <v>68</v>
      </c>
    </row>
    <row r="4555">
      <c r="A4555" s="1" t="s">
        <v>4565</v>
      </c>
      <c r="B4555" s="1">
        <v>9.19820358107E11</v>
      </c>
      <c r="C4555" s="15" t="str">
        <f t="shared" si="1"/>
        <v>saurabhhsingh1@gmail.com919820358107</v>
      </c>
      <c r="D4555" s="17" t="s">
        <v>12038</v>
      </c>
      <c r="E4555" s="18" t="s">
        <v>68</v>
      </c>
    </row>
    <row r="4556">
      <c r="A4556" s="1" t="s">
        <v>12039</v>
      </c>
      <c r="B4556" s="1">
        <v>9.19831081002E11</v>
      </c>
      <c r="C4556" s="15" t="str">
        <f t="shared" si="1"/>
        <v>kanu1000@gmail.com919831081002</v>
      </c>
      <c r="D4556" s="17" t="s">
        <v>12040</v>
      </c>
      <c r="E4556" s="18" t="s">
        <v>74</v>
      </c>
    </row>
    <row r="4557">
      <c r="A4557" s="1" t="s">
        <v>12039</v>
      </c>
      <c r="B4557" s="1">
        <v>9.19831081002E11</v>
      </c>
      <c r="C4557" s="15" t="str">
        <f t="shared" si="1"/>
        <v>kanu1000@gmail.com919831081002</v>
      </c>
      <c r="D4557" s="17" t="s">
        <v>12041</v>
      </c>
      <c r="E4557" s="18" t="s">
        <v>74</v>
      </c>
    </row>
    <row r="4558">
      <c r="A4558" s="1" t="s">
        <v>6363</v>
      </c>
      <c r="B4558" s="1">
        <v>9.17887359987E11</v>
      </c>
      <c r="C4558" s="15" t="str">
        <f t="shared" si="1"/>
        <v>pratikmakhija@gmail.com917887359987</v>
      </c>
      <c r="D4558" s="17" t="s">
        <v>12042</v>
      </c>
      <c r="E4558" s="18" t="s">
        <v>68</v>
      </c>
    </row>
    <row r="4559">
      <c r="A4559" s="1" t="s">
        <v>12043</v>
      </c>
      <c r="B4559" s="1">
        <v>9.17520430735E11</v>
      </c>
      <c r="C4559" s="15" t="str">
        <f t="shared" si="1"/>
        <v>samridhisharma813@gmail.com917520430735</v>
      </c>
      <c r="D4559" s="17" t="s">
        <v>12044</v>
      </c>
      <c r="E4559" s="18" t="s">
        <v>74</v>
      </c>
    </row>
    <row r="4560">
      <c r="A4560" s="1" t="s">
        <v>12043</v>
      </c>
      <c r="B4560" s="1">
        <v>9.17520430735E11</v>
      </c>
      <c r="C4560" s="15" t="str">
        <f t="shared" si="1"/>
        <v>samridhisharma813@gmail.com917520430735</v>
      </c>
      <c r="D4560" s="17" t="s">
        <v>12045</v>
      </c>
      <c r="E4560" s="18" t="s">
        <v>74</v>
      </c>
    </row>
    <row r="4561">
      <c r="A4561" s="1" t="s">
        <v>5675</v>
      </c>
      <c r="B4561" s="1">
        <v>9.17981651055E11</v>
      </c>
      <c r="C4561" s="15" t="str">
        <f t="shared" si="1"/>
        <v>srikanthgoud.bathula@gmail.com917981651055</v>
      </c>
      <c r="D4561" s="17" t="s">
        <v>12046</v>
      </c>
      <c r="E4561" s="18" t="s">
        <v>68</v>
      </c>
    </row>
    <row r="4562">
      <c r="A4562" s="1" t="s">
        <v>5675</v>
      </c>
      <c r="B4562" s="1">
        <v>9.17981651055E11</v>
      </c>
      <c r="C4562" s="15" t="str">
        <f t="shared" si="1"/>
        <v>srikanthgoud.bathula@gmail.com917981651055</v>
      </c>
      <c r="D4562" s="17" t="s">
        <v>12047</v>
      </c>
      <c r="E4562" s="18" t="s">
        <v>68</v>
      </c>
    </row>
    <row r="4563">
      <c r="A4563" s="1" t="s">
        <v>2583</v>
      </c>
      <c r="B4563" s="1">
        <v>9.19412906471E11</v>
      </c>
      <c r="C4563" s="15" t="str">
        <f t="shared" si="1"/>
        <v>mailme.utkarsh@gmail.com919412906471</v>
      </c>
      <c r="D4563" s="17" t="s">
        <v>12048</v>
      </c>
      <c r="E4563" s="18" t="s">
        <v>68</v>
      </c>
    </row>
    <row r="4564">
      <c r="A4564" s="1" t="s">
        <v>3572</v>
      </c>
      <c r="B4564" s="1">
        <v>9.19466513189E11</v>
      </c>
      <c r="C4564" s="15" t="str">
        <f t="shared" si="1"/>
        <v>kartikvasisht12597@gmail.com919466513189</v>
      </c>
      <c r="D4564" s="17" t="s">
        <v>12049</v>
      </c>
      <c r="E4564" s="18" t="s">
        <v>68</v>
      </c>
    </row>
    <row r="4565">
      <c r="A4565" s="1" t="s">
        <v>12050</v>
      </c>
      <c r="B4565" s="1">
        <v>9.19999004315E11</v>
      </c>
      <c r="C4565" s="15" t="str">
        <f t="shared" si="1"/>
        <v>thepahadimomma@gmail.com919999004315</v>
      </c>
      <c r="D4565" s="17" t="s">
        <v>12051</v>
      </c>
      <c r="E4565" s="18" t="s">
        <v>74</v>
      </c>
    </row>
    <row r="4566">
      <c r="A4566" s="1" t="s">
        <v>3574</v>
      </c>
      <c r="B4566" s="1">
        <v>9.17030755524E11</v>
      </c>
      <c r="C4566" s="15" t="str">
        <f t="shared" si="1"/>
        <v>ya.yogesh.patil@gmail.com917030755524</v>
      </c>
      <c r="D4566" s="17" t="s">
        <v>12052</v>
      </c>
      <c r="E4566" s="18" t="s">
        <v>68</v>
      </c>
    </row>
    <row r="4567">
      <c r="A4567" s="1" t="s">
        <v>3963</v>
      </c>
      <c r="B4567" s="1">
        <v>9.18899970225E11</v>
      </c>
      <c r="C4567" s="15" t="str">
        <f t="shared" si="1"/>
        <v>srkrahul2479@gmail.com918899970225</v>
      </c>
      <c r="D4567" s="17" t="s">
        <v>12053</v>
      </c>
      <c r="E4567" s="18" t="s">
        <v>68</v>
      </c>
    </row>
    <row r="4568">
      <c r="A4568" s="1" t="s">
        <v>3005</v>
      </c>
      <c r="B4568" s="1">
        <v>9.18885882017E11</v>
      </c>
      <c r="C4568" s="15" t="str">
        <f t="shared" si="1"/>
        <v>manthaprak007@gmail.com918885882017</v>
      </c>
      <c r="D4568" s="17" t="s">
        <v>12054</v>
      </c>
      <c r="E4568" s="18" t="s">
        <v>74</v>
      </c>
    </row>
    <row r="4569">
      <c r="A4569" s="1" t="s">
        <v>3576</v>
      </c>
      <c r="B4569" s="1">
        <v>9.19686674084E11</v>
      </c>
      <c r="C4569" s="15" t="str">
        <f t="shared" si="1"/>
        <v>sowrabhalakshman@gmail.com919686674084</v>
      </c>
      <c r="D4569" s="17" t="s">
        <v>12055</v>
      </c>
      <c r="E4569" s="18" t="s">
        <v>68</v>
      </c>
    </row>
    <row r="4570">
      <c r="A4570" s="1" t="s">
        <v>6181</v>
      </c>
      <c r="B4570" s="1">
        <v>9.18801111139E11</v>
      </c>
      <c r="C4570" s="15" t="str">
        <f t="shared" si="1"/>
        <v>rajeshillpa25@gmail.com918801111139</v>
      </c>
      <c r="D4570" s="17" t="s">
        <v>12056</v>
      </c>
      <c r="E4570" s="18" t="s">
        <v>74</v>
      </c>
    </row>
    <row r="4571">
      <c r="A4571" s="1" t="s">
        <v>2585</v>
      </c>
      <c r="B4571" s="1">
        <v>9.19451358094E11</v>
      </c>
      <c r="C4571" s="15" t="str">
        <f t="shared" si="1"/>
        <v>swati.pushkar11@gmail.com919451358094</v>
      </c>
      <c r="D4571" s="17" t="s">
        <v>12057</v>
      </c>
      <c r="E4571" s="18" t="s">
        <v>68</v>
      </c>
    </row>
    <row r="4572">
      <c r="A4572" s="1" t="s">
        <v>12058</v>
      </c>
      <c r="B4572" s="1">
        <v>9.19729225952E11</v>
      </c>
      <c r="C4572" s="15" t="str">
        <f t="shared" si="1"/>
        <v>sahilparjapati9729@gmail.com919729225952</v>
      </c>
      <c r="D4572" s="17" t="s">
        <v>12059</v>
      </c>
      <c r="E4572" s="18" t="s">
        <v>74</v>
      </c>
    </row>
    <row r="4573">
      <c r="A4573" s="1" t="s">
        <v>3755</v>
      </c>
      <c r="B4573" s="1">
        <v>9.1893978392E11</v>
      </c>
      <c r="C4573" s="15" t="str">
        <f t="shared" si="1"/>
        <v>mmuthu28007@gmail.com918939783920</v>
      </c>
      <c r="D4573" s="17" t="s">
        <v>12060</v>
      </c>
      <c r="E4573" s="18" t="s">
        <v>74</v>
      </c>
    </row>
    <row r="4574">
      <c r="A4574" s="1" t="s">
        <v>12058</v>
      </c>
      <c r="B4574" s="1">
        <v>9.19729225952E11</v>
      </c>
      <c r="C4574" s="15" t="str">
        <f t="shared" si="1"/>
        <v>sahilparjapati9729@gmail.com919729225952</v>
      </c>
      <c r="D4574" s="17" t="s">
        <v>12061</v>
      </c>
      <c r="E4574" s="18" t="s">
        <v>151</v>
      </c>
    </row>
    <row r="4575">
      <c r="A4575" s="1" t="s">
        <v>12058</v>
      </c>
      <c r="B4575" s="1">
        <v>9.19729225952E11</v>
      </c>
      <c r="C4575" s="15" t="str">
        <f t="shared" si="1"/>
        <v>sahilparjapati9729@gmail.com919729225952</v>
      </c>
      <c r="D4575" s="17" t="s">
        <v>12062</v>
      </c>
      <c r="E4575" s="18" t="s">
        <v>74</v>
      </c>
    </row>
    <row r="4576">
      <c r="A4576" s="1" t="s">
        <v>12063</v>
      </c>
      <c r="B4576" s="1">
        <v>9.17674836186E11</v>
      </c>
      <c r="C4576" s="15" t="str">
        <f t="shared" si="1"/>
        <v>idonsavio@gmail.com917674836186</v>
      </c>
      <c r="D4576" s="17" t="s">
        <v>12064</v>
      </c>
      <c r="E4576" s="18" t="s">
        <v>74</v>
      </c>
    </row>
    <row r="4577">
      <c r="A4577" s="1" t="s">
        <v>6666</v>
      </c>
      <c r="B4577" s="1">
        <v>9.1928416697E11</v>
      </c>
      <c r="C4577" s="15" t="str">
        <f t="shared" si="1"/>
        <v>manjusha.rao1312@gmail.com919284166970</v>
      </c>
      <c r="D4577" s="17" t="s">
        <v>12065</v>
      </c>
      <c r="E4577" s="18" t="s">
        <v>68</v>
      </c>
    </row>
    <row r="4578">
      <c r="A4578" s="1" t="s">
        <v>3186</v>
      </c>
      <c r="B4578" s="1">
        <v>9.19104211102E11</v>
      </c>
      <c r="C4578" s="15" t="str">
        <f t="shared" si="1"/>
        <v>dhruvisatikuvar26@gmail.com919104211102</v>
      </c>
      <c r="D4578" s="17" t="s">
        <v>12066</v>
      </c>
      <c r="E4578" s="18" t="s">
        <v>74</v>
      </c>
    </row>
    <row r="4579">
      <c r="A4579" s="1" t="s">
        <v>3660</v>
      </c>
      <c r="B4579" s="1">
        <v>9.17020858997E11</v>
      </c>
      <c r="C4579" s="15" t="str">
        <f t="shared" si="1"/>
        <v>jainamgandhi54@gmail.com917020858997</v>
      </c>
      <c r="D4579" s="17" t="s">
        <v>12067</v>
      </c>
      <c r="E4579" s="18" t="s">
        <v>68</v>
      </c>
    </row>
    <row r="4580">
      <c r="A4580" s="1" t="s">
        <v>4873</v>
      </c>
      <c r="B4580" s="1">
        <v>9.19840463935E11</v>
      </c>
      <c r="C4580" s="15" t="str">
        <f t="shared" si="1"/>
        <v>dilipkumarloganathan@gmail.com919840463935</v>
      </c>
      <c r="D4580" s="17" t="s">
        <v>12068</v>
      </c>
      <c r="E4580" s="18" t="s">
        <v>68</v>
      </c>
    </row>
    <row r="4581">
      <c r="A4581" s="1" t="s">
        <v>4873</v>
      </c>
      <c r="B4581" s="1">
        <v>9.19840463935E11</v>
      </c>
      <c r="C4581" s="15" t="str">
        <f t="shared" si="1"/>
        <v>dilipkumarloganathan@gmail.com919840463935</v>
      </c>
      <c r="D4581" s="17" t="s">
        <v>12069</v>
      </c>
      <c r="E4581" s="18" t="s">
        <v>68</v>
      </c>
    </row>
    <row r="4582">
      <c r="A4582" s="1" t="s">
        <v>2795</v>
      </c>
      <c r="B4582" s="1">
        <v>9.17020209901E11</v>
      </c>
      <c r="C4582" s="15" t="str">
        <f t="shared" si="1"/>
        <v>gaikwadabhishek5@gmail.com917020209901</v>
      </c>
      <c r="D4582" s="17" t="s">
        <v>12070</v>
      </c>
      <c r="E4582" s="18" t="s">
        <v>68</v>
      </c>
    </row>
    <row r="4583">
      <c r="A4583" s="1" t="s">
        <v>2795</v>
      </c>
      <c r="B4583" s="1">
        <v>9.17020209901E11</v>
      </c>
      <c r="C4583" s="15" t="str">
        <f t="shared" si="1"/>
        <v>gaikwadabhishek5@gmail.com917020209901</v>
      </c>
      <c r="D4583" s="17" t="s">
        <v>12071</v>
      </c>
      <c r="E4583" s="18" t="s">
        <v>68</v>
      </c>
    </row>
    <row r="4584">
      <c r="A4584" s="1" t="s">
        <v>5683</v>
      </c>
      <c r="B4584" s="1">
        <v>9.19959353462E11</v>
      </c>
      <c r="C4584" s="15" t="str">
        <f t="shared" si="1"/>
        <v>saiteja3660@gmail.com919959353462</v>
      </c>
      <c r="D4584" s="17" t="s">
        <v>12072</v>
      </c>
      <c r="E4584" s="18" t="s">
        <v>68</v>
      </c>
    </row>
    <row r="4585">
      <c r="A4585" s="1" t="s">
        <v>3965</v>
      </c>
      <c r="B4585" s="1">
        <v>9.1916742312E11</v>
      </c>
      <c r="C4585" s="15" t="str">
        <f t="shared" si="1"/>
        <v>r2k.195@gmail.com919167423120</v>
      </c>
      <c r="D4585" s="17" t="s">
        <v>12073</v>
      </c>
      <c r="E4585" s="18" t="s">
        <v>151</v>
      </c>
    </row>
    <row r="4586">
      <c r="A4586" s="1" t="s">
        <v>5677</v>
      </c>
      <c r="B4586" s="1">
        <v>9.18368895417E11</v>
      </c>
      <c r="C4586" s="15" t="str">
        <f t="shared" si="1"/>
        <v>sankalpmittal305@gmail.com918368895417</v>
      </c>
      <c r="D4586" s="17" t="s">
        <v>12074</v>
      </c>
      <c r="E4586" s="18" t="s">
        <v>68</v>
      </c>
    </row>
    <row r="4587">
      <c r="A4587" s="1" t="s">
        <v>6503</v>
      </c>
      <c r="B4587" s="1">
        <v>9.19915425644E11</v>
      </c>
      <c r="C4587" s="15" t="str">
        <f t="shared" si="1"/>
        <v>rpreet8@gmail.com919915425644</v>
      </c>
      <c r="D4587" s="17" t="s">
        <v>12075</v>
      </c>
      <c r="E4587" s="18" t="s">
        <v>68</v>
      </c>
    </row>
    <row r="4588">
      <c r="A4588" s="1" t="s">
        <v>12076</v>
      </c>
      <c r="B4588" s="1">
        <v>9.17980512684E11</v>
      </c>
      <c r="C4588" s="15" t="str">
        <f t="shared" si="1"/>
        <v>simranbohraaims@gmail.com917980512684</v>
      </c>
      <c r="D4588" s="17" t="s">
        <v>12077</v>
      </c>
      <c r="E4588" s="18" t="s">
        <v>68</v>
      </c>
    </row>
    <row r="4589">
      <c r="A4589" s="1" t="s">
        <v>3967</v>
      </c>
      <c r="B4589" s="1">
        <v>9.19902874858E11</v>
      </c>
      <c r="C4589" s="15" t="str">
        <f t="shared" si="1"/>
        <v>swatisengar23@gmail.com919902874858</v>
      </c>
      <c r="D4589" s="17" t="s">
        <v>12078</v>
      </c>
      <c r="E4589" s="18" t="s">
        <v>74</v>
      </c>
    </row>
    <row r="4590">
      <c r="A4590" s="1" t="s">
        <v>12079</v>
      </c>
      <c r="B4590" s="1">
        <v>9.18310742326E11</v>
      </c>
      <c r="C4590" s="15" t="str">
        <f t="shared" si="1"/>
        <v>test.sdlc@gmail.com918310742326</v>
      </c>
      <c r="D4590" s="17" t="s">
        <v>12080</v>
      </c>
      <c r="E4590" s="18" t="s">
        <v>74</v>
      </c>
    </row>
    <row r="4591">
      <c r="A4591" s="1" t="s">
        <v>3967</v>
      </c>
      <c r="B4591" s="1">
        <v>9.19902874858E11</v>
      </c>
      <c r="C4591" s="15" t="str">
        <f t="shared" si="1"/>
        <v>swatisengar23@gmail.com919902874858</v>
      </c>
      <c r="D4591" s="17" t="s">
        <v>12081</v>
      </c>
      <c r="E4591" s="18" t="s">
        <v>68</v>
      </c>
    </row>
    <row r="4592">
      <c r="A4592" s="1" t="s">
        <v>12079</v>
      </c>
      <c r="B4592" s="1">
        <v>9.18310742326E11</v>
      </c>
      <c r="C4592" s="15" t="str">
        <f t="shared" si="1"/>
        <v>test.sdlc@gmail.com918310742326</v>
      </c>
      <c r="D4592" s="17" t="s">
        <v>12082</v>
      </c>
      <c r="E4592" s="18" t="s">
        <v>74</v>
      </c>
    </row>
    <row r="4593">
      <c r="A4593" s="1" t="s">
        <v>5679</v>
      </c>
      <c r="B4593" s="1">
        <v>9.18999466652E11</v>
      </c>
      <c r="C4593" s="15" t="str">
        <f t="shared" si="1"/>
        <v>sahil.s45531@gmail.com918999466652</v>
      </c>
      <c r="D4593" s="17" t="s">
        <v>12083</v>
      </c>
      <c r="E4593" s="18" t="s">
        <v>68</v>
      </c>
    </row>
    <row r="4594">
      <c r="A4594" s="1" t="s">
        <v>12084</v>
      </c>
      <c r="B4594" s="1">
        <v>9.18310742326E11</v>
      </c>
      <c r="C4594" s="15" t="str">
        <f t="shared" si="1"/>
        <v>kumarinseo@gmail.com918310742326</v>
      </c>
      <c r="D4594" s="17" t="s">
        <v>12085</v>
      </c>
      <c r="E4594" s="18" t="s">
        <v>74</v>
      </c>
    </row>
    <row r="4595">
      <c r="A4595" s="1" t="s">
        <v>5681</v>
      </c>
      <c r="B4595" s="1">
        <v>9.19901655925E11</v>
      </c>
      <c r="C4595" s="15" t="str">
        <f t="shared" si="1"/>
        <v>vk463841@gmail.com919901655925</v>
      </c>
      <c r="D4595" s="17" t="s">
        <v>12086</v>
      </c>
      <c r="E4595" s="18" t="s">
        <v>68</v>
      </c>
    </row>
    <row r="4596">
      <c r="A4596" s="1" t="s">
        <v>12087</v>
      </c>
      <c r="B4596" s="1">
        <v>9.18050828587E11</v>
      </c>
      <c r="C4596" s="15" t="str">
        <f t="shared" si="1"/>
        <v>dhanvin.sap@gmail.com918050828587</v>
      </c>
      <c r="D4596" s="17" t="s">
        <v>12088</v>
      </c>
      <c r="E4596" s="18" t="s">
        <v>74</v>
      </c>
    </row>
    <row r="4597">
      <c r="A4597" s="1" t="s">
        <v>4530</v>
      </c>
      <c r="B4597" s="1">
        <v>9.1702671929E11</v>
      </c>
      <c r="C4597" s="15" t="str">
        <f t="shared" si="1"/>
        <v>sharantejashivakumar@gmail.com917026719290</v>
      </c>
      <c r="D4597" s="17" t="s">
        <v>12089</v>
      </c>
      <c r="E4597" s="18" t="s">
        <v>68</v>
      </c>
    </row>
    <row r="4598">
      <c r="A4598" s="1" t="s">
        <v>6451</v>
      </c>
      <c r="B4598" s="1">
        <v>9.19811124285E11</v>
      </c>
      <c r="C4598" s="15" t="str">
        <f t="shared" si="1"/>
        <v>abhinavgupta11097@gmail.com919811124285</v>
      </c>
      <c r="D4598" s="17" t="s">
        <v>12090</v>
      </c>
      <c r="E4598" s="18" t="s">
        <v>68</v>
      </c>
    </row>
    <row r="4599">
      <c r="A4599" s="1" t="s">
        <v>12087</v>
      </c>
      <c r="B4599" s="1">
        <v>9.18050828587E11</v>
      </c>
      <c r="C4599" s="15" t="str">
        <f t="shared" si="1"/>
        <v>dhanvin.sap@gmail.com918050828587</v>
      </c>
      <c r="D4599" s="17" t="s">
        <v>12091</v>
      </c>
      <c r="E4599" s="18" t="s">
        <v>151</v>
      </c>
    </row>
    <row r="4600">
      <c r="A4600" s="1" t="s">
        <v>3868</v>
      </c>
      <c r="B4600" s="1">
        <v>9.19461002436E11</v>
      </c>
      <c r="C4600" s="15" t="str">
        <f t="shared" si="1"/>
        <v>jj14916@gmail.com919461002436</v>
      </c>
      <c r="D4600" s="17" t="s">
        <v>12092</v>
      </c>
      <c r="E4600" s="18" t="s">
        <v>68</v>
      </c>
    </row>
    <row r="4601">
      <c r="A4601" s="1" t="s">
        <v>5309</v>
      </c>
      <c r="B4601" s="1">
        <v>9.19624287349E11</v>
      </c>
      <c r="C4601" s="15" t="str">
        <f t="shared" si="1"/>
        <v>ketansinghi@gmail.com919624287349</v>
      </c>
      <c r="D4601" s="17" t="s">
        <v>12093</v>
      </c>
      <c r="E4601" s="18" t="s">
        <v>74</v>
      </c>
    </row>
    <row r="4602">
      <c r="A4602" s="1" t="s">
        <v>3757</v>
      </c>
      <c r="B4602" s="1">
        <v>9.17567669441E11</v>
      </c>
      <c r="C4602" s="15" t="str">
        <f t="shared" si="1"/>
        <v>patelankit8597@gmail.com917567669441</v>
      </c>
      <c r="D4602" s="17" t="s">
        <v>12094</v>
      </c>
      <c r="E4602" s="18" t="s">
        <v>151</v>
      </c>
    </row>
    <row r="4603">
      <c r="A4603" s="1" t="s">
        <v>3662</v>
      </c>
      <c r="B4603" s="1">
        <v>9.19833421869E11</v>
      </c>
      <c r="C4603" s="15" t="str">
        <f t="shared" si="1"/>
        <v>iifasarfaraz@gmail.com919833421869</v>
      </c>
      <c r="D4603" s="17" t="s">
        <v>12095</v>
      </c>
      <c r="E4603" s="18" t="s">
        <v>68</v>
      </c>
    </row>
    <row r="4604">
      <c r="A4604" s="1" t="s">
        <v>5502</v>
      </c>
      <c r="B4604" s="1">
        <v>9.19948030444E11</v>
      </c>
      <c r="C4604" s="15" t="str">
        <f t="shared" si="1"/>
        <v>vukecharishma1@gmail.com919948030444</v>
      </c>
      <c r="D4604" s="17" t="s">
        <v>12096</v>
      </c>
      <c r="E4604" s="18" t="s">
        <v>68</v>
      </c>
    </row>
    <row r="4605">
      <c r="A4605" s="1" t="s">
        <v>5082</v>
      </c>
      <c r="B4605" s="1">
        <v>9.1960352796E11</v>
      </c>
      <c r="C4605" s="15" t="str">
        <f t="shared" si="1"/>
        <v>akhilaveeragandham@gmail.com919603527960</v>
      </c>
      <c r="D4605" s="17" t="s">
        <v>12097</v>
      </c>
      <c r="E4605" s="18" t="s">
        <v>151</v>
      </c>
    </row>
    <row r="4606">
      <c r="A4606" s="1" t="s">
        <v>5082</v>
      </c>
      <c r="B4606" s="1">
        <v>9.1960352796E11</v>
      </c>
      <c r="C4606" s="15" t="str">
        <f t="shared" si="1"/>
        <v>akhilaveeragandham@gmail.com919603527960</v>
      </c>
      <c r="D4606" s="17" t="s">
        <v>12098</v>
      </c>
      <c r="E4606" s="18" t="s">
        <v>74</v>
      </c>
    </row>
    <row r="4607">
      <c r="A4607" s="1" t="s">
        <v>3664</v>
      </c>
      <c r="B4607" s="1">
        <v>9.18447569208E11</v>
      </c>
      <c r="C4607" s="15" t="str">
        <f t="shared" si="1"/>
        <v>niteshmahalwal@yahoo.com918447569208</v>
      </c>
      <c r="D4607" s="17" t="s">
        <v>12099</v>
      </c>
      <c r="E4607" s="18" t="s">
        <v>68</v>
      </c>
    </row>
    <row r="4608">
      <c r="A4608" s="1" t="s">
        <v>5683</v>
      </c>
      <c r="B4608" s="1">
        <v>9.19959353462E11</v>
      </c>
      <c r="C4608" s="15" t="str">
        <f t="shared" si="1"/>
        <v>saiteja3660@gmail.com919959353462</v>
      </c>
      <c r="D4608" s="17" t="s">
        <v>12100</v>
      </c>
      <c r="E4608" s="18" t="s">
        <v>68</v>
      </c>
    </row>
    <row r="4609">
      <c r="A4609" s="1" t="s">
        <v>5683</v>
      </c>
      <c r="B4609" s="1">
        <v>9.19959353462E11</v>
      </c>
      <c r="C4609" s="15" t="str">
        <f t="shared" si="1"/>
        <v>saiteja3660@gmail.com919959353462</v>
      </c>
      <c r="D4609" s="17" t="s">
        <v>12101</v>
      </c>
      <c r="E4609" s="18" t="s">
        <v>68</v>
      </c>
    </row>
    <row r="4610">
      <c r="A4610" s="1" t="s">
        <v>3759</v>
      </c>
      <c r="B4610" s="1">
        <v>9.19873374096E11</v>
      </c>
      <c r="C4610" s="15" t="str">
        <f t="shared" si="1"/>
        <v>sourabhjain29@gmai.lcom919873374096</v>
      </c>
      <c r="D4610" s="17" t="s">
        <v>12102</v>
      </c>
      <c r="E4610" s="18" t="s">
        <v>151</v>
      </c>
    </row>
    <row r="4611">
      <c r="A4611" s="1" t="s">
        <v>3759</v>
      </c>
      <c r="B4611" s="1">
        <v>9.19873374096E11</v>
      </c>
      <c r="C4611" s="15" t="str">
        <f t="shared" si="1"/>
        <v>sourabhjain29@gmai.lcom919873374096</v>
      </c>
      <c r="D4611" s="17" t="s">
        <v>12103</v>
      </c>
      <c r="E4611" s="18" t="s">
        <v>68</v>
      </c>
    </row>
    <row r="4612">
      <c r="A4612" s="1" t="s">
        <v>12087</v>
      </c>
      <c r="B4612" s="1">
        <v>9.18050828587E11</v>
      </c>
      <c r="C4612" s="15" t="str">
        <f t="shared" si="1"/>
        <v>dhanvin.sap@gmail.com918050828587</v>
      </c>
      <c r="D4612" s="17" t="s">
        <v>12104</v>
      </c>
      <c r="E4612" s="18" t="s">
        <v>151</v>
      </c>
    </row>
    <row r="4613">
      <c r="A4613" s="1" t="s">
        <v>2587</v>
      </c>
      <c r="B4613" s="1">
        <v>9.170750753E11</v>
      </c>
      <c r="C4613" s="15" t="str">
        <f t="shared" si="1"/>
        <v>kirti23kalonia@gmail.com917075075300</v>
      </c>
      <c r="D4613" s="17" t="s">
        <v>12105</v>
      </c>
      <c r="E4613" s="18" t="s">
        <v>68</v>
      </c>
    </row>
    <row r="4614">
      <c r="A4614" s="1" t="s">
        <v>4778</v>
      </c>
      <c r="B4614" s="1">
        <v>9.16202238926E11</v>
      </c>
      <c r="C4614" s="15" t="str">
        <f t="shared" si="1"/>
        <v>kanhaiya15397@gmail.com916202238926</v>
      </c>
      <c r="D4614" s="17" t="s">
        <v>12106</v>
      </c>
      <c r="E4614" s="18" t="s">
        <v>68</v>
      </c>
    </row>
    <row r="4615">
      <c r="A4615" s="1" t="s">
        <v>632</v>
      </c>
      <c r="B4615" s="1">
        <v>9.19989716007E11</v>
      </c>
      <c r="C4615" s="15" t="str">
        <f t="shared" si="1"/>
        <v>buntyboy.1990@gmail.com919989716007</v>
      </c>
      <c r="D4615" s="17" t="s">
        <v>12107</v>
      </c>
      <c r="E4615" s="18" t="s">
        <v>68</v>
      </c>
    </row>
    <row r="4616">
      <c r="A4616" s="1" t="s">
        <v>676</v>
      </c>
      <c r="B4616" s="1">
        <v>9.19951010183E11</v>
      </c>
      <c r="C4616" s="15" t="str">
        <f t="shared" si="1"/>
        <v>ganelskumar@gmail.com919951010183</v>
      </c>
      <c r="D4616" s="17" t="s">
        <v>12108</v>
      </c>
      <c r="E4616" s="18" t="s">
        <v>68</v>
      </c>
    </row>
    <row r="4617">
      <c r="A4617" s="1" t="s">
        <v>3578</v>
      </c>
      <c r="B4617" s="1">
        <v>9.19811251859E11</v>
      </c>
      <c r="C4617" s="15" t="str">
        <f t="shared" si="1"/>
        <v>kanika.galena@gmail.com919811251859</v>
      </c>
      <c r="D4617" s="17" t="s">
        <v>12109</v>
      </c>
      <c r="E4617" s="18" t="s">
        <v>68</v>
      </c>
    </row>
    <row r="4618">
      <c r="A4618" s="1" t="s">
        <v>5685</v>
      </c>
      <c r="B4618" s="1">
        <v>9.19673275442E11</v>
      </c>
      <c r="C4618" s="15" t="str">
        <f t="shared" si="1"/>
        <v>masayeprabodhan@gmail.com919673275442</v>
      </c>
      <c r="D4618" s="17" t="s">
        <v>12110</v>
      </c>
      <c r="E4618" s="18" t="s">
        <v>68</v>
      </c>
    </row>
    <row r="4619">
      <c r="A4619" s="1" t="s">
        <v>4018</v>
      </c>
      <c r="B4619" s="1">
        <v>9.19538223224E11</v>
      </c>
      <c r="C4619" s="15" t="str">
        <f t="shared" si="1"/>
        <v>giri.scotty@gmail.com919538223224</v>
      </c>
      <c r="D4619" s="17" t="s">
        <v>12111</v>
      </c>
      <c r="E4619" s="18" t="s">
        <v>68</v>
      </c>
    </row>
    <row r="4620">
      <c r="A4620" s="1" t="s">
        <v>2901</v>
      </c>
      <c r="B4620" s="1">
        <v>9.19882251505E11</v>
      </c>
      <c r="C4620" s="15" t="str">
        <f t="shared" si="1"/>
        <v>liveonishan@gmail.com919882251505</v>
      </c>
      <c r="D4620" s="17" t="s">
        <v>12112</v>
      </c>
      <c r="E4620" s="18" t="s">
        <v>68</v>
      </c>
    </row>
    <row r="4621">
      <c r="A4621" s="1" t="s">
        <v>3969</v>
      </c>
      <c r="B4621" s="1">
        <v>9.18057130789E11</v>
      </c>
      <c r="C4621" s="15" t="str">
        <f t="shared" si="1"/>
        <v>rajraghu0131@gmail.com918057130789</v>
      </c>
      <c r="D4621" s="17" t="s">
        <v>12113</v>
      </c>
      <c r="E4621" s="18" t="s">
        <v>68</v>
      </c>
    </row>
    <row r="4622">
      <c r="A4622" s="1" t="s">
        <v>4875</v>
      </c>
      <c r="B4622" s="1">
        <v>9.19493564399E11</v>
      </c>
      <c r="C4622" s="15" t="str">
        <f t="shared" si="1"/>
        <v>chaitanya4v@gmail.com919493564399</v>
      </c>
      <c r="D4622" s="17" t="s">
        <v>12114</v>
      </c>
      <c r="E4622" s="18" t="s">
        <v>68</v>
      </c>
    </row>
    <row r="4623">
      <c r="A4623" s="1" t="s">
        <v>3668</v>
      </c>
      <c r="B4623" s="1">
        <v>9.19445686162E11</v>
      </c>
      <c r="C4623" s="15" t="str">
        <f t="shared" si="1"/>
        <v>nishi2827@gmail.com919445686162</v>
      </c>
      <c r="D4623" s="17" t="s">
        <v>12115</v>
      </c>
      <c r="E4623" s="18" t="s">
        <v>68</v>
      </c>
    </row>
    <row r="4624">
      <c r="A4624" s="1" t="s">
        <v>3668</v>
      </c>
      <c r="B4624" s="1">
        <v>9.19445686162E11</v>
      </c>
      <c r="C4624" s="15" t="str">
        <f t="shared" si="1"/>
        <v>nishi2827@gmail.com919445686162</v>
      </c>
      <c r="D4624" s="17" t="s">
        <v>12116</v>
      </c>
      <c r="E4624" s="18" t="s">
        <v>74</v>
      </c>
    </row>
    <row r="4625">
      <c r="A4625" s="1" t="s">
        <v>4020</v>
      </c>
      <c r="B4625" s="1">
        <v>9.18093725414E11</v>
      </c>
      <c r="C4625" s="15" t="str">
        <f t="shared" si="1"/>
        <v>cantebury119@gmail.com918093725414</v>
      </c>
      <c r="D4625" s="17" t="s">
        <v>12117</v>
      </c>
      <c r="E4625" s="18" t="s">
        <v>68</v>
      </c>
    </row>
    <row r="4626">
      <c r="A4626" s="1" t="s">
        <v>4532</v>
      </c>
      <c r="B4626" s="1">
        <v>9.19829060727E11</v>
      </c>
      <c r="C4626" s="15" t="str">
        <f t="shared" si="1"/>
        <v>sahilsinghal@gmail.com919829060727</v>
      </c>
      <c r="D4626" s="17" t="s">
        <v>12118</v>
      </c>
      <c r="E4626" s="18" t="s">
        <v>68</v>
      </c>
    </row>
    <row r="4627">
      <c r="A4627" s="1" t="s">
        <v>3670</v>
      </c>
      <c r="B4627" s="1">
        <v>9.1883749765E11</v>
      </c>
      <c r="C4627" s="15" t="str">
        <f t="shared" si="1"/>
        <v>thoibanong.122@gmail.com918837497650</v>
      </c>
      <c r="D4627" s="17" t="s">
        <v>12119</v>
      </c>
      <c r="E4627" s="18" t="s">
        <v>74</v>
      </c>
    </row>
    <row r="4628">
      <c r="A4628" s="1" t="s">
        <v>3670</v>
      </c>
      <c r="B4628" s="1">
        <v>9.1883749765E11</v>
      </c>
      <c r="C4628" s="15" t="str">
        <f t="shared" si="1"/>
        <v>thoibanong.122@gmail.com918837497650</v>
      </c>
      <c r="D4628" s="17" t="s">
        <v>12120</v>
      </c>
      <c r="E4628" s="18" t="s">
        <v>68</v>
      </c>
    </row>
    <row r="4629">
      <c r="A4629" s="1" t="s">
        <v>5687</v>
      </c>
      <c r="B4629" s="1">
        <v>9.16207324351E11</v>
      </c>
      <c r="C4629" s="15" t="str">
        <f t="shared" si="1"/>
        <v>avinashkr846@gmail.com916207324351</v>
      </c>
      <c r="D4629" s="17" t="s">
        <v>12121</v>
      </c>
      <c r="E4629" s="18" t="s">
        <v>68</v>
      </c>
    </row>
    <row r="4630">
      <c r="A4630" s="1" t="s">
        <v>6579</v>
      </c>
      <c r="B4630" s="1">
        <v>9.18638370785E11</v>
      </c>
      <c r="C4630" s="15" t="str">
        <f t="shared" si="1"/>
        <v>sonowalsilpisikha@gmail.com918638370785</v>
      </c>
      <c r="D4630" s="17" t="s">
        <v>12122</v>
      </c>
      <c r="E4630" s="18" t="s">
        <v>97</v>
      </c>
    </row>
    <row r="4631">
      <c r="A4631" s="1" t="s">
        <v>12123</v>
      </c>
      <c r="B4631" s="1">
        <v>9.18968339583E11</v>
      </c>
      <c r="C4631" s="15" t="str">
        <f t="shared" si="1"/>
        <v>aman.mangat90@gmail.com918968339583</v>
      </c>
      <c r="D4631" s="17" t="s">
        <v>12124</v>
      </c>
      <c r="E4631" s="18" t="s">
        <v>68</v>
      </c>
    </row>
    <row r="4632">
      <c r="A4632" s="1" t="s">
        <v>5689</v>
      </c>
      <c r="B4632" s="1">
        <v>9.18559939436E11</v>
      </c>
      <c r="C4632" s="15" t="str">
        <f t="shared" si="1"/>
        <v>diamondrathore44@gmail.com918559939436</v>
      </c>
      <c r="D4632" s="17" t="s">
        <v>12125</v>
      </c>
      <c r="E4632" s="18" t="s">
        <v>68</v>
      </c>
    </row>
    <row r="4633">
      <c r="A4633" s="1" t="s">
        <v>12126</v>
      </c>
      <c r="B4633" s="1">
        <v>9.17000847511E11</v>
      </c>
      <c r="C4633" s="15" t="str">
        <f t="shared" si="1"/>
        <v>akshanshsoni8@gmail.com917000847511</v>
      </c>
      <c r="D4633" s="17" t="s">
        <v>12127</v>
      </c>
      <c r="E4633" s="18" t="s">
        <v>151</v>
      </c>
    </row>
    <row r="4634">
      <c r="A4634" s="1" t="s">
        <v>12128</v>
      </c>
      <c r="B4634" s="1">
        <v>9.18902198288E11</v>
      </c>
      <c r="C4634" s="15" t="str">
        <f t="shared" si="1"/>
        <v>sovan2107@yahoo.co.in918902198288</v>
      </c>
      <c r="D4634" s="17" t="s">
        <v>12129</v>
      </c>
      <c r="E4634" s="18" t="s">
        <v>74</v>
      </c>
    </row>
    <row r="4635">
      <c r="A4635" s="1" t="s">
        <v>2903</v>
      </c>
      <c r="B4635" s="1">
        <v>9.19819810979E11</v>
      </c>
      <c r="C4635" s="15" t="str">
        <f t="shared" si="1"/>
        <v>janhavi.yadwad@gmail.com919819810979</v>
      </c>
      <c r="D4635" s="17" t="s">
        <v>12130</v>
      </c>
      <c r="E4635" s="18" t="s">
        <v>74</v>
      </c>
    </row>
    <row r="4636">
      <c r="A4636" s="1" t="s">
        <v>2700</v>
      </c>
      <c r="B4636" s="1">
        <v>9.19911158695E11</v>
      </c>
      <c r="C4636" s="15" t="str">
        <f t="shared" si="1"/>
        <v>kuwalekar.prajakta@gmail.com919911158695</v>
      </c>
      <c r="D4636" s="17" t="s">
        <v>12131</v>
      </c>
      <c r="E4636" s="18" t="s">
        <v>74</v>
      </c>
    </row>
    <row r="4637">
      <c r="A4637" s="1" t="s">
        <v>2700</v>
      </c>
      <c r="B4637" s="1">
        <v>9.19911158695E11</v>
      </c>
      <c r="C4637" s="15" t="str">
        <f t="shared" si="1"/>
        <v>kuwalekar.prajakta@gmail.com919911158695</v>
      </c>
      <c r="D4637" s="17" t="s">
        <v>12132</v>
      </c>
      <c r="E4637" s="18" t="s">
        <v>68</v>
      </c>
    </row>
    <row r="4638">
      <c r="A4638" s="1" t="s">
        <v>2700</v>
      </c>
      <c r="B4638" s="1">
        <v>9.19911158695E11</v>
      </c>
      <c r="C4638" s="15" t="str">
        <f t="shared" si="1"/>
        <v>kuwalekar.prajakta@gmail.com919911158695</v>
      </c>
      <c r="D4638" s="17" t="s">
        <v>12133</v>
      </c>
      <c r="E4638" s="18" t="s">
        <v>68</v>
      </c>
    </row>
    <row r="4639">
      <c r="A4639" s="1" t="s">
        <v>2589</v>
      </c>
      <c r="B4639" s="1">
        <v>9.19565090119E11</v>
      </c>
      <c r="C4639" s="15" t="str">
        <f t="shared" si="1"/>
        <v>vyaspratibha7@gmail.com919565090119</v>
      </c>
      <c r="D4639" s="17" t="s">
        <v>12134</v>
      </c>
      <c r="E4639" s="18" t="s">
        <v>68</v>
      </c>
    </row>
    <row r="4640">
      <c r="A4640" s="1" t="s">
        <v>12135</v>
      </c>
      <c r="B4640" s="1">
        <v>9.19148101554E11</v>
      </c>
      <c r="C4640" s="15" t="str">
        <f t="shared" si="1"/>
        <v>abhishekvikash234@gmail.com919148101554</v>
      </c>
      <c r="D4640" s="17" t="s">
        <v>12136</v>
      </c>
      <c r="E4640" s="18" t="s">
        <v>68</v>
      </c>
    </row>
    <row r="4641">
      <c r="A4641" s="1" t="s">
        <v>12137</v>
      </c>
      <c r="B4641" s="1">
        <v>9.1882799048E11</v>
      </c>
      <c r="C4641" s="15" t="str">
        <f t="shared" si="1"/>
        <v>shindeprasannata098@gmail.com918827990480</v>
      </c>
      <c r="D4641" s="17" t="s">
        <v>12138</v>
      </c>
      <c r="E4641" s="18" t="s">
        <v>68</v>
      </c>
    </row>
    <row r="4642">
      <c r="A4642" s="1" t="s">
        <v>5691</v>
      </c>
      <c r="B4642" s="1">
        <v>9.1874100142E11</v>
      </c>
      <c r="C4642" s="15" t="str">
        <f t="shared" si="1"/>
        <v>ashishbelwal2@gmail.com918741001420</v>
      </c>
      <c r="D4642" s="17" t="s">
        <v>12139</v>
      </c>
      <c r="E4642" s="18" t="s">
        <v>68</v>
      </c>
    </row>
    <row r="4643">
      <c r="A4643" s="1" t="s">
        <v>12140</v>
      </c>
      <c r="B4643" s="1">
        <v>9.19611644919E11</v>
      </c>
      <c r="C4643" s="15" t="str">
        <f t="shared" si="1"/>
        <v>jlakshmi725@gmail.com919611644919</v>
      </c>
      <c r="D4643" s="17" t="s">
        <v>12141</v>
      </c>
      <c r="E4643" s="18" t="s">
        <v>74</v>
      </c>
    </row>
    <row r="4644">
      <c r="A4644" s="1" t="s">
        <v>12140</v>
      </c>
      <c r="B4644" s="1">
        <v>9.19611644919E11</v>
      </c>
      <c r="C4644" s="15" t="str">
        <f t="shared" si="1"/>
        <v>jlakshmi725@gmail.com919611644919</v>
      </c>
      <c r="D4644" s="17" t="s">
        <v>12142</v>
      </c>
      <c r="E4644" s="18" t="s">
        <v>74</v>
      </c>
    </row>
    <row r="4645">
      <c r="A4645" s="1" t="s">
        <v>12140</v>
      </c>
      <c r="B4645" s="1">
        <v>9.19611644919E11</v>
      </c>
      <c r="C4645" s="15" t="str">
        <f t="shared" si="1"/>
        <v>jlakshmi725@gmail.com919611644919</v>
      </c>
      <c r="D4645" s="17" t="s">
        <v>12143</v>
      </c>
      <c r="E4645" s="18" t="s">
        <v>74</v>
      </c>
    </row>
    <row r="4646">
      <c r="A4646" s="1" t="s">
        <v>5693</v>
      </c>
      <c r="B4646" s="1">
        <v>9.17974147359E11</v>
      </c>
      <c r="C4646" s="15" t="str">
        <f t="shared" si="1"/>
        <v>dodiyanarendrasingh76@gmail.com917974147359</v>
      </c>
      <c r="D4646" s="17" t="s">
        <v>12144</v>
      </c>
      <c r="E4646" s="18" t="s">
        <v>68</v>
      </c>
    </row>
    <row r="4647">
      <c r="A4647" s="1" t="s">
        <v>3580</v>
      </c>
      <c r="B4647" s="1">
        <v>9.18939651321E11</v>
      </c>
      <c r="C4647" s="15" t="str">
        <f t="shared" si="1"/>
        <v>moitrarashi@gmail.com918939651321</v>
      </c>
      <c r="D4647" s="17" t="s">
        <v>12145</v>
      </c>
      <c r="E4647" s="18" t="s">
        <v>74</v>
      </c>
    </row>
    <row r="4648">
      <c r="A4648" s="1" t="s">
        <v>3580</v>
      </c>
      <c r="B4648" s="1">
        <v>9.18939651321E11</v>
      </c>
      <c r="C4648" s="15" t="str">
        <f t="shared" si="1"/>
        <v>moitrarashi@gmail.com918939651321</v>
      </c>
      <c r="D4648" s="17" t="s">
        <v>12146</v>
      </c>
      <c r="E4648" s="18" t="s">
        <v>74</v>
      </c>
    </row>
    <row r="4649">
      <c r="A4649" s="1" t="s">
        <v>3580</v>
      </c>
      <c r="B4649" s="1">
        <v>9.18939651321E11</v>
      </c>
      <c r="C4649" s="15" t="str">
        <f t="shared" si="1"/>
        <v>moitrarashi@gmail.com918939651321</v>
      </c>
      <c r="D4649" s="17" t="s">
        <v>12147</v>
      </c>
      <c r="E4649" s="18" t="s">
        <v>74</v>
      </c>
    </row>
    <row r="4650">
      <c r="A4650" s="1" t="s">
        <v>12148</v>
      </c>
      <c r="B4650" s="1">
        <v>9.19988848231E11</v>
      </c>
      <c r="C4650" s="15" t="str">
        <f t="shared" si="1"/>
        <v>pulkitpragmatic@gmail.com919988848231</v>
      </c>
      <c r="D4650" s="17" t="s">
        <v>12149</v>
      </c>
      <c r="E4650" s="18" t="s">
        <v>68</v>
      </c>
    </row>
    <row r="4651">
      <c r="A4651" s="1" t="s">
        <v>6668</v>
      </c>
      <c r="B4651" s="1">
        <v>9.18446222723E11</v>
      </c>
      <c r="C4651" s="15" t="str">
        <f t="shared" si="1"/>
        <v>sayalipatil5028@gmail.com918446222723</v>
      </c>
      <c r="D4651" s="17" t="s">
        <v>12150</v>
      </c>
      <c r="E4651" s="18" t="s">
        <v>68</v>
      </c>
    </row>
    <row r="4652">
      <c r="A4652" s="1" t="s">
        <v>12151</v>
      </c>
      <c r="B4652" s="1">
        <v>9.18010282492E11</v>
      </c>
      <c r="C4652" s="15" t="str">
        <f t="shared" si="1"/>
        <v>akashilohiya@gmail.com918010282492</v>
      </c>
      <c r="D4652" s="17" t="s">
        <v>12152</v>
      </c>
      <c r="E4652" s="18" t="s">
        <v>151</v>
      </c>
    </row>
    <row r="4653">
      <c r="A4653" s="1" t="s">
        <v>4534</v>
      </c>
      <c r="B4653" s="1">
        <v>9.19985866354E11</v>
      </c>
      <c r="C4653" s="15" t="str">
        <f t="shared" si="1"/>
        <v>farhazareen@yahoo.com919985866354</v>
      </c>
      <c r="D4653" s="17" t="s">
        <v>12153</v>
      </c>
      <c r="E4653" s="18" t="s">
        <v>68</v>
      </c>
    </row>
    <row r="4654">
      <c r="A4654" s="1" t="s">
        <v>5311</v>
      </c>
      <c r="B4654" s="1">
        <v>9.18150038307E11</v>
      </c>
      <c r="C4654" s="15" t="str">
        <f t="shared" si="1"/>
        <v>shwetha.126.merill@gmail.com918150038307</v>
      </c>
      <c r="D4654" s="17" t="s">
        <v>12154</v>
      </c>
      <c r="E4654" s="18" t="s">
        <v>68</v>
      </c>
    </row>
    <row r="4655">
      <c r="A4655" s="1" t="s">
        <v>4396</v>
      </c>
      <c r="B4655" s="1">
        <v>9.17376504908E11</v>
      </c>
      <c r="C4655" s="15" t="str">
        <f t="shared" si="1"/>
        <v>inbox.aayushi@gmail.com917376504908</v>
      </c>
      <c r="D4655" s="17" t="s">
        <v>12155</v>
      </c>
      <c r="E4655" s="18" t="s">
        <v>68</v>
      </c>
    </row>
    <row r="4656">
      <c r="A4656" s="1" t="s">
        <v>3188</v>
      </c>
      <c r="B4656" s="1">
        <v>9.17022733053E11</v>
      </c>
      <c r="C4656" s="15" t="str">
        <f t="shared" si="1"/>
        <v>ekta314@gmail.com917022733053</v>
      </c>
      <c r="D4656" s="17" t="s">
        <v>12156</v>
      </c>
      <c r="E4656" s="18" t="s">
        <v>68</v>
      </c>
    </row>
    <row r="4657">
      <c r="A4657" s="1" t="s">
        <v>12157</v>
      </c>
      <c r="B4657" s="1">
        <v>9.19371577155E11</v>
      </c>
      <c r="C4657" s="15" t="str">
        <f t="shared" si="1"/>
        <v>manasig97@gmail.com919371577155</v>
      </c>
      <c r="D4657" s="17" t="s">
        <v>12158</v>
      </c>
      <c r="E4657" s="18" t="s">
        <v>68</v>
      </c>
    </row>
    <row r="4658">
      <c r="A4658" s="1" t="s">
        <v>2905</v>
      </c>
      <c r="B4658" s="1">
        <v>9.19916020232E11</v>
      </c>
      <c r="C4658" s="15" t="str">
        <f t="shared" si="1"/>
        <v>sidthegame@gmail.com919916020232</v>
      </c>
      <c r="D4658" s="17" t="s">
        <v>12159</v>
      </c>
      <c r="E4658" s="18" t="s">
        <v>151</v>
      </c>
    </row>
    <row r="4659">
      <c r="A4659" s="1" t="s">
        <v>2905</v>
      </c>
      <c r="B4659" s="1">
        <v>9.19916020232E11</v>
      </c>
      <c r="C4659" s="15" t="str">
        <f t="shared" si="1"/>
        <v>sidthegame@gmail.com919916020232</v>
      </c>
      <c r="D4659" s="17" t="s">
        <v>12160</v>
      </c>
      <c r="E4659" s="18" t="s">
        <v>68</v>
      </c>
    </row>
    <row r="4660">
      <c r="A4660" s="1" t="s">
        <v>12161</v>
      </c>
      <c r="B4660" s="1">
        <v>9.19479866844E11</v>
      </c>
      <c r="C4660" s="15" t="str">
        <f t="shared" si="1"/>
        <v>abhimanyu160@gmail.com919479866844</v>
      </c>
      <c r="D4660" s="17" t="s">
        <v>12162</v>
      </c>
      <c r="E4660" s="18" t="s">
        <v>68</v>
      </c>
    </row>
    <row r="4661">
      <c r="A4661" s="1" t="s">
        <v>12161</v>
      </c>
      <c r="B4661" s="1">
        <v>9.19479866844E11</v>
      </c>
      <c r="C4661" s="15" t="str">
        <f t="shared" si="1"/>
        <v>abhimanyu160@gmail.com919479866844</v>
      </c>
      <c r="D4661" s="17" t="s">
        <v>12163</v>
      </c>
      <c r="E4661" s="18" t="s">
        <v>74</v>
      </c>
    </row>
    <row r="4662">
      <c r="A4662" s="1" t="s">
        <v>374</v>
      </c>
      <c r="B4662" s="1">
        <v>9.18454085091E11</v>
      </c>
      <c r="C4662" s="15" t="str">
        <f t="shared" si="1"/>
        <v>satish37.tripathi@gmail.com918454085091</v>
      </c>
      <c r="D4662" s="17" t="s">
        <v>12164</v>
      </c>
      <c r="E4662" s="18" t="s">
        <v>68</v>
      </c>
    </row>
    <row r="4663">
      <c r="A4663" s="1" t="s">
        <v>2736</v>
      </c>
      <c r="B4663" s="1">
        <v>9.19489684199E11</v>
      </c>
      <c r="C4663" s="15" t="str">
        <f t="shared" si="1"/>
        <v>hrkrishaan@gmail.com919489684199</v>
      </c>
      <c r="D4663" s="17" t="s">
        <v>12165</v>
      </c>
      <c r="E4663" s="18" t="s">
        <v>68</v>
      </c>
    </row>
    <row r="4664">
      <c r="A4664" s="1" t="s">
        <v>2451</v>
      </c>
      <c r="B4664" s="1">
        <v>9.19731761212E11</v>
      </c>
      <c r="C4664" s="15" t="str">
        <f t="shared" si="1"/>
        <v>krishnaraj.bhatns@gmail.com919731761212</v>
      </c>
      <c r="D4664" s="17" t="s">
        <v>12166</v>
      </c>
      <c r="E4664" s="18" t="s">
        <v>68</v>
      </c>
    </row>
    <row r="4665">
      <c r="A4665" s="1" t="s">
        <v>12167</v>
      </c>
      <c r="B4665" s="1">
        <v>9.17002449937E11</v>
      </c>
      <c r="C4665" s="15" t="str">
        <f t="shared" si="1"/>
        <v>www.eliasmasud786@gmail.com917002449937</v>
      </c>
      <c r="D4665" s="17" t="s">
        <v>12168</v>
      </c>
      <c r="E4665" s="18" t="s">
        <v>151</v>
      </c>
    </row>
    <row r="4666">
      <c r="A4666" s="1" t="s">
        <v>5397</v>
      </c>
      <c r="B4666" s="1">
        <v>9.17740084138E11</v>
      </c>
      <c r="C4666" s="15" t="str">
        <f t="shared" si="1"/>
        <v>tanreetmakeover@gmail.com917740084138</v>
      </c>
      <c r="D4666" s="17" t="s">
        <v>12169</v>
      </c>
      <c r="E4666" s="18" t="s">
        <v>68</v>
      </c>
    </row>
    <row r="4667">
      <c r="A4667" s="1" t="s">
        <v>12170</v>
      </c>
      <c r="B4667" s="1">
        <v>9.19555758022E11</v>
      </c>
      <c r="C4667" s="15" t="str">
        <f t="shared" si="1"/>
        <v>knazneen5552@gmail.com919555758022</v>
      </c>
      <c r="D4667" s="17" t="s">
        <v>12171</v>
      </c>
      <c r="E4667" s="18" t="s">
        <v>68</v>
      </c>
    </row>
    <row r="4668">
      <c r="A4668" s="1" t="s">
        <v>3672</v>
      </c>
      <c r="B4668" s="1">
        <v>9.18334979168E11</v>
      </c>
      <c r="C4668" s="15" t="str">
        <f t="shared" si="1"/>
        <v>rajeshatmakuri@gmail.com918334979168</v>
      </c>
      <c r="D4668" s="17" t="s">
        <v>12172</v>
      </c>
      <c r="E4668" s="18" t="s">
        <v>68</v>
      </c>
    </row>
    <row r="4669">
      <c r="A4669" s="1" t="s">
        <v>2768</v>
      </c>
      <c r="B4669" s="1">
        <v>9.19868133035E11</v>
      </c>
      <c r="C4669" s="15" t="str">
        <f t="shared" si="1"/>
        <v>anjalityagi2014@gmail.com919868133035</v>
      </c>
      <c r="D4669" s="17" t="s">
        <v>12173</v>
      </c>
      <c r="E4669" s="18" t="s">
        <v>68</v>
      </c>
    </row>
    <row r="4670">
      <c r="A4670" s="1" t="s">
        <v>5695</v>
      </c>
      <c r="B4670" s="1">
        <v>9.18962611357E11</v>
      </c>
      <c r="C4670" s="15" t="str">
        <f t="shared" si="1"/>
        <v>deeppuware41@gmail.com918962611357</v>
      </c>
      <c r="D4670" s="17" t="s">
        <v>12174</v>
      </c>
      <c r="E4670" s="18" t="s">
        <v>68</v>
      </c>
    </row>
    <row r="4671">
      <c r="A4671" s="1" t="s">
        <v>12175</v>
      </c>
      <c r="B4671" s="1">
        <v>9.19717717139E11</v>
      </c>
      <c r="C4671" s="15" t="str">
        <f t="shared" si="1"/>
        <v>abharadwaj28@gmail.com919717717139</v>
      </c>
      <c r="D4671" s="17" t="s">
        <v>12176</v>
      </c>
      <c r="E4671" s="18" t="s">
        <v>74</v>
      </c>
    </row>
    <row r="4672">
      <c r="A4672" s="1" t="s">
        <v>12177</v>
      </c>
      <c r="B4672" s="1">
        <v>9.17045220871E11</v>
      </c>
      <c r="C4672" s="15" t="str">
        <f t="shared" si="1"/>
        <v>valentinakini888@gmail.com917045220871</v>
      </c>
      <c r="D4672" s="17" t="s">
        <v>12178</v>
      </c>
      <c r="E4672" s="18" t="s">
        <v>74</v>
      </c>
    </row>
    <row r="4673">
      <c r="A4673" s="1" t="s">
        <v>2591</v>
      </c>
      <c r="B4673" s="1">
        <v>9.19820917454E11</v>
      </c>
      <c r="C4673" s="15" t="str">
        <f t="shared" si="1"/>
        <v>manavjhaveri2000@gmail.com919820917454</v>
      </c>
      <c r="D4673" s="17" t="s">
        <v>12179</v>
      </c>
      <c r="E4673" s="18" t="s">
        <v>151</v>
      </c>
    </row>
    <row r="4674">
      <c r="A4674" s="1" t="s">
        <v>2591</v>
      </c>
      <c r="B4674" s="1">
        <v>9.19820917454E11</v>
      </c>
      <c r="C4674" s="15" t="str">
        <f t="shared" si="1"/>
        <v>manavjhaveri2000@gmail.com919820917454</v>
      </c>
      <c r="D4674" s="17" t="s">
        <v>12180</v>
      </c>
      <c r="E4674" s="18" t="s">
        <v>68</v>
      </c>
    </row>
    <row r="4675">
      <c r="A4675" s="1" t="s">
        <v>12177</v>
      </c>
      <c r="B4675" s="1">
        <v>9.17045220871E11</v>
      </c>
      <c r="C4675" s="15" t="str">
        <f t="shared" si="1"/>
        <v>valentinakini888@gmail.com917045220871</v>
      </c>
      <c r="D4675" s="17" t="s">
        <v>12181</v>
      </c>
      <c r="E4675" s="18" t="s">
        <v>74</v>
      </c>
    </row>
    <row r="4676">
      <c r="A4676" s="1" t="s">
        <v>2451</v>
      </c>
      <c r="B4676" s="1">
        <v>9.19731761212E11</v>
      </c>
      <c r="C4676" s="15" t="str">
        <f t="shared" si="1"/>
        <v>krishnaraj.bhatns@gmail.com919731761212</v>
      </c>
      <c r="D4676" s="17" t="s">
        <v>12182</v>
      </c>
      <c r="E4676" s="18" t="s">
        <v>68</v>
      </c>
    </row>
    <row r="4677">
      <c r="A4677" s="1" t="s">
        <v>12183</v>
      </c>
      <c r="B4677" s="1">
        <v>9.17006298281E11</v>
      </c>
      <c r="C4677" s="15" t="str">
        <f t="shared" si="1"/>
        <v>ruwakitab13@gmail.com917006298281</v>
      </c>
      <c r="D4677" s="17" t="s">
        <v>12184</v>
      </c>
      <c r="E4677" s="18" t="s">
        <v>74</v>
      </c>
    </row>
    <row r="4678">
      <c r="A4678" s="1" t="s">
        <v>4779</v>
      </c>
      <c r="B4678" s="1">
        <v>9.1841198811E11</v>
      </c>
      <c r="C4678" s="15" t="str">
        <f t="shared" si="1"/>
        <v>pritiswarnkar@gmail.com918411988110</v>
      </c>
      <c r="D4678" s="17" t="s">
        <v>12185</v>
      </c>
      <c r="E4678" s="18" t="s">
        <v>68</v>
      </c>
    </row>
    <row r="4679">
      <c r="A4679" s="1" t="s">
        <v>5915</v>
      </c>
      <c r="B4679" s="1">
        <v>9.19075382534E11</v>
      </c>
      <c r="C4679" s="15" t="str">
        <f t="shared" si="1"/>
        <v>blackhamelizabeth@gmail.com919075382534</v>
      </c>
      <c r="D4679" s="17" t="s">
        <v>12186</v>
      </c>
      <c r="E4679" s="18" t="s">
        <v>97</v>
      </c>
    </row>
    <row r="4680">
      <c r="A4680" s="1" t="s">
        <v>6581</v>
      </c>
      <c r="B4680" s="1">
        <v>9.19868768574E11</v>
      </c>
      <c r="C4680" s="15" t="str">
        <f t="shared" si="1"/>
        <v>rituchauhantomar81@gmail.com919868768574</v>
      </c>
      <c r="D4680" s="17" t="s">
        <v>12187</v>
      </c>
      <c r="E4680" s="18" t="s">
        <v>68</v>
      </c>
    </row>
    <row r="4681">
      <c r="A4681" s="1" t="s">
        <v>3582</v>
      </c>
      <c r="B4681" s="1">
        <v>9.18014422643E11</v>
      </c>
      <c r="C4681" s="15" t="str">
        <f t="shared" si="1"/>
        <v>kchamling15@gmail.com918014422643</v>
      </c>
      <c r="D4681" s="17" t="s">
        <v>12188</v>
      </c>
      <c r="E4681" s="18" t="s">
        <v>68</v>
      </c>
    </row>
    <row r="4682">
      <c r="A4682" s="1" t="s">
        <v>6583</v>
      </c>
      <c r="B4682" s="1">
        <v>9.1895372848E11</v>
      </c>
      <c r="C4682" s="15" t="str">
        <f t="shared" si="1"/>
        <v>sasya.thakur@gmail.com918953728480</v>
      </c>
      <c r="D4682" s="17" t="s">
        <v>12189</v>
      </c>
      <c r="E4682" s="18" t="s">
        <v>68</v>
      </c>
    </row>
    <row r="4683">
      <c r="A4683" s="1" t="s">
        <v>3879</v>
      </c>
      <c r="B4683" s="1">
        <v>9.18420839714E11</v>
      </c>
      <c r="C4683" s="15" t="str">
        <f t="shared" si="1"/>
        <v>meghaseth148@gmail.com918420839714</v>
      </c>
      <c r="D4683" s="17" t="s">
        <v>12190</v>
      </c>
      <c r="E4683" s="18" t="s">
        <v>68</v>
      </c>
    </row>
    <row r="4684">
      <c r="A4684" s="1" t="s">
        <v>12191</v>
      </c>
      <c r="B4684" s="1">
        <v>9.1950327745E11</v>
      </c>
      <c r="C4684" s="15" t="str">
        <f t="shared" si="1"/>
        <v>srshekhar001@gmail.com919503277450</v>
      </c>
      <c r="D4684" s="17" t="s">
        <v>12192</v>
      </c>
      <c r="E4684" s="18" t="s">
        <v>68</v>
      </c>
    </row>
    <row r="4685">
      <c r="A4685" s="1" t="s">
        <v>4431</v>
      </c>
      <c r="B4685" s="1">
        <v>9.17499633179E11</v>
      </c>
      <c r="C4685" s="15" t="str">
        <f t="shared" si="1"/>
        <v>preranagawde08@gmail.com917499633179</v>
      </c>
      <c r="D4685" s="17" t="s">
        <v>12193</v>
      </c>
      <c r="E4685" s="18" t="s">
        <v>151</v>
      </c>
    </row>
    <row r="4686">
      <c r="A4686" s="1" t="s">
        <v>4781</v>
      </c>
      <c r="B4686" s="1">
        <v>9.17997026835E11</v>
      </c>
      <c r="C4686" s="15" t="str">
        <f t="shared" si="1"/>
        <v>gedelak99@gmail.com917997026835</v>
      </c>
      <c r="D4686" s="17" t="s">
        <v>12194</v>
      </c>
      <c r="E4686" s="18" t="s">
        <v>68</v>
      </c>
    </row>
    <row r="4687">
      <c r="A4687" s="1" t="s">
        <v>3882</v>
      </c>
      <c r="B4687" s="1">
        <v>9.19899354222E11</v>
      </c>
      <c r="C4687" s="15" t="str">
        <f t="shared" si="1"/>
        <v>canitinkataria@gmail.com919899354222</v>
      </c>
      <c r="D4687" s="17" t="s">
        <v>12195</v>
      </c>
      <c r="E4687" s="18" t="s">
        <v>68</v>
      </c>
    </row>
    <row r="4688">
      <c r="A4688" s="1" t="s">
        <v>12196</v>
      </c>
      <c r="B4688" s="1">
        <v>9.19810636426E11</v>
      </c>
      <c r="C4688" s="15" t="str">
        <f t="shared" si="1"/>
        <v>sylvesterandrews@yahoo.com919810636426</v>
      </c>
      <c r="D4688" s="17" t="s">
        <v>12197</v>
      </c>
      <c r="E4688" s="18" t="s">
        <v>74</v>
      </c>
    </row>
    <row r="4689">
      <c r="A4689" s="1" t="s">
        <v>6314</v>
      </c>
      <c r="B4689" s="1">
        <v>9.16261224243E11</v>
      </c>
      <c r="C4689" s="15" t="str">
        <f t="shared" si="1"/>
        <v>ydvaditya14@gmail.com916261224243</v>
      </c>
      <c r="D4689" s="17" t="s">
        <v>12198</v>
      </c>
      <c r="E4689" s="18" t="s">
        <v>151</v>
      </c>
    </row>
    <row r="4690">
      <c r="A4690" s="1" t="s">
        <v>12199</v>
      </c>
      <c r="B4690" s="1">
        <v>9.17043637032E11</v>
      </c>
      <c r="C4690" s="15" t="str">
        <f t="shared" si="1"/>
        <v>velerarishikesh@gmail.com917043637032</v>
      </c>
      <c r="D4690" s="17" t="s">
        <v>12200</v>
      </c>
      <c r="E4690" s="18" t="s">
        <v>68</v>
      </c>
    </row>
    <row r="4691">
      <c r="A4691" s="1" t="s">
        <v>3674</v>
      </c>
      <c r="B4691" s="1">
        <v>9.19156760744E11</v>
      </c>
      <c r="C4691" s="15" t="str">
        <f t="shared" si="1"/>
        <v>venkateshambala14@gmail.com919156760744</v>
      </c>
      <c r="D4691" s="17" t="s">
        <v>12201</v>
      </c>
      <c r="E4691" s="18" t="s">
        <v>68</v>
      </c>
    </row>
    <row r="4692">
      <c r="A4692" s="1" t="s">
        <v>6670</v>
      </c>
      <c r="B4692" s="1">
        <v>9.1995309909E11</v>
      </c>
      <c r="C4692" s="15" t="str">
        <f t="shared" si="1"/>
        <v>awesomeanshu@gmail.com919953099090</v>
      </c>
      <c r="D4692" s="17" t="s">
        <v>12202</v>
      </c>
      <c r="E4692" s="18" t="s">
        <v>68</v>
      </c>
    </row>
    <row r="4693">
      <c r="A4693" s="1" t="s">
        <v>4783</v>
      </c>
      <c r="B4693" s="1">
        <v>9.17217626682E11</v>
      </c>
      <c r="C4693" s="15" t="str">
        <f t="shared" si="1"/>
        <v>ssidrah69@gmail.com917217626682</v>
      </c>
      <c r="D4693" s="17" t="s">
        <v>12203</v>
      </c>
      <c r="E4693" s="18" t="s">
        <v>68</v>
      </c>
    </row>
    <row r="4694">
      <c r="A4694" s="1" t="s">
        <v>5504</v>
      </c>
      <c r="B4694" s="1">
        <v>9.17999811058E11</v>
      </c>
      <c r="C4694" s="15" t="str">
        <f t="shared" si="1"/>
        <v>anshaynagpal22@gmail.com917999811058</v>
      </c>
      <c r="D4694" s="17" t="s">
        <v>12204</v>
      </c>
      <c r="E4694" s="18" t="s">
        <v>68</v>
      </c>
    </row>
    <row r="4695">
      <c r="A4695" s="1" t="s">
        <v>4785</v>
      </c>
      <c r="B4695" s="1">
        <v>9.19998745833E11</v>
      </c>
      <c r="C4695" s="15" t="str">
        <f t="shared" si="1"/>
        <v>mehta.sushir@gmail.com919998745833</v>
      </c>
      <c r="D4695" s="17" t="s">
        <v>12205</v>
      </c>
      <c r="E4695" s="18" t="s">
        <v>151</v>
      </c>
    </row>
    <row r="4696">
      <c r="A4696" s="1" t="s">
        <v>4785</v>
      </c>
      <c r="B4696" s="1">
        <v>9.19998745833E11</v>
      </c>
      <c r="C4696" s="15" t="str">
        <f t="shared" si="1"/>
        <v>mehta.sushir@gmail.com919998745833</v>
      </c>
      <c r="D4696" s="17" t="s">
        <v>12206</v>
      </c>
      <c r="E4696" s="18" t="s">
        <v>68</v>
      </c>
    </row>
    <row r="4697">
      <c r="A4697" s="1" t="s">
        <v>2818</v>
      </c>
      <c r="B4697" s="1">
        <v>9.19861041424E11</v>
      </c>
      <c r="C4697" s="15" t="str">
        <f t="shared" si="1"/>
        <v>adyaanuragdas@gmail.com919861041424</v>
      </c>
      <c r="D4697" s="17" t="s">
        <v>12207</v>
      </c>
      <c r="E4697" s="18" t="s">
        <v>68</v>
      </c>
    </row>
    <row r="4698">
      <c r="A4698" s="1" t="s">
        <v>12208</v>
      </c>
      <c r="B4698" s="1">
        <v>9.18056131322E11</v>
      </c>
      <c r="C4698" s="15" t="str">
        <f t="shared" si="1"/>
        <v>yogeshwari93@gmail.com918056131322</v>
      </c>
      <c r="D4698" s="17" t="s">
        <v>12209</v>
      </c>
      <c r="E4698" s="18" t="s">
        <v>151</v>
      </c>
    </row>
    <row r="4699">
      <c r="A4699" s="1" t="s">
        <v>5697</v>
      </c>
      <c r="B4699" s="1">
        <v>9.1993620607E11</v>
      </c>
      <c r="C4699" s="15" t="str">
        <f t="shared" si="1"/>
        <v>dhanishtiwari07@gmail.com919936206070</v>
      </c>
      <c r="D4699" s="17" t="s">
        <v>12210</v>
      </c>
      <c r="E4699" s="18" t="s">
        <v>68</v>
      </c>
    </row>
    <row r="4700">
      <c r="A4700" s="1" t="s">
        <v>2380</v>
      </c>
      <c r="B4700" s="1">
        <v>9.19163390973E11</v>
      </c>
      <c r="C4700" s="15" t="str">
        <f t="shared" si="1"/>
        <v>rini.bhowal77@gmail.com919163390973</v>
      </c>
      <c r="D4700" s="17" t="s">
        <v>12211</v>
      </c>
      <c r="E4700" s="18" t="s">
        <v>68</v>
      </c>
    </row>
    <row r="4701">
      <c r="A4701" s="1" t="s">
        <v>12212</v>
      </c>
      <c r="B4701" s="1">
        <v>9.19884391454E11</v>
      </c>
      <c r="C4701" s="15" t="str">
        <f t="shared" si="1"/>
        <v>sri.k.111@gmail.com919884391454</v>
      </c>
      <c r="D4701" s="17" t="s">
        <v>12213</v>
      </c>
      <c r="E4701" s="18" t="s">
        <v>74</v>
      </c>
    </row>
    <row r="4702">
      <c r="A4702" s="1" t="s">
        <v>5699</v>
      </c>
      <c r="B4702" s="1">
        <v>9.19354284667E11</v>
      </c>
      <c r="C4702" s="15" t="str">
        <f t="shared" si="1"/>
        <v>sksarfarazkhan3438@gmail.com919354284667</v>
      </c>
      <c r="D4702" s="17" t="s">
        <v>12214</v>
      </c>
      <c r="E4702" s="18" t="s">
        <v>68</v>
      </c>
    </row>
    <row r="4703">
      <c r="A4703" s="1" t="s">
        <v>4414</v>
      </c>
      <c r="B4703" s="1">
        <v>9.18754541518E11</v>
      </c>
      <c r="C4703" s="15" t="str">
        <f t="shared" si="1"/>
        <v>arul.georginal@gmail.com918754541518</v>
      </c>
      <c r="D4703" s="17" t="s">
        <v>12215</v>
      </c>
      <c r="E4703" s="18" t="s">
        <v>68</v>
      </c>
    </row>
    <row r="4704">
      <c r="A4704" s="1" t="s">
        <v>3971</v>
      </c>
      <c r="B4704" s="1">
        <v>9.19728399128E11</v>
      </c>
      <c r="C4704" s="15" t="str">
        <f t="shared" si="1"/>
        <v>gaurav.kumar2128@gmail.com919728399128</v>
      </c>
      <c r="D4704" s="17" t="s">
        <v>12216</v>
      </c>
      <c r="E4704" s="18" t="s">
        <v>68</v>
      </c>
    </row>
    <row r="4705">
      <c r="A4705" s="1" t="s">
        <v>3884</v>
      </c>
      <c r="B4705" s="1">
        <v>9.18951290299E11</v>
      </c>
      <c r="C4705" s="15" t="str">
        <f t="shared" si="1"/>
        <v>noufalkopu@yahoo.com918951290299</v>
      </c>
      <c r="D4705" s="17" t="s">
        <v>12217</v>
      </c>
      <c r="E4705" s="18" t="s">
        <v>151</v>
      </c>
    </row>
    <row r="4706">
      <c r="A4706" s="1" t="s">
        <v>4536</v>
      </c>
      <c r="B4706" s="1">
        <v>9.17416142423E11</v>
      </c>
      <c r="C4706" s="15" t="str">
        <f t="shared" si="1"/>
        <v>anirudhshastry77@gmail.com917416142423</v>
      </c>
      <c r="D4706" s="17" t="s">
        <v>12218</v>
      </c>
      <c r="E4706" s="18" t="s">
        <v>68</v>
      </c>
    </row>
    <row r="4707">
      <c r="A4707" s="1" t="s">
        <v>6452</v>
      </c>
      <c r="B4707" s="1">
        <v>9.19833594995E11</v>
      </c>
      <c r="C4707" s="15" t="str">
        <f t="shared" si="1"/>
        <v>preeti.tris2k2@yahoo.co.in919833594995</v>
      </c>
      <c r="D4707" s="17" t="s">
        <v>12219</v>
      </c>
      <c r="E4707" s="18" t="s">
        <v>74</v>
      </c>
    </row>
    <row r="4708">
      <c r="A4708" s="1" t="s">
        <v>2451</v>
      </c>
      <c r="B4708" s="1">
        <v>9.19731761212E11</v>
      </c>
      <c r="C4708" s="15" t="str">
        <f t="shared" si="1"/>
        <v>krishnaraj.bhatns@gmail.com919731761212</v>
      </c>
      <c r="D4708" s="17" t="s">
        <v>12220</v>
      </c>
      <c r="E4708" s="18" t="s">
        <v>68</v>
      </c>
    </row>
    <row r="4709">
      <c r="A4709" s="1" t="s">
        <v>5084</v>
      </c>
      <c r="B4709" s="1">
        <v>9.17382565727E11</v>
      </c>
      <c r="C4709" s="15" t="str">
        <f t="shared" si="1"/>
        <v>udayduggireddy@gmail.com917382565727</v>
      </c>
      <c r="D4709" s="17" t="s">
        <v>12221</v>
      </c>
      <c r="E4709" s="18" t="s">
        <v>68</v>
      </c>
    </row>
    <row r="4710">
      <c r="A4710" s="1" t="s">
        <v>2593</v>
      </c>
      <c r="B4710" s="1">
        <v>9.19582646447E11</v>
      </c>
      <c r="C4710" s="15" t="str">
        <f t="shared" si="1"/>
        <v>praroop.trivedi149@gmail.com919582646447</v>
      </c>
      <c r="D4710" s="17" t="s">
        <v>12222</v>
      </c>
      <c r="E4710" s="18" t="s">
        <v>68</v>
      </c>
    </row>
    <row r="4711">
      <c r="A4711" s="1" t="s">
        <v>4877</v>
      </c>
      <c r="B4711" s="1">
        <v>9.19870569314E11</v>
      </c>
      <c r="C4711" s="15" t="str">
        <f t="shared" si="1"/>
        <v>parul280897@gmail.com919870569314</v>
      </c>
      <c r="D4711" s="17" t="s">
        <v>12223</v>
      </c>
      <c r="E4711" s="18" t="s">
        <v>151</v>
      </c>
    </row>
    <row r="4712">
      <c r="A4712" s="1" t="s">
        <v>6673</v>
      </c>
      <c r="B4712" s="1">
        <v>9.18788897043E11</v>
      </c>
      <c r="C4712" s="15" t="str">
        <f t="shared" si="1"/>
        <v>akshtasingh4574@gmail.com918788897043</v>
      </c>
      <c r="D4712" s="17" t="s">
        <v>12224</v>
      </c>
      <c r="E4712" s="18" t="s">
        <v>74</v>
      </c>
    </row>
    <row r="4713">
      <c r="A4713" s="1" t="s">
        <v>6675</v>
      </c>
      <c r="B4713" s="1">
        <v>9.19896275886E11</v>
      </c>
      <c r="C4713" s="15" t="str">
        <f t="shared" si="1"/>
        <v>sujatav076@gmail.com919896275886</v>
      </c>
      <c r="D4713" s="17" t="s">
        <v>12225</v>
      </c>
      <c r="E4713" s="18" t="s">
        <v>151</v>
      </c>
    </row>
    <row r="4714">
      <c r="A4714" s="1" t="s">
        <v>6675</v>
      </c>
      <c r="B4714" s="1">
        <v>9.19896275886E11</v>
      </c>
      <c r="C4714" s="15" t="str">
        <f t="shared" si="1"/>
        <v>sujatav076@gmail.com919896275886</v>
      </c>
      <c r="D4714" s="17" t="s">
        <v>12226</v>
      </c>
      <c r="E4714" s="18" t="s">
        <v>151</v>
      </c>
    </row>
    <row r="4715">
      <c r="A4715" s="1" t="s">
        <v>6675</v>
      </c>
      <c r="B4715" s="1">
        <v>9.19896275886E11</v>
      </c>
      <c r="C4715" s="15" t="str">
        <f t="shared" si="1"/>
        <v>sujatav076@gmail.com919896275886</v>
      </c>
      <c r="D4715" s="17" t="s">
        <v>12227</v>
      </c>
      <c r="E4715" s="18" t="s">
        <v>97</v>
      </c>
    </row>
    <row r="4716">
      <c r="A4716" s="1" t="s">
        <v>12228</v>
      </c>
      <c r="B4716" s="1">
        <v>9.19819199465E11</v>
      </c>
      <c r="C4716" s="15" t="str">
        <f t="shared" si="1"/>
        <v>veejaythakker@gmail.com919819199465</v>
      </c>
      <c r="D4716" s="17" t="s">
        <v>12229</v>
      </c>
      <c r="E4716" s="18" t="s">
        <v>74</v>
      </c>
    </row>
    <row r="4717">
      <c r="A4717" s="1" t="s">
        <v>4538</v>
      </c>
      <c r="B4717" s="1">
        <v>9.19885155515E11</v>
      </c>
      <c r="C4717" s="15" t="str">
        <f t="shared" si="1"/>
        <v>shazia.sayeed@gmail.com919885155515</v>
      </c>
      <c r="D4717" s="17" t="s">
        <v>12230</v>
      </c>
      <c r="E4717" s="18" t="s">
        <v>97</v>
      </c>
    </row>
    <row r="4718">
      <c r="A4718" s="1" t="s">
        <v>3870</v>
      </c>
      <c r="B4718" s="1">
        <v>9.18826460651E11</v>
      </c>
      <c r="C4718" s="15" t="str">
        <f t="shared" si="1"/>
        <v>pradeepjoshi228@gmail.com918826460651</v>
      </c>
      <c r="D4718" s="17" t="s">
        <v>12231</v>
      </c>
      <c r="E4718" s="18" t="s">
        <v>68</v>
      </c>
    </row>
    <row r="4719">
      <c r="A4719" s="1" t="s">
        <v>3584</v>
      </c>
      <c r="B4719" s="1">
        <v>9.19082173436E11</v>
      </c>
      <c r="C4719" s="15" t="str">
        <f t="shared" si="1"/>
        <v>prathameshkamble0002@gmail.com919082173436</v>
      </c>
      <c r="D4719" s="17" t="s">
        <v>12232</v>
      </c>
      <c r="E4719" s="18" t="s">
        <v>68</v>
      </c>
    </row>
    <row r="4720">
      <c r="A4720" s="1" t="s">
        <v>12233</v>
      </c>
      <c r="B4720" s="1">
        <v>9.1956186892E11</v>
      </c>
      <c r="C4720" s="15" t="str">
        <f t="shared" si="1"/>
        <v>priyaa423@gmail.com919561868920</v>
      </c>
      <c r="D4720" s="17" t="s">
        <v>12234</v>
      </c>
      <c r="E4720" s="18" t="s">
        <v>151</v>
      </c>
    </row>
    <row r="4721">
      <c r="A4721" s="1" t="s">
        <v>3870</v>
      </c>
      <c r="B4721" s="1">
        <v>9.18826460651E11</v>
      </c>
      <c r="C4721" s="15" t="str">
        <f t="shared" si="1"/>
        <v>pradeepjoshi228@gmail.com918826460651</v>
      </c>
      <c r="D4721" s="17" t="s">
        <v>12235</v>
      </c>
      <c r="E4721" s="18" t="s">
        <v>68</v>
      </c>
    </row>
    <row r="4722">
      <c r="A4722" s="1" t="s">
        <v>12177</v>
      </c>
      <c r="B4722" s="1">
        <v>9.17045220871E11</v>
      </c>
      <c r="C4722" s="15" t="str">
        <f t="shared" si="1"/>
        <v>valentinakini888@gmail.com917045220871</v>
      </c>
      <c r="D4722" s="17" t="s">
        <v>12236</v>
      </c>
      <c r="E4722" s="18" t="s">
        <v>74</v>
      </c>
    </row>
    <row r="4723">
      <c r="A4723" s="1" t="s">
        <v>4540</v>
      </c>
      <c r="B4723" s="1">
        <v>9.19663152234E11</v>
      </c>
      <c r="C4723" s="15" t="str">
        <f t="shared" si="1"/>
        <v>namitha.vir@gmail.com919663152234</v>
      </c>
      <c r="D4723" s="17" t="s">
        <v>12237</v>
      </c>
      <c r="E4723" s="18" t="s">
        <v>68</v>
      </c>
    </row>
    <row r="4724">
      <c r="A4724" s="1" t="s">
        <v>2595</v>
      </c>
      <c r="B4724" s="1">
        <v>9.19096293778E11</v>
      </c>
      <c r="C4724" s="15" t="str">
        <f t="shared" si="1"/>
        <v>faizanpashu@gmail.com919096293778</v>
      </c>
      <c r="D4724" s="17" t="s">
        <v>12238</v>
      </c>
      <c r="E4724" s="18" t="s">
        <v>68</v>
      </c>
    </row>
    <row r="4725">
      <c r="A4725" s="1" t="s">
        <v>6147</v>
      </c>
      <c r="B4725" s="1">
        <v>9.18755953014E11</v>
      </c>
      <c r="C4725" s="15" t="str">
        <f t="shared" si="1"/>
        <v>harshchawla905@gmail.com918755953014</v>
      </c>
      <c r="D4725" s="17" t="s">
        <v>12239</v>
      </c>
      <c r="E4725" s="18" t="s">
        <v>68</v>
      </c>
    </row>
    <row r="4726">
      <c r="A4726" s="1" t="s">
        <v>6147</v>
      </c>
      <c r="B4726" s="1">
        <v>9.18755953014E11</v>
      </c>
      <c r="C4726" s="15" t="str">
        <f t="shared" si="1"/>
        <v>harshchawla905@gmail.com918755953014</v>
      </c>
      <c r="D4726" s="17" t="s">
        <v>12240</v>
      </c>
      <c r="E4726" s="18" t="s">
        <v>68</v>
      </c>
    </row>
    <row r="4727">
      <c r="A4727" s="1" t="s">
        <v>3677</v>
      </c>
      <c r="B4727" s="1">
        <v>9.19818026344E11</v>
      </c>
      <c r="C4727" s="15" t="str">
        <f t="shared" si="1"/>
        <v>sukriti2626@yahoo.in919818026344</v>
      </c>
      <c r="D4727" s="17" t="s">
        <v>12241</v>
      </c>
      <c r="E4727" s="18" t="s">
        <v>68</v>
      </c>
    </row>
    <row r="4728">
      <c r="A4728" s="1" t="s">
        <v>3679</v>
      </c>
      <c r="B4728" s="1">
        <v>9.18087144416E11</v>
      </c>
      <c r="C4728" s="15" t="str">
        <f t="shared" si="1"/>
        <v>nirajshah51@gmail.com918087144416</v>
      </c>
      <c r="D4728" s="17" t="s">
        <v>12242</v>
      </c>
      <c r="E4728" s="18" t="s">
        <v>68</v>
      </c>
    </row>
    <row r="4729">
      <c r="A4729" s="1" t="s">
        <v>6316</v>
      </c>
      <c r="B4729" s="1">
        <v>9.19844801194E11</v>
      </c>
      <c r="C4729" s="15" t="str">
        <f t="shared" si="1"/>
        <v>tcmanojmanu@gmail.com919844801194</v>
      </c>
      <c r="D4729" s="17" t="s">
        <v>12243</v>
      </c>
      <c r="E4729" s="18" t="s">
        <v>68</v>
      </c>
    </row>
    <row r="4730">
      <c r="A4730" s="1" t="s">
        <v>12244</v>
      </c>
      <c r="B4730" s="1">
        <v>9.19780887821E11</v>
      </c>
      <c r="C4730" s="15" t="str">
        <f t="shared" si="1"/>
        <v>ranjeev17@gmail.com919780887821</v>
      </c>
      <c r="D4730" s="17" t="s">
        <v>12245</v>
      </c>
      <c r="E4730" s="18" t="s">
        <v>151</v>
      </c>
    </row>
    <row r="4731">
      <c r="A4731" s="1" t="s">
        <v>12246</v>
      </c>
      <c r="B4731" s="1">
        <v>9.18790071252E11</v>
      </c>
      <c r="C4731" s="15" t="str">
        <f t="shared" si="1"/>
        <v>sunilmansi41@gmail.com918790071252</v>
      </c>
      <c r="D4731" s="17" t="s">
        <v>12247</v>
      </c>
      <c r="E4731" s="18" t="s">
        <v>74</v>
      </c>
    </row>
    <row r="4732">
      <c r="A4732" s="1" t="s">
        <v>6171</v>
      </c>
      <c r="B4732" s="1">
        <v>9.19654019881E11</v>
      </c>
      <c r="C4732" s="15" t="str">
        <f t="shared" si="1"/>
        <v>anjali.gaba@gmail.com919654019881</v>
      </c>
      <c r="D4732" s="17" t="s">
        <v>12248</v>
      </c>
      <c r="E4732" s="18" t="s">
        <v>74</v>
      </c>
    </row>
    <row r="4733">
      <c r="A4733" s="1" t="s">
        <v>6171</v>
      </c>
      <c r="B4733" s="1">
        <v>9.19654019881E11</v>
      </c>
      <c r="C4733" s="15" t="str">
        <f t="shared" si="1"/>
        <v>anjali.gaba@gmail.com919654019881</v>
      </c>
      <c r="D4733" s="17" t="s">
        <v>12249</v>
      </c>
      <c r="E4733" s="18" t="s">
        <v>74</v>
      </c>
    </row>
    <row r="4734">
      <c r="A4734" s="1" t="s">
        <v>4253</v>
      </c>
      <c r="B4734" s="1">
        <v>9.17036442068E11</v>
      </c>
      <c r="C4734" s="15" t="str">
        <f t="shared" si="1"/>
        <v>saipranavi488@gmail.com917036442068</v>
      </c>
      <c r="D4734" s="17" t="s">
        <v>12250</v>
      </c>
      <c r="E4734" s="18" t="s">
        <v>68</v>
      </c>
    </row>
    <row r="4735">
      <c r="A4735" s="1" t="s">
        <v>12251</v>
      </c>
      <c r="B4735" s="1">
        <v>9.19966794972E11</v>
      </c>
      <c r="C4735" s="15" t="str">
        <f t="shared" si="1"/>
        <v>reddy.chendana@gmail.com919966794972</v>
      </c>
      <c r="D4735" s="17" t="s">
        <v>12252</v>
      </c>
      <c r="E4735" s="18" t="s">
        <v>68</v>
      </c>
    </row>
    <row r="4736">
      <c r="A4736" s="1" t="s">
        <v>12253</v>
      </c>
      <c r="B4736" s="1">
        <v>9.19989449883E11</v>
      </c>
      <c r="C4736" s="15" t="str">
        <f t="shared" si="1"/>
        <v>pavanm9883@gmail.com919989449883</v>
      </c>
      <c r="D4736" s="17" t="s">
        <v>12254</v>
      </c>
      <c r="E4736" s="18" t="s">
        <v>68</v>
      </c>
    </row>
    <row r="4737">
      <c r="A4737" s="1" t="s">
        <v>12255</v>
      </c>
      <c r="B4737" s="1">
        <v>9.17019888414E11</v>
      </c>
      <c r="C4737" s="15" t="str">
        <f t="shared" si="1"/>
        <v>induselvanmurthy15@gmail.com917019888414</v>
      </c>
      <c r="D4737" s="17" t="s">
        <v>12256</v>
      </c>
      <c r="E4737" s="18" t="s">
        <v>68</v>
      </c>
    </row>
    <row r="4738">
      <c r="A4738" s="1" t="s">
        <v>12255</v>
      </c>
      <c r="B4738" s="1">
        <v>9.17019888414E11</v>
      </c>
      <c r="C4738" s="15" t="str">
        <f t="shared" si="1"/>
        <v>induselvanmurthy15@gmail.com917019888414</v>
      </c>
      <c r="D4738" s="17" t="s">
        <v>12257</v>
      </c>
      <c r="E4738" s="18" t="s">
        <v>68</v>
      </c>
    </row>
    <row r="4739">
      <c r="A4739" s="1" t="s">
        <v>12255</v>
      </c>
      <c r="B4739" s="1">
        <v>9.17019888414E11</v>
      </c>
      <c r="C4739" s="15" t="str">
        <f t="shared" si="1"/>
        <v>induselvanmurthy15@gmail.com917019888414</v>
      </c>
      <c r="D4739" s="17" t="s">
        <v>12258</v>
      </c>
      <c r="E4739" s="18" t="s">
        <v>68</v>
      </c>
    </row>
    <row r="4740">
      <c r="A4740" s="1" t="s">
        <v>3681</v>
      </c>
      <c r="B4740" s="1">
        <v>9.19005800063E11</v>
      </c>
      <c r="C4740" s="15" t="str">
        <f t="shared" si="1"/>
        <v>soodio@neogi.com919005800063</v>
      </c>
      <c r="D4740" s="17" t="s">
        <v>12259</v>
      </c>
      <c r="E4740" s="18" t="s">
        <v>68</v>
      </c>
    </row>
    <row r="4741">
      <c r="A4741" s="1" t="s">
        <v>3973</v>
      </c>
      <c r="B4741" s="1">
        <v>9.18121507601E11</v>
      </c>
      <c r="C4741" s="15" t="str">
        <f t="shared" si="1"/>
        <v>bharadwaj175@gmail.com918121507601</v>
      </c>
      <c r="D4741" s="17" t="s">
        <v>12260</v>
      </c>
      <c r="E4741" s="18" t="s">
        <v>68</v>
      </c>
    </row>
    <row r="4742">
      <c r="A4742" s="1" t="s">
        <v>4022</v>
      </c>
      <c r="B4742" s="1">
        <v>9.71558838094E11</v>
      </c>
      <c r="C4742" s="15" t="str">
        <f t="shared" si="1"/>
        <v>mohitd_mht@hotmail.com971558838094</v>
      </c>
      <c r="D4742" s="17" t="s">
        <v>12261</v>
      </c>
      <c r="E4742" s="18" t="s">
        <v>74</v>
      </c>
    </row>
    <row r="4743">
      <c r="A4743" s="1" t="s">
        <v>3586</v>
      </c>
      <c r="B4743" s="1">
        <v>9.18770632502E11</v>
      </c>
      <c r="C4743" s="15" t="str">
        <f t="shared" si="1"/>
        <v>arpit.shrivastava93@gmail.com918770632502</v>
      </c>
      <c r="D4743" s="17" t="s">
        <v>12262</v>
      </c>
      <c r="E4743" s="18" t="s">
        <v>68</v>
      </c>
    </row>
    <row r="4744">
      <c r="A4744" s="1" t="s">
        <v>6494</v>
      </c>
      <c r="B4744" s="1">
        <v>9.19560575373E11</v>
      </c>
      <c r="C4744" s="15" t="str">
        <f t="shared" si="1"/>
        <v>drtulikasen@gmail.com919560575373</v>
      </c>
      <c r="D4744" s="17" t="s">
        <v>12263</v>
      </c>
      <c r="E4744" s="18" t="s">
        <v>74</v>
      </c>
    </row>
    <row r="4745">
      <c r="A4745" s="1" t="s">
        <v>3872</v>
      </c>
      <c r="B4745" s="1">
        <v>9.17007956134E11</v>
      </c>
      <c r="C4745" s="15" t="str">
        <f t="shared" si="1"/>
        <v>narula.dhruv05@gmail.com917007956134</v>
      </c>
      <c r="D4745" s="17" t="s">
        <v>12264</v>
      </c>
      <c r="E4745" s="18" t="s">
        <v>68</v>
      </c>
    </row>
    <row r="4746">
      <c r="A4746" s="1" t="s">
        <v>12265</v>
      </c>
      <c r="B4746" s="1">
        <v>9.19997036913E11</v>
      </c>
      <c r="C4746" s="15" t="str">
        <f t="shared" si="1"/>
        <v>bs6474450@gmail.com919997036913</v>
      </c>
      <c r="D4746" s="17" t="s">
        <v>12266</v>
      </c>
      <c r="E4746" s="18" t="s">
        <v>74</v>
      </c>
    </row>
    <row r="4747">
      <c r="A4747" s="1" t="s">
        <v>12265</v>
      </c>
      <c r="B4747" s="1">
        <v>9.19997036913E11</v>
      </c>
      <c r="C4747" s="15" t="str">
        <f t="shared" si="1"/>
        <v>bs6474450@gmail.com919997036913</v>
      </c>
      <c r="D4747" s="17" t="s">
        <v>12267</v>
      </c>
      <c r="E4747" s="18" t="s">
        <v>74</v>
      </c>
    </row>
    <row r="4748">
      <c r="A4748" s="1" t="s">
        <v>12268</v>
      </c>
      <c r="B4748" s="1">
        <v>9.19309907193E11</v>
      </c>
      <c r="C4748" s="15" t="str">
        <f t="shared" si="1"/>
        <v>palvesharda681@lgmail.com919309907193</v>
      </c>
      <c r="D4748" s="17" t="s">
        <v>12269</v>
      </c>
      <c r="E4748" s="18" t="s">
        <v>68</v>
      </c>
    </row>
    <row r="4749">
      <c r="A4749" s="1" t="s">
        <v>3588</v>
      </c>
      <c r="B4749" s="1">
        <v>9.19752585428E11</v>
      </c>
      <c r="C4749" s="15" t="str">
        <f t="shared" si="1"/>
        <v>nekramsen@gmail.com919752585428</v>
      </c>
      <c r="D4749" s="17" t="s">
        <v>12270</v>
      </c>
      <c r="E4749" s="18" t="s">
        <v>68</v>
      </c>
    </row>
    <row r="4750">
      <c r="A4750" s="1" t="s">
        <v>4024</v>
      </c>
      <c r="B4750" s="1">
        <v>9.19896991273E11</v>
      </c>
      <c r="C4750" s="15" t="str">
        <f t="shared" si="1"/>
        <v>hrkone@icloud.com919896991273</v>
      </c>
      <c r="D4750" s="17" t="s">
        <v>12271</v>
      </c>
      <c r="E4750" s="18" t="s">
        <v>68</v>
      </c>
    </row>
    <row r="4751">
      <c r="A4751" s="1" t="s">
        <v>3588</v>
      </c>
      <c r="B4751" s="1">
        <v>9.19752585428E11</v>
      </c>
      <c r="C4751" s="15" t="str">
        <f t="shared" si="1"/>
        <v>nekramsen@gmail.com919752585428</v>
      </c>
      <c r="D4751" s="17" t="s">
        <v>12272</v>
      </c>
      <c r="E4751" s="18" t="s">
        <v>68</v>
      </c>
    </row>
    <row r="4752">
      <c r="A4752" s="1" t="s">
        <v>3874</v>
      </c>
      <c r="B4752" s="1">
        <v>9.18329745711E11</v>
      </c>
      <c r="C4752" s="15" t="str">
        <f t="shared" si="1"/>
        <v>manishvjb@outlook.com918329745711</v>
      </c>
      <c r="D4752" s="17" t="s">
        <v>12273</v>
      </c>
      <c r="E4752" s="18" t="s">
        <v>151</v>
      </c>
    </row>
    <row r="4753">
      <c r="A4753" s="1" t="s">
        <v>3874</v>
      </c>
      <c r="B4753" s="1">
        <v>9.18329745711E11</v>
      </c>
      <c r="C4753" s="15" t="str">
        <f t="shared" si="1"/>
        <v>manishvjb@outlook.com918329745711</v>
      </c>
      <c r="D4753" s="17" t="s">
        <v>12274</v>
      </c>
      <c r="E4753" s="18" t="s">
        <v>151</v>
      </c>
    </row>
    <row r="4754">
      <c r="A4754" s="1" t="s">
        <v>3874</v>
      </c>
      <c r="B4754" s="1">
        <v>9.18329745711E11</v>
      </c>
      <c r="C4754" s="15" t="str">
        <f t="shared" si="1"/>
        <v>manishvjb@outlook.com918329745711</v>
      </c>
      <c r="D4754" s="17" t="s">
        <v>12275</v>
      </c>
      <c r="E4754" s="18" t="s">
        <v>151</v>
      </c>
    </row>
    <row r="4755">
      <c r="A4755" s="1" t="s">
        <v>3874</v>
      </c>
      <c r="B4755" s="1">
        <v>9.19975723414E11</v>
      </c>
      <c r="C4755" s="15" t="str">
        <f t="shared" si="1"/>
        <v>manishvjb@outlook.com919975723414</v>
      </c>
      <c r="D4755" s="17" t="s">
        <v>12276</v>
      </c>
      <c r="E4755" s="18" t="s">
        <v>151</v>
      </c>
    </row>
    <row r="4756">
      <c r="A4756" s="1" t="s">
        <v>12161</v>
      </c>
      <c r="B4756" s="1">
        <v>9.17470918772E11</v>
      </c>
      <c r="C4756" s="15" t="str">
        <f t="shared" si="1"/>
        <v>abhimanyu160@gmail.com917470918772</v>
      </c>
      <c r="D4756" s="17" t="s">
        <v>12277</v>
      </c>
      <c r="E4756" s="18" t="s">
        <v>74</v>
      </c>
    </row>
    <row r="4757">
      <c r="A4757" s="1" t="s">
        <v>12161</v>
      </c>
      <c r="B4757" s="1">
        <v>9.17470918772E11</v>
      </c>
      <c r="C4757" s="15" t="str">
        <f t="shared" si="1"/>
        <v>abhimanyu160@gmail.com917470918772</v>
      </c>
      <c r="D4757" s="17" t="s">
        <v>12278</v>
      </c>
      <c r="E4757" s="18" t="s">
        <v>74</v>
      </c>
    </row>
    <row r="4758">
      <c r="A4758" s="1" t="s">
        <v>6365</v>
      </c>
      <c r="B4758" s="1">
        <v>9.19999937769E11</v>
      </c>
      <c r="C4758" s="15" t="str">
        <f t="shared" si="1"/>
        <v>swatibhamboria@gmail.com919999937769</v>
      </c>
      <c r="D4758" s="17" t="s">
        <v>12279</v>
      </c>
      <c r="E4758" s="18" t="s">
        <v>68</v>
      </c>
    </row>
    <row r="4759">
      <c r="A4759" s="1" t="s">
        <v>6365</v>
      </c>
      <c r="B4759" s="1">
        <v>9.19999937769E11</v>
      </c>
      <c r="C4759" s="15" t="str">
        <f t="shared" si="1"/>
        <v>swatibhamboria@gmail.com919999937769</v>
      </c>
      <c r="D4759" s="17" t="s">
        <v>12280</v>
      </c>
      <c r="E4759" s="18" t="s">
        <v>68</v>
      </c>
    </row>
    <row r="4760">
      <c r="A4760" s="1" t="s">
        <v>6365</v>
      </c>
      <c r="B4760" s="1">
        <v>9.19999937769E11</v>
      </c>
      <c r="C4760" s="15" t="str">
        <f t="shared" si="1"/>
        <v>swatibhamboria@gmail.com919999937769</v>
      </c>
      <c r="D4760" s="17" t="s">
        <v>12281</v>
      </c>
      <c r="E4760" s="18" t="s">
        <v>68</v>
      </c>
    </row>
    <row r="4761">
      <c r="A4761" s="1" t="s">
        <v>12265</v>
      </c>
      <c r="B4761" s="1">
        <v>9.19997036913E11</v>
      </c>
      <c r="C4761" s="15" t="str">
        <f t="shared" si="1"/>
        <v>bs6474450@gmail.com919997036913</v>
      </c>
      <c r="D4761" s="17" t="s">
        <v>12282</v>
      </c>
      <c r="E4761" s="18" t="s">
        <v>74</v>
      </c>
    </row>
    <row r="4762">
      <c r="A4762" s="1" t="s">
        <v>4542</v>
      </c>
      <c r="B4762" s="1">
        <v>9.18019021901E11</v>
      </c>
      <c r="C4762" s="15" t="str">
        <f t="shared" si="1"/>
        <v>geeta23002@gmail.com918019021901</v>
      </c>
      <c r="D4762" s="17" t="s">
        <v>12283</v>
      </c>
      <c r="E4762" s="18" t="s">
        <v>74</v>
      </c>
    </row>
    <row r="4763">
      <c r="A4763" s="1" t="s">
        <v>3683</v>
      </c>
      <c r="B4763" s="1">
        <v>9.19059990307E11</v>
      </c>
      <c r="C4763" s="15" t="str">
        <f t="shared" si="1"/>
        <v>kbsdental@gmail.com919059990307</v>
      </c>
      <c r="D4763" s="17" t="s">
        <v>12284</v>
      </c>
      <c r="E4763" s="18" t="s">
        <v>68</v>
      </c>
    </row>
    <row r="4764">
      <c r="A4764" s="1" t="s">
        <v>3590</v>
      </c>
      <c r="B4764" s="1">
        <v>9.18957777612E11</v>
      </c>
      <c r="C4764" s="15" t="str">
        <f t="shared" si="1"/>
        <v>shalini.maurya41@gmail.com918957777612</v>
      </c>
      <c r="D4764" s="17" t="s">
        <v>12285</v>
      </c>
      <c r="E4764" s="18" t="s">
        <v>68</v>
      </c>
    </row>
    <row r="4765">
      <c r="A4765" s="1" t="s">
        <v>6228</v>
      </c>
      <c r="B4765" s="1">
        <v>9.19916965352E11</v>
      </c>
      <c r="C4765" s="15" t="str">
        <f t="shared" si="1"/>
        <v>avinash24490@gmail.com919916965352</v>
      </c>
      <c r="D4765" s="17" t="s">
        <v>12286</v>
      </c>
      <c r="E4765" s="18" t="s">
        <v>151</v>
      </c>
    </row>
    <row r="4766">
      <c r="A4766" s="1" t="s">
        <v>2451</v>
      </c>
      <c r="B4766" s="1">
        <v>9.19731761212E11</v>
      </c>
      <c r="C4766" s="15" t="str">
        <f t="shared" si="1"/>
        <v>krishnaraj.bhatns@gmail.com919731761212</v>
      </c>
      <c r="D4766" s="17" t="s">
        <v>12287</v>
      </c>
      <c r="E4766" s="18" t="s">
        <v>68</v>
      </c>
    </row>
    <row r="4767">
      <c r="A4767" s="1" t="s">
        <v>4026</v>
      </c>
      <c r="B4767" s="1">
        <v>9.17597818723E11</v>
      </c>
      <c r="C4767" s="15" t="str">
        <f t="shared" si="1"/>
        <v>yashdubey71@gmail.com917597818723</v>
      </c>
      <c r="D4767" s="17" t="s">
        <v>12288</v>
      </c>
      <c r="E4767" s="18" t="s">
        <v>151</v>
      </c>
    </row>
    <row r="4768">
      <c r="A4768" s="1" t="s">
        <v>4879</v>
      </c>
      <c r="B4768" s="1">
        <v>9.19315624641E11</v>
      </c>
      <c r="C4768" s="15" t="str">
        <f t="shared" si="1"/>
        <v>jyoti1408singh@gmail.com919315624641</v>
      </c>
      <c r="D4768" s="17" t="s">
        <v>12289</v>
      </c>
      <c r="E4768" s="18" t="s">
        <v>68</v>
      </c>
    </row>
    <row r="4769">
      <c r="A4769" s="1" t="s">
        <v>374</v>
      </c>
      <c r="B4769" s="1">
        <v>9.18454085091E11</v>
      </c>
      <c r="C4769" s="15" t="str">
        <f t="shared" si="1"/>
        <v>satish37.tripathi@gmail.com918454085091</v>
      </c>
      <c r="D4769" s="17" t="s">
        <v>12290</v>
      </c>
      <c r="E4769" s="18" t="s">
        <v>68</v>
      </c>
    </row>
    <row r="4770">
      <c r="A4770" s="1" t="s">
        <v>12291</v>
      </c>
      <c r="B4770" s="1">
        <v>9.19890123505E11</v>
      </c>
      <c r="C4770" s="15" t="str">
        <f t="shared" si="1"/>
        <v>shet.deepen99@gmail.com919890123505</v>
      </c>
      <c r="D4770" s="17" t="s">
        <v>12292</v>
      </c>
      <c r="E4770" s="18" t="s">
        <v>68</v>
      </c>
    </row>
    <row r="4771">
      <c r="A4771" s="1" t="s">
        <v>5086</v>
      </c>
      <c r="B4771" s="1">
        <v>9.19582144911E11</v>
      </c>
      <c r="C4771" s="15" t="str">
        <f t="shared" si="1"/>
        <v>prlgupta34@gmail.com919582144911</v>
      </c>
      <c r="D4771" s="17" t="s">
        <v>12293</v>
      </c>
      <c r="E4771" s="18" t="s">
        <v>68</v>
      </c>
    </row>
    <row r="4772">
      <c r="A4772" s="1" t="s">
        <v>4028</v>
      </c>
      <c r="B4772" s="1">
        <v>9.19952955477E11</v>
      </c>
      <c r="C4772" s="15" t="str">
        <f t="shared" si="1"/>
        <v>connexioncctv@gmail.com919952955477</v>
      </c>
      <c r="D4772" s="17" t="s">
        <v>12294</v>
      </c>
      <c r="E4772" s="18" t="s">
        <v>74</v>
      </c>
    </row>
    <row r="4773">
      <c r="A4773" s="1" t="s">
        <v>4881</v>
      </c>
      <c r="B4773" s="1">
        <v>9.18637564797E11</v>
      </c>
      <c r="C4773" s="15" t="str">
        <f t="shared" si="1"/>
        <v>debdattachakraborty15@gmail.com918637564797</v>
      </c>
      <c r="D4773" s="17" t="s">
        <v>12295</v>
      </c>
      <c r="E4773" s="18" t="s">
        <v>68</v>
      </c>
    </row>
    <row r="4774">
      <c r="A4774" s="1" t="s">
        <v>12296</v>
      </c>
      <c r="B4774" s="1">
        <v>9.17501592766E11</v>
      </c>
      <c r="C4774" s="15" t="str">
        <f t="shared" si="1"/>
        <v>soumyajitm63@gmail.com917501592766</v>
      </c>
      <c r="D4774" s="17" t="s">
        <v>12297</v>
      </c>
      <c r="E4774" s="18" t="s">
        <v>74</v>
      </c>
    </row>
    <row r="4775">
      <c r="A4775" s="1" t="s">
        <v>6454</v>
      </c>
      <c r="B4775" s="1">
        <v>9.19996035316E11</v>
      </c>
      <c r="C4775" s="15" t="str">
        <f t="shared" si="1"/>
        <v>jiveshbhu@gmail.com919996035316</v>
      </c>
      <c r="D4775" s="17" t="s">
        <v>12298</v>
      </c>
      <c r="E4775" s="18" t="s">
        <v>68</v>
      </c>
    </row>
    <row r="4776">
      <c r="A4776" s="1" t="s">
        <v>3876</v>
      </c>
      <c r="B4776" s="1">
        <v>9.19959089829E11</v>
      </c>
      <c r="C4776" s="15" t="str">
        <f t="shared" si="1"/>
        <v>phanindra.bollineni17@gmail.com919959089829</v>
      </c>
      <c r="D4776" s="17" t="s">
        <v>12299</v>
      </c>
      <c r="E4776" s="18" t="s">
        <v>151</v>
      </c>
    </row>
    <row r="4777">
      <c r="A4777" s="1" t="s">
        <v>6318</v>
      </c>
      <c r="B4777" s="1">
        <v>9.19408946599E11</v>
      </c>
      <c r="C4777" s="15" t="str">
        <f t="shared" si="1"/>
        <v>ozaprincekumar230@gmail.com919408946599</v>
      </c>
      <c r="D4777" s="17" t="s">
        <v>12300</v>
      </c>
      <c r="E4777" s="18" t="s">
        <v>68</v>
      </c>
    </row>
    <row r="4778">
      <c r="A4778" s="1" t="s">
        <v>12301</v>
      </c>
      <c r="B4778" s="1">
        <v>9.19039415816E11</v>
      </c>
      <c r="C4778" s="15" t="str">
        <f t="shared" si="1"/>
        <v>manojtekram2@gmail.com919039415816</v>
      </c>
      <c r="D4778" s="17" t="s">
        <v>12302</v>
      </c>
      <c r="E4778" s="18" t="s">
        <v>151</v>
      </c>
    </row>
    <row r="4779">
      <c r="A4779" s="1" t="s">
        <v>12303</v>
      </c>
      <c r="B4779" s="1">
        <v>9.17972789397E11</v>
      </c>
      <c r="C4779" s="15" t="str">
        <f t="shared" si="1"/>
        <v>sgolchha092@gmail.com917972789397</v>
      </c>
      <c r="D4779" s="17" t="s">
        <v>12304</v>
      </c>
      <c r="E4779" s="18" t="s">
        <v>74</v>
      </c>
    </row>
    <row r="4780">
      <c r="A4780" s="1" t="s">
        <v>5506</v>
      </c>
      <c r="B4780" s="1">
        <v>9.19891623596E11</v>
      </c>
      <c r="C4780" s="15" t="str">
        <f t="shared" si="1"/>
        <v>psitsme3@gmail.com919891623596</v>
      </c>
      <c r="D4780" s="17" t="s">
        <v>12305</v>
      </c>
      <c r="E4780" s="18" t="s">
        <v>68</v>
      </c>
    </row>
    <row r="4781">
      <c r="A4781" s="1" t="s">
        <v>5506</v>
      </c>
      <c r="B4781" s="1">
        <v>9.19891623596E11</v>
      </c>
      <c r="C4781" s="15" t="str">
        <f t="shared" si="1"/>
        <v>psitsme3@gmail.com919891623596</v>
      </c>
      <c r="D4781" s="17" t="s">
        <v>12306</v>
      </c>
      <c r="E4781" s="18" t="s">
        <v>68</v>
      </c>
    </row>
    <row r="4782">
      <c r="A4782" s="1" t="s">
        <v>12307</v>
      </c>
      <c r="B4782" s="1">
        <v>9.18765100721E11</v>
      </c>
      <c r="C4782" s="15" t="str">
        <f t="shared" si="1"/>
        <v>saritasharma2308@rediffmail.com918765100721</v>
      </c>
      <c r="D4782" s="17" t="s">
        <v>12308</v>
      </c>
      <c r="E4782" s="18" t="s">
        <v>68</v>
      </c>
    </row>
    <row r="4783">
      <c r="A4783" s="1" t="s">
        <v>2597</v>
      </c>
      <c r="B4783" s="1">
        <v>9.17661053799E11</v>
      </c>
      <c r="C4783" s="15" t="str">
        <f t="shared" si="1"/>
        <v>premkumarvalapala@gmail.com917661053799</v>
      </c>
      <c r="D4783" s="17" t="s">
        <v>12309</v>
      </c>
      <c r="E4783" s="18" t="s">
        <v>68</v>
      </c>
    </row>
    <row r="4784">
      <c r="A4784" s="1" t="s">
        <v>12310</v>
      </c>
      <c r="B4784" s="1">
        <v>9.16367082725E11</v>
      </c>
      <c r="C4784" s="15" t="str">
        <f t="shared" si="1"/>
        <v>janigogaran98@gmail.com916367082725</v>
      </c>
      <c r="D4784" s="17" t="s">
        <v>12311</v>
      </c>
      <c r="E4784" s="18" t="s">
        <v>151</v>
      </c>
    </row>
    <row r="4785">
      <c r="A4785" s="1" t="s">
        <v>12312</v>
      </c>
      <c r="B4785" s="1">
        <v>9.19307040057E11</v>
      </c>
      <c r="C4785" s="15" t="str">
        <f t="shared" si="1"/>
        <v>devendrajalmi49@gmail.com919307040057</v>
      </c>
      <c r="D4785" s="17" t="s">
        <v>12313</v>
      </c>
      <c r="E4785" s="18" t="s">
        <v>68</v>
      </c>
    </row>
    <row r="4786">
      <c r="A4786" s="1" t="s">
        <v>5702</v>
      </c>
      <c r="B4786" s="1">
        <v>9.17974796104E11</v>
      </c>
      <c r="C4786" s="15" t="str">
        <f t="shared" si="1"/>
        <v>riyab932@gmail.com917974796104</v>
      </c>
      <c r="D4786" s="17" t="s">
        <v>12314</v>
      </c>
      <c r="E4786" s="18" t="s">
        <v>68</v>
      </c>
    </row>
    <row r="4787">
      <c r="A4787" s="1" t="s">
        <v>12315</v>
      </c>
      <c r="B4787" s="1">
        <v>9.18105371483E11</v>
      </c>
      <c r="C4787" s="15" t="str">
        <f t="shared" si="1"/>
        <v>mohammedmanaal06@gmail.com918105371483</v>
      </c>
      <c r="D4787" s="17" t="s">
        <v>12316</v>
      </c>
      <c r="E4787" s="18" t="s">
        <v>68</v>
      </c>
    </row>
    <row r="4788">
      <c r="A4788" s="1" t="s">
        <v>12317</v>
      </c>
      <c r="B4788" s="1">
        <v>9.19339402039E11</v>
      </c>
      <c r="C4788" s="15" t="str">
        <f t="shared" si="1"/>
        <v>bhuwanchhetry@gmail.com919339402039</v>
      </c>
      <c r="D4788" s="17" t="s">
        <v>12318</v>
      </c>
      <c r="E4788" s="18" t="s">
        <v>68</v>
      </c>
    </row>
    <row r="4789">
      <c r="A4789" s="1" t="s">
        <v>12317</v>
      </c>
      <c r="B4789" s="1">
        <v>9.19339402039E11</v>
      </c>
      <c r="C4789" s="15" t="str">
        <f t="shared" si="1"/>
        <v>bhuwanchhetry@gmail.com919339402039</v>
      </c>
      <c r="D4789" s="17" t="s">
        <v>12319</v>
      </c>
      <c r="E4789" s="18" t="s">
        <v>68</v>
      </c>
    </row>
    <row r="4790">
      <c r="A4790" s="1" t="s">
        <v>12317</v>
      </c>
      <c r="B4790" s="1">
        <v>9.19339402039E11</v>
      </c>
      <c r="C4790" s="15" t="str">
        <f t="shared" si="1"/>
        <v>bhuwanchhetry@gmail.com919339402039</v>
      </c>
      <c r="D4790" s="17" t="s">
        <v>12320</v>
      </c>
      <c r="E4790" s="18" t="s">
        <v>68</v>
      </c>
    </row>
    <row r="4791">
      <c r="A4791" s="1" t="s">
        <v>12317</v>
      </c>
      <c r="B4791" s="1">
        <v>9.19339402039E11</v>
      </c>
      <c r="C4791" s="15" t="str">
        <f t="shared" si="1"/>
        <v>bhuwanchhetry@gmail.com919339402039</v>
      </c>
      <c r="D4791" s="17" t="s">
        <v>12321</v>
      </c>
      <c r="E4791" s="18" t="s">
        <v>68</v>
      </c>
    </row>
    <row r="4792">
      <c r="A4792" s="1" t="s">
        <v>12322</v>
      </c>
      <c r="B4792" s="1">
        <v>9.19172020972E11</v>
      </c>
      <c r="C4792" s="15" t="str">
        <f t="shared" si="1"/>
        <v>ravi.satputs25@gmail.com919172020972</v>
      </c>
      <c r="D4792" s="17" t="s">
        <v>12323</v>
      </c>
      <c r="E4792" s="18" t="s">
        <v>68</v>
      </c>
    </row>
    <row r="4793">
      <c r="A4793" s="1" t="s">
        <v>12322</v>
      </c>
      <c r="B4793" s="1">
        <v>9.19172020972E11</v>
      </c>
      <c r="C4793" s="15" t="str">
        <f t="shared" si="1"/>
        <v>ravi.satputs25@gmail.com919172020972</v>
      </c>
      <c r="D4793" s="17" t="s">
        <v>12324</v>
      </c>
      <c r="E4793" s="18" t="s">
        <v>68</v>
      </c>
    </row>
    <row r="4794">
      <c r="A4794" s="1" t="s">
        <v>12322</v>
      </c>
      <c r="B4794" s="1">
        <v>9.19172020972E11</v>
      </c>
      <c r="C4794" s="15" t="str">
        <f t="shared" si="1"/>
        <v>ravi.satputs25@gmail.com919172020972</v>
      </c>
      <c r="D4794" s="17" t="s">
        <v>12325</v>
      </c>
      <c r="E4794" s="18" t="s">
        <v>74</v>
      </c>
    </row>
    <row r="4795">
      <c r="A4795" s="1" t="s">
        <v>4415</v>
      </c>
      <c r="B4795" s="1">
        <v>9.18114971986E11</v>
      </c>
      <c r="C4795" s="15" t="str">
        <f t="shared" si="1"/>
        <v>shraddhakunmun97@gmail.com918114971986</v>
      </c>
      <c r="D4795" s="17" t="s">
        <v>12326</v>
      </c>
      <c r="E4795" s="18" t="s">
        <v>68</v>
      </c>
    </row>
    <row r="4796">
      <c r="A4796" s="1" t="s">
        <v>4415</v>
      </c>
      <c r="B4796" s="1">
        <v>9.18114971986E11</v>
      </c>
      <c r="C4796" s="15" t="str">
        <f t="shared" si="1"/>
        <v>shraddhakunmun97@gmail.com918114971986</v>
      </c>
      <c r="D4796" s="17" t="s">
        <v>12327</v>
      </c>
      <c r="E4796" s="18" t="s">
        <v>97</v>
      </c>
    </row>
    <row r="4797">
      <c r="A4797" s="1" t="s">
        <v>4415</v>
      </c>
      <c r="B4797" s="1">
        <v>9.18917335907E11</v>
      </c>
      <c r="C4797" s="15" t="str">
        <f t="shared" si="1"/>
        <v>shraddhakunmun97@gmail.com918917335907</v>
      </c>
      <c r="D4797" s="17" t="s">
        <v>12328</v>
      </c>
      <c r="E4797" s="18" t="s">
        <v>68</v>
      </c>
    </row>
    <row r="4798">
      <c r="A4798" s="1" t="s">
        <v>4415</v>
      </c>
      <c r="B4798" s="1">
        <v>9.18917335907E11</v>
      </c>
      <c r="C4798" s="15" t="str">
        <f t="shared" si="1"/>
        <v>shraddhakunmun97@gmail.com918917335907</v>
      </c>
      <c r="D4798" s="17" t="s">
        <v>12329</v>
      </c>
      <c r="E4798" s="18" t="s">
        <v>68</v>
      </c>
    </row>
    <row r="4799">
      <c r="A4799" s="1" t="s">
        <v>3686</v>
      </c>
      <c r="B4799" s="1">
        <v>9.19168499108E11</v>
      </c>
      <c r="C4799" s="15" t="str">
        <f t="shared" si="1"/>
        <v>venkattadkod@yahoo.com919168499108</v>
      </c>
      <c r="D4799" s="17" t="s">
        <v>12330</v>
      </c>
      <c r="E4799" s="18" t="s">
        <v>68</v>
      </c>
    </row>
    <row r="4800">
      <c r="A4800" s="1" t="s">
        <v>12331</v>
      </c>
      <c r="B4800" s="1">
        <v>9.19990996798E11</v>
      </c>
      <c r="C4800" s="15" t="str">
        <f t="shared" si="1"/>
        <v>chauhanashwani71@gmail.com919990996798</v>
      </c>
      <c r="D4800" s="17" t="s">
        <v>12332</v>
      </c>
      <c r="E4800" s="18" t="s">
        <v>68</v>
      </c>
    </row>
    <row r="4801">
      <c r="A4801" s="1" t="s">
        <v>4544</v>
      </c>
      <c r="B4801" s="1">
        <v>9.1990319666E11</v>
      </c>
      <c r="C4801" s="15" t="str">
        <f t="shared" si="1"/>
        <v>datta.rup1311@gmail.com919903196660</v>
      </c>
      <c r="D4801" s="17" t="s">
        <v>12333</v>
      </c>
      <c r="E4801" s="18" t="s">
        <v>74</v>
      </c>
    </row>
    <row r="4802">
      <c r="A4802" s="1" t="s">
        <v>2451</v>
      </c>
      <c r="B4802" s="1">
        <v>9.19731761212E11</v>
      </c>
      <c r="C4802" s="15" t="str">
        <f t="shared" si="1"/>
        <v>krishnaraj.bhatns@gmail.com919731761212</v>
      </c>
      <c r="D4802" s="17" t="s">
        <v>12334</v>
      </c>
      <c r="E4802" s="18" t="s">
        <v>68</v>
      </c>
    </row>
    <row r="4803">
      <c r="A4803" s="1" t="s">
        <v>12335</v>
      </c>
      <c r="B4803" s="1">
        <v>9.19501577554E11</v>
      </c>
      <c r="C4803" s="15" t="str">
        <f t="shared" si="1"/>
        <v>surdeepchd@gmail.com919501577554</v>
      </c>
      <c r="D4803" s="17" t="s">
        <v>12336</v>
      </c>
      <c r="E4803" s="18" t="s">
        <v>68</v>
      </c>
    </row>
    <row r="4804">
      <c r="A4804" s="1" t="s">
        <v>4255</v>
      </c>
      <c r="B4804" s="1">
        <v>9.19337603073E11</v>
      </c>
      <c r="C4804" s="15" t="str">
        <f t="shared" si="1"/>
        <v>nayakabhinanda1998@gmail.com919337603073</v>
      </c>
      <c r="D4804" s="17" t="s">
        <v>12337</v>
      </c>
      <c r="E4804" s="18" t="s">
        <v>68</v>
      </c>
    </row>
    <row r="4805">
      <c r="A4805" s="1" t="s">
        <v>2451</v>
      </c>
      <c r="B4805" s="1">
        <v>9.19731761212E11</v>
      </c>
      <c r="C4805" s="15" t="str">
        <f t="shared" si="1"/>
        <v>krishnaraj.bhatns@gmail.com919731761212</v>
      </c>
      <c r="D4805" s="17" t="s">
        <v>12338</v>
      </c>
      <c r="E4805" s="18" t="s">
        <v>68</v>
      </c>
    </row>
    <row r="4806">
      <c r="A4806" s="1" t="s">
        <v>4257</v>
      </c>
      <c r="B4806" s="1">
        <v>9.18291899207E11</v>
      </c>
      <c r="C4806" s="15" t="str">
        <f t="shared" si="1"/>
        <v>barik.laxmi92@gmail.com918291899207</v>
      </c>
      <c r="D4806" s="17" t="s">
        <v>12339</v>
      </c>
      <c r="E4806" s="18" t="s">
        <v>68</v>
      </c>
    </row>
    <row r="4807">
      <c r="A4807" s="1" t="s">
        <v>6463</v>
      </c>
      <c r="B4807" s="1">
        <v>9.1895117747E11</v>
      </c>
      <c r="C4807" s="15" t="str">
        <f t="shared" si="1"/>
        <v>vivek97jain@gmail.com918951177470</v>
      </c>
      <c r="D4807" s="17" t="s">
        <v>12340</v>
      </c>
      <c r="E4807" s="18" t="s">
        <v>68</v>
      </c>
    </row>
    <row r="4808">
      <c r="A4808" s="1" t="s">
        <v>4259</v>
      </c>
      <c r="B4808" s="1">
        <v>9.17093753974E11</v>
      </c>
      <c r="C4808" s="15" t="str">
        <f t="shared" si="1"/>
        <v>ananyadutta2910@gmail.com917093753974</v>
      </c>
      <c r="D4808" s="17" t="s">
        <v>12341</v>
      </c>
      <c r="E4808" s="18" t="s">
        <v>68</v>
      </c>
    </row>
    <row r="4809">
      <c r="A4809" s="1" t="s">
        <v>3762</v>
      </c>
      <c r="B4809" s="1">
        <v>9.19985334362E11</v>
      </c>
      <c r="C4809" s="15" t="str">
        <f t="shared" si="1"/>
        <v>rupesh.pothugunta@gmail.com919985334362</v>
      </c>
      <c r="D4809" s="17" t="s">
        <v>12342</v>
      </c>
      <c r="E4809" s="18" t="s">
        <v>68</v>
      </c>
    </row>
    <row r="4810">
      <c r="A4810" s="1" t="s">
        <v>6456</v>
      </c>
      <c r="B4810" s="1">
        <v>9.19619940252E11</v>
      </c>
      <c r="C4810" s="15" t="str">
        <f t="shared" si="1"/>
        <v>cadvalkar35@gmail.com919619940252</v>
      </c>
      <c r="D4810" s="17" t="s">
        <v>12343</v>
      </c>
      <c r="E4810" s="18" t="s">
        <v>68</v>
      </c>
    </row>
    <row r="4811">
      <c r="A4811" s="1" t="s">
        <v>12344</v>
      </c>
      <c r="B4811" s="1">
        <v>9.1989123565E11</v>
      </c>
      <c r="C4811" s="15" t="str">
        <f t="shared" si="1"/>
        <v>hiitsritz@yahoo.co.in919891235650</v>
      </c>
      <c r="D4811" s="17" t="s">
        <v>12345</v>
      </c>
      <c r="E4811" s="18" t="s">
        <v>68</v>
      </c>
    </row>
    <row r="4812">
      <c r="A4812" s="1" t="s">
        <v>12346</v>
      </c>
      <c r="B4812" s="1">
        <v>9.18920194009E11</v>
      </c>
      <c r="C4812" s="15" t="str">
        <f t="shared" si="1"/>
        <v>menonlakshmip21@gmail.com918920194009</v>
      </c>
      <c r="D4812" s="17" t="s">
        <v>12347</v>
      </c>
      <c r="E4812" s="18" t="s">
        <v>74</v>
      </c>
    </row>
    <row r="4813">
      <c r="A4813" s="1" t="s">
        <v>3688</v>
      </c>
      <c r="B4813" s="1">
        <v>9.19769249122E11</v>
      </c>
      <c r="C4813" s="15" t="str">
        <f t="shared" si="1"/>
        <v>arvindreddy191@gmail.com919769249122</v>
      </c>
      <c r="D4813" s="17" t="s">
        <v>12348</v>
      </c>
      <c r="E4813" s="18" t="s">
        <v>68</v>
      </c>
    </row>
    <row r="4814">
      <c r="A4814" s="1" t="s">
        <v>3688</v>
      </c>
      <c r="B4814" s="1">
        <v>9.19769249122E11</v>
      </c>
      <c r="C4814" s="15" t="str">
        <f t="shared" si="1"/>
        <v>arvindreddy191@gmail.com919769249122</v>
      </c>
      <c r="D4814" s="17" t="s">
        <v>12349</v>
      </c>
      <c r="E4814" s="18" t="s">
        <v>68</v>
      </c>
    </row>
    <row r="4815">
      <c r="A4815" s="1" t="s">
        <v>3688</v>
      </c>
      <c r="B4815" s="1">
        <v>9.19769249122E11</v>
      </c>
      <c r="C4815" s="15" t="str">
        <f t="shared" si="1"/>
        <v>arvindreddy191@gmail.com919769249122</v>
      </c>
      <c r="D4815" s="17" t="s">
        <v>12350</v>
      </c>
      <c r="E4815" s="18" t="s">
        <v>68</v>
      </c>
    </row>
    <row r="4816">
      <c r="A4816" s="1" t="s">
        <v>4520</v>
      </c>
      <c r="B4816" s="1">
        <v>9.17975250261E11</v>
      </c>
      <c r="C4816" s="15" t="str">
        <f t="shared" si="1"/>
        <v>arbhavani@gmail.com917975250261</v>
      </c>
      <c r="D4816" s="17" t="s">
        <v>12351</v>
      </c>
      <c r="E4816" s="18" t="s">
        <v>68</v>
      </c>
    </row>
    <row r="4817">
      <c r="A4817" s="1" t="s">
        <v>4520</v>
      </c>
      <c r="B4817" s="1">
        <v>9.17975250261E11</v>
      </c>
      <c r="C4817" s="15" t="str">
        <f t="shared" si="1"/>
        <v>arbhavani@gmail.com917975250261</v>
      </c>
      <c r="D4817" s="17" t="s">
        <v>12352</v>
      </c>
      <c r="E4817" s="18" t="s">
        <v>68</v>
      </c>
    </row>
    <row r="4818">
      <c r="A4818" s="1" t="s">
        <v>4520</v>
      </c>
      <c r="B4818" s="1">
        <v>9.17975250261E11</v>
      </c>
      <c r="C4818" s="15" t="str">
        <f t="shared" si="1"/>
        <v>arbhavani@gmail.com917975250261</v>
      </c>
      <c r="D4818" s="17" t="s">
        <v>12353</v>
      </c>
      <c r="E4818" s="18" t="s">
        <v>68</v>
      </c>
    </row>
    <row r="4819">
      <c r="A4819" s="1" t="s">
        <v>4520</v>
      </c>
      <c r="B4819" s="1">
        <v>9.17975250261E11</v>
      </c>
      <c r="C4819" s="15" t="str">
        <f t="shared" si="1"/>
        <v>arbhavani@gmail.com917975250261</v>
      </c>
      <c r="D4819" s="17" t="s">
        <v>12354</v>
      </c>
      <c r="E4819" s="18" t="s">
        <v>68</v>
      </c>
    </row>
    <row r="4820">
      <c r="A4820" s="1" t="s">
        <v>12355</v>
      </c>
      <c r="B4820" s="1">
        <v>9.19374183844E11</v>
      </c>
      <c r="C4820" s="15" t="str">
        <f t="shared" si="1"/>
        <v>jainam.kothari1986@gmail.com919374183844</v>
      </c>
      <c r="D4820" s="17" t="s">
        <v>12356</v>
      </c>
      <c r="E4820" s="18" t="s">
        <v>68</v>
      </c>
    </row>
    <row r="4821">
      <c r="A4821" s="1" t="s">
        <v>12357</v>
      </c>
      <c r="B4821" s="1">
        <v>9.19304732524E11</v>
      </c>
      <c r="C4821" s="15" t="str">
        <f t="shared" si="1"/>
        <v>bablujsr815@gmail.com919304732524</v>
      </c>
      <c r="D4821" s="17" t="s">
        <v>12358</v>
      </c>
      <c r="E4821" s="18" t="s">
        <v>68</v>
      </c>
    </row>
    <row r="4822">
      <c r="A4822" s="1" t="s">
        <v>2297</v>
      </c>
      <c r="B4822" s="1">
        <v>9.19836155541E11</v>
      </c>
      <c r="C4822" s="15" t="str">
        <f t="shared" si="1"/>
        <v>chakrasou@gmail.com919836155541</v>
      </c>
      <c r="D4822" s="17" t="s">
        <v>12359</v>
      </c>
      <c r="E4822" s="18" t="s">
        <v>68</v>
      </c>
    </row>
    <row r="4823">
      <c r="A4823" s="1" t="s">
        <v>5728</v>
      </c>
      <c r="B4823" s="1">
        <v>9.17303332887E11</v>
      </c>
      <c r="C4823" s="15" t="str">
        <f t="shared" si="1"/>
        <v>writetomeet@icloud.com917303332887</v>
      </c>
      <c r="D4823" s="17" t="s">
        <v>12360</v>
      </c>
      <c r="E4823" s="18" t="s">
        <v>68</v>
      </c>
    </row>
    <row r="4824">
      <c r="A4824" s="1" t="s">
        <v>4261</v>
      </c>
      <c r="B4824" s="1">
        <v>9.17041965001E11</v>
      </c>
      <c r="C4824" s="15" t="str">
        <f t="shared" si="1"/>
        <v>payaldhar41@gmail.com917041965001</v>
      </c>
      <c r="D4824" s="17" t="s">
        <v>12361</v>
      </c>
      <c r="E4824" s="18" t="s">
        <v>68</v>
      </c>
    </row>
    <row r="4825">
      <c r="A4825" s="1" t="s">
        <v>4261</v>
      </c>
      <c r="B4825" s="1">
        <v>9.17041965001E11</v>
      </c>
      <c r="C4825" s="15" t="str">
        <f t="shared" si="1"/>
        <v>payaldhar41@gmail.com917041965001</v>
      </c>
      <c r="D4825" s="17" t="s">
        <v>12362</v>
      </c>
      <c r="E4825" s="18" t="s">
        <v>68</v>
      </c>
    </row>
    <row r="4826">
      <c r="A4826" s="1" t="s">
        <v>5313</v>
      </c>
      <c r="B4826" s="1">
        <v>9.19481776791E11</v>
      </c>
      <c r="C4826" s="15" t="str">
        <f t="shared" si="1"/>
        <v>ranjanisriharsha@gmail.com919481776791</v>
      </c>
      <c r="D4826" s="17" t="s">
        <v>12363</v>
      </c>
      <c r="E4826" s="18" t="s">
        <v>68</v>
      </c>
    </row>
    <row r="4827">
      <c r="A4827" s="1" t="s">
        <v>12364</v>
      </c>
      <c r="B4827" s="1">
        <v>9.196466798E11</v>
      </c>
      <c r="C4827" s="15" t="str">
        <f t="shared" si="1"/>
        <v>aarushiwadhwa31.aw@gmail.com919646679800</v>
      </c>
      <c r="D4827" s="17" t="s">
        <v>12365</v>
      </c>
      <c r="E4827" s="18" t="s">
        <v>68</v>
      </c>
    </row>
    <row r="4828">
      <c r="A4828" s="1" t="s">
        <v>12366</v>
      </c>
      <c r="B4828" s="1">
        <v>9.19373363238E11</v>
      </c>
      <c r="C4828" s="15" t="str">
        <f t="shared" si="1"/>
        <v>nikitamodak9494@email.com919373363238</v>
      </c>
      <c r="D4828" s="17" t="s">
        <v>12367</v>
      </c>
      <c r="E4828" s="18" t="s">
        <v>74</v>
      </c>
    </row>
    <row r="4829">
      <c r="A4829" s="1" t="s">
        <v>12364</v>
      </c>
      <c r="B4829" s="1">
        <v>9.196466798E11</v>
      </c>
      <c r="C4829" s="15" t="str">
        <f t="shared" si="1"/>
        <v>aarushiwadhwa31.aw@gmail.com919646679800</v>
      </c>
      <c r="D4829" s="17" t="s">
        <v>12368</v>
      </c>
      <c r="E4829" s="18" t="s">
        <v>68</v>
      </c>
    </row>
    <row r="4830">
      <c r="A4830" s="1" t="s">
        <v>12369</v>
      </c>
      <c r="B4830" s="1">
        <v>9.1784284813E11</v>
      </c>
      <c r="C4830" s="15" t="str">
        <f t="shared" si="1"/>
        <v>dravi0109@gmail.com917842848130</v>
      </c>
      <c r="D4830" s="17" t="s">
        <v>12370</v>
      </c>
      <c r="E4830" s="18" t="s">
        <v>74</v>
      </c>
    </row>
    <row r="4831">
      <c r="A4831" s="1" t="s">
        <v>12371</v>
      </c>
      <c r="B4831" s="1">
        <v>9.19373363238E11</v>
      </c>
      <c r="C4831" s="15" t="str">
        <f t="shared" si="1"/>
        <v>nikitamodak9494@gmail.com919373363238</v>
      </c>
      <c r="D4831" s="17" t="s">
        <v>12372</v>
      </c>
      <c r="E4831" s="18" t="s">
        <v>74</v>
      </c>
    </row>
    <row r="4832">
      <c r="A4832" s="1" t="s">
        <v>12369</v>
      </c>
      <c r="B4832" s="1">
        <v>9.1784284813E11</v>
      </c>
      <c r="C4832" s="15" t="str">
        <f t="shared" si="1"/>
        <v>dravi0109@gmail.com917842848130</v>
      </c>
      <c r="D4832" s="17" t="s">
        <v>12373</v>
      </c>
      <c r="E4832" s="18" t="s">
        <v>74</v>
      </c>
    </row>
    <row r="4833">
      <c r="A4833" s="1" t="s">
        <v>12369</v>
      </c>
      <c r="B4833" s="1">
        <v>9.1784284813E11</v>
      </c>
      <c r="C4833" s="15" t="str">
        <f t="shared" si="1"/>
        <v>dravi0109@gmail.com917842848130</v>
      </c>
      <c r="D4833" s="17" t="s">
        <v>12374</v>
      </c>
      <c r="E4833" s="18" t="s">
        <v>74</v>
      </c>
    </row>
    <row r="4834">
      <c r="A4834" s="1" t="s">
        <v>3764</v>
      </c>
      <c r="B4834" s="1">
        <v>9.18877090991E11</v>
      </c>
      <c r="C4834" s="15" t="str">
        <f t="shared" si="1"/>
        <v>koushik0910@gmail.com918877090991</v>
      </c>
      <c r="D4834" s="17" t="s">
        <v>12375</v>
      </c>
      <c r="E4834" s="18" t="s">
        <v>68</v>
      </c>
    </row>
    <row r="4835">
      <c r="A4835" s="1" t="s">
        <v>4714</v>
      </c>
      <c r="B4835" s="1">
        <v>9.19834321467E11</v>
      </c>
      <c r="C4835" s="15" t="str">
        <f t="shared" si="1"/>
        <v>sheetal240024@gmail.com919834321467</v>
      </c>
      <c r="D4835" s="17" t="s">
        <v>12376</v>
      </c>
      <c r="E4835" s="18" t="s">
        <v>68</v>
      </c>
    </row>
    <row r="4836">
      <c r="A4836" s="1" t="s">
        <v>6587</v>
      </c>
      <c r="B4836" s="1">
        <v>9.17338785022E11</v>
      </c>
      <c r="C4836" s="15" t="str">
        <f t="shared" si="1"/>
        <v>rajee26@gmail.com917338785022</v>
      </c>
      <c r="D4836" s="17" t="s">
        <v>12377</v>
      </c>
      <c r="E4836" s="18" t="s">
        <v>74</v>
      </c>
    </row>
    <row r="4837">
      <c r="A4837" s="1" t="s">
        <v>12265</v>
      </c>
      <c r="B4837" s="1">
        <v>9.19997036913E11</v>
      </c>
      <c r="C4837" s="15" t="str">
        <f t="shared" si="1"/>
        <v>bs6474450@gmail.com919997036913</v>
      </c>
      <c r="D4837" s="17" t="s">
        <v>12378</v>
      </c>
      <c r="E4837" s="18" t="s">
        <v>74</v>
      </c>
    </row>
    <row r="4838">
      <c r="A4838" s="1" t="s">
        <v>12265</v>
      </c>
      <c r="B4838" s="1">
        <v>9.19997036913E11</v>
      </c>
      <c r="C4838" s="15" t="str">
        <f t="shared" si="1"/>
        <v>bs6474450@gmail.com919997036913</v>
      </c>
      <c r="D4838" s="17" t="s">
        <v>12379</v>
      </c>
      <c r="E4838" s="18" t="s">
        <v>74</v>
      </c>
    </row>
    <row r="4839">
      <c r="A4839" s="1" t="s">
        <v>4263</v>
      </c>
      <c r="B4839" s="1">
        <v>9.170171332E11</v>
      </c>
      <c r="C4839" s="15" t="str">
        <f t="shared" si="1"/>
        <v>kritisha5252@gmail.com917017133200</v>
      </c>
      <c r="D4839" s="17" t="s">
        <v>12380</v>
      </c>
      <c r="E4839" s="18" t="s">
        <v>74</v>
      </c>
    </row>
    <row r="4840">
      <c r="A4840" s="1" t="s">
        <v>6677</v>
      </c>
      <c r="B4840" s="1">
        <v>9.17507878118E11</v>
      </c>
      <c r="C4840" s="15" t="str">
        <f t="shared" si="1"/>
        <v>sunpreet8888@gmail.com917507878118</v>
      </c>
      <c r="D4840" s="17" t="s">
        <v>12381</v>
      </c>
      <c r="E4840" s="18" t="s">
        <v>68</v>
      </c>
    </row>
    <row r="4841">
      <c r="A4841" s="1" t="s">
        <v>3690</v>
      </c>
      <c r="B4841" s="1">
        <v>9.19037375497E11</v>
      </c>
      <c r="C4841" s="15" t="str">
        <f t="shared" si="1"/>
        <v>harikumar.vishnu46@gmail.com919037375497</v>
      </c>
      <c r="D4841" s="17" t="s">
        <v>12382</v>
      </c>
      <c r="E4841" s="18" t="s">
        <v>68</v>
      </c>
    </row>
    <row r="4842">
      <c r="A4842" s="1" t="s">
        <v>3692</v>
      </c>
      <c r="B4842" s="1">
        <v>9.19820023714E11</v>
      </c>
      <c r="C4842" s="15" t="str">
        <f t="shared" si="1"/>
        <v>keswanik@gmail.com919820023714</v>
      </c>
      <c r="D4842" s="17" t="s">
        <v>12383</v>
      </c>
      <c r="E4842" s="18" t="s">
        <v>74</v>
      </c>
    </row>
    <row r="4843">
      <c r="A4843" s="1" t="s">
        <v>3694</v>
      </c>
      <c r="B4843" s="1">
        <v>9.19026811234E11</v>
      </c>
      <c r="C4843" s="15" t="str">
        <f t="shared" si="1"/>
        <v>ksuriya0304@gmail.com919026811234</v>
      </c>
      <c r="D4843" s="17" t="s">
        <v>12384</v>
      </c>
      <c r="E4843" s="18" t="s">
        <v>68</v>
      </c>
    </row>
    <row r="4844">
      <c r="A4844" s="1" t="s">
        <v>12385</v>
      </c>
      <c r="B4844" s="1">
        <v>9.17013271002E11</v>
      </c>
      <c r="C4844" s="15" t="str">
        <f t="shared" si="1"/>
        <v>golla.prasoona@gmail.com917013271002</v>
      </c>
      <c r="D4844" s="17" t="s">
        <v>12386</v>
      </c>
      <c r="E4844" s="18" t="s">
        <v>68</v>
      </c>
    </row>
    <row r="4845">
      <c r="A4845" s="1" t="s">
        <v>4546</v>
      </c>
      <c r="B4845" s="1">
        <v>9.19949236255E11</v>
      </c>
      <c r="C4845" s="15" t="str">
        <f t="shared" si="1"/>
        <v>swarnarg1974@gmail.com919949236255</v>
      </c>
      <c r="D4845" s="17" t="s">
        <v>12387</v>
      </c>
      <c r="E4845" s="18" t="s">
        <v>68</v>
      </c>
    </row>
    <row r="4846">
      <c r="A4846" s="1" t="s">
        <v>4788</v>
      </c>
      <c r="B4846" s="1">
        <v>9.17838368183E11</v>
      </c>
      <c r="C4846" s="15" t="str">
        <f t="shared" si="1"/>
        <v>naveen.mhrod2012@gmail.com917838368183</v>
      </c>
      <c r="D4846" s="17" t="s">
        <v>12388</v>
      </c>
      <c r="E4846" s="18" t="s">
        <v>68</v>
      </c>
    </row>
    <row r="4847">
      <c r="A4847" s="1" t="s">
        <v>4546</v>
      </c>
      <c r="B4847" s="1">
        <v>9.19949236255E11</v>
      </c>
      <c r="C4847" s="15" t="str">
        <f t="shared" si="1"/>
        <v>swarnarg1974@gmail.com919949236255</v>
      </c>
      <c r="D4847" s="17" t="s">
        <v>12389</v>
      </c>
      <c r="E4847" s="18" t="s">
        <v>68</v>
      </c>
    </row>
    <row r="4848">
      <c r="A4848" s="1" t="s">
        <v>4263</v>
      </c>
      <c r="B4848" s="1">
        <v>9.170171332E11</v>
      </c>
      <c r="C4848" s="15" t="str">
        <f t="shared" si="1"/>
        <v>kritisha5252@gmail.com917017133200</v>
      </c>
      <c r="D4848" s="17" t="s">
        <v>12390</v>
      </c>
      <c r="E4848" s="18" t="s">
        <v>74</v>
      </c>
    </row>
    <row r="4849">
      <c r="A4849" s="1" t="s">
        <v>12391</v>
      </c>
      <c r="B4849" s="1">
        <v>9.19810657117E11</v>
      </c>
      <c r="C4849" s="15" t="str">
        <f t="shared" si="1"/>
        <v>russellclub10@gmail.com919810657117</v>
      </c>
      <c r="D4849" s="17" t="s">
        <v>12392</v>
      </c>
      <c r="E4849" s="18" t="s">
        <v>74</v>
      </c>
    </row>
    <row r="4850">
      <c r="A4850" s="1" t="s">
        <v>3190</v>
      </c>
      <c r="B4850" s="1">
        <v>9.18757475636E11</v>
      </c>
      <c r="C4850" s="15" t="str">
        <f t="shared" si="1"/>
        <v>rakesh.raman94@gmail.com918757475636</v>
      </c>
      <c r="D4850" s="17" t="s">
        <v>12393</v>
      </c>
      <c r="E4850" s="18" t="s">
        <v>68</v>
      </c>
    </row>
    <row r="4851">
      <c r="A4851" s="1" t="s">
        <v>3190</v>
      </c>
      <c r="B4851" s="1">
        <v>9.18757475636E11</v>
      </c>
      <c r="C4851" s="15" t="str">
        <f t="shared" si="1"/>
        <v>rakesh.raman94@gmail.com918757475636</v>
      </c>
      <c r="D4851" s="17" t="s">
        <v>12394</v>
      </c>
      <c r="E4851" s="18" t="s">
        <v>68</v>
      </c>
    </row>
    <row r="4852">
      <c r="A4852" s="1" t="s">
        <v>3190</v>
      </c>
      <c r="B4852" s="1">
        <v>9.18757475636E11</v>
      </c>
      <c r="C4852" s="15" t="str">
        <f t="shared" si="1"/>
        <v>rakesh.raman94@gmail.com918757475636</v>
      </c>
      <c r="D4852" s="17" t="s">
        <v>12395</v>
      </c>
      <c r="E4852" s="18" t="s">
        <v>68</v>
      </c>
    </row>
    <row r="4853">
      <c r="A4853" s="1" t="s">
        <v>3190</v>
      </c>
      <c r="B4853" s="1">
        <v>9.18757475636E11</v>
      </c>
      <c r="C4853" s="15" t="str">
        <f t="shared" si="1"/>
        <v>rakesh.raman94@gmail.com918757475636</v>
      </c>
      <c r="D4853" s="17" t="s">
        <v>12396</v>
      </c>
      <c r="E4853" s="18" t="s">
        <v>68</v>
      </c>
    </row>
    <row r="4854">
      <c r="A4854" s="1" t="s">
        <v>3190</v>
      </c>
      <c r="B4854" s="1">
        <v>9.18757475636E11</v>
      </c>
      <c r="C4854" s="15" t="str">
        <f t="shared" si="1"/>
        <v>rakesh.raman94@gmail.com918757475636</v>
      </c>
      <c r="D4854" s="17" t="s">
        <v>12397</v>
      </c>
      <c r="E4854" s="18" t="s">
        <v>68</v>
      </c>
    </row>
    <row r="4855">
      <c r="A4855" s="1" t="s">
        <v>3190</v>
      </c>
      <c r="B4855" s="1">
        <v>9.18757475636E11</v>
      </c>
      <c r="C4855" s="15" t="str">
        <f t="shared" si="1"/>
        <v>rakesh.raman94@gmail.com918757475636</v>
      </c>
      <c r="D4855" s="17" t="s">
        <v>12398</v>
      </c>
      <c r="E4855" s="18" t="s">
        <v>68</v>
      </c>
    </row>
    <row r="4856">
      <c r="A4856" s="1" t="s">
        <v>6679</v>
      </c>
      <c r="B4856" s="1">
        <v>9.19833624073E11</v>
      </c>
      <c r="C4856" s="15" t="str">
        <f t="shared" si="1"/>
        <v>bhavinjain1111@gmail.com919833624073</v>
      </c>
      <c r="D4856" s="17" t="s">
        <v>12399</v>
      </c>
      <c r="E4856" s="18" t="s">
        <v>74</v>
      </c>
    </row>
    <row r="4857">
      <c r="A4857" s="1" t="s">
        <v>3190</v>
      </c>
      <c r="B4857" s="1">
        <v>9.18757475636E11</v>
      </c>
      <c r="C4857" s="15" t="str">
        <f t="shared" si="1"/>
        <v>rakesh.raman94@gmail.com918757475636</v>
      </c>
      <c r="D4857" s="17" t="s">
        <v>12400</v>
      </c>
      <c r="E4857" s="18" t="s">
        <v>68</v>
      </c>
    </row>
    <row r="4858">
      <c r="A4858" s="1" t="s">
        <v>6679</v>
      </c>
      <c r="B4858" s="1">
        <v>9.19833624073E11</v>
      </c>
      <c r="C4858" s="15" t="str">
        <f t="shared" si="1"/>
        <v>bhavinjain1111@gmail.com919833624073</v>
      </c>
      <c r="D4858" s="17" t="s">
        <v>12401</v>
      </c>
      <c r="E4858" s="18" t="s">
        <v>68</v>
      </c>
    </row>
    <row r="4859">
      <c r="A4859" s="1" t="s">
        <v>2738</v>
      </c>
      <c r="B4859" s="1">
        <v>9.17012378331E11</v>
      </c>
      <c r="C4859" s="15" t="str">
        <f t="shared" si="1"/>
        <v>homesgentle@gmail.com917012378331</v>
      </c>
      <c r="D4859" s="17" t="s">
        <v>12402</v>
      </c>
      <c r="E4859" s="18" t="s">
        <v>68</v>
      </c>
    </row>
    <row r="4860">
      <c r="A4860" s="1" t="s">
        <v>12403</v>
      </c>
      <c r="B4860" s="1">
        <v>9.19167831222E11</v>
      </c>
      <c r="C4860" s="15" t="str">
        <f t="shared" si="1"/>
        <v>shaikh.afshan28@gmail.com919167831222</v>
      </c>
      <c r="D4860" s="17" t="s">
        <v>12404</v>
      </c>
      <c r="E4860" s="18" t="s">
        <v>74</v>
      </c>
    </row>
    <row r="4861">
      <c r="A4861" s="1" t="s">
        <v>5088</v>
      </c>
      <c r="B4861" s="1">
        <v>9.19108220763E11</v>
      </c>
      <c r="C4861" s="15" t="str">
        <f t="shared" si="1"/>
        <v>lalswamy.b@gmail.com919108220763</v>
      </c>
      <c r="D4861" s="17" t="s">
        <v>12405</v>
      </c>
      <c r="E4861" s="18" t="s">
        <v>151</v>
      </c>
    </row>
    <row r="4862">
      <c r="A4862" s="1" t="s">
        <v>4790</v>
      </c>
      <c r="B4862" s="1">
        <v>9.18763577075E11</v>
      </c>
      <c r="C4862" s="15" t="str">
        <f t="shared" si="1"/>
        <v>pragatipatnaik29@gmail.com918763577075</v>
      </c>
      <c r="D4862" s="17" t="s">
        <v>12406</v>
      </c>
      <c r="E4862" s="18" t="s">
        <v>68</v>
      </c>
    </row>
    <row r="4863">
      <c r="A4863" s="1" t="s">
        <v>12407</v>
      </c>
      <c r="B4863" s="1">
        <v>9.19986692156E11</v>
      </c>
      <c r="C4863" s="15" t="str">
        <f t="shared" si="1"/>
        <v>sherin.antony7@gmail.com919986692156</v>
      </c>
      <c r="D4863" s="17" t="s">
        <v>12408</v>
      </c>
      <c r="E4863" s="18" t="s">
        <v>68</v>
      </c>
    </row>
    <row r="4864">
      <c r="A4864" s="1" t="s">
        <v>4548</v>
      </c>
      <c r="B4864" s="1">
        <v>9.19945711551E11</v>
      </c>
      <c r="C4864" s="15" t="str">
        <f t="shared" si="1"/>
        <v>ayelin@thebravenewworld.com919945711551</v>
      </c>
      <c r="D4864" s="17" t="s">
        <v>12409</v>
      </c>
      <c r="E4864" s="18" t="s">
        <v>68</v>
      </c>
    </row>
    <row r="4865">
      <c r="A4865" s="1" t="s">
        <v>12410</v>
      </c>
      <c r="B4865" s="1">
        <v>9.199646196E11</v>
      </c>
      <c r="C4865" s="15" t="str">
        <f t="shared" si="1"/>
        <v>drgayathryvarmahealing@gmail.com919964619600</v>
      </c>
      <c r="D4865" s="17" t="s">
        <v>12411</v>
      </c>
      <c r="E4865" s="18" t="s">
        <v>68</v>
      </c>
    </row>
    <row r="4866">
      <c r="A4866" s="1" t="s">
        <v>12412</v>
      </c>
      <c r="B4866" s="1">
        <v>9.17738777011E11</v>
      </c>
      <c r="C4866" s="15" t="str">
        <f t="shared" si="1"/>
        <v>7738777011.vj@gmail.com917738777011</v>
      </c>
      <c r="D4866" s="17" t="s">
        <v>12413</v>
      </c>
      <c r="E4866" s="18" t="s">
        <v>68</v>
      </c>
    </row>
    <row r="4867">
      <c r="A4867" s="1" t="s">
        <v>3696</v>
      </c>
      <c r="B4867" s="1">
        <v>9.19810013434E11</v>
      </c>
      <c r="C4867" s="15" t="str">
        <f t="shared" si="1"/>
        <v>sandeep1872@gmail.com919810013434</v>
      </c>
      <c r="D4867" s="17" t="s">
        <v>12414</v>
      </c>
      <c r="E4867" s="18" t="s">
        <v>74</v>
      </c>
    </row>
    <row r="4868">
      <c r="A4868" s="1" t="s">
        <v>2740</v>
      </c>
      <c r="B4868" s="1">
        <v>9.19392542363E11</v>
      </c>
      <c r="C4868" s="15" t="str">
        <f t="shared" si="1"/>
        <v>innovationandtechnologylabs@gmail.com919392542363</v>
      </c>
      <c r="D4868" s="17" t="s">
        <v>12415</v>
      </c>
      <c r="E4868" s="18" t="s">
        <v>68</v>
      </c>
    </row>
    <row r="4869">
      <c r="A4869" s="1" t="s">
        <v>12416</v>
      </c>
      <c r="B4869" s="1">
        <v>9.19419121207E11</v>
      </c>
      <c r="C4869" s="15" t="str">
        <f t="shared" si="1"/>
        <v>information5343@gmail.com919419121207</v>
      </c>
      <c r="D4869" s="17" t="s">
        <v>12417</v>
      </c>
      <c r="E4869" s="18" t="s">
        <v>74</v>
      </c>
    </row>
    <row r="4870">
      <c r="A4870" s="1" t="s">
        <v>12418</v>
      </c>
      <c r="B4870" s="1">
        <v>9.19438112626E11</v>
      </c>
      <c r="C4870" s="15" t="str">
        <f t="shared" si="1"/>
        <v>bedirachna19@gmail.com919438112626</v>
      </c>
      <c r="D4870" s="17" t="s">
        <v>12419</v>
      </c>
      <c r="E4870" s="18" t="s">
        <v>74</v>
      </c>
    </row>
    <row r="4871">
      <c r="A4871" s="1" t="s">
        <v>12416</v>
      </c>
      <c r="B4871" s="1">
        <v>9.19419121207E11</v>
      </c>
      <c r="C4871" s="15" t="str">
        <f t="shared" si="1"/>
        <v>information5343@gmail.com919419121207</v>
      </c>
      <c r="D4871" s="17" t="s">
        <v>12420</v>
      </c>
      <c r="E4871" s="18" t="s">
        <v>151</v>
      </c>
    </row>
    <row r="4872">
      <c r="A4872" s="1" t="s">
        <v>3766</v>
      </c>
      <c r="B4872" s="1">
        <v>9.17829978709E11</v>
      </c>
      <c r="C4872" s="15" t="str">
        <f t="shared" si="1"/>
        <v>shrinidhigs96@gmail.com917829978709</v>
      </c>
      <c r="D4872" s="17" t="s">
        <v>12421</v>
      </c>
      <c r="E4872" s="18" t="s">
        <v>68</v>
      </c>
    </row>
    <row r="4873">
      <c r="A4873" s="1" t="s">
        <v>4265</v>
      </c>
      <c r="B4873" s="1">
        <v>9.18124979749E11</v>
      </c>
      <c r="C4873" s="15" t="str">
        <f t="shared" si="1"/>
        <v>kamalibaby3@gmail.com918124979749</v>
      </c>
      <c r="D4873" s="17" t="s">
        <v>12422</v>
      </c>
      <c r="E4873" s="18" t="s">
        <v>68</v>
      </c>
    </row>
    <row r="4874">
      <c r="A4874" s="1" t="s">
        <v>4267</v>
      </c>
      <c r="B4874" s="1">
        <v>9.17973153073E11</v>
      </c>
      <c r="C4874" s="15" t="str">
        <f t="shared" si="1"/>
        <v>tarandeepkaurladhar@gmail.com917973153073</v>
      </c>
      <c r="D4874" s="17" t="s">
        <v>12423</v>
      </c>
      <c r="E4874" s="18" t="s">
        <v>68</v>
      </c>
    </row>
    <row r="4875">
      <c r="A4875" s="1" t="s">
        <v>5248</v>
      </c>
      <c r="B4875" s="1">
        <v>9.19680448639E11</v>
      </c>
      <c r="C4875" s="15" t="str">
        <f t="shared" si="1"/>
        <v>garima2525@gmail.com919680448639</v>
      </c>
      <c r="D4875" s="17" t="s">
        <v>12424</v>
      </c>
      <c r="E4875" s="18" t="s">
        <v>97</v>
      </c>
    </row>
    <row r="4876">
      <c r="A4876" s="1" t="s">
        <v>4883</v>
      </c>
      <c r="B4876" s="1">
        <v>9.17678024507E11</v>
      </c>
      <c r="C4876" s="15" t="str">
        <f t="shared" si="1"/>
        <v>shyamalaxmi1991@gmail.com917678024507</v>
      </c>
      <c r="D4876" s="17" t="s">
        <v>12425</v>
      </c>
      <c r="E4876" s="18" t="s">
        <v>68</v>
      </c>
    </row>
    <row r="4877">
      <c r="A4877" s="1" t="s">
        <v>3592</v>
      </c>
      <c r="B4877" s="1">
        <v>9.19422396771E11</v>
      </c>
      <c r="C4877" s="15" t="str">
        <f t="shared" si="1"/>
        <v>shindevinita357@gmail.com919422396771</v>
      </c>
      <c r="D4877" s="17" t="s">
        <v>12426</v>
      </c>
      <c r="E4877" s="18" t="s">
        <v>68</v>
      </c>
    </row>
    <row r="4878">
      <c r="A4878" s="1" t="s">
        <v>4269</v>
      </c>
      <c r="B4878" s="1">
        <v>9.18368489041E11</v>
      </c>
      <c r="C4878" s="15" t="str">
        <f t="shared" si="1"/>
        <v>vartikarajput1@gmail.com918368489041</v>
      </c>
      <c r="D4878" s="17" t="s">
        <v>12427</v>
      </c>
      <c r="E4878" s="18" t="s">
        <v>68</v>
      </c>
    </row>
    <row r="4879">
      <c r="A4879" s="1" t="s">
        <v>12428</v>
      </c>
      <c r="B4879" s="1">
        <v>9.19920684902E11</v>
      </c>
      <c r="C4879" s="15" t="str">
        <f t="shared" si="1"/>
        <v>nidamemi12@gmail.com919920684902</v>
      </c>
      <c r="D4879" s="17" t="s">
        <v>12429</v>
      </c>
      <c r="E4879" s="18" t="s">
        <v>151</v>
      </c>
    </row>
    <row r="4880">
      <c r="A4880" s="1" t="s">
        <v>3698</v>
      </c>
      <c r="B4880" s="1">
        <v>9.19168114657E11</v>
      </c>
      <c r="C4880" s="15" t="str">
        <f t="shared" si="1"/>
        <v>amaansakware4249@gmail.com919168114657</v>
      </c>
      <c r="D4880" s="17" t="s">
        <v>12430</v>
      </c>
      <c r="E4880" s="18" t="s">
        <v>68</v>
      </c>
    </row>
    <row r="4881">
      <c r="A4881" s="1" t="s">
        <v>4885</v>
      </c>
      <c r="B4881" s="1">
        <v>9.17992335992E11</v>
      </c>
      <c r="C4881" s="15" t="str">
        <f t="shared" si="1"/>
        <v>alinaakhtar72@gmail.com917992335992</v>
      </c>
      <c r="D4881" s="17" t="s">
        <v>12431</v>
      </c>
      <c r="E4881" s="18" t="s">
        <v>68</v>
      </c>
    </row>
    <row r="4882">
      <c r="A4882" s="1" t="s">
        <v>4459</v>
      </c>
      <c r="B4882" s="1">
        <v>9.19830838748E11</v>
      </c>
      <c r="C4882" s="15" t="str">
        <f t="shared" si="1"/>
        <v>dr.narayan.mitra@gmail.com919830838748</v>
      </c>
      <c r="D4882" s="17" t="s">
        <v>12432</v>
      </c>
      <c r="E4882" s="18" t="s">
        <v>68</v>
      </c>
    </row>
    <row r="4883">
      <c r="A4883" s="1" t="s">
        <v>5316</v>
      </c>
      <c r="B4883" s="1">
        <v>9.19324351884E11</v>
      </c>
      <c r="C4883" s="15" t="str">
        <f t="shared" si="1"/>
        <v>purshottam@anj.co.in919324351884</v>
      </c>
      <c r="D4883" s="17" t="s">
        <v>12433</v>
      </c>
      <c r="E4883" s="18" t="s">
        <v>68</v>
      </c>
    </row>
    <row r="4884">
      <c r="A4884" s="1" t="s">
        <v>12434</v>
      </c>
      <c r="B4884" s="1">
        <v>9.17838880119E11</v>
      </c>
      <c r="C4884" s="15" t="str">
        <f t="shared" si="1"/>
        <v>evolvewidgrace@gmail.com917838880119</v>
      </c>
      <c r="D4884" s="17" t="s">
        <v>12435</v>
      </c>
      <c r="E4884" s="18" t="s">
        <v>68</v>
      </c>
    </row>
    <row r="4885">
      <c r="A4885" s="1" t="s">
        <v>12434</v>
      </c>
      <c r="B4885" s="1">
        <v>9.17838880119E11</v>
      </c>
      <c r="C4885" s="15" t="str">
        <f t="shared" si="1"/>
        <v>evolvewidgrace@gmail.com917838880119</v>
      </c>
      <c r="D4885" s="17" t="s">
        <v>12436</v>
      </c>
      <c r="E4885" s="18" t="s">
        <v>68</v>
      </c>
    </row>
    <row r="4886">
      <c r="A4886" s="1" t="s">
        <v>12434</v>
      </c>
      <c r="B4886" s="1">
        <v>9.17838880119E11</v>
      </c>
      <c r="C4886" s="15" t="str">
        <f t="shared" si="1"/>
        <v>evolvewidgrace@gmail.com917838880119</v>
      </c>
      <c r="D4886" s="17" t="s">
        <v>12437</v>
      </c>
      <c r="E4886" s="18" t="s">
        <v>68</v>
      </c>
    </row>
    <row r="4887">
      <c r="A4887" s="1" t="s">
        <v>6680</v>
      </c>
      <c r="B4887" s="1">
        <v>9.18688976227E11</v>
      </c>
      <c r="C4887" s="15" t="str">
        <f t="shared" si="1"/>
        <v>neelu1004@gmail.com918688976227</v>
      </c>
      <c r="D4887" s="17" t="s">
        <v>12438</v>
      </c>
      <c r="E4887" s="18" t="s">
        <v>68</v>
      </c>
    </row>
    <row r="4888">
      <c r="A4888" s="1" t="s">
        <v>12439</v>
      </c>
      <c r="B4888" s="1">
        <v>9.18056291723E11</v>
      </c>
      <c r="C4888" s="15" t="str">
        <f t="shared" si="1"/>
        <v>preetykrish.krish@gmail.com918056291723</v>
      </c>
      <c r="D4888" s="17" t="s">
        <v>12440</v>
      </c>
      <c r="E4888" s="18" t="s">
        <v>151</v>
      </c>
    </row>
    <row r="4889">
      <c r="A4889" s="1" t="s">
        <v>12441</v>
      </c>
      <c r="B4889" s="1">
        <v>9.17620146836E11</v>
      </c>
      <c r="C4889" s="15" t="str">
        <f t="shared" si="1"/>
        <v>daradevaibhav119@gmail.com917620146836</v>
      </c>
      <c r="D4889" s="17" t="s">
        <v>12442</v>
      </c>
      <c r="E4889" s="18" t="s">
        <v>151</v>
      </c>
    </row>
    <row r="4890">
      <c r="A4890" s="1" t="s">
        <v>12439</v>
      </c>
      <c r="B4890" s="1">
        <v>9.18056291723E11</v>
      </c>
      <c r="C4890" s="15" t="str">
        <f t="shared" si="1"/>
        <v>preetykrish.krish@gmail.com918056291723</v>
      </c>
      <c r="D4890" s="17" t="s">
        <v>12443</v>
      </c>
      <c r="E4890" s="18" t="s">
        <v>74</v>
      </c>
    </row>
    <row r="4891">
      <c r="A4891" s="1" t="s">
        <v>3594</v>
      </c>
      <c r="B4891" s="1">
        <v>9.18077245841E11</v>
      </c>
      <c r="C4891" s="15" t="str">
        <f t="shared" si="1"/>
        <v>moll964y@gmail.com918077245841</v>
      </c>
      <c r="D4891" s="17" t="s">
        <v>12444</v>
      </c>
      <c r="E4891" s="18" t="s">
        <v>68</v>
      </c>
    </row>
    <row r="4892">
      <c r="A4892" s="1" t="s">
        <v>3594</v>
      </c>
      <c r="B4892" s="1">
        <v>9.18077245841E11</v>
      </c>
      <c r="C4892" s="15" t="str">
        <f t="shared" si="1"/>
        <v>moll964y@gmail.com918077245841</v>
      </c>
      <c r="D4892" s="17" t="s">
        <v>12445</v>
      </c>
      <c r="E4892" s="18" t="s">
        <v>68</v>
      </c>
    </row>
    <row r="4893">
      <c r="A4893" s="1" t="s">
        <v>5318</v>
      </c>
      <c r="B4893" s="1">
        <v>9.18788080444E11</v>
      </c>
      <c r="C4893" s="15" t="str">
        <f t="shared" si="1"/>
        <v>radhikaanil1998@gmail.com918788080444</v>
      </c>
      <c r="D4893" s="17" t="s">
        <v>12446</v>
      </c>
      <c r="E4893" s="18" t="s">
        <v>68</v>
      </c>
    </row>
    <row r="4894">
      <c r="A4894" s="1" t="s">
        <v>5318</v>
      </c>
      <c r="B4894" s="1">
        <v>9.18788080444E11</v>
      </c>
      <c r="C4894" s="15" t="str">
        <f t="shared" si="1"/>
        <v>radhikaanil1998@gmail.com918788080444</v>
      </c>
      <c r="D4894" s="17" t="s">
        <v>12447</v>
      </c>
      <c r="E4894" s="18" t="s">
        <v>68</v>
      </c>
    </row>
    <row r="4895">
      <c r="A4895" s="1" t="s">
        <v>4140</v>
      </c>
      <c r="B4895" s="1">
        <v>9.19416093035E11</v>
      </c>
      <c r="C4895" s="15" t="str">
        <f t="shared" si="1"/>
        <v>hardiksuneja@gmail.com919416093035</v>
      </c>
      <c r="D4895" s="17" t="s">
        <v>12448</v>
      </c>
      <c r="E4895" s="18" t="s">
        <v>68</v>
      </c>
    </row>
    <row r="4896">
      <c r="A4896" s="1" t="s">
        <v>12449</v>
      </c>
      <c r="B4896" s="1">
        <v>9.19976757775E11</v>
      </c>
      <c r="C4896" s="15" t="str">
        <f t="shared" si="1"/>
        <v>niranjan.sai@gmail.com919976757775</v>
      </c>
      <c r="D4896" s="17" t="s">
        <v>12450</v>
      </c>
      <c r="E4896" s="18" t="s">
        <v>68</v>
      </c>
    </row>
    <row r="4897">
      <c r="A4897" s="1" t="s">
        <v>3700</v>
      </c>
      <c r="B4897" s="1">
        <v>9.19338244662E11</v>
      </c>
      <c r="C4897" s="15" t="str">
        <f t="shared" si="1"/>
        <v>bibhudutt.pattnaik@gmail.com919338244662</v>
      </c>
      <c r="D4897" s="17" t="s">
        <v>12451</v>
      </c>
      <c r="E4897" s="18" t="s">
        <v>68</v>
      </c>
    </row>
    <row r="4898">
      <c r="A4898" s="1" t="s">
        <v>12452</v>
      </c>
      <c r="B4898" s="1">
        <v>9.19898007004E11</v>
      </c>
      <c r="C4898" s="15" t="str">
        <f t="shared" si="1"/>
        <v>mitesh72000@gmail.com919898007004</v>
      </c>
      <c r="D4898" s="17" t="s">
        <v>12453</v>
      </c>
      <c r="E4898" s="18" t="s">
        <v>68</v>
      </c>
    </row>
    <row r="4899">
      <c r="A4899" s="1" t="s">
        <v>4140</v>
      </c>
      <c r="B4899" s="1">
        <v>9.19416093035E11</v>
      </c>
      <c r="C4899" s="15" t="str">
        <f t="shared" si="1"/>
        <v>hardiksuneja@gmail.com919416093035</v>
      </c>
      <c r="D4899" s="17" t="s">
        <v>12454</v>
      </c>
      <c r="E4899" s="18" t="s">
        <v>68</v>
      </c>
    </row>
    <row r="4900">
      <c r="A4900" s="1" t="s">
        <v>12455</v>
      </c>
      <c r="B4900" s="1">
        <v>9.18001960664E11</v>
      </c>
      <c r="C4900" s="15" t="str">
        <f t="shared" si="1"/>
        <v>reshmichatterjee16@gmail.com918001960664</v>
      </c>
      <c r="D4900" s="17" t="s">
        <v>12456</v>
      </c>
      <c r="E4900" s="18" t="s">
        <v>74</v>
      </c>
    </row>
    <row r="4901">
      <c r="A4901" s="1" t="s">
        <v>12455</v>
      </c>
      <c r="B4901" s="1">
        <v>9.18001960664E11</v>
      </c>
      <c r="C4901" s="15" t="str">
        <f t="shared" si="1"/>
        <v>reshmichatterjee16@gmail.com918001960664</v>
      </c>
      <c r="D4901" s="17" t="s">
        <v>12457</v>
      </c>
      <c r="E4901" s="18" t="s">
        <v>74</v>
      </c>
    </row>
    <row r="4902">
      <c r="A4902" s="1" t="s">
        <v>12455</v>
      </c>
      <c r="B4902" s="1">
        <v>9.18001960664E11</v>
      </c>
      <c r="C4902" s="15" t="str">
        <f t="shared" si="1"/>
        <v>reshmichatterjee16@gmail.com918001960664</v>
      </c>
      <c r="D4902" s="17" t="s">
        <v>12458</v>
      </c>
      <c r="E4902" s="18" t="s">
        <v>68</v>
      </c>
    </row>
    <row r="4903">
      <c r="A4903" s="1" t="s">
        <v>12439</v>
      </c>
      <c r="B4903" s="1">
        <v>9.18056291723E11</v>
      </c>
      <c r="C4903" s="15" t="str">
        <f t="shared" si="1"/>
        <v>preetykrish.krish@gmail.com918056291723</v>
      </c>
      <c r="D4903" s="17" t="s">
        <v>12459</v>
      </c>
      <c r="E4903" s="18" t="s">
        <v>74</v>
      </c>
    </row>
    <row r="4904">
      <c r="A4904" s="1" t="s">
        <v>12439</v>
      </c>
      <c r="B4904" s="1">
        <v>9.18056291723E11</v>
      </c>
      <c r="C4904" s="15" t="str">
        <f t="shared" si="1"/>
        <v>preetykrish.krish@gmail.com918056291723</v>
      </c>
      <c r="D4904" s="17" t="s">
        <v>12460</v>
      </c>
      <c r="E4904" s="18" t="s">
        <v>74</v>
      </c>
    </row>
    <row r="4905">
      <c r="A4905" s="1" t="s">
        <v>12461</v>
      </c>
      <c r="B4905" s="1">
        <v>9.19880761286E11</v>
      </c>
      <c r="C4905" s="15" t="str">
        <f t="shared" si="1"/>
        <v>razia.h309@gmail.com919880761286</v>
      </c>
      <c r="D4905" s="17" t="s">
        <v>12462</v>
      </c>
      <c r="E4905" s="18" t="s">
        <v>151</v>
      </c>
    </row>
    <row r="4906">
      <c r="A4906" s="1" t="s">
        <v>5704</v>
      </c>
      <c r="B4906" s="1">
        <v>9.17991700859E11</v>
      </c>
      <c r="C4906" s="15" t="str">
        <f t="shared" si="1"/>
        <v>rk8735080@gmail.com917991700859</v>
      </c>
      <c r="D4906" s="17" t="s">
        <v>12463</v>
      </c>
      <c r="E4906" s="18" t="s">
        <v>151</v>
      </c>
    </row>
    <row r="4907">
      <c r="A4907" s="1" t="s">
        <v>5148</v>
      </c>
      <c r="B4907" s="1">
        <v>9.19971687735E11</v>
      </c>
      <c r="C4907" s="15" t="str">
        <f t="shared" si="1"/>
        <v>littlemistersmommy@gmail.com919971687735</v>
      </c>
      <c r="D4907" s="17" t="s">
        <v>12464</v>
      </c>
      <c r="E4907" s="18" t="s">
        <v>68</v>
      </c>
    </row>
    <row r="4908">
      <c r="A4908" s="1" t="s">
        <v>3596</v>
      </c>
      <c r="B4908" s="1">
        <v>9.17842238944E11</v>
      </c>
      <c r="C4908" s="15" t="str">
        <f t="shared" si="1"/>
        <v>sunny619jp@gmail.com917842238944</v>
      </c>
      <c r="D4908" s="17" t="s">
        <v>12465</v>
      </c>
      <c r="E4908" s="18" t="s">
        <v>68</v>
      </c>
    </row>
    <row r="4909">
      <c r="A4909" s="1" t="s">
        <v>6682</v>
      </c>
      <c r="B4909" s="1">
        <v>9.19819266878E11</v>
      </c>
      <c r="C4909" s="15" t="str">
        <f t="shared" si="1"/>
        <v>shirin.mukhtyar23@gmail.com919819266878</v>
      </c>
      <c r="D4909" s="17" t="s">
        <v>12466</v>
      </c>
      <c r="E4909" s="18" t="s">
        <v>68</v>
      </c>
    </row>
    <row r="4910">
      <c r="A4910" s="1" t="s">
        <v>6682</v>
      </c>
      <c r="B4910" s="1">
        <v>9.19819266878E11</v>
      </c>
      <c r="C4910" s="15" t="str">
        <f t="shared" si="1"/>
        <v>shirin.mukhtyar23@gmail.com919819266878</v>
      </c>
      <c r="D4910" s="17" t="s">
        <v>12467</v>
      </c>
      <c r="E4910" s="18" t="s">
        <v>68</v>
      </c>
    </row>
    <row r="4911">
      <c r="A4911" s="1" t="s">
        <v>3598</v>
      </c>
      <c r="B4911" s="1">
        <v>9.17904570793E11</v>
      </c>
      <c r="C4911" s="15" t="str">
        <f t="shared" si="1"/>
        <v>varshaamohan@gmail.com917904570793</v>
      </c>
      <c r="D4911" s="17" t="s">
        <v>12468</v>
      </c>
      <c r="E4911" s="18" t="s">
        <v>68</v>
      </c>
    </row>
    <row r="4912">
      <c r="A4912" s="1" t="s">
        <v>3600</v>
      </c>
      <c r="B4912" s="1">
        <v>9.19945441387E11</v>
      </c>
      <c r="C4912" s="15" t="str">
        <f t="shared" si="1"/>
        <v>incharasukumar20@gmail.com919945441387</v>
      </c>
      <c r="D4912" s="17" t="s">
        <v>12469</v>
      </c>
      <c r="E4912" s="18" t="s">
        <v>68</v>
      </c>
    </row>
    <row r="4913">
      <c r="A4913" s="1" t="s">
        <v>3545</v>
      </c>
      <c r="B4913" s="1">
        <v>9.1810809472E11</v>
      </c>
      <c r="C4913" s="15" t="str">
        <f t="shared" si="1"/>
        <v>pagarkarapsara@gmail.com918108094720</v>
      </c>
      <c r="D4913" s="17" t="s">
        <v>12470</v>
      </c>
      <c r="E4913" s="18" t="s">
        <v>74</v>
      </c>
    </row>
    <row r="4914">
      <c r="A4914" s="1" t="s">
        <v>4792</v>
      </c>
      <c r="B4914" s="1">
        <v>9.19593264031E11</v>
      </c>
      <c r="C4914" s="15" t="str">
        <f t="shared" si="1"/>
        <v>ramizmustak@gmail.com919593264031</v>
      </c>
      <c r="D4914" s="17" t="s">
        <v>12471</v>
      </c>
      <c r="E4914" s="18" t="s">
        <v>68</v>
      </c>
    </row>
    <row r="4915">
      <c r="A4915" s="1" t="s">
        <v>3545</v>
      </c>
      <c r="B4915" s="1">
        <v>9.1810809472E11</v>
      </c>
      <c r="C4915" s="15" t="str">
        <f t="shared" si="1"/>
        <v>pagarkarapsara@gmail.com918108094720</v>
      </c>
      <c r="D4915" s="17" t="s">
        <v>12472</v>
      </c>
      <c r="E4915" s="18" t="s">
        <v>74</v>
      </c>
    </row>
    <row r="4916">
      <c r="A4916" s="1" t="s">
        <v>12473</v>
      </c>
      <c r="B4916" s="1">
        <v>9.19172020972E11</v>
      </c>
      <c r="C4916" s="15" t="str">
        <f t="shared" si="1"/>
        <v>ravi.satpute25@gmail.com919172020972</v>
      </c>
      <c r="D4916" s="17" t="s">
        <v>12474</v>
      </c>
      <c r="E4916" s="18" t="s">
        <v>74</v>
      </c>
    </row>
    <row r="4917">
      <c r="A4917" s="1" t="s">
        <v>12473</v>
      </c>
      <c r="B4917" s="1">
        <v>9.19172020972E11</v>
      </c>
      <c r="C4917" s="15" t="str">
        <f t="shared" si="1"/>
        <v>ravi.satpute25@gmail.com919172020972</v>
      </c>
      <c r="D4917" s="17" t="s">
        <v>12475</v>
      </c>
      <c r="E4917" s="18" t="s">
        <v>97</v>
      </c>
    </row>
    <row r="4918">
      <c r="A4918" s="1" t="s">
        <v>12473</v>
      </c>
      <c r="B4918" s="1">
        <v>9.19172020972E11</v>
      </c>
      <c r="C4918" s="15" t="str">
        <f t="shared" si="1"/>
        <v>ravi.satpute25@gmail.com919172020972</v>
      </c>
      <c r="D4918" s="17" t="s">
        <v>12476</v>
      </c>
      <c r="E4918" s="18" t="s">
        <v>97</v>
      </c>
    </row>
    <row r="4919">
      <c r="A4919" s="1" t="s">
        <v>12477</v>
      </c>
      <c r="B4919" s="1">
        <v>9.19167000967E11</v>
      </c>
      <c r="C4919" s="15" t="str">
        <f t="shared" si="1"/>
        <v>vaishalipol48@gmail.com919167000967</v>
      </c>
      <c r="D4919" s="17" t="s">
        <v>12478</v>
      </c>
      <c r="E4919" s="18" t="s">
        <v>68</v>
      </c>
    </row>
    <row r="4920">
      <c r="A4920" s="1" t="s">
        <v>3545</v>
      </c>
      <c r="B4920" s="1">
        <v>9.1810809472E11</v>
      </c>
      <c r="C4920" s="15" t="str">
        <f t="shared" si="1"/>
        <v>pagarkarapsara@gmail.com918108094720</v>
      </c>
      <c r="D4920" s="17" t="s">
        <v>12479</v>
      </c>
      <c r="E4920" s="18" t="s">
        <v>151</v>
      </c>
    </row>
    <row r="4921">
      <c r="A4921" s="1" t="s">
        <v>3545</v>
      </c>
      <c r="B4921" s="1">
        <v>9.1810809472E11</v>
      </c>
      <c r="C4921" s="15" t="str">
        <f t="shared" si="1"/>
        <v>pagarkarapsara@gmail.com918108094720</v>
      </c>
      <c r="D4921" s="17" t="s">
        <v>12480</v>
      </c>
      <c r="E4921" s="18" t="s">
        <v>151</v>
      </c>
    </row>
    <row r="4922">
      <c r="A4922" s="1" t="s">
        <v>12473</v>
      </c>
      <c r="B4922" s="1">
        <v>9.19172020972E11</v>
      </c>
      <c r="C4922" s="15" t="str">
        <f t="shared" si="1"/>
        <v>ravi.satpute25@gmail.com919172020972</v>
      </c>
      <c r="D4922" s="17" t="s">
        <v>12481</v>
      </c>
      <c r="E4922" s="18" t="s">
        <v>151</v>
      </c>
    </row>
    <row r="4923">
      <c r="A4923" s="1" t="s">
        <v>12366</v>
      </c>
      <c r="B4923" s="1">
        <v>9.19373363238E11</v>
      </c>
      <c r="C4923" s="15" t="str">
        <f t="shared" si="1"/>
        <v>nikitamodak9494@email.com919373363238</v>
      </c>
      <c r="D4923" s="17" t="s">
        <v>12482</v>
      </c>
      <c r="E4923" s="18" t="s">
        <v>74</v>
      </c>
    </row>
    <row r="4924">
      <c r="A4924" s="1" t="s">
        <v>11555</v>
      </c>
      <c r="B4924" s="1">
        <v>9.1900631582E11</v>
      </c>
      <c r="C4924" s="15" t="str">
        <f t="shared" si="1"/>
        <v>rxrakeshkumarpandey@gmail.com919006315820</v>
      </c>
      <c r="D4924" s="17" t="s">
        <v>12483</v>
      </c>
      <c r="E4924" s="18" t="s">
        <v>151</v>
      </c>
    </row>
    <row r="4925">
      <c r="A4925" s="1" t="s">
        <v>11555</v>
      </c>
      <c r="B4925" s="1">
        <v>9.1900631582E11</v>
      </c>
      <c r="C4925" s="15" t="str">
        <f t="shared" si="1"/>
        <v>rxrakeshkumarpandey@gmail.com919006315820</v>
      </c>
      <c r="D4925" s="17" t="s">
        <v>12484</v>
      </c>
      <c r="E4925" s="18" t="s">
        <v>151</v>
      </c>
    </row>
    <row r="4926">
      <c r="A4926" s="1" t="s">
        <v>5706</v>
      </c>
      <c r="B4926" s="1">
        <v>9.18637236842E11</v>
      </c>
      <c r="C4926" s="15" t="str">
        <f t="shared" si="1"/>
        <v>chinmayamallick99@gmail.com918637236842</v>
      </c>
      <c r="D4926" s="17" t="s">
        <v>12485</v>
      </c>
      <c r="E4926" s="18" t="s">
        <v>151</v>
      </c>
    </row>
    <row r="4927">
      <c r="A4927" s="1" t="s">
        <v>5706</v>
      </c>
      <c r="B4927" s="1">
        <v>9.18637236842E11</v>
      </c>
      <c r="C4927" s="15" t="str">
        <f t="shared" si="1"/>
        <v>chinmayamallick99@gmail.com918637236842</v>
      </c>
      <c r="D4927" s="17" t="s">
        <v>12486</v>
      </c>
      <c r="E4927" s="18" t="s">
        <v>68</v>
      </c>
    </row>
    <row r="4928">
      <c r="A4928" s="1" t="s">
        <v>11555</v>
      </c>
      <c r="B4928" s="1">
        <v>9.1900631582E11</v>
      </c>
      <c r="C4928" s="15" t="str">
        <f t="shared" si="1"/>
        <v>rxrakeshkumarpandey@gmail.com919006315820</v>
      </c>
      <c r="D4928" s="17" t="s">
        <v>12487</v>
      </c>
      <c r="E4928" s="18" t="s">
        <v>74</v>
      </c>
    </row>
    <row r="4929">
      <c r="A4929" s="1" t="s">
        <v>11555</v>
      </c>
      <c r="B4929" s="1">
        <v>9.1900631582E11</v>
      </c>
      <c r="C4929" s="15" t="str">
        <f t="shared" si="1"/>
        <v>rxrakeshkumarpandey@gmail.com919006315820</v>
      </c>
      <c r="D4929" s="17" t="s">
        <v>12488</v>
      </c>
      <c r="E4929" s="18" t="s">
        <v>74</v>
      </c>
    </row>
    <row r="4930">
      <c r="A4930" s="1" t="s">
        <v>12489</v>
      </c>
      <c r="B4930" s="1">
        <v>9.16301002242E11</v>
      </c>
      <c r="C4930" s="15" t="str">
        <f t="shared" si="1"/>
        <v>kethaboyena@gmail.com916301002242</v>
      </c>
      <c r="D4930" s="17" t="s">
        <v>12490</v>
      </c>
      <c r="E4930" s="18" t="s">
        <v>68</v>
      </c>
    </row>
    <row r="4931">
      <c r="A4931" s="1" t="s">
        <v>11555</v>
      </c>
      <c r="B4931" s="1">
        <v>9.1900631582E11</v>
      </c>
      <c r="C4931" s="15" t="str">
        <f t="shared" si="1"/>
        <v>rxrakeshkumarpandey@gmail.com919006315820</v>
      </c>
      <c r="D4931" s="17" t="s">
        <v>12491</v>
      </c>
      <c r="E4931" s="18" t="s">
        <v>74</v>
      </c>
    </row>
    <row r="4932">
      <c r="A4932" s="1" t="s">
        <v>4794</v>
      </c>
      <c r="B4932" s="1">
        <v>9.1907809715E11</v>
      </c>
      <c r="C4932" s="15" t="str">
        <f t="shared" si="1"/>
        <v>sipu.biswal2k16@gmail.com919078097150</v>
      </c>
      <c r="D4932" s="17" t="s">
        <v>12492</v>
      </c>
      <c r="E4932" s="18" t="s">
        <v>68</v>
      </c>
    </row>
    <row r="4933">
      <c r="A4933" s="1" t="s">
        <v>12493</v>
      </c>
      <c r="B4933" s="1">
        <v>9.1900631582E11</v>
      </c>
      <c r="C4933" s="15" t="str">
        <f t="shared" si="1"/>
        <v>rxrakesh66@gmail.com919006315820</v>
      </c>
      <c r="D4933" s="17" t="s">
        <v>12494</v>
      </c>
      <c r="E4933" s="18" t="s">
        <v>74</v>
      </c>
    </row>
    <row r="4934">
      <c r="A4934" s="1" t="s">
        <v>12493</v>
      </c>
      <c r="B4934" s="1">
        <v>9.1900631582E11</v>
      </c>
      <c r="C4934" s="15" t="str">
        <f t="shared" si="1"/>
        <v>rxrakesh66@gmail.com919006315820</v>
      </c>
      <c r="D4934" s="17" t="s">
        <v>12495</v>
      </c>
      <c r="E4934" s="18" t="s">
        <v>74</v>
      </c>
    </row>
    <row r="4935">
      <c r="A4935" s="1" t="s">
        <v>12493</v>
      </c>
      <c r="B4935" s="1">
        <v>9.1900631582E11</v>
      </c>
      <c r="C4935" s="15" t="str">
        <f t="shared" si="1"/>
        <v>rxrakesh66@gmail.com919006315820</v>
      </c>
      <c r="D4935" s="17" t="s">
        <v>12496</v>
      </c>
      <c r="E4935" s="18" t="s">
        <v>151</v>
      </c>
    </row>
    <row r="4936">
      <c r="A4936" s="1" t="s">
        <v>12497</v>
      </c>
      <c r="B4936" s="1">
        <v>9.17349087513E11</v>
      </c>
      <c r="C4936" s="15" t="str">
        <f t="shared" si="1"/>
        <v>lmpooja579@gmail.com917349087513</v>
      </c>
      <c r="D4936" s="17" t="s">
        <v>12498</v>
      </c>
      <c r="E4936" s="18" t="s">
        <v>151</v>
      </c>
    </row>
    <row r="4937">
      <c r="A4937" s="1" t="s">
        <v>12499</v>
      </c>
      <c r="B4937" s="1">
        <v>9.19350258748E11</v>
      </c>
      <c r="C4937" s="15" t="str">
        <f t="shared" si="1"/>
        <v>yunushkhanbth9@gmail.com919350258748</v>
      </c>
      <c r="D4937" s="17" t="s">
        <v>12500</v>
      </c>
      <c r="E4937" s="18" t="s">
        <v>151</v>
      </c>
    </row>
    <row r="4938">
      <c r="A4938" s="1" t="s">
        <v>2909</v>
      </c>
      <c r="B4938" s="1">
        <v>9.18328425139E11</v>
      </c>
      <c r="C4938" s="15" t="str">
        <f t="shared" si="1"/>
        <v>sunnyyashu178@gmail.com918328425139</v>
      </c>
      <c r="D4938" s="17" t="s">
        <v>12501</v>
      </c>
      <c r="E4938" s="18" t="s">
        <v>74</v>
      </c>
    </row>
    <row r="4939">
      <c r="A4939" s="1" t="s">
        <v>6458</v>
      </c>
      <c r="B4939" s="1">
        <v>9.18824454998E11</v>
      </c>
      <c r="C4939" s="15" t="str">
        <f t="shared" si="1"/>
        <v>choudharyyash1616@gmail.com918824454998</v>
      </c>
      <c r="D4939" s="17" t="s">
        <v>12502</v>
      </c>
      <c r="E4939" s="18" t="s">
        <v>68</v>
      </c>
    </row>
    <row r="4940">
      <c r="A4940" s="1" t="s">
        <v>6684</v>
      </c>
      <c r="B4940" s="1">
        <v>9.19908395235E11</v>
      </c>
      <c r="C4940" s="15" t="str">
        <f t="shared" si="1"/>
        <v>sravyakutty187@gmail.com919908395235</v>
      </c>
      <c r="D4940" s="17" t="s">
        <v>12503</v>
      </c>
      <c r="E4940" s="18" t="s">
        <v>74</v>
      </c>
    </row>
    <row r="4941">
      <c r="A4941" s="1" t="s">
        <v>4272</v>
      </c>
      <c r="B4941" s="1">
        <v>9.19112104997E11</v>
      </c>
      <c r="C4941" s="15" t="str">
        <f t="shared" si="1"/>
        <v>tejaswini97.tm@gmail.com919112104997</v>
      </c>
      <c r="D4941" s="17" t="s">
        <v>12504</v>
      </c>
      <c r="E4941" s="18" t="s">
        <v>68</v>
      </c>
    </row>
    <row r="4942">
      <c r="A4942" s="1" t="s">
        <v>12505</v>
      </c>
      <c r="B4942" s="1">
        <v>9.19600878974E11</v>
      </c>
      <c r="C4942" s="15" t="str">
        <f t="shared" si="1"/>
        <v>sivarajan.thiva@gmail.com919600878974</v>
      </c>
      <c r="D4942" s="17" t="s">
        <v>12506</v>
      </c>
      <c r="E4942" s="18" t="s">
        <v>151</v>
      </c>
    </row>
    <row r="4943">
      <c r="A4943" s="1" t="s">
        <v>2909</v>
      </c>
      <c r="B4943" s="1">
        <v>9.18328425139E11</v>
      </c>
      <c r="C4943" s="15" t="str">
        <f t="shared" si="1"/>
        <v>sunnyyashu178@gmail.com918328425139</v>
      </c>
      <c r="D4943" s="17" t="s">
        <v>12507</v>
      </c>
      <c r="E4943" s="18" t="s">
        <v>151</v>
      </c>
    </row>
    <row r="4944">
      <c r="A4944" s="1" t="s">
        <v>3602</v>
      </c>
      <c r="B4944" s="1">
        <v>9.17347302993E11</v>
      </c>
      <c r="C4944" s="15" t="str">
        <f t="shared" si="1"/>
        <v>mukherjee.uma01@gmail.com917347302993</v>
      </c>
      <c r="D4944" s="17" t="s">
        <v>12508</v>
      </c>
      <c r="E4944" s="18" t="s">
        <v>68</v>
      </c>
    </row>
    <row r="4945">
      <c r="A4945" s="1" t="s">
        <v>12509</v>
      </c>
      <c r="B4945" s="1">
        <v>9.17529046201E11</v>
      </c>
      <c r="C4945" s="15" t="str">
        <f t="shared" si="1"/>
        <v>nagramanjinderkaur@gmail.com917529046201</v>
      </c>
      <c r="D4945" s="17" t="s">
        <v>12510</v>
      </c>
      <c r="E4945" s="18" t="s">
        <v>151</v>
      </c>
    </row>
    <row r="4946">
      <c r="A4946" s="1" t="s">
        <v>3604</v>
      </c>
      <c r="B4946" s="1">
        <v>9.1855351083E11</v>
      </c>
      <c r="C4946" s="15" t="str">
        <f t="shared" si="1"/>
        <v>krismaniar84@gmail.com918553510830</v>
      </c>
      <c r="D4946" s="17" t="s">
        <v>12511</v>
      </c>
      <c r="E4946" s="18" t="s">
        <v>68</v>
      </c>
    </row>
    <row r="4947">
      <c r="A4947" s="1" t="s">
        <v>12512</v>
      </c>
      <c r="B4947" s="1">
        <v>9.19860699977E11</v>
      </c>
      <c r="C4947" s="15" t="str">
        <f t="shared" si="1"/>
        <v>sra.shrutiagrawal@gmail.com919860699977</v>
      </c>
      <c r="D4947" s="17" t="s">
        <v>12513</v>
      </c>
      <c r="E4947" s="18" t="s">
        <v>68</v>
      </c>
    </row>
    <row r="4948">
      <c r="A4948" s="1" t="s">
        <v>12493</v>
      </c>
      <c r="B4948" s="1">
        <v>9.1900631582E11</v>
      </c>
      <c r="C4948" s="15" t="str">
        <f t="shared" si="1"/>
        <v>rxrakesh66@gmail.com919006315820</v>
      </c>
      <c r="D4948" s="17" t="s">
        <v>12514</v>
      </c>
      <c r="E4948" s="18" t="s">
        <v>74</v>
      </c>
    </row>
    <row r="4949">
      <c r="A4949" s="1" t="s">
        <v>12493</v>
      </c>
      <c r="B4949" s="1">
        <v>9.1900631582E11</v>
      </c>
      <c r="C4949" s="15" t="str">
        <f t="shared" si="1"/>
        <v>rxrakesh66@gmail.com919006315820</v>
      </c>
      <c r="D4949" s="17" t="s">
        <v>12515</v>
      </c>
      <c r="E4949" s="18" t="s">
        <v>151</v>
      </c>
    </row>
    <row r="4950">
      <c r="A4950" s="1" t="s">
        <v>12516</v>
      </c>
      <c r="B4950" s="1">
        <v>9.19763162408E11</v>
      </c>
      <c r="C4950" s="15" t="str">
        <f t="shared" si="1"/>
        <v>kartikkalal738@gmail.com919763162408</v>
      </c>
      <c r="D4950" s="17" t="s">
        <v>12517</v>
      </c>
      <c r="E4950" s="18" t="s">
        <v>68</v>
      </c>
    </row>
    <row r="4951">
      <c r="A4951" s="1" t="s">
        <v>12493</v>
      </c>
      <c r="B4951" s="1">
        <v>9.1900631582E11</v>
      </c>
      <c r="C4951" s="15" t="str">
        <f t="shared" si="1"/>
        <v>rxrakesh66@gmail.com919006315820</v>
      </c>
      <c r="D4951" s="17" t="s">
        <v>12518</v>
      </c>
      <c r="E4951" s="18" t="s">
        <v>74</v>
      </c>
    </row>
    <row r="4952">
      <c r="A4952" s="1" t="s">
        <v>3768</v>
      </c>
      <c r="B4952" s="1">
        <v>9.18734838674E11</v>
      </c>
      <c r="C4952" s="15" t="str">
        <f t="shared" si="1"/>
        <v>hvsharma63@gmail.com918734838674</v>
      </c>
      <c r="D4952" s="17" t="s">
        <v>12519</v>
      </c>
      <c r="E4952" s="18" t="s">
        <v>68</v>
      </c>
    </row>
    <row r="4953">
      <c r="A4953" s="1" t="s">
        <v>12493</v>
      </c>
      <c r="B4953" s="1">
        <v>9.1900631582E11</v>
      </c>
      <c r="C4953" s="15" t="str">
        <f t="shared" si="1"/>
        <v>rxrakesh66@gmail.com919006315820</v>
      </c>
      <c r="D4953" s="17" t="s">
        <v>12520</v>
      </c>
      <c r="E4953" s="18" t="s">
        <v>74</v>
      </c>
    </row>
    <row r="4954">
      <c r="A4954" s="1" t="s">
        <v>3975</v>
      </c>
      <c r="B4954" s="1">
        <v>9.18088880866E11</v>
      </c>
      <c r="C4954" s="15" t="str">
        <f t="shared" si="1"/>
        <v>anoop9007@gmail.com918088880866</v>
      </c>
      <c r="D4954" s="17" t="s">
        <v>12521</v>
      </c>
      <c r="E4954" s="18" t="s">
        <v>68</v>
      </c>
    </row>
    <row r="4955">
      <c r="A4955" s="1" t="s">
        <v>3975</v>
      </c>
      <c r="B4955" s="1">
        <v>9.18088880866E11</v>
      </c>
      <c r="C4955" s="15" t="str">
        <f t="shared" si="1"/>
        <v>anoop9007@gmail.com918088880866</v>
      </c>
      <c r="D4955" s="17" t="s">
        <v>12522</v>
      </c>
      <c r="E4955" s="18" t="s">
        <v>68</v>
      </c>
    </row>
    <row r="4956">
      <c r="A4956" s="1" t="s">
        <v>3975</v>
      </c>
      <c r="B4956" s="1">
        <v>9.18088880866E11</v>
      </c>
      <c r="C4956" s="15" t="str">
        <f t="shared" si="1"/>
        <v>anoop9007@gmail.com918088880866</v>
      </c>
      <c r="D4956" s="17" t="s">
        <v>12523</v>
      </c>
      <c r="E4956" s="18" t="s">
        <v>68</v>
      </c>
    </row>
    <row r="4957">
      <c r="A4957" s="1" t="s">
        <v>12524</v>
      </c>
      <c r="B4957" s="1">
        <v>9.17024592754E11</v>
      </c>
      <c r="C4957" s="15" t="str">
        <f t="shared" si="1"/>
        <v>sneha.jennifer007@gmail.com917024592754</v>
      </c>
      <c r="D4957" s="17" t="s">
        <v>12525</v>
      </c>
      <c r="E4957" s="18" t="s">
        <v>74</v>
      </c>
    </row>
    <row r="4958">
      <c r="A4958" s="1" t="s">
        <v>5090</v>
      </c>
      <c r="B4958" s="1">
        <v>9.19544924223E11</v>
      </c>
      <c r="C4958" s="15" t="str">
        <f t="shared" si="1"/>
        <v>basheershana46@gmail.com919544924223</v>
      </c>
      <c r="D4958" s="17" t="s">
        <v>12526</v>
      </c>
      <c r="E4958" s="18" t="s">
        <v>68</v>
      </c>
    </row>
    <row r="4959">
      <c r="A4959" s="1" t="s">
        <v>6183</v>
      </c>
      <c r="B4959" s="1">
        <v>9.18169758076E11</v>
      </c>
      <c r="C4959" s="15" t="str">
        <f t="shared" si="1"/>
        <v>sepals.antara@gmail.com918169758076</v>
      </c>
      <c r="D4959" s="17" t="s">
        <v>12527</v>
      </c>
      <c r="E4959" s="18" t="s">
        <v>68</v>
      </c>
    </row>
    <row r="4960">
      <c r="A4960" s="1" t="s">
        <v>4274</v>
      </c>
      <c r="B4960" s="1">
        <v>9.17009424413E11</v>
      </c>
      <c r="C4960" s="15" t="str">
        <f t="shared" si="1"/>
        <v>sehar1507@gmail.com917009424413</v>
      </c>
      <c r="D4960" s="17" t="s">
        <v>12528</v>
      </c>
      <c r="E4960" s="18" t="s">
        <v>68</v>
      </c>
    </row>
    <row r="4961">
      <c r="A4961" s="1" t="s">
        <v>5092</v>
      </c>
      <c r="B4961" s="1">
        <v>9.1963251929E11</v>
      </c>
      <c r="C4961" s="15" t="str">
        <f t="shared" si="1"/>
        <v>chamanmeeranaver786@gmail.com919632519290</v>
      </c>
      <c r="D4961" s="17" t="s">
        <v>12529</v>
      </c>
      <c r="E4961" s="18" t="s">
        <v>151</v>
      </c>
    </row>
    <row r="4962">
      <c r="A4962" s="1" t="s">
        <v>2599</v>
      </c>
      <c r="B4962" s="1">
        <v>9.18805190315E11</v>
      </c>
      <c r="C4962" s="15" t="str">
        <f t="shared" si="1"/>
        <v>mona.mukherjee89@gmail.com918805190315</v>
      </c>
      <c r="D4962" s="17" t="s">
        <v>12530</v>
      </c>
      <c r="E4962" s="18" t="s">
        <v>68</v>
      </c>
    </row>
    <row r="4963">
      <c r="A4963" s="1" t="s">
        <v>3702</v>
      </c>
      <c r="B4963" s="1">
        <v>9.18512082767E11</v>
      </c>
      <c r="C4963" s="15" t="str">
        <f t="shared" si="1"/>
        <v>ashish.dsc@gmail.com918512082767</v>
      </c>
      <c r="D4963" s="17" t="s">
        <v>12531</v>
      </c>
      <c r="E4963" s="18" t="s">
        <v>151</v>
      </c>
    </row>
    <row r="4964">
      <c r="A4964" s="1" t="s">
        <v>3702</v>
      </c>
      <c r="B4964" s="1">
        <v>9.18512082767E11</v>
      </c>
      <c r="C4964" s="15" t="str">
        <f t="shared" si="1"/>
        <v>ashish.dsc@gmail.com918512082767</v>
      </c>
      <c r="D4964" s="17" t="s">
        <v>12532</v>
      </c>
      <c r="E4964" s="18" t="s">
        <v>68</v>
      </c>
    </row>
    <row r="4965">
      <c r="A4965" s="1" t="s">
        <v>5177</v>
      </c>
      <c r="B4965" s="1">
        <v>9.18130611008E11</v>
      </c>
      <c r="C4965" s="15" t="str">
        <f t="shared" si="1"/>
        <v>prachij921@gmail.com918130611008</v>
      </c>
      <c r="D4965" s="17" t="s">
        <v>12533</v>
      </c>
      <c r="E4965" s="18" t="s">
        <v>68</v>
      </c>
    </row>
    <row r="4966">
      <c r="A4966" s="1" t="s">
        <v>6460</v>
      </c>
      <c r="B4966" s="1">
        <v>9.19665507798E11</v>
      </c>
      <c r="C4966" s="15" t="str">
        <f t="shared" si="1"/>
        <v>katuresandip59@gmail.com919665507798</v>
      </c>
      <c r="D4966" s="17" t="s">
        <v>12534</v>
      </c>
      <c r="E4966" s="18" t="s">
        <v>68</v>
      </c>
    </row>
    <row r="4967">
      <c r="A4967" s="1" t="s">
        <v>2380</v>
      </c>
      <c r="B4967" s="1">
        <v>9.19163390973E11</v>
      </c>
      <c r="C4967" s="15" t="str">
        <f t="shared" si="1"/>
        <v>rini.bhowal77@gmail.com919163390973</v>
      </c>
      <c r="D4967" s="17" t="s">
        <v>12535</v>
      </c>
      <c r="E4967" s="18" t="s">
        <v>68</v>
      </c>
    </row>
    <row r="4968">
      <c r="A4968" s="1" t="s">
        <v>12536</v>
      </c>
      <c r="B4968" s="1">
        <v>9.18105377997E11</v>
      </c>
      <c r="C4968" s="15" t="str">
        <f t="shared" si="1"/>
        <v>kesava.ibm@gmail.com918105377997</v>
      </c>
      <c r="D4968" s="17" t="s">
        <v>12537</v>
      </c>
      <c r="E4968" s="18" t="s">
        <v>151</v>
      </c>
    </row>
    <row r="4969">
      <c r="A4969" s="1" t="s">
        <v>4375</v>
      </c>
      <c r="B4969" s="1">
        <v>9.19618610455E11</v>
      </c>
      <c r="C4969" s="15" t="str">
        <f t="shared" si="1"/>
        <v>biswajit.bage@gmail.com919618610455</v>
      </c>
      <c r="D4969" s="17" t="s">
        <v>12538</v>
      </c>
      <c r="E4969" s="18" t="s">
        <v>151</v>
      </c>
    </row>
    <row r="4970">
      <c r="A4970" s="1" t="s">
        <v>4551</v>
      </c>
      <c r="B4970" s="1">
        <v>9.19623660712E11</v>
      </c>
      <c r="C4970" s="15" t="str">
        <f t="shared" si="1"/>
        <v>ppatil.301@gmail.com919623660712</v>
      </c>
      <c r="D4970" s="17" t="s">
        <v>12539</v>
      </c>
      <c r="E4970" s="18" t="s">
        <v>68</v>
      </c>
    </row>
    <row r="4971">
      <c r="A4971" s="1" t="s">
        <v>4553</v>
      </c>
      <c r="B4971" s="1">
        <v>9.18197578254E11</v>
      </c>
      <c r="C4971" s="15" t="str">
        <f t="shared" si="1"/>
        <v>vinzie1810@gmail.com918197578254</v>
      </c>
      <c r="D4971" s="17" t="s">
        <v>12540</v>
      </c>
      <c r="E4971" s="18" t="s">
        <v>68</v>
      </c>
    </row>
    <row r="4972">
      <c r="A4972" s="1" t="s">
        <v>12541</v>
      </c>
      <c r="B4972" s="1">
        <v>9.19324593417E11</v>
      </c>
      <c r="C4972" s="15" t="str">
        <f t="shared" si="1"/>
        <v>karanjsaud14@gmail.com919324593417</v>
      </c>
      <c r="D4972" s="17" t="s">
        <v>12542</v>
      </c>
      <c r="E4972" s="18" t="s">
        <v>151</v>
      </c>
    </row>
    <row r="4973">
      <c r="A4973" s="1" t="s">
        <v>4555</v>
      </c>
      <c r="B4973" s="1">
        <v>9.18904703204E11</v>
      </c>
      <c r="C4973" s="15" t="str">
        <f t="shared" si="1"/>
        <v>shanshui.moss614@gmail.com918904703204</v>
      </c>
      <c r="D4973" s="17" t="s">
        <v>12543</v>
      </c>
      <c r="E4973" s="18" t="s">
        <v>68</v>
      </c>
    </row>
    <row r="4974">
      <c r="A4974" s="1" t="s">
        <v>3192</v>
      </c>
      <c r="B4974" s="1">
        <v>9.1996756811E11</v>
      </c>
      <c r="C4974" s="15" t="str">
        <f t="shared" si="1"/>
        <v>rhnbansal@gmail.com919967568110</v>
      </c>
      <c r="D4974" s="17" t="s">
        <v>12544</v>
      </c>
      <c r="E4974" s="18" t="s">
        <v>68</v>
      </c>
    </row>
    <row r="4975">
      <c r="A4975" s="1" t="s">
        <v>12545</v>
      </c>
      <c r="B4975" s="1">
        <v>9.19322833303E11</v>
      </c>
      <c r="C4975" s="15" t="str">
        <f t="shared" si="1"/>
        <v>preetipurohit1@yahoo.co.in919322833303</v>
      </c>
      <c r="D4975" s="17" t="s">
        <v>12546</v>
      </c>
      <c r="E4975" s="18" t="s">
        <v>74</v>
      </c>
    </row>
    <row r="4976">
      <c r="A4976" s="1" t="s">
        <v>2742</v>
      </c>
      <c r="B4976" s="1">
        <v>9.19758932323E11</v>
      </c>
      <c r="C4976" s="15" t="str">
        <f t="shared" si="1"/>
        <v>mehraj.mmd1@gmail.com919758932323</v>
      </c>
      <c r="D4976" s="17" t="s">
        <v>12547</v>
      </c>
      <c r="E4976" s="18" t="s">
        <v>68</v>
      </c>
    </row>
    <row r="4977">
      <c r="A4977" s="1" t="s">
        <v>12548</v>
      </c>
      <c r="B4977" s="1">
        <v>9.1797292862E11</v>
      </c>
      <c r="C4977" s="15" t="str">
        <f t="shared" si="1"/>
        <v>patilatharvam1@gmail.com917972928620</v>
      </c>
      <c r="D4977" s="17" t="s">
        <v>12549</v>
      </c>
      <c r="E4977" s="18" t="s">
        <v>68</v>
      </c>
    </row>
    <row r="4978">
      <c r="A4978" s="1" t="s">
        <v>12550</v>
      </c>
      <c r="B4978" s="1">
        <v>9.19525898003E11</v>
      </c>
      <c r="C4978" s="15" t="str">
        <f t="shared" si="1"/>
        <v>kumardipur9135@gmail.com919525898003</v>
      </c>
      <c r="D4978" s="17" t="s">
        <v>12551</v>
      </c>
      <c r="E4978" s="18" t="s">
        <v>151</v>
      </c>
    </row>
    <row r="4979">
      <c r="A4979" s="1" t="s">
        <v>12552</v>
      </c>
      <c r="B4979" s="1">
        <v>9.18080366399E11</v>
      </c>
      <c r="C4979" s="15" t="str">
        <f t="shared" si="1"/>
        <v>ashasingh0318@gmail.com918080366399</v>
      </c>
      <c r="D4979" s="17" t="s">
        <v>12553</v>
      </c>
      <c r="E4979" s="18" t="s">
        <v>68</v>
      </c>
    </row>
    <row r="4980">
      <c r="A4980" s="1" t="s">
        <v>3770</v>
      </c>
      <c r="B4980" s="1">
        <v>9.18197074748E11</v>
      </c>
      <c r="C4980" s="15" t="str">
        <f t="shared" si="1"/>
        <v>lrswathi27@gmail.com918197074748</v>
      </c>
      <c r="D4980" s="17" t="s">
        <v>12554</v>
      </c>
      <c r="E4980" s="18" t="s">
        <v>68</v>
      </c>
    </row>
    <row r="4981">
      <c r="A4981" s="1" t="s">
        <v>12555</v>
      </c>
      <c r="B4981" s="1">
        <v>9.18525080252E11</v>
      </c>
      <c r="C4981" s="15" t="str">
        <f t="shared" si="1"/>
        <v>hithoshtheinspiration1999@gmail.com918525080252</v>
      </c>
      <c r="D4981" s="17" t="s">
        <v>12556</v>
      </c>
      <c r="E4981" s="18" t="s">
        <v>68</v>
      </c>
    </row>
    <row r="4982">
      <c r="A4982" s="1" t="s">
        <v>12557</v>
      </c>
      <c r="B4982" s="1">
        <v>9.1920514805E11</v>
      </c>
      <c r="C4982" s="15" t="str">
        <f t="shared" si="1"/>
        <v>harshsharma200@rocketmail.com919205148050</v>
      </c>
      <c r="D4982" s="17" t="s">
        <v>12558</v>
      </c>
      <c r="E4982" s="18" t="s">
        <v>151</v>
      </c>
    </row>
    <row r="4983">
      <c r="A4983" s="1" t="s">
        <v>12559</v>
      </c>
      <c r="B4983" s="1">
        <v>9.17738988181E11</v>
      </c>
      <c r="C4983" s="15" t="str">
        <f t="shared" si="1"/>
        <v>sushmita0909@gmail.com917738988181</v>
      </c>
      <c r="D4983" s="17" t="s">
        <v>12560</v>
      </c>
      <c r="E4983" s="18" t="s">
        <v>74</v>
      </c>
    </row>
    <row r="4984">
      <c r="A4984" s="1" t="s">
        <v>3704</v>
      </c>
      <c r="B4984" s="1">
        <v>9.19880412599E11</v>
      </c>
      <c r="C4984" s="15" t="str">
        <f t="shared" si="1"/>
        <v>ashwin76@gmail.com919880412599</v>
      </c>
      <c r="D4984" s="17" t="s">
        <v>12561</v>
      </c>
      <c r="E4984" s="18" t="s">
        <v>68</v>
      </c>
    </row>
    <row r="4985">
      <c r="A4985" s="1" t="s">
        <v>12562</v>
      </c>
      <c r="B4985" s="1">
        <v>9.19353862625E11</v>
      </c>
      <c r="C4985" s="15" t="str">
        <f t="shared" si="1"/>
        <v>sonuprisha8@gmail.com919353862625</v>
      </c>
      <c r="D4985" s="17" t="s">
        <v>12563</v>
      </c>
      <c r="E4985" s="18" t="s">
        <v>68</v>
      </c>
    </row>
    <row r="4986">
      <c r="A4986" s="1" t="s">
        <v>12564</v>
      </c>
      <c r="B4986" s="1">
        <v>9.19703575515E11</v>
      </c>
      <c r="C4986" s="15" t="str">
        <f t="shared" si="1"/>
        <v>manasa7jallipalli@gmail.com919703575515</v>
      </c>
      <c r="D4986" s="17" t="s">
        <v>12565</v>
      </c>
      <c r="E4986" s="18" t="s">
        <v>74</v>
      </c>
    </row>
    <row r="4987">
      <c r="A4987" s="1" t="s">
        <v>3706</v>
      </c>
      <c r="B4987" s="1">
        <v>9.19591104324E11</v>
      </c>
      <c r="C4987" s="15" t="str">
        <f t="shared" si="1"/>
        <v>vishwasvish1998@gmail.com919591104324</v>
      </c>
      <c r="D4987" s="17" t="s">
        <v>12566</v>
      </c>
      <c r="E4987" s="18" t="s">
        <v>68</v>
      </c>
    </row>
    <row r="4988">
      <c r="A4988" s="1" t="s">
        <v>374</v>
      </c>
      <c r="B4988" s="1">
        <v>9.18454085091E11</v>
      </c>
      <c r="C4988" s="15" t="str">
        <f t="shared" si="1"/>
        <v>satish37.tripathi@gmail.com918454085091</v>
      </c>
      <c r="D4988" s="17" t="s">
        <v>12567</v>
      </c>
      <c r="E4988" s="18" t="s">
        <v>68</v>
      </c>
    </row>
    <row r="4989">
      <c r="A4989" s="1" t="s">
        <v>4557</v>
      </c>
      <c r="B4989" s="1">
        <v>9.18697739984E11</v>
      </c>
      <c r="C4989" s="15" t="str">
        <f t="shared" si="1"/>
        <v>neerajkumari.nk25@gmail.com918697739984</v>
      </c>
      <c r="D4989" s="17" t="s">
        <v>12568</v>
      </c>
      <c r="E4989" s="18" t="s">
        <v>68</v>
      </c>
    </row>
    <row r="4990">
      <c r="A4990" s="1" t="s">
        <v>12569</v>
      </c>
      <c r="B4990" s="1">
        <v>9.18056506597E11</v>
      </c>
      <c r="C4990" s="15" t="str">
        <f t="shared" si="1"/>
        <v>gayathiridevin@gmail.com918056506597</v>
      </c>
      <c r="D4990" s="17" t="s">
        <v>12570</v>
      </c>
      <c r="E4990" s="18" t="s">
        <v>74</v>
      </c>
    </row>
    <row r="4991">
      <c r="A4991" s="1" t="s">
        <v>12569</v>
      </c>
      <c r="B4991" s="1">
        <v>9.18056506597E11</v>
      </c>
      <c r="C4991" s="15" t="str">
        <f t="shared" si="1"/>
        <v>gayathiridevin@gmail.com918056506597</v>
      </c>
      <c r="D4991" s="17" t="s">
        <v>12571</v>
      </c>
      <c r="E4991" s="18" t="s">
        <v>68</v>
      </c>
    </row>
    <row r="4992">
      <c r="A4992" s="1" t="s">
        <v>12569</v>
      </c>
      <c r="B4992" s="1">
        <v>9.18056506597E11</v>
      </c>
      <c r="C4992" s="15" t="str">
        <f t="shared" si="1"/>
        <v>gayathiridevin@gmail.com918056506597</v>
      </c>
      <c r="D4992" s="17" t="s">
        <v>12572</v>
      </c>
      <c r="E4992" s="18" t="s">
        <v>74</v>
      </c>
    </row>
    <row r="4993">
      <c r="A4993" s="1" t="s">
        <v>3606</v>
      </c>
      <c r="B4993" s="1">
        <v>9.18859268442E11</v>
      </c>
      <c r="C4993" s="15" t="str">
        <f t="shared" si="1"/>
        <v>jainkaushiki88@gmail.com918859268442</v>
      </c>
      <c r="D4993" s="17" t="s">
        <v>12573</v>
      </c>
      <c r="E4993" s="18" t="s">
        <v>68</v>
      </c>
    </row>
    <row r="4994">
      <c r="A4994" s="1" t="s">
        <v>3772</v>
      </c>
      <c r="B4994" s="1">
        <v>9.1995294217E11</v>
      </c>
      <c r="C4994" s="15" t="str">
        <f t="shared" si="1"/>
        <v>raman_anuradha@yahoo.com919952942170</v>
      </c>
      <c r="D4994" s="17" t="s">
        <v>12574</v>
      </c>
      <c r="E4994" s="18" t="s">
        <v>68</v>
      </c>
    </row>
    <row r="4995">
      <c r="A4995" s="1" t="s">
        <v>11555</v>
      </c>
      <c r="B4995" s="1">
        <v>9.1900631582E11</v>
      </c>
      <c r="C4995" s="15" t="str">
        <f t="shared" si="1"/>
        <v>rxrakeshkumarpandey@gmail.com919006315820</v>
      </c>
      <c r="D4995" s="17" t="s">
        <v>12575</v>
      </c>
      <c r="E4995" s="18" t="s">
        <v>74</v>
      </c>
    </row>
    <row r="4996">
      <c r="A4996" s="1" t="s">
        <v>4559</v>
      </c>
      <c r="B4996" s="1">
        <v>9.16353379278E11</v>
      </c>
      <c r="C4996" s="15" t="str">
        <f t="shared" si="1"/>
        <v>anjalidlalwani0@gmail.com916353379278</v>
      </c>
      <c r="D4996" s="17" t="s">
        <v>12576</v>
      </c>
      <c r="E4996" s="18" t="s">
        <v>74</v>
      </c>
    </row>
    <row r="4997">
      <c r="A4997" s="1" t="s">
        <v>12569</v>
      </c>
      <c r="B4997" s="1">
        <v>9.18056506597E11</v>
      </c>
      <c r="C4997" s="15" t="str">
        <f t="shared" si="1"/>
        <v>gayathiridevin@gmail.com918056506597</v>
      </c>
      <c r="D4997" s="17" t="s">
        <v>12577</v>
      </c>
      <c r="E4997" s="18" t="s">
        <v>74</v>
      </c>
    </row>
    <row r="4998">
      <c r="A4998" s="1" t="s">
        <v>12578</v>
      </c>
      <c r="B4998" s="1">
        <v>9.18172815289E11</v>
      </c>
      <c r="C4998" s="15" t="str">
        <f t="shared" si="1"/>
        <v>vvksharma27@gmail.com918172815289</v>
      </c>
      <c r="D4998" s="17" t="s">
        <v>12579</v>
      </c>
      <c r="E4998" s="18" t="s">
        <v>74</v>
      </c>
    </row>
    <row r="4999">
      <c r="A4999" s="1" t="s">
        <v>12578</v>
      </c>
      <c r="B4999" s="1">
        <v>9.18172815289E11</v>
      </c>
      <c r="C4999" s="15" t="str">
        <f t="shared" si="1"/>
        <v>vvksharma27@gmail.com918172815289</v>
      </c>
      <c r="D4999" s="17" t="s">
        <v>12580</v>
      </c>
      <c r="E4999" s="18" t="s">
        <v>74</v>
      </c>
    </row>
    <row r="5000">
      <c r="A5000" s="1" t="s">
        <v>12578</v>
      </c>
      <c r="B5000" s="1">
        <v>9.18172815289E11</v>
      </c>
      <c r="C5000" s="15" t="str">
        <f t="shared" si="1"/>
        <v>vvksharma27@gmail.com918172815289</v>
      </c>
      <c r="D5000" s="17" t="s">
        <v>12581</v>
      </c>
      <c r="E5000" s="18" t="s">
        <v>74</v>
      </c>
    </row>
    <row r="5001">
      <c r="A5001" s="1" t="s">
        <v>5179</v>
      </c>
      <c r="B5001" s="1">
        <v>9.19707738484E11</v>
      </c>
      <c r="C5001" s="15" t="str">
        <f t="shared" si="1"/>
        <v>taralimzmdr@gmail.com919707738484</v>
      </c>
      <c r="D5001" s="17" t="s">
        <v>12582</v>
      </c>
      <c r="E5001" s="18" t="s">
        <v>68</v>
      </c>
    </row>
    <row r="5002">
      <c r="A5002" s="1" t="s">
        <v>3608</v>
      </c>
      <c r="B5002" s="1">
        <v>9.19945180168E11</v>
      </c>
      <c r="C5002" s="15" t="str">
        <f t="shared" si="1"/>
        <v>babbithaaks@gmail.com919945180168</v>
      </c>
      <c r="D5002" s="17" t="s">
        <v>12583</v>
      </c>
      <c r="E5002" s="18" t="s">
        <v>74</v>
      </c>
    </row>
    <row r="5003">
      <c r="A5003" s="1" t="s">
        <v>12545</v>
      </c>
      <c r="B5003" s="1">
        <v>9.19322833303E11</v>
      </c>
      <c r="C5003" s="15" t="str">
        <f t="shared" si="1"/>
        <v>preetipurohit1@yahoo.co.in919322833303</v>
      </c>
      <c r="D5003" s="17" t="s">
        <v>12584</v>
      </c>
      <c r="E5003" s="18" t="s">
        <v>74</v>
      </c>
    </row>
    <row r="5004">
      <c r="A5004" s="1" t="s">
        <v>12545</v>
      </c>
      <c r="B5004" s="1">
        <v>9.19322833303E11</v>
      </c>
      <c r="C5004" s="15" t="str">
        <f t="shared" si="1"/>
        <v>preetipurohit1@yahoo.co.in919322833303</v>
      </c>
      <c r="D5004" s="17" t="s">
        <v>12585</v>
      </c>
      <c r="E5004" s="18" t="s">
        <v>74</v>
      </c>
    </row>
    <row r="5005">
      <c r="A5005" s="1" t="s">
        <v>12586</v>
      </c>
      <c r="B5005" s="1">
        <v>9.18489173235E11</v>
      </c>
      <c r="C5005" s="15" t="str">
        <f t="shared" si="1"/>
        <v>rithika.ramesh1996@gmail.com918489173235</v>
      </c>
      <c r="D5005" s="17" t="s">
        <v>12587</v>
      </c>
      <c r="E5005" s="18" t="s">
        <v>74</v>
      </c>
    </row>
    <row r="5006">
      <c r="A5006" s="1" t="s">
        <v>12586</v>
      </c>
      <c r="B5006" s="1">
        <v>9.18489173235E11</v>
      </c>
      <c r="C5006" s="15" t="str">
        <f t="shared" si="1"/>
        <v>rithika.ramesh1996@gmail.com918489173235</v>
      </c>
      <c r="D5006" s="17" t="s">
        <v>12588</v>
      </c>
      <c r="E5006" s="18" t="s">
        <v>74</v>
      </c>
    </row>
    <row r="5007">
      <c r="A5007" s="1" t="s">
        <v>12545</v>
      </c>
      <c r="B5007" s="1">
        <v>9.19322833303E11</v>
      </c>
      <c r="C5007" s="15" t="str">
        <f t="shared" si="1"/>
        <v>preetipurohit1@yahoo.co.in919322833303</v>
      </c>
      <c r="D5007" s="17" t="s">
        <v>12589</v>
      </c>
      <c r="E5007" s="18" t="s">
        <v>151</v>
      </c>
    </row>
    <row r="5008">
      <c r="A5008" s="1" t="s">
        <v>4085</v>
      </c>
      <c r="B5008" s="1">
        <v>9.19916926001E11</v>
      </c>
      <c r="C5008" s="15" t="str">
        <f t="shared" si="1"/>
        <v>niki.pearl006@gmail.com919916926001</v>
      </c>
      <c r="D5008" s="17" t="s">
        <v>12590</v>
      </c>
      <c r="E5008" s="18" t="s">
        <v>151</v>
      </c>
    </row>
    <row r="5009">
      <c r="A5009" s="1" t="s">
        <v>12591</v>
      </c>
      <c r="B5009" s="1">
        <v>9.19824736235E11</v>
      </c>
      <c r="C5009" s="15" t="str">
        <f t="shared" si="1"/>
        <v>pandyaprutha@gmail.com919824736235</v>
      </c>
      <c r="D5009" s="17" t="s">
        <v>12592</v>
      </c>
      <c r="E5009" s="18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2" max="2" width="20.71"/>
    <col customWidth="1" min="3" max="3" width="18.29"/>
  </cols>
  <sheetData>
    <row r="1">
      <c r="A1" s="14" t="s">
        <v>45</v>
      </c>
      <c r="B1" s="19" t="s">
        <v>60</v>
      </c>
      <c r="C1" s="4" t="s">
        <v>48</v>
      </c>
      <c r="D1" s="4" t="s">
        <v>54</v>
      </c>
      <c r="E1" s="4" t="s">
        <v>55</v>
      </c>
      <c r="F1" s="4" t="s">
        <v>61</v>
      </c>
      <c r="G1" s="4" t="s">
        <v>46</v>
      </c>
      <c r="H1" s="4" t="s">
        <v>47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62</v>
      </c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</row>
    <row r="2">
      <c r="A2" s="1" t="s">
        <v>11451</v>
      </c>
      <c r="B2" s="19" t="s">
        <v>4235</v>
      </c>
      <c r="C2" s="20">
        <v>49833.0</v>
      </c>
      <c r="D2" s="20" t="s">
        <v>4234</v>
      </c>
      <c r="E2" s="5">
        <v>9.18983081469E11</v>
      </c>
      <c r="F2" s="21">
        <v>17571.0</v>
      </c>
      <c r="G2" s="20"/>
      <c r="H2" s="20" t="s">
        <v>4030</v>
      </c>
      <c r="I2" s="5"/>
      <c r="J2" s="20">
        <v>1.0</v>
      </c>
      <c r="K2" s="20">
        <v>149.0</v>
      </c>
      <c r="L2" s="20"/>
      <c r="M2" s="20">
        <v>149.0</v>
      </c>
      <c r="N2" s="5" t="s">
        <v>67</v>
      </c>
      <c r="O2" s="20" t="b">
        <v>0</v>
      </c>
      <c r="P2" s="20" t="s">
        <v>68</v>
      </c>
      <c r="Q2" s="20" t="s">
        <v>69</v>
      </c>
      <c r="R2" s="20" t="s">
        <v>4033</v>
      </c>
      <c r="S2" s="4"/>
      <c r="T2" s="4"/>
      <c r="U2" s="7"/>
      <c r="V2" s="4"/>
      <c r="W2" s="4"/>
      <c r="X2" s="4"/>
      <c r="Y2" s="4"/>
      <c r="Z2" s="4"/>
      <c r="AA2" s="5"/>
      <c r="AB2" s="5"/>
      <c r="AC2" s="5"/>
      <c r="AD2" s="5"/>
      <c r="AE2" s="5"/>
    </row>
    <row r="3">
      <c r="A3" s="15" t="s">
        <v>6836</v>
      </c>
      <c r="B3" s="19">
        <v>44321.808333333334</v>
      </c>
      <c r="C3" s="20">
        <v>49844.0</v>
      </c>
      <c r="D3" s="20" t="s">
        <v>4234</v>
      </c>
      <c r="E3" s="20">
        <v>9.18983081469E11</v>
      </c>
      <c r="F3" s="21">
        <v>17571.0</v>
      </c>
      <c r="G3" s="20"/>
      <c r="H3" s="20" t="s">
        <v>885</v>
      </c>
      <c r="I3" s="20"/>
      <c r="J3" s="20">
        <v>1.0</v>
      </c>
      <c r="K3" s="20">
        <v>99.0</v>
      </c>
      <c r="L3" s="20"/>
      <c r="M3" s="20">
        <v>99.0</v>
      </c>
      <c r="N3" s="5" t="s">
        <v>67</v>
      </c>
      <c r="O3" s="20" t="b">
        <v>0</v>
      </c>
      <c r="P3" s="20" t="s">
        <v>68</v>
      </c>
      <c r="Q3" s="20" t="s">
        <v>69</v>
      </c>
      <c r="R3" s="20" t="s">
        <v>5445</v>
      </c>
      <c r="S3" s="4"/>
      <c r="T3" s="4"/>
      <c r="U3" s="7"/>
      <c r="V3" s="4"/>
      <c r="W3" s="4"/>
      <c r="X3" s="4"/>
      <c r="Y3" s="4"/>
      <c r="Z3" s="4"/>
      <c r="AA3" s="5"/>
      <c r="AB3" s="5"/>
      <c r="AC3" s="5"/>
      <c r="AD3" s="5"/>
      <c r="AE3" s="5"/>
    </row>
    <row r="4">
      <c r="A4" s="15" t="s">
        <v>6842</v>
      </c>
      <c r="B4" s="19">
        <v>44321.86736111111</v>
      </c>
      <c r="C4" s="20">
        <v>50073.0</v>
      </c>
      <c r="D4" s="20" t="s">
        <v>6476</v>
      </c>
      <c r="E4" s="20">
        <v>9.19811316353E11</v>
      </c>
      <c r="F4" s="21">
        <v>17854.0</v>
      </c>
      <c r="G4" s="20"/>
      <c r="H4" s="20" t="s">
        <v>6466</v>
      </c>
      <c r="I4" s="20"/>
      <c r="J4" s="20">
        <v>1.0</v>
      </c>
      <c r="K4" s="20">
        <v>599.0</v>
      </c>
      <c r="L4" s="20"/>
      <c r="M4" s="20">
        <v>599.0</v>
      </c>
      <c r="N4" s="5" t="s">
        <v>67</v>
      </c>
      <c r="O4" s="20" t="b">
        <v>0</v>
      </c>
      <c r="P4" s="20" t="s">
        <v>151</v>
      </c>
      <c r="Q4" s="20" t="s">
        <v>69</v>
      </c>
      <c r="R4" s="20"/>
      <c r="S4" s="4"/>
      <c r="T4" s="4"/>
      <c r="U4" s="7"/>
      <c r="V4" s="4"/>
      <c r="W4" s="4"/>
      <c r="X4" s="4"/>
      <c r="Y4" s="4"/>
      <c r="Z4" s="4"/>
      <c r="AA4" s="5"/>
      <c r="AB4" s="5"/>
      <c r="AC4" s="5"/>
      <c r="AD4" s="5"/>
      <c r="AE4" s="5"/>
    </row>
    <row r="5">
      <c r="A5" s="1" t="s">
        <v>10863</v>
      </c>
      <c r="B5" s="19">
        <v>44445.433333333334</v>
      </c>
      <c r="C5" s="20">
        <v>50073.0</v>
      </c>
      <c r="D5" s="20" t="s">
        <v>6476</v>
      </c>
      <c r="E5" s="5">
        <v>9.19811316353E11</v>
      </c>
      <c r="F5" s="21">
        <v>17854.0</v>
      </c>
      <c r="G5" s="20"/>
      <c r="H5" s="20" t="s">
        <v>2161</v>
      </c>
      <c r="I5" s="5"/>
      <c r="J5" s="20">
        <v>1.0</v>
      </c>
      <c r="K5" s="20">
        <v>599.0</v>
      </c>
      <c r="L5" s="20"/>
      <c r="M5" s="20">
        <v>599.0</v>
      </c>
      <c r="N5" s="5" t="s">
        <v>67</v>
      </c>
      <c r="O5" s="20" t="b">
        <v>0</v>
      </c>
      <c r="P5" s="20" t="s">
        <v>151</v>
      </c>
      <c r="Q5" s="20" t="s">
        <v>69</v>
      </c>
      <c r="R5" s="20" t="s">
        <v>6561</v>
      </c>
      <c r="S5" s="4"/>
      <c r="T5" s="4"/>
      <c r="U5" s="7"/>
      <c r="V5" s="4"/>
      <c r="W5" s="4"/>
      <c r="X5" s="4"/>
      <c r="Y5" s="4"/>
      <c r="Z5" s="4"/>
      <c r="AA5" s="5"/>
      <c r="AB5" s="5"/>
      <c r="AC5" s="5"/>
      <c r="AD5" s="5"/>
      <c r="AE5" s="5"/>
    </row>
    <row r="6">
      <c r="A6" s="15" t="s">
        <v>6850</v>
      </c>
      <c r="B6" s="19">
        <v>44321.90694444445</v>
      </c>
      <c r="C6" s="20">
        <v>50073.0</v>
      </c>
      <c r="D6" s="20" t="s">
        <v>6478</v>
      </c>
      <c r="E6" s="20">
        <v>9.1903675527E11</v>
      </c>
      <c r="F6" s="21">
        <v>17904.0</v>
      </c>
      <c r="G6" s="20"/>
      <c r="H6" s="20" t="s">
        <v>6466</v>
      </c>
      <c r="I6" s="20"/>
      <c r="J6" s="20">
        <v>1.0</v>
      </c>
      <c r="K6" s="20">
        <v>599.0</v>
      </c>
      <c r="L6" s="20"/>
      <c r="M6" s="20">
        <v>599.0</v>
      </c>
      <c r="N6" s="5" t="s">
        <v>67</v>
      </c>
      <c r="O6" s="20" t="b">
        <v>0</v>
      </c>
      <c r="P6" s="20" t="s">
        <v>97</v>
      </c>
      <c r="Q6" s="20" t="s">
        <v>69</v>
      </c>
      <c r="R6" s="20"/>
      <c r="S6" s="4"/>
      <c r="T6" s="4"/>
      <c r="U6" s="7"/>
      <c r="V6" s="4"/>
      <c r="W6" s="4"/>
      <c r="X6" s="4"/>
      <c r="Y6" s="4"/>
      <c r="Z6" s="4"/>
      <c r="AA6" s="5"/>
      <c r="AB6" s="5"/>
      <c r="AC6" s="5"/>
      <c r="AD6" s="5"/>
      <c r="AE6" s="5"/>
    </row>
    <row r="7">
      <c r="A7" s="1" t="s">
        <v>10382</v>
      </c>
      <c r="B7" s="19">
        <v>44261.67986111111</v>
      </c>
      <c r="C7" s="20">
        <v>50073.0</v>
      </c>
      <c r="D7" s="20" t="s">
        <v>6478</v>
      </c>
      <c r="E7" s="5">
        <v>9.1903675527E11</v>
      </c>
      <c r="F7" s="21">
        <v>17904.0</v>
      </c>
      <c r="G7" s="20"/>
      <c r="H7" s="20" t="s">
        <v>2161</v>
      </c>
      <c r="I7" s="5"/>
      <c r="J7" s="20">
        <v>1.0</v>
      </c>
      <c r="K7" s="20">
        <v>599.0</v>
      </c>
      <c r="L7" s="20"/>
      <c r="M7" s="20">
        <v>599.0</v>
      </c>
      <c r="N7" s="5" t="s">
        <v>67</v>
      </c>
      <c r="O7" s="20" t="b">
        <v>0</v>
      </c>
      <c r="P7" s="20" t="s">
        <v>97</v>
      </c>
      <c r="Q7" s="20" t="s">
        <v>69</v>
      </c>
      <c r="R7" s="20" t="s">
        <v>6561</v>
      </c>
      <c r="S7" s="4"/>
      <c r="T7" s="4"/>
      <c r="U7" s="7"/>
      <c r="V7" s="4"/>
      <c r="W7" s="4"/>
      <c r="X7" s="4"/>
      <c r="Y7" s="4"/>
      <c r="Z7" s="4"/>
      <c r="AA7" s="5"/>
      <c r="AB7" s="5"/>
      <c r="AC7" s="5"/>
      <c r="AD7" s="5"/>
      <c r="AE7" s="5"/>
    </row>
    <row r="8">
      <c r="A8" s="15" t="s">
        <v>6891</v>
      </c>
      <c r="B8" s="19">
        <v>44352.51597222222</v>
      </c>
      <c r="C8" s="20">
        <v>50073.0</v>
      </c>
      <c r="D8" s="20" t="s">
        <v>6489</v>
      </c>
      <c r="E8" s="20">
        <v>9.1989983766E11</v>
      </c>
      <c r="F8" s="21">
        <v>17746.0</v>
      </c>
      <c r="G8" s="20"/>
      <c r="H8" s="20" t="s">
        <v>6466</v>
      </c>
      <c r="I8" s="20"/>
      <c r="J8" s="20">
        <v>1.0</v>
      </c>
      <c r="K8" s="20">
        <v>599.0</v>
      </c>
      <c r="L8" s="20"/>
      <c r="M8" s="20">
        <v>599.0</v>
      </c>
      <c r="N8" s="5" t="s">
        <v>67</v>
      </c>
      <c r="O8" s="20" t="b">
        <v>0</v>
      </c>
      <c r="P8" s="20" t="s">
        <v>68</v>
      </c>
      <c r="Q8" s="20" t="s">
        <v>69</v>
      </c>
      <c r="R8" s="20"/>
      <c r="S8" s="4"/>
      <c r="T8" s="4"/>
      <c r="U8" s="7"/>
      <c r="V8" s="4"/>
      <c r="W8" s="4"/>
      <c r="X8" s="4"/>
      <c r="Y8" s="4"/>
      <c r="Z8" s="4"/>
      <c r="AA8" s="5"/>
      <c r="AB8" s="5"/>
      <c r="AC8" s="5"/>
      <c r="AD8" s="5"/>
      <c r="AE8" s="5"/>
    </row>
    <row r="9">
      <c r="A9" s="1" t="s">
        <v>10756</v>
      </c>
      <c r="B9" s="19">
        <v>44414.53055555555</v>
      </c>
      <c r="C9" s="20">
        <v>50073.0</v>
      </c>
      <c r="D9" s="20" t="s">
        <v>6489</v>
      </c>
      <c r="E9" s="5">
        <v>9.1989983766E11</v>
      </c>
      <c r="F9" s="21">
        <v>17746.0</v>
      </c>
      <c r="G9" s="20"/>
      <c r="H9" s="20" t="s">
        <v>2161</v>
      </c>
      <c r="I9" s="5"/>
      <c r="J9" s="20">
        <v>3.0</v>
      </c>
      <c r="K9" s="20">
        <v>1499.0</v>
      </c>
      <c r="L9" s="20"/>
      <c r="M9" s="20">
        <v>1499.0</v>
      </c>
      <c r="N9" s="5" t="s">
        <v>67</v>
      </c>
      <c r="O9" s="20" t="b">
        <v>0</v>
      </c>
      <c r="P9" s="20" t="s">
        <v>68</v>
      </c>
      <c r="Q9" s="20" t="s">
        <v>69</v>
      </c>
      <c r="R9" s="20" t="s">
        <v>6561</v>
      </c>
      <c r="S9" s="4"/>
      <c r="T9" s="4"/>
      <c r="U9" s="7"/>
      <c r="V9" s="4"/>
      <c r="W9" s="4"/>
      <c r="X9" s="4"/>
      <c r="Y9" s="4"/>
      <c r="Z9" s="4"/>
      <c r="AA9" s="5"/>
      <c r="AB9" s="5"/>
      <c r="AC9" s="5"/>
      <c r="AD9" s="5"/>
      <c r="AE9" s="5"/>
    </row>
    <row r="10">
      <c r="A10" s="15" t="s">
        <v>7015</v>
      </c>
      <c r="B10" s="19">
        <v>44382.67361111111</v>
      </c>
      <c r="C10" s="20">
        <v>49834.0</v>
      </c>
      <c r="D10" s="20" t="s">
        <v>3305</v>
      </c>
      <c r="E10" s="20">
        <v>9.1770806631E11</v>
      </c>
      <c r="F10" s="21">
        <v>17657.0</v>
      </c>
      <c r="G10" s="20"/>
      <c r="H10" s="20" t="s">
        <v>76</v>
      </c>
      <c r="I10" s="20"/>
      <c r="J10" s="20">
        <v>3.0</v>
      </c>
      <c r="K10" s="20">
        <v>199.0</v>
      </c>
      <c r="L10" s="20"/>
      <c r="M10" s="20">
        <v>199.0</v>
      </c>
      <c r="N10" s="5" t="s">
        <v>67</v>
      </c>
      <c r="O10" s="20" t="b">
        <v>0</v>
      </c>
      <c r="P10" s="20" t="s">
        <v>68</v>
      </c>
      <c r="Q10" s="20" t="s">
        <v>69</v>
      </c>
      <c r="R10" s="20" t="s">
        <v>3298</v>
      </c>
      <c r="S10" s="4"/>
      <c r="T10" s="4"/>
      <c r="U10" s="7"/>
      <c r="V10" s="4"/>
      <c r="W10" s="4"/>
      <c r="X10" s="4"/>
      <c r="Y10" s="4"/>
      <c r="Z10" s="4"/>
      <c r="AA10" s="5"/>
      <c r="AB10" s="5"/>
      <c r="AC10" s="5"/>
      <c r="AD10" s="5"/>
      <c r="AE10" s="5"/>
    </row>
    <row r="11">
      <c r="A11" s="1" t="s">
        <v>10338</v>
      </c>
      <c r="B11" s="19">
        <v>44261.50486111111</v>
      </c>
      <c r="C11" s="20">
        <v>50113.0</v>
      </c>
      <c r="D11" s="20" t="s">
        <v>3305</v>
      </c>
      <c r="E11" s="5">
        <v>9.1770806631E11</v>
      </c>
      <c r="F11" s="21">
        <v>17657.0</v>
      </c>
      <c r="G11" s="20"/>
      <c r="H11" s="20" t="s">
        <v>4914</v>
      </c>
      <c r="I11" s="20" t="s">
        <v>4915</v>
      </c>
      <c r="J11" s="20">
        <v>1.0</v>
      </c>
      <c r="K11" s="20">
        <v>499.0</v>
      </c>
      <c r="L11" s="20"/>
      <c r="M11" s="20">
        <v>499.0</v>
      </c>
      <c r="N11" s="5" t="s">
        <v>67</v>
      </c>
      <c r="O11" s="20" t="b">
        <v>0</v>
      </c>
      <c r="P11" s="20" t="s">
        <v>68</v>
      </c>
      <c r="Q11" s="20" t="s">
        <v>69</v>
      </c>
      <c r="R11" s="20" t="s">
        <v>4939</v>
      </c>
      <c r="S11" s="4"/>
      <c r="T11" s="4"/>
      <c r="U11" s="7"/>
      <c r="V11" s="4"/>
      <c r="W11" s="4"/>
      <c r="X11" s="4"/>
      <c r="Y11" s="4"/>
      <c r="Z11" s="4"/>
      <c r="AA11" s="5"/>
      <c r="AB11" s="5"/>
      <c r="AC11" s="5"/>
      <c r="AD11" s="5"/>
      <c r="AE11" s="5"/>
    </row>
    <row r="12">
      <c r="A12" s="15" t="s">
        <v>7021</v>
      </c>
      <c r="B12" s="19">
        <v>44382.73819444444</v>
      </c>
      <c r="C12" s="20">
        <v>50029.0</v>
      </c>
      <c r="D12" s="20" t="s">
        <v>2768</v>
      </c>
      <c r="E12" s="20">
        <v>9.19868133035E11</v>
      </c>
      <c r="F12" s="21">
        <v>17662.0</v>
      </c>
      <c r="G12" s="20"/>
      <c r="H12" s="20" t="s">
        <v>2761</v>
      </c>
      <c r="I12" s="20"/>
      <c r="J12" s="20">
        <v>1.0</v>
      </c>
      <c r="K12" s="20">
        <v>99.0</v>
      </c>
      <c r="L12" s="20"/>
      <c r="M12" s="20">
        <v>99.0</v>
      </c>
      <c r="N12" s="5" t="s">
        <v>67</v>
      </c>
      <c r="O12" s="20" t="b">
        <v>0</v>
      </c>
      <c r="P12" s="20" t="s">
        <v>68</v>
      </c>
      <c r="Q12" s="20" t="s">
        <v>69</v>
      </c>
      <c r="R12" s="20" t="s">
        <v>2763</v>
      </c>
      <c r="S12" s="4"/>
      <c r="T12" s="4"/>
      <c r="U12" s="7"/>
      <c r="V12" s="4"/>
      <c r="W12" s="4"/>
      <c r="X12" s="4"/>
      <c r="Y12" s="4"/>
      <c r="Z12" s="4"/>
      <c r="AA12" s="5"/>
      <c r="AB12" s="5"/>
      <c r="AC12" s="5"/>
      <c r="AD12" s="5"/>
      <c r="AE12" s="5"/>
    </row>
    <row r="13">
      <c r="A13" s="1" t="s">
        <v>12173</v>
      </c>
      <c r="B13" s="19" t="s">
        <v>2907</v>
      </c>
      <c r="C13" s="20">
        <v>50029.0</v>
      </c>
      <c r="D13" s="20" t="s">
        <v>2768</v>
      </c>
      <c r="E13" s="5">
        <v>9.19868133035E11</v>
      </c>
      <c r="F13" s="21">
        <v>17662.0</v>
      </c>
      <c r="G13" s="20"/>
      <c r="H13" s="20" t="s">
        <v>2761</v>
      </c>
      <c r="I13" s="5"/>
      <c r="J13" s="20">
        <v>3.0</v>
      </c>
      <c r="K13" s="20">
        <v>199.0</v>
      </c>
      <c r="L13" s="20"/>
      <c r="M13" s="20">
        <v>199.0</v>
      </c>
      <c r="N13" s="5" t="s">
        <v>67</v>
      </c>
      <c r="O13" s="20" t="b">
        <v>0</v>
      </c>
      <c r="P13" s="20" t="s">
        <v>68</v>
      </c>
      <c r="Q13" s="20" t="s">
        <v>69</v>
      </c>
      <c r="R13" s="20" t="s">
        <v>2763</v>
      </c>
      <c r="S13" s="4"/>
      <c r="T13" s="4"/>
      <c r="U13" s="7"/>
      <c r="V13" s="4"/>
      <c r="W13" s="4"/>
      <c r="X13" s="4"/>
      <c r="Y13" s="4"/>
      <c r="Z13" s="4"/>
      <c r="AA13" s="5"/>
      <c r="AB13" s="5"/>
      <c r="AC13" s="5"/>
      <c r="AD13" s="5"/>
      <c r="AE13" s="5"/>
    </row>
    <row r="14">
      <c r="A14" s="15" t="s">
        <v>6926</v>
      </c>
      <c r="B14" s="19">
        <v>44352.78611111111</v>
      </c>
      <c r="C14" s="20">
        <v>49991.0</v>
      </c>
      <c r="D14" s="20" t="s">
        <v>3059</v>
      </c>
      <c r="E14" s="20">
        <v>9.18953547813E11</v>
      </c>
      <c r="F14" s="22" t="s">
        <v>12593</v>
      </c>
      <c r="G14" s="20"/>
      <c r="H14" s="20" t="s">
        <v>3055</v>
      </c>
      <c r="I14" s="20"/>
      <c r="J14" s="20">
        <v>1.0</v>
      </c>
      <c r="K14" s="20">
        <v>99.0</v>
      </c>
      <c r="L14" s="20"/>
      <c r="M14" s="20">
        <v>99.0</v>
      </c>
      <c r="N14" s="5" t="s">
        <v>67</v>
      </c>
      <c r="O14" s="20" t="b">
        <v>0</v>
      </c>
      <c r="P14" s="20" t="s">
        <v>68</v>
      </c>
      <c r="Q14" s="20" t="s">
        <v>69</v>
      </c>
      <c r="R14" s="20" t="s">
        <v>3057</v>
      </c>
      <c r="S14" s="4"/>
      <c r="T14" s="4"/>
      <c r="U14" s="7"/>
      <c r="V14" s="4"/>
      <c r="W14" s="4"/>
      <c r="X14" s="4"/>
      <c r="Y14" s="4"/>
      <c r="Z14" s="4"/>
      <c r="AA14" s="5"/>
      <c r="AB14" s="5"/>
      <c r="AC14" s="5"/>
      <c r="AD14" s="5"/>
      <c r="AE14" s="5"/>
    </row>
    <row r="15">
      <c r="A15" s="1" t="s">
        <v>10431</v>
      </c>
      <c r="B15" s="19">
        <v>44292.419444444444</v>
      </c>
      <c r="C15" s="20">
        <v>49991.0</v>
      </c>
      <c r="D15" s="20" t="s">
        <v>3059</v>
      </c>
      <c r="E15" s="5">
        <v>9.18953547813E11</v>
      </c>
      <c r="F15" s="22" t="s">
        <v>12593</v>
      </c>
      <c r="G15" s="20"/>
      <c r="H15" s="20" t="s">
        <v>3055</v>
      </c>
      <c r="I15" s="5"/>
      <c r="J15" s="20">
        <v>1.0</v>
      </c>
      <c r="K15" s="20">
        <v>99.0</v>
      </c>
      <c r="L15" s="20"/>
      <c r="M15" s="20">
        <v>99.0</v>
      </c>
      <c r="N15" s="5" t="s">
        <v>67</v>
      </c>
      <c r="O15" s="20" t="b">
        <v>0</v>
      </c>
      <c r="P15" s="20" t="s">
        <v>68</v>
      </c>
      <c r="Q15" s="20" t="s">
        <v>69</v>
      </c>
      <c r="R15" s="20" t="s">
        <v>3057</v>
      </c>
      <c r="S15" s="4"/>
      <c r="T15" s="4"/>
      <c r="U15" s="7"/>
      <c r="V15" s="4"/>
      <c r="W15" s="4"/>
      <c r="X15" s="4"/>
      <c r="Y15" s="4"/>
      <c r="Z15" s="4"/>
      <c r="AA15" s="5"/>
      <c r="AB15" s="5"/>
      <c r="AC15" s="5"/>
      <c r="AD15" s="5"/>
      <c r="AE15" s="5"/>
    </row>
    <row r="16">
      <c r="A16" s="15" t="s">
        <v>6927</v>
      </c>
      <c r="B16" s="19">
        <v>44352.7875</v>
      </c>
      <c r="C16" s="20">
        <v>50073.0</v>
      </c>
      <c r="D16" s="20" t="s">
        <v>6483</v>
      </c>
      <c r="E16" s="20">
        <v>9.19448847519E11</v>
      </c>
      <c r="F16" s="21">
        <v>17738.0</v>
      </c>
      <c r="G16" s="20"/>
      <c r="H16" s="20" t="s">
        <v>6466</v>
      </c>
      <c r="I16" s="20"/>
      <c r="J16" s="20">
        <v>1.0</v>
      </c>
      <c r="K16" s="20">
        <v>599.0</v>
      </c>
      <c r="L16" s="20"/>
      <c r="M16" s="20">
        <v>599.0</v>
      </c>
      <c r="N16" s="5" t="s">
        <v>67</v>
      </c>
      <c r="O16" s="20" t="b">
        <v>0</v>
      </c>
      <c r="P16" s="20" t="s">
        <v>68</v>
      </c>
      <c r="Q16" s="20" t="s">
        <v>69</v>
      </c>
      <c r="R16" s="20"/>
      <c r="S16" s="4"/>
      <c r="T16" s="4"/>
      <c r="U16" s="7"/>
      <c r="V16" s="4"/>
      <c r="W16" s="4"/>
      <c r="X16" s="4"/>
      <c r="Y16" s="4"/>
      <c r="Z16" s="4"/>
      <c r="AA16" s="5"/>
      <c r="AB16" s="5"/>
      <c r="AC16" s="5"/>
      <c r="AD16" s="5"/>
      <c r="AE16" s="5"/>
    </row>
    <row r="17">
      <c r="A17" s="1" t="s">
        <v>10738</v>
      </c>
      <c r="B17" s="19">
        <v>44414.47708333333</v>
      </c>
      <c r="C17" s="20">
        <v>50073.0</v>
      </c>
      <c r="D17" s="20" t="s">
        <v>6483</v>
      </c>
      <c r="E17" s="5">
        <v>9.19448847519E11</v>
      </c>
      <c r="F17" s="21">
        <v>17738.0</v>
      </c>
      <c r="G17" s="20"/>
      <c r="H17" s="20" t="s">
        <v>2161</v>
      </c>
      <c r="I17" s="5"/>
      <c r="J17" s="20">
        <v>1.0</v>
      </c>
      <c r="K17" s="20">
        <v>599.0</v>
      </c>
      <c r="L17" s="20"/>
      <c r="M17" s="20">
        <v>599.0</v>
      </c>
      <c r="N17" s="5" t="s">
        <v>67</v>
      </c>
      <c r="O17" s="20" t="b">
        <v>0</v>
      </c>
      <c r="P17" s="20" t="s">
        <v>68</v>
      </c>
      <c r="Q17" s="20" t="s">
        <v>69</v>
      </c>
      <c r="R17" s="20" t="s">
        <v>6561</v>
      </c>
      <c r="S17" s="4"/>
      <c r="T17" s="4"/>
      <c r="U17" s="7"/>
      <c r="V17" s="4"/>
      <c r="W17" s="4"/>
      <c r="X17" s="4"/>
      <c r="Y17" s="4"/>
      <c r="Z17" s="4"/>
      <c r="AA17" s="5"/>
      <c r="AB17" s="5"/>
      <c r="AC17" s="5"/>
      <c r="AD17" s="5"/>
      <c r="AE17" s="5"/>
    </row>
    <row r="18">
      <c r="A18" s="15" t="s">
        <v>6929</v>
      </c>
      <c r="B18" s="19">
        <v>44352.80972222222</v>
      </c>
      <c r="C18" s="20">
        <v>50073.0</v>
      </c>
      <c r="D18" s="20" t="s">
        <v>6485</v>
      </c>
      <c r="E18" s="20">
        <v>9.18447208914E11</v>
      </c>
      <c r="F18" s="21">
        <v>17607.0</v>
      </c>
      <c r="G18" s="20"/>
      <c r="H18" s="20" t="s">
        <v>6466</v>
      </c>
      <c r="I18" s="20"/>
      <c r="J18" s="20">
        <v>1.0</v>
      </c>
      <c r="K18" s="20">
        <v>599.0</v>
      </c>
      <c r="L18" s="20"/>
      <c r="M18" s="20">
        <v>599.0</v>
      </c>
      <c r="N18" s="5" t="s">
        <v>67</v>
      </c>
      <c r="O18" s="20" t="b">
        <v>0</v>
      </c>
      <c r="P18" s="20" t="s">
        <v>97</v>
      </c>
      <c r="Q18" s="20" t="s">
        <v>69</v>
      </c>
      <c r="R18" s="20"/>
      <c r="S18" s="4"/>
      <c r="T18" s="4"/>
      <c r="U18" s="7"/>
      <c r="V18" s="4"/>
      <c r="W18" s="4"/>
      <c r="X18" s="4"/>
      <c r="Y18" s="4"/>
      <c r="Z18" s="4"/>
      <c r="AA18" s="5"/>
      <c r="AB18" s="5"/>
      <c r="AC18" s="5"/>
      <c r="AD18" s="5"/>
      <c r="AE18" s="5"/>
    </row>
    <row r="19">
      <c r="A19" s="1" t="s">
        <v>11073</v>
      </c>
      <c r="B19" s="19">
        <v>44475.785416666666</v>
      </c>
      <c r="C19" s="20">
        <v>50073.0</v>
      </c>
      <c r="D19" s="20" t="s">
        <v>6485</v>
      </c>
      <c r="E19" s="5">
        <v>9.18447208914E11</v>
      </c>
      <c r="F19" s="21">
        <v>17607.0</v>
      </c>
      <c r="G19" s="20"/>
      <c r="H19" s="20" t="s">
        <v>2161</v>
      </c>
      <c r="I19" s="5"/>
      <c r="J19" s="20">
        <v>1.0</v>
      </c>
      <c r="K19" s="20">
        <v>599.0</v>
      </c>
      <c r="L19" s="20"/>
      <c r="M19" s="20">
        <v>599.0</v>
      </c>
      <c r="N19" s="5" t="s">
        <v>67</v>
      </c>
      <c r="O19" s="20" t="b">
        <v>0</v>
      </c>
      <c r="P19" s="20" t="s">
        <v>97</v>
      </c>
      <c r="Q19" s="20" t="s">
        <v>69</v>
      </c>
      <c r="R19" s="20" t="s">
        <v>6561</v>
      </c>
      <c r="S19" s="4"/>
      <c r="T19" s="4"/>
      <c r="U19" s="7"/>
      <c r="V19" s="4"/>
      <c r="W19" s="4"/>
      <c r="X19" s="4"/>
      <c r="Y19" s="4"/>
      <c r="Z19" s="4"/>
      <c r="AA19" s="5"/>
      <c r="AB19" s="5"/>
      <c r="AC19" s="5"/>
      <c r="AD19" s="5"/>
      <c r="AE19" s="5"/>
    </row>
    <row r="20">
      <c r="A20" s="1" t="s">
        <v>7088</v>
      </c>
      <c r="B20" s="19">
        <v>44413.43680555555</v>
      </c>
      <c r="C20" s="20">
        <v>49859.0</v>
      </c>
      <c r="D20" s="20" t="s">
        <v>4629</v>
      </c>
      <c r="E20" s="20">
        <v>9.19632670331E11</v>
      </c>
      <c r="F20" s="21">
        <v>17702.0</v>
      </c>
      <c r="G20" s="20"/>
      <c r="H20" s="20" t="s">
        <v>1133</v>
      </c>
      <c r="I20" s="20"/>
      <c r="J20" s="20">
        <v>1.0</v>
      </c>
      <c r="K20" s="20">
        <v>99.0</v>
      </c>
      <c r="L20" s="20"/>
      <c r="M20" s="20">
        <v>99.0</v>
      </c>
      <c r="N20" s="5" t="s">
        <v>67</v>
      </c>
      <c r="O20" s="20" t="b">
        <v>0</v>
      </c>
      <c r="P20" s="20" t="s">
        <v>151</v>
      </c>
      <c r="Q20" s="20" t="s">
        <v>69</v>
      </c>
      <c r="R20" s="20" t="s">
        <v>4620</v>
      </c>
      <c r="S20" s="4"/>
      <c r="T20" s="4"/>
      <c r="U20" s="7"/>
      <c r="V20" s="4"/>
      <c r="W20" s="4"/>
      <c r="X20" s="4"/>
      <c r="Y20" s="4"/>
      <c r="Z20" s="4"/>
      <c r="AA20" s="5"/>
      <c r="AB20" s="5"/>
      <c r="AC20" s="5"/>
      <c r="AD20" s="5"/>
      <c r="AE20" s="5"/>
    </row>
    <row r="21">
      <c r="A21" s="15" t="s">
        <v>7085</v>
      </c>
      <c r="B21" s="19">
        <v>44413.43819444445</v>
      </c>
      <c r="C21" s="20">
        <v>49859.0</v>
      </c>
      <c r="D21" s="20" t="s">
        <v>4629</v>
      </c>
      <c r="E21" s="20">
        <v>9.19632670331E11</v>
      </c>
      <c r="F21" s="21">
        <v>17702.0</v>
      </c>
      <c r="G21" s="20"/>
      <c r="H21" s="20" t="s">
        <v>1133</v>
      </c>
      <c r="I21" s="20"/>
      <c r="J21" s="20">
        <v>1.0</v>
      </c>
      <c r="K21" s="20">
        <v>99.0</v>
      </c>
      <c r="L21" s="20"/>
      <c r="M21" s="20">
        <v>99.0</v>
      </c>
      <c r="N21" s="5" t="s">
        <v>67</v>
      </c>
      <c r="O21" s="20" t="b">
        <v>0</v>
      </c>
      <c r="P21" s="20" t="s">
        <v>151</v>
      </c>
      <c r="Q21" s="20" t="s">
        <v>69</v>
      </c>
      <c r="R21" s="20" t="s">
        <v>4620</v>
      </c>
      <c r="S21" s="4"/>
      <c r="T21" s="4"/>
      <c r="U21" s="7"/>
      <c r="V21" s="4"/>
      <c r="W21" s="4"/>
      <c r="X21" s="4"/>
      <c r="Y21" s="4"/>
      <c r="Z21" s="4"/>
      <c r="AA21" s="5"/>
      <c r="AB21" s="5"/>
      <c r="AC21" s="5"/>
      <c r="AD21" s="5"/>
      <c r="AE21" s="5"/>
    </row>
    <row r="22">
      <c r="A22" s="15" t="s">
        <v>7086</v>
      </c>
      <c r="B22" s="19">
        <v>44413.43263888889</v>
      </c>
      <c r="C22" s="20">
        <v>50039.0</v>
      </c>
      <c r="D22" s="20" t="s">
        <v>4344</v>
      </c>
      <c r="E22" s="20">
        <v>9.19742197987E11</v>
      </c>
      <c r="F22" s="21">
        <v>17703.0</v>
      </c>
      <c r="G22" s="20"/>
      <c r="H22" s="20" t="s">
        <v>4341</v>
      </c>
      <c r="I22" s="20"/>
      <c r="J22" s="20">
        <v>1.0</v>
      </c>
      <c r="K22" s="20">
        <v>99.0</v>
      </c>
      <c r="L22" s="20"/>
      <c r="M22" s="20">
        <v>99.0</v>
      </c>
      <c r="N22" s="5" t="s">
        <v>67</v>
      </c>
      <c r="O22" s="20" t="b">
        <v>0</v>
      </c>
      <c r="P22" s="20" t="s">
        <v>68</v>
      </c>
      <c r="Q22" s="20" t="s">
        <v>69</v>
      </c>
      <c r="R22" s="20" t="s">
        <v>4343</v>
      </c>
      <c r="S22" s="4"/>
      <c r="T22" s="4"/>
      <c r="U22" s="7"/>
      <c r="V22" s="4"/>
      <c r="W22" s="4"/>
      <c r="X22" s="4"/>
      <c r="Y22" s="4"/>
      <c r="Z22" s="4"/>
      <c r="AA22" s="5"/>
      <c r="AB22" s="5"/>
      <c r="AC22" s="5"/>
      <c r="AD22" s="5"/>
      <c r="AE22" s="5"/>
    </row>
    <row r="23">
      <c r="A23" s="1" t="s">
        <v>7301</v>
      </c>
      <c r="B23" s="19">
        <v>44444.78402777778</v>
      </c>
      <c r="C23" s="20">
        <v>50054.0</v>
      </c>
      <c r="D23" s="20" t="s">
        <v>4344</v>
      </c>
      <c r="E23" s="20">
        <v>9.19742197987E11</v>
      </c>
      <c r="F23" s="21">
        <v>17703.0</v>
      </c>
      <c r="G23" s="20"/>
      <c r="H23" s="20" t="s">
        <v>5822</v>
      </c>
      <c r="I23" s="20"/>
      <c r="J23" s="20">
        <v>1.0</v>
      </c>
      <c r="K23" s="20">
        <v>99.0</v>
      </c>
      <c r="L23" s="20"/>
      <c r="M23" s="20">
        <v>99.0</v>
      </c>
      <c r="N23" s="5" t="s">
        <v>67</v>
      </c>
      <c r="O23" s="20" t="b">
        <v>0</v>
      </c>
      <c r="P23" s="20" t="s">
        <v>68</v>
      </c>
      <c r="Q23" s="20" t="s">
        <v>69</v>
      </c>
      <c r="R23" s="20" t="s">
        <v>5824</v>
      </c>
      <c r="S23" s="4"/>
      <c r="T23" s="4"/>
      <c r="U23" s="7"/>
      <c r="V23" s="4"/>
      <c r="W23" s="4"/>
      <c r="X23" s="4"/>
      <c r="Y23" s="4"/>
      <c r="Z23" s="4"/>
      <c r="AA23" s="5"/>
      <c r="AB23" s="5"/>
      <c r="AC23" s="5"/>
      <c r="AD23" s="5"/>
      <c r="AE23" s="5"/>
    </row>
    <row r="24">
      <c r="A24" s="15" t="s">
        <v>7096</v>
      </c>
      <c r="B24" s="19">
        <v>44413.498611111114</v>
      </c>
      <c r="C24" s="20">
        <v>50073.0</v>
      </c>
      <c r="D24" s="20" t="s">
        <v>6493</v>
      </c>
      <c r="E24" s="20">
        <v>9.19898956482E11</v>
      </c>
      <c r="F24" s="21">
        <v>17761.0</v>
      </c>
      <c r="G24" s="20"/>
      <c r="H24" s="20" t="s">
        <v>6466</v>
      </c>
      <c r="I24" s="20"/>
      <c r="J24" s="20">
        <v>1.0</v>
      </c>
      <c r="K24" s="20">
        <v>599.0</v>
      </c>
      <c r="L24" s="20"/>
      <c r="M24" s="20">
        <v>599.0</v>
      </c>
      <c r="N24" s="5" t="s">
        <v>67</v>
      </c>
      <c r="O24" s="20" t="b">
        <v>0</v>
      </c>
      <c r="P24" s="20" t="s">
        <v>151</v>
      </c>
      <c r="Q24" s="20" t="s">
        <v>69</v>
      </c>
      <c r="R24" s="20"/>
      <c r="S24" s="4"/>
      <c r="T24" s="4"/>
      <c r="U24" s="7"/>
      <c r="V24" s="4"/>
      <c r="W24" s="4"/>
      <c r="X24" s="4"/>
      <c r="Y24" s="4"/>
      <c r="Z24" s="4"/>
      <c r="AA24" s="5"/>
      <c r="AB24" s="5"/>
      <c r="AC24" s="5"/>
      <c r="AD24" s="5"/>
      <c r="AE24" s="5"/>
    </row>
    <row r="25">
      <c r="A25" s="1" t="s">
        <v>10864</v>
      </c>
      <c r="B25" s="19">
        <v>44445.43472222222</v>
      </c>
      <c r="C25" s="20">
        <v>50073.0</v>
      </c>
      <c r="D25" s="20" t="s">
        <v>6493</v>
      </c>
      <c r="E25" s="5">
        <v>9.19898956482E11</v>
      </c>
      <c r="F25" s="21">
        <v>17761.0</v>
      </c>
      <c r="G25" s="20"/>
      <c r="H25" s="20" t="s">
        <v>2161</v>
      </c>
      <c r="I25" s="5"/>
      <c r="J25" s="20">
        <v>1.0</v>
      </c>
      <c r="K25" s="20">
        <v>599.0</v>
      </c>
      <c r="L25" s="20"/>
      <c r="M25" s="20">
        <v>599.0</v>
      </c>
      <c r="N25" s="5" t="s">
        <v>67</v>
      </c>
      <c r="O25" s="20" t="b">
        <v>0</v>
      </c>
      <c r="P25" s="20" t="s">
        <v>151</v>
      </c>
      <c r="Q25" s="20" t="s">
        <v>69</v>
      </c>
      <c r="R25" s="20" t="s">
        <v>6561</v>
      </c>
      <c r="S25" s="4"/>
      <c r="T25" s="4"/>
      <c r="U25" s="7"/>
      <c r="V25" s="4"/>
      <c r="W25" s="4"/>
      <c r="X25" s="4"/>
      <c r="Y25" s="4"/>
      <c r="Z25" s="4"/>
      <c r="AA25" s="5"/>
      <c r="AB25" s="5"/>
      <c r="AC25" s="5"/>
      <c r="AD25" s="5"/>
      <c r="AE25" s="5"/>
    </row>
    <row r="26">
      <c r="A26" s="15" t="s">
        <v>7101</v>
      </c>
      <c r="B26" s="19">
        <v>44413.55902777778</v>
      </c>
      <c r="C26" s="20">
        <v>50044.0</v>
      </c>
      <c r="D26" s="20" t="s">
        <v>6321</v>
      </c>
      <c r="E26" s="20">
        <v>9.18886237899E11</v>
      </c>
      <c r="F26" s="21">
        <v>17710.0</v>
      </c>
      <c r="G26" s="20"/>
      <c r="H26" s="20" t="s">
        <v>6320</v>
      </c>
      <c r="I26" s="20"/>
      <c r="J26" s="20">
        <v>1.0</v>
      </c>
      <c r="K26" s="20">
        <v>349.0</v>
      </c>
      <c r="L26" s="20"/>
      <c r="M26" s="20">
        <v>349.0</v>
      </c>
      <c r="N26" s="5" t="s">
        <v>67</v>
      </c>
      <c r="O26" s="20" t="b">
        <v>0</v>
      </c>
      <c r="P26" s="20" t="s">
        <v>68</v>
      </c>
      <c r="Q26" s="20" t="s">
        <v>69</v>
      </c>
      <c r="R26" s="20" t="s">
        <v>6322</v>
      </c>
      <c r="S26" s="4"/>
      <c r="T26" s="4"/>
      <c r="U26" s="7"/>
      <c r="V26" s="4"/>
      <c r="W26" s="4"/>
      <c r="X26" s="4"/>
      <c r="Y26" s="4"/>
      <c r="Z26" s="4"/>
      <c r="AA26" s="5"/>
      <c r="AB26" s="5"/>
      <c r="AC26" s="5"/>
      <c r="AD26" s="5"/>
      <c r="AE26" s="5"/>
    </row>
    <row r="27">
      <c r="A27" s="1" t="s">
        <v>10466</v>
      </c>
      <c r="B27" s="19">
        <v>44322.62708333333</v>
      </c>
      <c r="C27" s="20">
        <v>50044.0</v>
      </c>
      <c r="D27" s="20" t="s">
        <v>6321</v>
      </c>
      <c r="E27" s="5">
        <v>9.18886237899E11</v>
      </c>
      <c r="F27" s="21">
        <v>17710.0</v>
      </c>
      <c r="G27" s="20"/>
      <c r="H27" s="20" t="s">
        <v>6320</v>
      </c>
      <c r="I27" s="5"/>
      <c r="J27" s="20">
        <v>3.0</v>
      </c>
      <c r="K27" s="20">
        <v>599.0</v>
      </c>
      <c r="L27" s="20"/>
      <c r="M27" s="20">
        <v>599.0</v>
      </c>
      <c r="N27" s="5" t="s">
        <v>67</v>
      </c>
      <c r="O27" s="20" t="b">
        <v>0</v>
      </c>
      <c r="P27" s="20" t="s">
        <v>68</v>
      </c>
      <c r="Q27" s="20" t="s">
        <v>69</v>
      </c>
      <c r="R27" s="20" t="s">
        <v>6322</v>
      </c>
      <c r="S27" s="4"/>
      <c r="T27" s="4"/>
      <c r="U27" s="7"/>
      <c r="V27" s="4"/>
      <c r="W27" s="4"/>
      <c r="X27" s="4"/>
      <c r="Y27" s="4"/>
      <c r="Z27" s="4"/>
      <c r="AA27" s="5"/>
      <c r="AB27" s="5"/>
      <c r="AC27" s="5"/>
      <c r="AD27" s="5"/>
      <c r="AE27" s="5"/>
    </row>
    <row r="28">
      <c r="A28" s="15" t="s">
        <v>7111</v>
      </c>
      <c r="B28" s="19">
        <v>44413.62291666667</v>
      </c>
      <c r="C28" s="20">
        <v>50031.0</v>
      </c>
      <c r="D28" s="20" t="s">
        <v>4572</v>
      </c>
      <c r="E28" s="20">
        <v>9.1932279872E11</v>
      </c>
      <c r="F28" s="21">
        <v>0.0</v>
      </c>
      <c r="G28" s="20"/>
      <c r="H28" s="20" t="s">
        <v>4561</v>
      </c>
      <c r="I28" s="20"/>
      <c r="J28" s="20">
        <v>1.0</v>
      </c>
      <c r="K28" s="20">
        <v>99.0</v>
      </c>
      <c r="L28" s="20"/>
      <c r="M28" s="20">
        <v>99.0</v>
      </c>
      <c r="N28" s="5" t="s">
        <v>67</v>
      </c>
      <c r="O28" s="20" t="b">
        <v>0</v>
      </c>
      <c r="P28" s="20" t="s">
        <v>74</v>
      </c>
      <c r="Q28" s="20" t="s">
        <v>69</v>
      </c>
      <c r="R28" s="20" t="s">
        <v>4563</v>
      </c>
      <c r="S28" s="4"/>
      <c r="T28" s="4"/>
      <c r="U28" s="7"/>
      <c r="V28" s="4"/>
      <c r="W28" s="4"/>
      <c r="X28" s="4"/>
      <c r="Y28" s="4"/>
      <c r="Z28" s="4"/>
      <c r="AA28" s="5"/>
      <c r="AB28" s="5"/>
      <c r="AC28" s="5"/>
      <c r="AD28" s="5"/>
      <c r="AE28" s="5"/>
    </row>
    <row r="29">
      <c r="A29" s="1" t="s">
        <v>7317</v>
      </c>
      <c r="B29" s="19">
        <v>44444.881944444445</v>
      </c>
      <c r="C29" s="20">
        <v>49994.0</v>
      </c>
      <c r="D29" s="20" t="s">
        <v>4572</v>
      </c>
      <c r="E29" s="20">
        <v>9.1932279872E11</v>
      </c>
      <c r="F29" s="21">
        <v>0.0</v>
      </c>
      <c r="G29" s="20"/>
      <c r="H29" s="20" t="s">
        <v>1264</v>
      </c>
      <c r="I29" s="20"/>
      <c r="J29" s="20">
        <v>3.0</v>
      </c>
      <c r="K29" s="20">
        <v>199.0</v>
      </c>
      <c r="L29" s="20"/>
      <c r="M29" s="20">
        <v>199.0</v>
      </c>
      <c r="N29" s="5" t="s">
        <v>67</v>
      </c>
      <c r="O29" s="20" t="b">
        <v>0</v>
      </c>
      <c r="P29" s="20" t="s">
        <v>74</v>
      </c>
      <c r="Q29" s="20" t="s">
        <v>69</v>
      </c>
      <c r="R29" s="20" t="s">
        <v>6615</v>
      </c>
      <c r="S29" s="4"/>
      <c r="T29" s="4"/>
      <c r="U29" s="7"/>
      <c r="V29" s="4"/>
      <c r="W29" s="4"/>
      <c r="X29" s="4"/>
      <c r="Y29" s="4"/>
      <c r="Z29" s="4"/>
      <c r="AA29" s="5"/>
      <c r="AB29" s="5"/>
      <c r="AC29" s="5"/>
      <c r="AD29" s="5"/>
      <c r="AE29" s="5"/>
    </row>
    <row r="30">
      <c r="A30" s="15" t="s">
        <v>7289</v>
      </c>
      <c r="B30" s="19">
        <v>44444.73888888889</v>
      </c>
      <c r="C30" s="20">
        <v>50043.0</v>
      </c>
      <c r="D30" s="20" t="s">
        <v>6371</v>
      </c>
      <c r="E30" s="20">
        <v>9.17972793242E11</v>
      </c>
      <c r="F30" s="21">
        <v>17824.0</v>
      </c>
      <c r="G30" s="20"/>
      <c r="H30" s="20" t="s">
        <v>6367</v>
      </c>
      <c r="I30" s="20"/>
      <c r="J30" s="20">
        <v>1.0</v>
      </c>
      <c r="K30" s="20">
        <v>99.0</v>
      </c>
      <c r="L30" s="20"/>
      <c r="M30" s="20">
        <v>99.0</v>
      </c>
      <c r="N30" s="5" t="s">
        <v>67</v>
      </c>
      <c r="O30" s="20" t="b">
        <v>0</v>
      </c>
      <c r="P30" s="20" t="s">
        <v>68</v>
      </c>
      <c r="Q30" s="20" t="s">
        <v>69</v>
      </c>
      <c r="R30" s="20" t="s">
        <v>6369</v>
      </c>
      <c r="S30" s="4"/>
      <c r="T30" s="4"/>
      <c r="U30" s="7"/>
      <c r="V30" s="4"/>
      <c r="W30" s="4"/>
      <c r="X30" s="4"/>
      <c r="Y30" s="4"/>
      <c r="Z30" s="4"/>
      <c r="AA30" s="5"/>
      <c r="AB30" s="5"/>
      <c r="AC30" s="5"/>
      <c r="AD30" s="5"/>
      <c r="AE30" s="5"/>
    </row>
    <row r="31">
      <c r="A31" s="1" t="s">
        <v>11165</v>
      </c>
      <c r="B31" s="19">
        <v>44506.470138888886</v>
      </c>
      <c r="C31" s="20">
        <v>50043.0</v>
      </c>
      <c r="D31" s="20" t="s">
        <v>6371</v>
      </c>
      <c r="E31" s="5">
        <v>9.17972793242E11</v>
      </c>
      <c r="F31" s="21">
        <v>17824.0</v>
      </c>
      <c r="G31" s="20"/>
      <c r="H31" s="20" t="s">
        <v>6367</v>
      </c>
      <c r="I31" s="5"/>
      <c r="J31" s="20">
        <v>3.0</v>
      </c>
      <c r="K31" s="20">
        <v>199.0</v>
      </c>
      <c r="L31" s="20"/>
      <c r="M31" s="20">
        <v>199.0</v>
      </c>
      <c r="N31" s="5" t="s">
        <v>67</v>
      </c>
      <c r="O31" s="20" t="b">
        <v>0</v>
      </c>
      <c r="P31" s="20" t="s">
        <v>68</v>
      </c>
      <c r="Q31" s="20" t="s">
        <v>69</v>
      </c>
      <c r="R31" s="20" t="s">
        <v>6369</v>
      </c>
      <c r="S31" s="4"/>
      <c r="T31" s="4"/>
      <c r="U31" s="7"/>
      <c r="V31" s="4"/>
      <c r="W31" s="4"/>
      <c r="X31" s="4"/>
      <c r="Y31" s="4"/>
      <c r="Z31" s="4"/>
      <c r="AA31" s="5"/>
      <c r="AB31" s="5"/>
      <c r="AC31" s="5"/>
      <c r="AD31" s="5"/>
      <c r="AE31" s="5"/>
    </row>
    <row r="32">
      <c r="A32" s="15" t="s">
        <v>7292</v>
      </c>
      <c r="B32" s="19">
        <v>44444.75069444445</v>
      </c>
      <c r="C32" s="20">
        <v>49998.0</v>
      </c>
      <c r="D32" s="20" t="s">
        <v>6253</v>
      </c>
      <c r="E32" s="20">
        <v>9.1971343586E11</v>
      </c>
      <c r="F32" s="21">
        <v>17825.0</v>
      </c>
      <c r="G32" s="20"/>
      <c r="H32" s="20" t="s">
        <v>6250</v>
      </c>
      <c r="I32" s="20"/>
      <c r="J32" s="20">
        <v>1.0</v>
      </c>
      <c r="K32" s="20">
        <v>99.0</v>
      </c>
      <c r="L32" s="20"/>
      <c r="M32" s="20">
        <v>99.0</v>
      </c>
      <c r="N32" s="5" t="s">
        <v>67</v>
      </c>
      <c r="O32" s="20" t="b">
        <v>0</v>
      </c>
      <c r="P32" s="20" t="s">
        <v>68</v>
      </c>
      <c r="Q32" s="20" t="s">
        <v>69</v>
      </c>
      <c r="R32" s="20" t="s">
        <v>6252</v>
      </c>
      <c r="S32" s="4"/>
      <c r="T32" s="4"/>
      <c r="U32" s="7"/>
      <c r="V32" s="4"/>
      <c r="W32" s="4"/>
      <c r="X32" s="4"/>
      <c r="Y32" s="4"/>
      <c r="Z32" s="4"/>
      <c r="AA32" s="5"/>
      <c r="AB32" s="5"/>
      <c r="AC32" s="5"/>
      <c r="AD32" s="5"/>
      <c r="AE32" s="5"/>
    </row>
    <row r="33">
      <c r="A33" s="1" t="s">
        <v>10432</v>
      </c>
      <c r="B33" s="19">
        <v>44292.489583333336</v>
      </c>
      <c r="C33" s="20">
        <v>49998.0</v>
      </c>
      <c r="D33" s="20" t="s">
        <v>6253</v>
      </c>
      <c r="E33" s="5">
        <v>9.1971343586E11</v>
      </c>
      <c r="F33" s="21">
        <v>17825.0</v>
      </c>
      <c r="G33" s="20"/>
      <c r="H33" s="20" t="s">
        <v>6250</v>
      </c>
      <c r="I33" s="5"/>
      <c r="J33" s="20">
        <v>3.0</v>
      </c>
      <c r="K33" s="20">
        <v>199.0</v>
      </c>
      <c r="L33" s="20"/>
      <c r="M33" s="20">
        <v>199.0</v>
      </c>
      <c r="N33" s="5" t="s">
        <v>67</v>
      </c>
      <c r="O33" s="20" t="b">
        <v>0</v>
      </c>
      <c r="P33" s="20" t="s">
        <v>68</v>
      </c>
      <c r="Q33" s="20" t="s">
        <v>69</v>
      </c>
      <c r="R33" s="20" t="s">
        <v>6252</v>
      </c>
      <c r="S33" s="4"/>
      <c r="T33" s="4"/>
      <c r="U33" s="7"/>
      <c r="V33" s="4"/>
      <c r="W33" s="4"/>
      <c r="X33" s="4"/>
      <c r="Y33" s="4"/>
      <c r="Z33" s="4"/>
      <c r="AA33" s="5"/>
      <c r="AB33" s="5"/>
      <c r="AC33" s="5"/>
      <c r="AD33" s="5"/>
      <c r="AE33" s="5"/>
    </row>
    <row r="34">
      <c r="A34" s="15" t="s">
        <v>7303</v>
      </c>
      <c r="B34" s="19">
        <v>44444.80694444444</v>
      </c>
      <c r="C34" s="20">
        <v>50054.0</v>
      </c>
      <c r="D34" s="20" t="s">
        <v>5834</v>
      </c>
      <c r="E34" s="20">
        <v>9.19993209318E11</v>
      </c>
      <c r="F34" s="21">
        <v>17834.0</v>
      </c>
      <c r="G34" s="20"/>
      <c r="H34" s="20" t="s">
        <v>5822</v>
      </c>
      <c r="I34" s="20"/>
      <c r="J34" s="20">
        <v>1.0</v>
      </c>
      <c r="K34" s="20">
        <v>99.0</v>
      </c>
      <c r="L34" s="20"/>
      <c r="M34" s="20">
        <v>99.0</v>
      </c>
      <c r="N34" s="5" t="s">
        <v>67</v>
      </c>
      <c r="O34" s="20" t="b">
        <v>0</v>
      </c>
      <c r="P34" s="20" t="s">
        <v>151</v>
      </c>
      <c r="Q34" s="20" t="s">
        <v>69</v>
      </c>
      <c r="R34" s="20" t="s">
        <v>5824</v>
      </c>
      <c r="S34" s="4"/>
      <c r="T34" s="4"/>
      <c r="U34" s="7"/>
      <c r="V34" s="4"/>
      <c r="W34" s="4"/>
      <c r="X34" s="4"/>
      <c r="Y34" s="4"/>
      <c r="Z34" s="4"/>
      <c r="AA34" s="5"/>
      <c r="AB34" s="5"/>
      <c r="AC34" s="5"/>
      <c r="AD34" s="5"/>
      <c r="AE34" s="5"/>
    </row>
    <row r="35">
      <c r="A35" s="1" t="s">
        <v>10428</v>
      </c>
      <c r="B35" s="19">
        <v>44292.36041666667</v>
      </c>
      <c r="C35" s="20">
        <v>50054.0</v>
      </c>
      <c r="D35" s="20" t="s">
        <v>5834</v>
      </c>
      <c r="E35" s="5">
        <v>9.19993209318E11</v>
      </c>
      <c r="F35" s="21">
        <v>17834.0</v>
      </c>
      <c r="G35" s="20"/>
      <c r="H35" s="20" t="s">
        <v>5822</v>
      </c>
      <c r="I35" s="5"/>
      <c r="J35" s="20">
        <v>1.0</v>
      </c>
      <c r="K35" s="20">
        <v>99.0</v>
      </c>
      <c r="L35" s="20"/>
      <c r="M35" s="20">
        <v>99.0</v>
      </c>
      <c r="N35" s="5" t="s">
        <v>67</v>
      </c>
      <c r="O35" s="20" t="b">
        <v>0</v>
      </c>
      <c r="P35" s="20" t="s">
        <v>151</v>
      </c>
      <c r="Q35" s="20" t="s">
        <v>69</v>
      </c>
      <c r="R35" s="20" t="s">
        <v>5824</v>
      </c>
      <c r="S35" s="4"/>
      <c r="T35" s="4"/>
      <c r="U35" s="7"/>
      <c r="V35" s="4"/>
      <c r="W35" s="4"/>
      <c r="X35" s="4"/>
      <c r="Y35" s="4"/>
      <c r="Z35" s="4"/>
      <c r="AA35" s="5"/>
      <c r="AB35" s="5"/>
      <c r="AC35" s="5"/>
      <c r="AD35" s="5"/>
      <c r="AE35" s="5"/>
    </row>
    <row r="36">
      <c r="A36" s="1" t="s">
        <v>7309</v>
      </c>
      <c r="B36" s="19">
        <v>44444.856944444444</v>
      </c>
      <c r="C36" s="20">
        <v>50009.0</v>
      </c>
      <c r="D36" s="20" t="s">
        <v>431</v>
      </c>
      <c r="E36" s="20">
        <v>9.19912636113E11</v>
      </c>
      <c r="F36" s="22" t="s">
        <v>12593</v>
      </c>
      <c r="G36" s="20"/>
      <c r="H36" s="20" t="s">
        <v>1476</v>
      </c>
      <c r="I36" s="20"/>
      <c r="J36" s="20">
        <v>1.0</v>
      </c>
      <c r="K36" s="20">
        <v>99.0</v>
      </c>
      <c r="L36" s="20"/>
      <c r="M36" s="20">
        <v>99.0</v>
      </c>
      <c r="N36" s="5" t="s">
        <v>67</v>
      </c>
      <c r="O36" s="20" t="b">
        <v>0</v>
      </c>
      <c r="P36" s="20" t="s">
        <v>68</v>
      </c>
      <c r="Q36" s="20" t="s">
        <v>69</v>
      </c>
      <c r="R36" s="20" t="s">
        <v>2745</v>
      </c>
      <c r="S36" s="4"/>
      <c r="T36" s="4"/>
      <c r="U36" s="7"/>
      <c r="V36" s="4"/>
      <c r="W36" s="4"/>
      <c r="X36" s="4"/>
      <c r="Y36" s="4"/>
      <c r="Z36" s="4"/>
      <c r="AA36" s="5"/>
      <c r="AB36" s="5"/>
      <c r="AC36" s="5"/>
      <c r="AD36" s="5"/>
      <c r="AE36" s="5"/>
    </row>
    <row r="37">
      <c r="A37" s="1" t="s">
        <v>9777</v>
      </c>
      <c r="B37" s="19" t="s">
        <v>6129</v>
      </c>
      <c r="C37" s="20">
        <v>50076.0</v>
      </c>
      <c r="D37" s="20" t="s">
        <v>431</v>
      </c>
      <c r="E37" s="5">
        <v>9.19912636113E11</v>
      </c>
      <c r="F37" s="21">
        <v>17838.0</v>
      </c>
      <c r="G37" s="20"/>
      <c r="H37" s="20" t="s">
        <v>5984</v>
      </c>
      <c r="I37" s="5"/>
      <c r="J37" s="20">
        <v>1.0</v>
      </c>
      <c r="K37" s="20">
        <v>199.0</v>
      </c>
      <c r="L37" s="20"/>
      <c r="M37" s="20">
        <v>199.0</v>
      </c>
      <c r="N37" s="5" t="s">
        <v>67</v>
      </c>
      <c r="O37" s="20" t="b">
        <v>0</v>
      </c>
      <c r="P37" s="20" t="s">
        <v>68</v>
      </c>
      <c r="Q37" s="20" t="s">
        <v>69</v>
      </c>
      <c r="R37" s="20" t="s">
        <v>5987</v>
      </c>
      <c r="S37" s="4"/>
      <c r="T37" s="4"/>
      <c r="U37" s="7"/>
      <c r="V37" s="4"/>
      <c r="W37" s="4"/>
      <c r="X37" s="4"/>
      <c r="Y37" s="4"/>
      <c r="Z37" s="4"/>
      <c r="AA37" s="5"/>
      <c r="AB37" s="5"/>
      <c r="AC37" s="5"/>
      <c r="AD37" s="5"/>
      <c r="AE37" s="5"/>
    </row>
    <row r="38">
      <c r="A38" s="15" t="s">
        <v>7153</v>
      </c>
      <c r="B38" s="19">
        <v>44413.805555555555</v>
      </c>
      <c r="C38" s="20">
        <v>50073.0</v>
      </c>
      <c r="D38" s="20" t="s">
        <v>6490</v>
      </c>
      <c r="E38" s="20">
        <v>9.19844939825E11</v>
      </c>
      <c r="F38" s="21">
        <v>17751.0</v>
      </c>
      <c r="G38" s="20"/>
      <c r="H38" s="20" t="s">
        <v>6466</v>
      </c>
      <c r="I38" s="20"/>
      <c r="J38" s="20">
        <v>1.0</v>
      </c>
      <c r="K38" s="20">
        <v>599.0</v>
      </c>
      <c r="L38" s="20"/>
      <c r="M38" s="20">
        <v>599.0</v>
      </c>
      <c r="N38" s="5" t="s">
        <v>67</v>
      </c>
      <c r="O38" s="20" t="b">
        <v>0</v>
      </c>
      <c r="P38" s="20" t="s">
        <v>151</v>
      </c>
      <c r="Q38" s="20" t="s">
        <v>69</v>
      </c>
      <c r="R38" s="20"/>
      <c r="S38" s="4"/>
      <c r="T38" s="4"/>
      <c r="U38" s="7"/>
      <c r="V38" s="4"/>
      <c r="W38" s="4"/>
      <c r="X38" s="4"/>
      <c r="Y38" s="4"/>
      <c r="Z38" s="4"/>
      <c r="AA38" s="5"/>
      <c r="AB38" s="5"/>
      <c r="AC38" s="5"/>
      <c r="AD38" s="5"/>
      <c r="AE38" s="5"/>
    </row>
    <row r="39">
      <c r="A39" s="1" t="s">
        <v>10763</v>
      </c>
      <c r="B39" s="19">
        <v>44414.54722222222</v>
      </c>
      <c r="C39" s="20">
        <v>50073.0</v>
      </c>
      <c r="D39" s="20" t="s">
        <v>6490</v>
      </c>
      <c r="E39" s="5">
        <v>9.19844939825E11</v>
      </c>
      <c r="F39" s="21">
        <v>17751.0</v>
      </c>
      <c r="G39" s="20"/>
      <c r="H39" s="20" t="s">
        <v>2161</v>
      </c>
      <c r="I39" s="5"/>
      <c r="J39" s="20">
        <v>1.0</v>
      </c>
      <c r="K39" s="20">
        <v>599.0</v>
      </c>
      <c r="L39" s="20"/>
      <c r="M39" s="20">
        <v>599.0</v>
      </c>
      <c r="N39" s="5" t="s">
        <v>67</v>
      </c>
      <c r="O39" s="20" t="b">
        <v>0</v>
      </c>
      <c r="P39" s="20" t="s">
        <v>151</v>
      </c>
      <c r="Q39" s="20" t="s">
        <v>69</v>
      </c>
      <c r="R39" s="20" t="s">
        <v>6561</v>
      </c>
      <c r="S39" s="4"/>
      <c r="T39" s="4"/>
      <c r="U39" s="7"/>
      <c r="V39" s="4"/>
      <c r="W39" s="4"/>
      <c r="X39" s="4"/>
      <c r="Y39" s="4"/>
      <c r="Z39" s="4"/>
      <c r="AA39" s="5"/>
      <c r="AB39" s="5"/>
      <c r="AC39" s="5"/>
      <c r="AD39" s="5"/>
      <c r="AE39" s="5"/>
    </row>
    <row r="40">
      <c r="A40" s="1" t="s">
        <v>8521</v>
      </c>
      <c r="B40" s="19" t="s">
        <v>4293</v>
      </c>
      <c r="C40" s="20">
        <v>50079.0</v>
      </c>
      <c r="D40" s="20" t="s">
        <v>4292</v>
      </c>
      <c r="E40" s="20">
        <v>9.19953295925E11</v>
      </c>
      <c r="F40" s="21">
        <v>17839.0</v>
      </c>
      <c r="G40" s="20"/>
      <c r="H40" s="20" t="s">
        <v>4281</v>
      </c>
      <c r="I40" s="20"/>
      <c r="J40" s="20">
        <v>1.0</v>
      </c>
      <c r="K40" s="20">
        <v>199.0</v>
      </c>
      <c r="L40" s="20"/>
      <c r="M40" s="20">
        <v>199.0</v>
      </c>
      <c r="N40" s="5" t="s">
        <v>67</v>
      </c>
      <c r="O40" s="20" t="b">
        <v>0</v>
      </c>
      <c r="P40" s="20" t="s">
        <v>68</v>
      </c>
      <c r="Q40" s="20" t="s">
        <v>69</v>
      </c>
      <c r="R40" s="20" t="s">
        <v>4284</v>
      </c>
      <c r="S40" s="4"/>
      <c r="T40" s="4"/>
      <c r="U40" s="7"/>
      <c r="V40" s="4"/>
      <c r="W40" s="4"/>
      <c r="X40" s="4"/>
      <c r="Y40" s="4"/>
      <c r="Z40" s="4"/>
      <c r="AA40" s="5"/>
      <c r="AB40" s="5"/>
      <c r="AC40" s="5"/>
      <c r="AD40" s="5"/>
      <c r="AE40" s="5"/>
    </row>
    <row r="41">
      <c r="A41" s="15" t="s">
        <v>7313</v>
      </c>
      <c r="B41" s="19">
        <v>44444.87013888889</v>
      </c>
      <c r="C41" s="20">
        <v>50046.0</v>
      </c>
      <c r="D41" s="20" t="s">
        <v>4292</v>
      </c>
      <c r="E41" s="20">
        <v>9.19953295925E11</v>
      </c>
      <c r="F41" s="21">
        <v>17839.0</v>
      </c>
      <c r="G41" s="20"/>
      <c r="H41" s="20" t="s">
        <v>6217</v>
      </c>
      <c r="I41" s="20"/>
      <c r="J41" s="20">
        <v>6.0</v>
      </c>
      <c r="K41" s="20">
        <v>349.0</v>
      </c>
      <c r="L41" s="20"/>
      <c r="M41" s="20">
        <v>349.0</v>
      </c>
      <c r="N41" s="5" t="s">
        <v>67</v>
      </c>
      <c r="O41" s="20" t="b">
        <v>0</v>
      </c>
      <c r="P41" s="20" t="s">
        <v>68</v>
      </c>
      <c r="Q41" s="20" t="s">
        <v>69</v>
      </c>
      <c r="R41" s="20" t="s">
        <v>6219</v>
      </c>
      <c r="S41" s="4"/>
      <c r="T41" s="4"/>
      <c r="U41" s="7"/>
      <c r="V41" s="4"/>
      <c r="W41" s="4"/>
      <c r="X41" s="4"/>
      <c r="Y41" s="4"/>
      <c r="Z41" s="4"/>
      <c r="AA41" s="5"/>
      <c r="AB41" s="5"/>
      <c r="AC41" s="5"/>
      <c r="AD41" s="5"/>
      <c r="AE41" s="5"/>
    </row>
    <row r="42">
      <c r="A42" s="1" t="s">
        <v>10419</v>
      </c>
      <c r="B42" s="19">
        <v>44261.89375</v>
      </c>
      <c r="C42" s="20">
        <v>49859.0</v>
      </c>
      <c r="D42" s="20" t="s">
        <v>4739</v>
      </c>
      <c r="E42" s="5">
        <v>9.19756031125E11</v>
      </c>
      <c r="F42" s="21">
        <v>17840.0</v>
      </c>
      <c r="G42" s="20"/>
      <c r="H42" s="20" t="s">
        <v>1133</v>
      </c>
      <c r="I42" s="5"/>
      <c r="J42" s="20">
        <v>1.0</v>
      </c>
      <c r="K42" s="20">
        <v>99.0</v>
      </c>
      <c r="L42" s="20"/>
      <c r="M42" s="20">
        <v>99.0</v>
      </c>
      <c r="N42" s="5" t="s">
        <v>67</v>
      </c>
      <c r="O42" s="20" t="b">
        <v>0</v>
      </c>
      <c r="P42" s="20" t="s">
        <v>68</v>
      </c>
      <c r="Q42" s="20" t="s">
        <v>69</v>
      </c>
      <c r="R42" s="20" t="s">
        <v>4736</v>
      </c>
      <c r="S42" s="4"/>
      <c r="T42" s="4"/>
      <c r="U42" s="7"/>
      <c r="V42" s="4"/>
      <c r="W42" s="4"/>
      <c r="X42" s="4"/>
      <c r="Y42" s="4"/>
      <c r="Z42" s="4"/>
      <c r="AA42" s="5"/>
      <c r="AB42" s="5"/>
      <c r="AC42" s="5"/>
      <c r="AD42" s="5"/>
      <c r="AE42" s="5"/>
    </row>
    <row r="43">
      <c r="A43" s="15" t="s">
        <v>7315</v>
      </c>
      <c r="B43" s="19">
        <v>44444.87569444445</v>
      </c>
      <c r="C43" s="20">
        <v>50046.0</v>
      </c>
      <c r="D43" s="20" t="s">
        <v>4739</v>
      </c>
      <c r="E43" s="20">
        <v>9.19756031125E11</v>
      </c>
      <c r="F43" s="22" t="s">
        <v>12593</v>
      </c>
      <c r="G43" s="20"/>
      <c r="H43" s="20" t="s">
        <v>6217</v>
      </c>
      <c r="I43" s="20"/>
      <c r="J43" s="20">
        <v>1.0</v>
      </c>
      <c r="K43" s="20">
        <v>99.0</v>
      </c>
      <c r="L43" s="20"/>
      <c r="M43" s="20">
        <v>99.0</v>
      </c>
      <c r="N43" s="5" t="s">
        <v>67</v>
      </c>
      <c r="O43" s="20" t="b">
        <v>0</v>
      </c>
      <c r="P43" s="20" t="s">
        <v>68</v>
      </c>
      <c r="Q43" s="20" t="s">
        <v>69</v>
      </c>
      <c r="R43" s="20" t="s">
        <v>6219</v>
      </c>
      <c r="S43" s="4"/>
      <c r="T43" s="4"/>
      <c r="U43" s="7"/>
      <c r="V43" s="4"/>
      <c r="W43" s="4"/>
      <c r="X43" s="4"/>
      <c r="Y43" s="4"/>
      <c r="Z43" s="4"/>
      <c r="AA43" s="5"/>
      <c r="AB43" s="5"/>
      <c r="AC43" s="5"/>
      <c r="AD43" s="5"/>
      <c r="AE43" s="5"/>
    </row>
    <row r="44">
      <c r="A44" s="1" t="s">
        <v>9257</v>
      </c>
      <c r="B44" s="19" t="s">
        <v>2648</v>
      </c>
      <c r="C44" s="20">
        <v>50065.0</v>
      </c>
      <c r="D44" s="20" t="s">
        <v>2647</v>
      </c>
      <c r="E44" s="5">
        <v>9.18454949008E11</v>
      </c>
      <c r="F44" s="21">
        <v>17847.0</v>
      </c>
      <c r="G44" s="20"/>
      <c r="H44" s="20" t="s">
        <v>2601</v>
      </c>
      <c r="I44" s="5"/>
      <c r="J44" s="20">
        <v>3.0</v>
      </c>
      <c r="K44" s="20">
        <v>199.0</v>
      </c>
      <c r="L44" s="20"/>
      <c r="M44" s="20">
        <v>199.0</v>
      </c>
      <c r="N44" s="5" t="s">
        <v>67</v>
      </c>
      <c r="O44" s="20" t="b">
        <v>0</v>
      </c>
      <c r="P44" s="20" t="s">
        <v>74</v>
      </c>
      <c r="Q44" s="20" t="s">
        <v>69</v>
      </c>
      <c r="R44" s="20" t="s">
        <v>2604</v>
      </c>
      <c r="S44" s="4"/>
      <c r="T44" s="4"/>
      <c r="U44" s="7"/>
      <c r="V44" s="4"/>
      <c r="W44" s="4"/>
      <c r="X44" s="4"/>
      <c r="Y44" s="4"/>
      <c r="Z44" s="4"/>
      <c r="AA44" s="5"/>
      <c r="AB44" s="5"/>
      <c r="AC44" s="5"/>
      <c r="AD44" s="5"/>
      <c r="AE44" s="5"/>
    </row>
    <row r="45">
      <c r="A45" s="15" t="s">
        <v>7330</v>
      </c>
      <c r="B45" s="19">
        <v>44444.94027777778</v>
      </c>
      <c r="C45" s="20">
        <v>50054.0</v>
      </c>
      <c r="D45" s="20" t="s">
        <v>2647</v>
      </c>
      <c r="E45" s="20">
        <v>9.18454949008E11</v>
      </c>
      <c r="F45" s="21">
        <v>17847.0</v>
      </c>
      <c r="G45" s="20"/>
      <c r="H45" s="20" t="s">
        <v>5822</v>
      </c>
      <c r="I45" s="20"/>
      <c r="J45" s="20">
        <v>6.0</v>
      </c>
      <c r="K45" s="20">
        <v>349.0</v>
      </c>
      <c r="L45" s="20"/>
      <c r="M45" s="20">
        <v>349.0</v>
      </c>
      <c r="N45" s="5" t="s">
        <v>67</v>
      </c>
      <c r="O45" s="20" t="b">
        <v>0</v>
      </c>
      <c r="P45" s="20" t="s">
        <v>74</v>
      </c>
      <c r="Q45" s="20" t="s">
        <v>69</v>
      </c>
      <c r="R45" s="20" t="s">
        <v>5824</v>
      </c>
      <c r="S45" s="4"/>
      <c r="T45" s="4"/>
      <c r="U45" s="7"/>
      <c r="V45" s="4"/>
      <c r="W45" s="4"/>
      <c r="X45" s="4"/>
      <c r="Y45" s="4"/>
      <c r="Z45" s="4"/>
      <c r="AA45" s="5"/>
      <c r="AB45" s="5"/>
      <c r="AC45" s="5"/>
      <c r="AD45" s="5"/>
      <c r="AE45" s="5"/>
    </row>
    <row r="46">
      <c r="A46" s="1" t="s">
        <v>10462</v>
      </c>
      <c r="B46" s="19">
        <v>44444.95416666667</v>
      </c>
      <c r="C46" s="20">
        <v>50054.0</v>
      </c>
      <c r="D46" s="20" t="s">
        <v>5835</v>
      </c>
      <c r="E46" s="20">
        <v>9.18375983569E11</v>
      </c>
      <c r="F46" s="21">
        <v>17850.0</v>
      </c>
      <c r="G46" s="20"/>
      <c r="H46" s="20" t="s">
        <v>5822</v>
      </c>
      <c r="I46" s="20"/>
      <c r="J46" s="20">
        <v>1.0</v>
      </c>
      <c r="K46" s="20">
        <v>99.0</v>
      </c>
      <c r="L46" s="20"/>
      <c r="M46" s="20">
        <v>99.0</v>
      </c>
      <c r="N46" s="5" t="s">
        <v>67</v>
      </c>
      <c r="O46" s="20" t="b">
        <v>0</v>
      </c>
      <c r="P46" s="20" t="s">
        <v>74</v>
      </c>
      <c r="Q46" s="20" t="s">
        <v>69</v>
      </c>
      <c r="R46" s="20" t="s">
        <v>5824</v>
      </c>
      <c r="S46" s="4"/>
      <c r="T46" s="4"/>
      <c r="U46" s="7"/>
      <c r="V46" s="4"/>
      <c r="W46" s="4"/>
      <c r="X46" s="4"/>
      <c r="Y46" s="4"/>
      <c r="Z46" s="4"/>
      <c r="AA46" s="5"/>
      <c r="AB46" s="5"/>
      <c r="AC46" s="5"/>
      <c r="AD46" s="5"/>
      <c r="AE46" s="5"/>
    </row>
    <row r="47">
      <c r="A47" s="15" t="s">
        <v>7333</v>
      </c>
      <c r="B47" s="19">
        <v>44322.506944444445</v>
      </c>
      <c r="C47" s="20">
        <v>50054.0</v>
      </c>
      <c r="D47" s="20" t="s">
        <v>5835</v>
      </c>
      <c r="E47" s="5">
        <v>9.18375983569E11</v>
      </c>
      <c r="F47" s="21">
        <v>17850.0</v>
      </c>
      <c r="G47" s="20"/>
      <c r="H47" s="20" t="s">
        <v>5822</v>
      </c>
      <c r="I47" s="5"/>
      <c r="J47" s="20">
        <v>1.0</v>
      </c>
      <c r="K47" s="20">
        <v>99.0</v>
      </c>
      <c r="L47" s="20"/>
      <c r="M47" s="20">
        <v>99.0</v>
      </c>
      <c r="N47" s="5" t="s">
        <v>67</v>
      </c>
      <c r="O47" s="20" t="b">
        <v>0</v>
      </c>
      <c r="P47" s="20" t="s">
        <v>74</v>
      </c>
      <c r="Q47" s="20" t="s">
        <v>69</v>
      </c>
      <c r="R47" s="20" t="s">
        <v>5824</v>
      </c>
      <c r="S47" s="4"/>
      <c r="T47" s="4"/>
      <c r="U47" s="7"/>
      <c r="V47" s="4"/>
      <c r="W47" s="4"/>
      <c r="X47" s="4"/>
      <c r="Y47" s="4"/>
      <c r="Z47" s="4"/>
      <c r="AA47" s="5"/>
      <c r="AB47" s="5"/>
      <c r="AC47" s="5"/>
      <c r="AD47" s="5"/>
      <c r="AE47" s="5"/>
    </row>
    <row r="48">
      <c r="A48" s="15" t="s">
        <v>7191</v>
      </c>
      <c r="B48" s="19">
        <v>44444.004166666666</v>
      </c>
      <c r="C48" s="20">
        <v>50031.0</v>
      </c>
      <c r="D48" s="20" t="s">
        <v>4578</v>
      </c>
      <c r="E48" s="20">
        <v>9.19036333975E11</v>
      </c>
      <c r="F48" s="21">
        <v>17768.0</v>
      </c>
      <c r="G48" s="20"/>
      <c r="H48" s="20" t="s">
        <v>4561</v>
      </c>
      <c r="I48" s="20"/>
      <c r="J48" s="20">
        <v>1.0</v>
      </c>
      <c r="K48" s="20">
        <v>99.0</v>
      </c>
      <c r="L48" s="20"/>
      <c r="M48" s="20">
        <v>99.0</v>
      </c>
      <c r="N48" s="5" t="s">
        <v>67</v>
      </c>
      <c r="O48" s="20" t="b">
        <v>0</v>
      </c>
      <c r="P48" s="20" t="s">
        <v>68</v>
      </c>
      <c r="Q48" s="20" t="s">
        <v>69</v>
      </c>
      <c r="R48" s="20" t="s">
        <v>4563</v>
      </c>
      <c r="S48" s="4"/>
      <c r="T48" s="4"/>
      <c r="U48" s="7"/>
      <c r="V48" s="4"/>
      <c r="W48" s="4"/>
      <c r="X48" s="4"/>
      <c r="Y48" s="4"/>
      <c r="Z48" s="4"/>
      <c r="AA48" s="5"/>
      <c r="AB48" s="5"/>
      <c r="AC48" s="5"/>
      <c r="AD48" s="5"/>
      <c r="AE48" s="5"/>
    </row>
    <row r="49">
      <c r="A49" s="1" t="s">
        <v>10426</v>
      </c>
      <c r="B49" s="19">
        <v>44292.32847222222</v>
      </c>
      <c r="C49" s="20">
        <v>50031.0</v>
      </c>
      <c r="D49" s="20" t="s">
        <v>4578</v>
      </c>
      <c r="E49" s="5">
        <v>9.19036333975E11</v>
      </c>
      <c r="F49" s="21">
        <v>17768.0</v>
      </c>
      <c r="G49" s="20"/>
      <c r="H49" s="20" t="s">
        <v>4561</v>
      </c>
      <c r="I49" s="5"/>
      <c r="J49" s="20">
        <v>1.0</v>
      </c>
      <c r="K49" s="20">
        <v>599.0</v>
      </c>
      <c r="L49" s="20"/>
      <c r="M49" s="20">
        <v>599.0</v>
      </c>
      <c r="N49" s="5" t="s">
        <v>67</v>
      </c>
      <c r="O49" s="20" t="b">
        <v>0</v>
      </c>
      <c r="P49" s="20" t="s">
        <v>68</v>
      </c>
      <c r="Q49" s="20" t="s">
        <v>69</v>
      </c>
      <c r="R49" s="20" t="s">
        <v>4563</v>
      </c>
      <c r="S49" s="4"/>
      <c r="T49" s="4"/>
      <c r="U49" s="7"/>
      <c r="V49" s="4"/>
      <c r="W49" s="4"/>
      <c r="X49" s="4"/>
      <c r="Y49" s="4"/>
      <c r="Z49" s="4"/>
      <c r="AA49" s="5"/>
      <c r="AB49" s="5"/>
      <c r="AC49" s="5"/>
      <c r="AD49" s="5"/>
      <c r="AE49" s="5"/>
    </row>
    <row r="50">
      <c r="A50" s="15" t="s">
        <v>7206</v>
      </c>
      <c r="B50" s="19">
        <v>44444.15138888889</v>
      </c>
      <c r="C50" s="20">
        <v>50044.0</v>
      </c>
      <c r="D50" s="20" t="s">
        <v>6323</v>
      </c>
      <c r="E50" s="20">
        <v>9.1982039501E11</v>
      </c>
      <c r="F50" s="21">
        <v>17773.0</v>
      </c>
      <c r="G50" s="20"/>
      <c r="H50" s="20" t="s">
        <v>6320</v>
      </c>
      <c r="I50" s="20"/>
      <c r="J50" s="20">
        <v>1.0</v>
      </c>
      <c r="K50" s="20">
        <v>349.0</v>
      </c>
      <c r="L50" s="20"/>
      <c r="M50" s="20">
        <v>349.0</v>
      </c>
      <c r="N50" s="5" t="s">
        <v>67</v>
      </c>
      <c r="O50" s="20" t="b">
        <v>0</v>
      </c>
      <c r="P50" s="20" t="s">
        <v>68</v>
      </c>
      <c r="Q50" s="20" t="s">
        <v>69</v>
      </c>
      <c r="R50" s="20" t="s">
        <v>6322</v>
      </c>
      <c r="S50" s="4"/>
      <c r="T50" s="4"/>
      <c r="U50" s="7"/>
      <c r="V50" s="4"/>
      <c r="W50" s="4"/>
      <c r="X50" s="4"/>
      <c r="Y50" s="4"/>
      <c r="Z50" s="4"/>
      <c r="AA50" s="5"/>
      <c r="AB50" s="5"/>
      <c r="AC50" s="5"/>
      <c r="AD50" s="5"/>
      <c r="AE50" s="5"/>
    </row>
    <row r="51">
      <c r="A51" s="1" t="s">
        <v>10454</v>
      </c>
      <c r="B51" s="19">
        <v>44292.865277777775</v>
      </c>
      <c r="C51" s="20">
        <v>50044.0</v>
      </c>
      <c r="D51" s="20" t="s">
        <v>6323</v>
      </c>
      <c r="E51" s="5">
        <v>9.1982039501E11</v>
      </c>
      <c r="F51" s="21">
        <v>17773.0</v>
      </c>
      <c r="G51" s="20"/>
      <c r="H51" s="20" t="s">
        <v>6320</v>
      </c>
      <c r="I51" s="5"/>
      <c r="J51" s="20">
        <v>6.0</v>
      </c>
      <c r="K51" s="20">
        <v>999.0</v>
      </c>
      <c r="L51" s="20"/>
      <c r="M51" s="20">
        <v>999.0</v>
      </c>
      <c r="N51" s="5" t="s">
        <v>67</v>
      </c>
      <c r="O51" s="20" t="b">
        <v>0</v>
      </c>
      <c r="P51" s="20" t="s">
        <v>68</v>
      </c>
      <c r="Q51" s="20" t="s">
        <v>69</v>
      </c>
      <c r="R51" s="20" t="s">
        <v>6322</v>
      </c>
      <c r="S51" s="4"/>
      <c r="T51" s="4"/>
      <c r="U51" s="7"/>
      <c r="V51" s="4"/>
      <c r="W51" s="4"/>
      <c r="X51" s="4"/>
      <c r="Y51" s="4"/>
      <c r="Z51" s="4"/>
      <c r="AA51" s="5"/>
      <c r="AB51" s="5"/>
      <c r="AC51" s="5"/>
      <c r="AD51" s="5"/>
      <c r="AE51" s="5"/>
    </row>
    <row r="52">
      <c r="A52" s="15" t="s">
        <v>7220</v>
      </c>
      <c r="B52" s="19">
        <v>44444.325</v>
      </c>
      <c r="C52" s="20">
        <v>49998.0</v>
      </c>
      <c r="D52" s="20" t="s">
        <v>6254</v>
      </c>
      <c r="E52" s="20">
        <v>9.18669123501E11</v>
      </c>
      <c r="F52" s="21">
        <v>17780.0</v>
      </c>
      <c r="G52" s="20"/>
      <c r="H52" s="20" t="s">
        <v>6250</v>
      </c>
      <c r="I52" s="20"/>
      <c r="J52" s="20">
        <v>1.0</v>
      </c>
      <c r="K52" s="20">
        <v>99.0</v>
      </c>
      <c r="L52" s="20"/>
      <c r="M52" s="20">
        <v>99.0</v>
      </c>
      <c r="N52" s="5" t="s">
        <v>67</v>
      </c>
      <c r="O52" s="20" t="b">
        <v>0</v>
      </c>
      <c r="P52" s="20" t="s">
        <v>68</v>
      </c>
      <c r="Q52" s="20" t="s">
        <v>69</v>
      </c>
      <c r="R52" s="20" t="s">
        <v>6252</v>
      </c>
      <c r="S52" s="4"/>
      <c r="T52" s="4"/>
      <c r="U52" s="7"/>
      <c r="V52" s="4"/>
      <c r="W52" s="4"/>
      <c r="X52" s="4"/>
      <c r="Y52" s="4"/>
      <c r="Z52" s="4"/>
      <c r="AA52" s="5"/>
      <c r="AB52" s="5"/>
      <c r="AC52" s="5"/>
      <c r="AD52" s="5"/>
      <c r="AE52" s="5"/>
    </row>
    <row r="53">
      <c r="A53" s="1" t="s">
        <v>10465</v>
      </c>
      <c r="B53" s="19">
        <v>44322.60972222222</v>
      </c>
      <c r="C53" s="20">
        <v>49998.0</v>
      </c>
      <c r="D53" s="20" t="s">
        <v>6254</v>
      </c>
      <c r="E53" s="5">
        <v>9.18669123501E11</v>
      </c>
      <c r="F53" s="21">
        <v>17780.0</v>
      </c>
      <c r="G53" s="20"/>
      <c r="H53" s="20" t="s">
        <v>6250</v>
      </c>
      <c r="I53" s="5"/>
      <c r="J53" s="20">
        <v>3.0</v>
      </c>
      <c r="K53" s="20">
        <v>199.0</v>
      </c>
      <c r="L53" s="20"/>
      <c r="M53" s="20">
        <v>199.0</v>
      </c>
      <c r="N53" s="5" t="s">
        <v>67</v>
      </c>
      <c r="O53" s="20" t="b">
        <v>0</v>
      </c>
      <c r="P53" s="20" t="s">
        <v>68</v>
      </c>
      <c r="Q53" s="20" t="s">
        <v>69</v>
      </c>
      <c r="R53" s="20" t="s">
        <v>6252</v>
      </c>
      <c r="S53" s="4"/>
      <c r="T53" s="4"/>
      <c r="U53" s="7"/>
      <c r="V53" s="4"/>
      <c r="W53" s="4"/>
      <c r="X53" s="4"/>
      <c r="Y53" s="4"/>
      <c r="Z53" s="4"/>
      <c r="AA53" s="5"/>
      <c r="AB53" s="5"/>
      <c r="AC53" s="5"/>
      <c r="AD53" s="5"/>
      <c r="AE53" s="5"/>
    </row>
    <row r="54">
      <c r="A54" s="1" t="s">
        <v>9029</v>
      </c>
      <c r="B54" s="19" t="s">
        <v>4370</v>
      </c>
      <c r="C54" s="20">
        <v>50039.0</v>
      </c>
      <c r="D54" s="20" t="s">
        <v>4369</v>
      </c>
      <c r="E54" s="20">
        <v>9.1989982429E11</v>
      </c>
      <c r="F54" s="22" t="s">
        <v>12593</v>
      </c>
      <c r="G54" s="20"/>
      <c r="H54" s="20" t="s">
        <v>4341</v>
      </c>
      <c r="I54" s="20"/>
      <c r="J54" s="20">
        <v>1.0</v>
      </c>
      <c r="K54" s="20">
        <v>99.0</v>
      </c>
      <c r="L54" s="20"/>
      <c r="M54" s="20">
        <v>99.0</v>
      </c>
      <c r="N54" s="5" t="s">
        <v>67</v>
      </c>
      <c r="O54" s="20" t="b">
        <v>0</v>
      </c>
      <c r="P54" s="20" t="s">
        <v>68</v>
      </c>
      <c r="Q54" s="20" t="s">
        <v>69</v>
      </c>
      <c r="R54" s="20" t="s">
        <v>4343</v>
      </c>
      <c r="S54" s="4"/>
      <c r="T54" s="4"/>
      <c r="U54" s="7"/>
      <c r="V54" s="4"/>
      <c r="W54" s="4"/>
      <c r="X54" s="4"/>
      <c r="Y54" s="4"/>
      <c r="Z54" s="4"/>
      <c r="AA54" s="5"/>
      <c r="AB54" s="5"/>
      <c r="AC54" s="5"/>
      <c r="AD54" s="5"/>
      <c r="AE54" s="5"/>
    </row>
    <row r="55">
      <c r="A55" s="15" t="s">
        <v>7397</v>
      </c>
      <c r="B55" s="19">
        <v>44474.50069444445</v>
      </c>
      <c r="C55" s="20">
        <v>50054.0</v>
      </c>
      <c r="D55" s="20" t="s">
        <v>4369</v>
      </c>
      <c r="E55" s="20">
        <v>9.1989982429E11</v>
      </c>
      <c r="F55" s="22" t="s">
        <v>12593</v>
      </c>
      <c r="G55" s="20"/>
      <c r="H55" s="20" t="s">
        <v>5822</v>
      </c>
      <c r="I55" s="20"/>
      <c r="J55" s="20">
        <v>1.0</v>
      </c>
      <c r="K55" s="20">
        <v>99.0</v>
      </c>
      <c r="L55" s="20"/>
      <c r="M55" s="20">
        <v>99.0</v>
      </c>
      <c r="N55" s="5" t="s">
        <v>67</v>
      </c>
      <c r="O55" s="20" t="b">
        <v>0</v>
      </c>
      <c r="P55" s="20" t="s">
        <v>68</v>
      </c>
      <c r="Q55" s="20" t="s">
        <v>69</v>
      </c>
      <c r="R55" s="20" t="s">
        <v>5824</v>
      </c>
      <c r="S55" s="4"/>
      <c r="T55" s="4"/>
      <c r="U55" s="7"/>
      <c r="V55" s="4"/>
      <c r="W55" s="4"/>
      <c r="X55" s="4"/>
      <c r="Y55" s="4"/>
      <c r="Z55" s="4"/>
      <c r="AA55" s="5"/>
      <c r="AB55" s="5"/>
      <c r="AC55" s="5"/>
      <c r="AD55" s="5"/>
      <c r="AE55" s="5"/>
    </row>
    <row r="56">
      <c r="A56" s="15" t="s">
        <v>7427</v>
      </c>
      <c r="B56" s="19">
        <v>44474.64722222222</v>
      </c>
      <c r="C56" s="20">
        <v>50046.0</v>
      </c>
      <c r="D56" s="20" t="s">
        <v>6222</v>
      </c>
      <c r="E56" s="20">
        <v>9.19449692235E11</v>
      </c>
      <c r="F56" s="21">
        <v>16820.0</v>
      </c>
      <c r="G56" s="20"/>
      <c r="H56" s="20" t="s">
        <v>6217</v>
      </c>
      <c r="I56" s="20"/>
      <c r="J56" s="20">
        <v>1.0</v>
      </c>
      <c r="K56" s="20">
        <v>99.0</v>
      </c>
      <c r="L56" s="20"/>
      <c r="M56" s="20">
        <v>99.0</v>
      </c>
      <c r="N56" s="5" t="s">
        <v>67</v>
      </c>
      <c r="O56" s="20" t="b">
        <v>0</v>
      </c>
      <c r="P56" s="20" t="s">
        <v>68</v>
      </c>
      <c r="Q56" s="20" t="s">
        <v>69</v>
      </c>
      <c r="R56" s="20" t="s">
        <v>6219</v>
      </c>
      <c r="S56" s="4"/>
      <c r="T56" s="4"/>
      <c r="U56" s="7"/>
      <c r="V56" s="4"/>
      <c r="W56" s="4"/>
      <c r="X56" s="4"/>
      <c r="Y56" s="4"/>
      <c r="Z56" s="4"/>
      <c r="AA56" s="5"/>
      <c r="AB56" s="5"/>
      <c r="AC56" s="5"/>
      <c r="AD56" s="5"/>
      <c r="AE56" s="5"/>
    </row>
    <row r="57">
      <c r="A57" s="1" t="s">
        <v>10758</v>
      </c>
      <c r="B57" s="19">
        <v>44414.53194444445</v>
      </c>
      <c r="C57" s="20">
        <v>50046.0</v>
      </c>
      <c r="D57" s="20" t="s">
        <v>6222</v>
      </c>
      <c r="E57" s="5">
        <v>9.19449692235E11</v>
      </c>
      <c r="F57" s="21">
        <v>16820.0</v>
      </c>
      <c r="G57" s="20"/>
      <c r="H57" s="20" t="s">
        <v>6217</v>
      </c>
      <c r="I57" s="5"/>
      <c r="J57" s="20">
        <v>3.0</v>
      </c>
      <c r="K57" s="20">
        <v>199.0</v>
      </c>
      <c r="L57" s="20"/>
      <c r="M57" s="20">
        <v>199.0</v>
      </c>
      <c r="N57" s="5" t="s">
        <v>67</v>
      </c>
      <c r="O57" s="20" t="b">
        <v>0</v>
      </c>
      <c r="P57" s="20" t="s">
        <v>68</v>
      </c>
      <c r="Q57" s="20" t="s">
        <v>69</v>
      </c>
      <c r="R57" s="20" t="s">
        <v>6219</v>
      </c>
      <c r="S57" s="4"/>
      <c r="T57" s="4"/>
      <c r="U57" s="7"/>
      <c r="V57" s="4"/>
      <c r="W57" s="4"/>
      <c r="X57" s="4"/>
      <c r="Y57" s="4"/>
      <c r="Z57" s="4"/>
      <c r="AA57" s="5"/>
      <c r="AB57" s="5"/>
      <c r="AC57" s="5"/>
      <c r="AD57" s="5"/>
      <c r="AE57" s="5"/>
    </row>
    <row r="58">
      <c r="A58" s="15" t="s">
        <v>7451</v>
      </c>
      <c r="B58" s="19">
        <v>44474.70138888889</v>
      </c>
      <c r="C58" s="20">
        <v>49813.0</v>
      </c>
      <c r="D58" s="20" t="s">
        <v>5125</v>
      </c>
      <c r="E58" s="20">
        <v>9.19619857736E11</v>
      </c>
      <c r="F58" s="21">
        <v>17903.0</v>
      </c>
      <c r="G58" s="20"/>
      <c r="H58" s="20" t="s">
        <v>5114</v>
      </c>
      <c r="I58" s="20"/>
      <c r="J58" s="20">
        <v>1.0</v>
      </c>
      <c r="K58" s="20">
        <v>299.0</v>
      </c>
      <c r="L58" s="20"/>
      <c r="M58" s="20">
        <v>299.0</v>
      </c>
      <c r="N58" s="5" t="s">
        <v>67</v>
      </c>
      <c r="O58" s="20" t="b">
        <v>0</v>
      </c>
      <c r="P58" s="20" t="s">
        <v>74</v>
      </c>
      <c r="Q58" s="20" t="s">
        <v>69</v>
      </c>
      <c r="R58" s="20" t="s">
        <v>5116</v>
      </c>
      <c r="S58" s="4"/>
      <c r="T58" s="4"/>
      <c r="U58" s="7"/>
      <c r="V58" s="4"/>
      <c r="W58" s="4"/>
      <c r="X58" s="4"/>
      <c r="Y58" s="4"/>
      <c r="Z58" s="4"/>
      <c r="AA58" s="5"/>
      <c r="AB58" s="5"/>
      <c r="AC58" s="5"/>
      <c r="AD58" s="5"/>
      <c r="AE58" s="5"/>
    </row>
    <row r="59">
      <c r="A59" s="1" t="s">
        <v>10895</v>
      </c>
      <c r="B59" s="19">
        <v>44445.521527777775</v>
      </c>
      <c r="C59" s="20">
        <v>49813.0</v>
      </c>
      <c r="D59" s="20" t="s">
        <v>5125</v>
      </c>
      <c r="E59" s="5">
        <v>9.19619857736E11</v>
      </c>
      <c r="F59" s="21">
        <v>17903.0</v>
      </c>
      <c r="G59" s="20"/>
      <c r="H59" s="20" t="s">
        <v>5114</v>
      </c>
      <c r="I59" s="5"/>
      <c r="J59" s="20">
        <v>3.0</v>
      </c>
      <c r="K59" s="20">
        <v>499.0</v>
      </c>
      <c r="L59" s="20"/>
      <c r="M59" s="20">
        <v>499.0</v>
      </c>
      <c r="N59" s="5" t="s">
        <v>67</v>
      </c>
      <c r="O59" s="20" t="b">
        <v>0</v>
      </c>
      <c r="P59" s="20" t="s">
        <v>74</v>
      </c>
      <c r="Q59" s="20" t="s">
        <v>69</v>
      </c>
      <c r="R59" s="20" t="s">
        <v>5116</v>
      </c>
      <c r="S59" s="4"/>
      <c r="T59" s="4"/>
      <c r="U59" s="7"/>
      <c r="V59" s="4"/>
      <c r="W59" s="4"/>
      <c r="X59" s="4"/>
      <c r="Y59" s="4"/>
      <c r="Z59" s="4"/>
      <c r="AA59" s="5"/>
      <c r="AB59" s="5"/>
      <c r="AC59" s="5"/>
      <c r="AD59" s="5"/>
      <c r="AE59" s="5"/>
    </row>
    <row r="60">
      <c r="A60" s="15" t="s">
        <v>7457</v>
      </c>
      <c r="B60" s="19">
        <v>44474.71597222222</v>
      </c>
      <c r="C60" s="20">
        <v>50073.0</v>
      </c>
      <c r="D60" s="20" t="s">
        <v>6494</v>
      </c>
      <c r="E60" s="20">
        <v>9.19560575373E11</v>
      </c>
      <c r="F60" s="21">
        <v>19615.0</v>
      </c>
      <c r="G60" s="20"/>
      <c r="H60" s="20" t="s">
        <v>6466</v>
      </c>
      <c r="I60" s="20"/>
      <c r="J60" s="20">
        <v>1.0</v>
      </c>
      <c r="K60" s="20">
        <v>599.0</v>
      </c>
      <c r="L60" s="20"/>
      <c r="M60" s="20">
        <v>599.0</v>
      </c>
      <c r="N60" s="5" t="s">
        <v>67</v>
      </c>
      <c r="O60" s="20" t="b">
        <v>0</v>
      </c>
      <c r="P60" s="20" t="s">
        <v>74</v>
      </c>
      <c r="Q60" s="20" t="s">
        <v>69</v>
      </c>
      <c r="R60" s="20"/>
      <c r="S60" s="4"/>
      <c r="T60" s="4"/>
      <c r="U60" s="7"/>
      <c r="V60" s="4"/>
      <c r="W60" s="4"/>
      <c r="X60" s="4"/>
      <c r="Y60" s="4"/>
      <c r="Z60" s="4"/>
      <c r="AA60" s="5"/>
      <c r="AB60" s="5"/>
      <c r="AC60" s="5"/>
      <c r="AD60" s="5"/>
      <c r="AE60" s="5"/>
    </row>
    <row r="61">
      <c r="A61" s="1" t="s">
        <v>12263</v>
      </c>
      <c r="B61" s="19" t="s">
        <v>6585</v>
      </c>
      <c r="C61" s="20">
        <v>50073.0</v>
      </c>
      <c r="D61" s="20" t="s">
        <v>6494</v>
      </c>
      <c r="E61" s="5">
        <v>9.19560575373E11</v>
      </c>
      <c r="F61" s="21">
        <v>19615.0</v>
      </c>
      <c r="G61" s="20"/>
      <c r="H61" s="20" t="s">
        <v>2161</v>
      </c>
      <c r="I61" s="5"/>
      <c r="J61" s="20">
        <v>3.0</v>
      </c>
      <c r="K61" s="20">
        <v>2199.0</v>
      </c>
      <c r="L61" s="20"/>
      <c r="M61" s="20">
        <v>2199.0</v>
      </c>
      <c r="N61" s="5" t="s">
        <v>67</v>
      </c>
      <c r="O61" s="20" t="b">
        <v>0</v>
      </c>
      <c r="P61" s="20" t="s">
        <v>74</v>
      </c>
      <c r="Q61" s="20" t="s">
        <v>69</v>
      </c>
      <c r="R61" s="20" t="s">
        <v>6563</v>
      </c>
      <c r="S61" s="4"/>
      <c r="T61" s="4"/>
      <c r="U61" s="7"/>
      <c r="V61" s="4"/>
      <c r="W61" s="4"/>
      <c r="X61" s="4"/>
      <c r="Y61" s="4"/>
      <c r="Z61" s="4"/>
      <c r="AA61" s="5"/>
      <c r="AB61" s="5"/>
      <c r="AC61" s="5"/>
      <c r="AD61" s="5"/>
      <c r="AE61" s="5"/>
    </row>
    <row r="62">
      <c r="A62" s="15" t="s">
        <v>7472</v>
      </c>
      <c r="B62" s="19">
        <v>44474.813888888886</v>
      </c>
      <c r="C62" s="20">
        <v>50066.0</v>
      </c>
      <c r="D62" s="20" t="s">
        <v>2916</v>
      </c>
      <c r="E62" s="20">
        <v>9.19592142724E11</v>
      </c>
      <c r="F62" s="21">
        <v>17922.0</v>
      </c>
      <c r="G62" s="20"/>
      <c r="H62" s="20" t="s">
        <v>2911</v>
      </c>
      <c r="I62" s="20"/>
      <c r="J62" s="20">
        <v>1.0</v>
      </c>
      <c r="K62" s="20">
        <v>199.0</v>
      </c>
      <c r="L62" s="20"/>
      <c r="M62" s="20">
        <v>199.0</v>
      </c>
      <c r="N62" s="5" t="s">
        <v>67</v>
      </c>
      <c r="O62" s="20" t="b">
        <v>0</v>
      </c>
      <c r="P62" s="20" t="s">
        <v>68</v>
      </c>
      <c r="Q62" s="20" t="s">
        <v>69</v>
      </c>
      <c r="R62" s="20" t="s">
        <v>2913</v>
      </c>
      <c r="S62" s="4"/>
      <c r="T62" s="4"/>
      <c r="U62" s="7"/>
      <c r="V62" s="4"/>
      <c r="W62" s="4"/>
      <c r="X62" s="4"/>
      <c r="Y62" s="4"/>
      <c r="Z62" s="4"/>
      <c r="AA62" s="5"/>
      <c r="AB62" s="5"/>
      <c r="AC62" s="5"/>
      <c r="AD62" s="5"/>
      <c r="AE62" s="5"/>
    </row>
    <row r="63">
      <c r="A63" s="1" t="s">
        <v>9909</v>
      </c>
      <c r="B63" s="19" t="s">
        <v>3002</v>
      </c>
      <c r="C63" s="20">
        <v>50066.0</v>
      </c>
      <c r="D63" s="20" t="s">
        <v>2916</v>
      </c>
      <c r="E63" s="5">
        <v>9.19592142724E11</v>
      </c>
      <c r="F63" s="21">
        <v>17922.0</v>
      </c>
      <c r="G63" s="20"/>
      <c r="H63" s="20" t="s">
        <v>2911</v>
      </c>
      <c r="I63" s="5"/>
      <c r="J63" s="20">
        <v>6.0</v>
      </c>
      <c r="K63" s="20">
        <v>2359.0</v>
      </c>
      <c r="L63" s="20"/>
      <c r="M63" s="20">
        <v>2359.0</v>
      </c>
      <c r="N63" s="5" t="s">
        <v>67</v>
      </c>
      <c r="O63" s="20" t="b">
        <v>0</v>
      </c>
      <c r="P63" s="20" t="s">
        <v>68</v>
      </c>
      <c r="Q63" s="20" t="s">
        <v>69</v>
      </c>
      <c r="R63" s="20" t="s">
        <v>2913</v>
      </c>
      <c r="S63" s="4"/>
      <c r="T63" s="4"/>
      <c r="U63" s="7"/>
      <c r="V63" s="4"/>
      <c r="W63" s="4"/>
      <c r="X63" s="4"/>
      <c r="Y63" s="4"/>
      <c r="Z63" s="4"/>
      <c r="AA63" s="5"/>
      <c r="AB63" s="5"/>
      <c r="AC63" s="5"/>
      <c r="AD63" s="5"/>
      <c r="AE63" s="5"/>
    </row>
    <row r="64">
      <c r="A64" s="1" t="s">
        <v>7498</v>
      </c>
      <c r="B64" s="19">
        <v>44474.84166666667</v>
      </c>
      <c r="C64" s="20">
        <v>49998.0</v>
      </c>
      <c r="D64" s="20" t="s">
        <v>6255</v>
      </c>
      <c r="E64" s="20">
        <v>9.17489431071E11</v>
      </c>
      <c r="F64" s="21">
        <v>17981.0</v>
      </c>
      <c r="G64" s="20"/>
      <c r="H64" s="20" t="s">
        <v>6250</v>
      </c>
      <c r="I64" s="20"/>
      <c r="J64" s="20">
        <v>3.0</v>
      </c>
      <c r="K64" s="20">
        <v>199.0</v>
      </c>
      <c r="L64" s="20"/>
      <c r="M64" s="20">
        <v>199.0</v>
      </c>
      <c r="N64" s="5" t="s">
        <v>67</v>
      </c>
      <c r="O64" s="20" t="b">
        <v>0</v>
      </c>
      <c r="P64" s="20" t="s">
        <v>68</v>
      </c>
      <c r="Q64" s="20" t="s">
        <v>69</v>
      </c>
      <c r="R64" s="20" t="s">
        <v>6252</v>
      </c>
      <c r="S64" s="4"/>
      <c r="T64" s="4"/>
      <c r="U64" s="7"/>
      <c r="V64" s="4"/>
      <c r="W64" s="4"/>
      <c r="X64" s="4"/>
      <c r="Y64" s="4"/>
      <c r="Z64" s="4"/>
      <c r="AA64" s="5"/>
      <c r="AB64" s="5"/>
      <c r="AC64" s="5"/>
      <c r="AD64" s="5"/>
      <c r="AE64" s="5"/>
    </row>
    <row r="65">
      <c r="A65" s="15" t="s">
        <v>7545</v>
      </c>
      <c r="B65" s="19">
        <v>44505.0375</v>
      </c>
      <c r="C65" s="20">
        <v>50031.0</v>
      </c>
      <c r="D65" s="20" t="s">
        <v>4580</v>
      </c>
      <c r="E65" s="20">
        <v>9.18892009696E11</v>
      </c>
      <c r="F65" s="21">
        <v>17941.0</v>
      </c>
      <c r="G65" s="20"/>
      <c r="H65" s="20" t="s">
        <v>4561</v>
      </c>
      <c r="I65" s="20"/>
      <c r="J65" s="20">
        <v>1.0</v>
      </c>
      <c r="K65" s="20">
        <v>99.0</v>
      </c>
      <c r="L65" s="20"/>
      <c r="M65" s="20">
        <v>99.0</v>
      </c>
      <c r="N65" s="5" t="s">
        <v>67</v>
      </c>
      <c r="O65" s="20" t="b">
        <v>0</v>
      </c>
      <c r="P65" s="20" t="s">
        <v>68</v>
      </c>
      <c r="Q65" s="20" t="s">
        <v>69</v>
      </c>
      <c r="R65" s="20" t="s">
        <v>4563</v>
      </c>
      <c r="S65" s="4"/>
      <c r="T65" s="4"/>
      <c r="U65" s="7"/>
      <c r="V65" s="4"/>
      <c r="W65" s="4"/>
      <c r="X65" s="4"/>
      <c r="Y65" s="4"/>
      <c r="Z65" s="4"/>
      <c r="AA65" s="5"/>
      <c r="AB65" s="5"/>
      <c r="AC65" s="5"/>
      <c r="AD65" s="5"/>
      <c r="AE65" s="5"/>
    </row>
    <row r="66">
      <c r="A66" s="1" t="s">
        <v>11207</v>
      </c>
      <c r="B66" s="19">
        <v>44506.705555555556</v>
      </c>
      <c r="C66" s="20">
        <v>50031.0</v>
      </c>
      <c r="D66" s="20" t="s">
        <v>4580</v>
      </c>
      <c r="E66" s="5">
        <v>9.18892009696E11</v>
      </c>
      <c r="F66" s="21">
        <v>17941.0</v>
      </c>
      <c r="G66" s="20"/>
      <c r="H66" s="20" t="s">
        <v>4561</v>
      </c>
      <c r="I66" s="5"/>
      <c r="J66" s="20">
        <v>1.0</v>
      </c>
      <c r="K66" s="20">
        <v>599.0</v>
      </c>
      <c r="L66" s="20"/>
      <c r="M66" s="20">
        <v>599.0</v>
      </c>
      <c r="N66" s="5" t="s">
        <v>67</v>
      </c>
      <c r="O66" s="20" t="b">
        <v>0</v>
      </c>
      <c r="P66" s="20" t="s">
        <v>68</v>
      </c>
      <c r="Q66" s="20" t="s">
        <v>69</v>
      </c>
      <c r="R66" s="20" t="s">
        <v>4563</v>
      </c>
      <c r="S66" s="4"/>
      <c r="T66" s="4"/>
      <c r="U66" s="7"/>
      <c r="V66" s="4"/>
      <c r="W66" s="4"/>
      <c r="X66" s="4"/>
      <c r="Y66" s="4"/>
      <c r="Z66" s="4"/>
      <c r="AA66" s="5"/>
      <c r="AB66" s="5"/>
      <c r="AC66" s="5"/>
      <c r="AD66" s="5"/>
      <c r="AE66" s="5"/>
    </row>
    <row r="67">
      <c r="A67" s="15" t="s">
        <v>7597</v>
      </c>
      <c r="B67" s="19">
        <v>44535.44652777778</v>
      </c>
      <c r="C67" s="20">
        <v>50073.0</v>
      </c>
      <c r="D67" s="20" t="s">
        <v>6503</v>
      </c>
      <c r="E67" s="20">
        <v>9.19915425644E11</v>
      </c>
      <c r="F67" s="21">
        <v>18008.0</v>
      </c>
      <c r="G67" s="20"/>
      <c r="H67" s="20" t="s">
        <v>6466</v>
      </c>
      <c r="I67" s="20"/>
      <c r="J67" s="20">
        <v>1.0</v>
      </c>
      <c r="K67" s="20">
        <v>599.0</v>
      </c>
      <c r="L67" s="20"/>
      <c r="M67" s="20">
        <v>599.0</v>
      </c>
      <c r="N67" s="5" t="s">
        <v>67</v>
      </c>
      <c r="O67" s="20" t="b">
        <v>0</v>
      </c>
      <c r="P67" s="20" t="s">
        <v>68</v>
      </c>
      <c r="Q67" s="20" t="s">
        <v>69</v>
      </c>
      <c r="R67" s="20"/>
      <c r="S67" s="4"/>
      <c r="T67" s="4"/>
      <c r="U67" s="7"/>
      <c r="V67" s="4"/>
      <c r="W67" s="4"/>
      <c r="X67" s="4"/>
      <c r="Y67" s="4"/>
      <c r="Z67" s="4"/>
      <c r="AA67" s="5"/>
      <c r="AB67" s="5"/>
      <c r="AC67" s="5"/>
      <c r="AD67" s="5"/>
      <c r="AE67" s="5"/>
    </row>
    <row r="68">
      <c r="A68" s="1" t="s">
        <v>12075</v>
      </c>
      <c r="B68" s="19" t="s">
        <v>6578</v>
      </c>
      <c r="C68" s="20">
        <v>50073.0</v>
      </c>
      <c r="D68" s="20" t="s">
        <v>6503</v>
      </c>
      <c r="E68" s="5">
        <v>9.19915425644E11</v>
      </c>
      <c r="F68" s="21">
        <v>18008.0</v>
      </c>
      <c r="G68" s="20"/>
      <c r="H68" s="20" t="s">
        <v>2161</v>
      </c>
      <c r="I68" s="5"/>
      <c r="J68" s="20">
        <v>1.0</v>
      </c>
      <c r="K68" s="20">
        <v>799.0</v>
      </c>
      <c r="L68" s="20"/>
      <c r="M68" s="20">
        <v>799.0</v>
      </c>
      <c r="N68" s="5" t="s">
        <v>67</v>
      </c>
      <c r="O68" s="20" t="b">
        <v>0</v>
      </c>
      <c r="P68" s="20" t="s">
        <v>68</v>
      </c>
      <c r="Q68" s="20" t="s">
        <v>69</v>
      </c>
      <c r="R68" s="20" t="s">
        <v>6497</v>
      </c>
      <c r="S68" s="4"/>
      <c r="T68" s="4"/>
      <c r="U68" s="7"/>
      <c r="V68" s="4"/>
      <c r="W68" s="4"/>
      <c r="X68" s="4"/>
      <c r="Y68" s="4"/>
      <c r="Z68" s="4"/>
      <c r="AA68" s="5"/>
      <c r="AB68" s="5"/>
      <c r="AC68" s="5"/>
      <c r="AD68" s="5"/>
      <c r="AE68" s="5"/>
    </row>
    <row r="69">
      <c r="A69" s="15" t="s">
        <v>7558</v>
      </c>
      <c r="B69" s="19">
        <v>44505.42083333333</v>
      </c>
      <c r="C69" s="20">
        <v>49834.0</v>
      </c>
      <c r="D69" s="20" t="s">
        <v>3314</v>
      </c>
      <c r="E69" s="20">
        <v>9.19886346066E11</v>
      </c>
      <c r="F69" s="21">
        <v>17948.0</v>
      </c>
      <c r="G69" s="20"/>
      <c r="H69" s="20" t="s">
        <v>76</v>
      </c>
      <c r="I69" s="20"/>
      <c r="J69" s="20">
        <v>6.0</v>
      </c>
      <c r="K69" s="20">
        <v>349.0</v>
      </c>
      <c r="L69" s="20"/>
      <c r="M69" s="20">
        <v>349.0</v>
      </c>
      <c r="N69" s="5" t="s">
        <v>67</v>
      </c>
      <c r="O69" s="20" t="b">
        <v>0</v>
      </c>
      <c r="P69" s="20" t="s">
        <v>74</v>
      </c>
      <c r="Q69" s="20" t="s">
        <v>69</v>
      </c>
      <c r="R69" s="20" t="s">
        <v>3298</v>
      </c>
      <c r="S69" s="4"/>
      <c r="T69" s="4"/>
      <c r="U69" s="7"/>
      <c r="V69" s="4"/>
      <c r="W69" s="4"/>
      <c r="X69" s="4"/>
      <c r="Y69" s="4"/>
      <c r="Z69" s="4"/>
      <c r="AA69" s="5"/>
      <c r="AB69" s="5"/>
      <c r="AC69" s="5"/>
      <c r="AD69" s="5"/>
      <c r="AE69" s="5"/>
    </row>
    <row r="70">
      <c r="A70" s="1" t="s">
        <v>9514</v>
      </c>
      <c r="B70" s="19" t="s">
        <v>4928</v>
      </c>
      <c r="C70" s="20">
        <v>50113.0</v>
      </c>
      <c r="D70" s="20" t="s">
        <v>3314</v>
      </c>
      <c r="E70" s="5">
        <v>9.19886346066E11</v>
      </c>
      <c r="F70" s="21">
        <v>17948.0</v>
      </c>
      <c r="G70" s="20"/>
      <c r="H70" s="20" t="s">
        <v>4914</v>
      </c>
      <c r="I70" s="20" t="s">
        <v>4919</v>
      </c>
      <c r="J70" s="20">
        <v>1.0</v>
      </c>
      <c r="K70" s="20">
        <v>199.0</v>
      </c>
      <c r="L70" s="20"/>
      <c r="M70" s="20">
        <v>199.0</v>
      </c>
      <c r="N70" s="5" t="s">
        <v>67</v>
      </c>
      <c r="O70" s="20" t="b">
        <v>0</v>
      </c>
      <c r="P70" s="20" t="s">
        <v>74</v>
      </c>
      <c r="Q70" s="20" t="s">
        <v>69</v>
      </c>
      <c r="R70" s="20" t="s">
        <v>4918</v>
      </c>
      <c r="S70" s="4"/>
      <c r="T70" s="4"/>
      <c r="U70" s="7"/>
      <c r="V70" s="4"/>
      <c r="W70" s="4"/>
      <c r="X70" s="4"/>
      <c r="Y70" s="4"/>
      <c r="Z70" s="4"/>
      <c r="AA70" s="5"/>
      <c r="AB70" s="5"/>
      <c r="AC70" s="5"/>
      <c r="AD70" s="5"/>
      <c r="AE70" s="5"/>
    </row>
    <row r="71">
      <c r="A71" s="15" t="s">
        <v>7559</v>
      </c>
      <c r="B71" s="19">
        <v>44505.5</v>
      </c>
      <c r="C71" s="20">
        <v>49834.0</v>
      </c>
      <c r="D71" s="20" t="s">
        <v>3315</v>
      </c>
      <c r="E71" s="20">
        <v>9.19985198322E11</v>
      </c>
      <c r="F71" s="21">
        <v>17949.0</v>
      </c>
      <c r="G71" s="20"/>
      <c r="H71" s="20" t="s">
        <v>76</v>
      </c>
      <c r="I71" s="20"/>
      <c r="J71" s="20">
        <v>6.0</v>
      </c>
      <c r="K71" s="20">
        <v>349.0</v>
      </c>
      <c r="L71" s="20"/>
      <c r="M71" s="20">
        <v>349.0</v>
      </c>
      <c r="N71" s="5" t="s">
        <v>67</v>
      </c>
      <c r="O71" s="20" t="b">
        <v>0</v>
      </c>
      <c r="P71" s="20" t="s">
        <v>68</v>
      </c>
      <c r="Q71" s="20" t="s">
        <v>69</v>
      </c>
      <c r="R71" s="20" t="s">
        <v>3298</v>
      </c>
      <c r="S71" s="4"/>
      <c r="T71" s="4"/>
      <c r="U71" s="7"/>
      <c r="V71" s="4"/>
      <c r="W71" s="4"/>
      <c r="X71" s="4"/>
      <c r="Y71" s="4"/>
      <c r="Z71" s="4"/>
      <c r="AA71" s="5"/>
      <c r="AB71" s="5"/>
      <c r="AC71" s="5"/>
      <c r="AD71" s="5"/>
      <c r="AE71" s="5"/>
    </row>
    <row r="72">
      <c r="A72" s="1" t="s">
        <v>10156</v>
      </c>
      <c r="B72" s="19">
        <v>44233.475</v>
      </c>
      <c r="C72" s="20">
        <v>50113.0</v>
      </c>
      <c r="D72" s="20" t="s">
        <v>3315</v>
      </c>
      <c r="E72" s="5">
        <v>9.19985198322E11</v>
      </c>
      <c r="F72" s="21">
        <v>17949.0</v>
      </c>
      <c r="G72" s="20"/>
      <c r="H72" s="20" t="s">
        <v>4914</v>
      </c>
      <c r="I72" s="20" t="s">
        <v>4931</v>
      </c>
      <c r="J72" s="20">
        <v>1.0</v>
      </c>
      <c r="K72" s="20">
        <v>349.0</v>
      </c>
      <c r="L72" s="20"/>
      <c r="M72" s="20">
        <v>349.0</v>
      </c>
      <c r="N72" s="5" t="s">
        <v>67</v>
      </c>
      <c r="O72" s="20" t="b">
        <v>0</v>
      </c>
      <c r="P72" s="20" t="s">
        <v>68</v>
      </c>
      <c r="Q72" s="20" t="s">
        <v>69</v>
      </c>
      <c r="R72" s="20" t="s">
        <v>4918</v>
      </c>
      <c r="S72" s="4"/>
      <c r="T72" s="4"/>
      <c r="U72" s="7"/>
      <c r="V72" s="4"/>
      <c r="W72" s="4"/>
      <c r="X72" s="4"/>
      <c r="Y72" s="4"/>
      <c r="Z72" s="4"/>
      <c r="AA72" s="5"/>
      <c r="AB72" s="5"/>
      <c r="AC72" s="5"/>
      <c r="AD72" s="5"/>
      <c r="AE72" s="5"/>
    </row>
    <row r="73">
      <c r="A73" s="15" t="s">
        <v>7578</v>
      </c>
      <c r="B73" s="19">
        <v>44505.58194444444</v>
      </c>
      <c r="C73" s="20">
        <v>50029.0</v>
      </c>
      <c r="D73" s="20" t="s">
        <v>2775</v>
      </c>
      <c r="E73" s="20">
        <v>9.1861014705E11</v>
      </c>
      <c r="F73" s="21">
        <v>17956.0</v>
      </c>
      <c r="G73" s="20"/>
      <c r="H73" s="20" t="s">
        <v>2761</v>
      </c>
      <c r="I73" s="20"/>
      <c r="J73" s="20">
        <v>1.0</v>
      </c>
      <c r="K73" s="20">
        <v>99.0</v>
      </c>
      <c r="L73" s="20"/>
      <c r="M73" s="20">
        <v>99.0</v>
      </c>
      <c r="N73" s="5" t="s">
        <v>67</v>
      </c>
      <c r="O73" s="20" t="b">
        <v>0</v>
      </c>
      <c r="P73" s="20" t="s">
        <v>68</v>
      </c>
      <c r="Q73" s="20" t="s">
        <v>69</v>
      </c>
      <c r="R73" s="20" t="s">
        <v>2763</v>
      </c>
      <c r="S73" s="4"/>
      <c r="T73" s="4"/>
      <c r="U73" s="7"/>
      <c r="V73" s="4"/>
      <c r="W73" s="4"/>
      <c r="X73" s="4"/>
      <c r="Y73" s="4"/>
      <c r="Z73" s="4"/>
      <c r="AA73" s="5"/>
      <c r="AB73" s="5"/>
      <c r="AC73" s="5"/>
      <c r="AD73" s="5"/>
      <c r="AE73" s="5"/>
    </row>
    <row r="74">
      <c r="A74" s="1" t="s">
        <v>7654</v>
      </c>
      <c r="B74" s="19" t="s">
        <v>4440</v>
      </c>
      <c r="C74" s="20">
        <v>50052.0</v>
      </c>
      <c r="D74" s="20" t="s">
        <v>2775</v>
      </c>
      <c r="E74" s="20">
        <v>9.1861014705E11</v>
      </c>
      <c r="F74" s="21">
        <v>17956.0</v>
      </c>
      <c r="G74" s="20"/>
      <c r="H74" s="20" t="s">
        <v>4433</v>
      </c>
      <c r="I74" s="20"/>
      <c r="J74" s="20">
        <v>1.0</v>
      </c>
      <c r="K74" s="20">
        <v>99.0</v>
      </c>
      <c r="L74" s="20"/>
      <c r="M74" s="20">
        <v>99.0</v>
      </c>
      <c r="N74" s="5" t="s">
        <v>67</v>
      </c>
      <c r="O74" s="20" t="b">
        <v>0</v>
      </c>
      <c r="P74" s="20" t="s">
        <v>68</v>
      </c>
      <c r="Q74" s="20" t="s">
        <v>69</v>
      </c>
      <c r="R74" s="20" t="s">
        <v>4435</v>
      </c>
      <c r="S74" s="4"/>
      <c r="T74" s="4"/>
      <c r="U74" s="7"/>
      <c r="V74" s="4"/>
      <c r="W74" s="4"/>
      <c r="X74" s="4"/>
      <c r="Y74" s="4"/>
      <c r="Z74" s="4"/>
      <c r="AA74" s="5"/>
      <c r="AB74" s="5"/>
      <c r="AC74" s="5"/>
      <c r="AD74" s="5"/>
      <c r="AE74" s="5"/>
    </row>
    <row r="75">
      <c r="A75" s="1" t="s">
        <v>7609</v>
      </c>
      <c r="B75" s="19">
        <v>44535.79791666667</v>
      </c>
      <c r="C75" s="20">
        <v>50073.0</v>
      </c>
      <c r="D75" s="20" t="s">
        <v>4300</v>
      </c>
      <c r="E75" s="20">
        <v>9.17715861705E11</v>
      </c>
      <c r="F75" s="21">
        <v>17998.0</v>
      </c>
      <c r="G75" s="20"/>
      <c r="H75" s="20" t="s">
        <v>6466</v>
      </c>
      <c r="I75" s="20"/>
      <c r="J75" s="20">
        <v>1.0</v>
      </c>
      <c r="K75" s="20">
        <v>599.0</v>
      </c>
      <c r="L75" s="20"/>
      <c r="M75" s="20">
        <v>599.0</v>
      </c>
      <c r="N75" s="5" t="s">
        <v>67</v>
      </c>
      <c r="O75" s="20" t="b">
        <v>0</v>
      </c>
      <c r="P75" s="20" t="s">
        <v>68</v>
      </c>
      <c r="Q75" s="20" t="s">
        <v>69</v>
      </c>
      <c r="R75" s="20" t="s">
        <v>6497</v>
      </c>
      <c r="S75" s="4"/>
      <c r="T75" s="4"/>
      <c r="U75" s="7"/>
      <c r="V75" s="4"/>
      <c r="W75" s="4"/>
      <c r="X75" s="4"/>
      <c r="Y75" s="4"/>
      <c r="Z75" s="4"/>
      <c r="AA75" s="5"/>
      <c r="AB75" s="5"/>
      <c r="AC75" s="5"/>
      <c r="AD75" s="5"/>
      <c r="AE75" s="5"/>
    </row>
    <row r="76">
      <c r="A76" s="15" t="s">
        <v>7612</v>
      </c>
      <c r="B76" s="19">
        <v>44535.839583333334</v>
      </c>
      <c r="C76" s="20">
        <v>50073.0</v>
      </c>
      <c r="D76" s="20" t="s">
        <v>6499</v>
      </c>
      <c r="E76" s="20">
        <v>9.18790446089E11</v>
      </c>
      <c r="F76" s="21">
        <v>18000.0</v>
      </c>
      <c r="G76" s="20"/>
      <c r="H76" s="20" t="s">
        <v>6466</v>
      </c>
      <c r="I76" s="20"/>
      <c r="J76" s="20">
        <v>1.0</v>
      </c>
      <c r="K76" s="20">
        <v>599.0</v>
      </c>
      <c r="L76" s="20"/>
      <c r="M76" s="20">
        <v>599.0</v>
      </c>
      <c r="N76" s="5" t="s">
        <v>67</v>
      </c>
      <c r="O76" s="20" t="b">
        <v>0</v>
      </c>
      <c r="P76" s="20" t="s">
        <v>68</v>
      </c>
      <c r="Q76" s="20" t="s">
        <v>69</v>
      </c>
      <c r="R76" s="20" t="s">
        <v>6497</v>
      </c>
      <c r="S76" s="4"/>
      <c r="T76" s="4"/>
      <c r="U76" s="7"/>
      <c r="V76" s="4"/>
      <c r="W76" s="4"/>
      <c r="X76" s="4"/>
      <c r="Y76" s="4"/>
      <c r="Z76" s="4"/>
      <c r="AA76" s="5"/>
      <c r="AB76" s="5"/>
      <c r="AC76" s="5"/>
      <c r="AD76" s="5"/>
      <c r="AE76" s="5"/>
    </row>
    <row r="77">
      <c r="A77" s="1" t="s">
        <v>10667</v>
      </c>
      <c r="B77" s="19">
        <v>44383.788194444445</v>
      </c>
      <c r="C77" s="20">
        <v>50073.0</v>
      </c>
      <c r="D77" s="20" t="s">
        <v>6499</v>
      </c>
      <c r="E77" s="5">
        <v>9.18790446089E11</v>
      </c>
      <c r="F77" s="21">
        <v>18000.0</v>
      </c>
      <c r="G77" s="20"/>
      <c r="H77" s="20" t="s">
        <v>2161</v>
      </c>
      <c r="I77" s="5"/>
      <c r="J77" s="20">
        <v>3.0</v>
      </c>
      <c r="K77" s="20">
        <v>1499.0</v>
      </c>
      <c r="L77" s="20"/>
      <c r="M77" s="20">
        <v>1499.0</v>
      </c>
      <c r="N77" s="5" t="s">
        <v>67</v>
      </c>
      <c r="O77" s="20" t="b">
        <v>0</v>
      </c>
      <c r="P77" s="20" t="s">
        <v>68</v>
      </c>
      <c r="Q77" s="20" t="s">
        <v>69</v>
      </c>
      <c r="R77" s="20" t="s">
        <v>6561</v>
      </c>
      <c r="S77" s="4"/>
      <c r="T77" s="4"/>
      <c r="U77" s="7"/>
      <c r="V77" s="4"/>
      <c r="W77" s="4"/>
      <c r="X77" s="4"/>
      <c r="Y77" s="4"/>
      <c r="Z77" s="4"/>
      <c r="AA77" s="5"/>
      <c r="AB77" s="5"/>
      <c r="AC77" s="5"/>
      <c r="AD77" s="5"/>
      <c r="AE77" s="5"/>
    </row>
    <row r="78">
      <c r="A78" s="15" t="s">
        <v>7614</v>
      </c>
      <c r="B78" s="19">
        <v>44535.85277777778</v>
      </c>
      <c r="C78" s="20">
        <v>50073.0</v>
      </c>
      <c r="D78" s="20" t="s">
        <v>6500</v>
      </c>
      <c r="E78" s="20">
        <v>9.19884976841E11</v>
      </c>
      <c r="F78" s="21">
        <v>18495.0</v>
      </c>
      <c r="G78" s="20"/>
      <c r="H78" s="20" t="s">
        <v>6466</v>
      </c>
      <c r="I78" s="20"/>
      <c r="J78" s="20">
        <v>1.0</v>
      </c>
      <c r="K78" s="20">
        <v>599.0</v>
      </c>
      <c r="L78" s="20"/>
      <c r="M78" s="20">
        <v>599.0</v>
      </c>
      <c r="N78" s="5" t="s">
        <v>67</v>
      </c>
      <c r="O78" s="20" t="b">
        <v>0</v>
      </c>
      <c r="P78" s="20" t="s">
        <v>74</v>
      </c>
      <c r="Q78" s="20" t="s">
        <v>69</v>
      </c>
      <c r="R78" s="20" t="s">
        <v>6497</v>
      </c>
      <c r="S78" s="4"/>
      <c r="T78" s="4"/>
      <c r="U78" s="7"/>
      <c r="V78" s="4"/>
      <c r="W78" s="4"/>
      <c r="X78" s="4"/>
      <c r="Y78" s="4"/>
      <c r="Z78" s="4"/>
      <c r="AA78" s="5"/>
      <c r="AB78" s="5"/>
      <c r="AC78" s="5"/>
      <c r="AD78" s="5"/>
      <c r="AE78" s="5"/>
    </row>
    <row r="79">
      <c r="A79" s="1" t="s">
        <v>9997</v>
      </c>
      <c r="B79" s="19">
        <v>44202.42361111111</v>
      </c>
      <c r="C79" s="20">
        <v>50073.0</v>
      </c>
      <c r="D79" s="20" t="s">
        <v>6500</v>
      </c>
      <c r="E79" s="5">
        <v>9.19884976841E11</v>
      </c>
      <c r="F79" s="21">
        <v>18495.0</v>
      </c>
      <c r="G79" s="20"/>
      <c r="H79" s="20" t="s">
        <v>2161</v>
      </c>
      <c r="I79" s="5"/>
      <c r="J79" s="20">
        <v>3.0</v>
      </c>
      <c r="K79" s="20">
        <v>1499.0</v>
      </c>
      <c r="L79" s="20"/>
      <c r="M79" s="20">
        <v>1499.0</v>
      </c>
      <c r="N79" s="5" t="s">
        <v>67</v>
      </c>
      <c r="O79" s="20" t="b">
        <v>0</v>
      </c>
      <c r="P79" s="20" t="s">
        <v>74</v>
      </c>
      <c r="Q79" s="20" t="s">
        <v>69</v>
      </c>
      <c r="R79" s="20" t="s">
        <v>6497</v>
      </c>
      <c r="S79" s="4"/>
      <c r="T79" s="4"/>
      <c r="U79" s="7"/>
      <c r="V79" s="4"/>
      <c r="W79" s="4"/>
      <c r="X79" s="4"/>
      <c r="Y79" s="4"/>
      <c r="Z79" s="4"/>
      <c r="AA79" s="5"/>
      <c r="AB79" s="5"/>
      <c r="AC79" s="5"/>
      <c r="AD79" s="5"/>
      <c r="AE79" s="5"/>
    </row>
    <row r="80">
      <c r="A80" s="15" t="s">
        <v>7615</v>
      </c>
      <c r="B80" s="19">
        <v>44535.865277777775</v>
      </c>
      <c r="C80" s="20">
        <v>50073.0</v>
      </c>
      <c r="D80" s="20" t="s">
        <v>6501</v>
      </c>
      <c r="E80" s="20">
        <v>9.19593380027E11</v>
      </c>
      <c r="F80" s="21">
        <v>18928.0</v>
      </c>
      <c r="G80" s="20"/>
      <c r="H80" s="20" t="s">
        <v>6466</v>
      </c>
      <c r="I80" s="20"/>
      <c r="J80" s="20">
        <v>1.0</v>
      </c>
      <c r="K80" s="20">
        <v>599.0</v>
      </c>
      <c r="L80" s="20"/>
      <c r="M80" s="20">
        <v>599.0</v>
      </c>
      <c r="N80" s="5" t="s">
        <v>67</v>
      </c>
      <c r="O80" s="20" t="b">
        <v>0</v>
      </c>
      <c r="P80" s="20" t="s">
        <v>74</v>
      </c>
      <c r="Q80" s="20" t="s">
        <v>69</v>
      </c>
      <c r="R80" s="20" t="s">
        <v>6497</v>
      </c>
      <c r="S80" s="4"/>
      <c r="T80" s="4"/>
      <c r="U80" s="7"/>
      <c r="V80" s="4"/>
      <c r="W80" s="4"/>
      <c r="X80" s="4"/>
      <c r="Y80" s="4"/>
      <c r="Z80" s="4"/>
      <c r="AA80" s="5"/>
      <c r="AB80" s="5"/>
      <c r="AC80" s="5"/>
      <c r="AD80" s="5"/>
      <c r="AE80" s="5"/>
    </row>
    <row r="81">
      <c r="A81" s="1" t="s">
        <v>9991</v>
      </c>
      <c r="B81" s="19">
        <v>44202.395833333336</v>
      </c>
      <c r="C81" s="20">
        <v>50073.0</v>
      </c>
      <c r="D81" s="20" t="s">
        <v>6501</v>
      </c>
      <c r="E81" s="5">
        <v>9.19593380027E11</v>
      </c>
      <c r="F81" s="21">
        <v>18928.0</v>
      </c>
      <c r="G81" s="20"/>
      <c r="H81" s="20" t="s">
        <v>2161</v>
      </c>
      <c r="I81" s="5"/>
      <c r="J81" s="20">
        <v>3.0</v>
      </c>
      <c r="K81" s="20">
        <v>1499.0</v>
      </c>
      <c r="L81" s="20"/>
      <c r="M81" s="20">
        <v>1499.0</v>
      </c>
      <c r="N81" s="5" t="s">
        <v>67</v>
      </c>
      <c r="O81" s="20" t="b">
        <v>0</v>
      </c>
      <c r="P81" s="20" t="s">
        <v>74</v>
      </c>
      <c r="Q81" s="20" t="s">
        <v>69</v>
      </c>
      <c r="R81" s="20" t="s">
        <v>6497</v>
      </c>
      <c r="S81" s="4"/>
      <c r="T81" s="4"/>
      <c r="U81" s="7"/>
      <c r="V81" s="4"/>
      <c r="W81" s="4"/>
      <c r="X81" s="4"/>
      <c r="Y81" s="4"/>
      <c r="Z81" s="4"/>
      <c r="AA81" s="5"/>
      <c r="AB81" s="5"/>
      <c r="AC81" s="5"/>
      <c r="AD81" s="5"/>
      <c r="AE81" s="5"/>
    </row>
    <row r="82">
      <c r="A82" s="15" t="s">
        <v>7616</v>
      </c>
      <c r="B82" s="19">
        <v>44535.88888888889</v>
      </c>
      <c r="C82" s="20">
        <v>50073.0</v>
      </c>
      <c r="D82" s="20" t="s">
        <v>6502</v>
      </c>
      <c r="E82" s="20">
        <v>9.17042110059E11</v>
      </c>
      <c r="F82" s="21">
        <v>18025.0</v>
      </c>
      <c r="G82" s="20"/>
      <c r="H82" s="20" t="s">
        <v>6466</v>
      </c>
      <c r="I82" s="20"/>
      <c r="J82" s="20">
        <v>1.0</v>
      </c>
      <c r="K82" s="20">
        <v>599.0</v>
      </c>
      <c r="L82" s="20"/>
      <c r="M82" s="20">
        <v>599.0</v>
      </c>
      <c r="N82" s="5" t="s">
        <v>67</v>
      </c>
      <c r="O82" s="20" t="b">
        <v>0</v>
      </c>
      <c r="P82" s="20" t="s">
        <v>151</v>
      </c>
      <c r="Q82" s="20" t="s">
        <v>69</v>
      </c>
      <c r="R82" s="20" t="s">
        <v>6497</v>
      </c>
      <c r="S82" s="4"/>
      <c r="T82" s="4"/>
      <c r="U82" s="7"/>
      <c r="V82" s="4"/>
      <c r="W82" s="4"/>
      <c r="X82" s="4"/>
      <c r="Y82" s="4"/>
      <c r="Z82" s="4"/>
      <c r="AA82" s="5"/>
      <c r="AB82" s="5"/>
      <c r="AC82" s="5"/>
      <c r="AD82" s="5"/>
      <c r="AE82" s="5"/>
    </row>
    <row r="83">
      <c r="A83" s="1" t="s">
        <v>11751</v>
      </c>
      <c r="B83" s="19" t="s">
        <v>6577</v>
      </c>
      <c r="C83" s="20">
        <v>50073.0</v>
      </c>
      <c r="D83" s="20" t="s">
        <v>6502</v>
      </c>
      <c r="E83" s="5">
        <v>9.17042110059E11</v>
      </c>
      <c r="F83" s="21">
        <v>18025.0</v>
      </c>
      <c r="G83" s="20"/>
      <c r="H83" s="20" t="s">
        <v>2161</v>
      </c>
      <c r="I83" s="5"/>
      <c r="J83" s="20">
        <v>1.0</v>
      </c>
      <c r="K83" s="20">
        <v>799.0</v>
      </c>
      <c r="L83" s="20"/>
      <c r="M83" s="20">
        <v>799.0</v>
      </c>
      <c r="N83" s="5" t="s">
        <v>67</v>
      </c>
      <c r="O83" s="20" t="b">
        <v>0</v>
      </c>
      <c r="P83" s="20" t="s">
        <v>151</v>
      </c>
      <c r="Q83" s="20" t="s">
        <v>69</v>
      </c>
      <c r="R83" s="20" t="s">
        <v>6563</v>
      </c>
      <c r="S83" s="4"/>
      <c r="T83" s="4"/>
      <c r="U83" s="7"/>
      <c r="V83" s="4"/>
      <c r="W83" s="4"/>
      <c r="X83" s="4"/>
      <c r="Y83" s="4"/>
      <c r="Z83" s="4"/>
      <c r="AA83" s="5"/>
      <c r="AB83" s="5"/>
      <c r="AC83" s="5"/>
      <c r="AD83" s="5"/>
      <c r="AE83" s="5"/>
    </row>
    <row r="84">
      <c r="A84" s="15" t="s">
        <v>7675</v>
      </c>
      <c r="B84" s="19" t="s">
        <v>3380</v>
      </c>
      <c r="C84" s="20">
        <v>50030.0</v>
      </c>
      <c r="D84" s="20" t="s">
        <v>3379</v>
      </c>
      <c r="E84" s="20">
        <v>9.19443100747E11</v>
      </c>
      <c r="F84" s="21">
        <v>19270.0</v>
      </c>
      <c r="G84" s="20"/>
      <c r="H84" s="20" t="s">
        <v>3326</v>
      </c>
      <c r="I84" s="20"/>
      <c r="J84" s="20">
        <v>1.0</v>
      </c>
      <c r="K84" s="20">
        <v>99.0</v>
      </c>
      <c r="L84" s="20"/>
      <c r="M84" s="20">
        <v>99.0</v>
      </c>
      <c r="N84" s="5" t="s">
        <v>67</v>
      </c>
      <c r="O84" s="20" t="b">
        <v>0</v>
      </c>
      <c r="P84" s="20" t="s">
        <v>74</v>
      </c>
      <c r="Q84" s="20" t="s">
        <v>69</v>
      </c>
      <c r="R84" s="20" t="s">
        <v>3328</v>
      </c>
      <c r="S84" s="4"/>
      <c r="T84" s="4"/>
      <c r="U84" s="7"/>
      <c r="V84" s="4"/>
      <c r="W84" s="4"/>
      <c r="X84" s="4"/>
      <c r="Y84" s="4"/>
      <c r="Z84" s="4"/>
      <c r="AA84" s="5"/>
      <c r="AB84" s="5"/>
      <c r="AC84" s="5"/>
      <c r="AD84" s="5"/>
      <c r="AE84" s="5"/>
    </row>
    <row r="85">
      <c r="A85" s="1" t="s">
        <v>12000</v>
      </c>
      <c r="B85" s="19" t="s">
        <v>3565</v>
      </c>
      <c r="C85" s="20">
        <v>50030.0</v>
      </c>
      <c r="D85" s="20" t="s">
        <v>3379</v>
      </c>
      <c r="E85" s="5">
        <v>9.19443100747E11</v>
      </c>
      <c r="F85" s="21">
        <v>19270.0</v>
      </c>
      <c r="G85" s="20"/>
      <c r="H85" s="20" t="s">
        <v>3326</v>
      </c>
      <c r="I85" s="5"/>
      <c r="J85" s="20">
        <v>6.0</v>
      </c>
      <c r="K85" s="20">
        <v>349.0</v>
      </c>
      <c r="L85" s="20"/>
      <c r="M85" s="20">
        <v>349.0</v>
      </c>
      <c r="N85" s="5" t="s">
        <v>67</v>
      </c>
      <c r="O85" s="20" t="b">
        <v>0</v>
      </c>
      <c r="P85" s="20" t="s">
        <v>74</v>
      </c>
      <c r="Q85" s="20" t="s">
        <v>69</v>
      </c>
      <c r="R85" s="20" t="s">
        <v>3328</v>
      </c>
      <c r="S85" s="4"/>
      <c r="T85" s="4"/>
      <c r="U85" s="7"/>
      <c r="V85" s="4"/>
      <c r="W85" s="4"/>
      <c r="X85" s="4"/>
      <c r="Y85" s="4"/>
      <c r="Z85" s="4"/>
      <c r="AA85" s="5"/>
      <c r="AB85" s="5"/>
      <c r="AC85" s="5"/>
      <c r="AD85" s="5"/>
      <c r="AE85" s="5"/>
    </row>
    <row r="86">
      <c r="A86" s="15" t="s">
        <v>7761</v>
      </c>
      <c r="B86" s="19" t="s">
        <v>4349</v>
      </c>
      <c r="C86" s="20">
        <v>50039.0</v>
      </c>
      <c r="D86" s="20" t="s">
        <v>4348</v>
      </c>
      <c r="E86" s="20">
        <v>9.19003024509E11</v>
      </c>
      <c r="F86" s="21">
        <v>18099.0</v>
      </c>
      <c r="G86" s="20"/>
      <c r="H86" s="20" t="s">
        <v>4341</v>
      </c>
      <c r="I86" s="20"/>
      <c r="J86" s="20">
        <v>6.0</v>
      </c>
      <c r="K86" s="20">
        <v>349.0</v>
      </c>
      <c r="L86" s="20"/>
      <c r="M86" s="20">
        <v>349.0</v>
      </c>
      <c r="N86" s="5" t="s">
        <v>67</v>
      </c>
      <c r="O86" s="20" t="b">
        <v>0</v>
      </c>
      <c r="P86" s="20" t="s">
        <v>74</v>
      </c>
      <c r="Q86" s="20" t="s">
        <v>69</v>
      </c>
      <c r="R86" s="20" t="s">
        <v>4343</v>
      </c>
      <c r="S86" s="4"/>
      <c r="T86" s="4"/>
      <c r="U86" s="7"/>
      <c r="V86" s="4"/>
      <c r="W86" s="4"/>
      <c r="X86" s="4"/>
      <c r="Y86" s="4"/>
      <c r="Z86" s="4"/>
      <c r="AA86" s="5"/>
      <c r="AB86" s="5"/>
      <c r="AC86" s="5"/>
      <c r="AD86" s="5"/>
      <c r="AE86" s="5"/>
    </row>
    <row r="87">
      <c r="A87" s="1" t="s">
        <v>7765</v>
      </c>
      <c r="B87" s="19" t="s">
        <v>4350</v>
      </c>
      <c r="C87" s="20">
        <v>50039.0</v>
      </c>
      <c r="D87" s="20" t="s">
        <v>4348</v>
      </c>
      <c r="E87" s="20">
        <v>9.19003024509E11</v>
      </c>
      <c r="F87" s="21">
        <v>18099.0</v>
      </c>
      <c r="G87" s="20"/>
      <c r="H87" s="20" t="s">
        <v>4341</v>
      </c>
      <c r="I87" s="20"/>
      <c r="J87" s="20">
        <v>6.0</v>
      </c>
      <c r="K87" s="20">
        <v>349.0</v>
      </c>
      <c r="L87" s="20"/>
      <c r="M87" s="20">
        <v>349.0</v>
      </c>
      <c r="N87" s="5" t="s">
        <v>67</v>
      </c>
      <c r="O87" s="20" t="b">
        <v>0</v>
      </c>
      <c r="P87" s="20" t="s">
        <v>74</v>
      </c>
      <c r="Q87" s="20" t="s">
        <v>69</v>
      </c>
      <c r="R87" s="20" t="s">
        <v>4343</v>
      </c>
      <c r="S87" s="4"/>
      <c r="T87" s="4"/>
      <c r="U87" s="7"/>
      <c r="V87" s="4"/>
      <c r="W87" s="4"/>
      <c r="X87" s="4"/>
      <c r="Y87" s="4"/>
      <c r="Z87" s="4"/>
      <c r="AA87" s="5"/>
      <c r="AB87" s="5"/>
      <c r="AC87" s="5"/>
      <c r="AD87" s="5"/>
      <c r="AE87" s="5"/>
    </row>
    <row r="88">
      <c r="A88" s="15" t="s">
        <v>7892</v>
      </c>
      <c r="B88" s="19" t="s">
        <v>6229</v>
      </c>
      <c r="C88" s="20">
        <v>50046.0</v>
      </c>
      <c r="D88" s="20" t="s">
        <v>6228</v>
      </c>
      <c r="E88" s="20">
        <v>9.19916965352E11</v>
      </c>
      <c r="F88" s="21">
        <v>18207.0</v>
      </c>
      <c r="G88" s="20"/>
      <c r="H88" s="20" t="s">
        <v>6217</v>
      </c>
      <c r="I88" s="20"/>
      <c r="J88" s="20">
        <v>1.0</v>
      </c>
      <c r="K88" s="20">
        <v>99.0</v>
      </c>
      <c r="L88" s="20"/>
      <c r="M88" s="20">
        <v>99.0</v>
      </c>
      <c r="N88" s="5" t="s">
        <v>67</v>
      </c>
      <c r="O88" s="20" t="b">
        <v>0</v>
      </c>
      <c r="P88" s="20" t="s">
        <v>74</v>
      </c>
      <c r="Q88" s="20" t="s">
        <v>69</v>
      </c>
      <c r="R88" s="20" t="s">
        <v>6219</v>
      </c>
      <c r="S88" s="4"/>
      <c r="T88" s="4"/>
      <c r="U88" s="7"/>
      <c r="V88" s="4"/>
      <c r="W88" s="4"/>
      <c r="X88" s="4"/>
      <c r="Y88" s="4"/>
      <c r="Z88" s="4"/>
      <c r="AA88" s="5"/>
      <c r="AB88" s="5"/>
      <c r="AC88" s="5"/>
      <c r="AD88" s="5"/>
      <c r="AE88" s="5"/>
    </row>
    <row r="89">
      <c r="A89" s="1" t="s">
        <v>12286</v>
      </c>
      <c r="B89" s="19" t="s">
        <v>6249</v>
      </c>
      <c r="C89" s="20">
        <v>50046.0</v>
      </c>
      <c r="D89" s="20" t="s">
        <v>6228</v>
      </c>
      <c r="E89" s="5">
        <v>9.19916965352E11</v>
      </c>
      <c r="F89" s="21">
        <v>18207.0</v>
      </c>
      <c r="G89" s="20"/>
      <c r="H89" s="20" t="s">
        <v>6217</v>
      </c>
      <c r="I89" s="5"/>
      <c r="J89" s="20">
        <v>1.0</v>
      </c>
      <c r="K89" s="20">
        <v>99.0</v>
      </c>
      <c r="L89" s="20"/>
      <c r="M89" s="20">
        <v>99.0</v>
      </c>
      <c r="N89" s="5" t="s">
        <v>67</v>
      </c>
      <c r="O89" s="20" t="b">
        <v>0</v>
      </c>
      <c r="P89" s="20" t="s">
        <v>74</v>
      </c>
      <c r="Q89" s="20" t="s">
        <v>69</v>
      </c>
      <c r="R89" s="20" t="s">
        <v>6219</v>
      </c>
      <c r="S89" s="4"/>
      <c r="T89" s="4"/>
      <c r="U89" s="7"/>
      <c r="V89" s="4"/>
      <c r="W89" s="4"/>
      <c r="X89" s="4"/>
      <c r="Y89" s="4"/>
      <c r="Z89" s="4"/>
      <c r="AA89" s="5"/>
      <c r="AB89" s="5"/>
      <c r="AC89" s="5"/>
      <c r="AD89" s="5"/>
      <c r="AE89" s="5"/>
    </row>
    <row r="90">
      <c r="A90" s="1" t="s">
        <v>8297</v>
      </c>
      <c r="B90" s="19" t="s">
        <v>3406</v>
      </c>
      <c r="C90" s="20">
        <v>50030.0</v>
      </c>
      <c r="D90" s="20" t="s">
        <v>3405</v>
      </c>
      <c r="E90" s="20">
        <v>9.19110266512E11</v>
      </c>
      <c r="F90" s="21">
        <v>18220.0</v>
      </c>
      <c r="G90" s="20"/>
      <c r="H90" s="20" t="s">
        <v>3326</v>
      </c>
      <c r="I90" s="20"/>
      <c r="J90" s="20">
        <v>1.0</v>
      </c>
      <c r="K90" s="20">
        <v>99.0</v>
      </c>
      <c r="L90" s="20"/>
      <c r="M90" s="20">
        <v>99.0</v>
      </c>
      <c r="N90" s="5" t="s">
        <v>67</v>
      </c>
      <c r="O90" s="20" t="b">
        <v>0</v>
      </c>
      <c r="P90" s="20" t="s">
        <v>68</v>
      </c>
      <c r="Q90" s="20" t="s">
        <v>69</v>
      </c>
      <c r="R90" s="20" t="s">
        <v>3328</v>
      </c>
      <c r="S90" s="4"/>
      <c r="T90" s="4"/>
      <c r="U90" s="7"/>
      <c r="V90" s="4"/>
      <c r="W90" s="4"/>
      <c r="X90" s="4"/>
      <c r="Y90" s="4"/>
      <c r="Z90" s="4"/>
      <c r="AA90" s="5"/>
      <c r="AB90" s="5"/>
      <c r="AC90" s="5"/>
      <c r="AD90" s="5"/>
      <c r="AE90" s="5"/>
    </row>
    <row r="91">
      <c r="A91" s="15" t="s">
        <v>7918</v>
      </c>
      <c r="B91" s="19" t="s">
        <v>4643</v>
      </c>
      <c r="C91" s="20">
        <v>49859.0</v>
      </c>
      <c r="D91" s="20" t="s">
        <v>3405</v>
      </c>
      <c r="E91" s="20">
        <v>9.19110266512E11</v>
      </c>
      <c r="F91" s="21">
        <v>18220.0</v>
      </c>
      <c r="G91" s="20"/>
      <c r="H91" s="20" t="s">
        <v>1133</v>
      </c>
      <c r="I91" s="20"/>
      <c r="J91" s="20">
        <v>1.0</v>
      </c>
      <c r="K91" s="20">
        <v>99.0</v>
      </c>
      <c r="L91" s="20"/>
      <c r="M91" s="20">
        <v>99.0</v>
      </c>
      <c r="N91" s="5" t="s">
        <v>67</v>
      </c>
      <c r="O91" s="20" t="b">
        <v>0</v>
      </c>
      <c r="P91" s="20" t="s">
        <v>68</v>
      </c>
      <c r="Q91" s="20" t="s">
        <v>69</v>
      </c>
      <c r="R91" s="20" t="s">
        <v>4620</v>
      </c>
      <c r="S91" s="4"/>
      <c r="T91" s="4"/>
      <c r="U91" s="7"/>
      <c r="V91" s="4"/>
      <c r="W91" s="4"/>
      <c r="X91" s="4"/>
      <c r="Y91" s="4"/>
      <c r="Z91" s="4"/>
      <c r="AA91" s="5"/>
      <c r="AB91" s="5"/>
      <c r="AC91" s="5"/>
      <c r="AD91" s="5"/>
      <c r="AE91" s="5"/>
    </row>
    <row r="92">
      <c r="A92" s="15" t="s">
        <v>7809</v>
      </c>
      <c r="B92" s="19" t="s">
        <v>6513</v>
      </c>
      <c r="C92" s="20">
        <v>50073.0</v>
      </c>
      <c r="D92" s="20" t="s">
        <v>6512</v>
      </c>
      <c r="E92" s="20">
        <v>9.19819599898E11</v>
      </c>
      <c r="F92" s="21">
        <v>18230.0</v>
      </c>
      <c r="G92" s="20"/>
      <c r="H92" s="20" t="s">
        <v>6466</v>
      </c>
      <c r="I92" s="20"/>
      <c r="J92" s="20">
        <v>1.0</v>
      </c>
      <c r="K92" s="20">
        <v>599.0</v>
      </c>
      <c r="L92" s="20"/>
      <c r="M92" s="20">
        <v>599.0</v>
      </c>
      <c r="N92" s="5" t="s">
        <v>67</v>
      </c>
      <c r="O92" s="20" t="b">
        <v>0</v>
      </c>
      <c r="P92" s="20" t="s">
        <v>68</v>
      </c>
      <c r="Q92" s="20" t="s">
        <v>69</v>
      </c>
      <c r="R92" s="20" t="s">
        <v>6497</v>
      </c>
      <c r="S92" s="4"/>
      <c r="T92" s="4"/>
      <c r="U92" s="7"/>
      <c r="V92" s="4"/>
      <c r="W92" s="4"/>
      <c r="X92" s="4"/>
      <c r="Y92" s="4"/>
      <c r="Z92" s="4"/>
      <c r="AA92" s="5"/>
      <c r="AB92" s="5"/>
      <c r="AC92" s="5"/>
      <c r="AD92" s="5"/>
      <c r="AE92" s="5"/>
    </row>
    <row r="93">
      <c r="A93" s="1" t="s">
        <v>10016</v>
      </c>
      <c r="B93" s="19">
        <v>44202.53402777778</v>
      </c>
      <c r="C93" s="20">
        <v>50073.0</v>
      </c>
      <c r="D93" s="20" t="s">
        <v>6512</v>
      </c>
      <c r="E93" s="5">
        <v>9.19819599898E11</v>
      </c>
      <c r="F93" s="21">
        <v>18230.0</v>
      </c>
      <c r="G93" s="20"/>
      <c r="H93" s="20" t="s">
        <v>2161</v>
      </c>
      <c r="I93" s="5"/>
      <c r="J93" s="20">
        <v>3.0</v>
      </c>
      <c r="K93" s="20">
        <v>1499.0</v>
      </c>
      <c r="L93" s="20"/>
      <c r="M93" s="20">
        <v>1499.0</v>
      </c>
      <c r="N93" s="5" t="s">
        <v>67</v>
      </c>
      <c r="O93" s="20" t="b">
        <v>0</v>
      </c>
      <c r="P93" s="20" t="s">
        <v>68</v>
      </c>
      <c r="Q93" s="20" t="s">
        <v>69</v>
      </c>
      <c r="R93" s="20" t="s">
        <v>6497</v>
      </c>
      <c r="S93" s="4"/>
      <c r="T93" s="4"/>
      <c r="U93" s="7"/>
      <c r="V93" s="4"/>
      <c r="W93" s="4"/>
      <c r="X93" s="4"/>
      <c r="Y93" s="4"/>
      <c r="Z93" s="4"/>
      <c r="AA93" s="5"/>
      <c r="AB93" s="5"/>
      <c r="AC93" s="5"/>
      <c r="AD93" s="5"/>
      <c r="AE93" s="5"/>
    </row>
    <row r="94">
      <c r="A94" s="15" t="s">
        <v>7973</v>
      </c>
      <c r="B94" s="19" t="s">
        <v>2796</v>
      </c>
      <c r="C94" s="20">
        <v>50029.0</v>
      </c>
      <c r="D94" s="20" t="s">
        <v>2795</v>
      </c>
      <c r="E94" s="20">
        <v>9.17020209901E11</v>
      </c>
      <c r="F94" s="21">
        <v>18275.0</v>
      </c>
      <c r="G94" s="20"/>
      <c r="H94" s="20" t="s">
        <v>2761</v>
      </c>
      <c r="I94" s="20"/>
      <c r="J94" s="20">
        <v>1.0</v>
      </c>
      <c r="K94" s="20">
        <v>99.0</v>
      </c>
      <c r="L94" s="20"/>
      <c r="M94" s="20">
        <v>99.0</v>
      </c>
      <c r="N94" s="5" t="s">
        <v>67</v>
      </c>
      <c r="O94" s="20" t="b">
        <v>0</v>
      </c>
      <c r="P94" s="20" t="s">
        <v>68</v>
      </c>
      <c r="Q94" s="20" t="s">
        <v>69</v>
      </c>
      <c r="R94" s="20" t="s">
        <v>2763</v>
      </c>
      <c r="S94" s="4"/>
      <c r="T94" s="4"/>
      <c r="U94" s="7"/>
      <c r="V94" s="4"/>
      <c r="W94" s="4"/>
      <c r="X94" s="4"/>
      <c r="Y94" s="4"/>
      <c r="Z94" s="4"/>
      <c r="AA94" s="5"/>
      <c r="AB94" s="5"/>
      <c r="AC94" s="5"/>
      <c r="AD94" s="5"/>
      <c r="AE94" s="5"/>
    </row>
    <row r="95">
      <c r="A95" s="1" t="s">
        <v>12071</v>
      </c>
      <c r="B95" s="19" t="s">
        <v>2900</v>
      </c>
      <c r="C95" s="20">
        <v>50029.0</v>
      </c>
      <c r="D95" s="20" t="s">
        <v>2795</v>
      </c>
      <c r="E95" s="5">
        <v>9.17020209901E11</v>
      </c>
      <c r="F95" s="21">
        <v>18275.0</v>
      </c>
      <c r="G95" s="20"/>
      <c r="H95" s="20" t="s">
        <v>2761</v>
      </c>
      <c r="I95" s="5"/>
      <c r="J95" s="20">
        <v>3.0</v>
      </c>
      <c r="K95" s="20">
        <v>199.0</v>
      </c>
      <c r="L95" s="20"/>
      <c r="M95" s="20">
        <v>199.0</v>
      </c>
      <c r="N95" s="5" t="s">
        <v>67</v>
      </c>
      <c r="O95" s="20" t="b">
        <v>0</v>
      </c>
      <c r="P95" s="20" t="s">
        <v>68</v>
      </c>
      <c r="Q95" s="20" t="s">
        <v>69</v>
      </c>
      <c r="R95" s="20" t="s">
        <v>2763</v>
      </c>
      <c r="S95" s="4"/>
      <c r="T95" s="4"/>
      <c r="U95" s="7"/>
      <c r="V95" s="4"/>
      <c r="W95" s="4"/>
      <c r="X95" s="4"/>
      <c r="Y95" s="4"/>
      <c r="Z95" s="4"/>
      <c r="AA95" s="5"/>
      <c r="AB95" s="5"/>
      <c r="AC95" s="5"/>
      <c r="AD95" s="5"/>
      <c r="AE95" s="5"/>
    </row>
    <row r="96">
      <c r="A96" s="1" t="s">
        <v>7851</v>
      </c>
      <c r="B96" s="19" t="s">
        <v>2481</v>
      </c>
      <c r="C96" s="20">
        <v>49997.0</v>
      </c>
      <c r="D96" s="20" t="s">
        <v>2480</v>
      </c>
      <c r="E96" s="20">
        <v>9.19916242098E11</v>
      </c>
      <c r="F96" s="21">
        <v>18264.0</v>
      </c>
      <c r="G96" s="20"/>
      <c r="H96" s="20" t="s">
        <v>2455</v>
      </c>
      <c r="I96" s="20"/>
      <c r="J96" s="20">
        <v>3.0</v>
      </c>
      <c r="K96" s="20">
        <v>199.0</v>
      </c>
      <c r="L96" s="20"/>
      <c r="M96" s="20">
        <v>199.0</v>
      </c>
      <c r="N96" s="5" t="s">
        <v>67</v>
      </c>
      <c r="O96" s="20" t="b">
        <v>0</v>
      </c>
      <c r="P96" s="20" t="s">
        <v>68</v>
      </c>
      <c r="Q96" s="20" t="s">
        <v>69</v>
      </c>
      <c r="R96" s="20" t="s">
        <v>2457</v>
      </c>
      <c r="S96" s="4"/>
      <c r="T96" s="4"/>
      <c r="U96" s="7"/>
      <c r="V96" s="4"/>
      <c r="W96" s="4"/>
      <c r="X96" s="4"/>
      <c r="Y96" s="4"/>
      <c r="Z96" s="4"/>
      <c r="AA96" s="5"/>
      <c r="AB96" s="5"/>
      <c r="AC96" s="5"/>
      <c r="AD96" s="5"/>
      <c r="AE96" s="5"/>
    </row>
    <row r="97">
      <c r="A97" s="15" t="s">
        <v>8131</v>
      </c>
      <c r="B97" s="19" t="s">
        <v>3088</v>
      </c>
      <c r="C97" s="20">
        <v>49991.0</v>
      </c>
      <c r="D97" s="20" t="s">
        <v>3087</v>
      </c>
      <c r="E97" s="20">
        <v>9.1976503737E11</v>
      </c>
      <c r="F97" s="21">
        <v>18336.0</v>
      </c>
      <c r="G97" s="20"/>
      <c r="H97" s="20" t="s">
        <v>3055</v>
      </c>
      <c r="I97" s="20"/>
      <c r="J97" s="20">
        <v>6.0</v>
      </c>
      <c r="K97" s="20">
        <v>349.0</v>
      </c>
      <c r="L97" s="20"/>
      <c r="M97" s="20">
        <v>349.0</v>
      </c>
      <c r="N97" s="5" t="s">
        <v>67</v>
      </c>
      <c r="O97" s="20" t="b">
        <v>0</v>
      </c>
      <c r="P97" s="20" t="s">
        <v>74</v>
      </c>
      <c r="Q97" s="20" t="s">
        <v>69</v>
      </c>
      <c r="R97" s="20" t="s">
        <v>3057</v>
      </c>
      <c r="S97" s="4"/>
      <c r="T97" s="4"/>
      <c r="U97" s="7"/>
      <c r="V97" s="4"/>
      <c r="W97" s="4"/>
      <c r="X97" s="4"/>
      <c r="Y97" s="4"/>
      <c r="Z97" s="4"/>
      <c r="AA97" s="5"/>
      <c r="AB97" s="5"/>
      <c r="AC97" s="5"/>
      <c r="AD97" s="5"/>
      <c r="AE97" s="5"/>
    </row>
    <row r="98">
      <c r="A98" s="1" t="s">
        <v>8137</v>
      </c>
      <c r="B98" s="19" t="s">
        <v>3089</v>
      </c>
      <c r="C98" s="20">
        <v>49991.0</v>
      </c>
      <c r="D98" s="20" t="s">
        <v>3087</v>
      </c>
      <c r="E98" s="20">
        <v>9.1976503737E11</v>
      </c>
      <c r="F98" s="21">
        <v>18336.0</v>
      </c>
      <c r="G98" s="20"/>
      <c r="H98" s="20" t="s">
        <v>3055</v>
      </c>
      <c r="I98" s="20"/>
      <c r="J98" s="20">
        <v>6.0</v>
      </c>
      <c r="K98" s="20">
        <v>349.0</v>
      </c>
      <c r="L98" s="20"/>
      <c r="M98" s="20">
        <v>349.0</v>
      </c>
      <c r="N98" s="5" t="s">
        <v>67</v>
      </c>
      <c r="O98" s="20" t="b">
        <v>0</v>
      </c>
      <c r="P98" s="20" t="s">
        <v>74</v>
      </c>
      <c r="Q98" s="20" t="s">
        <v>69</v>
      </c>
      <c r="R98" s="20" t="s">
        <v>3057</v>
      </c>
      <c r="S98" s="4"/>
      <c r="T98" s="4"/>
      <c r="U98" s="7"/>
      <c r="V98" s="4"/>
      <c r="W98" s="4"/>
      <c r="X98" s="4"/>
      <c r="Y98" s="4"/>
      <c r="Z98" s="4"/>
      <c r="AA98" s="5"/>
      <c r="AB98" s="5"/>
      <c r="AC98" s="5"/>
      <c r="AD98" s="5"/>
      <c r="AE98" s="5"/>
    </row>
    <row r="99">
      <c r="A99" s="15" t="s">
        <v>8051</v>
      </c>
      <c r="B99" s="19" t="s">
        <v>5863</v>
      </c>
      <c r="C99" s="20">
        <v>50054.0</v>
      </c>
      <c r="D99" s="20" t="s">
        <v>5862</v>
      </c>
      <c r="E99" s="20">
        <v>9.17905958635E11</v>
      </c>
      <c r="F99" s="21">
        <v>18304.0</v>
      </c>
      <c r="G99" s="20"/>
      <c r="H99" s="20" t="s">
        <v>5822</v>
      </c>
      <c r="I99" s="20"/>
      <c r="J99" s="20">
        <v>1.0</v>
      </c>
      <c r="K99" s="20">
        <v>99.0</v>
      </c>
      <c r="L99" s="20"/>
      <c r="M99" s="20">
        <v>99.0</v>
      </c>
      <c r="N99" s="5" t="s">
        <v>67</v>
      </c>
      <c r="O99" s="20" t="b">
        <v>0</v>
      </c>
      <c r="P99" s="20" t="s">
        <v>68</v>
      </c>
      <c r="Q99" s="20" t="s">
        <v>69</v>
      </c>
      <c r="R99" s="20" t="s">
        <v>5824</v>
      </c>
      <c r="S99" s="4"/>
      <c r="T99" s="4"/>
      <c r="U99" s="7"/>
      <c r="V99" s="4"/>
      <c r="W99" s="4"/>
      <c r="X99" s="4"/>
      <c r="Y99" s="4"/>
      <c r="Z99" s="4"/>
      <c r="AA99" s="5"/>
      <c r="AB99" s="5"/>
      <c r="AC99" s="5"/>
      <c r="AD99" s="5"/>
      <c r="AE99" s="5"/>
    </row>
    <row r="100">
      <c r="A100" s="1" t="s">
        <v>11465</v>
      </c>
      <c r="B100" s="19" t="s">
        <v>5939</v>
      </c>
      <c r="C100" s="20">
        <v>50054.0</v>
      </c>
      <c r="D100" s="20" t="s">
        <v>5862</v>
      </c>
      <c r="E100" s="5">
        <v>9.17905958635E11</v>
      </c>
      <c r="F100" s="21">
        <v>18304.0</v>
      </c>
      <c r="G100" s="20"/>
      <c r="H100" s="20" t="s">
        <v>5822</v>
      </c>
      <c r="I100" s="5"/>
      <c r="J100" s="20">
        <v>3.0</v>
      </c>
      <c r="K100" s="20">
        <v>199.0</v>
      </c>
      <c r="L100" s="20"/>
      <c r="M100" s="20">
        <v>199.0</v>
      </c>
      <c r="N100" s="5" t="s">
        <v>67</v>
      </c>
      <c r="O100" s="20" t="b">
        <v>0</v>
      </c>
      <c r="P100" s="20" t="s">
        <v>68</v>
      </c>
      <c r="Q100" s="20" t="s">
        <v>69</v>
      </c>
      <c r="R100" s="20" t="s">
        <v>5824</v>
      </c>
      <c r="S100" s="4"/>
      <c r="T100" s="4"/>
      <c r="U100" s="7"/>
      <c r="V100" s="4"/>
      <c r="W100" s="4"/>
      <c r="X100" s="4"/>
      <c r="Y100" s="4"/>
      <c r="Z100" s="4"/>
      <c r="AA100" s="5"/>
      <c r="AB100" s="5"/>
      <c r="AC100" s="5"/>
      <c r="AD100" s="5"/>
      <c r="AE100" s="5"/>
    </row>
    <row r="101">
      <c r="A101" s="15" t="s">
        <v>8154</v>
      </c>
      <c r="B101" s="19" t="s">
        <v>3435</v>
      </c>
      <c r="C101" s="20">
        <v>50030.0</v>
      </c>
      <c r="D101" s="20" t="s">
        <v>3434</v>
      </c>
      <c r="E101" s="20">
        <v>9.18308570267E11</v>
      </c>
      <c r="F101" s="21">
        <v>18769.0</v>
      </c>
      <c r="G101" s="20"/>
      <c r="H101" s="20" t="s">
        <v>3326</v>
      </c>
      <c r="I101" s="20"/>
      <c r="J101" s="20">
        <v>1.0</v>
      </c>
      <c r="K101" s="20">
        <v>99.0</v>
      </c>
      <c r="L101" s="20"/>
      <c r="M101" s="20">
        <v>99.0</v>
      </c>
      <c r="N101" s="5" t="s">
        <v>67</v>
      </c>
      <c r="O101" s="20" t="b">
        <v>0</v>
      </c>
      <c r="P101" s="20" t="s">
        <v>74</v>
      </c>
      <c r="Q101" s="20" t="s">
        <v>69</v>
      </c>
      <c r="R101" s="20" t="s">
        <v>3328</v>
      </c>
      <c r="S101" s="4"/>
      <c r="T101" s="4"/>
      <c r="U101" s="7"/>
      <c r="V101" s="4"/>
      <c r="W101" s="4"/>
      <c r="X101" s="4"/>
      <c r="Y101" s="4"/>
      <c r="Z101" s="4"/>
      <c r="AA101" s="5"/>
      <c r="AB101" s="5"/>
      <c r="AC101" s="5"/>
      <c r="AD101" s="5"/>
      <c r="AE101" s="5"/>
    </row>
    <row r="102">
      <c r="A102" s="23" t="s">
        <v>9010</v>
      </c>
      <c r="B102" s="19" t="s">
        <v>5520</v>
      </c>
      <c r="C102" s="20">
        <v>50023.0</v>
      </c>
      <c r="D102" s="20" t="s">
        <v>3434</v>
      </c>
      <c r="E102" s="20">
        <v>9.18308570267E11</v>
      </c>
      <c r="F102" s="21">
        <v>18769.0</v>
      </c>
      <c r="G102" s="20"/>
      <c r="H102" s="20" t="s">
        <v>5508</v>
      </c>
      <c r="I102" s="20"/>
      <c r="J102" s="20">
        <v>1.0</v>
      </c>
      <c r="K102" s="20">
        <v>99.0</v>
      </c>
      <c r="L102" s="20"/>
      <c r="M102" s="20">
        <v>99.0</v>
      </c>
      <c r="N102" s="5" t="s">
        <v>67</v>
      </c>
      <c r="O102" s="20" t="b">
        <v>0</v>
      </c>
      <c r="P102" s="20" t="s">
        <v>74</v>
      </c>
      <c r="Q102" s="20" t="s">
        <v>69</v>
      </c>
      <c r="R102" s="20" t="s">
        <v>5510</v>
      </c>
      <c r="S102" s="4"/>
      <c r="T102" s="4"/>
      <c r="U102" s="7"/>
      <c r="V102" s="4"/>
      <c r="W102" s="4"/>
      <c r="X102" s="4"/>
      <c r="Y102" s="4"/>
      <c r="Z102" s="4"/>
      <c r="AA102" s="5"/>
      <c r="AB102" s="5"/>
      <c r="AC102" s="5"/>
      <c r="AD102" s="5"/>
      <c r="AE102" s="5"/>
    </row>
    <row r="103">
      <c r="A103" s="15" t="s">
        <v>8177</v>
      </c>
      <c r="B103" s="19" t="s">
        <v>2720</v>
      </c>
      <c r="C103" s="20">
        <v>50015.0</v>
      </c>
      <c r="D103" s="20" t="s">
        <v>2719</v>
      </c>
      <c r="E103" s="20">
        <v>9.1851004881E11</v>
      </c>
      <c r="F103" s="21">
        <v>18355.0</v>
      </c>
      <c r="G103" s="20"/>
      <c r="H103" s="20" t="s">
        <v>2702</v>
      </c>
      <c r="I103" s="20"/>
      <c r="J103" s="20">
        <v>1.0</v>
      </c>
      <c r="K103" s="20">
        <v>149.0</v>
      </c>
      <c r="L103" s="20"/>
      <c r="M103" s="20">
        <v>149.0</v>
      </c>
      <c r="N103" s="5" t="s">
        <v>67</v>
      </c>
      <c r="O103" s="20" t="b">
        <v>0</v>
      </c>
      <c r="P103" s="20" t="s">
        <v>68</v>
      </c>
      <c r="Q103" s="20" t="s">
        <v>69</v>
      </c>
      <c r="R103" s="20" t="s">
        <v>2704</v>
      </c>
      <c r="S103" s="4"/>
      <c r="T103" s="4"/>
      <c r="U103" s="7"/>
      <c r="V103" s="4"/>
      <c r="W103" s="4"/>
      <c r="X103" s="4"/>
      <c r="Y103" s="4"/>
      <c r="Z103" s="4"/>
      <c r="AA103" s="5"/>
      <c r="AB103" s="5"/>
      <c r="AC103" s="5"/>
      <c r="AD103" s="5"/>
      <c r="AE103" s="5"/>
    </row>
    <row r="104">
      <c r="A104" s="1" t="s">
        <v>11834</v>
      </c>
      <c r="B104" s="19" t="s">
        <v>2733</v>
      </c>
      <c r="C104" s="20">
        <v>50015.0</v>
      </c>
      <c r="D104" s="20" t="s">
        <v>2719</v>
      </c>
      <c r="E104" s="5">
        <v>9.1851004881E11</v>
      </c>
      <c r="F104" s="21">
        <v>18355.0</v>
      </c>
      <c r="G104" s="20"/>
      <c r="H104" s="20" t="s">
        <v>2702</v>
      </c>
      <c r="I104" s="5"/>
      <c r="J104" s="20">
        <v>6.0</v>
      </c>
      <c r="K104" s="20">
        <v>699.0</v>
      </c>
      <c r="L104" s="20"/>
      <c r="M104" s="20">
        <v>699.0</v>
      </c>
      <c r="N104" s="5" t="s">
        <v>67</v>
      </c>
      <c r="O104" s="20" t="b">
        <v>0</v>
      </c>
      <c r="P104" s="20" t="s">
        <v>68</v>
      </c>
      <c r="Q104" s="20" t="s">
        <v>69</v>
      </c>
      <c r="R104" s="20" t="s">
        <v>2704</v>
      </c>
      <c r="S104" s="4"/>
      <c r="T104" s="4"/>
      <c r="U104" s="7"/>
      <c r="V104" s="4"/>
      <c r="W104" s="4"/>
      <c r="X104" s="4"/>
      <c r="Y104" s="4"/>
      <c r="Z104" s="4"/>
      <c r="AA104" s="5"/>
      <c r="AB104" s="5"/>
      <c r="AC104" s="5"/>
      <c r="AD104" s="5"/>
      <c r="AE104" s="5"/>
    </row>
    <row r="105">
      <c r="A105" s="1" t="s">
        <v>8180</v>
      </c>
      <c r="B105" s="19" t="s">
        <v>5363</v>
      </c>
      <c r="C105" s="20">
        <v>49995.0</v>
      </c>
      <c r="D105" s="20" t="s">
        <v>5362</v>
      </c>
      <c r="E105" s="20">
        <v>9.19958533813E11</v>
      </c>
      <c r="F105" s="21">
        <v>18356.0</v>
      </c>
      <c r="G105" s="20"/>
      <c r="H105" s="20" t="s">
        <v>5321</v>
      </c>
      <c r="I105" s="20"/>
      <c r="J105" s="20">
        <v>1.0</v>
      </c>
      <c r="K105" s="20">
        <v>99.0</v>
      </c>
      <c r="L105" s="20"/>
      <c r="M105" s="20">
        <v>99.0</v>
      </c>
      <c r="N105" s="5" t="s">
        <v>67</v>
      </c>
      <c r="O105" s="20" t="b">
        <v>0</v>
      </c>
      <c r="P105" s="20" t="s">
        <v>68</v>
      </c>
      <c r="Q105" s="20" t="s">
        <v>69</v>
      </c>
      <c r="R105" s="20" t="s">
        <v>5323</v>
      </c>
      <c r="S105" s="4"/>
      <c r="T105" s="4"/>
      <c r="U105" s="7"/>
      <c r="V105" s="4"/>
      <c r="W105" s="4"/>
      <c r="X105" s="4"/>
      <c r="Y105" s="4"/>
      <c r="Z105" s="4"/>
      <c r="AA105" s="5"/>
      <c r="AB105" s="5"/>
      <c r="AC105" s="5"/>
      <c r="AD105" s="5"/>
      <c r="AE105" s="5"/>
    </row>
    <row r="106">
      <c r="A106" s="15" t="s">
        <v>8183</v>
      </c>
      <c r="B106" s="19" t="s">
        <v>6233</v>
      </c>
      <c r="C106" s="20">
        <v>50046.0</v>
      </c>
      <c r="D106" s="20" t="s">
        <v>6232</v>
      </c>
      <c r="E106" s="20">
        <v>9.186602593E11</v>
      </c>
      <c r="F106" s="21">
        <v>18357.0</v>
      </c>
      <c r="G106" s="20"/>
      <c r="H106" s="20" t="s">
        <v>6217</v>
      </c>
      <c r="I106" s="20"/>
      <c r="J106" s="20">
        <v>1.0</v>
      </c>
      <c r="K106" s="20">
        <v>99.0</v>
      </c>
      <c r="L106" s="20"/>
      <c r="M106" s="20">
        <v>99.0</v>
      </c>
      <c r="N106" s="5" t="s">
        <v>67</v>
      </c>
      <c r="O106" s="20" t="b">
        <v>0</v>
      </c>
      <c r="P106" s="20" t="s">
        <v>68</v>
      </c>
      <c r="Q106" s="20" t="s">
        <v>69</v>
      </c>
      <c r="R106" s="20" t="s">
        <v>6219</v>
      </c>
      <c r="S106" s="4"/>
      <c r="T106" s="4"/>
      <c r="U106" s="7"/>
      <c r="V106" s="4"/>
      <c r="W106" s="4"/>
      <c r="X106" s="4"/>
      <c r="Y106" s="4"/>
      <c r="Z106" s="4"/>
      <c r="AA106" s="5"/>
      <c r="AB106" s="5"/>
      <c r="AC106" s="5"/>
      <c r="AD106" s="5"/>
      <c r="AE106" s="5"/>
    </row>
    <row r="107">
      <c r="A107" s="1" t="s">
        <v>10663</v>
      </c>
      <c r="B107" s="19">
        <v>44383.78611111111</v>
      </c>
      <c r="C107" s="20">
        <v>50046.0</v>
      </c>
      <c r="D107" s="20" t="s">
        <v>6232</v>
      </c>
      <c r="E107" s="5">
        <v>9.186602593E11</v>
      </c>
      <c r="F107" s="21">
        <v>18357.0</v>
      </c>
      <c r="G107" s="20"/>
      <c r="H107" s="20" t="s">
        <v>6217</v>
      </c>
      <c r="I107" s="5"/>
      <c r="J107" s="20">
        <v>6.0</v>
      </c>
      <c r="K107" s="20">
        <v>349.0</v>
      </c>
      <c r="L107" s="20"/>
      <c r="M107" s="20">
        <v>349.0</v>
      </c>
      <c r="N107" s="5" t="s">
        <v>67</v>
      </c>
      <c r="O107" s="20" t="b">
        <v>0</v>
      </c>
      <c r="P107" s="20" t="s">
        <v>68</v>
      </c>
      <c r="Q107" s="20" t="s">
        <v>69</v>
      </c>
      <c r="R107" s="20" t="s">
        <v>6219</v>
      </c>
      <c r="S107" s="4"/>
      <c r="T107" s="4"/>
      <c r="U107" s="7"/>
      <c r="V107" s="4"/>
      <c r="W107" s="4"/>
      <c r="X107" s="4"/>
      <c r="Y107" s="4"/>
      <c r="Z107" s="4"/>
      <c r="AA107" s="5"/>
      <c r="AB107" s="5"/>
      <c r="AC107" s="5"/>
      <c r="AD107" s="5"/>
      <c r="AE107" s="5"/>
    </row>
    <row r="108">
      <c r="A108" s="15" t="s">
        <v>8205</v>
      </c>
      <c r="B108" s="19" t="s">
        <v>5365</v>
      </c>
      <c r="C108" s="20">
        <v>49995.0</v>
      </c>
      <c r="D108" s="20" t="s">
        <v>5364</v>
      </c>
      <c r="E108" s="20">
        <v>9.17999996564E11</v>
      </c>
      <c r="F108" s="21">
        <v>18367.0</v>
      </c>
      <c r="G108" s="20"/>
      <c r="H108" s="20" t="s">
        <v>5321</v>
      </c>
      <c r="I108" s="20"/>
      <c r="J108" s="20">
        <v>1.0</v>
      </c>
      <c r="K108" s="20">
        <v>99.0</v>
      </c>
      <c r="L108" s="20"/>
      <c r="M108" s="20">
        <v>99.0</v>
      </c>
      <c r="N108" s="5" t="s">
        <v>67</v>
      </c>
      <c r="O108" s="20" t="b">
        <v>0</v>
      </c>
      <c r="P108" s="20" t="s">
        <v>74</v>
      </c>
      <c r="Q108" s="20" t="s">
        <v>69</v>
      </c>
      <c r="R108" s="20" t="s">
        <v>5323</v>
      </c>
      <c r="S108" s="4"/>
      <c r="T108" s="4"/>
      <c r="U108" s="7"/>
      <c r="V108" s="4"/>
      <c r="W108" s="4"/>
      <c r="X108" s="4"/>
      <c r="Y108" s="4"/>
      <c r="Z108" s="4"/>
      <c r="AA108" s="5"/>
      <c r="AB108" s="5"/>
      <c r="AC108" s="5"/>
      <c r="AD108" s="5"/>
      <c r="AE108" s="5"/>
    </row>
    <row r="109">
      <c r="A109" s="1" t="s">
        <v>8215</v>
      </c>
      <c r="B109" s="19" t="s">
        <v>5366</v>
      </c>
      <c r="C109" s="20">
        <v>49995.0</v>
      </c>
      <c r="D109" s="20" t="s">
        <v>5364</v>
      </c>
      <c r="E109" s="20">
        <v>9.17999996564E11</v>
      </c>
      <c r="F109" s="21">
        <v>18367.0</v>
      </c>
      <c r="G109" s="20"/>
      <c r="H109" s="20" t="s">
        <v>5321</v>
      </c>
      <c r="I109" s="20"/>
      <c r="J109" s="20">
        <v>1.0</v>
      </c>
      <c r="K109" s="20">
        <v>99.0</v>
      </c>
      <c r="L109" s="20"/>
      <c r="M109" s="20">
        <v>99.0</v>
      </c>
      <c r="N109" s="5" t="s">
        <v>67</v>
      </c>
      <c r="O109" s="20" t="b">
        <v>0</v>
      </c>
      <c r="P109" s="20" t="s">
        <v>74</v>
      </c>
      <c r="Q109" s="20" t="s">
        <v>69</v>
      </c>
      <c r="R109" s="20" t="s">
        <v>5323</v>
      </c>
      <c r="S109" s="4"/>
      <c r="T109" s="4"/>
      <c r="U109" s="7"/>
      <c r="V109" s="4"/>
      <c r="W109" s="4"/>
      <c r="X109" s="4"/>
      <c r="Y109" s="4"/>
      <c r="Z109" s="4"/>
      <c r="AA109" s="5"/>
      <c r="AB109" s="5"/>
      <c r="AC109" s="5"/>
      <c r="AD109" s="5"/>
      <c r="AE109" s="5"/>
    </row>
    <row r="110">
      <c r="A110" s="1" t="s">
        <v>10670</v>
      </c>
      <c r="B110" s="19">
        <v>44383.802083333336</v>
      </c>
      <c r="C110" s="20">
        <v>50110.0</v>
      </c>
      <c r="D110" s="20" t="s">
        <v>4411</v>
      </c>
      <c r="E110" s="5">
        <v>9.18124342599E11</v>
      </c>
      <c r="F110" s="21">
        <v>18384.0</v>
      </c>
      <c r="G110" s="20"/>
      <c r="H110" s="20" t="s">
        <v>4399</v>
      </c>
      <c r="I110" s="5"/>
      <c r="J110" s="20">
        <v>1.0</v>
      </c>
      <c r="K110" s="20">
        <v>99.0</v>
      </c>
      <c r="L110" s="20"/>
      <c r="M110" s="20">
        <v>99.0</v>
      </c>
      <c r="N110" s="5" t="s">
        <v>67</v>
      </c>
      <c r="O110" s="20" t="b">
        <v>0</v>
      </c>
      <c r="P110" s="20" t="s">
        <v>151</v>
      </c>
      <c r="Q110" s="20" t="s">
        <v>69</v>
      </c>
      <c r="R110" s="20" t="s">
        <v>4402</v>
      </c>
      <c r="S110" s="4"/>
      <c r="T110" s="4"/>
      <c r="U110" s="7"/>
      <c r="V110" s="4"/>
      <c r="W110" s="4"/>
      <c r="X110" s="4"/>
      <c r="Y110" s="4"/>
      <c r="Z110" s="4"/>
      <c r="AA110" s="5"/>
      <c r="AB110" s="5"/>
      <c r="AC110" s="5"/>
      <c r="AD110" s="5"/>
      <c r="AE110" s="5"/>
    </row>
    <row r="111">
      <c r="A111" s="15" t="s">
        <v>8235</v>
      </c>
      <c r="B111" s="19" t="s">
        <v>4946</v>
      </c>
      <c r="C111" s="20">
        <v>50094.0</v>
      </c>
      <c r="D111" s="20" t="s">
        <v>4411</v>
      </c>
      <c r="E111" s="20">
        <v>9.18124342599E11</v>
      </c>
      <c r="F111" s="21">
        <v>18384.0</v>
      </c>
      <c r="G111" s="20"/>
      <c r="H111" s="20" t="s">
        <v>4942</v>
      </c>
      <c r="I111" s="20"/>
      <c r="J111" s="20">
        <v>1.0</v>
      </c>
      <c r="K111" s="20">
        <v>199.0</v>
      </c>
      <c r="L111" s="20"/>
      <c r="M111" s="20">
        <v>199.0</v>
      </c>
      <c r="N111" s="5" t="s">
        <v>67</v>
      </c>
      <c r="O111" s="20" t="b">
        <v>0</v>
      </c>
      <c r="P111" s="20" t="s">
        <v>151</v>
      </c>
      <c r="Q111" s="20" t="s">
        <v>69</v>
      </c>
      <c r="R111" s="20" t="s">
        <v>4945</v>
      </c>
      <c r="S111" s="4"/>
      <c r="T111" s="4"/>
      <c r="U111" s="7"/>
      <c r="V111" s="4"/>
      <c r="W111" s="4"/>
      <c r="X111" s="4"/>
      <c r="Y111" s="4"/>
      <c r="Z111" s="4"/>
      <c r="AA111" s="5"/>
      <c r="AB111" s="5"/>
      <c r="AC111" s="5"/>
      <c r="AD111" s="5"/>
      <c r="AE111" s="5"/>
    </row>
    <row r="112">
      <c r="A112" s="1" t="s">
        <v>11999</v>
      </c>
      <c r="B112" s="19" t="s">
        <v>3655</v>
      </c>
      <c r="C112" s="20">
        <v>50136.0</v>
      </c>
      <c r="D112" s="20" t="s">
        <v>3654</v>
      </c>
      <c r="E112" s="5">
        <v>9.18981287494E11</v>
      </c>
      <c r="F112" s="21">
        <v>18534.0</v>
      </c>
      <c r="G112" s="20"/>
      <c r="H112" s="20" t="s">
        <v>3618</v>
      </c>
      <c r="I112" s="5"/>
      <c r="J112" s="20">
        <v>3.0</v>
      </c>
      <c r="K112" s="20">
        <v>199.0</v>
      </c>
      <c r="L112" s="20"/>
      <c r="M112" s="20">
        <v>199.0</v>
      </c>
      <c r="N112" s="5" t="s">
        <v>67</v>
      </c>
      <c r="O112" s="20" t="b">
        <v>0</v>
      </c>
      <c r="P112" s="20" t="s">
        <v>68</v>
      </c>
      <c r="Q112" s="20" t="s">
        <v>69</v>
      </c>
      <c r="R112" s="20" t="s">
        <v>3624</v>
      </c>
      <c r="S112" s="4"/>
      <c r="T112" s="4"/>
      <c r="U112" s="7"/>
      <c r="V112" s="4"/>
      <c r="W112" s="4"/>
      <c r="X112" s="4"/>
      <c r="Y112" s="4"/>
      <c r="Z112" s="4"/>
      <c r="AA112" s="5"/>
      <c r="AB112" s="5"/>
      <c r="AC112" s="5"/>
      <c r="AD112" s="5"/>
      <c r="AE112" s="5"/>
    </row>
    <row r="113">
      <c r="A113" s="15" t="s">
        <v>8238</v>
      </c>
      <c r="B113" s="19" t="s">
        <v>6234</v>
      </c>
      <c r="C113" s="20">
        <v>50046.0</v>
      </c>
      <c r="D113" s="20" t="s">
        <v>3654</v>
      </c>
      <c r="E113" s="20">
        <v>9.18981287494E11</v>
      </c>
      <c r="F113" s="21">
        <v>18534.0</v>
      </c>
      <c r="G113" s="20"/>
      <c r="H113" s="20" t="s">
        <v>6217</v>
      </c>
      <c r="I113" s="20"/>
      <c r="J113" s="20">
        <v>1.0</v>
      </c>
      <c r="K113" s="20">
        <v>99.0</v>
      </c>
      <c r="L113" s="20"/>
      <c r="M113" s="20">
        <v>99.0</v>
      </c>
      <c r="N113" s="5" t="s">
        <v>67</v>
      </c>
      <c r="O113" s="20" t="b">
        <v>0</v>
      </c>
      <c r="P113" s="20" t="s">
        <v>68</v>
      </c>
      <c r="Q113" s="20" t="s">
        <v>69</v>
      </c>
      <c r="R113" s="20" t="s">
        <v>6219</v>
      </c>
      <c r="S113" s="4"/>
      <c r="T113" s="4"/>
      <c r="U113" s="7"/>
      <c r="V113" s="4"/>
      <c r="W113" s="4"/>
      <c r="X113" s="4"/>
      <c r="Y113" s="4"/>
      <c r="Z113" s="4"/>
      <c r="AA113" s="5"/>
      <c r="AB113" s="5"/>
      <c r="AC113" s="5"/>
      <c r="AD113" s="5"/>
      <c r="AE113" s="5"/>
    </row>
    <row r="114">
      <c r="A114" s="15" t="s">
        <v>8441</v>
      </c>
      <c r="B114" s="19" t="s">
        <v>4037</v>
      </c>
      <c r="C114" s="20">
        <v>49833.0</v>
      </c>
      <c r="D114" s="20" t="s">
        <v>4036</v>
      </c>
      <c r="E114" s="20">
        <v>9.18948729723E11</v>
      </c>
      <c r="F114" s="21">
        <v>18480.0</v>
      </c>
      <c r="G114" s="20"/>
      <c r="H114" s="20" t="s">
        <v>4030</v>
      </c>
      <c r="I114" s="20"/>
      <c r="J114" s="20">
        <v>1.0</v>
      </c>
      <c r="K114" s="20">
        <v>99.0</v>
      </c>
      <c r="L114" s="20"/>
      <c r="M114" s="20">
        <v>99.0</v>
      </c>
      <c r="N114" s="5" t="s">
        <v>67</v>
      </c>
      <c r="O114" s="20" t="b">
        <v>0</v>
      </c>
      <c r="P114" s="20" t="s">
        <v>68</v>
      </c>
      <c r="Q114" s="20" t="s">
        <v>69</v>
      </c>
      <c r="R114" s="20" t="s">
        <v>4033</v>
      </c>
      <c r="S114" s="4"/>
      <c r="T114" s="4"/>
      <c r="U114" s="8"/>
      <c r="V114" s="4"/>
      <c r="W114" s="4"/>
      <c r="X114" s="4"/>
      <c r="Y114" s="4"/>
      <c r="Z114" s="4"/>
      <c r="AA114" s="5"/>
      <c r="AB114" s="5"/>
      <c r="AC114" s="5"/>
      <c r="AD114" s="5"/>
      <c r="AE114" s="5"/>
    </row>
    <row r="115">
      <c r="A115" s="1" t="s">
        <v>11994</v>
      </c>
      <c r="B115" s="19" t="s">
        <v>4250</v>
      </c>
      <c r="C115" s="20">
        <v>49833.0</v>
      </c>
      <c r="D115" s="20" t="s">
        <v>4036</v>
      </c>
      <c r="E115" s="5">
        <v>9.18948729723E11</v>
      </c>
      <c r="F115" s="21">
        <v>18480.0</v>
      </c>
      <c r="G115" s="20"/>
      <c r="H115" s="20" t="s">
        <v>4030</v>
      </c>
      <c r="I115" s="5"/>
      <c r="J115" s="20">
        <v>6.0</v>
      </c>
      <c r="K115" s="20">
        <v>449.0</v>
      </c>
      <c r="L115" s="20"/>
      <c r="M115" s="20">
        <v>449.0</v>
      </c>
      <c r="N115" s="5" t="s">
        <v>67</v>
      </c>
      <c r="O115" s="20" t="b">
        <v>0</v>
      </c>
      <c r="P115" s="20" t="s">
        <v>68</v>
      </c>
      <c r="Q115" s="20" t="s">
        <v>69</v>
      </c>
      <c r="R115" s="20" t="s">
        <v>4033</v>
      </c>
      <c r="S115" s="4"/>
      <c r="T115" s="4"/>
      <c r="U115" s="7"/>
      <c r="V115" s="4"/>
      <c r="W115" s="4"/>
      <c r="X115" s="4"/>
      <c r="Y115" s="4"/>
      <c r="Z115" s="4"/>
      <c r="AA115" s="5"/>
      <c r="AB115" s="5"/>
      <c r="AC115" s="5"/>
      <c r="AD115" s="5"/>
      <c r="AE115" s="5"/>
    </row>
    <row r="116">
      <c r="A116" s="1" t="s">
        <v>9798</v>
      </c>
      <c r="B116" s="19" t="s">
        <v>4717</v>
      </c>
      <c r="C116" s="20">
        <v>49859.0</v>
      </c>
      <c r="D116" s="20" t="s">
        <v>4716</v>
      </c>
      <c r="E116" s="5">
        <v>9.16000685506E11</v>
      </c>
      <c r="F116" s="21">
        <v>19144.0</v>
      </c>
      <c r="G116" s="20"/>
      <c r="H116" s="20" t="s">
        <v>1133</v>
      </c>
      <c r="I116" s="5"/>
      <c r="J116" s="20">
        <v>1.0</v>
      </c>
      <c r="K116" s="20">
        <v>99.0</v>
      </c>
      <c r="L116" s="20"/>
      <c r="M116" s="20">
        <v>99.0</v>
      </c>
      <c r="N116" s="5" t="s">
        <v>67</v>
      </c>
      <c r="O116" s="20" t="b">
        <v>0</v>
      </c>
      <c r="P116" s="20" t="s">
        <v>74</v>
      </c>
      <c r="Q116" s="20" t="s">
        <v>69</v>
      </c>
      <c r="R116" s="20" t="s">
        <v>4620</v>
      </c>
      <c r="S116" s="4"/>
      <c r="T116" s="4"/>
      <c r="U116" s="7"/>
      <c r="V116" s="4"/>
      <c r="W116" s="4"/>
      <c r="X116" s="4"/>
      <c r="Y116" s="4"/>
      <c r="Z116" s="4"/>
      <c r="AA116" s="5"/>
      <c r="AB116" s="5"/>
      <c r="AC116" s="5"/>
      <c r="AD116" s="5"/>
      <c r="AE116" s="5"/>
    </row>
    <row r="117">
      <c r="A117" s="15" t="s">
        <v>8304</v>
      </c>
      <c r="B117" s="19" t="s">
        <v>4947</v>
      </c>
      <c r="C117" s="20">
        <v>50094.0</v>
      </c>
      <c r="D117" s="20" t="s">
        <v>4716</v>
      </c>
      <c r="E117" s="20">
        <v>9.16000685506E11</v>
      </c>
      <c r="F117" s="22" t="s">
        <v>12593</v>
      </c>
      <c r="G117" s="20"/>
      <c r="H117" s="20" t="s">
        <v>4942</v>
      </c>
      <c r="I117" s="20"/>
      <c r="J117" s="20">
        <v>1.0</v>
      </c>
      <c r="K117" s="20">
        <v>199.0</v>
      </c>
      <c r="L117" s="20"/>
      <c r="M117" s="20">
        <v>199.0</v>
      </c>
      <c r="N117" s="5" t="s">
        <v>67</v>
      </c>
      <c r="O117" s="20" t="b">
        <v>0</v>
      </c>
      <c r="P117" s="20" t="s">
        <v>74</v>
      </c>
      <c r="Q117" s="20" t="s">
        <v>69</v>
      </c>
      <c r="R117" s="20" t="s">
        <v>4945</v>
      </c>
      <c r="S117" s="4"/>
      <c r="T117" s="4"/>
      <c r="U117" s="7"/>
      <c r="V117" s="4"/>
      <c r="W117" s="4"/>
      <c r="X117" s="4"/>
      <c r="Y117" s="4"/>
      <c r="Z117" s="4"/>
      <c r="AA117" s="5"/>
      <c r="AB117" s="5"/>
      <c r="AC117" s="5"/>
      <c r="AD117" s="5"/>
      <c r="AE117" s="5"/>
    </row>
    <row r="118">
      <c r="A118" s="15" t="s">
        <v>8472</v>
      </c>
      <c r="B118" s="19" t="s">
        <v>6005</v>
      </c>
      <c r="C118" s="20">
        <v>50076.0</v>
      </c>
      <c r="D118" s="20" t="s">
        <v>6004</v>
      </c>
      <c r="E118" s="20">
        <v>9.17544077784E11</v>
      </c>
      <c r="F118" s="21">
        <v>18562.0</v>
      </c>
      <c r="G118" s="20"/>
      <c r="H118" s="20" t="s">
        <v>5984</v>
      </c>
      <c r="I118" s="20"/>
      <c r="J118" s="20">
        <v>1.0</v>
      </c>
      <c r="K118" s="20">
        <v>99.0</v>
      </c>
      <c r="L118" s="20"/>
      <c r="M118" s="20">
        <v>99.0</v>
      </c>
      <c r="N118" s="5" t="s">
        <v>67</v>
      </c>
      <c r="O118" s="20" t="b">
        <v>0</v>
      </c>
      <c r="P118" s="20" t="s">
        <v>68</v>
      </c>
      <c r="Q118" s="20" t="s">
        <v>69</v>
      </c>
      <c r="R118" s="20" t="s">
        <v>5987</v>
      </c>
      <c r="S118" s="4"/>
      <c r="T118" s="4"/>
      <c r="U118" s="7"/>
      <c r="V118" s="4"/>
      <c r="W118" s="4"/>
      <c r="X118" s="4"/>
      <c r="Y118" s="4"/>
      <c r="Z118" s="4"/>
      <c r="AA118" s="5"/>
      <c r="AB118" s="5"/>
      <c r="AC118" s="5"/>
      <c r="AD118" s="5"/>
      <c r="AE118" s="5"/>
    </row>
    <row r="119">
      <c r="A119" s="1" t="s">
        <v>11995</v>
      </c>
      <c r="B119" s="19" t="s">
        <v>6153</v>
      </c>
      <c r="C119" s="20">
        <v>50076.0</v>
      </c>
      <c r="D119" s="20" t="s">
        <v>6004</v>
      </c>
      <c r="E119" s="5">
        <v>9.17544077784E11</v>
      </c>
      <c r="F119" s="21">
        <v>18562.0</v>
      </c>
      <c r="G119" s="20"/>
      <c r="H119" s="20" t="s">
        <v>5984</v>
      </c>
      <c r="I119" s="5"/>
      <c r="J119" s="20">
        <v>1.0</v>
      </c>
      <c r="K119" s="20">
        <v>299.0</v>
      </c>
      <c r="L119" s="20"/>
      <c r="M119" s="20">
        <v>299.0</v>
      </c>
      <c r="N119" s="5" t="s">
        <v>67</v>
      </c>
      <c r="O119" s="20" t="b">
        <v>0</v>
      </c>
      <c r="P119" s="20" t="s">
        <v>68</v>
      </c>
      <c r="Q119" s="20" t="s">
        <v>69</v>
      </c>
      <c r="R119" s="20" t="s">
        <v>5987</v>
      </c>
      <c r="S119" s="4"/>
      <c r="T119" s="4"/>
      <c r="U119" s="7"/>
      <c r="V119" s="4"/>
      <c r="W119" s="4"/>
      <c r="X119" s="4"/>
      <c r="Y119" s="4"/>
      <c r="Z119" s="4"/>
      <c r="AA119" s="5"/>
      <c r="AB119" s="5"/>
      <c r="AC119" s="5"/>
      <c r="AD119" s="5"/>
      <c r="AE119" s="5"/>
    </row>
    <row r="120">
      <c r="A120" s="15" t="s">
        <v>8519</v>
      </c>
      <c r="B120" s="19" t="s">
        <v>2640</v>
      </c>
      <c r="C120" s="20">
        <v>50065.0</v>
      </c>
      <c r="D120" s="20" t="s">
        <v>2639</v>
      </c>
      <c r="E120" s="20">
        <v>9.1987177711E11</v>
      </c>
      <c r="F120" s="21">
        <v>18536.0</v>
      </c>
      <c r="G120" s="20"/>
      <c r="H120" s="20" t="s">
        <v>2601</v>
      </c>
      <c r="I120" s="20"/>
      <c r="J120" s="20">
        <v>1.0</v>
      </c>
      <c r="K120" s="20">
        <v>99.0</v>
      </c>
      <c r="L120" s="20"/>
      <c r="M120" s="20">
        <v>99.0</v>
      </c>
      <c r="N120" s="5" t="s">
        <v>67</v>
      </c>
      <c r="O120" s="20" t="b">
        <v>0</v>
      </c>
      <c r="P120" s="20" t="s">
        <v>68</v>
      </c>
      <c r="Q120" s="20" t="s">
        <v>69</v>
      </c>
      <c r="R120" s="20" t="s">
        <v>2604</v>
      </c>
      <c r="S120" s="4"/>
      <c r="T120" s="4"/>
      <c r="U120" s="7"/>
      <c r="V120" s="4"/>
      <c r="W120" s="4"/>
      <c r="X120" s="4"/>
      <c r="Y120" s="4"/>
      <c r="Z120" s="4"/>
      <c r="AA120" s="5"/>
      <c r="AB120" s="5"/>
      <c r="AC120" s="5"/>
      <c r="AD120" s="5"/>
      <c r="AE120" s="5"/>
    </row>
    <row r="121">
      <c r="A121" s="1" t="s">
        <v>10526</v>
      </c>
      <c r="B121" s="19">
        <v>44353.64791666667</v>
      </c>
      <c r="C121" s="20">
        <v>49813.0</v>
      </c>
      <c r="D121" s="20" t="s">
        <v>2639</v>
      </c>
      <c r="E121" s="5">
        <v>9.1987177711E11</v>
      </c>
      <c r="F121" s="21">
        <v>18536.0</v>
      </c>
      <c r="G121" s="20"/>
      <c r="H121" s="20" t="s">
        <v>5114</v>
      </c>
      <c r="I121" s="5"/>
      <c r="J121" s="20">
        <v>6.0</v>
      </c>
      <c r="K121" s="20">
        <v>799.0</v>
      </c>
      <c r="L121" s="20"/>
      <c r="M121" s="20">
        <v>799.0</v>
      </c>
      <c r="N121" s="5" t="s">
        <v>67</v>
      </c>
      <c r="O121" s="20" t="b">
        <v>0</v>
      </c>
      <c r="P121" s="20" t="s">
        <v>68</v>
      </c>
      <c r="Q121" s="20" t="s">
        <v>69</v>
      </c>
      <c r="R121" s="20" t="s">
        <v>5116</v>
      </c>
      <c r="S121" s="4"/>
      <c r="T121" s="4"/>
      <c r="U121" s="7"/>
      <c r="V121" s="4"/>
      <c r="W121" s="4"/>
      <c r="X121" s="4"/>
      <c r="Y121" s="4"/>
      <c r="Z121" s="4"/>
      <c r="AA121" s="5"/>
      <c r="AB121" s="5"/>
      <c r="AC121" s="5"/>
      <c r="AD121" s="5"/>
      <c r="AE121" s="5"/>
    </row>
    <row r="122">
      <c r="A122" s="15" t="s">
        <v>8548</v>
      </c>
      <c r="B122" s="19" t="s">
        <v>3035</v>
      </c>
      <c r="C122" s="20">
        <v>50020.0</v>
      </c>
      <c r="D122" s="20" t="s">
        <v>3034</v>
      </c>
      <c r="E122" s="20">
        <v>9.18144383673E11</v>
      </c>
      <c r="F122" s="22" t="s">
        <v>12593</v>
      </c>
      <c r="G122" s="20"/>
      <c r="H122" s="20" t="s">
        <v>3008</v>
      </c>
      <c r="I122" s="20"/>
      <c r="J122" s="20">
        <v>6.0</v>
      </c>
      <c r="K122" s="20">
        <v>349.0</v>
      </c>
      <c r="L122" s="20"/>
      <c r="M122" s="20">
        <v>349.0</v>
      </c>
      <c r="N122" s="5" t="s">
        <v>67</v>
      </c>
      <c r="O122" s="20" t="b">
        <v>0</v>
      </c>
      <c r="P122" s="20" t="s">
        <v>68</v>
      </c>
      <c r="Q122" s="20" t="s">
        <v>69</v>
      </c>
      <c r="R122" s="20" t="s">
        <v>3010</v>
      </c>
      <c r="S122" s="4"/>
      <c r="T122" s="4"/>
      <c r="U122" s="7"/>
      <c r="V122" s="4"/>
      <c r="W122" s="4"/>
      <c r="X122" s="4"/>
      <c r="Y122" s="4"/>
      <c r="Z122" s="4"/>
      <c r="AA122" s="5"/>
      <c r="AB122" s="5"/>
      <c r="AC122" s="5"/>
      <c r="AD122" s="5"/>
      <c r="AE122" s="5"/>
    </row>
    <row r="123">
      <c r="A123" s="1" t="s">
        <v>8725</v>
      </c>
      <c r="B123" s="19" t="s">
        <v>3421</v>
      </c>
      <c r="C123" s="20">
        <v>50030.0</v>
      </c>
      <c r="D123" s="20" t="s">
        <v>3034</v>
      </c>
      <c r="E123" s="20">
        <v>9.18144383673E11</v>
      </c>
      <c r="F123" s="21">
        <v>18648.0</v>
      </c>
      <c r="G123" s="20"/>
      <c r="H123" s="20" t="s">
        <v>3326</v>
      </c>
      <c r="I123" s="20"/>
      <c r="J123" s="20">
        <v>6.0</v>
      </c>
      <c r="K123" s="20">
        <v>349.0</v>
      </c>
      <c r="L123" s="20"/>
      <c r="M123" s="20">
        <v>349.0</v>
      </c>
      <c r="N123" s="5" t="s">
        <v>67</v>
      </c>
      <c r="O123" s="20" t="b">
        <v>0</v>
      </c>
      <c r="P123" s="20" t="s">
        <v>68</v>
      </c>
      <c r="Q123" s="20" t="s">
        <v>69</v>
      </c>
      <c r="R123" s="20" t="s">
        <v>3328</v>
      </c>
      <c r="S123" s="4"/>
      <c r="T123" s="4"/>
      <c r="U123" s="8"/>
      <c r="V123" s="4"/>
      <c r="W123" s="4"/>
      <c r="X123" s="4"/>
      <c r="Y123" s="4"/>
      <c r="Z123" s="4"/>
      <c r="AA123" s="5"/>
      <c r="AB123" s="5"/>
      <c r="AC123" s="5"/>
      <c r="AD123" s="5"/>
      <c r="AE123" s="5"/>
    </row>
    <row r="124">
      <c r="A124" s="1" t="s">
        <v>9681</v>
      </c>
      <c r="B124" s="19" t="s">
        <v>3466</v>
      </c>
      <c r="C124" s="20">
        <v>50030.0</v>
      </c>
      <c r="D124" s="20" t="s">
        <v>3465</v>
      </c>
      <c r="E124" s="5">
        <v>9.18882330659E11</v>
      </c>
      <c r="F124" s="21">
        <v>18713.0</v>
      </c>
      <c r="G124" s="20"/>
      <c r="H124" s="20" t="s">
        <v>3326</v>
      </c>
      <c r="I124" s="5"/>
      <c r="J124" s="20">
        <v>1.0</v>
      </c>
      <c r="K124" s="20">
        <v>99.0</v>
      </c>
      <c r="L124" s="20"/>
      <c r="M124" s="20">
        <v>99.0</v>
      </c>
      <c r="N124" s="5" t="s">
        <v>67</v>
      </c>
      <c r="O124" s="20" t="b">
        <v>0</v>
      </c>
      <c r="P124" s="20" t="s">
        <v>68</v>
      </c>
      <c r="Q124" s="20" t="s">
        <v>69</v>
      </c>
      <c r="R124" s="20" t="s">
        <v>3328</v>
      </c>
      <c r="S124" s="4"/>
      <c r="T124" s="4"/>
      <c r="U124" s="7"/>
      <c r="V124" s="4"/>
      <c r="W124" s="4"/>
      <c r="X124" s="4"/>
      <c r="Y124" s="4"/>
      <c r="Z124" s="4"/>
      <c r="AA124" s="5"/>
      <c r="AB124" s="5"/>
      <c r="AC124" s="5"/>
      <c r="AD124" s="5"/>
      <c r="AE124" s="5"/>
    </row>
    <row r="125">
      <c r="A125" s="15" t="s">
        <v>8870</v>
      </c>
      <c r="B125" s="19" t="s">
        <v>6077</v>
      </c>
      <c r="C125" s="20">
        <v>50076.0</v>
      </c>
      <c r="D125" s="20" t="s">
        <v>3465</v>
      </c>
      <c r="E125" s="20">
        <v>9.18882330659E11</v>
      </c>
      <c r="F125" s="21">
        <v>18713.0</v>
      </c>
      <c r="G125" s="20"/>
      <c r="H125" s="20" t="s">
        <v>5984</v>
      </c>
      <c r="I125" s="20"/>
      <c r="J125" s="20">
        <v>1.0</v>
      </c>
      <c r="K125" s="20">
        <v>99.0</v>
      </c>
      <c r="L125" s="20"/>
      <c r="M125" s="20">
        <v>99.0</v>
      </c>
      <c r="N125" s="5" t="s">
        <v>67</v>
      </c>
      <c r="O125" s="20" t="b">
        <v>0</v>
      </c>
      <c r="P125" s="20" t="s">
        <v>68</v>
      </c>
      <c r="Q125" s="20" t="s">
        <v>69</v>
      </c>
      <c r="R125" s="20" t="s">
        <v>5987</v>
      </c>
      <c r="S125" s="4"/>
      <c r="T125" s="4"/>
      <c r="U125" s="7"/>
      <c r="V125" s="4"/>
      <c r="W125" s="4"/>
      <c r="X125" s="4"/>
      <c r="Y125" s="4"/>
      <c r="Z125" s="4"/>
      <c r="AA125" s="5"/>
      <c r="AB125" s="5"/>
      <c r="AC125" s="5"/>
      <c r="AD125" s="5"/>
      <c r="AE125" s="5"/>
    </row>
    <row r="126">
      <c r="A126" s="15" t="s">
        <v>8687</v>
      </c>
      <c r="B126" s="19" t="s">
        <v>5149</v>
      </c>
      <c r="C126" s="20">
        <v>49813.0</v>
      </c>
      <c r="D126" s="20" t="s">
        <v>5148</v>
      </c>
      <c r="E126" s="20">
        <v>9.19971687735E11</v>
      </c>
      <c r="F126" s="21">
        <v>18628.0</v>
      </c>
      <c r="G126" s="20"/>
      <c r="H126" s="20" t="s">
        <v>5114</v>
      </c>
      <c r="I126" s="20"/>
      <c r="J126" s="20">
        <v>1.0</v>
      </c>
      <c r="K126" s="20">
        <v>299.0</v>
      </c>
      <c r="L126" s="20"/>
      <c r="M126" s="20">
        <v>299.0</v>
      </c>
      <c r="N126" s="5" t="s">
        <v>67</v>
      </c>
      <c r="O126" s="20" t="b">
        <v>0</v>
      </c>
      <c r="P126" s="20" t="s">
        <v>68</v>
      </c>
      <c r="Q126" s="20" t="s">
        <v>69</v>
      </c>
      <c r="R126" s="20" t="s">
        <v>5116</v>
      </c>
      <c r="S126" s="4"/>
      <c r="T126" s="4"/>
      <c r="U126" s="7"/>
      <c r="V126" s="4"/>
      <c r="W126" s="4"/>
      <c r="X126" s="4"/>
      <c r="Y126" s="4"/>
      <c r="Z126" s="4"/>
      <c r="AA126" s="5"/>
      <c r="AB126" s="5"/>
      <c r="AC126" s="5"/>
      <c r="AD126" s="5"/>
      <c r="AE126" s="5"/>
    </row>
    <row r="127">
      <c r="A127" s="1" t="s">
        <v>12464</v>
      </c>
      <c r="B127" s="19" t="s">
        <v>5176</v>
      </c>
      <c r="C127" s="20">
        <v>49813.0</v>
      </c>
      <c r="D127" s="20" t="s">
        <v>5148</v>
      </c>
      <c r="E127" s="5">
        <v>9.19971687735E11</v>
      </c>
      <c r="F127" s="21">
        <v>18628.0</v>
      </c>
      <c r="G127" s="20"/>
      <c r="H127" s="20" t="s">
        <v>5114</v>
      </c>
      <c r="I127" s="5"/>
      <c r="J127" s="20">
        <v>3.0</v>
      </c>
      <c r="K127" s="20">
        <v>499.0</v>
      </c>
      <c r="L127" s="20"/>
      <c r="M127" s="20">
        <v>499.0</v>
      </c>
      <c r="N127" s="5" t="s">
        <v>67</v>
      </c>
      <c r="O127" s="20" t="b">
        <v>0</v>
      </c>
      <c r="P127" s="20" t="s">
        <v>68</v>
      </c>
      <c r="Q127" s="20" t="s">
        <v>69</v>
      </c>
      <c r="R127" s="20" t="s">
        <v>5116</v>
      </c>
      <c r="S127" s="4"/>
      <c r="T127" s="4"/>
      <c r="U127" s="7"/>
      <c r="V127" s="4"/>
      <c r="W127" s="4"/>
      <c r="X127" s="4"/>
      <c r="Y127" s="4"/>
      <c r="Z127" s="4"/>
      <c r="AA127" s="5"/>
      <c r="AB127" s="5"/>
      <c r="AC127" s="5"/>
      <c r="AD127" s="5"/>
      <c r="AE127" s="5"/>
    </row>
    <row r="128">
      <c r="A128" s="1" t="s">
        <v>10084</v>
      </c>
      <c r="B128" s="19">
        <v>44202.913194444445</v>
      </c>
      <c r="C128" s="20">
        <v>50079.0</v>
      </c>
      <c r="D128" s="20" t="s">
        <v>4335</v>
      </c>
      <c r="E128" s="5">
        <v>9.19611815533E11</v>
      </c>
      <c r="F128" s="21">
        <v>18643.0</v>
      </c>
      <c r="G128" s="20"/>
      <c r="H128" s="20" t="s">
        <v>4281</v>
      </c>
      <c r="I128" s="5"/>
      <c r="J128" s="20">
        <v>1.0</v>
      </c>
      <c r="K128" s="20">
        <v>99.0</v>
      </c>
      <c r="L128" s="20"/>
      <c r="M128" s="20">
        <v>99.0</v>
      </c>
      <c r="N128" s="5" t="s">
        <v>67</v>
      </c>
      <c r="O128" s="20" t="b">
        <v>0</v>
      </c>
      <c r="P128" s="20" t="s">
        <v>68</v>
      </c>
      <c r="Q128" s="20" t="s">
        <v>69</v>
      </c>
      <c r="R128" s="20" t="s">
        <v>4284</v>
      </c>
      <c r="S128" s="4"/>
      <c r="T128" s="4"/>
      <c r="U128" s="7"/>
      <c r="V128" s="4"/>
      <c r="W128" s="4"/>
      <c r="X128" s="4"/>
      <c r="Y128" s="4"/>
      <c r="Z128" s="4"/>
      <c r="AA128" s="5"/>
      <c r="AB128" s="5"/>
      <c r="AC128" s="5"/>
      <c r="AD128" s="5"/>
      <c r="AE128" s="5"/>
    </row>
    <row r="129">
      <c r="A129" s="15" t="s">
        <v>8713</v>
      </c>
      <c r="B129" s="19" t="s">
        <v>6333</v>
      </c>
      <c r="C129" s="20">
        <v>50044.0</v>
      </c>
      <c r="D129" s="20" t="s">
        <v>4335</v>
      </c>
      <c r="E129" s="20">
        <v>9.19611815533E11</v>
      </c>
      <c r="F129" s="21">
        <v>18643.0</v>
      </c>
      <c r="G129" s="20"/>
      <c r="H129" s="20" t="s">
        <v>6320</v>
      </c>
      <c r="I129" s="20"/>
      <c r="J129" s="20">
        <v>1.0</v>
      </c>
      <c r="K129" s="20">
        <v>349.0</v>
      </c>
      <c r="L129" s="20"/>
      <c r="M129" s="20">
        <v>349.0</v>
      </c>
      <c r="N129" s="5" t="s">
        <v>67</v>
      </c>
      <c r="O129" s="20" t="b">
        <v>0</v>
      </c>
      <c r="P129" s="20" t="s">
        <v>68</v>
      </c>
      <c r="Q129" s="20" t="s">
        <v>69</v>
      </c>
      <c r="R129" s="20" t="s">
        <v>6322</v>
      </c>
      <c r="S129" s="4"/>
      <c r="T129" s="4"/>
      <c r="U129" s="7"/>
      <c r="V129" s="4"/>
      <c r="W129" s="4"/>
      <c r="X129" s="4"/>
      <c r="Y129" s="4"/>
      <c r="Z129" s="4"/>
      <c r="AA129" s="5"/>
      <c r="AB129" s="5"/>
      <c r="AC129" s="5"/>
      <c r="AD129" s="5"/>
      <c r="AE129" s="5"/>
    </row>
    <row r="130">
      <c r="A130" s="15" t="s">
        <v>8791</v>
      </c>
      <c r="B130" s="19" t="s">
        <v>6536</v>
      </c>
      <c r="C130" s="20">
        <v>50073.0</v>
      </c>
      <c r="D130" s="20" t="s">
        <v>2380</v>
      </c>
      <c r="E130" s="20">
        <v>9.19163390973E11</v>
      </c>
      <c r="F130" s="21">
        <v>17749.0</v>
      </c>
      <c r="G130" s="20"/>
      <c r="H130" s="20" t="s">
        <v>6466</v>
      </c>
      <c r="I130" s="20"/>
      <c r="J130" s="20">
        <v>1.0</v>
      </c>
      <c r="K130" s="20">
        <v>599.0</v>
      </c>
      <c r="L130" s="20"/>
      <c r="M130" s="20">
        <v>599.0</v>
      </c>
      <c r="N130" s="5" t="s">
        <v>67</v>
      </c>
      <c r="O130" s="20" t="b">
        <v>0</v>
      </c>
      <c r="P130" s="20" t="s">
        <v>97</v>
      </c>
      <c r="Q130" s="20" t="s">
        <v>69</v>
      </c>
      <c r="R130" s="20" t="s">
        <v>6497</v>
      </c>
      <c r="S130" s="4"/>
      <c r="T130" s="4"/>
      <c r="U130" s="7"/>
      <c r="V130" s="4"/>
      <c r="W130" s="4"/>
      <c r="X130" s="4"/>
      <c r="Y130" s="4"/>
      <c r="Z130" s="4"/>
      <c r="AA130" s="5"/>
      <c r="AB130" s="5"/>
      <c r="AC130" s="5"/>
      <c r="AD130" s="5"/>
      <c r="AE130" s="5"/>
    </row>
    <row r="131">
      <c r="A131" s="1" t="s">
        <v>12535</v>
      </c>
      <c r="B131" s="19" t="s">
        <v>6589</v>
      </c>
      <c r="C131" s="20">
        <v>50073.0</v>
      </c>
      <c r="D131" s="20" t="s">
        <v>2380</v>
      </c>
      <c r="E131" s="5">
        <v>9.19163390973E11</v>
      </c>
      <c r="F131" s="21">
        <v>17749.0</v>
      </c>
      <c r="G131" s="20"/>
      <c r="H131" s="20" t="s">
        <v>2161</v>
      </c>
      <c r="I131" s="5"/>
      <c r="J131" s="20">
        <v>1.0</v>
      </c>
      <c r="K131" s="20">
        <v>799.0</v>
      </c>
      <c r="L131" s="20"/>
      <c r="M131" s="20">
        <v>799.0</v>
      </c>
      <c r="N131" s="5" t="s">
        <v>67</v>
      </c>
      <c r="O131" s="20" t="b">
        <v>0</v>
      </c>
      <c r="P131" s="20" t="s">
        <v>97</v>
      </c>
      <c r="Q131" s="20" t="s">
        <v>69</v>
      </c>
      <c r="R131" s="20" t="s">
        <v>6497</v>
      </c>
      <c r="S131" s="4"/>
      <c r="T131" s="4"/>
      <c r="U131" s="8"/>
      <c r="V131" s="4"/>
      <c r="W131" s="4"/>
      <c r="X131" s="4"/>
      <c r="Y131" s="4"/>
      <c r="Z131" s="4"/>
      <c r="AA131" s="5"/>
      <c r="AB131" s="5"/>
      <c r="AC131" s="5"/>
      <c r="AD131" s="5"/>
      <c r="AE131" s="5"/>
    </row>
    <row r="132">
      <c r="A132" s="15" t="s">
        <v>9079</v>
      </c>
      <c r="B132" s="19" t="s">
        <v>5249</v>
      </c>
      <c r="C132" s="20">
        <v>50022.0</v>
      </c>
      <c r="D132" s="20" t="s">
        <v>5248</v>
      </c>
      <c r="E132" s="5">
        <v>9.19680448639E11</v>
      </c>
      <c r="F132" s="21">
        <v>18817.0</v>
      </c>
      <c r="G132" s="20"/>
      <c r="H132" s="20" t="s">
        <v>5181</v>
      </c>
      <c r="I132" s="5"/>
      <c r="J132" s="20">
        <v>1.0</v>
      </c>
      <c r="K132" s="20">
        <v>99.0</v>
      </c>
      <c r="L132" s="20"/>
      <c r="M132" s="20">
        <v>99.0</v>
      </c>
      <c r="N132" s="5" t="s">
        <v>67</v>
      </c>
      <c r="O132" s="20" t="b">
        <v>0</v>
      </c>
      <c r="P132" s="20" t="s">
        <v>68</v>
      </c>
      <c r="Q132" s="20" t="s">
        <v>69</v>
      </c>
      <c r="R132" s="20" t="s">
        <v>5183</v>
      </c>
      <c r="S132" s="4"/>
      <c r="T132" s="4"/>
      <c r="U132" s="7"/>
      <c r="V132" s="4"/>
      <c r="W132" s="4"/>
      <c r="X132" s="4"/>
      <c r="Y132" s="4"/>
      <c r="Z132" s="4"/>
      <c r="AA132" s="5"/>
      <c r="AB132" s="5"/>
      <c r="AC132" s="5"/>
      <c r="AD132" s="5"/>
      <c r="AE132" s="5"/>
    </row>
    <row r="133">
      <c r="A133" s="1" t="s">
        <v>12424</v>
      </c>
      <c r="B133" s="19" t="s">
        <v>5315</v>
      </c>
      <c r="C133" s="20">
        <v>50022.0</v>
      </c>
      <c r="D133" s="20" t="s">
        <v>5248</v>
      </c>
      <c r="E133" s="5">
        <v>9.19680448639E11</v>
      </c>
      <c r="F133" s="21">
        <v>18817.0</v>
      </c>
      <c r="G133" s="20"/>
      <c r="H133" s="20" t="s">
        <v>5181</v>
      </c>
      <c r="I133" s="5"/>
      <c r="J133" s="20">
        <v>6.0</v>
      </c>
      <c r="K133" s="20">
        <v>349.0</v>
      </c>
      <c r="L133" s="20"/>
      <c r="M133" s="20">
        <v>349.0</v>
      </c>
      <c r="N133" s="5" t="s">
        <v>67</v>
      </c>
      <c r="O133" s="20" t="b">
        <v>0</v>
      </c>
      <c r="P133" s="20" t="s">
        <v>68</v>
      </c>
      <c r="Q133" s="20" t="s">
        <v>69</v>
      </c>
      <c r="R133" s="20" t="s">
        <v>5183</v>
      </c>
      <c r="S133" s="4"/>
      <c r="T133" s="4"/>
      <c r="U133" s="7"/>
      <c r="V133" s="4"/>
      <c r="W133" s="4"/>
      <c r="X133" s="4"/>
      <c r="Y133" s="4"/>
      <c r="Z133" s="4"/>
      <c r="AA133" s="5"/>
      <c r="AB133" s="5"/>
      <c r="AC133" s="5"/>
      <c r="AD133" s="5"/>
      <c r="AE133" s="5"/>
    </row>
    <row r="134">
      <c r="A134" s="1" t="s">
        <v>12329</v>
      </c>
      <c r="B134" s="19">
        <v>44536.93402777778</v>
      </c>
      <c r="C134" s="20">
        <v>50110.0</v>
      </c>
      <c r="D134" s="20" t="s">
        <v>4415</v>
      </c>
      <c r="E134" s="5">
        <v>9.18114971986E11</v>
      </c>
      <c r="F134" s="21">
        <v>0.0</v>
      </c>
      <c r="G134" s="20"/>
      <c r="H134" s="20" t="s">
        <v>4399</v>
      </c>
      <c r="I134" s="5"/>
      <c r="J134" s="20">
        <v>1.0</v>
      </c>
      <c r="K134" s="20">
        <v>99.0</v>
      </c>
      <c r="L134" s="20"/>
      <c r="M134" s="20">
        <v>99.0</v>
      </c>
      <c r="N134" s="5" t="s">
        <v>67</v>
      </c>
      <c r="O134" s="20" t="b">
        <v>0</v>
      </c>
      <c r="P134" s="20" t="s">
        <v>68</v>
      </c>
      <c r="Q134" s="20" t="s">
        <v>69</v>
      </c>
      <c r="R134" s="20" t="s">
        <v>4402</v>
      </c>
      <c r="S134" s="4"/>
      <c r="T134" s="4"/>
      <c r="U134" s="7"/>
      <c r="V134" s="4"/>
      <c r="W134" s="4"/>
      <c r="X134" s="4"/>
      <c r="Y134" s="4"/>
      <c r="Z134" s="4"/>
      <c r="AA134" s="5"/>
      <c r="AB134" s="5"/>
      <c r="AC134" s="5"/>
      <c r="AD134" s="5"/>
      <c r="AE134" s="5"/>
    </row>
    <row r="135">
      <c r="A135" s="15" t="s">
        <v>9436</v>
      </c>
      <c r="B135" s="19" t="s">
        <v>6344</v>
      </c>
      <c r="C135" s="20">
        <v>50044.0</v>
      </c>
      <c r="D135" s="20" t="s">
        <v>4415</v>
      </c>
      <c r="E135" s="5">
        <v>9.18114971986E11</v>
      </c>
      <c r="F135" s="21">
        <v>0.0</v>
      </c>
      <c r="G135" s="20"/>
      <c r="H135" s="20" t="s">
        <v>6320</v>
      </c>
      <c r="I135" s="5"/>
      <c r="J135" s="20">
        <v>1.0</v>
      </c>
      <c r="K135" s="20">
        <v>349.0</v>
      </c>
      <c r="L135" s="20"/>
      <c r="M135" s="20">
        <v>349.0</v>
      </c>
      <c r="N135" s="5" t="s">
        <v>67</v>
      </c>
      <c r="O135" s="20" t="b">
        <v>0</v>
      </c>
      <c r="P135" s="20" t="s">
        <v>68</v>
      </c>
      <c r="Q135" s="20" t="s">
        <v>69</v>
      </c>
      <c r="R135" s="20" t="s">
        <v>6322</v>
      </c>
      <c r="S135" s="4"/>
      <c r="T135" s="4"/>
      <c r="U135" s="7"/>
      <c r="V135" s="4"/>
      <c r="W135" s="4"/>
      <c r="X135" s="4"/>
      <c r="Y135" s="4"/>
      <c r="Z135" s="4"/>
      <c r="AA135" s="5"/>
      <c r="AB135" s="5"/>
      <c r="AC135" s="5"/>
      <c r="AD135" s="5"/>
      <c r="AE135" s="5"/>
    </row>
    <row r="136">
      <c r="A136" s="15" t="s">
        <v>9784</v>
      </c>
      <c r="B136" s="19" t="s">
        <v>4715</v>
      </c>
      <c r="C136" s="20">
        <v>49859.0</v>
      </c>
      <c r="D136" s="20" t="s">
        <v>4714</v>
      </c>
      <c r="E136" s="5">
        <v>9.19834321467E11</v>
      </c>
      <c r="F136" s="21">
        <v>19136.0</v>
      </c>
      <c r="G136" s="20"/>
      <c r="H136" s="20" t="s">
        <v>1133</v>
      </c>
      <c r="I136" s="5"/>
      <c r="J136" s="20">
        <v>3.0</v>
      </c>
      <c r="K136" s="20">
        <v>199.0</v>
      </c>
      <c r="L136" s="20"/>
      <c r="M136" s="20">
        <v>199.0</v>
      </c>
      <c r="N136" s="5" t="s">
        <v>67</v>
      </c>
      <c r="O136" s="20" t="b">
        <v>0</v>
      </c>
      <c r="P136" s="20" t="s">
        <v>68</v>
      </c>
      <c r="Q136" s="20" t="s">
        <v>69</v>
      </c>
      <c r="R136" s="20" t="s">
        <v>4620</v>
      </c>
      <c r="S136" s="4"/>
      <c r="T136" s="4"/>
      <c r="U136" s="7"/>
      <c r="V136" s="4"/>
      <c r="W136" s="4"/>
      <c r="X136" s="4"/>
      <c r="Y136" s="4"/>
      <c r="Z136" s="4"/>
      <c r="AA136" s="5"/>
      <c r="AB136" s="5"/>
      <c r="AC136" s="5"/>
      <c r="AD136" s="5"/>
      <c r="AE136" s="5"/>
    </row>
    <row r="137">
      <c r="A137" s="1" t="s">
        <v>12376</v>
      </c>
      <c r="B137" s="19" t="s">
        <v>4787</v>
      </c>
      <c r="C137" s="20">
        <v>49859.0</v>
      </c>
      <c r="D137" s="20" t="s">
        <v>4714</v>
      </c>
      <c r="E137" s="5">
        <v>9.19834321467E11</v>
      </c>
      <c r="F137" s="21">
        <v>19136.0</v>
      </c>
      <c r="G137" s="20"/>
      <c r="H137" s="20" t="s">
        <v>1133</v>
      </c>
      <c r="I137" s="5"/>
      <c r="J137" s="20">
        <v>1.0</v>
      </c>
      <c r="K137" s="20">
        <v>99.0</v>
      </c>
      <c r="L137" s="20"/>
      <c r="M137" s="20">
        <v>99.0</v>
      </c>
      <c r="N137" s="5" t="s">
        <v>67</v>
      </c>
      <c r="O137" s="20" t="b">
        <v>0</v>
      </c>
      <c r="P137" s="20" t="s">
        <v>68</v>
      </c>
      <c r="Q137" s="20" t="s">
        <v>69</v>
      </c>
      <c r="R137" s="20" t="s">
        <v>4736</v>
      </c>
      <c r="S137" s="4"/>
      <c r="T137" s="4"/>
      <c r="U137" s="7"/>
      <c r="V137" s="4"/>
      <c r="W137" s="4"/>
      <c r="X137" s="4"/>
      <c r="Y137" s="4"/>
      <c r="Z137" s="4"/>
      <c r="AA137" s="5"/>
      <c r="AB137" s="5"/>
      <c r="AC137" s="5"/>
      <c r="AD137" s="5"/>
      <c r="AE137" s="5"/>
    </row>
    <row r="138">
      <c r="A138" s="14" t="s">
        <v>128</v>
      </c>
      <c r="B138" s="19">
        <v>44239.55228009259</v>
      </c>
      <c r="C138" s="4">
        <v>49834.0</v>
      </c>
      <c r="D138" s="4" t="s">
        <v>129</v>
      </c>
      <c r="E138" s="4">
        <v>9.71505493883E11</v>
      </c>
      <c r="F138" s="4">
        <v>2133.0</v>
      </c>
      <c r="G138" s="4"/>
      <c r="H138" s="4" t="s">
        <v>76</v>
      </c>
      <c r="I138" s="4"/>
      <c r="J138" s="4" t="s">
        <v>77</v>
      </c>
      <c r="K138" s="4">
        <v>499.0</v>
      </c>
      <c r="L138" s="4"/>
      <c r="M138" s="4">
        <v>499.0</v>
      </c>
      <c r="N138" s="4" t="s">
        <v>67</v>
      </c>
      <c r="O138" s="4" t="b">
        <v>0</v>
      </c>
      <c r="P138" s="4" t="s">
        <v>74</v>
      </c>
      <c r="Q138" s="4" t="s">
        <v>69</v>
      </c>
      <c r="R138" s="4"/>
      <c r="S138" s="4"/>
      <c r="T138" s="4"/>
      <c r="U138" s="7"/>
      <c r="V138" s="4"/>
      <c r="W138" s="4"/>
      <c r="X138" s="4"/>
      <c r="Y138" s="4"/>
      <c r="Z138" s="4"/>
      <c r="AA138" s="5"/>
      <c r="AB138" s="5"/>
      <c r="AC138" s="5"/>
      <c r="AD138" s="5"/>
      <c r="AE138" s="5"/>
    </row>
    <row r="139">
      <c r="A139" s="14" t="s">
        <v>120</v>
      </c>
      <c r="B139" s="19">
        <v>44238.73546296296</v>
      </c>
      <c r="C139" s="4">
        <v>49831.0</v>
      </c>
      <c r="D139" s="4" t="s">
        <v>121</v>
      </c>
      <c r="E139" s="4">
        <v>9.17879337462E11</v>
      </c>
      <c r="F139" s="4">
        <v>12725.0</v>
      </c>
      <c r="G139" s="4"/>
      <c r="H139" s="4" t="s">
        <v>64</v>
      </c>
      <c r="I139" s="4"/>
      <c r="J139" s="4" t="s">
        <v>65</v>
      </c>
      <c r="K139" s="4">
        <v>299.0</v>
      </c>
      <c r="L139" s="4"/>
      <c r="M139" s="4">
        <v>299.0</v>
      </c>
      <c r="N139" s="4" t="s">
        <v>67</v>
      </c>
      <c r="O139" s="4" t="b">
        <v>0</v>
      </c>
      <c r="P139" s="4" t="s">
        <v>68</v>
      </c>
      <c r="Q139" s="4" t="s">
        <v>69</v>
      </c>
      <c r="R139" s="4"/>
      <c r="S139" s="4"/>
      <c r="T139" s="4"/>
      <c r="U139" s="7"/>
      <c r="V139" s="4"/>
      <c r="W139" s="4"/>
      <c r="X139" s="4"/>
      <c r="Y139" s="4"/>
      <c r="Z139" s="4"/>
      <c r="AA139" s="5"/>
      <c r="AB139" s="5"/>
      <c r="AC139" s="5"/>
      <c r="AD139" s="5"/>
      <c r="AE139" s="5"/>
    </row>
    <row r="140">
      <c r="A140" s="14" t="s">
        <v>122</v>
      </c>
      <c r="B140" s="19">
        <v>44238.73811342593</v>
      </c>
      <c r="C140" s="4">
        <v>49831.0</v>
      </c>
      <c r="D140" s="4" t="s">
        <v>123</v>
      </c>
      <c r="E140" s="4">
        <v>9.1830320507E11</v>
      </c>
      <c r="F140" s="4">
        <v>12741.0</v>
      </c>
      <c r="G140" s="4"/>
      <c r="H140" s="4" t="s">
        <v>64</v>
      </c>
      <c r="I140" s="4"/>
      <c r="J140" s="4" t="s">
        <v>65</v>
      </c>
      <c r="K140" s="4">
        <v>299.0</v>
      </c>
      <c r="L140" s="4"/>
      <c r="M140" s="4">
        <v>299.0</v>
      </c>
      <c r="N140" s="4" t="s">
        <v>67</v>
      </c>
      <c r="O140" s="4" t="b">
        <v>0</v>
      </c>
      <c r="P140" s="4" t="s">
        <v>68</v>
      </c>
      <c r="Q140" s="4" t="s">
        <v>69</v>
      </c>
      <c r="R140" s="4"/>
      <c r="S140" s="4"/>
      <c r="T140" s="4"/>
      <c r="U140" s="7"/>
      <c r="V140" s="4"/>
      <c r="W140" s="4"/>
      <c r="X140" s="4"/>
      <c r="Y140" s="4"/>
      <c r="Z140" s="4"/>
      <c r="AA140" s="5"/>
      <c r="AB140" s="5"/>
      <c r="AC140" s="5"/>
      <c r="AD140" s="5"/>
      <c r="AE140" s="5"/>
    </row>
    <row r="141">
      <c r="A141" s="14" t="s">
        <v>124</v>
      </c>
      <c r="B141" s="19">
        <v>44238.872511574074</v>
      </c>
      <c r="C141" s="4">
        <v>49834.0</v>
      </c>
      <c r="D141" s="4" t="s">
        <v>125</v>
      </c>
      <c r="E141" s="4">
        <v>9.17990724041E11</v>
      </c>
      <c r="F141" s="4">
        <v>4827.0</v>
      </c>
      <c r="G141" s="4"/>
      <c r="H141" s="4" t="s">
        <v>76</v>
      </c>
      <c r="I141" s="4"/>
      <c r="J141" s="24" t="s">
        <v>1442</v>
      </c>
      <c r="K141" s="4">
        <v>299.0</v>
      </c>
      <c r="L141" s="4"/>
      <c r="M141" s="4">
        <v>299.0</v>
      </c>
      <c r="N141" s="4" t="s">
        <v>67</v>
      </c>
      <c r="O141" s="4" t="b">
        <v>0</v>
      </c>
      <c r="P141" s="4" t="s">
        <v>68</v>
      </c>
      <c r="Q141" s="4" t="s">
        <v>69</v>
      </c>
      <c r="R141" s="4"/>
      <c r="S141" s="4"/>
      <c r="T141" s="4"/>
      <c r="U141" s="7"/>
      <c r="V141" s="4"/>
      <c r="W141" s="4"/>
      <c r="X141" s="4"/>
      <c r="Y141" s="4"/>
      <c r="Z141" s="4"/>
      <c r="AA141" s="5"/>
      <c r="AB141" s="5"/>
      <c r="AC141" s="5"/>
      <c r="AD141" s="5"/>
      <c r="AE141" s="5"/>
    </row>
    <row r="142">
      <c r="A142" s="14" t="s">
        <v>126</v>
      </c>
      <c r="B142" s="19">
        <v>44239.51304398148</v>
      </c>
      <c r="C142" s="4">
        <v>49831.0</v>
      </c>
      <c r="D142" s="4" t="s">
        <v>127</v>
      </c>
      <c r="E142" s="4">
        <v>9.18273506739E11</v>
      </c>
      <c r="F142" s="4">
        <v>12920.0</v>
      </c>
      <c r="G142" s="4"/>
      <c r="H142" s="4" t="s">
        <v>64</v>
      </c>
      <c r="I142" s="4"/>
      <c r="J142" s="4" t="s">
        <v>65</v>
      </c>
      <c r="K142" s="4">
        <v>299.0</v>
      </c>
      <c r="L142" s="4"/>
      <c r="M142" s="4">
        <v>299.0</v>
      </c>
      <c r="N142" s="4" t="s">
        <v>67</v>
      </c>
      <c r="O142" s="4" t="b">
        <v>0</v>
      </c>
      <c r="P142" s="4" t="s">
        <v>68</v>
      </c>
      <c r="Q142" s="4" t="s">
        <v>69</v>
      </c>
      <c r="R142" s="4"/>
      <c r="S142" s="4"/>
      <c r="T142" s="4"/>
      <c r="U142" s="8"/>
      <c r="V142" s="4"/>
      <c r="W142" s="4"/>
      <c r="X142" s="4"/>
      <c r="Y142" s="4"/>
      <c r="Z142" s="4"/>
      <c r="AA142" s="5"/>
      <c r="AB142" s="5"/>
      <c r="AC142" s="5"/>
      <c r="AD142" s="5"/>
      <c r="AE142" s="5"/>
    </row>
    <row r="143">
      <c r="A143" s="14" t="s">
        <v>130</v>
      </c>
      <c r="B143" s="19">
        <v>44242.90726851852</v>
      </c>
      <c r="C143" s="4">
        <v>49831.0</v>
      </c>
      <c r="D143" s="4" t="s">
        <v>131</v>
      </c>
      <c r="E143" s="4">
        <v>9.19354096048E11</v>
      </c>
      <c r="F143" s="4">
        <v>14022.0</v>
      </c>
      <c r="G143" s="4"/>
      <c r="H143" s="4" t="s">
        <v>64</v>
      </c>
      <c r="I143" s="4"/>
      <c r="J143" s="4" t="s">
        <v>65</v>
      </c>
      <c r="K143" s="4">
        <v>299.0</v>
      </c>
      <c r="L143" s="4"/>
      <c r="M143" s="4">
        <v>299.0</v>
      </c>
      <c r="N143" s="4" t="s">
        <v>67</v>
      </c>
      <c r="O143" s="4" t="b">
        <v>0</v>
      </c>
      <c r="P143" s="4" t="s">
        <v>68</v>
      </c>
      <c r="Q143" s="4" t="s">
        <v>69</v>
      </c>
      <c r="R143" s="4"/>
      <c r="S143" s="4"/>
      <c r="T143" s="4"/>
      <c r="U143" s="8"/>
      <c r="V143" s="4"/>
      <c r="W143" s="4"/>
      <c r="X143" s="4"/>
      <c r="Y143" s="4"/>
      <c r="Z143" s="4"/>
      <c r="AA143" s="5"/>
      <c r="AB143" s="5"/>
      <c r="AC143" s="5"/>
      <c r="AD143" s="5"/>
      <c r="AE143" s="5"/>
    </row>
    <row r="144">
      <c r="A144" s="14" t="s">
        <v>132</v>
      </c>
      <c r="B144" s="19">
        <v>44243.47126157407</v>
      </c>
      <c r="C144" s="4">
        <v>49831.0</v>
      </c>
      <c r="D144" s="4" t="s">
        <v>133</v>
      </c>
      <c r="E144" s="4">
        <v>9.18868001977E11</v>
      </c>
      <c r="F144" s="4">
        <v>14012.0</v>
      </c>
      <c r="G144" s="4"/>
      <c r="H144" s="4" t="s">
        <v>64</v>
      </c>
      <c r="I144" s="4"/>
      <c r="J144" s="4" t="s">
        <v>65</v>
      </c>
      <c r="K144" s="4">
        <v>299.0</v>
      </c>
      <c r="L144" s="4"/>
      <c r="M144" s="4">
        <v>299.0</v>
      </c>
      <c r="N144" s="4" t="s">
        <v>67</v>
      </c>
      <c r="O144" s="4" t="b">
        <v>0</v>
      </c>
      <c r="P144" s="4" t="s">
        <v>68</v>
      </c>
      <c r="Q144" s="4" t="s">
        <v>69</v>
      </c>
      <c r="R144" s="4"/>
      <c r="S144" s="4"/>
      <c r="T144" s="4"/>
      <c r="U144" s="7"/>
      <c r="V144" s="4"/>
      <c r="W144" s="4"/>
      <c r="X144" s="4"/>
      <c r="Y144" s="4"/>
      <c r="Z144" s="4"/>
      <c r="AA144" s="5"/>
      <c r="AB144" s="5"/>
      <c r="AC144" s="5"/>
      <c r="AD144" s="5"/>
      <c r="AE144" s="5"/>
    </row>
    <row r="145">
      <c r="A145" s="14" t="s">
        <v>136</v>
      </c>
      <c r="B145" s="19">
        <v>44244.88947916667</v>
      </c>
      <c r="C145" s="4">
        <v>49831.0</v>
      </c>
      <c r="D145" s="4" t="s">
        <v>138</v>
      </c>
      <c r="E145" s="4">
        <v>9.16390327674E11</v>
      </c>
      <c r="F145" s="4">
        <v>14209.0</v>
      </c>
      <c r="G145" s="4"/>
      <c r="H145" s="4" t="s">
        <v>137</v>
      </c>
      <c r="I145" s="4"/>
      <c r="J145" s="4" t="s">
        <v>77</v>
      </c>
      <c r="K145" s="4">
        <v>499.0</v>
      </c>
      <c r="L145" s="4"/>
      <c r="M145" s="4">
        <v>499.0</v>
      </c>
      <c r="N145" s="4" t="s">
        <v>67</v>
      </c>
      <c r="O145" s="4" t="b">
        <v>0</v>
      </c>
      <c r="P145" s="4" t="s">
        <v>68</v>
      </c>
      <c r="Q145" s="4" t="s">
        <v>69</v>
      </c>
      <c r="R145" s="4"/>
      <c r="S145" s="4"/>
      <c r="T145" s="4"/>
      <c r="U145" s="7"/>
      <c r="V145" s="4"/>
      <c r="W145" s="4"/>
      <c r="X145" s="4"/>
      <c r="Y145" s="4"/>
      <c r="Z145" s="4"/>
      <c r="AA145" s="5"/>
      <c r="AB145" s="5"/>
      <c r="AC145" s="5"/>
      <c r="AD145" s="5"/>
      <c r="AE145" s="5"/>
    </row>
    <row r="146">
      <c r="A146" s="14" t="s">
        <v>134</v>
      </c>
      <c r="B146" s="19">
        <v>44244.42799768518</v>
      </c>
      <c r="C146" s="4">
        <v>49831.0</v>
      </c>
      <c r="D146" s="4" t="s">
        <v>135</v>
      </c>
      <c r="E146" s="4">
        <v>9.18580434919E11</v>
      </c>
      <c r="F146" s="4">
        <v>15214.0</v>
      </c>
      <c r="G146" s="4"/>
      <c r="H146" s="4" t="s">
        <v>64</v>
      </c>
      <c r="I146" s="4"/>
      <c r="J146" s="4" t="s">
        <v>65</v>
      </c>
      <c r="K146" s="4">
        <v>299.0</v>
      </c>
      <c r="L146" s="4"/>
      <c r="M146" s="4">
        <v>299.0</v>
      </c>
      <c r="N146" s="4" t="s">
        <v>67</v>
      </c>
      <c r="O146" s="4" t="b">
        <v>0</v>
      </c>
      <c r="P146" s="4" t="s">
        <v>68</v>
      </c>
      <c r="Q146" s="4" t="s">
        <v>69</v>
      </c>
      <c r="R146" s="4"/>
      <c r="S146" s="4"/>
      <c r="T146" s="4"/>
      <c r="U146" s="7"/>
      <c r="V146" s="4"/>
      <c r="W146" s="4"/>
      <c r="X146" s="4"/>
      <c r="Y146" s="4"/>
      <c r="Z146" s="4"/>
      <c r="AA146" s="5"/>
      <c r="AB146" s="5"/>
      <c r="AC146" s="5"/>
      <c r="AD146" s="5"/>
      <c r="AE146" s="5"/>
    </row>
    <row r="147">
      <c r="A147" s="14" t="s">
        <v>139</v>
      </c>
      <c r="B147" s="19">
        <v>44245.72225694444</v>
      </c>
      <c r="C147" s="4">
        <v>49831.0</v>
      </c>
      <c r="D147" s="4" t="s">
        <v>140</v>
      </c>
      <c r="E147" s="4">
        <v>9.19673465779E11</v>
      </c>
      <c r="F147" s="4">
        <v>14290.0</v>
      </c>
      <c r="G147" s="4"/>
      <c r="H147" s="4" t="s">
        <v>64</v>
      </c>
      <c r="I147" s="4"/>
      <c r="J147" s="4" t="s">
        <v>65</v>
      </c>
      <c r="K147" s="4">
        <v>299.0</v>
      </c>
      <c r="L147" s="4"/>
      <c r="M147" s="4">
        <v>299.0</v>
      </c>
      <c r="N147" s="4" t="s">
        <v>67</v>
      </c>
      <c r="O147" s="4" t="b">
        <v>0</v>
      </c>
      <c r="P147" s="4" t="s">
        <v>68</v>
      </c>
      <c r="Q147" s="4" t="s">
        <v>69</v>
      </c>
      <c r="R147" s="4"/>
      <c r="S147" s="4"/>
      <c r="T147" s="4"/>
      <c r="U147" s="7"/>
      <c r="V147" s="4"/>
      <c r="W147" s="4"/>
      <c r="X147" s="4"/>
      <c r="Y147" s="4"/>
      <c r="Z147" s="4"/>
      <c r="AA147" s="5"/>
      <c r="AB147" s="5"/>
      <c r="AC147" s="5"/>
      <c r="AD147" s="5"/>
      <c r="AE147" s="5"/>
    </row>
    <row r="148">
      <c r="A148" s="14" t="s">
        <v>141</v>
      </c>
      <c r="B148" s="19">
        <v>44249.847662037035</v>
      </c>
      <c r="C148" s="4">
        <v>49831.0</v>
      </c>
      <c r="D148" s="4" t="s">
        <v>142</v>
      </c>
      <c r="E148" s="4">
        <v>9.19316585465E11</v>
      </c>
      <c r="F148" s="4">
        <v>14835.0</v>
      </c>
      <c r="G148" s="4"/>
      <c r="H148" s="4" t="s">
        <v>137</v>
      </c>
      <c r="I148" s="4"/>
      <c r="J148" s="4" t="s">
        <v>77</v>
      </c>
      <c r="K148" s="4">
        <v>799.0</v>
      </c>
      <c r="L148" s="4"/>
      <c r="M148" s="4">
        <v>799.0</v>
      </c>
      <c r="N148" s="4" t="s">
        <v>67</v>
      </c>
      <c r="O148" s="4" t="b">
        <v>0</v>
      </c>
      <c r="P148" s="4" t="s">
        <v>68</v>
      </c>
      <c r="Q148" s="4" t="s">
        <v>69</v>
      </c>
      <c r="R148" s="4"/>
      <c r="S148" s="4"/>
      <c r="T148" s="4"/>
      <c r="U148" s="7"/>
      <c r="V148" s="4"/>
      <c r="W148" s="4"/>
      <c r="X148" s="4"/>
      <c r="Y148" s="4"/>
      <c r="Z148" s="4"/>
      <c r="AA148" s="5"/>
      <c r="AB148" s="5"/>
      <c r="AC148" s="5"/>
      <c r="AD148" s="5"/>
      <c r="AE148" s="5"/>
    </row>
    <row r="149">
      <c r="A149" s="14" t="s">
        <v>143</v>
      </c>
      <c r="B149" s="19">
        <v>44250.54157407407</v>
      </c>
      <c r="C149" s="4">
        <v>49831.0</v>
      </c>
      <c r="D149" s="4" t="s">
        <v>144</v>
      </c>
      <c r="E149" s="4">
        <v>9.18433120759E11</v>
      </c>
      <c r="F149" s="4">
        <v>14884.0</v>
      </c>
      <c r="G149" s="4"/>
      <c r="H149" s="4" t="s">
        <v>64</v>
      </c>
      <c r="I149" s="4"/>
      <c r="J149" s="4" t="s">
        <v>85</v>
      </c>
      <c r="K149" s="4">
        <v>499.0</v>
      </c>
      <c r="L149" s="4"/>
      <c r="M149" s="4">
        <v>499.0</v>
      </c>
      <c r="N149" s="4" t="s">
        <v>67</v>
      </c>
      <c r="O149" s="4" t="b">
        <v>0</v>
      </c>
      <c r="P149" s="4" t="s">
        <v>68</v>
      </c>
      <c r="Q149" s="4" t="s">
        <v>69</v>
      </c>
      <c r="R149" s="4"/>
      <c r="S149" s="4"/>
      <c r="T149" s="4"/>
      <c r="U149" s="7"/>
      <c r="V149" s="4"/>
      <c r="W149" s="4"/>
      <c r="X149" s="4"/>
      <c r="Y149" s="4"/>
      <c r="Z149" s="4"/>
      <c r="AA149" s="5"/>
      <c r="AB149" s="5"/>
      <c r="AC149" s="5"/>
      <c r="AD149" s="5"/>
      <c r="AE149" s="5"/>
    </row>
    <row r="150">
      <c r="A150" s="14" t="s">
        <v>2160</v>
      </c>
      <c r="B150" s="19">
        <v>44252.54268518519</v>
      </c>
      <c r="C150" s="4">
        <v>49854.0</v>
      </c>
      <c r="D150" s="4" t="s">
        <v>2162</v>
      </c>
      <c r="E150" s="4">
        <v>9.18983348053E11</v>
      </c>
      <c r="F150" s="4" t="s">
        <v>83</v>
      </c>
      <c r="G150" s="4"/>
      <c r="H150" s="4" t="s">
        <v>2161</v>
      </c>
      <c r="I150" s="4"/>
      <c r="J150" s="4" t="s">
        <v>85</v>
      </c>
      <c r="K150" s="4">
        <v>2596.0</v>
      </c>
      <c r="L150" s="4"/>
      <c r="M150" s="4">
        <v>2596.0</v>
      </c>
      <c r="N150" s="4" t="s">
        <v>67</v>
      </c>
      <c r="O150" s="4" t="b">
        <v>0</v>
      </c>
      <c r="P150" s="4" t="s">
        <v>68</v>
      </c>
      <c r="Q150" s="4" t="s">
        <v>69</v>
      </c>
      <c r="R150" s="4"/>
      <c r="S150" s="4"/>
      <c r="T150" s="4"/>
      <c r="U150" s="7"/>
      <c r="V150" s="4"/>
      <c r="W150" s="4"/>
      <c r="X150" s="4"/>
      <c r="Y150" s="4"/>
      <c r="Z150" s="4"/>
      <c r="AA150" s="5"/>
      <c r="AB150" s="5"/>
      <c r="AC150" s="5"/>
      <c r="AD150" s="5"/>
      <c r="AE150" s="5"/>
    </row>
    <row r="151">
      <c r="A151" s="14" t="s">
        <v>145</v>
      </c>
      <c r="B151" s="19">
        <v>44251.4890625</v>
      </c>
      <c r="C151" s="4">
        <v>49831.0</v>
      </c>
      <c r="D151" s="4" t="s">
        <v>146</v>
      </c>
      <c r="E151" s="4">
        <v>9.18278498095E11</v>
      </c>
      <c r="F151" s="4">
        <v>15782.0</v>
      </c>
      <c r="G151" s="4"/>
      <c r="H151" s="4" t="s">
        <v>64</v>
      </c>
      <c r="I151" s="4"/>
      <c r="J151" s="4" t="s">
        <v>85</v>
      </c>
      <c r="K151" s="4">
        <v>499.0</v>
      </c>
      <c r="L151" s="4"/>
      <c r="M151" s="4">
        <v>499.0</v>
      </c>
      <c r="N151" s="4" t="s">
        <v>67</v>
      </c>
      <c r="O151" s="4" t="b">
        <v>0</v>
      </c>
      <c r="P151" s="4" t="s">
        <v>68</v>
      </c>
      <c r="Q151" s="4" t="s">
        <v>69</v>
      </c>
      <c r="R151" s="4"/>
      <c r="S151" s="4"/>
      <c r="T151" s="4"/>
      <c r="U151" s="7"/>
      <c r="V151" s="4"/>
      <c r="W151" s="4"/>
      <c r="X151" s="4"/>
      <c r="Y151" s="4"/>
      <c r="Z151" s="4"/>
      <c r="AA151" s="5"/>
      <c r="AB151" s="5"/>
      <c r="AC151" s="5"/>
      <c r="AD151" s="5"/>
      <c r="AE151" s="5"/>
    </row>
    <row r="152">
      <c r="A152" s="14" t="s">
        <v>152</v>
      </c>
      <c r="B152" s="19">
        <v>44252.765081018515</v>
      </c>
      <c r="C152" s="4">
        <v>49834.0</v>
      </c>
      <c r="D152" s="4" t="s">
        <v>153</v>
      </c>
      <c r="E152" s="4">
        <v>9.19910766244E11</v>
      </c>
      <c r="F152" s="4">
        <v>10837.0</v>
      </c>
      <c r="G152" s="4"/>
      <c r="H152" s="4" t="s">
        <v>76</v>
      </c>
      <c r="I152" s="4"/>
      <c r="J152" s="4" t="s">
        <v>77</v>
      </c>
      <c r="K152" s="4">
        <v>499.0</v>
      </c>
      <c r="L152" s="4"/>
      <c r="M152" s="4">
        <v>499.0</v>
      </c>
      <c r="N152" s="4" t="s">
        <v>67</v>
      </c>
      <c r="O152" s="4" t="b">
        <v>0</v>
      </c>
      <c r="P152" s="4" t="s">
        <v>97</v>
      </c>
      <c r="Q152" s="4" t="s">
        <v>69</v>
      </c>
      <c r="R152" s="4"/>
      <c r="S152" s="4"/>
      <c r="T152" s="4"/>
      <c r="U152" s="7"/>
      <c r="V152" s="4"/>
      <c r="W152" s="4"/>
      <c r="X152" s="4"/>
      <c r="Y152" s="4"/>
      <c r="Z152" s="4"/>
      <c r="AA152" s="5"/>
      <c r="AB152" s="5"/>
      <c r="AC152" s="5"/>
      <c r="AD152" s="5"/>
      <c r="AE152" s="5"/>
    </row>
    <row r="153">
      <c r="A153" s="14" t="s">
        <v>154</v>
      </c>
      <c r="B153" s="19">
        <v>44252.904178240744</v>
      </c>
      <c r="C153" s="4">
        <v>49831.0</v>
      </c>
      <c r="D153" s="4" t="s">
        <v>155</v>
      </c>
      <c r="E153" s="4">
        <v>9.18975594479E11</v>
      </c>
      <c r="F153" s="4">
        <v>15127.0</v>
      </c>
      <c r="G153" s="4"/>
      <c r="H153" s="4" t="s">
        <v>64</v>
      </c>
      <c r="I153" s="4"/>
      <c r="J153" s="4" t="s">
        <v>85</v>
      </c>
      <c r="K153" s="4">
        <v>499.0</v>
      </c>
      <c r="L153" s="4"/>
      <c r="M153" s="4">
        <v>499.0</v>
      </c>
      <c r="N153" s="4" t="s">
        <v>67</v>
      </c>
      <c r="O153" s="4" t="b">
        <v>0</v>
      </c>
      <c r="P153" s="4" t="s">
        <v>68</v>
      </c>
      <c r="Q153" s="4" t="s">
        <v>69</v>
      </c>
      <c r="R153" s="4"/>
      <c r="S153" s="4"/>
      <c r="T153" s="4"/>
      <c r="U153" s="7"/>
      <c r="V153" s="4"/>
      <c r="W153" s="4"/>
      <c r="X153" s="4"/>
      <c r="Y153" s="4"/>
      <c r="Z153" s="4"/>
      <c r="AA153" s="5"/>
      <c r="AB153" s="5"/>
      <c r="AC153" s="5"/>
      <c r="AD153" s="5"/>
      <c r="AE153" s="5"/>
    </row>
    <row r="154">
      <c r="A154" s="14" t="s">
        <v>156</v>
      </c>
      <c r="B154" s="19">
        <v>44253.691412037035</v>
      </c>
      <c r="C154" s="4">
        <v>49831.0</v>
      </c>
      <c r="D154" s="4" t="s">
        <v>157</v>
      </c>
      <c r="E154" s="4">
        <v>9.1870899305E11</v>
      </c>
      <c r="F154" s="4">
        <v>15219.0</v>
      </c>
      <c r="G154" s="4"/>
      <c r="H154" s="4" t="s">
        <v>64</v>
      </c>
      <c r="I154" s="4"/>
      <c r="J154" s="4" t="s">
        <v>85</v>
      </c>
      <c r="K154" s="4">
        <v>499.0</v>
      </c>
      <c r="L154" s="4"/>
      <c r="M154" s="4">
        <v>499.0</v>
      </c>
      <c r="N154" s="4" t="s">
        <v>67</v>
      </c>
      <c r="O154" s="4" t="b">
        <v>0</v>
      </c>
      <c r="P154" s="4" t="s">
        <v>68</v>
      </c>
      <c r="Q154" s="4" t="s">
        <v>69</v>
      </c>
      <c r="R154" s="4"/>
      <c r="S154" s="4"/>
      <c r="T154" s="4"/>
      <c r="U154" s="7"/>
      <c r="V154" s="4"/>
      <c r="W154" s="4"/>
      <c r="X154" s="4"/>
      <c r="Y154" s="4"/>
      <c r="Z154" s="4"/>
      <c r="AA154" s="5"/>
      <c r="AB154" s="5"/>
      <c r="AC154" s="5"/>
      <c r="AD154" s="5"/>
      <c r="AE154" s="5"/>
    </row>
    <row r="155">
      <c r="A155" s="14" t="s">
        <v>2163</v>
      </c>
      <c r="B155" s="19">
        <v>44255.80710648148</v>
      </c>
      <c r="C155" s="4">
        <v>49854.0</v>
      </c>
      <c r="D155" s="4" t="s">
        <v>2164</v>
      </c>
      <c r="E155" s="4">
        <v>9.19663154199E11</v>
      </c>
      <c r="F155" s="4">
        <v>16215.0</v>
      </c>
      <c r="G155" s="4"/>
      <c r="H155" s="4" t="s">
        <v>2161</v>
      </c>
      <c r="I155" s="4"/>
      <c r="J155" s="4" t="s">
        <v>85</v>
      </c>
      <c r="K155" s="4">
        <v>2596.0</v>
      </c>
      <c r="L155" s="4"/>
      <c r="M155" s="4">
        <v>2596.0</v>
      </c>
      <c r="N155" s="4" t="s">
        <v>67</v>
      </c>
      <c r="O155" s="4" t="b">
        <v>0</v>
      </c>
      <c r="P155" s="4" t="s">
        <v>74</v>
      </c>
      <c r="Q155" s="4" t="s">
        <v>69</v>
      </c>
      <c r="R155" s="4"/>
      <c r="S155" s="4"/>
      <c r="T155" s="4"/>
      <c r="U155" s="7"/>
      <c r="V155" s="4"/>
      <c r="W155" s="4"/>
      <c r="X155" s="4"/>
      <c r="Y155" s="4"/>
      <c r="Z155" s="4"/>
      <c r="AA155" s="5"/>
      <c r="AB155" s="5"/>
      <c r="AC155" s="5"/>
      <c r="AD155" s="5"/>
      <c r="AE155" s="5"/>
    </row>
    <row r="156">
      <c r="A156" s="14" t="s">
        <v>160</v>
      </c>
      <c r="B156" s="19">
        <v>44257.636469907404</v>
      </c>
      <c r="C156" s="4">
        <v>49831.0</v>
      </c>
      <c r="D156" s="4" t="s">
        <v>161</v>
      </c>
      <c r="E156" s="4">
        <v>9.19658922585E11</v>
      </c>
      <c r="F156" s="4">
        <v>15577.0</v>
      </c>
      <c r="G156" s="4"/>
      <c r="H156" s="4" t="s">
        <v>137</v>
      </c>
      <c r="I156" s="4"/>
      <c r="J156" s="4" t="s">
        <v>77</v>
      </c>
      <c r="K156" s="4">
        <v>799.0</v>
      </c>
      <c r="L156" s="4"/>
      <c r="M156" s="4">
        <v>799.0</v>
      </c>
      <c r="N156" s="4" t="s">
        <v>67</v>
      </c>
      <c r="O156" s="4" t="b">
        <v>0</v>
      </c>
      <c r="P156" s="4" t="s">
        <v>74</v>
      </c>
      <c r="Q156" s="4" t="s">
        <v>69</v>
      </c>
      <c r="R156" s="4"/>
      <c r="S156" s="4"/>
      <c r="T156" s="4"/>
      <c r="U156" s="7"/>
      <c r="V156" s="4"/>
      <c r="W156" s="4"/>
      <c r="X156" s="4"/>
      <c r="Y156" s="4"/>
      <c r="Z156" s="4"/>
      <c r="AA156" s="5"/>
      <c r="AB156" s="5"/>
      <c r="AC156" s="5"/>
      <c r="AD156" s="5"/>
      <c r="AE156" s="5"/>
    </row>
    <row r="157">
      <c r="A157" s="14" t="s">
        <v>162</v>
      </c>
      <c r="B157" s="19">
        <v>44257.80390046296</v>
      </c>
      <c r="C157" s="4">
        <v>49831.0</v>
      </c>
      <c r="D157" s="4" t="s">
        <v>163</v>
      </c>
      <c r="E157" s="4">
        <v>9.19310446765E11</v>
      </c>
      <c r="F157" s="4">
        <v>15580.0</v>
      </c>
      <c r="G157" s="4"/>
      <c r="H157" s="4" t="s">
        <v>64</v>
      </c>
      <c r="I157" s="4"/>
      <c r="J157" s="4" t="s">
        <v>85</v>
      </c>
      <c r="K157" s="4">
        <v>499.0</v>
      </c>
      <c r="L157" s="4"/>
      <c r="M157" s="4">
        <v>499.0</v>
      </c>
      <c r="N157" s="4" t="s">
        <v>67</v>
      </c>
      <c r="O157" s="4" t="b">
        <v>0</v>
      </c>
      <c r="P157" s="4" t="s">
        <v>68</v>
      </c>
      <c r="Q157" s="4" t="s">
        <v>69</v>
      </c>
      <c r="R157" s="4"/>
      <c r="S157" s="4"/>
      <c r="T157" s="4"/>
      <c r="U157" s="7"/>
      <c r="V157" s="4"/>
      <c r="W157" s="4"/>
      <c r="X157" s="4"/>
      <c r="Y157" s="4"/>
      <c r="Z157" s="4"/>
      <c r="AA157" s="5"/>
      <c r="AB157" s="5"/>
      <c r="AC157" s="5"/>
      <c r="AD157" s="5"/>
      <c r="AE157" s="5"/>
    </row>
    <row r="158">
      <c r="A158" s="14" t="s">
        <v>164</v>
      </c>
      <c r="B158" s="19">
        <v>44258.89090277778</v>
      </c>
      <c r="C158" s="4">
        <v>49831.0</v>
      </c>
      <c r="D158" s="4" t="s">
        <v>165</v>
      </c>
      <c r="E158" s="4">
        <v>9.19322695468E11</v>
      </c>
      <c r="F158" s="4" t="s">
        <v>83</v>
      </c>
      <c r="G158" s="4"/>
      <c r="H158" s="4" t="s">
        <v>64</v>
      </c>
      <c r="I158" s="4"/>
      <c r="J158" s="4" t="s">
        <v>85</v>
      </c>
      <c r="K158" s="4">
        <v>499.0</v>
      </c>
      <c r="L158" s="4"/>
      <c r="M158" s="4">
        <v>499.0</v>
      </c>
      <c r="N158" s="4" t="s">
        <v>67</v>
      </c>
      <c r="O158" s="4" t="b">
        <v>0</v>
      </c>
      <c r="P158" s="4" t="s">
        <v>74</v>
      </c>
      <c r="Q158" s="4" t="s">
        <v>69</v>
      </c>
      <c r="R158" s="4"/>
      <c r="S158" s="4"/>
      <c r="T158" s="4"/>
      <c r="U158" s="7"/>
      <c r="V158" s="4"/>
      <c r="W158" s="4"/>
      <c r="X158" s="4"/>
      <c r="Y158" s="4"/>
      <c r="Z158" s="4"/>
      <c r="AA158" s="5"/>
      <c r="AB158" s="5"/>
      <c r="AC158" s="5"/>
      <c r="AD158" s="5"/>
      <c r="AE158" s="5"/>
    </row>
    <row r="159">
      <c r="A159" s="14" t="s">
        <v>166</v>
      </c>
      <c r="B159" s="19">
        <v>44259.114756944444</v>
      </c>
      <c r="C159" s="4">
        <v>49834.0</v>
      </c>
      <c r="D159" s="4" t="s">
        <v>167</v>
      </c>
      <c r="E159" s="4">
        <v>9.17903350694E11</v>
      </c>
      <c r="F159" s="4">
        <v>11297.0</v>
      </c>
      <c r="G159" s="4"/>
      <c r="H159" s="4" t="s">
        <v>76</v>
      </c>
      <c r="I159" s="4"/>
      <c r="J159" s="4" t="s">
        <v>85</v>
      </c>
      <c r="K159" s="4">
        <v>299.0</v>
      </c>
      <c r="L159" s="4"/>
      <c r="M159" s="4">
        <v>299.0</v>
      </c>
      <c r="N159" s="4" t="s">
        <v>67</v>
      </c>
      <c r="O159" s="4" t="b">
        <v>0</v>
      </c>
      <c r="P159" s="4" t="s">
        <v>68</v>
      </c>
      <c r="Q159" s="4" t="s">
        <v>69</v>
      </c>
      <c r="R159" s="4"/>
      <c r="S159" s="4"/>
      <c r="T159" s="4"/>
      <c r="U159" s="7"/>
      <c r="V159" s="4"/>
      <c r="W159" s="4"/>
      <c r="X159" s="4"/>
      <c r="Y159" s="4"/>
      <c r="Z159" s="4"/>
      <c r="AA159" s="5"/>
      <c r="AB159" s="5"/>
      <c r="AC159" s="5"/>
      <c r="AD159" s="5"/>
      <c r="AE159" s="5"/>
    </row>
    <row r="160">
      <c r="A160" s="14" t="s">
        <v>168</v>
      </c>
      <c r="B160" s="19">
        <v>44259.72486111111</v>
      </c>
      <c r="C160" s="4">
        <v>49834.0</v>
      </c>
      <c r="D160" s="4" t="s">
        <v>169</v>
      </c>
      <c r="E160" s="4">
        <v>9.17226918962E11</v>
      </c>
      <c r="F160" s="4">
        <v>16068.0</v>
      </c>
      <c r="G160" s="4"/>
      <c r="H160" s="4" t="s">
        <v>76</v>
      </c>
      <c r="I160" s="4"/>
      <c r="J160" s="4" t="s">
        <v>85</v>
      </c>
      <c r="K160" s="4">
        <v>299.0</v>
      </c>
      <c r="L160" s="4"/>
      <c r="M160" s="4">
        <v>299.0</v>
      </c>
      <c r="N160" s="4" t="s">
        <v>67</v>
      </c>
      <c r="O160" s="4" t="b">
        <v>0</v>
      </c>
      <c r="P160" s="4" t="s">
        <v>74</v>
      </c>
      <c r="Q160" s="4" t="s">
        <v>69</v>
      </c>
      <c r="R160" s="4"/>
      <c r="S160" s="4"/>
      <c r="T160" s="4"/>
      <c r="U160" s="7"/>
      <c r="V160" s="4"/>
      <c r="W160" s="4"/>
      <c r="X160" s="4"/>
      <c r="Y160" s="4"/>
      <c r="Z160" s="4"/>
      <c r="AA160" s="5"/>
      <c r="AB160" s="5"/>
      <c r="AC160" s="5"/>
      <c r="AD160" s="5"/>
      <c r="AE160" s="5"/>
    </row>
    <row r="161">
      <c r="A161" s="14" t="s">
        <v>170</v>
      </c>
      <c r="B161" s="19">
        <v>44259.73310185185</v>
      </c>
      <c r="C161" s="4">
        <v>49831.0</v>
      </c>
      <c r="D161" s="4" t="s">
        <v>171</v>
      </c>
      <c r="E161" s="4">
        <v>9.18318980567E11</v>
      </c>
      <c r="F161" s="4">
        <v>16807.0</v>
      </c>
      <c r="G161" s="4"/>
      <c r="H161" s="4" t="s">
        <v>137</v>
      </c>
      <c r="I161" s="4"/>
      <c r="J161" s="4" t="s">
        <v>77</v>
      </c>
      <c r="K161" s="4">
        <v>799.0</v>
      </c>
      <c r="L161" s="4"/>
      <c r="M161" s="4">
        <v>799.0</v>
      </c>
      <c r="N161" s="4" t="s">
        <v>67</v>
      </c>
      <c r="O161" s="4" t="b">
        <v>0</v>
      </c>
      <c r="P161" s="4" t="s">
        <v>68</v>
      </c>
      <c r="Q161" s="4" t="s">
        <v>69</v>
      </c>
      <c r="R161" s="4"/>
      <c r="S161" s="4"/>
      <c r="T161" s="4"/>
      <c r="U161" s="7"/>
      <c r="V161" s="4"/>
      <c r="W161" s="4"/>
      <c r="X161" s="4"/>
      <c r="Y161" s="4"/>
      <c r="Z161" s="4"/>
      <c r="AA161" s="5"/>
      <c r="AB161" s="5"/>
      <c r="AC161" s="5"/>
      <c r="AD161" s="5"/>
      <c r="AE161" s="5"/>
    </row>
    <row r="162">
      <c r="A162" s="14" t="s">
        <v>172</v>
      </c>
      <c r="B162" s="19">
        <v>44260.977488425924</v>
      </c>
      <c r="C162" s="4">
        <v>49834.0</v>
      </c>
      <c r="D162" s="4" t="s">
        <v>173</v>
      </c>
      <c r="E162" s="4">
        <v>9.19900049665E11</v>
      </c>
      <c r="F162" s="4">
        <v>15838.0</v>
      </c>
      <c r="G162" s="4"/>
      <c r="H162" s="4" t="s">
        <v>76</v>
      </c>
      <c r="I162" s="4"/>
      <c r="J162" s="4" t="s">
        <v>85</v>
      </c>
      <c r="K162" s="4">
        <v>299.0</v>
      </c>
      <c r="L162" s="4"/>
      <c r="M162" s="4">
        <v>299.0</v>
      </c>
      <c r="N162" s="4" t="s">
        <v>67</v>
      </c>
      <c r="O162" s="4" t="b">
        <v>0</v>
      </c>
      <c r="P162" s="4" t="s">
        <v>68</v>
      </c>
      <c r="Q162" s="4" t="s">
        <v>69</v>
      </c>
      <c r="R162" s="4"/>
      <c r="S162" s="4"/>
      <c r="T162" s="4"/>
      <c r="U162" s="7"/>
      <c r="V162" s="4"/>
      <c r="W162" s="4"/>
      <c r="X162" s="4"/>
      <c r="Y162" s="4"/>
      <c r="Z162" s="4"/>
      <c r="AA162" s="5"/>
      <c r="AB162" s="5"/>
      <c r="AC162" s="5"/>
      <c r="AD162" s="5"/>
      <c r="AE162" s="5"/>
    </row>
    <row r="163">
      <c r="A163" s="14" t="s">
        <v>174</v>
      </c>
      <c r="B163" s="19">
        <v>44263.615381944444</v>
      </c>
      <c r="C163" s="4">
        <v>49831.0</v>
      </c>
      <c r="D163" s="4" t="s">
        <v>175</v>
      </c>
      <c r="E163" s="4">
        <v>9.18766847954E11</v>
      </c>
      <c r="F163" s="4">
        <v>15945.0</v>
      </c>
      <c r="G163" s="4"/>
      <c r="H163" s="4" t="s">
        <v>137</v>
      </c>
      <c r="I163" s="4"/>
      <c r="J163" s="4" t="s">
        <v>77</v>
      </c>
      <c r="K163" s="4">
        <v>799.0</v>
      </c>
      <c r="L163" s="4"/>
      <c r="M163" s="4">
        <v>799.0</v>
      </c>
      <c r="N163" s="4" t="s">
        <v>67</v>
      </c>
      <c r="O163" s="4" t="b">
        <v>0</v>
      </c>
      <c r="P163" s="4" t="s">
        <v>68</v>
      </c>
      <c r="Q163" s="4" t="s">
        <v>69</v>
      </c>
      <c r="R163" s="4"/>
      <c r="S163" s="4"/>
      <c r="T163" s="4"/>
      <c r="U163" s="7"/>
      <c r="V163" s="4"/>
      <c r="W163" s="4"/>
      <c r="X163" s="4"/>
      <c r="Y163" s="4"/>
      <c r="Z163" s="4"/>
      <c r="AA163" s="5"/>
      <c r="AB163" s="5"/>
      <c r="AC163" s="5"/>
      <c r="AD163" s="5"/>
      <c r="AE163" s="5"/>
    </row>
    <row r="164">
      <c r="A164" s="14" t="s">
        <v>70</v>
      </c>
      <c r="B164" s="19">
        <v>44203.61376157407</v>
      </c>
      <c r="C164" s="4">
        <v>49831.0</v>
      </c>
      <c r="D164" s="4" t="s">
        <v>71</v>
      </c>
      <c r="E164" s="4">
        <v>9.19717802505E11</v>
      </c>
      <c r="F164" s="4">
        <v>2827.0</v>
      </c>
      <c r="G164" s="4"/>
      <c r="H164" s="4" t="s">
        <v>64</v>
      </c>
      <c r="I164" s="4"/>
      <c r="J164" s="4" t="s">
        <v>65</v>
      </c>
      <c r="K164" s="4">
        <v>299.0</v>
      </c>
      <c r="L164" s="4"/>
      <c r="M164" s="4">
        <v>299.0</v>
      </c>
      <c r="N164" s="4" t="s">
        <v>67</v>
      </c>
      <c r="O164" s="4" t="b">
        <v>0</v>
      </c>
      <c r="P164" s="4" t="s">
        <v>68</v>
      </c>
      <c r="Q164" s="4" t="s">
        <v>69</v>
      </c>
      <c r="R164" s="4"/>
      <c r="S164" s="4"/>
      <c r="T164" s="4"/>
      <c r="U164" s="7"/>
      <c r="V164" s="4"/>
      <c r="W164" s="4"/>
      <c r="X164" s="4"/>
      <c r="Y164" s="4"/>
      <c r="Z164" s="4"/>
      <c r="AA164" s="5"/>
      <c r="AB164" s="5"/>
      <c r="AC164" s="5"/>
      <c r="AD164" s="5"/>
      <c r="AE164" s="5"/>
    </row>
    <row r="165">
      <c r="A165" s="14" t="s">
        <v>63</v>
      </c>
      <c r="B165" s="19">
        <v>44203.60659722222</v>
      </c>
      <c r="C165" s="4">
        <v>49831.0</v>
      </c>
      <c r="D165" s="4" t="s">
        <v>66</v>
      </c>
      <c r="E165" s="4">
        <v>9.17270913144E11</v>
      </c>
      <c r="F165" s="4">
        <v>3372.0</v>
      </c>
      <c r="G165" s="4"/>
      <c r="H165" s="4" t="s">
        <v>64</v>
      </c>
      <c r="I165" s="4"/>
      <c r="J165" s="4" t="s">
        <v>65</v>
      </c>
      <c r="K165" s="4">
        <v>299.0</v>
      </c>
      <c r="L165" s="4"/>
      <c r="M165" s="4">
        <v>299.0</v>
      </c>
      <c r="N165" s="4" t="s">
        <v>67</v>
      </c>
      <c r="O165" s="4" t="b">
        <v>0</v>
      </c>
      <c r="P165" s="4" t="s">
        <v>68</v>
      </c>
      <c r="Q165" s="4" t="s">
        <v>69</v>
      </c>
      <c r="R165" s="4"/>
      <c r="S165" s="4"/>
      <c r="T165" s="4"/>
      <c r="U165" s="8"/>
      <c r="V165" s="4"/>
      <c r="W165" s="4"/>
      <c r="X165" s="4"/>
      <c r="Y165" s="4"/>
      <c r="Z165" s="4"/>
      <c r="AA165" s="5"/>
      <c r="AB165" s="5"/>
      <c r="AC165" s="5"/>
      <c r="AD165" s="5"/>
      <c r="AE165" s="5"/>
    </row>
    <row r="166">
      <c r="A166" s="14" t="s">
        <v>72</v>
      </c>
      <c r="B166" s="19">
        <v>44203.8302662037</v>
      </c>
      <c r="C166" s="4">
        <v>49831.0</v>
      </c>
      <c r="D166" s="4" t="s">
        <v>73</v>
      </c>
      <c r="E166" s="4">
        <v>9.18168803701E11</v>
      </c>
      <c r="F166" s="4">
        <v>3186.0</v>
      </c>
      <c r="G166" s="4"/>
      <c r="H166" s="4" t="s">
        <v>64</v>
      </c>
      <c r="I166" s="4"/>
      <c r="J166" s="4" t="s">
        <v>65</v>
      </c>
      <c r="K166" s="4">
        <v>299.0</v>
      </c>
      <c r="L166" s="4"/>
      <c r="M166" s="4">
        <v>299.0</v>
      </c>
      <c r="N166" s="4" t="s">
        <v>67</v>
      </c>
      <c r="O166" s="4" t="b">
        <v>0</v>
      </c>
      <c r="P166" s="4" t="s">
        <v>74</v>
      </c>
      <c r="Q166" s="4" t="s">
        <v>69</v>
      </c>
      <c r="R166" s="4"/>
      <c r="S166" s="4"/>
      <c r="T166" s="4"/>
      <c r="U166" s="7"/>
      <c r="V166" s="4"/>
      <c r="W166" s="4"/>
      <c r="X166" s="4"/>
      <c r="Y166" s="4"/>
      <c r="Z166" s="4"/>
      <c r="AA166" s="5"/>
      <c r="AB166" s="5"/>
      <c r="AC166" s="5"/>
      <c r="AD166" s="5"/>
      <c r="AE166" s="5"/>
    </row>
    <row r="167">
      <c r="A167" s="14" t="s">
        <v>2169</v>
      </c>
      <c r="B167" s="19">
        <v>44270.76130787037</v>
      </c>
      <c r="C167" s="4">
        <v>49854.0</v>
      </c>
      <c r="D167" s="4" t="s">
        <v>2170</v>
      </c>
      <c r="E167" s="4">
        <v>9.17000933003E11</v>
      </c>
      <c r="F167" s="4">
        <v>16214.0</v>
      </c>
      <c r="G167" s="4"/>
      <c r="H167" s="4" t="s">
        <v>2161</v>
      </c>
      <c r="I167" s="4"/>
      <c r="J167" s="4" t="s">
        <v>85</v>
      </c>
      <c r="K167" s="4">
        <v>2596.0</v>
      </c>
      <c r="L167" s="4"/>
      <c r="M167" s="4">
        <v>2596.0</v>
      </c>
      <c r="N167" s="4" t="s">
        <v>67</v>
      </c>
      <c r="O167" s="4" t="b">
        <v>0</v>
      </c>
      <c r="P167" s="4" t="s">
        <v>97</v>
      </c>
      <c r="Q167" s="4" t="s">
        <v>69</v>
      </c>
      <c r="R167" s="4"/>
      <c r="S167" s="4"/>
      <c r="T167" s="4"/>
      <c r="U167" s="7"/>
      <c r="V167" s="4"/>
      <c r="W167" s="4"/>
      <c r="X167" s="4"/>
      <c r="Y167" s="4"/>
      <c r="Z167" s="4"/>
      <c r="AA167" s="5"/>
      <c r="AB167" s="5"/>
      <c r="AC167" s="5"/>
      <c r="AD167" s="5"/>
      <c r="AE167" s="5"/>
    </row>
    <row r="168">
      <c r="A168" s="14" t="s">
        <v>2173</v>
      </c>
      <c r="B168" s="19">
        <v>44270.807233796295</v>
      </c>
      <c r="C168" s="4">
        <v>49854.0</v>
      </c>
      <c r="D168" s="4" t="s">
        <v>2174</v>
      </c>
      <c r="E168" s="4">
        <v>9.19326969984E11</v>
      </c>
      <c r="F168" s="4">
        <v>3000.0</v>
      </c>
      <c r="G168" s="4"/>
      <c r="H168" s="4" t="s">
        <v>2161</v>
      </c>
      <c r="I168" s="4"/>
      <c r="J168" s="4" t="s">
        <v>85</v>
      </c>
      <c r="K168" s="4">
        <v>999.0</v>
      </c>
      <c r="L168" s="4"/>
      <c r="M168" s="4">
        <v>999.0</v>
      </c>
      <c r="N168" s="4" t="s">
        <v>67</v>
      </c>
      <c r="O168" s="4" t="b">
        <v>0</v>
      </c>
      <c r="P168" s="4" t="s">
        <v>74</v>
      </c>
      <c r="Q168" s="4" t="s">
        <v>69</v>
      </c>
      <c r="R168" s="4"/>
      <c r="S168" s="4"/>
      <c r="T168" s="4"/>
      <c r="U168" s="7"/>
      <c r="V168" s="4"/>
      <c r="W168" s="4"/>
      <c r="X168" s="4"/>
      <c r="Y168" s="4"/>
      <c r="Z168" s="4"/>
      <c r="AA168" s="5"/>
      <c r="AB168" s="5"/>
      <c r="AC168" s="5"/>
      <c r="AD168" s="5"/>
      <c r="AE168" s="5"/>
    </row>
    <row r="169">
      <c r="A169" s="14" t="s">
        <v>1506</v>
      </c>
      <c r="B169" s="19">
        <v>44272.48355324074</v>
      </c>
      <c r="C169" s="4">
        <v>49859.0</v>
      </c>
      <c r="D169" s="4" t="s">
        <v>1508</v>
      </c>
      <c r="E169" s="4">
        <v>9.18240417106E11</v>
      </c>
      <c r="F169" s="4">
        <v>15155.0</v>
      </c>
      <c r="G169" s="4"/>
      <c r="H169" s="4" t="s">
        <v>1507</v>
      </c>
      <c r="I169" s="4"/>
      <c r="J169" s="4" t="s">
        <v>77</v>
      </c>
      <c r="K169" s="4">
        <v>1000.0</v>
      </c>
      <c r="L169" s="4"/>
      <c r="M169" s="4">
        <v>1000.0</v>
      </c>
      <c r="N169" s="4" t="s">
        <v>67</v>
      </c>
      <c r="O169" s="4" t="b">
        <v>0</v>
      </c>
      <c r="P169" s="4" t="s">
        <v>74</v>
      </c>
      <c r="Q169" s="4" t="s">
        <v>69</v>
      </c>
      <c r="R169" s="4"/>
      <c r="S169" s="4"/>
      <c r="T169" s="4"/>
      <c r="U169" s="7"/>
      <c r="V169" s="4"/>
      <c r="W169" s="4"/>
      <c r="X169" s="4"/>
      <c r="Y169" s="4"/>
      <c r="Z169" s="4"/>
      <c r="AA169" s="5"/>
      <c r="AB169" s="5"/>
      <c r="AC169" s="5"/>
      <c r="AD169" s="5"/>
      <c r="AE169" s="5"/>
    </row>
    <row r="170">
      <c r="A170" s="14" t="s">
        <v>75</v>
      </c>
      <c r="B170" s="19">
        <v>44205.72087962963</v>
      </c>
      <c r="C170" s="4">
        <v>49834.0</v>
      </c>
      <c r="D170" s="4" t="s">
        <v>78</v>
      </c>
      <c r="E170" s="4">
        <v>9.1880071802E11</v>
      </c>
      <c r="F170" s="4">
        <v>3250.0</v>
      </c>
      <c r="G170" s="4"/>
      <c r="H170" s="4" t="s">
        <v>76</v>
      </c>
      <c r="I170" s="4"/>
      <c r="J170" s="4" t="s">
        <v>77</v>
      </c>
      <c r="K170" s="4">
        <v>499.0</v>
      </c>
      <c r="L170" s="4"/>
      <c r="M170" s="4">
        <v>499.0</v>
      </c>
      <c r="N170" s="4" t="s">
        <v>67</v>
      </c>
      <c r="O170" s="4" t="b">
        <v>0</v>
      </c>
      <c r="P170" s="4" t="s">
        <v>68</v>
      </c>
      <c r="Q170" s="4" t="s">
        <v>69</v>
      </c>
      <c r="R170" s="4"/>
      <c r="S170" s="4"/>
      <c r="T170" s="4"/>
      <c r="U170" s="7"/>
      <c r="V170" s="4"/>
      <c r="W170" s="4"/>
      <c r="X170" s="4"/>
      <c r="Y170" s="4"/>
      <c r="Z170" s="4"/>
      <c r="AA170" s="5"/>
      <c r="AB170" s="5"/>
      <c r="AC170" s="5"/>
      <c r="AD170" s="5"/>
      <c r="AE170" s="5"/>
    </row>
    <row r="171">
      <c r="A171" s="14" t="s">
        <v>79</v>
      </c>
      <c r="B171" s="19">
        <v>44206.81398148148</v>
      </c>
      <c r="C171" s="4">
        <v>49831.0</v>
      </c>
      <c r="D171" s="4" t="s">
        <v>80</v>
      </c>
      <c r="E171" s="4">
        <v>9.16005739437E11</v>
      </c>
      <c r="F171" s="4">
        <v>1966.0</v>
      </c>
      <c r="G171" s="4"/>
      <c r="H171" s="4" t="s">
        <v>64</v>
      </c>
      <c r="I171" s="4"/>
      <c r="J171" s="4" t="s">
        <v>65</v>
      </c>
      <c r="K171" s="4">
        <v>299.0</v>
      </c>
      <c r="L171" s="4"/>
      <c r="M171" s="4">
        <v>299.0</v>
      </c>
      <c r="N171" s="4" t="s">
        <v>67</v>
      </c>
      <c r="O171" s="4" t="b">
        <v>0</v>
      </c>
      <c r="P171" s="4" t="s">
        <v>74</v>
      </c>
      <c r="Q171" s="4" t="s">
        <v>69</v>
      </c>
      <c r="R171" s="4"/>
      <c r="S171" s="4"/>
      <c r="T171" s="4"/>
      <c r="U171" s="7"/>
      <c r="V171" s="4"/>
      <c r="W171" s="4"/>
      <c r="X171" s="4"/>
      <c r="Y171" s="4"/>
      <c r="Z171" s="4"/>
      <c r="AA171" s="5"/>
      <c r="AB171" s="5"/>
      <c r="AC171" s="5"/>
      <c r="AD171" s="5"/>
      <c r="AE171" s="5"/>
    </row>
    <row r="172">
      <c r="A172" s="14" t="s">
        <v>214</v>
      </c>
      <c r="B172" s="19">
        <v>44272.51902777778</v>
      </c>
      <c r="C172" s="4">
        <v>49833.0</v>
      </c>
      <c r="D172" s="4" t="s">
        <v>215</v>
      </c>
      <c r="E172" s="4">
        <v>9.71588137128E11</v>
      </c>
      <c r="F172" s="4">
        <v>16275.0</v>
      </c>
      <c r="G172" s="4"/>
      <c r="H172" s="4" t="s">
        <v>184</v>
      </c>
      <c r="I172" s="4"/>
      <c r="J172" s="4" t="s">
        <v>85</v>
      </c>
      <c r="K172" s="4">
        <v>99.0</v>
      </c>
      <c r="L172" s="4"/>
      <c r="M172" s="4">
        <v>99.0</v>
      </c>
      <c r="N172" s="4" t="s">
        <v>67</v>
      </c>
      <c r="O172" s="4" t="b">
        <v>0</v>
      </c>
      <c r="P172" s="4" t="s">
        <v>68</v>
      </c>
      <c r="Q172" s="4" t="s">
        <v>69</v>
      </c>
      <c r="R172" s="4"/>
      <c r="S172" s="4"/>
      <c r="T172" s="4"/>
      <c r="U172" s="8"/>
      <c r="V172" s="4"/>
      <c r="W172" s="4"/>
      <c r="X172" s="4"/>
      <c r="Y172" s="4"/>
      <c r="Z172" s="4"/>
      <c r="AA172" s="5"/>
      <c r="AB172" s="5"/>
      <c r="AC172" s="5"/>
      <c r="AD172" s="5"/>
      <c r="AE172" s="5"/>
    </row>
    <row r="173">
      <c r="A173" s="14" t="s">
        <v>220</v>
      </c>
      <c r="B173" s="19">
        <v>44272.620162037034</v>
      </c>
      <c r="C173" s="4">
        <v>49833.0</v>
      </c>
      <c r="D173" s="4" t="s">
        <v>221</v>
      </c>
      <c r="E173" s="4">
        <v>9.17510953072E11</v>
      </c>
      <c r="F173" s="4">
        <v>16268.0</v>
      </c>
      <c r="G173" s="4"/>
      <c r="H173" s="4" t="s">
        <v>184</v>
      </c>
      <c r="I173" s="4"/>
      <c r="J173" s="4" t="s">
        <v>85</v>
      </c>
      <c r="K173" s="4">
        <v>99.0</v>
      </c>
      <c r="L173" s="4"/>
      <c r="M173" s="4">
        <v>99.0</v>
      </c>
      <c r="N173" s="4" t="s">
        <v>67</v>
      </c>
      <c r="O173" s="4" t="b">
        <v>0</v>
      </c>
      <c r="P173" s="4" t="s">
        <v>68</v>
      </c>
      <c r="Q173" s="4" t="s">
        <v>69</v>
      </c>
      <c r="R173" s="4"/>
      <c r="S173" s="4"/>
      <c r="T173" s="4"/>
      <c r="U173" s="7"/>
      <c r="V173" s="4"/>
      <c r="W173" s="4"/>
      <c r="X173" s="4"/>
      <c r="Y173" s="4"/>
      <c r="Z173" s="4"/>
      <c r="AA173" s="5"/>
      <c r="AB173" s="5"/>
      <c r="AC173" s="5"/>
      <c r="AD173" s="5"/>
      <c r="AE173" s="5"/>
    </row>
    <row r="174">
      <c r="A174" s="14" t="s">
        <v>216</v>
      </c>
      <c r="B174" s="19">
        <v>44272.606412037036</v>
      </c>
      <c r="C174" s="4">
        <v>49833.0</v>
      </c>
      <c r="D174" s="4" t="s">
        <v>217</v>
      </c>
      <c r="E174" s="4">
        <v>9.19686818319E11</v>
      </c>
      <c r="F174" s="4">
        <v>13724.0</v>
      </c>
      <c r="G174" s="4"/>
      <c r="H174" s="4" t="s">
        <v>184</v>
      </c>
      <c r="I174" s="4"/>
      <c r="J174" s="4" t="s">
        <v>85</v>
      </c>
      <c r="K174" s="4">
        <v>99.0</v>
      </c>
      <c r="L174" s="4"/>
      <c r="M174" s="4">
        <v>99.0</v>
      </c>
      <c r="N174" s="4" t="s">
        <v>67</v>
      </c>
      <c r="O174" s="4" t="b">
        <v>0</v>
      </c>
      <c r="P174" s="4" t="s">
        <v>97</v>
      </c>
      <c r="Q174" s="4" t="s">
        <v>69</v>
      </c>
      <c r="R174" s="4"/>
      <c r="S174" s="4"/>
      <c r="T174" s="4"/>
      <c r="U174" s="7"/>
      <c r="V174" s="4"/>
      <c r="W174" s="4"/>
      <c r="X174" s="4"/>
      <c r="Y174" s="4"/>
      <c r="Z174" s="4"/>
      <c r="AA174" s="5"/>
      <c r="AB174" s="5"/>
      <c r="AC174" s="5"/>
      <c r="AD174" s="5"/>
      <c r="AE174" s="5"/>
    </row>
    <row r="175">
      <c r="A175" s="14" t="s">
        <v>222</v>
      </c>
      <c r="B175" s="19">
        <v>44272.64696759259</v>
      </c>
      <c r="C175" s="4">
        <v>49833.0</v>
      </c>
      <c r="D175" s="4" t="s">
        <v>223</v>
      </c>
      <c r="E175" s="4">
        <v>9.18605603525E11</v>
      </c>
      <c r="F175" s="4">
        <v>16272.0</v>
      </c>
      <c r="G175" s="4"/>
      <c r="H175" s="4" t="s">
        <v>184</v>
      </c>
      <c r="I175" s="4"/>
      <c r="J175" s="4" t="s">
        <v>85</v>
      </c>
      <c r="K175" s="4">
        <v>99.0</v>
      </c>
      <c r="L175" s="4"/>
      <c r="M175" s="4">
        <v>99.0</v>
      </c>
      <c r="N175" s="4" t="s">
        <v>67</v>
      </c>
      <c r="O175" s="4" t="b">
        <v>0</v>
      </c>
      <c r="P175" s="4" t="s">
        <v>68</v>
      </c>
      <c r="Q175" s="4" t="s">
        <v>69</v>
      </c>
      <c r="R175" s="4"/>
      <c r="S175" s="4"/>
      <c r="T175" s="4"/>
      <c r="U175" s="7"/>
      <c r="V175" s="4"/>
      <c r="W175" s="4"/>
      <c r="X175" s="4"/>
      <c r="Y175" s="4"/>
      <c r="Z175" s="4"/>
      <c r="AA175" s="5"/>
      <c r="AB175" s="5"/>
      <c r="AC175" s="5"/>
      <c r="AD175" s="5"/>
      <c r="AE175" s="5"/>
    </row>
    <row r="176">
      <c r="A176" s="14" t="s">
        <v>183</v>
      </c>
      <c r="B176" s="19">
        <v>44271.59989583334</v>
      </c>
      <c r="C176" s="4">
        <v>49833.0</v>
      </c>
      <c r="D176" s="4" t="s">
        <v>185</v>
      </c>
      <c r="E176" s="4">
        <v>9.19611611019E11</v>
      </c>
      <c r="F176" s="4">
        <v>16307.0</v>
      </c>
      <c r="G176" s="4"/>
      <c r="H176" s="4" t="s">
        <v>184</v>
      </c>
      <c r="I176" s="4"/>
      <c r="J176" s="4" t="s">
        <v>85</v>
      </c>
      <c r="K176" s="4">
        <v>99.0</v>
      </c>
      <c r="L176" s="4"/>
      <c r="M176" s="4">
        <v>99.0</v>
      </c>
      <c r="N176" s="4" t="s">
        <v>67</v>
      </c>
      <c r="O176" s="4" t="b">
        <v>0</v>
      </c>
      <c r="P176" s="4" t="s">
        <v>68</v>
      </c>
      <c r="Q176" s="4" t="s">
        <v>69</v>
      </c>
      <c r="R176" s="4"/>
      <c r="S176" s="4"/>
      <c r="T176" s="4"/>
      <c r="U176" s="7"/>
      <c r="V176" s="4"/>
      <c r="W176" s="4"/>
      <c r="X176" s="4"/>
      <c r="Y176" s="4"/>
      <c r="Z176" s="4"/>
      <c r="AA176" s="5"/>
      <c r="AB176" s="5"/>
      <c r="AC176" s="5"/>
      <c r="AD176" s="5"/>
      <c r="AE176" s="5"/>
    </row>
    <row r="177">
      <c r="A177" s="14" t="s">
        <v>224</v>
      </c>
      <c r="B177" s="19">
        <v>44272.70688657407</v>
      </c>
      <c r="C177" s="4">
        <v>49833.0</v>
      </c>
      <c r="D177" s="4" t="s">
        <v>225</v>
      </c>
      <c r="E177" s="4">
        <v>9.19884884951E11</v>
      </c>
      <c r="F177" s="4" t="s">
        <v>83</v>
      </c>
      <c r="G177" s="4"/>
      <c r="H177" s="4" t="s">
        <v>184</v>
      </c>
      <c r="I177" s="4"/>
      <c r="J177" s="4" t="s">
        <v>85</v>
      </c>
      <c r="K177" s="4">
        <v>99.0</v>
      </c>
      <c r="L177" s="4"/>
      <c r="M177" s="4">
        <v>99.0</v>
      </c>
      <c r="N177" s="4" t="s">
        <v>67</v>
      </c>
      <c r="O177" s="4" t="b">
        <v>0</v>
      </c>
      <c r="P177" s="4" t="s">
        <v>68</v>
      </c>
      <c r="Q177" s="4" t="s">
        <v>69</v>
      </c>
      <c r="R177" s="4"/>
      <c r="S177" s="4"/>
      <c r="T177" s="4"/>
      <c r="U177" s="7"/>
      <c r="V177" s="4"/>
      <c r="W177" s="4"/>
      <c r="X177" s="4"/>
      <c r="Y177" s="4"/>
      <c r="Z177" s="4"/>
      <c r="AA177" s="5"/>
      <c r="AB177" s="5"/>
      <c r="AC177" s="5"/>
      <c r="AD177" s="5"/>
      <c r="AE177" s="5"/>
    </row>
    <row r="178">
      <c r="A178" s="14" t="s">
        <v>226</v>
      </c>
      <c r="B178" s="19">
        <v>44272.74466435185</v>
      </c>
      <c r="C178" s="4">
        <v>49833.0</v>
      </c>
      <c r="D178" s="4" t="s">
        <v>227</v>
      </c>
      <c r="E178" s="4">
        <v>9.18920043318E11</v>
      </c>
      <c r="F178" s="4">
        <v>16271.0</v>
      </c>
      <c r="G178" s="4"/>
      <c r="H178" s="4" t="s">
        <v>184</v>
      </c>
      <c r="I178" s="4"/>
      <c r="J178" s="4" t="s">
        <v>85</v>
      </c>
      <c r="K178" s="4">
        <v>99.0</v>
      </c>
      <c r="L178" s="4"/>
      <c r="M178" s="4">
        <v>99.0</v>
      </c>
      <c r="N178" s="4" t="s">
        <v>67</v>
      </c>
      <c r="O178" s="4" t="b">
        <v>0</v>
      </c>
      <c r="P178" s="4" t="s">
        <v>68</v>
      </c>
      <c r="Q178" s="4" t="s">
        <v>69</v>
      </c>
      <c r="R178" s="4"/>
      <c r="S178" s="4"/>
      <c r="T178" s="4"/>
      <c r="U178" s="7"/>
      <c r="V178" s="4"/>
      <c r="W178" s="4"/>
      <c r="X178" s="4"/>
      <c r="Y178" s="4"/>
      <c r="Z178" s="4"/>
      <c r="AA178" s="5"/>
      <c r="AB178" s="5"/>
      <c r="AC178" s="5"/>
      <c r="AD178" s="5"/>
      <c r="AE178" s="5"/>
    </row>
    <row r="179">
      <c r="A179" s="14" t="s">
        <v>188</v>
      </c>
      <c r="B179" s="19">
        <v>44271.70594907407</v>
      </c>
      <c r="C179" s="4">
        <v>49833.0</v>
      </c>
      <c r="D179" s="4" t="s">
        <v>189</v>
      </c>
      <c r="E179" s="4">
        <v>9.1910822943E11</v>
      </c>
      <c r="F179" s="4">
        <v>16263.0</v>
      </c>
      <c r="G179" s="4"/>
      <c r="H179" s="4" t="s">
        <v>184</v>
      </c>
      <c r="I179" s="4"/>
      <c r="J179" s="4" t="s">
        <v>85</v>
      </c>
      <c r="K179" s="4">
        <v>99.0</v>
      </c>
      <c r="L179" s="4"/>
      <c r="M179" s="4">
        <v>99.0</v>
      </c>
      <c r="N179" s="4" t="s">
        <v>67</v>
      </c>
      <c r="O179" s="4" t="b">
        <v>0</v>
      </c>
      <c r="P179" s="4" t="s">
        <v>68</v>
      </c>
      <c r="Q179" s="4" t="s">
        <v>69</v>
      </c>
      <c r="R179" s="4"/>
      <c r="S179" s="4"/>
      <c r="T179" s="4"/>
      <c r="U179" s="7"/>
      <c r="V179" s="4"/>
      <c r="W179" s="4"/>
      <c r="X179" s="4"/>
      <c r="Y179" s="4"/>
      <c r="Z179" s="4"/>
      <c r="AA179" s="5"/>
      <c r="AB179" s="5"/>
      <c r="AC179" s="5"/>
      <c r="AD179" s="5"/>
      <c r="AE179" s="5"/>
    </row>
    <row r="180">
      <c r="A180" s="14" t="s">
        <v>192</v>
      </c>
      <c r="B180" s="19">
        <v>44271.746099537035</v>
      </c>
      <c r="C180" s="4">
        <v>49833.0</v>
      </c>
      <c r="D180" s="4" t="s">
        <v>193</v>
      </c>
      <c r="E180" s="4">
        <v>9.19900800662E11</v>
      </c>
      <c r="F180" s="4">
        <v>16246.0</v>
      </c>
      <c r="G180" s="4"/>
      <c r="H180" s="4" t="s">
        <v>184</v>
      </c>
      <c r="I180" s="4"/>
      <c r="J180" s="4" t="s">
        <v>85</v>
      </c>
      <c r="K180" s="4">
        <v>99.0</v>
      </c>
      <c r="L180" s="4"/>
      <c r="M180" s="4">
        <v>99.0</v>
      </c>
      <c r="N180" s="4" t="s">
        <v>67</v>
      </c>
      <c r="O180" s="4" t="b">
        <v>0</v>
      </c>
      <c r="P180" s="4" t="s">
        <v>74</v>
      </c>
      <c r="Q180" s="4" t="s">
        <v>69</v>
      </c>
      <c r="R180" s="4"/>
      <c r="S180" s="4"/>
      <c r="T180" s="4"/>
      <c r="U180" s="7"/>
      <c r="V180" s="4"/>
      <c r="W180" s="4"/>
      <c r="X180" s="4"/>
      <c r="Y180" s="4"/>
      <c r="Z180" s="4"/>
      <c r="AA180" s="5"/>
      <c r="AB180" s="5"/>
      <c r="AC180" s="5"/>
      <c r="AD180" s="5"/>
      <c r="AE180" s="5"/>
    </row>
    <row r="181">
      <c r="A181" s="14" t="s">
        <v>194</v>
      </c>
      <c r="B181" s="19">
        <v>44271.748935185184</v>
      </c>
      <c r="C181" s="4">
        <v>49833.0</v>
      </c>
      <c r="D181" s="4" t="s">
        <v>195</v>
      </c>
      <c r="E181" s="4">
        <v>9.19734664931E11</v>
      </c>
      <c r="F181" s="4">
        <v>8312.0</v>
      </c>
      <c r="G181" s="4"/>
      <c r="H181" s="4" t="s">
        <v>184</v>
      </c>
      <c r="I181" s="4"/>
      <c r="J181" s="4" t="s">
        <v>85</v>
      </c>
      <c r="K181" s="4">
        <v>99.0</v>
      </c>
      <c r="L181" s="4"/>
      <c r="M181" s="4">
        <v>99.0</v>
      </c>
      <c r="N181" s="4" t="s">
        <v>67</v>
      </c>
      <c r="O181" s="4" t="b">
        <v>0</v>
      </c>
      <c r="P181" s="4" t="s">
        <v>74</v>
      </c>
      <c r="Q181" s="4" t="s">
        <v>69</v>
      </c>
      <c r="R181" s="4"/>
      <c r="S181" s="4"/>
      <c r="T181" s="4"/>
      <c r="U181" s="7"/>
      <c r="V181" s="4"/>
      <c r="W181" s="4"/>
      <c r="X181" s="4"/>
      <c r="Y181" s="4"/>
      <c r="Z181" s="4"/>
      <c r="AA181" s="5"/>
      <c r="AB181" s="5"/>
      <c r="AC181" s="5"/>
      <c r="AD181" s="5"/>
      <c r="AE181" s="5"/>
    </row>
    <row r="182">
      <c r="A182" s="14" t="s">
        <v>196</v>
      </c>
      <c r="B182" s="19">
        <v>44271.75457175926</v>
      </c>
      <c r="C182" s="4">
        <v>49831.0</v>
      </c>
      <c r="D182" s="4" t="s">
        <v>197</v>
      </c>
      <c r="E182" s="4">
        <v>9.19348206965E11</v>
      </c>
      <c r="F182" s="4">
        <v>16235.0</v>
      </c>
      <c r="G182" s="4"/>
      <c r="H182" s="4" t="s">
        <v>64</v>
      </c>
      <c r="I182" s="4"/>
      <c r="J182" s="4" t="s">
        <v>85</v>
      </c>
      <c r="K182" s="4">
        <v>599.0</v>
      </c>
      <c r="L182" s="4"/>
      <c r="M182" s="4">
        <v>599.0</v>
      </c>
      <c r="N182" s="4" t="s">
        <v>67</v>
      </c>
      <c r="O182" s="4" t="b">
        <v>0</v>
      </c>
      <c r="P182" s="4" t="s">
        <v>97</v>
      </c>
      <c r="Q182" s="4" t="s">
        <v>69</v>
      </c>
      <c r="R182" s="4"/>
      <c r="S182" s="4"/>
      <c r="T182" s="4"/>
      <c r="U182" s="7"/>
      <c r="V182" s="4"/>
      <c r="W182" s="4"/>
      <c r="X182" s="4"/>
      <c r="Y182" s="4"/>
      <c r="Z182" s="4"/>
      <c r="AA182" s="5"/>
      <c r="AB182" s="5"/>
      <c r="AC182" s="5"/>
      <c r="AD182" s="5"/>
      <c r="AE182" s="5"/>
    </row>
    <row r="183">
      <c r="A183" s="14" t="s">
        <v>200</v>
      </c>
      <c r="B183" s="19">
        <v>44271.90490740741</v>
      </c>
      <c r="C183" s="4">
        <v>49833.0</v>
      </c>
      <c r="D183" s="4" t="s">
        <v>201</v>
      </c>
      <c r="E183" s="4">
        <v>9.19591825002E11</v>
      </c>
      <c r="F183" s="4">
        <v>16265.0</v>
      </c>
      <c r="G183" s="4"/>
      <c r="H183" s="4" t="s">
        <v>184</v>
      </c>
      <c r="I183" s="4"/>
      <c r="J183" s="4" t="s">
        <v>85</v>
      </c>
      <c r="K183" s="4">
        <v>99.0</v>
      </c>
      <c r="L183" s="4"/>
      <c r="M183" s="4">
        <v>99.0</v>
      </c>
      <c r="N183" s="4" t="s">
        <v>67</v>
      </c>
      <c r="O183" s="4" t="b">
        <v>0</v>
      </c>
      <c r="P183" s="4" t="s">
        <v>68</v>
      </c>
      <c r="Q183" s="4" t="s">
        <v>69</v>
      </c>
      <c r="R183" s="4"/>
      <c r="S183" s="4"/>
      <c r="T183" s="4"/>
      <c r="U183" s="7"/>
      <c r="V183" s="4"/>
      <c r="W183" s="4"/>
      <c r="X183" s="4"/>
      <c r="Y183" s="4"/>
      <c r="Z183" s="4"/>
      <c r="AA183" s="5"/>
      <c r="AB183" s="5"/>
      <c r="AC183" s="5"/>
      <c r="AD183" s="5"/>
      <c r="AE183" s="5"/>
    </row>
    <row r="184">
      <c r="A184" s="14" t="s">
        <v>202</v>
      </c>
      <c r="B184" s="19">
        <v>44271.91244212963</v>
      </c>
      <c r="C184" s="4">
        <v>49833.0</v>
      </c>
      <c r="D184" s="4" t="s">
        <v>203</v>
      </c>
      <c r="E184" s="4">
        <v>9.19558836301E11</v>
      </c>
      <c r="F184" s="4">
        <v>16248.0</v>
      </c>
      <c r="G184" s="4"/>
      <c r="H184" s="4" t="s">
        <v>184</v>
      </c>
      <c r="I184" s="4"/>
      <c r="J184" s="4" t="s">
        <v>85</v>
      </c>
      <c r="K184" s="4">
        <v>99.0</v>
      </c>
      <c r="L184" s="4"/>
      <c r="M184" s="4">
        <v>99.0</v>
      </c>
      <c r="N184" s="4" t="s">
        <v>67</v>
      </c>
      <c r="O184" s="4" t="b">
        <v>0</v>
      </c>
      <c r="P184" s="4" t="s">
        <v>68</v>
      </c>
      <c r="Q184" s="4" t="s">
        <v>69</v>
      </c>
      <c r="R184" s="4"/>
      <c r="S184" s="4"/>
      <c r="T184" s="4"/>
      <c r="U184" s="7"/>
      <c r="V184" s="4"/>
      <c r="W184" s="4"/>
      <c r="X184" s="4"/>
      <c r="Y184" s="4"/>
      <c r="Z184" s="4"/>
      <c r="AA184" s="5"/>
      <c r="AB184" s="5"/>
      <c r="AC184" s="5"/>
      <c r="AD184" s="5"/>
      <c r="AE184" s="5"/>
    </row>
    <row r="185">
      <c r="A185" s="14" t="s">
        <v>204</v>
      </c>
      <c r="B185" s="19">
        <v>44271.91869212963</v>
      </c>
      <c r="C185" s="4">
        <v>49833.0</v>
      </c>
      <c r="D185" s="4" t="s">
        <v>205</v>
      </c>
      <c r="E185" s="4">
        <v>9.19148287261E11</v>
      </c>
      <c r="F185" s="4">
        <v>16249.0</v>
      </c>
      <c r="G185" s="4"/>
      <c r="H185" s="4" t="s">
        <v>184</v>
      </c>
      <c r="I185" s="4"/>
      <c r="J185" s="4" t="s">
        <v>85</v>
      </c>
      <c r="K185" s="4">
        <v>99.0</v>
      </c>
      <c r="L185" s="4"/>
      <c r="M185" s="4">
        <v>99.0</v>
      </c>
      <c r="N185" s="4" t="s">
        <v>67</v>
      </c>
      <c r="O185" s="4" t="b">
        <v>0</v>
      </c>
      <c r="P185" s="4" t="s">
        <v>68</v>
      </c>
      <c r="Q185" s="4" t="s">
        <v>69</v>
      </c>
      <c r="R185" s="4"/>
      <c r="S185" s="4"/>
      <c r="T185" s="4"/>
      <c r="U185" s="7"/>
      <c r="V185" s="4"/>
      <c r="W185" s="4"/>
      <c r="X185" s="4"/>
      <c r="Y185" s="4"/>
      <c r="Z185" s="4"/>
      <c r="AA185" s="5"/>
      <c r="AB185" s="5"/>
      <c r="AC185" s="5"/>
      <c r="AD185" s="5"/>
      <c r="AE185" s="5"/>
    </row>
    <row r="186">
      <c r="A186" s="14" t="s">
        <v>206</v>
      </c>
      <c r="B186" s="19">
        <v>44271.953935185185</v>
      </c>
      <c r="C186" s="4">
        <v>49833.0</v>
      </c>
      <c r="D186" s="4" t="s">
        <v>207</v>
      </c>
      <c r="E186" s="4">
        <v>9.18152013967E11</v>
      </c>
      <c r="F186" s="4">
        <v>16266.0</v>
      </c>
      <c r="G186" s="4"/>
      <c r="H186" s="4" t="s">
        <v>184</v>
      </c>
      <c r="I186" s="4"/>
      <c r="J186" s="4" t="s">
        <v>85</v>
      </c>
      <c r="K186" s="4">
        <v>99.0</v>
      </c>
      <c r="L186" s="4"/>
      <c r="M186" s="4">
        <v>99.0</v>
      </c>
      <c r="N186" s="4" t="s">
        <v>67</v>
      </c>
      <c r="O186" s="4" t="b">
        <v>0</v>
      </c>
      <c r="P186" s="4" t="s">
        <v>68</v>
      </c>
      <c r="Q186" s="4" t="s">
        <v>69</v>
      </c>
      <c r="R186" s="4"/>
      <c r="S186" s="4"/>
      <c r="T186" s="4"/>
      <c r="U186" s="7"/>
      <c r="V186" s="4"/>
      <c r="W186" s="4"/>
      <c r="X186" s="4"/>
      <c r="Y186" s="4"/>
      <c r="Z186" s="4"/>
      <c r="AA186" s="5"/>
      <c r="AB186" s="5"/>
      <c r="AC186" s="5"/>
      <c r="AD186" s="5"/>
      <c r="AE186" s="5"/>
    </row>
    <row r="187">
      <c r="A187" s="14" t="s">
        <v>210</v>
      </c>
      <c r="B187" s="19">
        <v>44271.97876157407</v>
      </c>
      <c r="C187" s="4">
        <v>49833.0</v>
      </c>
      <c r="D187" s="4" t="s">
        <v>211</v>
      </c>
      <c r="E187" s="4">
        <v>9.17034476756E11</v>
      </c>
      <c r="F187" s="4">
        <v>4363.0</v>
      </c>
      <c r="G187" s="4"/>
      <c r="H187" s="4" t="s">
        <v>184</v>
      </c>
      <c r="I187" s="4"/>
      <c r="J187" s="4" t="s">
        <v>85</v>
      </c>
      <c r="K187" s="4">
        <v>99.0</v>
      </c>
      <c r="L187" s="4"/>
      <c r="M187" s="4">
        <v>99.0</v>
      </c>
      <c r="N187" s="4" t="s">
        <v>67</v>
      </c>
      <c r="O187" s="4" t="b">
        <v>0</v>
      </c>
      <c r="P187" s="4" t="s">
        <v>68</v>
      </c>
      <c r="Q187" s="4" t="s">
        <v>69</v>
      </c>
      <c r="R187" s="4"/>
      <c r="S187" s="4"/>
      <c r="T187" s="4"/>
      <c r="U187" s="7"/>
      <c r="V187" s="4"/>
      <c r="W187" s="4"/>
      <c r="X187" s="4"/>
      <c r="Y187" s="4"/>
      <c r="Z187" s="4"/>
      <c r="AA187" s="5"/>
      <c r="AB187" s="5"/>
      <c r="AC187" s="5"/>
      <c r="AD187" s="5"/>
      <c r="AE187" s="5"/>
    </row>
    <row r="188">
      <c r="A188" s="14" t="s">
        <v>230</v>
      </c>
      <c r="B188" s="19">
        <v>44273.46429398148</v>
      </c>
      <c r="C188" s="4">
        <v>49833.0</v>
      </c>
      <c r="D188" s="4" t="s">
        <v>231</v>
      </c>
      <c r="E188" s="4">
        <v>9.18638182668E11</v>
      </c>
      <c r="F188" s="4">
        <v>16285.0</v>
      </c>
      <c r="G188" s="4"/>
      <c r="H188" s="4" t="s">
        <v>184</v>
      </c>
      <c r="I188" s="4"/>
      <c r="J188" s="4" t="s">
        <v>85</v>
      </c>
      <c r="K188" s="4">
        <v>99.0</v>
      </c>
      <c r="L188" s="4"/>
      <c r="M188" s="4">
        <v>99.0</v>
      </c>
      <c r="N188" s="4" t="s">
        <v>67</v>
      </c>
      <c r="O188" s="4" t="b">
        <v>0</v>
      </c>
      <c r="P188" s="4" t="s">
        <v>68</v>
      </c>
      <c r="Q188" s="4" t="s">
        <v>69</v>
      </c>
      <c r="R188" s="4"/>
      <c r="S188" s="4"/>
      <c r="T188" s="4"/>
      <c r="U188" s="7"/>
      <c r="V188" s="4"/>
      <c r="W188" s="4"/>
      <c r="X188" s="4"/>
      <c r="Y188" s="4"/>
      <c r="Z188" s="4"/>
      <c r="AA188" s="5"/>
      <c r="AB188" s="5"/>
      <c r="AC188" s="5"/>
      <c r="AD188" s="5"/>
      <c r="AE188" s="5"/>
    </row>
    <row r="189">
      <c r="A189" s="14" t="s">
        <v>234</v>
      </c>
      <c r="B189" s="19">
        <v>44273.52258101852</v>
      </c>
      <c r="C189" s="4">
        <v>49833.0</v>
      </c>
      <c r="D189" s="4" t="s">
        <v>235</v>
      </c>
      <c r="E189" s="4">
        <v>9.19051973402E11</v>
      </c>
      <c r="F189" s="4">
        <v>16298.0</v>
      </c>
      <c r="G189" s="4"/>
      <c r="H189" s="4" t="s">
        <v>184</v>
      </c>
      <c r="I189" s="4"/>
      <c r="J189" s="4" t="s">
        <v>85</v>
      </c>
      <c r="K189" s="4">
        <v>99.0</v>
      </c>
      <c r="L189" s="4"/>
      <c r="M189" s="4">
        <v>99.0</v>
      </c>
      <c r="N189" s="4" t="s">
        <v>67</v>
      </c>
      <c r="O189" s="4" t="b">
        <v>0</v>
      </c>
      <c r="P189" s="4" t="s">
        <v>68</v>
      </c>
      <c r="Q189" s="4" t="s">
        <v>69</v>
      </c>
      <c r="R189" s="4"/>
      <c r="S189" s="4"/>
      <c r="T189" s="4"/>
      <c r="U189" s="7"/>
      <c r="V189" s="4"/>
      <c r="W189" s="4"/>
      <c r="X189" s="4"/>
      <c r="Y189" s="4"/>
      <c r="Z189" s="4"/>
      <c r="AA189" s="5"/>
      <c r="AB189" s="5"/>
      <c r="AC189" s="5"/>
      <c r="AD189" s="5"/>
      <c r="AE189" s="5"/>
    </row>
    <row r="190">
      <c r="A190" s="14" t="s">
        <v>232</v>
      </c>
      <c r="B190" s="19">
        <v>44273.506631944445</v>
      </c>
      <c r="C190" s="4">
        <v>49833.0</v>
      </c>
      <c r="D190" s="4" t="s">
        <v>233</v>
      </c>
      <c r="E190" s="4">
        <v>9.17026475982E11</v>
      </c>
      <c r="F190" s="4">
        <v>16288.0</v>
      </c>
      <c r="G190" s="4"/>
      <c r="H190" s="4" t="s">
        <v>184</v>
      </c>
      <c r="I190" s="4"/>
      <c r="J190" s="4" t="s">
        <v>85</v>
      </c>
      <c r="K190" s="4">
        <v>99.0</v>
      </c>
      <c r="L190" s="4"/>
      <c r="M190" s="4">
        <v>99.0</v>
      </c>
      <c r="N190" s="4" t="s">
        <v>67</v>
      </c>
      <c r="O190" s="4" t="b">
        <v>0</v>
      </c>
      <c r="P190" s="4" t="s">
        <v>68</v>
      </c>
      <c r="Q190" s="4" t="s">
        <v>69</v>
      </c>
      <c r="R190" s="4"/>
      <c r="S190" s="4"/>
      <c r="T190" s="4"/>
      <c r="U190" s="7"/>
      <c r="V190" s="4"/>
      <c r="W190" s="4"/>
      <c r="X190" s="4"/>
      <c r="Y190" s="4"/>
      <c r="Z190" s="4"/>
      <c r="AA190" s="5"/>
      <c r="AB190" s="5"/>
      <c r="AC190" s="5"/>
      <c r="AD190" s="5"/>
      <c r="AE190" s="5"/>
    </row>
    <row r="191">
      <c r="A191" s="14" t="s">
        <v>790</v>
      </c>
      <c r="B191" s="19">
        <v>44273.6178125</v>
      </c>
      <c r="C191" s="4">
        <v>49948.0</v>
      </c>
      <c r="D191" s="4" t="s">
        <v>792</v>
      </c>
      <c r="E191" s="4">
        <v>9.1988477296E11</v>
      </c>
      <c r="F191" s="4">
        <v>16341.0</v>
      </c>
      <c r="G191" s="4"/>
      <c r="H191" s="4" t="s">
        <v>791</v>
      </c>
      <c r="I191" s="4"/>
      <c r="J191" s="4" t="s">
        <v>149</v>
      </c>
      <c r="K191" s="4">
        <v>99.0</v>
      </c>
      <c r="L191" s="4"/>
      <c r="M191" s="4">
        <v>99.0</v>
      </c>
      <c r="N191" s="4" t="s">
        <v>67</v>
      </c>
      <c r="O191" s="4" t="b">
        <v>0</v>
      </c>
      <c r="P191" s="4" t="s">
        <v>97</v>
      </c>
      <c r="Q191" s="4" t="s">
        <v>69</v>
      </c>
      <c r="R191" s="4"/>
      <c r="S191" s="4"/>
      <c r="T191" s="4"/>
      <c r="U191" s="7"/>
      <c r="V191" s="4"/>
      <c r="W191" s="4"/>
      <c r="X191" s="4"/>
      <c r="Y191" s="4"/>
      <c r="Z191" s="4"/>
      <c r="AA191" s="5"/>
      <c r="AB191" s="5"/>
      <c r="AC191" s="5"/>
      <c r="AD191" s="5"/>
      <c r="AE191" s="5"/>
    </row>
    <row r="192">
      <c r="A192" s="14" t="s">
        <v>238</v>
      </c>
      <c r="B192" s="19">
        <v>44273.74377314815</v>
      </c>
      <c r="C192" s="4">
        <v>49833.0</v>
      </c>
      <c r="D192" s="4" t="s">
        <v>239</v>
      </c>
      <c r="E192" s="4">
        <v>9.19324470993E11</v>
      </c>
      <c r="F192" s="4">
        <v>6427.0</v>
      </c>
      <c r="G192" s="4"/>
      <c r="H192" s="4" t="s">
        <v>184</v>
      </c>
      <c r="I192" s="4"/>
      <c r="J192" s="4" t="s">
        <v>85</v>
      </c>
      <c r="K192" s="4">
        <v>99.0</v>
      </c>
      <c r="L192" s="4"/>
      <c r="M192" s="4">
        <v>99.0</v>
      </c>
      <c r="N192" s="4" t="s">
        <v>67</v>
      </c>
      <c r="O192" s="4" t="b">
        <v>0</v>
      </c>
      <c r="P192" s="4" t="s">
        <v>68</v>
      </c>
      <c r="Q192" s="4" t="s">
        <v>69</v>
      </c>
      <c r="R192" s="4"/>
      <c r="S192" s="4"/>
      <c r="T192" s="4"/>
      <c r="U192" s="7"/>
      <c r="V192" s="4"/>
      <c r="W192" s="4"/>
      <c r="X192" s="4"/>
      <c r="Y192" s="4"/>
      <c r="Z192" s="4"/>
      <c r="AA192" s="5"/>
      <c r="AB192" s="5"/>
      <c r="AC192" s="5"/>
      <c r="AD192" s="5"/>
      <c r="AE192" s="5"/>
    </row>
    <row r="193">
      <c r="A193" s="14" t="s">
        <v>288</v>
      </c>
      <c r="B193" s="19">
        <v>44274.93577546296</v>
      </c>
      <c r="C193" s="4">
        <v>49877.0</v>
      </c>
      <c r="D193" s="4" t="s">
        <v>289</v>
      </c>
      <c r="E193" s="4">
        <v>9.18777845335E11</v>
      </c>
      <c r="F193" s="4" t="s">
        <v>83</v>
      </c>
      <c r="G193" s="4"/>
      <c r="H193" s="4" t="s">
        <v>280</v>
      </c>
      <c r="I193" s="4"/>
      <c r="J193" s="4" t="s">
        <v>85</v>
      </c>
      <c r="K193" s="4">
        <v>99.0</v>
      </c>
      <c r="L193" s="4"/>
      <c r="M193" s="4">
        <v>99.0</v>
      </c>
      <c r="N193" s="4" t="s">
        <v>67</v>
      </c>
      <c r="O193" s="4" t="b">
        <v>0</v>
      </c>
      <c r="P193" s="4" t="s">
        <v>74</v>
      </c>
      <c r="Q193" s="4" t="s">
        <v>69</v>
      </c>
      <c r="R193" s="4"/>
      <c r="S193" s="4"/>
      <c r="T193" s="4"/>
      <c r="U193" s="7"/>
      <c r="V193" s="4"/>
      <c r="W193" s="4"/>
      <c r="X193" s="4"/>
      <c r="Y193" s="4"/>
      <c r="Z193" s="4"/>
      <c r="AA193" s="5"/>
      <c r="AB193" s="5"/>
      <c r="AC193" s="5"/>
      <c r="AD193" s="5"/>
      <c r="AE193" s="5"/>
    </row>
    <row r="194">
      <c r="A194" s="14" t="s">
        <v>1509</v>
      </c>
      <c r="B194" s="19">
        <v>44273.896157407406</v>
      </c>
      <c r="C194" s="4">
        <v>49859.0</v>
      </c>
      <c r="D194" s="4" t="s">
        <v>1510</v>
      </c>
      <c r="E194" s="4">
        <v>9.17453802176E11</v>
      </c>
      <c r="F194" s="4" t="s">
        <v>83</v>
      </c>
      <c r="G194" s="4"/>
      <c r="H194" s="4" t="s">
        <v>1507</v>
      </c>
      <c r="I194" s="4"/>
      <c r="J194" s="4" t="s">
        <v>77</v>
      </c>
      <c r="K194" s="4">
        <v>1000.0</v>
      </c>
      <c r="L194" s="4"/>
      <c r="M194" s="4">
        <v>1000.0</v>
      </c>
      <c r="N194" s="4" t="s">
        <v>67</v>
      </c>
      <c r="O194" s="4" t="b">
        <v>0</v>
      </c>
      <c r="P194" s="4" t="s">
        <v>68</v>
      </c>
      <c r="Q194" s="4" t="s">
        <v>69</v>
      </c>
      <c r="R194" s="4"/>
      <c r="S194" s="4"/>
      <c r="T194" s="4"/>
      <c r="U194" s="7"/>
      <c r="V194" s="4"/>
      <c r="W194" s="4"/>
      <c r="X194" s="4"/>
      <c r="Y194" s="4"/>
      <c r="Z194" s="4"/>
      <c r="AA194" s="5"/>
      <c r="AB194" s="5"/>
      <c r="AC194" s="5"/>
      <c r="AD194" s="5"/>
      <c r="AE194" s="5"/>
    </row>
    <row r="195">
      <c r="A195" s="14" t="s">
        <v>290</v>
      </c>
      <c r="B195" s="19">
        <v>44274.96462962963</v>
      </c>
      <c r="C195" s="4">
        <v>49833.0</v>
      </c>
      <c r="D195" s="4" t="s">
        <v>291</v>
      </c>
      <c r="E195" s="4">
        <v>9.19552788069E11</v>
      </c>
      <c r="F195" s="4">
        <v>16314.0</v>
      </c>
      <c r="G195" s="4"/>
      <c r="H195" s="4" t="s">
        <v>184</v>
      </c>
      <c r="I195" s="4"/>
      <c r="J195" s="4" t="s">
        <v>85</v>
      </c>
      <c r="K195" s="4">
        <v>99.0</v>
      </c>
      <c r="L195" s="4"/>
      <c r="M195" s="4">
        <v>99.0</v>
      </c>
      <c r="N195" s="4" t="s">
        <v>67</v>
      </c>
      <c r="O195" s="4" t="b">
        <v>0</v>
      </c>
      <c r="P195" s="4" t="s">
        <v>68</v>
      </c>
      <c r="Q195" s="4" t="s">
        <v>69</v>
      </c>
      <c r="R195" s="4"/>
      <c r="S195" s="4"/>
      <c r="T195" s="4"/>
      <c r="U195" s="7"/>
      <c r="V195" s="4"/>
      <c r="W195" s="4"/>
      <c r="X195" s="4"/>
      <c r="Y195" s="4"/>
      <c r="Z195" s="4"/>
      <c r="AA195" s="5"/>
      <c r="AB195" s="5"/>
      <c r="AC195" s="5"/>
      <c r="AD195" s="5"/>
      <c r="AE195" s="5"/>
    </row>
    <row r="196">
      <c r="A196" s="14" t="s">
        <v>244</v>
      </c>
      <c r="B196" s="19">
        <v>44273.95128472222</v>
      </c>
      <c r="C196" s="4">
        <v>49962.0</v>
      </c>
      <c r="D196" s="4" t="s">
        <v>246</v>
      </c>
      <c r="E196" s="4">
        <v>9.19936058885E11</v>
      </c>
      <c r="F196" s="4">
        <v>16303.0</v>
      </c>
      <c r="G196" s="4"/>
      <c r="H196" s="4" t="s">
        <v>245</v>
      </c>
      <c r="I196" s="4"/>
      <c r="J196" s="4" t="s">
        <v>85</v>
      </c>
      <c r="K196" s="4">
        <v>99.0</v>
      </c>
      <c r="L196" s="4"/>
      <c r="M196" s="4">
        <v>99.0</v>
      </c>
      <c r="N196" s="4" t="s">
        <v>67</v>
      </c>
      <c r="O196" s="4" t="b">
        <v>0</v>
      </c>
      <c r="P196" s="4" t="s">
        <v>68</v>
      </c>
      <c r="Q196" s="4" t="s">
        <v>69</v>
      </c>
      <c r="R196" s="4"/>
      <c r="S196" s="4"/>
      <c r="T196" s="4"/>
      <c r="U196" s="7"/>
      <c r="V196" s="4"/>
      <c r="W196" s="4"/>
      <c r="X196" s="4"/>
      <c r="Y196" s="4"/>
      <c r="Z196" s="4"/>
      <c r="AA196" s="5"/>
      <c r="AB196" s="5"/>
      <c r="AC196" s="5"/>
      <c r="AD196" s="5"/>
      <c r="AE196" s="5"/>
    </row>
    <row r="197">
      <c r="A197" s="14" t="s">
        <v>247</v>
      </c>
      <c r="B197" s="19">
        <v>44273.954189814816</v>
      </c>
      <c r="C197" s="4">
        <v>49833.0</v>
      </c>
      <c r="D197" s="4" t="s">
        <v>248</v>
      </c>
      <c r="E197" s="4">
        <v>9.19100149855E11</v>
      </c>
      <c r="F197" s="4" t="s">
        <v>83</v>
      </c>
      <c r="G197" s="4"/>
      <c r="H197" s="4" t="s">
        <v>184</v>
      </c>
      <c r="I197" s="4"/>
      <c r="J197" s="4" t="s">
        <v>85</v>
      </c>
      <c r="K197" s="4">
        <v>99.0</v>
      </c>
      <c r="L197" s="4"/>
      <c r="M197" s="4">
        <v>99.0</v>
      </c>
      <c r="N197" s="4" t="s">
        <v>67</v>
      </c>
      <c r="O197" s="4" t="b">
        <v>0</v>
      </c>
      <c r="P197" s="4" t="s">
        <v>68</v>
      </c>
      <c r="Q197" s="4" t="s">
        <v>69</v>
      </c>
      <c r="R197" s="4"/>
      <c r="S197" s="4"/>
      <c r="T197" s="4"/>
      <c r="U197" s="7"/>
      <c r="V197" s="4"/>
      <c r="W197" s="4"/>
      <c r="X197" s="4"/>
      <c r="Y197" s="4"/>
      <c r="Z197" s="4"/>
      <c r="AA197" s="5"/>
      <c r="AB197" s="5"/>
      <c r="AC197" s="5"/>
      <c r="AD197" s="5"/>
      <c r="AE197" s="5"/>
    </row>
    <row r="198">
      <c r="A198" s="14" t="s">
        <v>292</v>
      </c>
      <c r="B198" s="19">
        <v>44275.04939814815</v>
      </c>
      <c r="C198" s="4">
        <v>49962.0</v>
      </c>
      <c r="D198" s="4" t="s">
        <v>293</v>
      </c>
      <c r="E198" s="4">
        <v>9.18697175323E11</v>
      </c>
      <c r="F198" s="4">
        <v>16334.0</v>
      </c>
      <c r="G198" s="4"/>
      <c r="H198" s="4" t="s">
        <v>245</v>
      </c>
      <c r="I198" s="4"/>
      <c r="J198" s="4" t="s">
        <v>85</v>
      </c>
      <c r="K198" s="4">
        <v>99.0</v>
      </c>
      <c r="L198" s="4"/>
      <c r="M198" s="4">
        <v>99.0</v>
      </c>
      <c r="N198" s="4" t="s">
        <v>67</v>
      </c>
      <c r="O198" s="4" t="b">
        <v>0</v>
      </c>
      <c r="P198" s="4" t="s">
        <v>68</v>
      </c>
      <c r="Q198" s="4" t="s">
        <v>69</v>
      </c>
      <c r="R198" s="4"/>
      <c r="S198" s="4"/>
      <c r="T198" s="4"/>
      <c r="U198" s="7"/>
      <c r="V198" s="4"/>
      <c r="W198" s="4"/>
      <c r="X198" s="4"/>
      <c r="Y198" s="4"/>
      <c r="Z198" s="4"/>
      <c r="AA198" s="5"/>
      <c r="AB198" s="5"/>
      <c r="AC198" s="5"/>
      <c r="AD198" s="5"/>
      <c r="AE198" s="5"/>
    </row>
    <row r="199">
      <c r="A199" s="14" t="s">
        <v>294</v>
      </c>
      <c r="B199" s="19">
        <v>44275.18326388889</v>
      </c>
      <c r="C199" s="4">
        <v>49877.0</v>
      </c>
      <c r="D199" s="4" t="s">
        <v>295</v>
      </c>
      <c r="E199" s="4">
        <v>9.19902701162E11</v>
      </c>
      <c r="F199" s="4">
        <v>16462.0</v>
      </c>
      <c r="G199" s="4"/>
      <c r="H199" s="4" t="s">
        <v>280</v>
      </c>
      <c r="I199" s="4"/>
      <c r="J199" s="4" t="s">
        <v>85</v>
      </c>
      <c r="K199" s="4">
        <v>99.0</v>
      </c>
      <c r="L199" s="4"/>
      <c r="M199" s="4">
        <v>99.0</v>
      </c>
      <c r="N199" s="4" t="s">
        <v>67</v>
      </c>
      <c r="O199" s="4" t="b">
        <v>0</v>
      </c>
      <c r="P199" s="4" t="s">
        <v>68</v>
      </c>
      <c r="Q199" s="4" t="s">
        <v>69</v>
      </c>
      <c r="R199" s="4"/>
      <c r="S199" s="4"/>
      <c r="T199" s="4"/>
      <c r="U199" s="7"/>
      <c r="V199" s="4"/>
      <c r="W199" s="4"/>
      <c r="X199" s="4"/>
      <c r="Y199" s="4"/>
      <c r="Z199" s="4"/>
      <c r="AA199" s="5"/>
      <c r="AB199" s="5"/>
      <c r="AC199" s="5"/>
      <c r="AD199" s="5"/>
      <c r="AE199" s="5"/>
    </row>
    <row r="200">
      <c r="A200" s="14" t="s">
        <v>679</v>
      </c>
      <c r="B200" s="19">
        <v>44275.39873842592</v>
      </c>
      <c r="C200" s="4">
        <v>49835.0</v>
      </c>
      <c r="D200" s="4" t="s">
        <v>681</v>
      </c>
      <c r="E200" s="4">
        <v>9.199621381E11</v>
      </c>
      <c r="F200" s="4">
        <v>16347.0</v>
      </c>
      <c r="G200" s="4"/>
      <c r="H200" s="4" t="s">
        <v>680</v>
      </c>
      <c r="I200" s="4"/>
      <c r="J200" s="4" t="s">
        <v>85</v>
      </c>
      <c r="K200" s="4">
        <v>99.0</v>
      </c>
      <c r="L200" s="4"/>
      <c r="M200" s="4">
        <v>99.0</v>
      </c>
      <c r="N200" s="4" t="s">
        <v>67</v>
      </c>
      <c r="O200" s="4" t="b">
        <v>0</v>
      </c>
      <c r="P200" s="4" t="s">
        <v>97</v>
      </c>
      <c r="Q200" s="4" t="s">
        <v>69</v>
      </c>
      <c r="R200" s="4"/>
      <c r="S200" s="4"/>
      <c r="T200" s="4"/>
      <c r="U200" s="7"/>
      <c r="V200" s="4"/>
      <c r="W200" s="4"/>
      <c r="X200" s="4"/>
      <c r="Y200" s="4"/>
      <c r="Z200" s="4"/>
      <c r="AA200" s="5"/>
      <c r="AB200" s="5"/>
      <c r="AC200" s="5"/>
      <c r="AD200" s="5"/>
      <c r="AE200" s="5"/>
    </row>
    <row r="201">
      <c r="A201" s="14" t="s">
        <v>797</v>
      </c>
      <c r="B201" s="19">
        <v>44274.378657407404</v>
      </c>
      <c r="C201" s="4">
        <v>49948.0</v>
      </c>
      <c r="D201" s="4" t="s">
        <v>798</v>
      </c>
      <c r="E201" s="4">
        <v>9.17319789623E11</v>
      </c>
      <c r="F201" s="4">
        <v>16301.0</v>
      </c>
      <c r="G201" s="4"/>
      <c r="H201" s="4" t="s">
        <v>791</v>
      </c>
      <c r="I201" s="4"/>
      <c r="J201" s="4" t="s">
        <v>149</v>
      </c>
      <c r="K201" s="4">
        <v>99.0</v>
      </c>
      <c r="L201" s="4"/>
      <c r="M201" s="4">
        <v>99.0</v>
      </c>
      <c r="N201" s="4" t="s">
        <v>67</v>
      </c>
      <c r="O201" s="4" t="b">
        <v>0</v>
      </c>
      <c r="P201" s="4" t="s">
        <v>68</v>
      </c>
      <c r="Q201" s="4" t="s">
        <v>69</v>
      </c>
      <c r="R201" s="4"/>
      <c r="S201" s="4"/>
      <c r="T201" s="4"/>
      <c r="U201" s="7"/>
      <c r="V201" s="4"/>
      <c r="W201" s="4"/>
      <c r="X201" s="4"/>
      <c r="Y201" s="4"/>
      <c r="Z201" s="4"/>
      <c r="AA201" s="5"/>
      <c r="AB201" s="5"/>
      <c r="AC201" s="5"/>
      <c r="AD201" s="5"/>
      <c r="AE201" s="5"/>
    </row>
    <row r="202">
      <c r="A202" s="14" t="s">
        <v>694</v>
      </c>
      <c r="B202" s="19">
        <v>44275.45957175926</v>
      </c>
      <c r="C202" s="4">
        <v>49835.0</v>
      </c>
      <c r="D202" s="4" t="s">
        <v>695</v>
      </c>
      <c r="E202" s="4">
        <v>9.17976830625E11</v>
      </c>
      <c r="F202" s="4">
        <v>16310.0</v>
      </c>
      <c r="G202" s="4"/>
      <c r="H202" s="4" t="s">
        <v>680</v>
      </c>
      <c r="I202" s="4"/>
      <c r="J202" s="4" t="s">
        <v>85</v>
      </c>
      <c r="K202" s="4">
        <v>99.0</v>
      </c>
      <c r="L202" s="4"/>
      <c r="M202" s="4">
        <v>99.0</v>
      </c>
      <c r="N202" s="4" t="s">
        <v>67</v>
      </c>
      <c r="O202" s="4" t="b">
        <v>0</v>
      </c>
      <c r="P202" s="4" t="s">
        <v>68</v>
      </c>
      <c r="Q202" s="4" t="s">
        <v>69</v>
      </c>
      <c r="R202" s="4"/>
      <c r="S202" s="4"/>
      <c r="T202" s="4"/>
      <c r="U202" s="7"/>
      <c r="V202" s="4"/>
      <c r="W202" s="4"/>
      <c r="X202" s="4"/>
      <c r="Y202" s="4"/>
      <c r="Z202" s="4"/>
      <c r="AA202" s="5"/>
      <c r="AB202" s="5"/>
      <c r="AC202" s="5"/>
      <c r="AD202" s="5"/>
      <c r="AE202" s="5"/>
    </row>
    <row r="203">
      <c r="A203" s="14" t="s">
        <v>251</v>
      </c>
      <c r="B203" s="19">
        <v>44274.42099537037</v>
      </c>
      <c r="C203" s="4">
        <v>49833.0</v>
      </c>
      <c r="D203" s="4" t="s">
        <v>252</v>
      </c>
      <c r="E203" s="4">
        <v>9.18113908682E11</v>
      </c>
      <c r="F203" s="4" t="s">
        <v>83</v>
      </c>
      <c r="G203" s="4"/>
      <c r="H203" s="4" t="s">
        <v>184</v>
      </c>
      <c r="I203" s="4"/>
      <c r="J203" s="4" t="s">
        <v>85</v>
      </c>
      <c r="K203" s="4">
        <v>99.0</v>
      </c>
      <c r="L203" s="4"/>
      <c r="M203" s="4">
        <v>99.0</v>
      </c>
      <c r="N203" s="4" t="s">
        <v>67</v>
      </c>
      <c r="O203" s="4" t="b">
        <v>0</v>
      </c>
      <c r="P203" s="4" t="s">
        <v>68</v>
      </c>
      <c r="Q203" s="4" t="s">
        <v>69</v>
      </c>
      <c r="R203" s="4"/>
      <c r="S203" s="4"/>
      <c r="T203" s="4"/>
      <c r="U203" s="7"/>
      <c r="V203" s="4"/>
      <c r="W203" s="4"/>
      <c r="X203" s="4"/>
      <c r="Y203" s="4"/>
      <c r="Z203" s="4"/>
      <c r="AA203" s="5"/>
      <c r="AB203" s="5"/>
      <c r="AC203" s="5"/>
      <c r="AD203" s="5"/>
      <c r="AE203" s="5"/>
    </row>
    <row r="204">
      <c r="A204" s="14" t="s">
        <v>253</v>
      </c>
      <c r="B204" s="19">
        <v>44274.42219907408</v>
      </c>
      <c r="C204" s="4">
        <v>49833.0</v>
      </c>
      <c r="D204" s="4" t="s">
        <v>254</v>
      </c>
      <c r="E204" s="4">
        <v>9.18637578701E11</v>
      </c>
      <c r="F204" s="4">
        <v>16316.0</v>
      </c>
      <c r="G204" s="4"/>
      <c r="H204" s="4" t="s">
        <v>184</v>
      </c>
      <c r="I204" s="4"/>
      <c r="J204" s="4" t="s">
        <v>85</v>
      </c>
      <c r="K204" s="4">
        <v>99.0</v>
      </c>
      <c r="L204" s="4"/>
      <c r="M204" s="4">
        <v>99.0</v>
      </c>
      <c r="N204" s="4" t="s">
        <v>67</v>
      </c>
      <c r="O204" s="4" t="b">
        <v>0</v>
      </c>
      <c r="P204" s="4" t="s">
        <v>68</v>
      </c>
      <c r="Q204" s="4" t="s">
        <v>69</v>
      </c>
      <c r="R204" s="4"/>
      <c r="S204" s="4"/>
      <c r="T204" s="4"/>
      <c r="U204" s="7"/>
      <c r="V204" s="4"/>
      <c r="W204" s="4"/>
      <c r="X204" s="4"/>
      <c r="Y204" s="4"/>
      <c r="Z204" s="4"/>
      <c r="AA204" s="5"/>
      <c r="AB204" s="5"/>
      <c r="AC204" s="5"/>
      <c r="AD204" s="5"/>
      <c r="AE204" s="5"/>
    </row>
    <row r="205">
      <c r="A205" s="14" t="s">
        <v>801</v>
      </c>
      <c r="B205" s="19">
        <v>44274.444027777776</v>
      </c>
      <c r="C205" s="4">
        <v>49948.0</v>
      </c>
      <c r="D205" s="4" t="s">
        <v>802</v>
      </c>
      <c r="E205" s="4">
        <v>9.19354292696E11</v>
      </c>
      <c r="F205" s="4">
        <v>16300.0</v>
      </c>
      <c r="G205" s="4"/>
      <c r="H205" s="4" t="s">
        <v>791</v>
      </c>
      <c r="I205" s="4"/>
      <c r="J205" s="4" t="s">
        <v>149</v>
      </c>
      <c r="K205" s="4">
        <v>99.0</v>
      </c>
      <c r="L205" s="4"/>
      <c r="M205" s="4">
        <v>99.0</v>
      </c>
      <c r="N205" s="4" t="s">
        <v>67</v>
      </c>
      <c r="O205" s="4" t="b">
        <v>0</v>
      </c>
      <c r="P205" s="4" t="s">
        <v>68</v>
      </c>
      <c r="Q205" s="4" t="s">
        <v>69</v>
      </c>
      <c r="R205" s="4"/>
      <c r="S205" s="4"/>
      <c r="T205" s="4"/>
      <c r="U205" s="7"/>
      <c r="V205" s="4"/>
      <c r="W205" s="4"/>
      <c r="X205" s="4"/>
      <c r="Y205" s="4"/>
      <c r="Z205" s="4"/>
      <c r="AA205" s="5"/>
      <c r="AB205" s="5"/>
      <c r="AC205" s="5"/>
      <c r="AD205" s="5"/>
      <c r="AE205" s="5"/>
    </row>
    <row r="206">
      <c r="A206" s="14" t="s">
        <v>262</v>
      </c>
      <c r="B206" s="19">
        <v>44274.44924768519</v>
      </c>
      <c r="C206" s="4">
        <v>49833.0</v>
      </c>
      <c r="D206" s="4" t="s">
        <v>263</v>
      </c>
      <c r="E206" s="4">
        <v>9.1938055977E11</v>
      </c>
      <c r="F206" s="4">
        <v>16311.0</v>
      </c>
      <c r="G206" s="4"/>
      <c r="H206" s="4" t="s">
        <v>184</v>
      </c>
      <c r="I206" s="4"/>
      <c r="J206" s="4" t="s">
        <v>85</v>
      </c>
      <c r="K206" s="4">
        <v>99.0</v>
      </c>
      <c r="L206" s="4"/>
      <c r="M206" s="4">
        <v>99.0</v>
      </c>
      <c r="N206" s="4" t="s">
        <v>67</v>
      </c>
      <c r="O206" s="4" t="b">
        <v>0</v>
      </c>
      <c r="P206" s="4" t="s">
        <v>68</v>
      </c>
      <c r="Q206" s="4" t="s">
        <v>69</v>
      </c>
      <c r="R206" s="4"/>
      <c r="S206" s="4"/>
      <c r="T206" s="4"/>
      <c r="U206" s="7"/>
      <c r="V206" s="4"/>
      <c r="W206" s="4"/>
      <c r="X206" s="4"/>
      <c r="Y206" s="4"/>
      <c r="Z206" s="4"/>
      <c r="AA206" s="5"/>
      <c r="AB206" s="5"/>
      <c r="AC206" s="5"/>
      <c r="AD206" s="5"/>
      <c r="AE206" s="5"/>
    </row>
    <row r="207">
      <c r="A207" s="14" t="s">
        <v>266</v>
      </c>
      <c r="B207" s="19">
        <v>44274.495474537034</v>
      </c>
      <c r="C207" s="4">
        <v>49833.0</v>
      </c>
      <c r="D207" s="4" t="s">
        <v>267</v>
      </c>
      <c r="E207" s="4">
        <v>9.17088956095E11</v>
      </c>
      <c r="F207" s="4">
        <v>16378.0</v>
      </c>
      <c r="G207" s="4"/>
      <c r="H207" s="4" t="s">
        <v>184</v>
      </c>
      <c r="I207" s="4"/>
      <c r="J207" s="4" t="s">
        <v>85</v>
      </c>
      <c r="K207" s="4">
        <v>99.0</v>
      </c>
      <c r="L207" s="4"/>
      <c r="M207" s="4">
        <v>99.0</v>
      </c>
      <c r="N207" s="4" t="s">
        <v>67</v>
      </c>
      <c r="O207" s="4" t="b">
        <v>0</v>
      </c>
      <c r="P207" s="4" t="s">
        <v>68</v>
      </c>
      <c r="Q207" s="4" t="s">
        <v>69</v>
      </c>
      <c r="R207" s="4"/>
      <c r="S207" s="4"/>
      <c r="T207" s="4"/>
      <c r="U207" s="7"/>
      <c r="V207" s="4"/>
      <c r="W207" s="4"/>
      <c r="X207" s="4"/>
      <c r="Y207" s="4"/>
      <c r="Z207" s="4"/>
      <c r="AA207" s="5"/>
      <c r="AB207" s="5"/>
      <c r="AC207" s="5"/>
      <c r="AD207" s="5"/>
      <c r="AE207" s="5"/>
    </row>
    <row r="208">
      <c r="A208" s="14" t="s">
        <v>268</v>
      </c>
      <c r="B208" s="19">
        <v>44274.50369212963</v>
      </c>
      <c r="C208" s="4">
        <v>49833.0</v>
      </c>
      <c r="D208" s="4" t="s">
        <v>269</v>
      </c>
      <c r="E208" s="4">
        <v>9.18281831033E11</v>
      </c>
      <c r="F208" s="4" t="s">
        <v>270</v>
      </c>
      <c r="G208" s="4"/>
      <c r="H208" s="4" t="s">
        <v>184</v>
      </c>
      <c r="I208" s="4"/>
      <c r="J208" s="4" t="s">
        <v>85</v>
      </c>
      <c r="K208" s="4">
        <v>99.0</v>
      </c>
      <c r="L208" s="4"/>
      <c r="M208" s="4">
        <v>99.0</v>
      </c>
      <c r="N208" s="4" t="s">
        <v>67</v>
      </c>
      <c r="O208" s="4" t="b">
        <v>0</v>
      </c>
      <c r="P208" s="4" t="s">
        <v>68</v>
      </c>
      <c r="Q208" s="4" t="s">
        <v>69</v>
      </c>
      <c r="R208" s="4"/>
      <c r="S208" s="4"/>
      <c r="T208" s="4"/>
      <c r="U208" s="7"/>
      <c r="V208" s="4"/>
      <c r="W208" s="4"/>
      <c r="X208" s="4"/>
      <c r="Y208" s="4"/>
      <c r="Z208" s="4"/>
      <c r="AA208" s="5"/>
      <c r="AB208" s="5"/>
      <c r="AC208" s="5"/>
      <c r="AD208" s="5"/>
      <c r="AE208" s="5"/>
    </row>
    <row r="209">
      <c r="A209" s="14" t="s">
        <v>264</v>
      </c>
      <c r="B209" s="19">
        <v>44274.48869212963</v>
      </c>
      <c r="C209" s="4">
        <v>49833.0</v>
      </c>
      <c r="D209" s="4" t="s">
        <v>265</v>
      </c>
      <c r="E209" s="4">
        <v>9.18855857448E11</v>
      </c>
      <c r="F209" s="4">
        <v>16351.0</v>
      </c>
      <c r="G209" s="4"/>
      <c r="H209" s="4" t="s">
        <v>184</v>
      </c>
      <c r="I209" s="4"/>
      <c r="J209" s="4" t="s">
        <v>85</v>
      </c>
      <c r="K209" s="4">
        <v>99.0</v>
      </c>
      <c r="L209" s="4"/>
      <c r="M209" s="4">
        <v>99.0</v>
      </c>
      <c r="N209" s="4" t="s">
        <v>67</v>
      </c>
      <c r="O209" s="4" t="b">
        <v>0</v>
      </c>
      <c r="P209" s="4" t="s">
        <v>68</v>
      </c>
      <c r="Q209" s="4" t="s">
        <v>69</v>
      </c>
      <c r="R209" s="4"/>
      <c r="S209" s="4"/>
      <c r="T209" s="4"/>
      <c r="U209" s="7"/>
      <c r="V209" s="4"/>
      <c r="W209" s="4"/>
      <c r="X209" s="4"/>
      <c r="Y209" s="4"/>
      <c r="Z209" s="4"/>
      <c r="AA209" s="5"/>
      <c r="AB209" s="5"/>
      <c r="AC209" s="5"/>
      <c r="AD209" s="5"/>
      <c r="AE209" s="5"/>
    </row>
    <row r="210">
      <c r="A210" s="14" t="s">
        <v>81</v>
      </c>
      <c r="B210" s="19">
        <v>44208.81657407407</v>
      </c>
      <c r="C210" s="4">
        <v>49831.0</v>
      </c>
      <c r="D210" s="4" t="s">
        <v>82</v>
      </c>
      <c r="E210" s="4">
        <v>9.18427297182E11</v>
      </c>
      <c r="F210" s="4" t="s">
        <v>83</v>
      </c>
      <c r="G210" s="4"/>
      <c r="H210" s="4" t="s">
        <v>64</v>
      </c>
      <c r="I210" s="4"/>
      <c r="J210" s="4" t="s">
        <v>65</v>
      </c>
      <c r="K210" s="4">
        <v>299.0</v>
      </c>
      <c r="L210" s="4"/>
      <c r="M210" s="4">
        <v>299.0</v>
      </c>
      <c r="N210" s="4" t="s">
        <v>67</v>
      </c>
      <c r="O210" s="4" t="b">
        <v>0</v>
      </c>
      <c r="P210" s="4" t="s">
        <v>74</v>
      </c>
      <c r="Q210" s="4" t="s">
        <v>69</v>
      </c>
      <c r="R210" s="4"/>
      <c r="S210" s="4"/>
      <c r="T210" s="4"/>
      <c r="U210" s="7"/>
      <c r="V210" s="4"/>
      <c r="W210" s="4"/>
      <c r="X210" s="4"/>
      <c r="Y210" s="4"/>
      <c r="Z210" s="4"/>
      <c r="AA210" s="5"/>
      <c r="AB210" s="5"/>
      <c r="AC210" s="5"/>
      <c r="AD210" s="5"/>
      <c r="AE210" s="5"/>
    </row>
    <row r="211">
      <c r="A211" s="14" t="s">
        <v>300</v>
      </c>
      <c r="B211" s="19">
        <v>44275.583287037036</v>
      </c>
      <c r="C211" s="4">
        <v>49833.0</v>
      </c>
      <c r="D211" s="4" t="s">
        <v>301</v>
      </c>
      <c r="E211" s="4">
        <v>9.16006067114E11</v>
      </c>
      <c r="F211" s="4">
        <v>16322.0</v>
      </c>
      <c r="G211" s="4"/>
      <c r="H211" s="4" t="s">
        <v>184</v>
      </c>
      <c r="I211" s="4"/>
      <c r="J211" s="4" t="s">
        <v>85</v>
      </c>
      <c r="K211" s="4">
        <v>99.0</v>
      </c>
      <c r="L211" s="4"/>
      <c r="M211" s="4">
        <v>99.0</v>
      </c>
      <c r="N211" s="4" t="s">
        <v>67</v>
      </c>
      <c r="O211" s="4" t="b">
        <v>0</v>
      </c>
      <c r="P211" s="4" t="s">
        <v>74</v>
      </c>
      <c r="Q211" s="4" t="s">
        <v>69</v>
      </c>
      <c r="R211" s="4"/>
      <c r="S211" s="4"/>
      <c r="T211" s="4"/>
      <c r="U211" s="7"/>
      <c r="V211" s="4"/>
      <c r="W211" s="4"/>
      <c r="X211" s="4"/>
      <c r="Y211" s="4"/>
      <c r="Z211" s="4"/>
      <c r="AA211" s="5"/>
      <c r="AB211" s="5"/>
      <c r="AC211" s="5"/>
      <c r="AD211" s="5"/>
      <c r="AE211" s="5"/>
    </row>
    <row r="212">
      <c r="A212" s="14" t="s">
        <v>302</v>
      </c>
      <c r="B212" s="19">
        <v>44275.588055555556</v>
      </c>
      <c r="C212" s="4">
        <v>49833.0</v>
      </c>
      <c r="D212" s="4" t="s">
        <v>303</v>
      </c>
      <c r="E212" s="4">
        <v>9.19630053022E11</v>
      </c>
      <c r="F212" s="4">
        <v>16383.0</v>
      </c>
      <c r="G212" s="4"/>
      <c r="H212" s="4" t="s">
        <v>184</v>
      </c>
      <c r="I212" s="4"/>
      <c r="J212" s="4" t="s">
        <v>85</v>
      </c>
      <c r="K212" s="4">
        <v>99.0</v>
      </c>
      <c r="L212" s="4"/>
      <c r="M212" s="4">
        <v>99.0</v>
      </c>
      <c r="N212" s="4" t="s">
        <v>67</v>
      </c>
      <c r="O212" s="4" t="b">
        <v>0</v>
      </c>
      <c r="P212" s="4" t="s">
        <v>68</v>
      </c>
      <c r="Q212" s="4" t="s">
        <v>69</v>
      </c>
      <c r="R212" s="4"/>
      <c r="S212" s="4"/>
      <c r="T212" s="4"/>
      <c r="U212" s="7"/>
      <c r="V212" s="4"/>
      <c r="W212" s="4"/>
      <c r="X212" s="4"/>
      <c r="Y212" s="4"/>
      <c r="Z212" s="4"/>
      <c r="AA212" s="5"/>
      <c r="AB212" s="5"/>
      <c r="AC212" s="5"/>
      <c r="AD212" s="5"/>
      <c r="AE212" s="5"/>
    </row>
    <row r="213">
      <c r="A213" s="14" t="s">
        <v>829</v>
      </c>
      <c r="B213" s="19">
        <v>44274.56964120371</v>
      </c>
      <c r="C213" s="4">
        <v>49948.0</v>
      </c>
      <c r="D213" s="4" t="s">
        <v>830</v>
      </c>
      <c r="E213" s="4">
        <v>9.19852968534E11</v>
      </c>
      <c r="F213" s="4">
        <v>16302.0</v>
      </c>
      <c r="G213" s="4"/>
      <c r="H213" s="4" t="s">
        <v>791</v>
      </c>
      <c r="I213" s="4"/>
      <c r="J213" s="4" t="s">
        <v>149</v>
      </c>
      <c r="K213" s="4">
        <v>99.0</v>
      </c>
      <c r="L213" s="4"/>
      <c r="M213" s="4">
        <v>99.0</v>
      </c>
      <c r="N213" s="4" t="s">
        <v>67</v>
      </c>
      <c r="O213" s="4" t="b">
        <v>0</v>
      </c>
      <c r="P213" s="4" t="s">
        <v>68</v>
      </c>
      <c r="Q213" s="4" t="s">
        <v>69</v>
      </c>
      <c r="R213" s="4"/>
      <c r="S213" s="4"/>
      <c r="T213" s="4"/>
      <c r="U213" s="7"/>
      <c r="V213" s="4"/>
      <c r="W213" s="4"/>
      <c r="X213" s="4"/>
      <c r="Y213" s="4"/>
      <c r="Z213" s="4"/>
      <c r="AA213" s="5"/>
      <c r="AB213" s="5"/>
      <c r="AC213" s="5"/>
      <c r="AD213" s="5"/>
      <c r="AE213" s="5"/>
    </row>
    <row r="214">
      <c r="A214" s="14" t="s">
        <v>702</v>
      </c>
      <c r="B214" s="19">
        <v>44275.63050925926</v>
      </c>
      <c r="C214" s="4">
        <v>49835.0</v>
      </c>
      <c r="D214" s="4" t="s">
        <v>703</v>
      </c>
      <c r="E214" s="4">
        <v>9.18248059061E11</v>
      </c>
      <c r="F214" s="4">
        <v>16312.0</v>
      </c>
      <c r="G214" s="4"/>
      <c r="H214" s="4" t="s">
        <v>680</v>
      </c>
      <c r="I214" s="4"/>
      <c r="J214" s="4" t="s">
        <v>85</v>
      </c>
      <c r="K214" s="4">
        <v>99.0</v>
      </c>
      <c r="L214" s="4"/>
      <c r="M214" s="4">
        <v>99.0</v>
      </c>
      <c r="N214" s="4" t="s">
        <v>67</v>
      </c>
      <c r="O214" s="4" t="b">
        <v>0</v>
      </c>
      <c r="P214" s="4" t="s">
        <v>68</v>
      </c>
      <c r="Q214" s="4" t="s">
        <v>69</v>
      </c>
      <c r="R214" s="4"/>
      <c r="S214" s="4"/>
      <c r="T214" s="4"/>
      <c r="U214" s="7"/>
      <c r="V214" s="4"/>
      <c r="W214" s="4"/>
      <c r="X214" s="4"/>
      <c r="Y214" s="4"/>
      <c r="Z214" s="4"/>
      <c r="AA214" s="5"/>
      <c r="AB214" s="5"/>
      <c r="AC214" s="5"/>
      <c r="AD214" s="5"/>
      <c r="AE214" s="5"/>
    </row>
    <row r="215">
      <c r="A215" s="14" t="s">
        <v>306</v>
      </c>
      <c r="B215" s="19">
        <v>44275.659791666665</v>
      </c>
      <c r="C215" s="4">
        <v>49833.0</v>
      </c>
      <c r="D215" s="4" t="s">
        <v>307</v>
      </c>
      <c r="E215" s="4">
        <v>9.17307018187E11</v>
      </c>
      <c r="F215" s="4">
        <v>16465.0</v>
      </c>
      <c r="G215" s="4"/>
      <c r="H215" s="4" t="s">
        <v>184</v>
      </c>
      <c r="I215" s="4"/>
      <c r="J215" s="4" t="s">
        <v>85</v>
      </c>
      <c r="K215" s="4">
        <v>99.0</v>
      </c>
      <c r="L215" s="4"/>
      <c r="M215" s="4">
        <v>99.0</v>
      </c>
      <c r="N215" s="4" t="s">
        <v>67</v>
      </c>
      <c r="O215" s="4" t="b">
        <v>0</v>
      </c>
      <c r="P215" s="4" t="s">
        <v>68</v>
      </c>
      <c r="Q215" s="4" t="s">
        <v>69</v>
      </c>
      <c r="R215" s="4"/>
      <c r="S215" s="4"/>
      <c r="T215" s="4"/>
      <c r="U215" s="7"/>
      <c r="V215" s="4"/>
      <c r="W215" s="4"/>
      <c r="X215" s="4"/>
      <c r="Y215" s="4"/>
      <c r="Z215" s="4"/>
      <c r="AA215" s="5"/>
      <c r="AB215" s="5"/>
      <c r="AC215" s="5"/>
      <c r="AD215" s="5"/>
      <c r="AE215" s="5"/>
    </row>
    <row r="216">
      <c r="A216" s="14" t="s">
        <v>277</v>
      </c>
      <c r="B216" s="19">
        <v>44274.622511574074</v>
      </c>
      <c r="C216" s="4">
        <v>49962.0</v>
      </c>
      <c r="D216" s="4" t="s">
        <v>278</v>
      </c>
      <c r="E216" s="4">
        <v>9.19741982632E11</v>
      </c>
      <c r="F216" s="4">
        <v>12906.0</v>
      </c>
      <c r="G216" s="4"/>
      <c r="H216" s="4" t="s">
        <v>245</v>
      </c>
      <c r="I216" s="4"/>
      <c r="J216" s="4" t="s">
        <v>85</v>
      </c>
      <c r="K216" s="4">
        <v>99.0</v>
      </c>
      <c r="L216" s="4"/>
      <c r="M216" s="4">
        <v>99.0</v>
      </c>
      <c r="N216" s="4" t="s">
        <v>67</v>
      </c>
      <c r="O216" s="4" t="b">
        <v>0</v>
      </c>
      <c r="P216" s="4" t="s">
        <v>74</v>
      </c>
      <c r="Q216" s="4" t="s">
        <v>69</v>
      </c>
      <c r="R216" s="4"/>
      <c r="S216" s="4"/>
      <c r="T216" s="4"/>
      <c r="U216" s="7"/>
      <c r="V216" s="4"/>
      <c r="W216" s="4"/>
      <c r="X216" s="4"/>
      <c r="Y216" s="4"/>
      <c r="Z216" s="4"/>
      <c r="AA216" s="5"/>
      <c r="AB216" s="5"/>
      <c r="AC216" s="5"/>
      <c r="AD216" s="5"/>
      <c r="AE216" s="5"/>
    </row>
    <row r="217">
      <c r="A217" s="14" t="s">
        <v>308</v>
      </c>
      <c r="B217" s="19">
        <v>44275.66578703704</v>
      </c>
      <c r="C217" s="4">
        <v>49962.0</v>
      </c>
      <c r="D217" s="4" t="s">
        <v>309</v>
      </c>
      <c r="E217" s="4">
        <v>9.19992123678E11</v>
      </c>
      <c r="F217" s="4">
        <v>16333.0</v>
      </c>
      <c r="G217" s="4"/>
      <c r="H217" s="4" t="s">
        <v>245</v>
      </c>
      <c r="I217" s="4"/>
      <c r="J217" s="4" t="s">
        <v>85</v>
      </c>
      <c r="K217" s="4">
        <v>99.0</v>
      </c>
      <c r="L217" s="4"/>
      <c r="M217" s="4">
        <v>99.0</v>
      </c>
      <c r="N217" s="4" t="s">
        <v>67</v>
      </c>
      <c r="O217" s="4" t="b">
        <v>0</v>
      </c>
      <c r="P217" s="4" t="s">
        <v>68</v>
      </c>
      <c r="Q217" s="4" t="s">
        <v>69</v>
      </c>
      <c r="R217" s="4"/>
      <c r="S217" s="4"/>
      <c r="T217" s="4"/>
      <c r="U217" s="7"/>
      <c r="V217" s="4"/>
      <c r="W217" s="4"/>
      <c r="X217" s="4"/>
      <c r="Y217" s="4"/>
      <c r="Z217" s="4"/>
      <c r="AA217" s="5"/>
      <c r="AB217" s="5"/>
      <c r="AC217" s="5"/>
      <c r="AD217" s="5"/>
      <c r="AE217" s="5"/>
    </row>
    <row r="218">
      <c r="A218" s="14" t="s">
        <v>310</v>
      </c>
      <c r="B218" s="19">
        <v>44275.67049768518</v>
      </c>
      <c r="C218" s="4">
        <v>49962.0</v>
      </c>
      <c r="D218" s="4" t="s">
        <v>311</v>
      </c>
      <c r="E218" s="4">
        <v>9.18884862861E11</v>
      </c>
      <c r="F218" s="4">
        <v>16335.0</v>
      </c>
      <c r="G218" s="4"/>
      <c r="H218" s="4" t="s">
        <v>245</v>
      </c>
      <c r="I218" s="4"/>
      <c r="J218" s="4" t="s">
        <v>85</v>
      </c>
      <c r="K218" s="4">
        <v>99.0</v>
      </c>
      <c r="L218" s="4"/>
      <c r="M218" s="4">
        <v>99.0</v>
      </c>
      <c r="N218" s="4" t="s">
        <v>67</v>
      </c>
      <c r="O218" s="4" t="b">
        <v>0</v>
      </c>
      <c r="P218" s="4" t="s">
        <v>68</v>
      </c>
      <c r="Q218" s="4" t="s">
        <v>69</v>
      </c>
      <c r="R218" s="4"/>
      <c r="S218" s="4"/>
      <c r="T218" s="4"/>
      <c r="U218" s="7"/>
      <c r="V218" s="4"/>
      <c r="W218" s="4"/>
      <c r="X218" s="4"/>
      <c r="Y218" s="4"/>
      <c r="Z218" s="4"/>
      <c r="AA218" s="5"/>
      <c r="AB218" s="5"/>
      <c r="AC218" s="5"/>
      <c r="AD218" s="5"/>
      <c r="AE218" s="5"/>
    </row>
    <row r="219">
      <c r="A219" s="14" t="s">
        <v>312</v>
      </c>
      <c r="B219" s="19">
        <v>44275.72587962963</v>
      </c>
      <c r="C219" s="4">
        <v>49833.0</v>
      </c>
      <c r="D219" s="4" t="s">
        <v>313</v>
      </c>
      <c r="E219" s="4">
        <v>9.18826310671E11</v>
      </c>
      <c r="F219" s="4">
        <v>16410.0</v>
      </c>
      <c r="G219" s="4"/>
      <c r="H219" s="4" t="s">
        <v>184</v>
      </c>
      <c r="I219" s="4"/>
      <c r="J219" s="4" t="s">
        <v>85</v>
      </c>
      <c r="K219" s="4">
        <v>99.0</v>
      </c>
      <c r="L219" s="4"/>
      <c r="M219" s="4">
        <v>99.0</v>
      </c>
      <c r="N219" s="4" t="s">
        <v>67</v>
      </c>
      <c r="O219" s="4" t="b">
        <v>0</v>
      </c>
      <c r="P219" s="4" t="s">
        <v>68</v>
      </c>
      <c r="Q219" s="4" t="s">
        <v>69</v>
      </c>
      <c r="R219" s="4"/>
      <c r="S219" s="4"/>
      <c r="T219" s="4"/>
      <c r="U219" s="7"/>
      <c r="V219" s="4"/>
      <c r="W219" s="4"/>
      <c r="X219" s="4"/>
      <c r="Y219" s="4"/>
      <c r="Z219" s="4"/>
      <c r="AA219" s="5"/>
      <c r="AB219" s="5"/>
      <c r="AC219" s="5"/>
      <c r="AD219" s="5"/>
      <c r="AE219" s="5"/>
    </row>
    <row r="220">
      <c r="A220" s="14" t="s">
        <v>314</v>
      </c>
      <c r="B220" s="19">
        <v>44275.73112268518</v>
      </c>
      <c r="C220" s="4">
        <v>49833.0</v>
      </c>
      <c r="D220" s="4" t="s">
        <v>315</v>
      </c>
      <c r="E220" s="4">
        <v>9.17013228922E11</v>
      </c>
      <c r="F220" s="4">
        <v>16437.0</v>
      </c>
      <c r="G220" s="4"/>
      <c r="H220" s="4" t="s">
        <v>184</v>
      </c>
      <c r="I220" s="4"/>
      <c r="J220" s="4" t="s">
        <v>85</v>
      </c>
      <c r="K220" s="4">
        <v>99.0</v>
      </c>
      <c r="L220" s="4"/>
      <c r="M220" s="4">
        <v>99.0</v>
      </c>
      <c r="N220" s="4" t="s">
        <v>67</v>
      </c>
      <c r="O220" s="4" t="b">
        <v>0</v>
      </c>
      <c r="P220" s="4" t="s">
        <v>68</v>
      </c>
      <c r="Q220" s="4" t="s">
        <v>69</v>
      </c>
      <c r="R220" s="4"/>
      <c r="S220" s="4"/>
      <c r="T220" s="4"/>
      <c r="U220" s="7"/>
      <c r="V220" s="4"/>
      <c r="W220" s="4"/>
      <c r="X220" s="4"/>
      <c r="Y220" s="4"/>
      <c r="Z220" s="4"/>
      <c r="AA220" s="5"/>
      <c r="AB220" s="5"/>
      <c r="AC220" s="5"/>
      <c r="AD220" s="5"/>
      <c r="AE220" s="5"/>
    </row>
    <row r="221">
      <c r="A221" s="14" t="s">
        <v>704</v>
      </c>
      <c r="B221" s="19">
        <v>44275.734918981485</v>
      </c>
      <c r="C221" s="4">
        <v>49835.0</v>
      </c>
      <c r="D221" s="4" t="s">
        <v>705</v>
      </c>
      <c r="E221" s="4">
        <v>9.18469688247E11</v>
      </c>
      <c r="F221" s="4">
        <v>16318.0</v>
      </c>
      <c r="G221" s="4"/>
      <c r="H221" s="4" t="s">
        <v>680</v>
      </c>
      <c r="I221" s="4"/>
      <c r="J221" s="4" t="s">
        <v>85</v>
      </c>
      <c r="K221" s="4">
        <v>99.0</v>
      </c>
      <c r="L221" s="4"/>
      <c r="M221" s="4">
        <v>99.0</v>
      </c>
      <c r="N221" s="4" t="s">
        <v>67</v>
      </c>
      <c r="O221" s="4" t="b">
        <v>0</v>
      </c>
      <c r="P221" s="4" t="s">
        <v>74</v>
      </c>
      <c r="Q221" s="4" t="s">
        <v>69</v>
      </c>
      <c r="R221" s="4"/>
      <c r="S221" s="4"/>
      <c r="T221" s="4"/>
      <c r="U221" s="7"/>
      <c r="V221" s="4"/>
      <c r="W221" s="4"/>
      <c r="X221" s="4"/>
      <c r="Y221" s="4"/>
      <c r="Z221" s="4"/>
      <c r="AA221" s="5"/>
      <c r="AB221" s="5"/>
      <c r="AC221" s="5"/>
      <c r="AD221" s="5"/>
      <c r="AE221" s="5"/>
    </row>
    <row r="222">
      <c r="A222" s="14" t="s">
        <v>318</v>
      </c>
      <c r="B222" s="19">
        <v>44275.76634259259</v>
      </c>
      <c r="C222" s="4">
        <v>49833.0</v>
      </c>
      <c r="D222" s="4" t="s">
        <v>319</v>
      </c>
      <c r="E222" s="4">
        <v>9.17003901955E11</v>
      </c>
      <c r="F222" s="4">
        <v>16384.0</v>
      </c>
      <c r="G222" s="4"/>
      <c r="H222" s="4" t="s">
        <v>184</v>
      </c>
      <c r="I222" s="4"/>
      <c r="J222" s="4" t="s">
        <v>85</v>
      </c>
      <c r="K222" s="4">
        <v>99.0</v>
      </c>
      <c r="L222" s="4"/>
      <c r="M222" s="4">
        <v>99.0</v>
      </c>
      <c r="N222" s="4" t="s">
        <v>67</v>
      </c>
      <c r="O222" s="4" t="b">
        <v>0</v>
      </c>
      <c r="P222" s="4" t="s">
        <v>68</v>
      </c>
      <c r="Q222" s="4" t="s">
        <v>69</v>
      </c>
      <c r="R222" s="4"/>
      <c r="S222" s="4"/>
      <c r="T222" s="4"/>
      <c r="U222" s="7"/>
      <c r="V222" s="4"/>
      <c r="W222" s="4"/>
      <c r="X222" s="4"/>
      <c r="Y222" s="4"/>
      <c r="Z222" s="4"/>
      <c r="AA222" s="5"/>
      <c r="AB222" s="5"/>
      <c r="AC222" s="5"/>
      <c r="AD222" s="5"/>
      <c r="AE222" s="5"/>
    </row>
    <row r="223">
      <c r="A223" s="14" t="s">
        <v>279</v>
      </c>
      <c r="B223" s="19">
        <v>44274.70793981481</v>
      </c>
      <c r="C223" s="4">
        <v>49877.0</v>
      </c>
      <c r="D223" s="4" t="s">
        <v>281</v>
      </c>
      <c r="E223" s="4">
        <v>9.17720002421E11</v>
      </c>
      <c r="F223" s="4">
        <v>16319.0</v>
      </c>
      <c r="G223" s="4"/>
      <c r="H223" s="4" t="s">
        <v>280</v>
      </c>
      <c r="I223" s="4"/>
      <c r="J223" s="4" t="s">
        <v>85</v>
      </c>
      <c r="K223" s="4">
        <v>99.0</v>
      </c>
      <c r="L223" s="4"/>
      <c r="M223" s="4">
        <v>99.0</v>
      </c>
      <c r="N223" s="4" t="s">
        <v>67</v>
      </c>
      <c r="O223" s="4" t="b">
        <v>0</v>
      </c>
      <c r="P223" s="4" t="s">
        <v>68</v>
      </c>
      <c r="Q223" s="4" t="s">
        <v>69</v>
      </c>
      <c r="R223" s="4"/>
      <c r="S223" s="4"/>
      <c r="T223" s="4"/>
      <c r="U223" s="7"/>
      <c r="V223" s="4"/>
      <c r="W223" s="4"/>
      <c r="X223" s="4"/>
      <c r="Y223" s="4"/>
      <c r="Z223" s="4"/>
      <c r="AA223" s="5"/>
      <c r="AB223" s="5"/>
      <c r="AC223" s="5"/>
      <c r="AD223" s="5"/>
      <c r="AE223" s="5"/>
    </row>
    <row r="224">
      <c r="A224" s="14" t="s">
        <v>320</v>
      </c>
      <c r="B224" s="19">
        <v>44275.768113425926</v>
      </c>
      <c r="C224" s="4">
        <v>49833.0</v>
      </c>
      <c r="D224" s="4" t="s">
        <v>321</v>
      </c>
      <c r="E224" s="4">
        <v>9.19406558662E11</v>
      </c>
      <c r="F224" s="4">
        <v>16381.0</v>
      </c>
      <c r="G224" s="4"/>
      <c r="H224" s="4" t="s">
        <v>184</v>
      </c>
      <c r="I224" s="4"/>
      <c r="J224" s="4" t="s">
        <v>85</v>
      </c>
      <c r="K224" s="4">
        <v>99.0</v>
      </c>
      <c r="L224" s="4"/>
      <c r="M224" s="4">
        <v>99.0</v>
      </c>
      <c r="N224" s="4" t="s">
        <v>67</v>
      </c>
      <c r="O224" s="4" t="b">
        <v>0</v>
      </c>
      <c r="P224" s="4" t="s">
        <v>68</v>
      </c>
      <c r="Q224" s="4" t="s">
        <v>69</v>
      </c>
      <c r="R224" s="4"/>
      <c r="S224" s="4"/>
      <c r="T224" s="4"/>
      <c r="U224" s="7"/>
      <c r="V224" s="4"/>
      <c r="W224" s="4"/>
      <c r="X224" s="4"/>
      <c r="Y224" s="4"/>
      <c r="Z224" s="4"/>
      <c r="AA224" s="5"/>
      <c r="AB224" s="5"/>
      <c r="AC224" s="5"/>
      <c r="AD224" s="5"/>
      <c r="AE224" s="5"/>
    </row>
    <row r="225">
      <c r="A225" s="14" t="s">
        <v>322</v>
      </c>
      <c r="B225" s="19">
        <v>44275.78077546296</v>
      </c>
      <c r="C225" s="4">
        <v>49962.0</v>
      </c>
      <c r="D225" s="4" t="s">
        <v>323</v>
      </c>
      <c r="E225" s="4">
        <v>9.19679515163E11</v>
      </c>
      <c r="F225" s="4">
        <v>16348.0</v>
      </c>
      <c r="G225" s="4"/>
      <c r="H225" s="4" t="s">
        <v>245</v>
      </c>
      <c r="I225" s="4"/>
      <c r="J225" s="4" t="s">
        <v>85</v>
      </c>
      <c r="K225" s="4">
        <v>99.0</v>
      </c>
      <c r="L225" s="4"/>
      <c r="M225" s="4">
        <v>99.0</v>
      </c>
      <c r="N225" s="4" t="s">
        <v>67</v>
      </c>
      <c r="O225" s="4" t="b">
        <v>0</v>
      </c>
      <c r="P225" s="4" t="s">
        <v>68</v>
      </c>
      <c r="Q225" s="4" t="s">
        <v>69</v>
      </c>
      <c r="R225" s="4"/>
      <c r="S225" s="4"/>
      <c r="T225" s="4"/>
      <c r="U225" s="7"/>
      <c r="V225" s="4"/>
      <c r="W225" s="4"/>
      <c r="X225" s="4"/>
      <c r="Y225" s="4"/>
      <c r="Z225" s="4"/>
      <c r="AA225" s="5"/>
      <c r="AB225" s="5"/>
      <c r="AC225" s="5"/>
      <c r="AD225" s="5"/>
      <c r="AE225" s="5"/>
    </row>
    <row r="226">
      <c r="A226" s="14" t="s">
        <v>282</v>
      </c>
      <c r="B226" s="19">
        <v>44274.76862268519</v>
      </c>
      <c r="C226" s="4">
        <v>49833.0</v>
      </c>
      <c r="D226" s="4" t="s">
        <v>283</v>
      </c>
      <c r="E226" s="4">
        <v>9.19795401525E11</v>
      </c>
      <c r="F226" s="4" t="s">
        <v>83</v>
      </c>
      <c r="G226" s="4"/>
      <c r="H226" s="4" t="s">
        <v>184</v>
      </c>
      <c r="I226" s="4"/>
      <c r="J226" s="4" t="s">
        <v>85</v>
      </c>
      <c r="K226" s="4">
        <v>99.0</v>
      </c>
      <c r="L226" s="4"/>
      <c r="M226" s="4">
        <v>99.0</v>
      </c>
      <c r="N226" s="4" t="s">
        <v>67</v>
      </c>
      <c r="O226" s="4" t="b">
        <v>0</v>
      </c>
      <c r="P226" s="4" t="s">
        <v>68</v>
      </c>
      <c r="Q226" s="4" t="s">
        <v>69</v>
      </c>
      <c r="R226" s="4"/>
      <c r="S226" s="4"/>
      <c r="T226" s="4"/>
      <c r="U226" s="7"/>
      <c r="V226" s="4"/>
      <c r="W226" s="4"/>
      <c r="X226" s="4"/>
      <c r="Y226" s="4"/>
      <c r="Z226" s="4"/>
      <c r="AA226" s="5"/>
      <c r="AB226" s="5"/>
      <c r="AC226" s="5"/>
      <c r="AD226" s="5"/>
      <c r="AE226" s="5"/>
    </row>
    <row r="227">
      <c r="A227" s="14" t="s">
        <v>837</v>
      </c>
      <c r="B227" s="19">
        <v>44275.833402777775</v>
      </c>
      <c r="C227" s="4">
        <v>49948.0</v>
      </c>
      <c r="D227" s="4" t="s">
        <v>838</v>
      </c>
      <c r="E227" s="4">
        <v>9.19130513668E11</v>
      </c>
      <c r="F227" s="4">
        <v>16342.0</v>
      </c>
      <c r="G227" s="4"/>
      <c r="H227" s="4" t="s">
        <v>791</v>
      </c>
      <c r="I227" s="4"/>
      <c r="J227" s="4" t="s">
        <v>149</v>
      </c>
      <c r="K227" s="4">
        <v>99.0</v>
      </c>
      <c r="L227" s="4"/>
      <c r="M227" s="4">
        <v>99.0</v>
      </c>
      <c r="N227" s="4" t="s">
        <v>67</v>
      </c>
      <c r="O227" s="4" t="b">
        <v>0</v>
      </c>
      <c r="P227" s="4" t="s">
        <v>74</v>
      </c>
      <c r="Q227" s="4" t="s">
        <v>69</v>
      </c>
      <c r="R227" s="4"/>
      <c r="S227" s="4"/>
      <c r="T227" s="4"/>
      <c r="U227" s="7"/>
      <c r="V227" s="4"/>
      <c r="W227" s="4"/>
      <c r="X227" s="4"/>
      <c r="Y227" s="4"/>
      <c r="Z227" s="4"/>
      <c r="AA227" s="5"/>
      <c r="AB227" s="5"/>
      <c r="AC227" s="5"/>
      <c r="AD227" s="5"/>
      <c r="AE227" s="5"/>
    </row>
    <row r="228">
      <c r="A228" s="14" t="s">
        <v>845</v>
      </c>
      <c r="B228" s="19">
        <v>44275.86224537037</v>
      </c>
      <c r="C228" s="4">
        <v>49948.0</v>
      </c>
      <c r="D228" s="4" t="s">
        <v>846</v>
      </c>
      <c r="E228" s="4">
        <v>9.1967443192E11</v>
      </c>
      <c r="F228" s="4">
        <v>16328.0</v>
      </c>
      <c r="G228" s="4"/>
      <c r="H228" s="4" t="s">
        <v>791</v>
      </c>
      <c r="I228" s="4"/>
      <c r="J228" s="4" t="s">
        <v>149</v>
      </c>
      <c r="K228" s="4">
        <v>99.0</v>
      </c>
      <c r="L228" s="4"/>
      <c r="M228" s="4">
        <v>99.0</v>
      </c>
      <c r="N228" s="4" t="s">
        <v>67</v>
      </c>
      <c r="O228" s="4" t="b">
        <v>0</v>
      </c>
      <c r="P228" s="4" t="s">
        <v>68</v>
      </c>
      <c r="Q228" s="4" t="s">
        <v>69</v>
      </c>
      <c r="R228" s="4"/>
      <c r="S228" s="4"/>
      <c r="T228" s="4"/>
      <c r="U228" s="7"/>
      <c r="V228" s="4"/>
      <c r="W228" s="4"/>
      <c r="X228" s="4"/>
      <c r="Y228" s="4"/>
      <c r="Z228" s="4"/>
      <c r="AA228" s="5"/>
      <c r="AB228" s="5"/>
      <c r="AC228" s="5"/>
      <c r="AD228" s="5"/>
      <c r="AE228" s="5"/>
    </row>
    <row r="229">
      <c r="A229" s="14" t="s">
        <v>284</v>
      </c>
      <c r="B229" s="19">
        <v>44274.81586805556</v>
      </c>
      <c r="C229" s="4">
        <v>49833.0</v>
      </c>
      <c r="D229" s="4" t="s">
        <v>285</v>
      </c>
      <c r="E229" s="4">
        <v>9.18979531948E11</v>
      </c>
      <c r="F229" s="4">
        <v>6585.0</v>
      </c>
      <c r="G229" s="4"/>
      <c r="H229" s="4" t="s">
        <v>184</v>
      </c>
      <c r="I229" s="4"/>
      <c r="J229" s="4" t="s">
        <v>85</v>
      </c>
      <c r="K229" s="4">
        <v>99.0</v>
      </c>
      <c r="L229" s="4"/>
      <c r="M229" s="4">
        <v>99.0</v>
      </c>
      <c r="N229" s="4" t="s">
        <v>67</v>
      </c>
      <c r="O229" s="4" t="b">
        <v>0</v>
      </c>
      <c r="P229" s="4" t="s">
        <v>74</v>
      </c>
      <c r="Q229" s="4" t="s">
        <v>69</v>
      </c>
      <c r="R229" s="4"/>
      <c r="S229" s="4"/>
      <c r="T229" s="4"/>
      <c r="U229" s="7"/>
      <c r="V229" s="4"/>
      <c r="W229" s="4"/>
      <c r="X229" s="4"/>
      <c r="Y229" s="4"/>
      <c r="Z229" s="4"/>
      <c r="AA229" s="5"/>
      <c r="AB229" s="5"/>
      <c r="AC229" s="5"/>
      <c r="AD229" s="5"/>
      <c r="AE229" s="5"/>
    </row>
    <row r="230">
      <c r="A230" s="14" t="s">
        <v>706</v>
      </c>
      <c r="B230" s="19">
        <v>44275.87923611111</v>
      </c>
      <c r="C230" s="4">
        <v>49835.0</v>
      </c>
      <c r="D230" s="4" t="s">
        <v>707</v>
      </c>
      <c r="E230" s="4">
        <v>9.18318398884E11</v>
      </c>
      <c r="F230" s="4">
        <v>16326.0</v>
      </c>
      <c r="G230" s="4"/>
      <c r="H230" s="4" t="s">
        <v>680</v>
      </c>
      <c r="I230" s="4"/>
      <c r="J230" s="4" t="s">
        <v>85</v>
      </c>
      <c r="K230" s="4">
        <v>99.0</v>
      </c>
      <c r="L230" s="4"/>
      <c r="M230" s="4">
        <v>99.0</v>
      </c>
      <c r="N230" s="4" t="s">
        <v>67</v>
      </c>
      <c r="O230" s="4" t="b">
        <v>0</v>
      </c>
      <c r="P230" s="4" t="s">
        <v>68</v>
      </c>
      <c r="Q230" s="4" t="s">
        <v>69</v>
      </c>
      <c r="R230" s="4"/>
      <c r="S230" s="4"/>
      <c r="T230" s="4"/>
      <c r="U230" s="7"/>
      <c r="V230" s="4"/>
      <c r="W230" s="4"/>
      <c r="X230" s="4"/>
      <c r="Y230" s="4"/>
      <c r="Z230" s="4"/>
      <c r="AA230" s="5"/>
      <c r="AB230" s="5"/>
      <c r="AC230" s="5"/>
      <c r="AD230" s="5"/>
      <c r="AE230" s="5"/>
    </row>
    <row r="231">
      <c r="A231" s="14" t="s">
        <v>286</v>
      </c>
      <c r="B231" s="19">
        <v>44274.86446759259</v>
      </c>
      <c r="C231" s="4">
        <v>49877.0</v>
      </c>
      <c r="D231" s="4" t="s">
        <v>287</v>
      </c>
      <c r="E231" s="4">
        <v>9.19752391479E11</v>
      </c>
      <c r="F231" s="4">
        <v>16472.0</v>
      </c>
      <c r="G231" s="4"/>
      <c r="H231" s="4" t="s">
        <v>280</v>
      </c>
      <c r="I231" s="4"/>
      <c r="J231" s="4" t="s">
        <v>85</v>
      </c>
      <c r="K231" s="4">
        <v>99.0</v>
      </c>
      <c r="L231" s="4"/>
      <c r="M231" s="4">
        <v>99.0</v>
      </c>
      <c r="N231" s="4" t="s">
        <v>67</v>
      </c>
      <c r="O231" s="4" t="b">
        <v>0</v>
      </c>
      <c r="P231" s="4" t="s">
        <v>74</v>
      </c>
      <c r="Q231" s="4" t="s">
        <v>69</v>
      </c>
      <c r="R231" s="4"/>
      <c r="S231" s="4"/>
      <c r="T231" s="4"/>
      <c r="U231" s="7"/>
      <c r="V231" s="4"/>
      <c r="W231" s="4"/>
      <c r="X231" s="4"/>
      <c r="Y231" s="4"/>
      <c r="Z231" s="4"/>
      <c r="AA231" s="5"/>
      <c r="AB231" s="5"/>
      <c r="AC231" s="5"/>
      <c r="AD231" s="5"/>
      <c r="AE231" s="5"/>
    </row>
    <row r="232">
      <c r="A232" s="14" t="s">
        <v>330</v>
      </c>
      <c r="B232" s="19">
        <v>44275.91166666667</v>
      </c>
      <c r="C232" s="4">
        <v>49833.0</v>
      </c>
      <c r="D232" s="4" t="s">
        <v>331</v>
      </c>
      <c r="E232" s="4">
        <v>9.17795410454E11</v>
      </c>
      <c r="F232" s="4">
        <v>16403.0</v>
      </c>
      <c r="G232" s="4"/>
      <c r="H232" s="4" t="s">
        <v>184</v>
      </c>
      <c r="I232" s="4"/>
      <c r="J232" s="4" t="s">
        <v>85</v>
      </c>
      <c r="K232" s="4">
        <v>99.0</v>
      </c>
      <c r="L232" s="4"/>
      <c r="M232" s="4">
        <v>99.0</v>
      </c>
      <c r="N232" s="4" t="s">
        <v>67</v>
      </c>
      <c r="O232" s="4" t="b">
        <v>0</v>
      </c>
      <c r="P232" s="4" t="s">
        <v>74</v>
      </c>
      <c r="Q232" s="4" t="s">
        <v>69</v>
      </c>
      <c r="R232" s="4"/>
      <c r="S232" s="4"/>
      <c r="T232" s="4"/>
      <c r="U232" s="7"/>
      <c r="V232" s="4"/>
      <c r="W232" s="4"/>
      <c r="X232" s="4"/>
      <c r="Y232" s="4"/>
      <c r="Z232" s="4"/>
      <c r="AA232" s="5"/>
      <c r="AB232" s="5"/>
      <c r="AC232" s="5"/>
      <c r="AD232" s="5"/>
      <c r="AE232" s="5"/>
    </row>
    <row r="233">
      <c r="A233" s="14" t="s">
        <v>332</v>
      </c>
      <c r="B233" s="19">
        <v>44275.966770833336</v>
      </c>
      <c r="C233" s="4">
        <v>49877.0</v>
      </c>
      <c r="D233" s="4" t="s">
        <v>333</v>
      </c>
      <c r="E233" s="4">
        <v>9.16009313775E11</v>
      </c>
      <c r="F233" s="4" t="s">
        <v>83</v>
      </c>
      <c r="G233" s="4"/>
      <c r="H233" s="4" t="s">
        <v>280</v>
      </c>
      <c r="I233" s="4"/>
      <c r="J233" s="4" t="s">
        <v>85</v>
      </c>
      <c r="K233" s="4">
        <v>99.0</v>
      </c>
      <c r="L233" s="4"/>
      <c r="M233" s="4">
        <v>99.0</v>
      </c>
      <c r="N233" s="4" t="s">
        <v>67</v>
      </c>
      <c r="O233" s="4" t="b">
        <v>0</v>
      </c>
      <c r="P233" s="4" t="s">
        <v>68</v>
      </c>
      <c r="Q233" s="4" t="s">
        <v>69</v>
      </c>
      <c r="R233" s="4"/>
      <c r="S233" s="4"/>
      <c r="T233" s="4"/>
      <c r="U233" s="7"/>
      <c r="V233" s="4"/>
      <c r="W233" s="4"/>
      <c r="X233" s="4"/>
      <c r="Y233" s="4"/>
      <c r="Z233" s="4"/>
      <c r="AA233" s="5"/>
      <c r="AB233" s="5"/>
      <c r="AC233" s="5"/>
      <c r="AD233" s="5"/>
      <c r="AE233" s="5"/>
    </row>
    <row r="234">
      <c r="A234" s="14" t="s">
        <v>712</v>
      </c>
      <c r="B234" s="19">
        <v>44276.2915162037</v>
      </c>
      <c r="C234" s="4">
        <v>49835.0</v>
      </c>
      <c r="D234" s="4" t="s">
        <v>713</v>
      </c>
      <c r="E234" s="4">
        <v>9.19844638555E11</v>
      </c>
      <c r="F234" s="4">
        <v>16331.0</v>
      </c>
      <c r="G234" s="4"/>
      <c r="H234" s="4" t="s">
        <v>680</v>
      </c>
      <c r="I234" s="4"/>
      <c r="J234" s="4" t="s">
        <v>85</v>
      </c>
      <c r="K234" s="4">
        <v>99.0</v>
      </c>
      <c r="L234" s="4"/>
      <c r="M234" s="4">
        <v>99.0</v>
      </c>
      <c r="N234" s="4" t="s">
        <v>67</v>
      </c>
      <c r="O234" s="4" t="b">
        <v>0</v>
      </c>
      <c r="P234" s="4" t="s">
        <v>68</v>
      </c>
      <c r="Q234" s="4" t="s">
        <v>69</v>
      </c>
      <c r="R234" s="4"/>
      <c r="S234" s="4"/>
      <c r="T234" s="4"/>
      <c r="U234" s="7"/>
      <c r="V234" s="4"/>
      <c r="W234" s="4"/>
      <c r="X234" s="4"/>
      <c r="Y234" s="4"/>
      <c r="Z234" s="4"/>
      <c r="AA234" s="5"/>
      <c r="AB234" s="5"/>
      <c r="AC234" s="5"/>
      <c r="AD234" s="5"/>
      <c r="AE234" s="5"/>
    </row>
    <row r="235">
      <c r="A235" s="14" t="s">
        <v>338</v>
      </c>
      <c r="B235" s="19">
        <v>44276.41055555556</v>
      </c>
      <c r="C235" s="4">
        <v>49962.0</v>
      </c>
      <c r="D235" s="4" t="s">
        <v>339</v>
      </c>
      <c r="E235" s="4">
        <v>9.19780281577E11</v>
      </c>
      <c r="F235" s="4">
        <v>16337.0</v>
      </c>
      <c r="G235" s="4"/>
      <c r="H235" s="4" t="s">
        <v>245</v>
      </c>
      <c r="I235" s="4"/>
      <c r="J235" s="4" t="s">
        <v>85</v>
      </c>
      <c r="K235" s="4">
        <v>99.0</v>
      </c>
      <c r="L235" s="4"/>
      <c r="M235" s="4">
        <v>99.0</v>
      </c>
      <c r="N235" s="4" t="s">
        <v>67</v>
      </c>
      <c r="O235" s="4" t="b">
        <v>0</v>
      </c>
      <c r="P235" s="4" t="s">
        <v>74</v>
      </c>
      <c r="Q235" s="4" t="s">
        <v>69</v>
      </c>
      <c r="R235" s="4"/>
      <c r="S235" s="4"/>
      <c r="T235" s="4"/>
      <c r="U235" s="7"/>
      <c r="V235" s="4"/>
      <c r="W235" s="4"/>
      <c r="X235" s="4"/>
      <c r="Y235" s="4"/>
      <c r="Z235" s="4"/>
      <c r="AA235" s="5"/>
      <c r="AB235" s="5"/>
      <c r="AC235" s="5"/>
      <c r="AD235" s="5"/>
      <c r="AE235" s="5"/>
    </row>
    <row r="236">
      <c r="A236" s="14" t="s">
        <v>714</v>
      </c>
      <c r="B236" s="19">
        <v>44276.398194444446</v>
      </c>
      <c r="C236" s="4">
        <v>49835.0</v>
      </c>
      <c r="D236" s="4" t="s">
        <v>715</v>
      </c>
      <c r="E236" s="4">
        <v>9.19894487751E11</v>
      </c>
      <c r="F236" s="4">
        <v>16332.0</v>
      </c>
      <c r="G236" s="4"/>
      <c r="H236" s="4" t="s">
        <v>680</v>
      </c>
      <c r="I236" s="4"/>
      <c r="J236" s="4" t="s">
        <v>85</v>
      </c>
      <c r="K236" s="4">
        <v>99.0</v>
      </c>
      <c r="L236" s="4"/>
      <c r="M236" s="4">
        <v>99.0</v>
      </c>
      <c r="N236" s="4" t="s">
        <v>67</v>
      </c>
      <c r="O236" s="4" t="b">
        <v>0</v>
      </c>
      <c r="P236" s="4" t="s">
        <v>68</v>
      </c>
      <c r="Q236" s="4" t="s">
        <v>69</v>
      </c>
      <c r="R236" s="4"/>
      <c r="S236" s="4"/>
      <c r="T236" s="4"/>
      <c r="U236" s="8"/>
      <c r="V236" s="4"/>
      <c r="W236" s="4"/>
      <c r="X236" s="4"/>
      <c r="Y236" s="4"/>
      <c r="Z236" s="4"/>
      <c r="AA236" s="5"/>
      <c r="AB236" s="5"/>
      <c r="AC236" s="5"/>
      <c r="AD236" s="5"/>
      <c r="AE236" s="5"/>
    </row>
    <row r="237">
      <c r="A237" s="14" t="s">
        <v>388</v>
      </c>
      <c r="B237" s="19">
        <v>44277.475266203706</v>
      </c>
      <c r="C237" s="4">
        <v>49962.0</v>
      </c>
      <c r="D237" s="4" t="s">
        <v>389</v>
      </c>
      <c r="E237" s="4">
        <v>9.18788238506E11</v>
      </c>
      <c r="F237" s="4">
        <v>16371.0</v>
      </c>
      <c r="G237" s="4"/>
      <c r="H237" s="4" t="s">
        <v>245</v>
      </c>
      <c r="I237" s="4"/>
      <c r="J237" s="4" t="s">
        <v>85</v>
      </c>
      <c r="K237" s="4">
        <v>99.0</v>
      </c>
      <c r="L237" s="4"/>
      <c r="M237" s="4">
        <v>99.0</v>
      </c>
      <c r="N237" s="4" t="s">
        <v>67</v>
      </c>
      <c r="O237" s="4" t="b">
        <v>0</v>
      </c>
      <c r="P237" s="4" t="s">
        <v>68</v>
      </c>
      <c r="Q237" s="4" t="s">
        <v>69</v>
      </c>
      <c r="R237" s="4"/>
      <c r="S237" s="4"/>
      <c r="T237" s="4"/>
      <c r="U237" s="7"/>
      <c r="V237" s="4"/>
      <c r="W237" s="4"/>
      <c r="X237" s="4"/>
      <c r="Y237" s="4"/>
      <c r="Z237" s="4"/>
      <c r="AA237" s="5"/>
      <c r="AB237" s="5"/>
      <c r="AC237" s="5"/>
      <c r="AD237" s="5"/>
      <c r="AE237" s="5"/>
    </row>
    <row r="238">
      <c r="A238" s="14" t="s">
        <v>390</v>
      </c>
      <c r="B238" s="19">
        <v>44277.50292824074</v>
      </c>
      <c r="C238" s="4">
        <v>49833.0</v>
      </c>
      <c r="D238" s="4" t="s">
        <v>391</v>
      </c>
      <c r="E238" s="4">
        <v>9.18975679276E11</v>
      </c>
      <c r="F238" s="4" t="s">
        <v>83</v>
      </c>
      <c r="G238" s="4"/>
      <c r="H238" s="4" t="s">
        <v>184</v>
      </c>
      <c r="I238" s="4"/>
      <c r="J238" s="4" t="s">
        <v>85</v>
      </c>
      <c r="K238" s="4">
        <v>99.0</v>
      </c>
      <c r="L238" s="4"/>
      <c r="M238" s="4">
        <v>99.0</v>
      </c>
      <c r="N238" s="4" t="s">
        <v>67</v>
      </c>
      <c r="O238" s="4" t="b">
        <v>0</v>
      </c>
      <c r="P238" s="4" t="s">
        <v>68</v>
      </c>
      <c r="Q238" s="4" t="s">
        <v>69</v>
      </c>
      <c r="R238" s="4"/>
      <c r="S238" s="4"/>
      <c r="T238" s="4"/>
      <c r="U238" s="7"/>
      <c r="V238" s="4"/>
      <c r="W238" s="4"/>
      <c r="X238" s="4"/>
      <c r="Y238" s="4"/>
      <c r="Z238" s="4"/>
      <c r="AA238" s="5"/>
      <c r="AB238" s="5"/>
      <c r="AC238" s="5"/>
      <c r="AD238" s="5"/>
      <c r="AE238" s="5"/>
    </row>
    <row r="239">
      <c r="A239" s="14" t="s">
        <v>880</v>
      </c>
      <c r="B239" s="19">
        <v>44277.5212962963</v>
      </c>
      <c r="C239" s="4">
        <v>49835.0</v>
      </c>
      <c r="D239" s="4" t="s">
        <v>881</v>
      </c>
      <c r="E239" s="4">
        <v>9.19853214761E11</v>
      </c>
      <c r="F239" s="4">
        <v>16386.0</v>
      </c>
      <c r="G239" s="4"/>
      <c r="H239" s="4" t="s">
        <v>680</v>
      </c>
      <c r="I239" s="4"/>
      <c r="J239" s="4" t="s">
        <v>85</v>
      </c>
      <c r="K239" s="4">
        <v>99.0</v>
      </c>
      <c r="L239" s="4"/>
      <c r="M239" s="4">
        <v>99.0</v>
      </c>
      <c r="N239" s="4" t="s">
        <v>67</v>
      </c>
      <c r="O239" s="4" t="b">
        <v>0</v>
      </c>
      <c r="P239" s="4" t="s">
        <v>68</v>
      </c>
      <c r="Q239" s="4" t="s">
        <v>69</v>
      </c>
      <c r="R239" s="4"/>
      <c r="S239" s="4"/>
      <c r="T239" s="4"/>
      <c r="U239" s="7"/>
      <c r="V239" s="4"/>
      <c r="W239" s="4"/>
      <c r="X239" s="4"/>
      <c r="Y239" s="4"/>
      <c r="Z239" s="4"/>
      <c r="AA239" s="5"/>
      <c r="AB239" s="5"/>
      <c r="AC239" s="5"/>
      <c r="AD239" s="5"/>
      <c r="AE239" s="5"/>
    </row>
    <row r="240">
      <c r="A240" s="14" t="s">
        <v>180</v>
      </c>
      <c r="B240" s="19">
        <v>44276.46244212963</v>
      </c>
      <c r="C240" s="4">
        <v>49864.0</v>
      </c>
      <c r="D240" s="4" t="s">
        <v>182</v>
      </c>
      <c r="E240" s="4">
        <v>9.19640252443E11</v>
      </c>
      <c r="F240" s="4">
        <v>16389.0</v>
      </c>
      <c r="G240" s="4"/>
      <c r="H240" s="4" t="s">
        <v>181</v>
      </c>
      <c r="I240" s="4"/>
      <c r="J240" s="4" t="s">
        <v>149</v>
      </c>
      <c r="K240" s="4">
        <v>99.0</v>
      </c>
      <c r="L240" s="4"/>
      <c r="M240" s="4">
        <v>99.0</v>
      </c>
      <c r="N240" s="4" t="s">
        <v>67</v>
      </c>
      <c r="O240" s="4" t="b">
        <v>0</v>
      </c>
      <c r="P240" s="4" t="s">
        <v>68</v>
      </c>
      <c r="Q240" s="4" t="s">
        <v>69</v>
      </c>
      <c r="R240" s="4"/>
      <c r="S240" s="4"/>
      <c r="T240" s="4"/>
      <c r="U240" s="7"/>
      <c r="V240" s="4"/>
      <c r="W240" s="4"/>
      <c r="X240" s="4"/>
      <c r="Y240" s="4"/>
      <c r="Z240" s="4"/>
      <c r="AA240" s="5"/>
      <c r="AB240" s="5"/>
      <c r="AC240" s="5"/>
      <c r="AD240" s="5"/>
      <c r="AE240" s="5"/>
    </row>
    <row r="241">
      <c r="A241" s="14" t="s">
        <v>392</v>
      </c>
      <c r="B241" s="19">
        <v>44277.50711805555</v>
      </c>
      <c r="C241" s="4">
        <v>49963.0</v>
      </c>
      <c r="D241" s="4" t="s">
        <v>393</v>
      </c>
      <c r="E241" s="4">
        <v>9.18431463712E11</v>
      </c>
      <c r="F241" s="4">
        <v>16404.0</v>
      </c>
      <c r="G241" s="4"/>
      <c r="H241" s="4" t="s">
        <v>376</v>
      </c>
      <c r="I241" s="4"/>
      <c r="J241" s="4" t="s">
        <v>85</v>
      </c>
      <c r="K241" s="4">
        <v>99.0</v>
      </c>
      <c r="L241" s="4"/>
      <c r="M241" s="4">
        <v>99.0</v>
      </c>
      <c r="N241" s="4" t="s">
        <v>67</v>
      </c>
      <c r="O241" s="4" t="b">
        <v>0</v>
      </c>
      <c r="P241" s="4" t="s">
        <v>68</v>
      </c>
      <c r="Q241" s="4" t="s">
        <v>69</v>
      </c>
      <c r="R241" s="4"/>
      <c r="S241" s="4"/>
      <c r="T241" s="4"/>
      <c r="U241" s="7"/>
      <c r="V241" s="4"/>
      <c r="W241" s="4"/>
      <c r="X241" s="4"/>
      <c r="Y241" s="4"/>
      <c r="Z241" s="4"/>
      <c r="AA241" s="5"/>
      <c r="AB241" s="5"/>
      <c r="AC241" s="5"/>
      <c r="AD241" s="5"/>
      <c r="AE241" s="5"/>
    </row>
    <row r="242">
      <c r="A242" s="14" t="s">
        <v>400</v>
      </c>
      <c r="B242" s="19">
        <v>44277.556539351855</v>
      </c>
      <c r="C242" s="4">
        <v>49877.0</v>
      </c>
      <c r="D242" s="4" t="s">
        <v>401</v>
      </c>
      <c r="E242" s="4">
        <v>9.18016328779E11</v>
      </c>
      <c r="F242" s="4">
        <v>16376.0</v>
      </c>
      <c r="G242" s="4"/>
      <c r="H242" s="4" t="s">
        <v>280</v>
      </c>
      <c r="I242" s="4"/>
      <c r="J242" s="4" t="s">
        <v>85</v>
      </c>
      <c r="K242" s="4">
        <v>99.0</v>
      </c>
      <c r="L242" s="4"/>
      <c r="M242" s="4">
        <v>99.0</v>
      </c>
      <c r="N242" s="4" t="s">
        <v>67</v>
      </c>
      <c r="O242" s="4" t="b">
        <v>0</v>
      </c>
      <c r="P242" s="4" t="s">
        <v>97</v>
      </c>
      <c r="Q242" s="4" t="s">
        <v>69</v>
      </c>
      <c r="R242" s="4"/>
      <c r="S242" s="4"/>
      <c r="T242" s="4"/>
      <c r="U242" s="7"/>
      <c r="V242" s="4"/>
      <c r="W242" s="4"/>
      <c r="X242" s="4"/>
      <c r="Y242" s="4"/>
      <c r="Z242" s="4"/>
      <c r="AA242" s="5"/>
      <c r="AB242" s="5"/>
      <c r="AC242" s="5"/>
      <c r="AD242" s="5"/>
      <c r="AE242" s="5"/>
    </row>
    <row r="243">
      <c r="A243" s="14" t="s">
        <v>851</v>
      </c>
      <c r="B243" s="19">
        <v>44276.480104166665</v>
      </c>
      <c r="C243" s="4">
        <v>49948.0</v>
      </c>
      <c r="D243" s="4" t="s">
        <v>852</v>
      </c>
      <c r="E243" s="4">
        <v>9.19600148835E11</v>
      </c>
      <c r="F243" s="4">
        <v>16367.0</v>
      </c>
      <c r="G243" s="4"/>
      <c r="H243" s="4" t="s">
        <v>791</v>
      </c>
      <c r="I243" s="4"/>
      <c r="J243" s="4" t="s">
        <v>149</v>
      </c>
      <c r="K243" s="4">
        <v>99.0</v>
      </c>
      <c r="L243" s="4"/>
      <c r="M243" s="4">
        <v>99.0</v>
      </c>
      <c r="N243" s="4" t="s">
        <v>67</v>
      </c>
      <c r="O243" s="4" t="b">
        <v>0</v>
      </c>
      <c r="P243" s="4" t="s">
        <v>97</v>
      </c>
      <c r="Q243" s="4" t="s">
        <v>69</v>
      </c>
      <c r="R243" s="4"/>
      <c r="S243" s="4"/>
      <c r="T243" s="4"/>
      <c r="U243" s="7"/>
      <c r="V243" s="4"/>
      <c r="W243" s="4"/>
      <c r="X243" s="4"/>
      <c r="Y243" s="4"/>
      <c r="Z243" s="4"/>
      <c r="AA243" s="5"/>
      <c r="AB243" s="5"/>
      <c r="AC243" s="5"/>
      <c r="AD243" s="5"/>
      <c r="AE243" s="5"/>
    </row>
    <row r="244">
      <c r="A244" s="14" t="s">
        <v>402</v>
      </c>
      <c r="B244" s="19">
        <v>44277.55907407407</v>
      </c>
      <c r="C244" s="4">
        <v>49833.0</v>
      </c>
      <c r="D244" s="4" t="s">
        <v>403</v>
      </c>
      <c r="E244" s="4">
        <v>9.19824533538E11</v>
      </c>
      <c r="F244" s="4">
        <v>16390.0</v>
      </c>
      <c r="G244" s="4"/>
      <c r="H244" s="4" t="s">
        <v>184</v>
      </c>
      <c r="I244" s="4"/>
      <c r="J244" s="4" t="s">
        <v>85</v>
      </c>
      <c r="K244" s="4">
        <v>99.0</v>
      </c>
      <c r="L244" s="4"/>
      <c r="M244" s="4">
        <v>99.0</v>
      </c>
      <c r="N244" s="4" t="s">
        <v>67</v>
      </c>
      <c r="O244" s="4" t="b">
        <v>0</v>
      </c>
      <c r="P244" s="4" t="s">
        <v>68</v>
      </c>
      <c r="Q244" s="4" t="s">
        <v>69</v>
      </c>
      <c r="R244" s="4"/>
      <c r="S244" s="4"/>
      <c r="T244" s="4"/>
      <c r="U244" s="7"/>
      <c r="V244" s="4"/>
      <c r="W244" s="4"/>
      <c r="X244" s="4"/>
      <c r="Y244" s="4"/>
      <c r="Z244" s="4"/>
      <c r="AA244" s="5"/>
      <c r="AB244" s="5"/>
      <c r="AC244" s="5"/>
      <c r="AD244" s="5"/>
      <c r="AE244" s="5"/>
    </row>
    <row r="245">
      <c r="A245" s="14" t="s">
        <v>396</v>
      </c>
      <c r="B245" s="19">
        <v>44277.54386574074</v>
      </c>
      <c r="C245" s="4">
        <v>49877.0</v>
      </c>
      <c r="D245" s="4" t="s">
        <v>397</v>
      </c>
      <c r="E245" s="4">
        <v>9.17838869204E11</v>
      </c>
      <c r="F245" s="4">
        <v>16373.0</v>
      </c>
      <c r="G245" s="4"/>
      <c r="H245" s="4" t="s">
        <v>280</v>
      </c>
      <c r="I245" s="4"/>
      <c r="J245" s="4" t="s">
        <v>85</v>
      </c>
      <c r="K245" s="4">
        <v>99.0</v>
      </c>
      <c r="L245" s="4"/>
      <c r="M245" s="4">
        <v>99.0</v>
      </c>
      <c r="N245" s="4" t="s">
        <v>67</v>
      </c>
      <c r="O245" s="4" t="b">
        <v>0</v>
      </c>
      <c r="P245" s="4" t="s">
        <v>68</v>
      </c>
      <c r="Q245" s="4" t="s">
        <v>69</v>
      </c>
      <c r="R245" s="4"/>
      <c r="S245" s="4"/>
      <c r="T245" s="4"/>
      <c r="U245" s="7"/>
      <c r="V245" s="4"/>
      <c r="W245" s="4"/>
      <c r="X245" s="4"/>
      <c r="Y245" s="4"/>
      <c r="Z245" s="4"/>
      <c r="AA245" s="5"/>
      <c r="AB245" s="5"/>
      <c r="AC245" s="5"/>
      <c r="AD245" s="5"/>
      <c r="AE245" s="5"/>
    </row>
    <row r="246">
      <c r="A246" s="14" t="s">
        <v>897</v>
      </c>
      <c r="B246" s="19">
        <v>44277.550092592595</v>
      </c>
      <c r="C246" s="4">
        <v>49948.0</v>
      </c>
      <c r="D246" s="4" t="s">
        <v>898</v>
      </c>
      <c r="E246" s="4">
        <v>9.18838008185E11</v>
      </c>
      <c r="F246" s="4">
        <v>16377.0</v>
      </c>
      <c r="G246" s="4"/>
      <c r="H246" s="4" t="s">
        <v>791</v>
      </c>
      <c r="I246" s="4"/>
      <c r="J246" s="4" t="s">
        <v>149</v>
      </c>
      <c r="K246" s="4">
        <v>99.0</v>
      </c>
      <c r="L246" s="4"/>
      <c r="M246" s="4">
        <v>99.0</v>
      </c>
      <c r="N246" s="4" t="s">
        <v>67</v>
      </c>
      <c r="O246" s="4" t="b">
        <v>0</v>
      </c>
      <c r="P246" s="4" t="s">
        <v>74</v>
      </c>
      <c r="Q246" s="4" t="s">
        <v>69</v>
      </c>
      <c r="R246" s="4"/>
      <c r="S246" s="4"/>
      <c r="T246" s="4"/>
      <c r="U246" s="7"/>
      <c r="V246" s="4"/>
      <c r="W246" s="4"/>
      <c r="X246" s="4"/>
      <c r="Y246" s="4"/>
      <c r="Z246" s="4"/>
      <c r="AA246" s="5"/>
      <c r="AB246" s="5"/>
      <c r="AC246" s="5"/>
      <c r="AD246" s="5"/>
      <c r="AE246" s="5"/>
    </row>
    <row r="247">
      <c r="A247" s="14" t="s">
        <v>404</v>
      </c>
      <c r="B247" s="19">
        <v>44277.61541666667</v>
      </c>
      <c r="C247" s="4">
        <v>49833.0</v>
      </c>
      <c r="D247" s="4" t="s">
        <v>405</v>
      </c>
      <c r="E247" s="4">
        <v>9.19066280426E11</v>
      </c>
      <c r="F247" s="4">
        <v>16449.0</v>
      </c>
      <c r="G247" s="4"/>
      <c r="H247" s="4" t="s">
        <v>184</v>
      </c>
      <c r="I247" s="4"/>
      <c r="J247" s="4" t="s">
        <v>85</v>
      </c>
      <c r="K247" s="4">
        <v>99.0</v>
      </c>
      <c r="L247" s="4"/>
      <c r="M247" s="4">
        <v>99.0</v>
      </c>
      <c r="N247" s="4" t="s">
        <v>67</v>
      </c>
      <c r="O247" s="4" t="b">
        <v>0</v>
      </c>
      <c r="P247" s="4" t="s">
        <v>68</v>
      </c>
      <c r="Q247" s="4" t="s">
        <v>69</v>
      </c>
      <c r="R247" s="4"/>
      <c r="S247" s="4"/>
      <c r="T247" s="4"/>
      <c r="U247" s="7"/>
      <c r="V247" s="4"/>
      <c r="W247" s="4"/>
      <c r="X247" s="4"/>
      <c r="Y247" s="4"/>
      <c r="Z247" s="4"/>
      <c r="AA247" s="5"/>
      <c r="AB247" s="5"/>
      <c r="AC247" s="5"/>
      <c r="AD247" s="5"/>
      <c r="AE247" s="5"/>
    </row>
    <row r="248">
      <c r="A248" s="14" t="s">
        <v>406</v>
      </c>
      <c r="B248" s="19">
        <v>44277.64412037037</v>
      </c>
      <c r="C248" s="4">
        <v>49833.0</v>
      </c>
      <c r="D248" s="4" t="s">
        <v>407</v>
      </c>
      <c r="E248" s="4">
        <v>9.19600882195E11</v>
      </c>
      <c r="F248" s="4">
        <v>16447.0</v>
      </c>
      <c r="G248" s="4"/>
      <c r="H248" s="4" t="s">
        <v>184</v>
      </c>
      <c r="I248" s="4"/>
      <c r="J248" s="4" t="s">
        <v>85</v>
      </c>
      <c r="K248" s="4">
        <v>99.0</v>
      </c>
      <c r="L248" s="4"/>
      <c r="M248" s="4">
        <v>99.0</v>
      </c>
      <c r="N248" s="4" t="s">
        <v>67</v>
      </c>
      <c r="O248" s="4" t="b">
        <v>0</v>
      </c>
      <c r="P248" s="4" t="s">
        <v>68</v>
      </c>
      <c r="Q248" s="4" t="s">
        <v>69</v>
      </c>
      <c r="R248" s="4"/>
      <c r="S248" s="4"/>
      <c r="T248" s="4"/>
      <c r="U248" s="8"/>
      <c r="V248" s="4"/>
      <c r="W248" s="4"/>
      <c r="X248" s="4"/>
      <c r="Y248" s="4"/>
      <c r="Z248" s="4"/>
      <c r="AA248" s="5"/>
      <c r="AB248" s="5"/>
      <c r="AC248" s="5"/>
      <c r="AD248" s="5"/>
      <c r="AE248" s="5"/>
    </row>
    <row r="249">
      <c r="A249" s="14" t="s">
        <v>911</v>
      </c>
      <c r="B249" s="19">
        <v>44277.68071759259</v>
      </c>
      <c r="C249" s="4">
        <v>49948.0</v>
      </c>
      <c r="D249" s="4" t="s">
        <v>912</v>
      </c>
      <c r="E249" s="4">
        <v>9.18587965287E11</v>
      </c>
      <c r="F249" s="4">
        <v>16431.0</v>
      </c>
      <c r="G249" s="4"/>
      <c r="H249" s="4" t="s">
        <v>791</v>
      </c>
      <c r="I249" s="4"/>
      <c r="J249" s="4" t="s">
        <v>149</v>
      </c>
      <c r="K249" s="4">
        <v>99.0</v>
      </c>
      <c r="L249" s="4"/>
      <c r="M249" s="4">
        <v>99.0</v>
      </c>
      <c r="N249" s="4" t="s">
        <v>67</v>
      </c>
      <c r="O249" s="4" t="b">
        <v>0</v>
      </c>
      <c r="P249" s="4" t="s">
        <v>68</v>
      </c>
      <c r="Q249" s="4" t="s">
        <v>69</v>
      </c>
      <c r="R249" s="4"/>
      <c r="S249" s="4"/>
      <c r="T249" s="4"/>
      <c r="U249" s="7"/>
      <c r="V249" s="4"/>
      <c r="W249" s="4"/>
      <c r="X249" s="4"/>
      <c r="Y249" s="4"/>
      <c r="Z249" s="4"/>
      <c r="AA249" s="5"/>
      <c r="AB249" s="5"/>
      <c r="AC249" s="5"/>
      <c r="AD249" s="5"/>
      <c r="AE249" s="5"/>
    </row>
    <row r="250">
      <c r="A250" s="14" t="s">
        <v>412</v>
      </c>
      <c r="B250" s="19">
        <v>44277.7162962963</v>
      </c>
      <c r="C250" s="4">
        <v>49834.0</v>
      </c>
      <c r="D250" s="4" t="s">
        <v>413</v>
      </c>
      <c r="E250" s="4">
        <v>9.19848565545E11</v>
      </c>
      <c r="F250" s="4">
        <v>7256.0</v>
      </c>
      <c r="G250" s="4"/>
      <c r="H250" s="4" t="s">
        <v>76</v>
      </c>
      <c r="I250" s="4"/>
      <c r="J250" s="4" t="s">
        <v>85</v>
      </c>
      <c r="K250" s="4">
        <v>299.0</v>
      </c>
      <c r="L250" s="4"/>
      <c r="M250" s="4">
        <v>299.0</v>
      </c>
      <c r="N250" s="4" t="s">
        <v>67</v>
      </c>
      <c r="O250" s="4" t="b">
        <v>0</v>
      </c>
      <c r="P250" s="4" t="s">
        <v>97</v>
      </c>
      <c r="Q250" s="4" t="s">
        <v>69</v>
      </c>
      <c r="R250" s="4"/>
      <c r="S250" s="4"/>
      <c r="T250" s="4"/>
      <c r="U250" s="7"/>
      <c r="V250" s="4"/>
      <c r="W250" s="4"/>
      <c r="X250" s="4"/>
      <c r="Y250" s="4"/>
      <c r="Z250" s="4"/>
      <c r="AA250" s="5"/>
      <c r="AB250" s="5"/>
      <c r="AC250" s="5"/>
      <c r="AD250" s="5"/>
      <c r="AE250" s="5"/>
    </row>
    <row r="251">
      <c r="A251" s="14" t="s">
        <v>410</v>
      </c>
      <c r="B251" s="19">
        <v>44277.704375</v>
      </c>
      <c r="C251" s="4">
        <v>49963.0</v>
      </c>
      <c r="D251" s="4" t="s">
        <v>411</v>
      </c>
      <c r="E251" s="4">
        <v>9.1994146614E11</v>
      </c>
      <c r="F251" s="4">
        <v>12283.0</v>
      </c>
      <c r="G251" s="4"/>
      <c r="H251" s="4" t="s">
        <v>376</v>
      </c>
      <c r="I251" s="4"/>
      <c r="J251" s="4" t="s">
        <v>85</v>
      </c>
      <c r="K251" s="4">
        <v>99.0</v>
      </c>
      <c r="L251" s="4"/>
      <c r="M251" s="4">
        <v>99.0</v>
      </c>
      <c r="N251" s="4" t="s">
        <v>67</v>
      </c>
      <c r="O251" s="4" t="b">
        <v>0</v>
      </c>
      <c r="P251" s="4" t="s">
        <v>74</v>
      </c>
      <c r="Q251" s="4" t="s">
        <v>69</v>
      </c>
      <c r="R251" s="4"/>
      <c r="S251" s="4"/>
      <c r="T251" s="4"/>
      <c r="U251" s="7"/>
      <c r="V251" s="4"/>
      <c r="W251" s="4"/>
      <c r="X251" s="4"/>
      <c r="Y251" s="4"/>
      <c r="Z251" s="4"/>
      <c r="AA251" s="5"/>
      <c r="AB251" s="5"/>
      <c r="AC251" s="5"/>
      <c r="AD251" s="5"/>
      <c r="AE251" s="5"/>
    </row>
    <row r="252">
      <c r="A252" s="14" t="s">
        <v>722</v>
      </c>
      <c r="B252" s="19">
        <v>44276.648726851854</v>
      </c>
      <c r="C252" s="4">
        <v>49835.0</v>
      </c>
      <c r="D252" s="4" t="s">
        <v>723</v>
      </c>
      <c r="E252" s="4">
        <v>9.19879323023E11</v>
      </c>
      <c r="F252" s="4" t="s">
        <v>83</v>
      </c>
      <c r="G252" s="4"/>
      <c r="H252" s="4" t="s">
        <v>680</v>
      </c>
      <c r="I252" s="4"/>
      <c r="J252" s="4" t="s">
        <v>85</v>
      </c>
      <c r="K252" s="4">
        <v>99.0</v>
      </c>
      <c r="L252" s="4"/>
      <c r="M252" s="4">
        <v>99.0</v>
      </c>
      <c r="N252" s="4" t="s">
        <v>67</v>
      </c>
      <c r="O252" s="4" t="b">
        <v>0</v>
      </c>
      <c r="P252" s="4" t="s">
        <v>68</v>
      </c>
      <c r="Q252" s="4" t="s">
        <v>69</v>
      </c>
      <c r="R252" s="4"/>
      <c r="S252" s="4"/>
      <c r="T252" s="4"/>
      <c r="U252" s="7"/>
      <c r="V252" s="4"/>
      <c r="W252" s="4"/>
      <c r="X252" s="4"/>
      <c r="Y252" s="4"/>
      <c r="Z252" s="4"/>
      <c r="AA252" s="5"/>
      <c r="AB252" s="5"/>
      <c r="AC252" s="5"/>
      <c r="AD252" s="5"/>
      <c r="AE252" s="5"/>
    </row>
    <row r="253">
      <c r="A253" s="14" t="s">
        <v>186</v>
      </c>
      <c r="B253" s="19">
        <v>44276.671122685184</v>
      </c>
      <c r="C253" s="4">
        <v>49864.0</v>
      </c>
      <c r="D253" s="4" t="s">
        <v>187</v>
      </c>
      <c r="E253" s="4">
        <v>9.1950170031E11</v>
      </c>
      <c r="F253" s="4">
        <v>16473.0</v>
      </c>
      <c r="G253" s="4"/>
      <c r="H253" s="4" t="s">
        <v>181</v>
      </c>
      <c r="I253" s="4"/>
      <c r="J253" s="4" t="s">
        <v>149</v>
      </c>
      <c r="K253" s="4">
        <v>99.0</v>
      </c>
      <c r="L253" s="4"/>
      <c r="M253" s="4">
        <v>99.0</v>
      </c>
      <c r="N253" s="4" t="s">
        <v>67</v>
      </c>
      <c r="O253" s="4" t="b">
        <v>0</v>
      </c>
      <c r="P253" s="4" t="s">
        <v>74</v>
      </c>
      <c r="Q253" s="4" t="s">
        <v>69</v>
      </c>
      <c r="R253" s="4"/>
      <c r="S253" s="4"/>
      <c r="T253" s="4"/>
      <c r="U253" s="7"/>
      <c r="V253" s="4"/>
      <c r="W253" s="4"/>
      <c r="X253" s="4"/>
      <c r="Y253" s="4"/>
      <c r="Z253" s="4"/>
      <c r="AA253" s="5"/>
      <c r="AB253" s="5"/>
      <c r="AC253" s="5"/>
      <c r="AD253" s="5"/>
      <c r="AE253" s="5"/>
    </row>
    <row r="254">
      <c r="A254" s="14" t="s">
        <v>748</v>
      </c>
      <c r="B254" s="19">
        <v>44276.684016203704</v>
      </c>
      <c r="C254" s="4">
        <v>49835.0</v>
      </c>
      <c r="D254" s="4" t="s">
        <v>749</v>
      </c>
      <c r="E254" s="4">
        <v>9.19442222984E11</v>
      </c>
      <c r="F254" s="4" t="s">
        <v>83</v>
      </c>
      <c r="G254" s="4"/>
      <c r="H254" s="4" t="s">
        <v>680</v>
      </c>
      <c r="I254" s="4"/>
      <c r="J254" s="4" t="s">
        <v>85</v>
      </c>
      <c r="K254" s="4">
        <v>99.0</v>
      </c>
      <c r="L254" s="4"/>
      <c r="M254" s="4">
        <v>99.0</v>
      </c>
      <c r="N254" s="4" t="s">
        <v>67</v>
      </c>
      <c r="O254" s="4" t="b">
        <v>0</v>
      </c>
      <c r="P254" s="4" t="s">
        <v>97</v>
      </c>
      <c r="Q254" s="4" t="s">
        <v>69</v>
      </c>
      <c r="R254" s="4"/>
      <c r="S254" s="4"/>
      <c r="T254" s="4"/>
      <c r="U254" s="7"/>
      <c r="V254" s="4"/>
      <c r="W254" s="4"/>
      <c r="X254" s="4"/>
      <c r="Y254" s="4"/>
      <c r="Z254" s="4"/>
      <c r="AA254" s="5"/>
      <c r="AB254" s="5"/>
      <c r="AC254" s="5"/>
      <c r="AD254" s="5"/>
      <c r="AE254" s="5"/>
    </row>
    <row r="255">
      <c r="A255" s="14" t="s">
        <v>752</v>
      </c>
      <c r="B255" s="19">
        <v>44276.70347222222</v>
      </c>
      <c r="C255" s="4">
        <v>49835.0</v>
      </c>
      <c r="D255" s="4" t="s">
        <v>753</v>
      </c>
      <c r="E255" s="4">
        <v>9.17008345123E11</v>
      </c>
      <c r="F255" s="4">
        <v>16350.0</v>
      </c>
      <c r="G255" s="4"/>
      <c r="H255" s="4" t="s">
        <v>680</v>
      </c>
      <c r="I255" s="4"/>
      <c r="J255" s="4" t="s">
        <v>85</v>
      </c>
      <c r="K255" s="4">
        <v>99.0</v>
      </c>
      <c r="L255" s="4"/>
      <c r="M255" s="4">
        <v>99.0</v>
      </c>
      <c r="N255" s="4" t="s">
        <v>67</v>
      </c>
      <c r="O255" s="4" t="b">
        <v>0</v>
      </c>
      <c r="P255" s="4" t="s">
        <v>68</v>
      </c>
      <c r="Q255" s="4" t="s">
        <v>69</v>
      </c>
      <c r="R255" s="4"/>
      <c r="S255" s="4"/>
      <c r="T255" s="4"/>
      <c r="U255" s="7"/>
      <c r="V255" s="4"/>
      <c r="W255" s="4"/>
      <c r="X255" s="4"/>
      <c r="Y255" s="4"/>
      <c r="Z255" s="4"/>
      <c r="AA255" s="5"/>
      <c r="AB255" s="5"/>
      <c r="AC255" s="5"/>
      <c r="AD255" s="5"/>
      <c r="AE255" s="5"/>
    </row>
    <row r="256">
      <c r="A256" s="14" t="s">
        <v>414</v>
      </c>
      <c r="B256" s="19">
        <v>44277.77180555555</v>
      </c>
      <c r="C256" s="4">
        <v>49963.0</v>
      </c>
      <c r="D256" s="4" t="s">
        <v>415</v>
      </c>
      <c r="E256" s="4">
        <v>9.18847234372E11</v>
      </c>
      <c r="F256" s="4" t="s">
        <v>83</v>
      </c>
      <c r="G256" s="4"/>
      <c r="H256" s="4" t="s">
        <v>376</v>
      </c>
      <c r="I256" s="4"/>
      <c r="J256" s="4" t="s">
        <v>85</v>
      </c>
      <c r="K256" s="4">
        <v>99.0</v>
      </c>
      <c r="L256" s="4"/>
      <c r="M256" s="4">
        <v>99.0</v>
      </c>
      <c r="N256" s="4" t="s">
        <v>67</v>
      </c>
      <c r="O256" s="4" t="b">
        <v>0</v>
      </c>
      <c r="P256" s="4" t="s">
        <v>68</v>
      </c>
      <c r="Q256" s="4" t="s">
        <v>69</v>
      </c>
      <c r="R256" s="4"/>
      <c r="S256" s="4"/>
      <c r="T256" s="4"/>
      <c r="U256" s="7"/>
      <c r="V256" s="4"/>
      <c r="W256" s="4"/>
      <c r="X256" s="4"/>
      <c r="Y256" s="4"/>
      <c r="Z256" s="4"/>
      <c r="AA256" s="5"/>
      <c r="AB256" s="5"/>
      <c r="AC256" s="5"/>
      <c r="AD256" s="5"/>
      <c r="AE256" s="5"/>
    </row>
    <row r="257">
      <c r="A257" s="14" t="s">
        <v>857</v>
      </c>
      <c r="B257" s="19">
        <v>44276.72568287037</v>
      </c>
      <c r="C257" s="4">
        <v>49958.0</v>
      </c>
      <c r="D257" s="4" t="s">
        <v>859</v>
      </c>
      <c r="E257" s="4">
        <v>9.19518956486E11</v>
      </c>
      <c r="F257" s="4">
        <v>16354.0</v>
      </c>
      <c r="G257" s="4"/>
      <c r="H257" s="4" t="s">
        <v>858</v>
      </c>
      <c r="I257" s="4"/>
      <c r="J257" s="4" t="s">
        <v>149</v>
      </c>
      <c r="K257" s="4">
        <v>99.0</v>
      </c>
      <c r="L257" s="4"/>
      <c r="M257" s="4">
        <v>99.0</v>
      </c>
      <c r="N257" s="4" t="s">
        <v>67</v>
      </c>
      <c r="O257" s="4" t="b">
        <v>0</v>
      </c>
      <c r="P257" s="4" t="s">
        <v>74</v>
      </c>
      <c r="Q257" s="4" t="s">
        <v>69</v>
      </c>
      <c r="R257" s="4"/>
      <c r="S257" s="4"/>
      <c r="T257" s="4"/>
      <c r="U257" s="7"/>
      <c r="V257" s="4"/>
      <c r="W257" s="4"/>
      <c r="X257" s="4"/>
      <c r="Y257" s="4"/>
      <c r="Z257" s="4"/>
      <c r="AA257" s="5"/>
      <c r="AB257" s="5"/>
      <c r="AC257" s="5"/>
      <c r="AD257" s="5"/>
      <c r="AE257" s="5"/>
    </row>
    <row r="258">
      <c r="A258" s="14" t="s">
        <v>774</v>
      </c>
      <c r="B258" s="19">
        <v>44276.7259837963</v>
      </c>
      <c r="C258" s="4">
        <v>49835.0</v>
      </c>
      <c r="D258" s="4" t="s">
        <v>775</v>
      </c>
      <c r="E258" s="4">
        <v>9.19028281808E11</v>
      </c>
      <c r="F258" s="4">
        <v>16358.0</v>
      </c>
      <c r="G258" s="4"/>
      <c r="H258" s="4" t="s">
        <v>680</v>
      </c>
      <c r="I258" s="4"/>
      <c r="J258" s="4" t="s">
        <v>85</v>
      </c>
      <c r="K258" s="4">
        <v>99.0</v>
      </c>
      <c r="L258" s="4"/>
      <c r="M258" s="4">
        <v>99.0</v>
      </c>
      <c r="N258" s="4" t="s">
        <v>67</v>
      </c>
      <c r="O258" s="4" t="b">
        <v>0</v>
      </c>
      <c r="P258" s="4" t="s">
        <v>97</v>
      </c>
      <c r="Q258" s="4" t="s">
        <v>69</v>
      </c>
      <c r="R258" s="4"/>
      <c r="S258" s="4"/>
      <c r="T258" s="4"/>
      <c r="U258" s="7"/>
      <c r="V258" s="4"/>
      <c r="W258" s="4"/>
      <c r="X258" s="4"/>
      <c r="Y258" s="4"/>
      <c r="Z258" s="4"/>
      <c r="AA258" s="5"/>
      <c r="AB258" s="5"/>
      <c r="AC258" s="5"/>
      <c r="AD258" s="5"/>
      <c r="AE258" s="5"/>
    </row>
    <row r="259">
      <c r="A259" s="14" t="s">
        <v>353</v>
      </c>
      <c r="B259" s="19">
        <v>44276.78306712963</v>
      </c>
      <c r="C259" s="4">
        <v>49833.0</v>
      </c>
      <c r="D259" s="4" t="s">
        <v>354</v>
      </c>
      <c r="E259" s="4">
        <v>9.17006622862E11</v>
      </c>
      <c r="F259" s="4">
        <v>16392.0</v>
      </c>
      <c r="G259" s="4"/>
      <c r="H259" s="4" t="s">
        <v>184</v>
      </c>
      <c r="I259" s="4"/>
      <c r="J259" s="4" t="s">
        <v>85</v>
      </c>
      <c r="K259" s="4">
        <v>99.0</v>
      </c>
      <c r="L259" s="4"/>
      <c r="M259" s="4">
        <v>99.0</v>
      </c>
      <c r="N259" s="4" t="s">
        <v>67</v>
      </c>
      <c r="O259" s="4" t="b">
        <v>0</v>
      </c>
      <c r="P259" s="4" t="s">
        <v>97</v>
      </c>
      <c r="Q259" s="4" t="s">
        <v>69</v>
      </c>
      <c r="R259" s="4"/>
      <c r="S259" s="4"/>
      <c r="T259" s="4"/>
      <c r="U259" s="7"/>
      <c r="V259" s="4"/>
      <c r="W259" s="4"/>
      <c r="X259" s="4"/>
      <c r="Y259" s="4"/>
      <c r="Z259" s="4"/>
      <c r="AA259" s="5"/>
      <c r="AB259" s="5"/>
      <c r="AC259" s="5"/>
      <c r="AD259" s="5"/>
      <c r="AE259" s="5"/>
    </row>
    <row r="260">
      <c r="A260" s="14" t="s">
        <v>785</v>
      </c>
      <c r="B260" s="19">
        <v>44276.77238425926</v>
      </c>
      <c r="C260" s="4">
        <v>49835.0</v>
      </c>
      <c r="D260" s="4" t="s">
        <v>786</v>
      </c>
      <c r="E260" s="4">
        <v>9.19111110852E11</v>
      </c>
      <c r="F260" s="4">
        <v>16562.0</v>
      </c>
      <c r="G260" s="4"/>
      <c r="H260" s="4" t="s">
        <v>680</v>
      </c>
      <c r="I260" s="4"/>
      <c r="J260" s="4" t="s">
        <v>85</v>
      </c>
      <c r="K260" s="4">
        <v>99.0</v>
      </c>
      <c r="L260" s="4"/>
      <c r="M260" s="4">
        <v>99.0</v>
      </c>
      <c r="N260" s="4" t="s">
        <v>67</v>
      </c>
      <c r="O260" s="4" t="b">
        <v>0</v>
      </c>
      <c r="P260" s="4" t="s">
        <v>68</v>
      </c>
      <c r="Q260" s="4" t="s">
        <v>69</v>
      </c>
      <c r="R260" s="4"/>
      <c r="S260" s="4"/>
      <c r="T260" s="4"/>
      <c r="U260" s="7"/>
      <c r="V260" s="4"/>
      <c r="W260" s="4"/>
      <c r="X260" s="4"/>
      <c r="Y260" s="4"/>
      <c r="Z260" s="4"/>
      <c r="AA260" s="5"/>
      <c r="AB260" s="5"/>
      <c r="AC260" s="5"/>
      <c r="AD260" s="5"/>
      <c r="AE260" s="5"/>
    </row>
    <row r="261">
      <c r="A261" s="14" t="s">
        <v>355</v>
      </c>
      <c r="B261" s="19">
        <v>44276.800671296296</v>
      </c>
      <c r="C261" s="4">
        <v>49833.0</v>
      </c>
      <c r="D261" s="4" t="s">
        <v>356</v>
      </c>
      <c r="E261" s="4">
        <v>9.19035361304E11</v>
      </c>
      <c r="F261" s="4">
        <v>16379.0</v>
      </c>
      <c r="G261" s="4"/>
      <c r="H261" s="4" t="s">
        <v>184</v>
      </c>
      <c r="I261" s="4"/>
      <c r="J261" s="4" t="s">
        <v>85</v>
      </c>
      <c r="K261" s="4">
        <v>99.0</v>
      </c>
      <c r="L261" s="4"/>
      <c r="M261" s="4">
        <v>99.0</v>
      </c>
      <c r="N261" s="4" t="s">
        <v>67</v>
      </c>
      <c r="O261" s="4" t="b">
        <v>0</v>
      </c>
      <c r="P261" s="4" t="s">
        <v>68</v>
      </c>
      <c r="Q261" s="4" t="s">
        <v>69</v>
      </c>
      <c r="R261" s="4"/>
      <c r="S261" s="4"/>
      <c r="T261" s="4"/>
      <c r="U261" s="7"/>
      <c r="V261" s="4"/>
      <c r="W261" s="4"/>
      <c r="X261" s="4"/>
      <c r="Y261" s="4"/>
      <c r="Z261" s="4"/>
      <c r="AA261" s="5"/>
      <c r="AB261" s="5"/>
      <c r="AC261" s="5"/>
      <c r="AD261" s="5"/>
      <c r="AE261" s="5"/>
    </row>
    <row r="262">
      <c r="A262" s="14" t="s">
        <v>357</v>
      </c>
      <c r="B262" s="19">
        <v>44276.80504629629</v>
      </c>
      <c r="C262" s="4">
        <v>49877.0</v>
      </c>
      <c r="D262" s="4" t="s">
        <v>358</v>
      </c>
      <c r="E262" s="4">
        <v>9.19773175388E11</v>
      </c>
      <c r="F262" s="4" t="s">
        <v>83</v>
      </c>
      <c r="G262" s="4"/>
      <c r="H262" s="4" t="s">
        <v>280</v>
      </c>
      <c r="I262" s="4"/>
      <c r="J262" s="4" t="s">
        <v>85</v>
      </c>
      <c r="K262" s="4">
        <v>99.0</v>
      </c>
      <c r="L262" s="4"/>
      <c r="M262" s="4">
        <v>99.0</v>
      </c>
      <c r="N262" s="4" t="s">
        <v>67</v>
      </c>
      <c r="O262" s="4" t="b">
        <v>0</v>
      </c>
      <c r="P262" s="4" t="s">
        <v>97</v>
      </c>
      <c r="Q262" s="4" t="s">
        <v>69</v>
      </c>
      <c r="R262" s="4"/>
      <c r="S262" s="4"/>
      <c r="T262" s="4"/>
      <c r="U262" s="7"/>
      <c r="V262" s="4"/>
      <c r="W262" s="4"/>
      <c r="X262" s="4"/>
      <c r="Y262" s="4"/>
      <c r="Z262" s="4"/>
      <c r="AA262" s="5"/>
      <c r="AB262" s="5"/>
      <c r="AC262" s="5"/>
      <c r="AD262" s="5"/>
      <c r="AE262" s="5"/>
    </row>
    <row r="263">
      <c r="A263" s="14" t="s">
        <v>807</v>
      </c>
      <c r="B263" s="19">
        <v>44276.806238425925</v>
      </c>
      <c r="C263" s="4">
        <v>49835.0</v>
      </c>
      <c r="D263" s="4" t="s">
        <v>808</v>
      </c>
      <c r="E263" s="4">
        <v>9.1885698501E11</v>
      </c>
      <c r="F263" s="4">
        <v>16362.0</v>
      </c>
      <c r="G263" s="4"/>
      <c r="H263" s="4" t="s">
        <v>680</v>
      </c>
      <c r="I263" s="4"/>
      <c r="J263" s="4" t="s">
        <v>85</v>
      </c>
      <c r="K263" s="4">
        <v>99.0</v>
      </c>
      <c r="L263" s="4"/>
      <c r="M263" s="4">
        <v>99.0</v>
      </c>
      <c r="N263" s="4" t="s">
        <v>67</v>
      </c>
      <c r="O263" s="4" t="b">
        <v>0</v>
      </c>
      <c r="P263" s="4" t="s">
        <v>68</v>
      </c>
      <c r="Q263" s="4" t="s">
        <v>69</v>
      </c>
      <c r="R263" s="4"/>
      <c r="S263" s="4"/>
      <c r="T263" s="4"/>
      <c r="U263" s="7"/>
      <c r="V263" s="4"/>
      <c r="W263" s="4"/>
      <c r="X263" s="4"/>
      <c r="Y263" s="4"/>
      <c r="Z263" s="4"/>
      <c r="AA263" s="5"/>
      <c r="AB263" s="5"/>
      <c r="AC263" s="5"/>
      <c r="AD263" s="5"/>
      <c r="AE263" s="5"/>
    </row>
    <row r="264">
      <c r="A264" s="14" t="s">
        <v>361</v>
      </c>
      <c r="B264" s="19">
        <v>44276.81275462963</v>
      </c>
      <c r="C264" s="4">
        <v>49962.0</v>
      </c>
      <c r="D264" s="4" t="s">
        <v>362</v>
      </c>
      <c r="E264" s="4">
        <v>9.19176667958E11</v>
      </c>
      <c r="F264" s="4">
        <v>16372.0</v>
      </c>
      <c r="G264" s="4"/>
      <c r="H264" s="4" t="s">
        <v>245</v>
      </c>
      <c r="I264" s="4"/>
      <c r="J264" s="4" t="s">
        <v>85</v>
      </c>
      <c r="K264" s="4">
        <v>99.0</v>
      </c>
      <c r="L264" s="4"/>
      <c r="M264" s="4">
        <v>99.0</v>
      </c>
      <c r="N264" s="4" t="s">
        <v>67</v>
      </c>
      <c r="O264" s="4" t="b">
        <v>0</v>
      </c>
      <c r="P264" s="4" t="s">
        <v>68</v>
      </c>
      <c r="Q264" s="4" t="s">
        <v>69</v>
      </c>
      <c r="R264" s="4"/>
      <c r="S264" s="4"/>
      <c r="T264" s="4"/>
      <c r="U264" s="7"/>
      <c r="V264" s="4"/>
      <c r="W264" s="4"/>
      <c r="X264" s="4"/>
      <c r="Y264" s="4"/>
      <c r="Z264" s="4"/>
      <c r="AA264" s="5"/>
      <c r="AB264" s="5"/>
      <c r="AC264" s="5"/>
      <c r="AD264" s="5"/>
      <c r="AE264" s="5"/>
    </row>
    <row r="265">
      <c r="A265" s="14" t="s">
        <v>860</v>
      </c>
      <c r="B265" s="19">
        <v>44276.83149305556</v>
      </c>
      <c r="C265" s="4">
        <v>49948.0</v>
      </c>
      <c r="D265" s="4" t="s">
        <v>861</v>
      </c>
      <c r="E265" s="4">
        <v>9.19819258919E11</v>
      </c>
      <c r="F265" s="4">
        <v>16356.0</v>
      </c>
      <c r="G265" s="4"/>
      <c r="H265" s="4" t="s">
        <v>791</v>
      </c>
      <c r="I265" s="4"/>
      <c r="J265" s="4" t="s">
        <v>149</v>
      </c>
      <c r="K265" s="4">
        <v>99.0</v>
      </c>
      <c r="L265" s="4"/>
      <c r="M265" s="4">
        <v>99.0</v>
      </c>
      <c r="N265" s="4" t="s">
        <v>67</v>
      </c>
      <c r="O265" s="4" t="b">
        <v>0</v>
      </c>
      <c r="P265" s="4" t="s">
        <v>74</v>
      </c>
      <c r="Q265" s="4" t="s">
        <v>69</v>
      </c>
      <c r="R265" s="4"/>
      <c r="S265" s="4"/>
      <c r="T265" s="4"/>
      <c r="U265" s="7"/>
      <c r="V265" s="4"/>
      <c r="W265" s="4"/>
      <c r="X265" s="4"/>
      <c r="Y265" s="4"/>
      <c r="Z265" s="4"/>
      <c r="AA265" s="5"/>
      <c r="AB265" s="5"/>
      <c r="AC265" s="5"/>
      <c r="AD265" s="5"/>
      <c r="AE265" s="5"/>
    </row>
    <row r="266">
      <c r="A266" s="14" t="s">
        <v>825</v>
      </c>
      <c r="B266" s="19">
        <v>44276.833645833336</v>
      </c>
      <c r="C266" s="4">
        <v>49835.0</v>
      </c>
      <c r="D266" s="4" t="s">
        <v>826</v>
      </c>
      <c r="E266" s="4">
        <v>9.19448482501E11</v>
      </c>
      <c r="F266" s="4">
        <v>16357.0</v>
      </c>
      <c r="G266" s="4"/>
      <c r="H266" s="4" t="s">
        <v>680</v>
      </c>
      <c r="I266" s="4"/>
      <c r="J266" s="4" t="s">
        <v>85</v>
      </c>
      <c r="K266" s="4">
        <v>99.0</v>
      </c>
      <c r="L266" s="4"/>
      <c r="M266" s="4">
        <v>99.0</v>
      </c>
      <c r="N266" s="4" t="s">
        <v>67</v>
      </c>
      <c r="O266" s="4" t="b">
        <v>0</v>
      </c>
      <c r="P266" s="4" t="s">
        <v>74</v>
      </c>
      <c r="Q266" s="4" t="s">
        <v>69</v>
      </c>
      <c r="R266" s="4"/>
      <c r="S266" s="4"/>
      <c r="T266" s="4"/>
      <c r="U266" s="7"/>
      <c r="V266" s="4"/>
      <c r="W266" s="4"/>
      <c r="X266" s="4"/>
      <c r="Y266" s="4"/>
      <c r="Z266" s="4"/>
      <c r="AA266" s="5"/>
      <c r="AB266" s="5"/>
      <c r="AC266" s="5"/>
      <c r="AD266" s="5"/>
      <c r="AE266" s="5"/>
    </row>
    <row r="267">
      <c r="A267" s="14" t="s">
        <v>416</v>
      </c>
      <c r="B267" s="19">
        <v>44277.90130787037</v>
      </c>
      <c r="C267" s="4">
        <v>49963.0</v>
      </c>
      <c r="D267" s="4" t="s">
        <v>417</v>
      </c>
      <c r="E267" s="4">
        <v>9.18699563317E11</v>
      </c>
      <c r="F267" s="4" t="s">
        <v>83</v>
      </c>
      <c r="G267" s="4"/>
      <c r="H267" s="4" t="s">
        <v>376</v>
      </c>
      <c r="I267" s="4"/>
      <c r="J267" s="4" t="s">
        <v>85</v>
      </c>
      <c r="K267" s="4">
        <v>99.0</v>
      </c>
      <c r="L267" s="4"/>
      <c r="M267" s="4">
        <v>99.0</v>
      </c>
      <c r="N267" s="4" t="s">
        <v>67</v>
      </c>
      <c r="O267" s="4" t="b">
        <v>0</v>
      </c>
      <c r="P267" s="4" t="s">
        <v>68</v>
      </c>
      <c r="Q267" s="4" t="s">
        <v>69</v>
      </c>
      <c r="R267" s="4"/>
      <c r="S267" s="4"/>
      <c r="T267" s="4"/>
      <c r="U267" s="7"/>
      <c r="V267" s="4"/>
      <c r="W267" s="4"/>
      <c r="X267" s="4"/>
      <c r="Y267" s="4"/>
      <c r="Z267" s="4"/>
      <c r="AA267" s="5"/>
      <c r="AB267" s="5"/>
      <c r="AC267" s="5"/>
      <c r="AD267" s="5"/>
      <c r="AE267" s="5"/>
    </row>
    <row r="268">
      <c r="A268" s="14" t="s">
        <v>887</v>
      </c>
      <c r="B268" s="19">
        <v>44276.84888888889</v>
      </c>
      <c r="C268" s="4">
        <v>49948.0</v>
      </c>
      <c r="D268" s="4" t="s">
        <v>888</v>
      </c>
      <c r="E268" s="4">
        <v>9.19113669792E11</v>
      </c>
      <c r="F268" s="4">
        <v>16391.0</v>
      </c>
      <c r="G268" s="4"/>
      <c r="H268" s="4" t="s">
        <v>791</v>
      </c>
      <c r="I268" s="4"/>
      <c r="J268" s="4" t="s">
        <v>149</v>
      </c>
      <c r="K268" s="4">
        <v>99.0</v>
      </c>
      <c r="L268" s="4"/>
      <c r="M268" s="4">
        <v>99.0</v>
      </c>
      <c r="N268" s="4" t="s">
        <v>67</v>
      </c>
      <c r="O268" s="4" t="b">
        <v>0</v>
      </c>
      <c r="P268" s="4" t="s">
        <v>68</v>
      </c>
      <c r="Q268" s="4" t="s">
        <v>69</v>
      </c>
      <c r="R268" s="4"/>
      <c r="S268" s="4"/>
      <c r="T268" s="4"/>
      <c r="U268" s="8"/>
      <c r="V268" s="4"/>
      <c r="W268" s="4"/>
      <c r="X268" s="4"/>
      <c r="Y268" s="4"/>
      <c r="Z268" s="4"/>
      <c r="AA268" s="5"/>
      <c r="AB268" s="5"/>
      <c r="AC268" s="5"/>
      <c r="AD268" s="5"/>
      <c r="AE268" s="5"/>
    </row>
    <row r="269">
      <c r="A269" s="14" t="s">
        <v>835</v>
      </c>
      <c r="B269" s="19">
        <v>44276.903865740744</v>
      </c>
      <c r="C269" s="4">
        <v>49835.0</v>
      </c>
      <c r="D269" s="4" t="s">
        <v>836</v>
      </c>
      <c r="E269" s="4">
        <v>9.17874911926E11</v>
      </c>
      <c r="F269" s="4">
        <v>16365.0</v>
      </c>
      <c r="G269" s="4"/>
      <c r="H269" s="4" t="s">
        <v>680</v>
      </c>
      <c r="I269" s="4"/>
      <c r="J269" s="4" t="s">
        <v>85</v>
      </c>
      <c r="K269" s="4">
        <v>99.0</v>
      </c>
      <c r="L269" s="4"/>
      <c r="M269" s="4">
        <v>99.0</v>
      </c>
      <c r="N269" s="4" t="s">
        <v>67</v>
      </c>
      <c r="O269" s="4" t="b">
        <v>0</v>
      </c>
      <c r="P269" s="4" t="s">
        <v>97</v>
      </c>
      <c r="Q269" s="4" t="s">
        <v>69</v>
      </c>
      <c r="R269" s="4"/>
      <c r="S269" s="4"/>
      <c r="T269" s="4"/>
      <c r="U269" s="7"/>
      <c r="V269" s="4"/>
      <c r="W269" s="4"/>
      <c r="X269" s="4"/>
      <c r="Y269" s="4"/>
      <c r="Z269" s="4"/>
      <c r="AA269" s="5"/>
      <c r="AB269" s="5"/>
      <c r="AC269" s="5"/>
      <c r="AD269" s="5"/>
      <c r="AE269" s="5"/>
    </row>
    <row r="270">
      <c r="A270" s="14" t="s">
        <v>2177</v>
      </c>
      <c r="B270" s="19">
        <v>44277.966469907406</v>
      </c>
      <c r="C270" s="4">
        <v>49854.0</v>
      </c>
      <c r="D270" s="4" t="s">
        <v>2178</v>
      </c>
      <c r="E270" s="4">
        <v>9.18698670897E11</v>
      </c>
      <c r="F270" s="4" t="s">
        <v>83</v>
      </c>
      <c r="G270" s="4"/>
      <c r="H270" s="4" t="s">
        <v>2161</v>
      </c>
      <c r="I270" s="4"/>
      <c r="J270" s="4" t="s">
        <v>85</v>
      </c>
      <c r="K270" s="4">
        <v>999.0</v>
      </c>
      <c r="L270" s="4"/>
      <c r="M270" s="4">
        <v>999.0</v>
      </c>
      <c r="N270" s="4" t="s">
        <v>67</v>
      </c>
      <c r="O270" s="4" t="b">
        <v>0</v>
      </c>
      <c r="P270" s="4" t="s">
        <v>68</v>
      </c>
      <c r="Q270" s="4" t="s">
        <v>69</v>
      </c>
      <c r="R270" s="4"/>
      <c r="S270" s="4"/>
      <c r="T270" s="4"/>
      <c r="U270" s="7"/>
      <c r="V270" s="4"/>
      <c r="W270" s="4"/>
      <c r="X270" s="4"/>
      <c r="Y270" s="4"/>
      <c r="Z270" s="4"/>
      <c r="AA270" s="5"/>
      <c r="AB270" s="5"/>
      <c r="AC270" s="5"/>
      <c r="AD270" s="5"/>
      <c r="AE270" s="5"/>
    </row>
    <row r="271">
      <c r="A271" s="14" t="s">
        <v>831</v>
      </c>
      <c r="B271" s="19">
        <v>44276.89420138889</v>
      </c>
      <c r="C271" s="4">
        <v>49835.0</v>
      </c>
      <c r="D271" s="4" t="s">
        <v>832</v>
      </c>
      <c r="E271" s="4">
        <v>9.19879019097E11</v>
      </c>
      <c r="F271" s="4">
        <v>16366.0</v>
      </c>
      <c r="G271" s="4"/>
      <c r="H271" s="4" t="s">
        <v>680</v>
      </c>
      <c r="I271" s="4"/>
      <c r="J271" s="4" t="s">
        <v>85</v>
      </c>
      <c r="K271" s="4">
        <v>99.0</v>
      </c>
      <c r="L271" s="4"/>
      <c r="M271" s="4">
        <v>99.0</v>
      </c>
      <c r="N271" s="4" t="s">
        <v>67</v>
      </c>
      <c r="O271" s="4" t="b">
        <v>0</v>
      </c>
      <c r="P271" s="4" t="s">
        <v>97</v>
      </c>
      <c r="Q271" s="4" t="s">
        <v>69</v>
      </c>
      <c r="R271" s="4"/>
      <c r="S271" s="4"/>
      <c r="T271" s="4"/>
      <c r="U271" s="7"/>
      <c r="V271" s="4"/>
      <c r="W271" s="4"/>
      <c r="X271" s="4"/>
      <c r="Y271" s="4"/>
      <c r="Z271" s="4"/>
      <c r="AA271" s="5"/>
      <c r="AB271" s="5"/>
      <c r="AC271" s="5"/>
      <c r="AD271" s="5"/>
      <c r="AE271" s="5"/>
    </row>
    <row r="272">
      <c r="A272" s="14" t="s">
        <v>849</v>
      </c>
      <c r="B272" s="19">
        <v>44276.917337962965</v>
      </c>
      <c r="C272" s="4">
        <v>49835.0</v>
      </c>
      <c r="D272" s="4" t="s">
        <v>850</v>
      </c>
      <c r="E272" s="4">
        <v>9.19995109847E11</v>
      </c>
      <c r="F272" s="4">
        <v>16370.0</v>
      </c>
      <c r="G272" s="4"/>
      <c r="H272" s="4" t="s">
        <v>680</v>
      </c>
      <c r="I272" s="4"/>
      <c r="J272" s="4" t="s">
        <v>85</v>
      </c>
      <c r="K272" s="4">
        <v>99.0</v>
      </c>
      <c r="L272" s="4"/>
      <c r="M272" s="4">
        <v>99.0</v>
      </c>
      <c r="N272" s="4" t="s">
        <v>67</v>
      </c>
      <c r="O272" s="4" t="b">
        <v>0</v>
      </c>
      <c r="P272" s="4" t="s">
        <v>68</v>
      </c>
      <c r="Q272" s="4" t="s">
        <v>69</v>
      </c>
      <c r="R272" s="4"/>
      <c r="S272" s="4"/>
      <c r="T272" s="4"/>
      <c r="U272" s="7"/>
      <c r="V272" s="4"/>
      <c r="W272" s="4"/>
      <c r="X272" s="4"/>
      <c r="Y272" s="4"/>
      <c r="Z272" s="4"/>
      <c r="AA272" s="5"/>
      <c r="AB272" s="5"/>
      <c r="AC272" s="5"/>
      <c r="AD272" s="5"/>
      <c r="AE272" s="5"/>
    </row>
    <row r="273">
      <c r="A273" s="14" t="s">
        <v>375</v>
      </c>
      <c r="B273" s="19">
        <v>44276.91997685185</v>
      </c>
      <c r="C273" s="4">
        <v>49963.0</v>
      </c>
      <c r="D273" s="4" t="s">
        <v>377</v>
      </c>
      <c r="E273" s="4">
        <v>9.19110199106E11</v>
      </c>
      <c r="F273" s="4">
        <v>16407.0</v>
      </c>
      <c r="G273" s="4"/>
      <c r="H273" s="4" t="s">
        <v>376</v>
      </c>
      <c r="I273" s="4"/>
      <c r="J273" s="4" t="s">
        <v>85</v>
      </c>
      <c r="K273" s="4">
        <v>99.0</v>
      </c>
      <c r="L273" s="4"/>
      <c r="M273" s="4">
        <v>99.0</v>
      </c>
      <c r="N273" s="4" t="s">
        <v>67</v>
      </c>
      <c r="O273" s="4" t="b">
        <v>0</v>
      </c>
      <c r="P273" s="4" t="s">
        <v>68</v>
      </c>
      <c r="Q273" s="4" t="s">
        <v>69</v>
      </c>
      <c r="R273" s="4"/>
      <c r="S273" s="4"/>
      <c r="T273" s="4"/>
      <c r="U273" s="7"/>
      <c r="V273" s="4"/>
      <c r="W273" s="4"/>
      <c r="X273" s="4"/>
      <c r="Y273" s="4"/>
      <c r="Z273" s="4"/>
      <c r="AA273" s="5"/>
      <c r="AB273" s="5"/>
      <c r="AC273" s="5"/>
      <c r="AD273" s="5"/>
      <c r="AE273" s="5"/>
    </row>
    <row r="274">
      <c r="A274" s="14" t="s">
        <v>190</v>
      </c>
      <c r="B274" s="19">
        <v>44276.92732638889</v>
      </c>
      <c r="C274" s="4">
        <v>49864.0</v>
      </c>
      <c r="D274" s="4" t="s">
        <v>191</v>
      </c>
      <c r="E274" s="4">
        <v>9.19975696909E11</v>
      </c>
      <c r="F274" s="4" t="s">
        <v>83</v>
      </c>
      <c r="G274" s="4"/>
      <c r="H274" s="4" t="s">
        <v>181</v>
      </c>
      <c r="I274" s="4"/>
      <c r="J274" s="4" t="s">
        <v>149</v>
      </c>
      <c r="K274" s="4">
        <v>99.0</v>
      </c>
      <c r="L274" s="4"/>
      <c r="M274" s="4">
        <v>99.0</v>
      </c>
      <c r="N274" s="4" t="s">
        <v>67</v>
      </c>
      <c r="O274" s="4" t="b">
        <v>0</v>
      </c>
      <c r="P274" s="4" t="s">
        <v>74</v>
      </c>
      <c r="Q274" s="4" t="s">
        <v>69</v>
      </c>
      <c r="R274" s="4"/>
      <c r="S274" s="4"/>
      <c r="T274" s="4"/>
      <c r="U274" s="7"/>
      <c r="V274" s="4"/>
      <c r="W274" s="4"/>
      <c r="X274" s="4"/>
      <c r="Y274" s="4"/>
      <c r="Z274" s="4"/>
      <c r="AA274" s="5"/>
      <c r="AB274" s="5"/>
      <c r="AC274" s="5"/>
      <c r="AD274" s="5"/>
      <c r="AE274" s="5"/>
    </row>
    <row r="275">
      <c r="A275" s="14" t="s">
        <v>380</v>
      </c>
      <c r="B275" s="19">
        <v>44277.03083333333</v>
      </c>
      <c r="C275" s="4">
        <v>49963.0</v>
      </c>
      <c r="D275" s="4" t="s">
        <v>381</v>
      </c>
      <c r="E275" s="4">
        <v>9.17987319411E11</v>
      </c>
      <c r="F275" s="4">
        <v>13691.0</v>
      </c>
      <c r="G275" s="4"/>
      <c r="H275" s="4" t="s">
        <v>376</v>
      </c>
      <c r="I275" s="4"/>
      <c r="J275" s="4" t="s">
        <v>85</v>
      </c>
      <c r="K275" s="4">
        <v>99.0</v>
      </c>
      <c r="L275" s="4"/>
      <c r="M275" s="4">
        <v>99.0</v>
      </c>
      <c r="N275" s="4" t="s">
        <v>67</v>
      </c>
      <c r="O275" s="4" t="b">
        <v>0</v>
      </c>
      <c r="P275" s="4" t="s">
        <v>68</v>
      </c>
      <c r="Q275" s="4" t="s">
        <v>69</v>
      </c>
      <c r="R275" s="4"/>
      <c r="S275" s="4"/>
      <c r="T275" s="4"/>
      <c r="U275" s="7"/>
      <c r="V275" s="4"/>
      <c r="W275" s="4"/>
      <c r="X275" s="4"/>
      <c r="Y275" s="4"/>
      <c r="Z275" s="4"/>
      <c r="AA275" s="5"/>
      <c r="AB275" s="5"/>
      <c r="AC275" s="5"/>
      <c r="AD275" s="5"/>
      <c r="AE275" s="5"/>
    </row>
    <row r="276">
      <c r="A276" s="14" t="s">
        <v>882</v>
      </c>
      <c r="B276" s="19">
        <v>44278.10141203704</v>
      </c>
      <c r="C276" s="4">
        <v>49835.0</v>
      </c>
      <c r="D276" s="4" t="s">
        <v>883</v>
      </c>
      <c r="E276" s="4">
        <v>9.19731054878E11</v>
      </c>
      <c r="F276" s="4" t="s">
        <v>83</v>
      </c>
      <c r="G276" s="4"/>
      <c r="H276" s="4" t="s">
        <v>680</v>
      </c>
      <c r="I276" s="4"/>
      <c r="J276" s="4" t="s">
        <v>85</v>
      </c>
      <c r="K276" s="4">
        <v>99.0</v>
      </c>
      <c r="L276" s="4"/>
      <c r="M276" s="4">
        <v>99.0</v>
      </c>
      <c r="N276" s="4" t="s">
        <v>67</v>
      </c>
      <c r="O276" s="4" t="b">
        <v>0</v>
      </c>
      <c r="P276" s="4" t="s">
        <v>68</v>
      </c>
      <c r="Q276" s="4" t="s">
        <v>69</v>
      </c>
      <c r="R276" s="4"/>
      <c r="S276" s="4"/>
      <c r="T276" s="4"/>
      <c r="U276" s="7"/>
      <c r="V276" s="4"/>
      <c r="W276" s="4"/>
      <c r="X276" s="4"/>
      <c r="Y276" s="4"/>
      <c r="Z276" s="4"/>
      <c r="AA276" s="5"/>
      <c r="AB276" s="5"/>
      <c r="AC276" s="5"/>
      <c r="AD276" s="5"/>
      <c r="AE276" s="5"/>
    </row>
    <row r="277">
      <c r="A277" s="14" t="s">
        <v>422</v>
      </c>
      <c r="B277" s="19">
        <v>44278.140856481485</v>
      </c>
      <c r="C277" s="4">
        <v>49834.0</v>
      </c>
      <c r="D277" s="4" t="s">
        <v>423</v>
      </c>
      <c r="E277" s="4">
        <v>9.19591922887E11</v>
      </c>
      <c r="F277" s="4">
        <v>16849.0</v>
      </c>
      <c r="G277" s="4"/>
      <c r="H277" s="4" t="s">
        <v>76</v>
      </c>
      <c r="I277" s="4"/>
      <c r="J277" s="4" t="s">
        <v>85</v>
      </c>
      <c r="K277" s="4">
        <v>299.0</v>
      </c>
      <c r="L277" s="4"/>
      <c r="M277" s="4">
        <v>299.0</v>
      </c>
      <c r="N277" s="4" t="s">
        <v>67</v>
      </c>
      <c r="O277" s="4" t="b">
        <v>0</v>
      </c>
      <c r="P277" s="4" t="s">
        <v>97</v>
      </c>
      <c r="Q277" s="4" t="s">
        <v>69</v>
      </c>
      <c r="R277" s="4"/>
      <c r="S277" s="4"/>
      <c r="T277" s="4"/>
      <c r="U277" s="7"/>
      <c r="V277" s="4"/>
      <c r="W277" s="4"/>
      <c r="X277" s="4"/>
      <c r="Y277" s="4"/>
      <c r="Z277" s="4"/>
      <c r="AA277" s="5"/>
      <c r="AB277" s="5"/>
      <c r="AC277" s="5"/>
      <c r="AD277" s="5"/>
      <c r="AE277" s="5"/>
    </row>
    <row r="278">
      <c r="A278" s="14" t="s">
        <v>84</v>
      </c>
      <c r="B278" s="19">
        <v>44211.47846064815</v>
      </c>
      <c r="C278" s="4">
        <v>49834.0</v>
      </c>
      <c r="D278" s="4" t="s">
        <v>86</v>
      </c>
      <c r="E278" s="4">
        <v>9.16263018296E11</v>
      </c>
      <c r="F278" s="4">
        <v>3762.0</v>
      </c>
      <c r="G278" s="4"/>
      <c r="H278" s="4" t="s">
        <v>76</v>
      </c>
      <c r="I278" s="4"/>
      <c r="J278" s="4" t="s">
        <v>85</v>
      </c>
      <c r="K278" s="4">
        <v>299.0</v>
      </c>
      <c r="L278" s="4"/>
      <c r="M278" s="4">
        <v>299.0</v>
      </c>
      <c r="N278" s="4" t="s">
        <v>67</v>
      </c>
      <c r="O278" s="4" t="b">
        <v>0</v>
      </c>
      <c r="P278" s="4" t="s">
        <v>68</v>
      </c>
      <c r="Q278" s="4" t="s">
        <v>69</v>
      </c>
      <c r="R278" s="4"/>
      <c r="S278" s="4"/>
      <c r="T278" s="4"/>
      <c r="U278" s="7"/>
      <c r="V278" s="4"/>
      <c r="W278" s="4"/>
      <c r="X278" s="4"/>
      <c r="Y278" s="4"/>
      <c r="Z278" s="4"/>
      <c r="AA278" s="5"/>
      <c r="AB278" s="5"/>
      <c r="AC278" s="5"/>
      <c r="AD278" s="5"/>
      <c r="AE278" s="5"/>
    </row>
    <row r="279">
      <c r="A279" s="14" t="s">
        <v>889</v>
      </c>
      <c r="B279" s="19">
        <v>44278.33128472222</v>
      </c>
      <c r="C279" s="4">
        <v>49835.0</v>
      </c>
      <c r="D279" s="4" t="s">
        <v>890</v>
      </c>
      <c r="E279" s="4">
        <v>9.19869997619E11</v>
      </c>
      <c r="F279" s="4">
        <v>16397.0</v>
      </c>
      <c r="G279" s="4"/>
      <c r="H279" s="4" t="s">
        <v>680</v>
      </c>
      <c r="I279" s="4"/>
      <c r="J279" s="4" t="s">
        <v>85</v>
      </c>
      <c r="K279" s="4">
        <v>99.0</v>
      </c>
      <c r="L279" s="4"/>
      <c r="M279" s="4">
        <v>99.0</v>
      </c>
      <c r="N279" s="4" t="s">
        <v>67</v>
      </c>
      <c r="O279" s="4" t="b">
        <v>0</v>
      </c>
      <c r="P279" s="4" t="s">
        <v>97</v>
      </c>
      <c r="Q279" s="4" t="s">
        <v>69</v>
      </c>
      <c r="R279" s="4"/>
      <c r="S279" s="4"/>
      <c r="T279" s="4"/>
      <c r="U279" s="7"/>
      <c r="V279" s="4"/>
      <c r="W279" s="4"/>
      <c r="X279" s="4"/>
      <c r="Y279" s="4"/>
      <c r="Z279" s="4"/>
      <c r="AA279" s="5"/>
      <c r="AB279" s="5"/>
      <c r="AC279" s="5"/>
      <c r="AD279" s="5"/>
      <c r="AE279" s="5"/>
    </row>
    <row r="280">
      <c r="A280" s="14" t="s">
        <v>424</v>
      </c>
      <c r="B280" s="19">
        <v>44278.32305555556</v>
      </c>
      <c r="C280" s="4">
        <v>49834.0</v>
      </c>
      <c r="D280" s="4" t="s">
        <v>425</v>
      </c>
      <c r="E280" s="4">
        <v>9.19446908282E11</v>
      </c>
      <c r="F280" s="4">
        <v>16393.0</v>
      </c>
      <c r="G280" s="4"/>
      <c r="H280" s="4" t="s">
        <v>76</v>
      </c>
      <c r="I280" s="4"/>
      <c r="J280" s="4" t="s">
        <v>85</v>
      </c>
      <c r="K280" s="4">
        <v>299.0</v>
      </c>
      <c r="L280" s="4"/>
      <c r="M280" s="4">
        <v>299.0</v>
      </c>
      <c r="N280" s="4" t="s">
        <v>67</v>
      </c>
      <c r="O280" s="4" t="b">
        <v>0</v>
      </c>
      <c r="P280" s="4" t="s">
        <v>68</v>
      </c>
      <c r="Q280" s="4" t="s">
        <v>69</v>
      </c>
      <c r="R280" s="4"/>
      <c r="S280" s="4"/>
      <c r="T280" s="4"/>
      <c r="U280" s="7"/>
      <c r="V280" s="4"/>
      <c r="W280" s="4"/>
      <c r="X280" s="4"/>
      <c r="Y280" s="4"/>
      <c r="Z280" s="4"/>
      <c r="AA280" s="5"/>
      <c r="AB280" s="5"/>
      <c r="AC280" s="5"/>
      <c r="AD280" s="5"/>
      <c r="AE280" s="5"/>
    </row>
    <row r="281">
      <c r="A281" s="14" t="s">
        <v>198</v>
      </c>
      <c r="B281" s="19">
        <v>44278.34811342593</v>
      </c>
      <c r="C281" s="4">
        <v>49864.0</v>
      </c>
      <c r="D281" s="4" t="s">
        <v>199</v>
      </c>
      <c r="E281" s="4">
        <v>9.17829902114E11</v>
      </c>
      <c r="F281" s="4" t="s">
        <v>83</v>
      </c>
      <c r="G281" s="4"/>
      <c r="H281" s="4" t="s">
        <v>181</v>
      </c>
      <c r="I281" s="4"/>
      <c r="J281" s="4" t="s">
        <v>149</v>
      </c>
      <c r="K281" s="4">
        <v>99.0</v>
      </c>
      <c r="L281" s="4"/>
      <c r="M281" s="4">
        <v>99.0</v>
      </c>
      <c r="N281" s="4" t="s">
        <v>67</v>
      </c>
      <c r="O281" s="4" t="b">
        <v>0</v>
      </c>
      <c r="P281" s="4" t="s">
        <v>97</v>
      </c>
      <c r="Q281" s="4" t="s">
        <v>69</v>
      </c>
      <c r="R281" s="4"/>
      <c r="S281" s="4"/>
      <c r="T281" s="4"/>
      <c r="U281" s="7"/>
      <c r="V281" s="4"/>
      <c r="W281" s="4"/>
      <c r="X281" s="4"/>
      <c r="Y281" s="4"/>
      <c r="Z281" s="4"/>
      <c r="AA281" s="5"/>
      <c r="AB281" s="5"/>
      <c r="AC281" s="5"/>
      <c r="AD281" s="5"/>
      <c r="AE281" s="5"/>
    </row>
    <row r="282">
      <c r="A282" s="14" t="s">
        <v>899</v>
      </c>
      <c r="B282" s="19">
        <v>44278.379837962966</v>
      </c>
      <c r="C282" s="4">
        <v>49835.0</v>
      </c>
      <c r="D282" s="4" t="s">
        <v>900</v>
      </c>
      <c r="E282" s="4">
        <v>9.1992601488E11</v>
      </c>
      <c r="F282" s="4">
        <v>16395.0</v>
      </c>
      <c r="G282" s="4"/>
      <c r="H282" s="4" t="s">
        <v>680</v>
      </c>
      <c r="I282" s="4"/>
      <c r="J282" s="4" t="s">
        <v>85</v>
      </c>
      <c r="K282" s="4">
        <v>99.0</v>
      </c>
      <c r="L282" s="4"/>
      <c r="M282" s="4">
        <v>99.0</v>
      </c>
      <c r="N282" s="4" t="s">
        <v>67</v>
      </c>
      <c r="O282" s="4" t="b">
        <v>0</v>
      </c>
      <c r="P282" s="4" t="s">
        <v>68</v>
      </c>
      <c r="Q282" s="4" t="s">
        <v>69</v>
      </c>
      <c r="R282" s="4"/>
      <c r="S282" s="4"/>
      <c r="T282" s="4"/>
      <c r="U282" s="7"/>
      <c r="V282" s="4"/>
      <c r="W282" s="4"/>
      <c r="X282" s="4"/>
      <c r="Y282" s="4"/>
      <c r="Z282" s="4"/>
      <c r="AA282" s="5"/>
      <c r="AB282" s="5"/>
      <c r="AC282" s="5"/>
      <c r="AD282" s="5"/>
      <c r="AE282" s="5"/>
    </row>
    <row r="283">
      <c r="A283" s="14" t="s">
        <v>901</v>
      </c>
      <c r="B283" s="19">
        <v>44278.38334490741</v>
      </c>
      <c r="C283" s="4">
        <v>49835.0</v>
      </c>
      <c r="D283" s="4" t="s">
        <v>902</v>
      </c>
      <c r="E283" s="4">
        <v>9.19033128091E11</v>
      </c>
      <c r="F283" s="4">
        <v>16398.0</v>
      </c>
      <c r="G283" s="4"/>
      <c r="H283" s="4" t="s">
        <v>680</v>
      </c>
      <c r="I283" s="4"/>
      <c r="J283" s="4" t="s">
        <v>85</v>
      </c>
      <c r="K283" s="4">
        <v>99.0</v>
      </c>
      <c r="L283" s="4"/>
      <c r="M283" s="4">
        <v>99.0</v>
      </c>
      <c r="N283" s="4" t="s">
        <v>67</v>
      </c>
      <c r="O283" s="4" t="b">
        <v>0</v>
      </c>
      <c r="P283" s="4" t="s">
        <v>68</v>
      </c>
      <c r="Q283" s="4" t="s">
        <v>69</v>
      </c>
      <c r="R283" s="4"/>
      <c r="S283" s="4"/>
      <c r="T283" s="4"/>
      <c r="U283" s="7"/>
      <c r="V283" s="4"/>
      <c r="W283" s="4"/>
      <c r="X283" s="4"/>
      <c r="Y283" s="4"/>
      <c r="Z283" s="4"/>
      <c r="AA283" s="5"/>
      <c r="AB283" s="5"/>
      <c r="AC283" s="5"/>
      <c r="AD283" s="5"/>
      <c r="AE283" s="5"/>
    </row>
    <row r="284">
      <c r="A284" s="14" t="s">
        <v>929</v>
      </c>
      <c r="B284" s="19">
        <v>44278.39230324074</v>
      </c>
      <c r="C284" s="4">
        <v>49835.0</v>
      </c>
      <c r="D284" s="4" t="s">
        <v>930</v>
      </c>
      <c r="E284" s="4">
        <v>9.17057607419E11</v>
      </c>
      <c r="F284" s="4">
        <v>16396.0</v>
      </c>
      <c r="G284" s="4"/>
      <c r="H284" s="4" t="s">
        <v>680</v>
      </c>
      <c r="I284" s="4"/>
      <c r="J284" s="4" t="s">
        <v>85</v>
      </c>
      <c r="K284" s="4">
        <v>99.0</v>
      </c>
      <c r="L284" s="4"/>
      <c r="M284" s="4">
        <v>99.0</v>
      </c>
      <c r="N284" s="4" t="s">
        <v>67</v>
      </c>
      <c r="O284" s="4" t="b">
        <v>0</v>
      </c>
      <c r="P284" s="4" t="s">
        <v>68</v>
      </c>
      <c r="Q284" s="4" t="s">
        <v>69</v>
      </c>
      <c r="R284" s="4"/>
      <c r="S284" s="4"/>
      <c r="T284" s="4"/>
      <c r="U284" s="7"/>
      <c r="V284" s="4"/>
      <c r="W284" s="4"/>
      <c r="X284" s="4"/>
      <c r="Y284" s="4"/>
      <c r="Z284" s="4"/>
      <c r="AA284" s="5"/>
      <c r="AB284" s="5"/>
      <c r="AC284" s="5"/>
      <c r="AD284" s="5"/>
      <c r="AE284" s="5"/>
    </row>
    <row r="285">
      <c r="A285" s="14" t="s">
        <v>208</v>
      </c>
      <c r="B285" s="19">
        <v>44278.405069444445</v>
      </c>
      <c r="C285" s="4">
        <v>49864.0</v>
      </c>
      <c r="D285" s="4" t="s">
        <v>209</v>
      </c>
      <c r="E285" s="4">
        <v>9.19550621321E11</v>
      </c>
      <c r="F285" s="4" t="s">
        <v>83</v>
      </c>
      <c r="G285" s="4"/>
      <c r="H285" s="4" t="s">
        <v>181</v>
      </c>
      <c r="I285" s="4"/>
      <c r="J285" s="4" t="s">
        <v>149</v>
      </c>
      <c r="K285" s="4">
        <v>99.0</v>
      </c>
      <c r="L285" s="4"/>
      <c r="M285" s="4">
        <v>99.0</v>
      </c>
      <c r="N285" s="4" t="s">
        <v>67</v>
      </c>
      <c r="O285" s="4" t="b">
        <v>0</v>
      </c>
      <c r="P285" s="4" t="s">
        <v>68</v>
      </c>
      <c r="Q285" s="4" t="s">
        <v>69</v>
      </c>
      <c r="R285" s="4"/>
      <c r="S285" s="4"/>
      <c r="T285" s="4"/>
      <c r="U285" s="7"/>
      <c r="V285" s="4"/>
      <c r="W285" s="4"/>
      <c r="X285" s="4"/>
      <c r="Y285" s="4"/>
      <c r="Z285" s="4"/>
      <c r="AA285" s="5"/>
      <c r="AB285" s="5"/>
      <c r="AC285" s="5"/>
      <c r="AD285" s="5"/>
      <c r="AE285" s="5"/>
    </row>
    <row r="286">
      <c r="A286" s="14" t="s">
        <v>87</v>
      </c>
      <c r="B286" s="19">
        <v>44212.719976851855</v>
      </c>
      <c r="C286" s="4">
        <v>49831.0</v>
      </c>
      <c r="D286" s="4" t="s">
        <v>88</v>
      </c>
      <c r="E286" s="4">
        <v>9.1721804094E11</v>
      </c>
      <c r="F286" s="4">
        <v>3781.0</v>
      </c>
      <c r="G286" s="4"/>
      <c r="H286" s="4" t="s">
        <v>64</v>
      </c>
      <c r="I286" s="4"/>
      <c r="J286" s="4" t="s">
        <v>65</v>
      </c>
      <c r="K286" s="4">
        <v>299.0</v>
      </c>
      <c r="L286" s="4"/>
      <c r="M286" s="4">
        <v>299.0</v>
      </c>
      <c r="N286" s="4" t="s">
        <v>67</v>
      </c>
      <c r="O286" s="4" t="b">
        <v>0</v>
      </c>
      <c r="P286" s="4" t="s">
        <v>68</v>
      </c>
      <c r="Q286" s="4" t="s">
        <v>69</v>
      </c>
      <c r="R286" s="4"/>
      <c r="S286" s="4"/>
      <c r="T286" s="4"/>
      <c r="U286" s="7"/>
      <c r="V286" s="4"/>
      <c r="W286" s="4"/>
      <c r="X286" s="4"/>
      <c r="Y286" s="4"/>
      <c r="Z286" s="4"/>
      <c r="AA286" s="5"/>
      <c r="AB286" s="5"/>
      <c r="AC286" s="5"/>
      <c r="AD286" s="5"/>
      <c r="AE286" s="5"/>
    </row>
    <row r="287">
      <c r="A287" s="14" t="s">
        <v>439</v>
      </c>
      <c r="B287" s="19">
        <v>44278.42738425926</v>
      </c>
      <c r="C287" s="4">
        <v>49962.0</v>
      </c>
      <c r="D287" s="4" t="s">
        <v>440</v>
      </c>
      <c r="E287" s="4">
        <v>9.18860250737E11</v>
      </c>
      <c r="F287" s="4">
        <v>16434.0</v>
      </c>
      <c r="G287" s="4"/>
      <c r="H287" s="4" t="s">
        <v>245</v>
      </c>
      <c r="I287" s="4"/>
      <c r="J287" s="4" t="s">
        <v>85</v>
      </c>
      <c r="K287" s="4">
        <v>99.0</v>
      </c>
      <c r="L287" s="4"/>
      <c r="M287" s="4">
        <v>99.0</v>
      </c>
      <c r="N287" s="4" t="s">
        <v>67</v>
      </c>
      <c r="O287" s="4" t="b">
        <v>0</v>
      </c>
      <c r="P287" s="4" t="s">
        <v>68</v>
      </c>
      <c r="Q287" s="4" t="s">
        <v>69</v>
      </c>
      <c r="R287" s="4"/>
      <c r="S287" s="4"/>
      <c r="T287" s="4"/>
      <c r="U287" s="7"/>
      <c r="V287" s="4"/>
      <c r="W287" s="4"/>
      <c r="X287" s="4"/>
      <c r="Y287" s="4"/>
      <c r="Z287" s="4"/>
      <c r="AA287" s="5"/>
      <c r="AB287" s="5"/>
      <c r="AC287" s="5"/>
      <c r="AD287" s="5"/>
      <c r="AE287" s="5"/>
    </row>
    <row r="288">
      <c r="A288" s="14" t="s">
        <v>386</v>
      </c>
      <c r="B288" s="19">
        <v>44277.393171296295</v>
      </c>
      <c r="C288" s="4">
        <v>49833.0</v>
      </c>
      <c r="D288" s="4" t="s">
        <v>387</v>
      </c>
      <c r="E288" s="4">
        <v>9.17504295029E11</v>
      </c>
      <c r="F288" s="4">
        <v>16388.0</v>
      </c>
      <c r="G288" s="4"/>
      <c r="H288" s="4" t="s">
        <v>184</v>
      </c>
      <c r="I288" s="4"/>
      <c r="J288" s="4" t="s">
        <v>85</v>
      </c>
      <c r="K288" s="4">
        <v>99.0</v>
      </c>
      <c r="L288" s="4"/>
      <c r="M288" s="4">
        <v>99.0</v>
      </c>
      <c r="N288" s="4" t="s">
        <v>67</v>
      </c>
      <c r="O288" s="4" t="b">
        <v>0</v>
      </c>
      <c r="P288" s="4" t="s">
        <v>68</v>
      </c>
      <c r="Q288" s="4" t="s">
        <v>69</v>
      </c>
      <c r="R288" s="4"/>
      <c r="S288" s="4"/>
      <c r="T288" s="4"/>
      <c r="U288" s="7"/>
      <c r="V288" s="4"/>
      <c r="W288" s="4"/>
      <c r="X288" s="4"/>
      <c r="Y288" s="4"/>
      <c r="Z288" s="4"/>
      <c r="AA288" s="5"/>
      <c r="AB288" s="5"/>
      <c r="AC288" s="5"/>
      <c r="AD288" s="5"/>
      <c r="AE288" s="5"/>
    </row>
    <row r="289">
      <c r="A289" s="14" t="s">
        <v>382</v>
      </c>
      <c r="B289" s="19">
        <v>44277.376180555555</v>
      </c>
      <c r="C289" s="4">
        <v>49833.0</v>
      </c>
      <c r="D289" s="4" t="s">
        <v>383</v>
      </c>
      <c r="E289" s="4">
        <v>9.16364952225E11</v>
      </c>
      <c r="F289" s="4">
        <v>16380.0</v>
      </c>
      <c r="G289" s="4"/>
      <c r="H289" s="4" t="s">
        <v>184</v>
      </c>
      <c r="I289" s="4"/>
      <c r="J289" s="4" t="s">
        <v>85</v>
      </c>
      <c r="K289" s="4">
        <v>99.0</v>
      </c>
      <c r="L289" s="4"/>
      <c r="M289" s="4">
        <v>99.0</v>
      </c>
      <c r="N289" s="4" t="s">
        <v>67</v>
      </c>
      <c r="O289" s="4" t="b">
        <v>0</v>
      </c>
      <c r="P289" s="4" t="s">
        <v>68</v>
      </c>
      <c r="Q289" s="4" t="s">
        <v>69</v>
      </c>
      <c r="R289" s="4"/>
      <c r="S289" s="4"/>
      <c r="T289" s="4"/>
      <c r="U289" s="7"/>
      <c r="V289" s="4"/>
      <c r="W289" s="4"/>
      <c r="X289" s="4"/>
      <c r="Y289" s="4"/>
      <c r="Z289" s="4"/>
      <c r="AA289" s="5"/>
      <c r="AB289" s="5"/>
      <c r="AC289" s="5"/>
      <c r="AD289" s="5"/>
      <c r="AE289" s="5"/>
    </row>
    <row r="290">
      <c r="A290" s="14" t="s">
        <v>384</v>
      </c>
      <c r="B290" s="19">
        <v>44277.381261574075</v>
      </c>
      <c r="C290" s="4">
        <v>49833.0</v>
      </c>
      <c r="D290" s="4" t="s">
        <v>385</v>
      </c>
      <c r="E290" s="4">
        <v>9.17838701357E11</v>
      </c>
      <c r="F290" s="4">
        <v>16382.0</v>
      </c>
      <c r="G290" s="4"/>
      <c r="H290" s="4" t="s">
        <v>184</v>
      </c>
      <c r="I290" s="4"/>
      <c r="J290" s="4" t="s">
        <v>85</v>
      </c>
      <c r="K290" s="4">
        <v>99.0</v>
      </c>
      <c r="L290" s="4"/>
      <c r="M290" s="4">
        <v>99.0</v>
      </c>
      <c r="N290" s="4" t="s">
        <v>67</v>
      </c>
      <c r="O290" s="4" t="b">
        <v>0</v>
      </c>
      <c r="P290" s="4" t="s">
        <v>68</v>
      </c>
      <c r="Q290" s="4" t="s">
        <v>69</v>
      </c>
      <c r="R290" s="4"/>
      <c r="S290" s="4"/>
      <c r="T290" s="4"/>
      <c r="U290" s="7"/>
      <c r="V290" s="4"/>
      <c r="W290" s="4"/>
      <c r="X290" s="4"/>
      <c r="Y290" s="4"/>
      <c r="Z290" s="4"/>
      <c r="AA290" s="5"/>
      <c r="AB290" s="5"/>
      <c r="AC290" s="5"/>
      <c r="AD290" s="5"/>
      <c r="AE290" s="5"/>
    </row>
    <row r="291">
      <c r="A291" s="14" t="s">
        <v>441</v>
      </c>
      <c r="B291" s="19">
        <v>44278.45872685185</v>
      </c>
      <c r="C291" s="4">
        <v>49963.0</v>
      </c>
      <c r="D291" s="4" t="s">
        <v>442</v>
      </c>
      <c r="E291" s="4">
        <v>9.18886398699E11</v>
      </c>
      <c r="F291" s="4">
        <v>16401.0</v>
      </c>
      <c r="G291" s="4"/>
      <c r="H291" s="4" t="s">
        <v>376</v>
      </c>
      <c r="I291" s="4"/>
      <c r="J291" s="4" t="s">
        <v>85</v>
      </c>
      <c r="K291" s="4">
        <v>99.0</v>
      </c>
      <c r="L291" s="4"/>
      <c r="M291" s="4">
        <v>99.0</v>
      </c>
      <c r="N291" s="4" t="s">
        <v>67</v>
      </c>
      <c r="O291" s="4" t="b">
        <v>0</v>
      </c>
      <c r="P291" s="4" t="s">
        <v>68</v>
      </c>
      <c r="Q291" s="4" t="s">
        <v>69</v>
      </c>
      <c r="R291" s="4"/>
      <c r="S291" s="4"/>
      <c r="T291" s="4"/>
      <c r="U291" s="7"/>
      <c r="V291" s="4"/>
      <c r="W291" s="4"/>
      <c r="X291" s="4"/>
      <c r="Y291" s="4"/>
      <c r="Z291" s="4"/>
      <c r="AA291" s="5"/>
      <c r="AB291" s="5"/>
      <c r="AC291" s="5"/>
      <c r="AD291" s="5"/>
      <c r="AE291" s="5"/>
    </row>
    <row r="292">
      <c r="A292" s="14" t="s">
        <v>443</v>
      </c>
      <c r="B292" s="19">
        <v>44278.46542824074</v>
      </c>
      <c r="C292" s="4">
        <v>49963.0</v>
      </c>
      <c r="D292" s="4" t="s">
        <v>444</v>
      </c>
      <c r="E292" s="4">
        <v>9.18248295566E11</v>
      </c>
      <c r="F292" s="4">
        <v>16402.0</v>
      </c>
      <c r="G292" s="4"/>
      <c r="H292" s="4" t="s">
        <v>376</v>
      </c>
      <c r="I292" s="4"/>
      <c r="J292" s="4" t="s">
        <v>85</v>
      </c>
      <c r="K292" s="4">
        <v>99.0</v>
      </c>
      <c r="L292" s="4"/>
      <c r="M292" s="4">
        <v>99.0</v>
      </c>
      <c r="N292" s="4" t="s">
        <v>67</v>
      </c>
      <c r="O292" s="4" t="b">
        <v>0</v>
      </c>
      <c r="P292" s="4" t="s">
        <v>68</v>
      </c>
      <c r="Q292" s="4" t="s">
        <v>69</v>
      </c>
      <c r="R292" s="4"/>
      <c r="S292" s="4"/>
      <c r="T292" s="4"/>
      <c r="U292" s="8"/>
      <c r="V292" s="4"/>
      <c r="W292" s="4"/>
      <c r="X292" s="4"/>
      <c r="Y292" s="4"/>
      <c r="Z292" s="4"/>
      <c r="AA292" s="5"/>
      <c r="AB292" s="5"/>
      <c r="AC292" s="5"/>
      <c r="AD292" s="5"/>
      <c r="AE292" s="5"/>
    </row>
    <row r="293">
      <c r="A293" s="14" t="s">
        <v>218</v>
      </c>
      <c r="B293" s="19">
        <v>44278.469988425924</v>
      </c>
      <c r="C293" s="4">
        <v>49864.0</v>
      </c>
      <c r="D293" s="4" t="s">
        <v>219</v>
      </c>
      <c r="E293" s="4">
        <v>9.17985805437E11</v>
      </c>
      <c r="F293" s="4">
        <v>16789.0</v>
      </c>
      <c r="G293" s="4"/>
      <c r="H293" s="4" t="s">
        <v>181</v>
      </c>
      <c r="I293" s="4"/>
      <c r="J293" s="4" t="s">
        <v>149</v>
      </c>
      <c r="K293" s="4">
        <v>99.0</v>
      </c>
      <c r="L293" s="4"/>
      <c r="M293" s="4">
        <v>99.0</v>
      </c>
      <c r="N293" s="4" t="s">
        <v>67</v>
      </c>
      <c r="O293" s="4" t="b">
        <v>0</v>
      </c>
      <c r="P293" s="4" t="s">
        <v>68</v>
      </c>
      <c r="Q293" s="4" t="s">
        <v>69</v>
      </c>
      <c r="R293" s="4"/>
      <c r="S293" s="4"/>
      <c r="T293" s="4"/>
      <c r="U293" s="7"/>
      <c r="V293" s="4"/>
      <c r="W293" s="4"/>
      <c r="X293" s="4"/>
      <c r="Y293" s="4"/>
      <c r="Z293" s="4"/>
      <c r="AA293" s="5"/>
      <c r="AB293" s="5"/>
      <c r="AC293" s="5"/>
      <c r="AD293" s="5"/>
      <c r="AE293" s="5"/>
    </row>
    <row r="294">
      <c r="A294" s="14" t="s">
        <v>917</v>
      </c>
      <c r="B294" s="19">
        <v>44278.55262731481</v>
      </c>
      <c r="C294" s="4">
        <v>49958.0</v>
      </c>
      <c r="D294" s="4" t="s">
        <v>918</v>
      </c>
      <c r="E294" s="4">
        <v>9.19867540266E11</v>
      </c>
      <c r="F294" s="4">
        <v>16408.0</v>
      </c>
      <c r="G294" s="4"/>
      <c r="H294" s="4" t="s">
        <v>858</v>
      </c>
      <c r="I294" s="4"/>
      <c r="J294" s="4" t="s">
        <v>149</v>
      </c>
      <c r="K294" s="4">
        <v>99.0</v>
      </c>
      <c r="L294" s="4"/>
      <c r="M294" s="4">
        <v>99.0</v>
      </c>
      <c r="N294" s="4" t="s">
        <v>67</v>
      </c>
      <c r="O294" s="4" t="b">
        <v>0</v>
      </c>
      <c r="P294" s="4" t="s">
        <v>68</v>
      </c>
      <c r="Q294" s="4" t="s">
        <v>69</v>
      </c>
      <c r="R294" s="4"/>
      <c r="S294" s="4"/>
      <c r="T294" s="4"/>
      <c r="U294" s="7"/>
      <c r="V294" s="4"/>
      <c r="W294" s="4"/>
      <c r="X294" s="4"/>
      <c r="Y294" s="4"/>
      <c r="Z294" s="4"/>
      <c r="AA294" s="5"/>
      <c r="AB294" s="5"/>
      <c r="AC294" s="5"/>
      <c r="AD294" s="5"/>
      <c r="AE294" s="5"/>
    </row>
    <row r="295">
      <c r="A295" s="14" t="s">
        <v>451</v>
      </c>
      <c r="B295" s="19">
        <v>44278.575532407405</v>
      </c>
      <c r="C295" s="4">
        <v>49833.0</v>
      </c>
      <c r="D295" s="4" t="s">
        <v>452</v>
      </c>
      <c r="E295" s="4">
        <v>9.18974180067E11</v>
      </c>
      <c r="F295" s="4">
        <v>16436.0</v>
      </c>
      <c r="G295" s="4"/>
      <c r="H295" s="4" t="s">
        <v>184</v>
      </c>
      <c r="I295" s="4"/>
      <c r="J295" s="4" t="s">
        <v>85</v>
      </c>
      <c r="K295" s="4">
        <v>99.0</v>
      </c>
      <c r="L295" s="4"/>
      <c r="M295" s="4">
        <v>99.0</v>
      </c>
      <c r="N295" s="4" t="s">
        <v>67</v>
      </c>
      <c r="O295" s="4" t="b">
        <v>0</v>
      </c>
      <c r="P295" s="4" t="s">
        <v>68</v>
      </c>
      <c r="Q295" s="4" t="s">
        <v>69</v>
      </c>
      <c r="R295" s="4"/>
      <c r="S295" s="4"/>
      <c r="T295" s="4"/>
      <c r="U295" s="7"/>
      <c r="V295" s="4"/>
      <c r="W295" s="4"/>
      <c r="X295" s="4"/>
      <c r="Y295" s="4"/>
      <c r="Z295" s="4"/>
      <c r="AA295" s="5"/>
      <c r="AB295" s="5"/>
      <c r="AC295" s="5"/>
      <c r="AD295" s="5"/>
      <c r="AE295" s="5"/>
    </row>
    <row r="296">
      <c r="A296" s="14" t="s">
        <v>453</v>
      </c>
      <c r="B296" s="19">
        <v>44278.57802083333</v>
      </c>
      <c r="C296" s="4">
        <v>49833.0</v>
      </c>
      <c r="D296" s="4" t="s">
        <v>454</v>
      </c>
      <c r="E296" s="4">
        <v>9.19874876667E11</v>
      </c>
      <c r="F296" s="4">
        <v>16444.0</v>
      </c>
      <c r="G296" s="4"/>
      <c r="H296" s="4" t="s">
        <v>184</v>
      </c>
      <c r="I296" s="4"/>
      <c r="J296" s="4" t="s">
        <v>85</v>
      </c>
      <c r="K296" s="4">
        <v>99.0</v>
      </c>
      <c r="L296" s="4"/>
      <c r="M296" s="4">
        <v>99.0</v>
      </c>
      <c r="N296" s="4" t="s">
        <v>67</v>
      </c>
      <c r="O296" s="4" t="b">
        <v>0</v>
      </c>
      <c r="P296" s="4" t="s">
        <v>68</v>
      </c>
      <c r="Q296" s="4" t="s">
        <v>69</v>
      </c>
      <c r="R296" s="4"/>
      <c r="S296" s="4"/>
      <c r="T296" s="4"/>
      <c r="U296" s="7"/>
      <c r="V296" s="4"/>
      <c r="W296" s="4"/>
      <c r="X296" s="4"/>
      <c r="Y296" s="4"/>
      <c r="Z296" s="4"/>
      <c r="AA296" s="5"/>
      <c r="AB296" s="5"/>
      <c r="AC296" s="5"/>
      <c r="AD296" s="5"/>
      <c r="AE296" s="5"/>
    </row>
    <row r="297">
      <c r="A297" s="14" t="s">
        <v>449</v>
      </c>
      <c r="B297" s="19">
        <v>44278.56380787037</v>
      </c>
      <c r="C297" s="4">
        <v>49963.0</v>
      </c>
      <c r="D297" s="4" t="s">
        <v>450</v>
      </c>
      <c r="E297" s="4">
        <v>9.1942047123E11</v>
      </c>
      <c r="F297" s="4">
        <v>16406.0</v>
      </c>
      <c r="G297" s="4"/>
      <c r="H297" s="4" t="s">
        <v>376</v>
      </c>
      <c r="I297" s="4"/>
      <c r="J297" s="4" t="s">
        <v>85</v>
      </c>
      <c r="K297" s="4">
        <v>99.0</v>
      </c>
      <c r="L297" s="4"/>
      <c r="M297" s="4">
        <v>99.0</v>
      </c>
      <c r="N297" s="4" t="s">
        <v>67</v>
      </c>
      <c r="O297" s="4" t="b">
        <v>0</v>
      </c>
      <c r="P297" s="4" t="s">
        <v>68</v>
      </c>
      <c r="Q297" s="4" t="s">
        <v>69</v>
      </c>
      <c r="R297" s="4"/>
      <c r="S297" s="4"/>
      <c r="T297" s="4"/>
      <c r="U297" s="7"/>
      <c r="V297" s="4"/>
      <c r="W297" s="4"/>
      <c r="X297" s="4"/>
      <c r="Y297" s="4"/>
      <c r="Z297" s="4"/>
      <c r="AA297" s="5"/>
      <c r="AB297" s="5"/>
      <c r="AC297" s="5"/>
      <c r="AD297" s="5"/>
      <c r="AE297" s="5"/>
    </row>
    <row r="298">
      <c r="A298" s="14" t="s">
        <v>461</v>
      </c>
      <c r="B298" s="19">
        <v>44278.611597222225</v>
      </c>
      <c r="C298" s="4">
        <v>49833.0</v>
      </c>
      <c r="D298" s="4" t="s">
        <v>462</v>
      </c>
      <c r="E298" s="4">
        <v>9.1700837173E11</v>
      </c>
      <c r="F298" s="4">
        <v>16711.0</v>
      </c>
      <c r="G298" s="4"/>
      <c r="H298" s="4" t="s">
        <v>184</v>
      </c>
      <c r="I298" s="4"/>
      <c r="J298" s="4" t="s">
        <v>85</v>
      </c>
      <c r="K298" s="4">
        <v>99.0</v>
      </c>
      <c r="L298" s="4"/>
      <c r="M298" s="4">
        <v>99.0</v>
      </c>
      <c r="N298" s="4" t="s">
        <v>67</v>
      </c>
      <c r="O298" s="4" t="b">
        <v>0</v>
      </c>
      <c r="P298" s="4" t="s">
        <v>68</v>
      </c>
      <c r="Q298" s="4" t="s">
        <v>69</v>
      </c>
      <c r="R298" s="4"/>
      <c r="S298" s="4"/>
      <c r="T298" s="4"/>
      <c r="U298" s="7"/>
      <c r="V298" s="4"/>
      <c r="W298" s="4"/>
      <c r="X298" s="4"/>
      <c r="Y298" s="4"/>
      <c r="Z298" s="4"/>
      <c r="AA298" s="5"/>
      <c r="AB298" s="5"/>
      <c r="AC298" s="5"/>
      <c r="AD298" s="5"/>
      <c r="AE298" s="5"/>
    </row>
    <row r="299">
      <c r="A299" s="14" t="s">
        <v>990</v>
      </c>
      <c r="B299" s="19">
        <v>44278.61262731482</v>
      </c>
      <c r="C299" s="4">
        <v>49835.0</v>
      </c>
      <c r="D299" s="4" t="s">
        <v>991</v>
      </c>
      <c r="E299" s="4">
        <v>9.19951475053E11</v>
      </c>
      <c r="F299" s="4" t="s">
        <v>83</v>
      </c>
      <c r="G299" s="4"/>
      <c r="H299" s="4" t="s">
        <v>680</v>
      </c>
      <c r="I299" s="4"/>
      <c r="J299" s="4" t="s">
        <v>85</v>
      </c>
      <c r="K299" s="4">
        <v>99.0</v>
      </c>
      <c r="L299" s="4"/>
      <c r="M299" s="4">
        <v>99.0</v>
      </c>
      <c r="N299" s="4" t="s">
        <v>67</v>
      </c>
      <c r="O299" s="4" t="b">
        <v>0</v>
      </c>
      <c r="P299" s="4" t="s">
        <v>74</v>
      </c>
      <c r="Q299" s="4" t="s">
        <v>69</v>
      </c>
      <c r="R299" s="4"/>
      <c r="S299" s="4"/>
      <c r="T299" s="4"/>
      <c r="U299" s="7"/>
      <c r="V299" s="4"/>
      <c r="W299" s="4"/>
      <c r="X299" s="4"/>
      <c r="Y299" s="4"/>
      <c r="Z299" s="4"/>
      <c r="AA299" s="5"/>
      <c r="AB299" s="5"/>
      <c r="AC299" s="5"/>
      <c r="AD299" s="5"/>
      <c r="AE299" s="5"/>
    </row>
    <row r="300">
      <c r="A300" s="14" t="s">
        <v>465</v>
      </c>
      <c r="B300" s="19">
        <v>44278.61923611111</v>
      </c>
      <c r="C300" s="4">
        <v>49833.0</v>
      </c>
      <c r="D300" s="4" t="s">
        <v>466</v>
      </c>
      <c r="E300" s="4">
        <v>9.19207466087E11</v>
      </c>
      <c r="F300" s="4">
        <v>16421.0</v>
      </c>
      <c r="G300" s="4"/>
      <c r="H300" s="4" t="s">
        <v>184</v>
      </c>
      <c r="I300" s="4"/>
      <c r="J300" s="4" t="s">
        <v>85</v>
      </c>
      <c r="K300" s="4">
        <v>99.0</v>
      </c>
      <c r="L300" s="4"/>
      <c r="M300" s="4">
        <v>99.0</v>
      </c>
      <c r="N300" s="4" t="s">
        <v>67</v>
      </c>
      <c r="O300" s="4" t="b">
        <v>0</v>
      </c>
      <c r="P300" s="4" t="s">
        <v>68</v>
      </c>
      <c r="Q300" s="4" t="s">
        <v>69</v>
      </c>
      <c r="R300" s="4"/>
      <c r="S300" s="4"/>
      <c r="T300" s="4"/>
      <c r="U300" s="7"/>
      <c r="V300" s="4"/>
      <c r="W300" s="4"/>
      <c r="X300" s="4"/>
      <c r="Y300" s="4"/>
      <c r="Z300" s="4"/>
      <c r="AA300" s="5"/>
      <c r="AB300" s="5"/>
      <c r="AC300" s="5"/>
      <c r="AD300" s="5"/>
      <c r="AE300" s="5"/>
    </row>
    <row r="301">
      <c r="A301" s="14" t="s">
        <v>455</v>
      </c>
      <c r="B301" s="19">
        <v>44278.603900462964</v>
      </c>
      <c r="C301" s="4">
        <v>49833.0</v>
      </c>
      <c r="D301" s="4" t="s">
        <v>456</v>
      </c>
      <c r="E301" s="4">
        <v>9.18335991621E11</v>
      </c>
      <c r="F301" s="4">
        <v>16440.0</v>
      </c>
      <c r="G301" s="4"/>
      <c r="H301" s="4" t="s">
        <v>184</v>
      </c>
      <c r="I301" s="4"/>
      <c r="J301" s="4" t="s">
        <v>85</v>
      </c>
      <c r="K301" s="4">
        <v>99.0</v>
      </c>
      <c r="L301" s="4"/>
      <c r="M301" s="4">
        <v>99.0</v>
      </c>
      <c r="N301" s="4" t="s">
        <v>67</v>
      </c>
      <c r="O301" s="4" t="b">
        <v>0</v>
      </c>
      <c r="P301" s="4" t="s">
        <v>68</v>
      </c>
      <c r="Q301" s="4" t="s">
        <v>69</v>
      </c>
      <c r="R301" s="4"/>
      <c r="S301" s="4"/>
      <c r="T301" s="4"/>
      <c r="U301" s="7"/>
      <c r="V301" s="4"/>
      <c r="W301" s="4"/>
      <c r="X301" s="4"/>
      <c r="Y301" s="4"/>
      <c r="Z301" s="4"/>
      <c r="AA301" s="5"/>
      <c r="AB301" s="5"/>
      <c r="AC301" s="5"/>
      <c r="AD301" s="5"/>
      <c r="AE301" s="5"/>
    </row>
    <row r="302">
      <c r="A302" s="14" t="s">
        <v>457</v>
      </c>
      <c r="B302" s="19">
        <v>44278.60791666667</v>
      </c>
      <c r="C302" s="4">
        <v>49877.0</v>
      </c>
      <c r="D302" s="4" t="s">
        <v>458</v>
      </c>
      <c r="E302" s="4">
        <v>9.17829140274E11</v>
      </c>
      <c r="F302" s="4">
        <v>14777.0</v>
      </c>
      <c r="G302" s="4"/>
      <c r="H302" s="4" t="s">
        <v>280</v>
      </c>
      <c r="I302" s="4"/>
      <c r="J302" s="4" t="s">
        <v>85</v>
      </c>
      <c r="K302" s="4">
        <v>99.0</v>
      </c>
      <c r="L302" s="4"/>
      <c r="M302" s="4">
        <v>99.0</v>
      </c>
      <c r="N302" s="4" t="s">
        <v>67</v>
      </c>
      <c r="O302" s="4" t="b">
        <v>0</v>
      </c>
      <c r="P302" s="4" t="s">
        <v>74</v>
      </c>
      <c r="Q302" s="4" t="s">
        <v>69</v>
      </c>
      <c r="R302" s="4"/>
      <c r="S302" s="4"/>
      <c r="T302" s="4"/>
      <c r="U302" s="7"/>
      <c r="V302" s="4"/>
      <c r="W302" s="4"/>
      <c r="X302" s="4"/>
      <c r="Y302" s="4"/>
      <c r="Z302" s="4"/>
      <c r="AA302" s="5"/>
      <c r="AB302" s="5"/>
      <c r="AC302" s="5"/>
      <c r="AD302" s="5"/>
      <c r="AE302" s="5"/>
    </row>
    <row r="303">
      <c r="A303" s="14" t="s">
        <v>459</v>
      </c>
      <c r="B303" s="19">
        <v>44278.607939814814</v>
      </c>
      <c r="C303" s="4">
        <v>49963.0</v>
      </c>
      <c r="D303" s="4" t="s">
        <v>460</v>
      </c>
      <c r="E303" s="4">
        <v>9.19803019148E11</v>
      </c>
      <c r="F303" s="4">
        <v>16409.0</v>
      </c>
      <c r="G303" s="4"/>
      <c r="H303" s="4" t="s">
        <v>376</v>
      </c>
      <c r="I303" s="4"/>
      <c r="J303" s="4" t="s">
        <v>85</v>
      </c>
      <c r="K303" s="4">
        <v>99.0</v>
      </c>
      <c r="L303" s="4"/>
      <c r="M303" s="4">
        <v>99.0</v>
      </c>
      <c r="N303" s="4" t="s">
        <v>67</v>
      </c>
      <c r="O303" s="4" t="b">
        <v>0</v>
      </c>
      <c r="P303" s="4" t="s">
        <v>68</v>
      </c>
      <c r="Q303" s="4" t="s">
        <v>69</v>
      </c>
      <c r="R303" s="4"/>
      <c r="S303" s="4"/>
      <c r="T303" s="4"/>
      <c r="U303" s="7"/>
      <c r="V303" s="4"/>
      <c r="W303" s="4"/>
      <c r="X303" s="4"/>
      <c r="Y303" s="4"/>
      <c r="Z303" s="4"/>
      <c r="AA303" s="5"/>
      <c r="AB303" s="5"/>
      <c r="AC303" s="5"/>
      <c r="AD303" s="5"/>
      <c r="AE303" s="5"/>
    </row>
    <row r="304">
      <c r="A304" s="14" t="s">
        <v>467</v>
      </c>
      <c r="B304" s="19">
        <v>44278.62670138889</v>
      </c>
      <c r="C304" s="4">
        <v>49833.0</v>
      </c>
      <c r="D304" s="4" t="s">
        <v>468</v>
      </c>
      <c r="E304" s="4">
        <v>9.18369390991E11</v>
      </c>
      <c r="F304" s="4" t="s">
        <v>83</v>
      </c>
      <c r="G304" s="4"/>
      <c r="H304" s="4" t="s">
        <v>184</v>
      </c>
      <c r="I304" s="4"/>
      <c r="J304" s="4" t="s">
        <v>85</v>
      </c>
      <c r="K304" s="4">
        <v>99.0</v>
      </c>
      <c r="L304" s="4"/>
      <c r="M304" s="4">
        <v>99.0</v>
      </c>
      <c r="N304" s="4" t="s">
        <v>67</v>
      </c>
      <c r="O304" s="4" t="b">
        <v>0</v>
      </c>
      <c r="P304" s="4" t="s">
        <v>68</v>
      </c>
      <c r="Q304" s="4" t="s">
        <v>69</v>
      </c>
      <c r="R304" s="4"/>
      <c r="S304" s="4"/>
      <c r="T304" s="4"/>
      <c r="U304" s="7"/>
      <c r="V304" s="4"/>
      <c r="W304" s="4"/>
      <c r="X304" s="4"/>
      <c r="Y304" s="4"/>
      <c r="Z304" s="4"/>
      <c r="AA304" s="5"/>
      <c r="AB304" s="5"/>
      <c r="AC304" s="5"/>
      <c r="AD304" s="5"/>
      <c r="AE304" s="5"/>
    </row>
    <row r="305">
      <c r="A305" s="14" t="s">
        <v>469</v>
      </c>
      <c r="B305" s="19">
        <v>44278.648831018516</v>
      </c>
      <c r="C305" s="4">
        <v>49833.0</v>
      </c>
      <c r="D305" s="4" t="s">
        <v>470</v>
      </c>
      <c r="E305" s="4">
        <v>9.18411041185E11</v>
      </c>
      <c r="F305" s="4">
        <v>16439.0</v>
      </c>
      <c r="G305" s="4"/>
      <c r="H305" s="4" t="s">
        <v>184</v>
      </c>
      <c r="I305" s="4"/>
      <c r="J305" s="4" t="s">
        <v>85</v>
      </c>
      <c r="K305" s="4">
        <v>99.0</v>
      </c>
      <c r="L305" s="4"/>
      <c r="M305" s="4">
        <v>99.0</v>
      </c>
      <c r="N305" s="4" t="s">
        <v>67</v>
      </c>
      <c r="O305" s="4" t="b">
        <v>0</v>
      </c>
      <c r="P305" s="4" t="s">
        <v>74</v>
      </c>
      <c r="Q305" s="4" t="s">
        <v>69</v>
      </c>
      <c r="R305" s="4"/>
      <c r="S305" s="4"/>
      <c r="T305" s="4"/>
      <c r="U305" s="7"/>
      <c r="V305" s="4"/>
      <c r="W305" s="4"/>
      <c r="X305" s="4"/>
      <c r="Y305" s="4"/>
      <c r="Z305" s="4"/>
      <c r="AA305" s="5"/>
      <c r="AB305" s="5"/>
      <c r="AC305" s="5"/>
      <c r="AD305" s="5"/>
      <c r="AE305" s="5"/>
    </row>
    <row r="306">
      <c r="A306" s="14" t="s">
        <v>919</v>
      </c>
      <c r="B306" s="19">
        <v>44278.698229166665</v>
      </c>
      <c r="C306" s="4">
        <v>49958.0</v>
      </c>
      <c r="D306" s="4" t="s">
        <v>920</v>
      </c>
      <c r="E306" s="4">
        <v>9.19061064782E11</v>
      </c>
      <c r="F306" s="4">
        <v>14276.0</v>
      </c>
      <c r="G306" s="4"/>
      <c r="H306" s="4" t="s">
        <v>858</v>
      </c>
      <c r="I306" s="4"/>
      <c r="J306" s="4" t="s">
        <v>149</v>
      </c>
      <c r="K306" s="4">
        <v>99.0</v>
      </c>
      <c r="L306" s="4"/>
      <c r="M306" s="4">
        <v>99.0</v>
      </c>
      <c r="N306" s="4" t="s">
        <v>67</v>
      </c>
      <c r="O306" s="4" t="b">
        <v>0</v>
      </c>
      <c r="P306" s="4" t="s">
        <v>68</v>
      </c>
      <c r="Q306" s="4" t="s">
        <v>69</v>
      </c>
      <c r="R306" s="4"/>
      <c r="S306" s="4"/>
      <c r="T306" s="4"/>
      <c r="U306" s="7"/>
      <c r="V306" s="4"/>
      <c r="W306" s="4"/>
      <c r="X306" s="4"/>
      <c r="Y306" s="4"/>
      <c r="Z306" s="4"/>
      <c r="AA306" s="5"/>
      <c r="AB306" s="5"/>
      <c r="AC306" s="5"/>
      <c r="AD306" s="5"/>
      <c r="AE306" s="5"/>
    </row>
    <row r="307">
      <c r="A307" s="14" t="s">
        <v>473</v>
      </c>
      <c r="B307" s="19">
        <v>44278.755208333336</v>
      </c>
      <c r="C307" s="4">
        <v>49831.0</v>
      </c>
      <c r="D307" s="4" t="s">
        <v>474</v>
      </c>
      <c r="E307" s="4">
        <v>9.18670804205E11</v>
      </c>
      <c r="F307" s="4">
        <v>16566.0</v>
      </c>
      <c r="G307" s="4"/>
      <c r="H307" s="4" t="s">
        <v>64</v>
      </c>
      <c r="I307" s="4"/>
      <c r="J307" s="4" t="s">
        <v>85</v>
      </c>
      <c r="K307" s="4">
        <v>499.0</v>
      </c>
      <c r="L307" s="4"/>
      <c r="M307" s="4">
        <v>499.0</v>
      </c>
      <c r="N307" s="4" t="s">
        <v>67</v>
      </c>
      <c r="O307" s="4" t="b">
        <v>0</v>
      </c>
      <c r="P307" s="4" t="s">
        <v>68</v>
      </c>
      <c r="Q307" s="4" t="s">
        <v>69</v>
      </c>
      <c r="R307" s="4"/>
      <c r="S307" s="4"/>
      <c r="T307" s="4"/>
      <c r="U307" s="7"/>
      <c r="V307" s="4"/>
      <c r="W307" s="4"/>
      <c r="X307" s="4"/>
      <c r="Y307" s="4"/>
      <c r="Z307" s="4"/>
      <c r="AA307" s="5"/>
      <c r="AB307" s="5"/>
      <c r="AC307" s="5"/>
      <c r="AD307" s="5"/>
      <c r="AE307" s="5"/>
    </row>
    <row r="308">
      <c r="A308" s="14" t="s">
        <v>1035</v>
      </c>
      <c r="B308" s="19">
        <v>44278.75662037037</v>
      </c>
      <c r="C308" s="4">
        <v>49835.0</v>
      </c>
      <c r="D308" s="4" t="s">
        <v>1036</v>
      </c>
      <c r="E308" s="4">
        <v>9.1961746093E11</v>
      </c>
      <c r="F308" s="4">
        <v>16430.0</v>
      </c>
      <c r="G308" s="4"/>
      <c r="H308" s="4" t="s">
        <v>680</v>
      </c>
      <c r="I308" s="4"/>
      <c r="J308" s="4" t="s">
        <v>85</v>
      </c>
      <c r="K308" s="4">
        <v>99.0</v>
      </c>
      <c r="L308" s="4"/>
      <c r="M308" s="4">
        <v>99.0</v>
      </c>
      <c r="N308" s="4" t="s">
        <v>67</v>
      </c>
      <c r="O308" s="4" t="b">
        <v>0</v>
      </c>
      <c r="P308" s="4" t="s">
        <v>68</v>
      </c>
      <c r="Q308" s="4" t="s">
        <v>69</v>
      </c>
      <c r="R308" s="4"/>
      <c r="S308" s="4"/>
      <c r="T308" s="4"/>
      <c r="U308" s="7"/>
      <c r="V308" s="4"/>
      <c r="W308" s="4"/>
      <c r="X308" s="4"/>
      <c r="Y308" s="4"/>
      <c r="Z308" s="4"/>
      <c r="AA308" s="5"/>
      <c r="AB308" s="5"/>
      <c r="AC308" s="5"/>
      <c r="AD308" s="5"/>
      <c r="AE308" s="5"/>
    </row>
    <row r="309">
      <c r="A309" s="14" t="s">
        <v>1069</v>
      </c>
      <c r="B309" s="19">
        <v>44278.94758101852</v>
      </c>
      <c r="C309" s="4">
        <v>49835.0</v>
      </c>
      <c r="D309" s="4" t="s">
        <v>1070</v>
      </c>
      <c r="E309" s="4">
        <v>9.189781179E11</v>
      </c>
      <c r="F309" s="4">
        <v>16429.0</v>
      </c>
      <c r="G309" s="4"/>
      <c r="H309" s="4" t="s">
        <v>680</v>
      </c>
      <c r="I309" s="4"/>
      <c r="J309" s="4" t="s">
        <v>85</v>
      </c>
      <c r="K309" s="4">
        <v>99.0</v>
      </c>
      <c r="L309" s="4"/>
      <c r="M309" s="4">
        <v>99.0</v>
      </c>
      <c r="N309" s="4" t="s">
        <v>67</v>
      </c>
      <c r="O309" s="4" t="b">
        <v>0</v>
      </c>
      <c r="P309" s="4" t="s">
        <v>97</v>
      </c>
      <c r="Q309" s="4" t="s">
        <v>69</v>
      </c>
      <c r="R309" s="4"/>
      <c r="S309" s="4"/>
      <c r="T309" s="4"/>
      <c r="U309" s="7"/>
      <c r="V309" s="4"/>
      <c r="W309" s="4"/>
      <c r="X309" s="4"/>
      <c r="Y309" s="4"/>
      <c r="Z309" s="4"/>
      <c r="AA309" s="5"/>
      <c r="AB309" s="5"/>
      <c r="AC309" s="5"/>
      <c r="AD309" s="5"/>
      <c r="AE309" s="5"/>
    </row>
    <row r="310">
      <c r="A310" s="14" t="s">
        <v>1071</v>
      </c>
      <c r="B310" s="19">
        <v>44278.95422453704</v>
      </c>
      <c r="C310" s="4">
        <v>49835.0</v>
      </c>
      <c r="D310" s="4" t="s">
        <v>1072</v>
      </c>
      <c r="E310" s="4">
        <v>9.19403050572E11</v>
      </c>
      <c r="F310" s="4">
        <v>16520.0</v>
      </c>
      <c r="G310" s="4"/>
      <c r="H310" s="4" t="s">
        <v>680</v>
      </c>
      <c r="I310" s="4"/>
      <c r="J310" s="4" t="s">
        <v>85</v>
      </c>
      <c r="K310" s="4">
        <v>99.0</v>
      </c>
      <c r="L310" s="4"/>
      <c r="M310" s="4">
        <v>99.0</v>
      </c>
      <c r="N310" s="4" t="s">
        <v>67</v>
      </c>
      <c r="O310" s="4" t="b">
        <v>0</v>
      </c>
      <c r="P310" s="4" t="s">
        <v>68</v>
      </c>
      <c r="Q310" s="4" t="s">
        <v>69</v>
      </c>
      <c r="R310" s="4"/>
      <c r="S310" s="4"/>
      <c r="T310" s="4"/>
      <c r="U310" s="7"/>
      <c r="V310" s="4"/>
      <c r="W310" s="4"/>
      <c r="X310" s="4"/>
      <c r="Y310" s="4"/>
      <c r="Z310" s="4"/>
      <c r="AA310" s="5"/>
      <c r="AB310" s="5"/>
      <c r="AC310" s="5"/>
      <c r="AD310" s="5"/>
      <c r="AE310" s="5"/>
    </row>
    <row r="311">
      <c r="A311" s="14" t="s">
        <v>1083</v>
      </c>
      <c r="B311" s="19">
        <v>44278.99103009259</v>
      </c>
      <c r="C311" s="4">
        <v>49835.0</v>
      </c>
      <c r="D311" s="4" t="s">
        <v>1084</v>
      </c>
      <c r="E311" s="4">
        <v>9.17710862064E11</v>
      </c>
      <c r="F311" s="4">
        <v>16432.0</v>
      </c>
      <c r="G311" s="4"/>
      <c r="H311" s="4" t="s">
        <v>680</v>
      </c>
      <c r="I311" s="4"/>
      <c r="J311" s="4" t="s">
        <v>85</v>
      </c>
      <c r="K311" s="4">
        <v>99.0</v>
      </c>
      <c r="L311" s="4"/>
      <c r="M311" s="4">
        <v>99.0</v>
      </c>
      <c r="N311" s="4" t="s">
        <v>67</v>
      </c>
      <c r="O311" s="4" t="b">
        <v>0</v>
      </c>
      <c r="P311" s="4" t="s">
        <v>68</v>
      </c>
      <c r="Q311" s="4" t="s">
        <v>69</v>
      </c>
      <c r="R311" s="4"/>
      <c r="S311" s="4"/>
      <c r="T311" s="4"/>
      <c r="U311" s="7"/>
      <c r="V311" s="4"/>
      <c r="W311" s="4"/>
      <c r="X311" s="4"/>
      <c r="Y311" s="4"/>
      <c r="Z311" s="4"/>
      <c r="AA311" s="5"/>
      <c r="AB311" s="5"/>
      <c r="AC311" s="5"/>
      <c r="AD311" s="5"/>
      <c r="AE311" s="5"/>
    </row>
    <row r="312">
      <c r="A312" s="14" t="s">
        <v>483</v>
      </c>
      <c r="B312" s="19">
        <v>44278.999074074076</v>
      </c>
      <c r="C312" s="4">
        <v>49963.0</v>
      </c>
      <c r="D312" s="4" t="s">
        <v>484</v>
      </c>
      <c r="E312" s="4">
        <v>9.19560697672E11</v>
      </c>
      <c r="F312" s="4" t="s">
        <v>83</v>
      </c>
      <c r="G312" s="4"/>
      <c r="H312" s="4" t="s">
        <v>376</v>
      </c>
      <c r="I312" s="4"/>
      <c r="J312" s="4" t="s">
        <v>85</v>
      </c>
      <c r="K312" s="4">
        <v>99.0</v>
      </c>
      <c r="L312" s="4"/>
      <c r="M312" s="4">
        <v>99.0</v>
      </c>
      <c r="N312" s="4" t="s">
        <v>67</v>
      </c>
      <c r="O312" s="4" t="b">
        <v>0</v>
      </c>
      <c r="P312" s="4" t="s">
        <v>68</v>
      </c>
      <c r="Q312" s="4" t="s">
        <v>69</v>
      </c>
      <c r="R312" s="4"/>
      <c r="S312" s="4"/>
      <c r="T312" s="4"/>
      <c r="U312" s="7"/>
      <c r="V312" s="4"/>
      <c r="W312" s="4"/>
      <c r="X312" s="4"/>
      <c r="Y312" s="4"/>
      <c r="Z312" s="4"/>
      <c r="AA312" s="5"/>
      <c r="AB312" s="5"/>
      <c r="AC312" s="5"/>
      <c r="AD312" s="5"/>
      <c r="AE312" s="5"/>
    </row>
    <row r="313">
      <c r="A313" s="14" t="s">
        <v>228</v>
      </c>
      <c r="B313" s="19">
        <v>44279.07063657408</v>
      </c>
      <c r="C313" s="4">
        <v>49864.0</v>
      </c>
      <c r="D313" s="4" t="s">
        <v>229</v>
      </c>
      <c r="E313" s="4">
        <v>9.19881434502E11</v>
      </c>
      <c r="F313" s="4" t="s">
        <v>83</v>
      </c>
      <c r="G313" s="4"/>
      <c r="H313" s="4" t="s">
        <v>181</v>
      </c>
      <c r="I313" s="4"/>
      <c r="J313" s="4" t="s">
        <v>149</v>
      </c>
      <c r="K313" s="4">
        <v>99.0</v>
      </c>
      <c r="L313" s="4"/>
      <c r="M313" s="4">
        <v>99.0</v>
      </c>
      <c r="N313" s="4" t="s">
        <v>67</v>
      </c>
      <c r="O313" s="4" t="b">
        <v>0</v>
      </c>
      <c r="P313" s="4" t="s">
        <v>74</v>
      </c>
      <c r="Q313" s="4" t="s">
        <v>69</v>
      </c>
      <c r="R313" s="4"/>
      <c r="S313" s="4"/>
      <c r="T313" s="4"/>
      <c r="U313" s="7"/>
      <c r="V313" s="4"/>
      <c r="W313" s="4"/>
      <c r="X313" s="4"/>
      <c r="Y313" s="4"/>
      <c r="Z313" s="4"/>
      <c r="AA313" s="5"/>
      <c r="AB313" s="5"/>
      <c r="AC313" s="5"/>
      <c r="AD313" s="5"/>
      <c r="AE313" s="5"/>
    </row>
    <row r="314">
      <c r="A314" s="14" t="s">
        <v>236</v>
      </c>
      <c r="B314" s="19">
        <v>44280.410266203704</v>
      </c>
      <c r="C314" s="4">
        <v>49864.0</v>
      </c>
      <c r="D314" s="4" t="s">
        <v>237</v>
      </c>
      <c r="E314" s="4">
        <v>9.18454884214E11</v>
      </c>
      <c r="F314" s="4" t="s">
        <v>83</v>
      </c>
      <c r="G314" s="4"/>
      <c r="H314" s="4" t="s">
        <v>181</v>
      </c>
      <c r="I314" s="4"/>
      <c r="J314" s="4" t="s">
        <v>149</v>
      </c>
      <c r="K314" s="4">
        <v>99.0</v>
      </c>
      <c r="L314" s="4"/>
      <c r="M314" s="4">
        <v>99.0</v>
      </c>
      <c r="N314" s="4" t="s">
        <v>67</v>
      </c>
      <c r="O314" s="4" t="b">
        <v>0</v>
      </c>
      <c r="P314" s="4" t="s">
        <v>97</v>
      </c>
      <c r="Q314" s="4" t="s">
        <v>69</v>
      </c>
      <c r="R314" s="4"/>
      <c r="S314" s="4"/>
      <c r="T314" s="4"/>
      <c r="U314" s="7"/>
      <c r="V314" s="4"/>
      <c r="W314" s="4"/>
      <c r="X314" s="4"/>
      <c r="Y314" s="4"/>
      <c r="Z314" s="4"/>
      <c r="AA314" s="5"/>
      <c r="AB314" s="5"/>
      <c r="AC314" s="5"/>
      <c r="AD314" s="5"/>
      <c r="AE314" s="5"/>
    </row>
    <row r="315">
      <c r="A315" s="14" t="s">
        <v>1089</v>
      </c>
      <c r="B315" s="19">
        <v>44279.33886574074</v>
      </c>
      <c r="C315" s="4">
        <v>49835.0</v>
      </c>
      <c r="D315" s="4" t="s">
        <v>1090</v>
      </c>
      <c r="E315" s="4">
        <v>9.19612714671E11</v>
      </c>
      <c r="F315" s="4">
        <v>16438.0</v>
      </c>
      <c r="G315" s="4"/>
      <c r="H315" s="4" t="s">
        <v>680</v>
      </c>
      <c r="I315" s="4"/>
      <c r="J315" s="4" t="s">
        <v>85</v>
      </c>
      <c r="K315" s="4">
        <v>99.0</v>
      </c>
      <c r="L315" s="4"/>
      <c r="M315" s="4">
        <v>99.0</v>
      </c>
      <c r="N315" s="4" t="s">
        <v>67</v>
      </c>
      <c r="O315" s="4" t="b">
        <v>0</v>
      </c>
      <c r="P315" s="4" t="s">
        <v>68</v>
      </c>
      <c r="Q315" s="4" t="s">
        <v>69</v>
      </c>
      <c r="R315" s="4"/>
      <c r="S315" s="4"/>
      <c r="T315" s="4"/>
      <c r="U315" s="7"/>
      <c r="V315" s="4"/>
      <c r="W315" s="4"/>
      <c r="X315" s="4"/>
      <c r="Y315" s="4"/>
      <c r="Z315" s="4"/>
      <c r="AA315" s="5"/>
      <c r="AB315" s="5"/>
      <c r="AC315" s="5"/>
      <c r="AD315" s="5"/>
      <c r="AE315" s="5"/>
    </row>
    <row r="316">
      <c r="A316" s="14" t="s">
        <v>951</v>
      </c>
      <c r="B316" s="19">
        <v>44280.424780092595</v>
      </c>
      <c r="C316" s="4">
        <v>49958.0</v>
      </c>
      <c r="D316" s="4" t="s">
        <v>952</v>
      </c>
      <c r="E316" s="4">
        <v>9.18446453123E11</v>
      </c>
      <c r="F316" s="4">
        <v>16598.0</v>
      </c>
      <c r="G316" s="4"/>
      <c r="H316" s="4" t="s">
        <v>858</v>
      </c>
      <c r="I316" s="4"/>
      <c r="J316" s="4" t="s">
        <v>149</v>
      </c>
      <c r="K316" s="4">
        <v>99.0</v>
      </c>
      <c r="L316" s="4"/>
      <c r="M316" s="4">
        <v>99.0</v>
      </c>
      <c r="N316" s="4" t="s">
        <v>67</v>
      </c>
      <c r="O316" s="4" t="b">
        <v>0</v>
      </c>
      <c r="P316" s="4" t="s">
        <v>68</v>
      </c>
      <c r="Q316" s="4" t="s">
        <v>69</v>
      </c>
      <c r="R316" s="4"/>
      <c r="S316" s="4"/>
      <c r="T316" s="4"/>
      <c r="U316" s="7"/>
      <c r="V316" s="4"/>
      <c r="W316" s="4"/>
      <c r="X316" s="4"/>
      <c r="Y316" s="4"/>
      <c r="Z316" s="4"/>
      <c r="AA316" s="5"/>
      <c r="AB316" s="5"/>
      <c r="AC316" s="5"/>
      <c r="AD316" s="5"/>
      <c r="AE316" s="5"/>
    </row>
    <row r="317">
      <c r="A317" s="14" t="s">
        <v>1101</v>
      </c>
      <c r="B317" s="19">
        <v>44279.37396990741</v>
      </c>
      <c r="C317" s="4">
        <v>49835.0</v>
      </c>
      <c r="D317" s="4" t="s">
        <v>1102</v>
      </c>
      <c r="E317" s="4">
        <v>9.19145753914E11</v>
      </c>
      <c r="F317" s="4" t="s">
        <v>83</v>
      </c>
      <c r="G317" s="4"/>
      <c r="H317" s="4" t="s">
        <v>680</v>
      </c>
      <c r="I317" s="4"/>
      <c r="J317" s="4" t="s">
        <v>85</v>
      </c>
      <c r="K317" s="4">
        <v>99.0</v>
      </c>
      <c r="L317" s="4"/>
      <c r="M317" s="4">
        <v>99.0</v>
      </c>
      <c r="N317" s="4" t="s">
        <v>67</v>
      </c>
      <c r="O317" s="4" t="b">
        <v>0</v>
      </c>
      <c r="P317" s="4" t="s">
        <v>68</v>
      </c>
      <c r="Q317" s="4" t="s">
        <v>69</v>
      </c>
      <c r="R317" s="4"/>
      <c r="S317" s="4"/>
      <c r="T317" s="4"/>
      <c r="U317" s="7"/>
      <c r="V317" s="4"/>
      <c r="W317" s="4"/>
      <c r="X317" s="4"/>
      <c r="Y317" s="4"/>
      <c r="Z317" s="4"/>
      <c r="AA317" s="5"/>
      <c r="AB317" s="5"/>
      <c r="AC317" s="5"/>
      <c r="AD317" s="5"/>
      <c r="AE317" s="5"/>
    </row>
    <row r="318">
      <c r="A318" s="14" t="s">
        <v>780</v>
      </c>
      <c r="B318" s="19">
        <v>44213.679236111115</v>
      </c>
      <c r="C318" s="4">
        <v>49831.0</v>
      </c>
      <c r="D318" s="4" t="s">
        <v>781</v>
      </c>
      <c r="E318" s="4">
        <v>9.19455202194E11</v>
      </c>
      <c r="F318" s="4" t="s">
        <v>782</v>
      </c>
      <c r="G318" s="4"/>
      <c r="H318" s="4" t="s">
        <v>137</v>
      </c>
      <c r="I318" s="4"/>
      <c r="J318" s="4" t="s">
        <v>149</v>
      </c>
      <c r="K318" s="4">
        <v>99.0</v>
      </c>
      <c r="L318" s="4"/>
      <c r="M318" s="4">
        <v>99.0</v>
      </c>
      <c r="N318" s="4" t="s">
        <v>67</v>
      </c>
      <c r="O318" s="4" t="b">
        <v>0</v>
      </c>
      <c r="P318" s="4" t="s">
        <v>74</v>
      </c>
      <c r="Q318" s="4" t="s">
        <v>69</v>
      </c>
      <c r="R318" s="4"/>
      <c r="S318" s="4"/>
      <c r="T318" s="4"/>
      <c r="U318" s="7"/>
      <c r="V318" s="4"/>
      <c r="W318" s="4"/>
      <c r="X318" s="4"/>
      <c r="Y318" s="4"/>
      <c r="Z318" s="4"/>
      <c r="AA318" s="5"/>
      <c r="AB318" s="5"/>
      <c r="AC318" s="5"/>
      <c r="AD318" s="5"/>
      <c r="AE318" s="5"/>
    </row>
    <row r="319">
      <c r="A319" s="14" t="s">
        <v>1106</v>
      </c>
      <c r="B319" s="19">
        <v>44279.41670138889</v>
      </c>
      <c r="C319" s="4">
        <v>49835.0</v>
      </c>
      <c r="D319" s="4" t="s">
        <v>1107</v>
      </c>
      <c r="E319" s="4">
        <v>9.19602206226E11</v>
      </c>
      <c r="F319" s="4">
        <v>16487.0</v>
      </c>
      <c r="G319" s="4"/>
      <c r="H319" s="4" t="s">
        <v>680</v>
      </c>
      <c r="I319" s="4"/>
      <c r="J319" s="4" t="s">
        <v>85</v>
      </c>
      <c r="K319" s="4">
        <v>99.0</v>
      </c>
      <c r="L319" s="4"/>
      <c r="M319" s="4">
        <v>99.0</v>
      </c>
      <c r="N319" s="4" t="s">
        <v>67</v>
      </c>
      <c r="O319" s="4" t="b">
        <v>0</v>
      </c>
      <c r="P319" s="4" t="s">
        <v>68</v>
      </c>
      <c r="Q319" s="4" t="s">
        <v>69</v>
      </c>
      <c r="R319" s="4"/>
      <c r="S319" s="4"/>
      <c r="T319" s="4"/>
      <c r="U319" s="7"/>
      <c r="V319" s="4"/>
      <c r="W319" s="4"/>
      <c r="X319" s="4"/>
      <c r="Y319" s="4"/>
      <c r="Z319" s="4"/>
      <c r="AA319" s="5"/>
      <c r="AB319" s="5"/>
      <c r="AC319" s="5"/>
      <c r="AD319" s="5"/>
      <c r="AE319" s="5"/>
    </row>
    <row r="320">
      <c r="A320" s="14" t="s">
        <v>529</v>
      </c>
      <c r="B320" s="19">
        <v>44280.478414351855</v>
      </c>
      <c r="C320" s="4">
        <v>49962.0</v>
      </c>
      <c r="D320" s="4" t="s">
        <v>530</v>
      </c>
      <c r="E320" s="4">
        <v>9.19828882444E11</v>
      </c>
      <c r="F320" s="4" t="s">
        <v>83</v>
      </c>
      <c r="G320" s="4"/>
      <c r="H320" s="4" t="s">
        <v>245</v>
      </c>
      <c r="I320" s="4"/>
      <c r="J320" s="4" t="s">
        <v>85</v>
      </c>
      <c r="K320" s="4">
        <v>99.0</v>
      </c>
      <c r="L320" s="4"/>
      <c r="M320" s="4">
        <v>99.0</v>
      </c>
      <c r="N320" s="4" t="s">
        <v>67</v>
      </c>
      <c r="O320" s="4" t="b">
        <v>0</v>
      </c>
      <c r="P320" s="4" t="s">
        <v>68</v>
      </c>
      <c r="Q320" s="4" t="s">
        <v>69</v>
      </c>
      <c r="R320" s="4"/>
      <c r="S320" s="4"/>
      <c r="T320" s="4"/>
      <c r="U320" s="7"/>
      <c r="V320" s="4"/>
      <c r="W320" s="4"/>
      <c r="X320" s="4"/>
      <c r="Y320" s="4"/>
      <c r="Z320" s="4"/>
      <c r="AA320" s="5"/>
      <c r="AB320" s="5"/>
      <c r="AC320" s="5"/>
      <c r="AD320" s="5"/>
      <c r="AE320" s="5"/>
    </row>
    <row r="321">
      <c r="A321" s="14" t="s">
        <v>240</v>
      </c>
      <c r="B321" s="19">
        <v>44280.51422453704</v>
      </c>
      <c r="C321" s="4">
        <v>49864.0</v>
      </c>
      <c r="D321" s="4" t="s">
        <v>241</v>
      </c>
      <c r="E321" s="4">
        <v>9.19819558656E11</v>
      </c>
      <c r="F321" s="4">
        <v>16482.0</v>
      </c>
      <c r="G321" s="4"/>
      <c r="H321" s="4" t="s">
        <v>181</v>
      </c>
      <c r="I321" s="4"/>
      <c r="J321" s="4" t="s">
        <v>149</v>
      </c>
      <c r="K321" s="4">
        <v>99.0</v>
      </c>
      <c r="L321" s="4"/>
      <c r="M321" s="4">
        <v>99.0</v>
      </c>
      <c r="N321" s="4" t="s">
        <v>67</v>
      </c>
      <c r="O321" s="4" t="b">
        <v>0</v>
      </c>
      <c r="P321" s="4" t="s">
        <v>68</v>
      </c>
      <c r="Q321" s="4" t="s">
        <v>69</v>
      </c>
      <c r="R321" s="4"/>
      <c r="S321" s="4"/>
      <c r="T321" s="4"/>
      <c r="U321" s="7"/>
      <c r="V321" s="4"/>
      <c r="W321" s="4"/>
      <c r="X321" s="4"/>
      <c r="Y321" s="4"/>
      <c r="Z321" s="4"/>
      <c r="AA321" s="5"/>
      <c r="AB321" s="5"/>
      <c r="AC321" s="5"/>
      <c r="AD321" s="5"/>
      <c r="AE321" s="5"/>
    </row>
    <row r="322">
      <c r="A322" s="14" t="s">
        <v>953</v>
      </c>
      <c r="B322" s="19">
        <v>44280.517800925925</v>
      </c>
      <c r="C322" s="4">
        <v>49958.0</v>
      </c>
      <c r="D322" s="4" t="s">
        <v>954</v>
      </c>
      <c r="E322" s="4">
        <v>9.17439542867E11</v>
      </c>
      <c r="F322" s="4">
        <v>16463.0</v>
      </c>
      <c r="G322" s="4"/>
      <c r="H322" s="4" t="s">
        <v>858</v>
      </c>
      <c r="I322" s="4"/>
      <c r="J322" s="4" t="s">
        <v>149</v>
      </c>
      <c r="K322" s="4">
        <v>99.0</v>
      </c>
      <c r="L322" s="4"/>
      <c r="M322" s="4">
        <v>99.0</v>
      </c>
      <c r="N322" s="4" t="s">
        <v>67</v>
      </c>
      <c r="O322" s="4" t="b">
        <v>0</v>
      </c>
      <c r="P322" s="4" t="s">
        <v>74</v>
      </c>
      <c r="Q322" s="4" t="s">
        <v>69</v>
      </c>
      <c r="R322" s="4"/>
      <c r="S322" s="4"/>
      <c r="T322" s="4"/>
      <c r="U322" s="7"/>
      <c r="V322" s="4"/>
      <c r="W322" s="4"/>
      <c r="X322" s="4"/>
      <c r="Y322" s="4"/>
      <c r="Z322" s="4"/>
      <c r="AA322" s="5"/>
      <c r="AB322" s="5"/>
      <c r="AC322" s="5"/>
      <c r="AD322" s="5"/>
      <c r="AE322" s="5"/>
    </row>
    <row r="323">
      <c r="A323" s="14" t="s">
        <v>937</v>
      </c>
      <c r="B323" s="19">
        <v>44279.45869212963</v>
      </c>
      <c r="C323" s="4">
        <v>49958.0</v>
      </c>
      <c r="D323" s="4" t="s">
        <v>938</v>
      </c>
      <c r="E323" s="4">
        <v>9.18369505698E11</v>
      </c>
      <c r="F323" s="4">
        <v>16443.0</v>
      </c>
      <c r="G323" s="4"/>
      <c r="H323" s="4" t="s">
        <v>858</v>
      </c>
      <c r="I323" s="4"/>
      <c r="J323" s="4" t="s">
        <v>149</v>
      </c>
      <c r="K323" s="4">
        <v>99.0</v>
      </c>
      <c r="L323" s="4"/>
      <c r="M323" s="4">
        <v>99.0</v>
      </c>
      <c r="N323" s="4" t="s">
        <v>67</v>
      </c>
      <c r="O323" s="4" t="b">
        <v>0</v>
      </c>
      <c r="P323" s="4" t="s">
        <v>74</v>
      </c>
      <c r="Q323" s="4" t="s">
        <v>69</v>
      </c>
      <c r="R323" s="4"/>
      <c r="S323" s="4"/>
      <c r="T323" s="4"/>
      <c r="U323" s="7"/>
      <c r="V323" s="4"/>
      <c r="W323" s="4"/>
      <c r="X323" s="4"/>
      <c r="Y323" s="4"/>
      <c r="Z323" s="4"/>
      <c r="AA323" s="5"/>
      <c r="AB323" s="5"/>
      <c r="AC323" s="5"/>
      <c r="AD323" s="5"/>
      <c r="AE323" s="5"/>
    </row>
    <row r="324">
      <c r="A324" s="14" t="s">
        <v>495</v>
      </c>
      <c r="B324" s="19">
        <v>44279.47592592592</v>
      </c>
      <c r="C324" s="4">
        <v>49877.0</v>
      </c>
      <c r="D324" s="4" t="s">
        <v>496</v>
      </c>
      <c r="E324" s="4">
        <v>9.18305555835E11</v>
      </c>
      <c r="F324" s="4">
        <v>16461.0</v>
      </c>
      <c r="G324" s="4"/>
      <c r="H324" s="4" t="s">
        <v>280</v>
      </c>
      <c r="I324" s="4"/>
      <c r="J324" s="4" t="s">
        <v>85</v>
      </c>
      <c r="K324" s="4">
        <v>99.0</v>
      </c>
      <c r="L324" s="4"/>
      <c r="M324" s="4">
        <v>99.0</v>
      </c>
      <c r="N324" s="4" t="s">
        <v>67</v>
      </c>
      <c r="O324" s="4" t="b">
        <v>0</v>
      </c>
      <c r="P324" s="4" t="s">
        <v>68</v>
      </c>
      <c r="Q324" s="4" t="s">
        <v>69</v>
      </c>
      <c r="R324" s="4"/>
      <c r="S324" s="4"/>
      <c r="T324" s="4"/>
      <c r="U324" s="7"/>
      <c r="V324" s="4"/>
      <c r="W324" s="4"/>
      <c r="X324" s="4"/>
      <c r="Y324" s="4"/>
      <c r="Z324" s="4"/>
      <c r="AA324" s="5"/>
      <c r="AB324" s="5"/>
      <c r="AC324" s="5"/>
      <c r="AD324" s="5"/>
      <c r="AE324" s="5"/>
    </row>
    <row r="325">
      <c r="A325" s="14" t="s">
        <v>1163</v>
      </c>
      <c r="B325" s="19">
        <v>44280.52097222222</v>
      </c>
      <c r="C325" s="4">
        <v>49835.0</v>
      </c>
      <c r="D325" s="4" t="s">
        <v>1164</v>
      </c>
      <c r="E325" s="4">
        <v>9.18200299213E11</v>
      </c>
      <c r="F325" s="4">
        <v>16464.0</v>
      </c>
      <c r="G325" s="4"/>
      <c r="H325" s="4" t="s">
        <v>680</v>
      </c>
      <c r="I325" s="4"/>
      <c r="J325" s="4" t="s">
        <v>85</v>
      </c>
      <c r="K325" s="4">
        <v>99.0</v>
      </c>
      <c r="L325" s="4"/>
      <c r="M325" s="4">
        <v>99.0</v>
      </c>
      <c r="N325" s="4" t="s">
        <v>67</v>
      </c>
      <c r="O325" s="4" t="b">
        <v>0</v>
      </c>
      <c r="P325" s="4" t="s">
        <v>68</v>
      </c>
      <c r="Q325" s="4" t="s">
        <v>69</v>
      </c>
      <c r="R325" s="4"/>
      <c r="S325" s="4"/>
      <c r="T325" s="4"/>
      <c r="U325" s="7"/>
      <c r="V325" s="4"/>
      <c r="W325" s="4"/>
      <c r="X325" s="4"/>
      <c r="Y325" s="4"/>
      <c r="Z325" s="4"/>
      <c r="AA325" s="5"/>
      <c r="AB325" s="5"/>
      <c r="AC325" s="5"/>
      <c r="AD325" s="5"/>
      <c r="AE325" s="5"/>
    </row>
    <row r="326">
      <c r="A326" s="14" t="s">
        <v>497</v>
      </c>
      <c r="B326" s="19">
        <v>44279.47902777778</v>
      </c>
      <c r="C326" s="4">
        <v>49834.0</v>
      </c>
      <c r="D326" s="4" t="s">
        <v>498</v>
      </c>
      <c r="E326" s="4">
        <v>9.19619908277E11</v>
      </c>
      <c r="F326" s="4">
        <v>16456.0</v>
      </c>
      <c r="G326" s="4"/>
      <c r="H326" s="4" t="s">
        <v>76</v>
      </c>
      <c r="I326" s="4"/>
      <c r="J326" s="4" t="s">
        <v>85</v>
      </c>
      <c r="K326" s="4">
        <v>299.0</v>
      </c>
      <c r="L326" s="4"/>
      <c r="M326" s="4">
        <v>299.0</v>
      </c>
      <c r="N326" s="4" t="s">
        <v>67</v>
      </c>
      <c r="O326" s="4" t="b">
        <v>0</v>
      </c>
      <c r="P326" s="4" t="s">
        <v>68</v>
      </c>
      <c r="Q326" s="4" t="s">
        <v>69</v>
      </c>
      <c r="R326" s="4"/>
      <c r="S326" s="4"/>
      <c r="T326" s="4"/>
      <c r="U326" s="7"/>
      <c r="V326" s="4"/>
      <c r="W326" s="4"/>
      <c r="X326" s="4"/>
      <c r="Y326" s="4"/>
      <c r="Z326" s="4"/>
      <c r="AA326" s="5"/>
      <c r="AB326" s="5"/>
      <c r="AC326" s="5"/>
      <c r="AD326" s="5"/>
      <c r="AE326" s="5"/>
    </row>
    <row r="327">
      <c r="A327" s="14" t="s">
        <v>499</v>
      </c>
      <c r="B327" s="19">
        <v>44279.4841087963</v>
      </c>
      <c r="C327" s="4">
        <v>49962.0</v>
      </c>
      <c r="D327" s="4" t="s">
        <v>500</v>
      </c>
      <c r="E327" s="4">
        <v>9.19092994666E11</v>
      </c>
      <c r="F327" s="4" t="s">
        <v>83</v>
      </c>
      <c r="G327" s="4"/>
      <c r="H327" s="4" t="s">
        <v>245</v>
      </c>
      <c r="I327" s="4"/>
      <c r="J327" s="4" t="s">
        <v>85</v>
      </c>
      <c r="K327" s="4">
        <v>99.0</v>
      </c>
      <c r="L327" s="4"/>
      <c r="M327" s="4">
        <v>99.0</v>
      </c>
      <c r="N327" s="4" t="s">
        <v>67</v>
      </c>
      <c r="O327" s="4" t="b">
        <v>0</v>
      </c>
      <c r="P327" s="4" t="s">
        <v>97</v>
      </c>
      <c r="Q327" s="4" t="s">
        <v>69</v>
      </c>
      <c r="R327" s="4"/>
      <c r="S327" s="4"/>
      <c r="T327" s="4"/>
      <c r="U327" s="7"/>
      <c r="V327" s="4"/>
      <c r="W327" s="4"/>
      <c r="X327" s="4"/>
      <c r="Y327" s="4"/>
      <c r="Z327" s="4"/>
      <c r="AA327" s="5"/>
      <c r="AB327" s="5"/>
      <c r="AC327" s="5"/>
      <c r="AD327" s="5"/>
      <c r="AE327" s="5"/>
    </row>
    <row r="328">
      <c r="A328" s="14" t="s">
        <v>501</v>
      </c>
      <c r="B328" s="19">
        <v>44279.55262731481</v>
      </c>
      <c r="C328" s="4">
        <v>49833.0</v>
      </c>
      <c r="D328" s="4" t="s">
        <v>502</v>
      </c>
      <c r="E328" s="4">
        <v>9.16282875819E11</v>
      </c>
      <c r="F328" s="4" t="s">
        <v>83</v>
      </c>
      <c r="G328" s="4"/>
      <c r="H328" s="4" t="s">
        <v>184</v>
      </c>
      <c r="I328" s="4"/>
      <c r="J328" s="4" t="s">
        <v>85</v>
      </c>
      <c r="K328" s="4">
        <v>99.0</v>
      </c>
      <c r="L328" s="4"/>
      <c r="M328" s="4">
        <v>99.0</v>
      </c>
      <c r="N328" s="4" t="s">
        <v>67</v>
      </c>
      <c r="O328" s="4" t="b">
        <v>0</v>
      </c>
      <c r="P328" s="4" t="s">
        <v>68</v>
      </c>
      <c r="Q328" s="4" t="s">
        <v>69</v>
      </c>
      <c r="R328" s="4"/>
      <c r="S328" s="4"/>
      <c r="T328" s="4"/>
      <c r="U328" s="7"/>
      <c r="V328" s="4"/>
      <c r="W328" s="4"/>
      <c r="X328" s="4"/>
      <c r="Y328" s="4"/>
      <c r="Z328" s="4"/>
      <c r="AA328" s="5"/>
      <c r="AB328" s="5"/>
      <c r="AC328" s="5"/>
      <c r="AD328" s="5"/>
      <c r="AE328" s="5"/>
    </row>
    <row r="329">
      <c r="A329" s="14" t="s">
        <v>537</v>
      </c>
      <c r="B329" s="19">
        <v>44280.61856481482</v>
      </c>
      <c r="C329" s="4">
        <v>49833.0</v>
      </c>
      <c r="D329" s="4" t="s">
        <v>538</v>
      </c>
      <c r="E329" s="4">
        <v>9.18871978138E11</v>
      </c>
      <c r="F329" s="4">
        <v>16522.0</v>
      </c>
      <c r="G329" s="4"/>
      <c r="H329" s="4" t="s">
        <v>184</v>
      </c>
      <c r="I329" s="4"/>
      <c r="J329" s="4" t="s">
        <v>85</v>
      </c>
      <c r="K329" s="4">
        <v>99.0</v>
      </c>
      <c r="L329" s="4"/>
      <c r="M329" s="4">
        <v>99.0</v>
      </c>
      <c r="N329" s="4" t="s">
        <v>67</v>
      </c>
      <c r="O329" s="4" t="b">
        <v>0</v>
      </c>
      <c r="P329" s="4" t="s">
        <v>68</v>
      </c>
      <c r="Q329" s="4" t="s">
        <v>69</v>
      </c>
      <c r="R329" s="4"/>
      <c r="S329" s="4"/>
      <c r="T329" s="4"/>
      <c r="U329" s="7"/>
      <c r="V329" s="4"/>
      <c r="W329" s="4"/>
      <c r="X329" s="4"/>
      <c r="Y329" s="4"/>
      <c r="Z329" s="4"/>
      <c r="AA329" s="5"/>
      <c r="AB329" s="5"/>
      <c r="AC329" s="5"/>
      <c r="AD329" s="5"/>
      <c r="AE329" s="5"/>
    </row>
    <row r="330">
      <c r="A330" s="14" t="s">
        <v>503</v>
      </c>
      <c r="B330" s="19">
        <v>44279.56251157408</v>
      </c>
      <c r="C330" s="4">
        <v>49962.0</v>
      </c>
      <c r="D330" s="4" t="s">
        <v>504</v>
      </c>
      <c r="E330" s="4">
        <v>9.19892454854E11</v>
      </c>
      <c r="F330" s="4" t="s">
        <v>83</v>
      </c>
      <c r="G330" s="4"/>
      <c r="H330" s="4" t="s">
        <v>245</v>
      </c>
      <c r="I330" s="4"/>
      <c r="J330" s="4" t="s">
        <v>85</v>
      </c>
      <c r="K330" s="4">
        <v>99.0</v>
      </c>
      <c r="L330" s="4"/>
      <c r="M330" s="4">
        <v>99.0</v>
      </c>
      <c r="N330" s="4" t="s">
        <v>67</v>
      </c>
      <c r="O330" s="4" t="b">
        <v>0</v>
      </c>
      <c r="P330" s="4" t="s">
        <v>68</v>
      </c>
      <c r="Q330" s="4" t="s">
        <v>69</v>
      </c>
      <c r="R330" s="4"/>
      <c r="S330" s="4"/>
      <c r="T330" s="4"/>
      <c r="U330" s="7"/>
      <c r="V330" s="4"/>
      <c r="W330" s="4"/>
      <c r="X330" s="4"/>
      <c r="Y330" s="4"/>
      <c r="Z330" s="4"/>
      <c r="AA330" s="5"/>
      <c r="AB330" s="5"/>
      <c r="AC330" s="5"/>
      <c r="AD330" s="5"/>
      <c r="AE330" s="5"/>
    </row>
    <row r="331">
      <c r="A331" s="14" t="s">
        <v>539</v>
      </c>
      <c r="B331" s="19">
        <v>44280.623148148145</v>
      </c>
      <c r="C331" s="4">
        <v>49833.0</v>
      </c>
      <c r="D331" s="4" t="s">
        <v>540</v>
      </c>
      <c r="E331" s="4">
        <v>9.19790898016E11</v>
      </c>
      <c r="F331" s="4">
        <v>16555.0</v>
      </c>
      <c r="G331" s="4"/>
      <c r="H331" s="4" t="s">
        <v>184</v>
      </c>
      <c r="I331" s="4"/>
      <c r="J331" s="4" t="s">
        <v>85</v>
      </c>
      <c r="K331" s="4">
        <v>99.0</v>
      </c>
      <c r="L331" s="4"/>
      <c r="M331" s="4">
        <v>99.0</v>
      </c>
      <c r="N331" s="4" t="s">
        <v>67</v>
      </c>
      <c r="O331" s="4" t="b">
        <v>0</v>
      </c>
      <c r="P331" s="4" t="s">
        <v>68</v>
      </c>
      <c r="Q331" s="4" t="s">
        <v>69</v>
      </c>
      <c r="R331" s="4"/>
      <c r="S331" s="4"/>
      <c r="T331" s="4"/>
      <c r="U331" s="7"/>
      <c r="V331" s="4"/>
      <c r="W331" s="4"/>
      <c r="X331" s="4"/>
      <c r="Y331" s="4"/>
      <c r="Z331" s="4"/>
      <c r="AA331" s="5"/>
      <c r="AB331" s="5"/>
      <c r="AC331" s="5"/>
      <c r="AD331" s="5"/>
      <c r="AE331" s="5"/>
    </row>
    <row r="332">
      <c r="A332" s="14" t="s">
        <v>505</v>
      </c>
      <c r="B332" s="19">
        <v>44279.56387731482</v>
      </c>
      <c r="C332" s="4">
        <v>49833.0</v>
      </c>
      <c r="D332" s="4" t="s">
        <v>506</v>
      </c>
      <c r="E332" s="4">
        <v>9.19110350256E11</v>
      </c>
      <c r="F332" s="4">
        <v>16502.0</v>
      </c>
      <c r="G332" s="4"/>
      <c r="H332" s="4" t="s">
        <v>184</v>
      </c>
      <c r="I332" s="4"/>
      <c r="J332" s="4" t="s">
        <v>85</v>
      </c>
      <c r="K332" s="4">
        <v>99.0</v>
      </c>
      <c r="L332" s="4"/>
      <c r="M332" s="4">
        <v>99.0</v>
      </c>
      <c r="N332" s="4" t="s">
        <v>67</v>
      </c>
      <c r="O332" s="4" t="b">
        <v>0</v>
      </c>
      <c r="P332" s="4" t="s">
        <v>68</v>
      </c>
      <c r="Q332" s="4" t="s">
        <v>69</v>
      </c>
      <c r="R332" s="4"/>
      <c r="S332" s="4"/>
      <c r="T332" s="4"/>
      <c r="U332" s="7"/>
      <c r="V332" s="4"/>
      <c r="W332" s="4"/>
      <c r="X332" s="4"/>
      <c r="Y332" s="4"/>
      <c r="Z332" s="4"/>
      <c r="AA332" s="5"/>
      <c r="AB332" s="5"/>
      <c r="AC332" s="5"/>
      <c r="AD332" s="5"/>
      <c r="AE332" s="5"/>
    </row>
    <row r="333">
      <c r="A333" s="14" t="s">
        <v>941</v>
      </c>
      <c r="B333" s="19">
        <v>44279.56673611111</v>
      </c>
      <c r="C333" s="4">
        <v>49958.0</v>
      </c>
      <c r="D333" s="4" t="s">
        <v>942</v>
      </c>
      <c r="E333" s="4">
        <v>9.1878825876E11</v>
      </c>
      <c r="F333" s="4">
        <v>16442.0</v>
      </c>
      <c r="G333" s="4"/>
      <c r="H333" s="4" t="s">
        <v>858</v>
      </c>
      <c r="I333" s="4"/>
      <c r="J333" s="4" t="s">
        <v>149</v>
      </c>
      <c r="K333" s="4">
        <v>99.0</v>
      </c>
      <c r="L333" s="4"/>
      <c r="M333" s="4">
        <v>99.0</v>
      </c>
      <c r="N333" s="4" t="s">
        <v>67</v>
      </c>
      <c r="O333" s="4" t="b">
        <v>0</v>
      </c>
      <c r="P333" s="4" t="s">
        <v>68</v>
      </c>
      <c r="Q333" s="4" t="s">
        <v>69</v>
      </c>
      <c r="R333" s="4"/>
      <c r="S333" s="4"/>
      <c r="T333" s="4"/>
      <c r="U333" s="7"/>
      <c r="V333" s="4"/>
      <c r="W333" s="4"/>
      <c r="X333" s="4"/>
      <c r="Y333" s="4"/>
      <c r="Z333" s="4"/>
      <c r="AA333" s="5"/>
      <c r="AB333" s="5"/>
      <c r="AC333" s="5"/>
      <c r="AD333" s="5"/>
      <c r="AE333" s="5"/>
    </row>
    <row r="334">
      <c r="A334" s="14" t="s">
        <v>541</v>
      </c>
      <c r="B334" s="19">
        <v>44280.62994212963</v>
      </c>
      <c r="C334" s="4">
        <v>49833.0</v>
      </c>
      <c r="D334" s="4" t="s">
        <v>542</v>
      </c>
      <c r="E334" s="4">
        <v>9.19160244412E11</v>
      </c>
      <c r="F334" s="4">
        <v>16491.0</v>
      </c>
      <c r="G334" s="4"/>
      <c r="H334" s="4" t="s">
        <v>184</v>
      </c>
      <c r="I334" s="4"/>
      <c r="J334" s="4" t="s">
        <v>85</v>
      </c>
      <c r="K334" s="4">
        <v>99.0</v>
      </c>
      <c r="L334" s="4"/>
      <c r="M334" s="4">
        <v>99.0</v>
      </c>
      <c r="N334" s="4" t="s">
        <v>67</v>
      </c>
      <c r="O334" s="4" t="b">
        <v>0</v>
      </c>
      <c r="P334" s="4" t="s">
        <v>68</v>
      </c>
      <c r="Q334" s="4" t="s">
        <v>69</v>
      </c>
      <c r="R334" s="4"/>
      <c r="S334" s="4"/>
      <c r="T334" s="4"/>
      <c r="U334" s="7"/>
      <c r="V334" s="4"/>
      <c r="W334" s="4"/>
      <c r="X334" s="4"/>
      <c r="Y334" s="4"/>
      <c r="Z334" s="4"/>
      <c r="AA334" s="5"/>
      <c r="AB334" s="5"/>
      <c r="AC334" s="5"/>
      <c r="AD334" s="5"/>
      <c r="AE334" s="5"/>
    </row>
    <row r="335">
      <c r="A335" s="14" t="s">
        <v>543</v>
      </c>
      <c r="B335" s="19">
        <v>44280.70685185185</v>
      </c>
      <c r="C335" s="4">
        <v>49833.0</v>
      </c>
      <c r="D335" s="4" t="s">
        <v>544</v>
      </c>
      <c r="E335" s="4">
        <v>9.19731960363E11</v>
      </c>
      <c r="F335" s="4">
        <v>16479.0</v>
      </c>
      <c r="G335" s="4"/>
      <c r="H335" s="4" t="s">
        <v>184</v>
      </c>
      <c r="I335" s="4"/>
      <c r="J335" s="4" t="s">
        <v>85</v>
      </c>
      <c r="K335" s="4">
        <v>99.0</v>
      </c>
      <c r="L335" s="4"/>
      <c r="M335" s="4">
        <v>99.0</v>
      </c>
      <c r="N335" s="4" t="s">
        <v>67</v>
      </c>
      <c r="O335" s="4" t="b">
        <v>0</v>
      </c>
      <c r="P335" s="4" t="s">
        <v>68</v>
      </c>
      <c r="Q335" s="4" t="s">
        <v>69</v>
      </c>
      <c r="R335" s="4"/>
      <c r="S335" s="4"/>
      <c r="T335" s="4"/>
      <c r="U335" s="7"/>
      <c r="V335" s="4"/>
      <c r="W335" s="4"/>
      <c r="X335" s="4"/>
      <c r="Y335" s="4"/>
      <c r="Z335" s="4"/>
      <c r="AA335" s="5"/>
      <c r="AB335" s="5"/>
      <c r="AC335" s="5"/>
      <c r="AD335" s="5"/>
      <c r="AE335" s="5"/>
    </row>
    <row r="336">
      <c r="A336" s="14" t="s">
        <v>545</v>
      </c>
      <c r="B336" s="19">
        <v>44280.74267361111</v>
      </c>
      <c r="C336" s="4">
        <v>49833.0</v>
      </c>
      <c r="D336" s="4" t="s">
        <v>546</v>
      </c>
      <c r="E336" s="4">
        <v>9.18126621906E11</v>
      </c>
      <c r="F336" s="4">
        <v>16478.0</v>
      </c>
      <c r="G336" s="4"/>
      <c r="H336" s="4" t="s">
        <v>184</v>
      </c>
      <c r="I336" s="4"/>
      <c r="J336" s="4" t="s">
        <v>85</v>
      </c>
      <c r="K336" s="4">
        <v>99.0</v>
      </c>
      <c r="L336" s="4"/>
      <c r="M336" s="4">
        <v>99.0</v>
      </c>
      <c r="N336" s="4" t="s">
        <v>67</v>
      </c>
      <c r="O336" s="4" t="b">
        <v>0</v>
      </c>
      <c r="P336" s="4" t="s">
        <v>68</v>
      </c>
      <c r="Q336" s="4" t="s">
        <v>69</v>
      </c>
      <c r="R336" s="4"/>
      <c r="S336" s="4"/>
      <c r="T336" s="4"/>
      <c r="U336" s="7"/>
      <c r="V336" s="4"/>
      <c r="W336" s="4"/>
      <c r="X336" s="4"/>
      <c r="Y336" s="4"/>
      <c r="Z336" s="4"/>
      <c r="AA336" s="5"/>
      <c r="AB336" s="5"/>
      <c r="AC336" s="5"/>
      <c r="AD336" s="5"/>
      <c r="AE336" s="5"/>
    </row>
    <row r="337">
      <c r="A337" s="14" t="s">
        <v>547</v>
      </c>
      <c r="B337" s="19">
        <v>44280.74699074074</v>
      </c>
      <c r="C337" s="4">
        <v>49962.0</v>
      </c>
      <c r="D337" s="4" t="s">
        <v>548</v>
      </c>
      <c r="E337" s="4">
        <v>9.17827234407E11</v>
      </c>
      <c r="F337" s="4">
        <v>16578.0</v>
      </c>
      <c r="G337" s="4"/>
      <c r="H337" s="4" t="s">
        <v>245</v>
      </c>
      <c r="I337" s="4"/>
      <c r="J337" s="4" t="s">
        <v>85</v>
      </c>
      <c r="K337" s="4">
        <v>99.0</v>
      </c>
      <c r="L337" s="4"/>
      <c r="M337" s="4">
        <v>99.0</v>
      </c>
      <c r="N337" s="4" t="s">
        <v>67</v>
      </c>
      <c r="O337" s="4" t="b">
        <v>0</v>
      </c>
      <c r="P337" s="4" t="s">
        <v>68</v>
      </c>
      <c r="Q337" s="4" t="s">
        <v>69</v>
      </c>
      <c r="R337" s="4"/>
      <c r="S337" s="4"/>
      <c r="T337" s="4"/>
      <c r="U337" s="7"/>
      <c r="V337" s="4"/>
      <c r="W337" s="4"/>
      <c r="X337" s="4"/>
      <c r="Y337" s="4"/>
      <c r="Z337" s="4"/>
      <c r="AA337" s="5"/>
      <c r="AB337" s="5"/>
      <c r="AC337" s="5"/>
      <c r="AD337" s="5"/>
      <c r="AE337" s="5"/>
    </row>
    <row r="338">
      <c r="A338" s="14" t="s">
        <v>549</v>
      </c>
      <c r="B338" s="19">
        <v>44280.74869212963</v>
      </c>
      <c r="C338" s="4">
        <v>49833.0</v>
      </c>
      <c r="D338" s="4" t="s">
        <v>550</v>
      </c>
      <c r="E338" s="4">
        <v>9.18073017499E11</v>
      </c>
      <c r="F338" s="4">
        <v>16486.0</v>
      </c>
      <c r="G338" s="4"/>
      <c r="H338" s="4" t="s">
        <v>184</v>
      </c>
      <c r="I338" s="4"/>
      <c r="J338" s="4" t="s">
        <v>85</v>
      </c>
      <c r="K338" s="4">
        <v>99.0</v>
      </c>
      <c r="L338" s="4"/>
      <c r="M338" s="4">
        <v>99.0</v>
      </c>
      <c r="N338" s="4" t="s">
        <v>67</v>
      </c>
      <c r="O338" s="4" t="b">
        <v>0</v>
      </c>
      <c r="P338" s="4" t="s">
        <v>68</v>
      </c>
      <c r="Q338" s="4" t="s">
        <v>69</v>
      </c>
      <c r="R338" s="4"/>
      <c r="S338" s="4"/>
      <c r="T338" s="4"/>
      <c r="U338" s="7"/>
      <c r="V338" s="4"/>
      <c r="W338" s="4"/>
      <c r="X338" s="4"/>
      <c r="Y338" s="4"/>
      <c r="Z338" s="4"/>
      <c r="AA338" s="5"/>
      <c r="AB338" s="5"/>
      <c r="AC338" s="5"/>
      <c r="AD338" s="5"/>
      <c r="AE338" s="5"/>
    </row>
    <row r="339">
      <c r="A339" s="14" t="s">
        <v>959</v>
      </c>
      <c r="B339" s="19">
        <v>44280.75215277778</v>
      </c>
      <c r="C339" s="4">
        <v>49834.0</v>
      </c>
      <c r="D339" s="4" t="s">
        <v>961</v>
      </c>
      <c r="E339" s="4">
        <v>9.18777050269E11</v>
      </c>
      <c r="F339" s="4">
        <v>16471.0</v>
      </c>
      <c r="G339" s="4"/>
      <c r="H339" s="4" t="s">
        <v>960</v>
      </c>
      <c r="I339" s="4"/>
      <c r="J339" s="4" t="s">
        <v>149</v>
      </c>
      <c r="K339" s="4">
        <v>699.0</v>
      </c>
      <c r="L339" s="4"/>
      <c r="M339" s="4">
        <v>699.0</v>
      </c>
      <c r="N339" s="4" t="s">
        <v>67</v>
      </c>
      <c r="O339" s="4" t="b">
        <v>0</v>
      </c>
      <c r="P339" s="4" t="s">
        <v>68</v>
      </c>
      <c r="Q339" s="4" t="s">
        <v>69</v>
      </c>
      <c r="R339" s="4"/>
      <c r="S339" s="4"/>
      <c r="T339" s="4"/>
      <c r="U339" s="7"/>
      <c r="V339" s="4"/>
      <c r="W339" s="4"/>
      <c r="X339" s="4"/>
      <c r="Y339" s="4"/>
      <c r="Z339" s="4"/>
      <c r="AA339" s="5"/>
      <c r="AB339" s="5"/>
      <c r="AC339" s="5"/>
      <c r="AD339" s="5"/>
      <c r="AE339" s="5"/>
    </row>
    <row r="340">
      <c r="A340" s="14" t="s">
        <v>1165</v>
      </c>
      <c r="B340" s="19">
        <v>44280.75269675926</v>
      </c>
      <c r="C340" s="4">
        <v>49835.0</v>
      </c>
      <c r="D340" s="4" t="s">
        <v>1166</v>
      </c>
      <c r="E340" s="4">
        <v>9.19975642616E11</v>
      </c>
      <c r="F340" s="4">
        <v>11236.0</v>
      </c>
      <c r="G340" s="4"/>
      <c r="H340" s="4" t="s">
        <v>680</v>
      </c>
      <c r="I340" s="4"/>
      <c r="J340" s="4" t="s">
        <v>85</v>
      </c>
      <c r="K340" s="4">
        <v>99.0</v>
      </c>
      <c r="L340" s="4"/>
      <c r="M340" s="4">
        <v>99.0</v>
      </c>
      <c r="N340" s="4" t="s">
        <v>67</v>
      </c>
      <c r="O340" s="4" t="b">
        <v>0</v>
      </c>
      <c r="P340" s="4" t="s">
        <v>68</v>
      </c>
      <c r="Q340" s="4" t="s">
        <v>69</v>
      </c>
      <c r="R340" s="4"/>
      <c r="S340" s="4"/>
      <c r="T340" s="4"/>
      <c r="U340" s="7"/>
      <c r="V340" s="4"/>
      <c r="W340" s="4"/>
      <c r="X340" s="4"/>
      <c r="Y340" s="4"/>
      <c r="Z340" s="4"/>
      <c r="AA340" s="5"/>
      <c r="AB340" s="5"/>
      <c r="AC340" s="5"/>
      <c r="AD340" s="5"/>
      <c r="AE340" s="5"/>
    </row>
    <row r="341">
      <c r="A341" s="14" t="s">
        <v>557</v>
      </c>
      <c r="B341" s="19">
        <v>44280.778391203705</v>
      </c>
      <c r="C341" s="4">
        <v>49833.0</v>
      </c>
      <c r="D341" s="4" t="s">
        <v>558</v>
      </c>
      <c r="E341" s="4">
        <v>9.17709077352E11</v>
      </c>
      <c r="F341" s="4">
        <v>16497.0</v>
      </c>
      <c r="G341" s="4"/>
      <c r="H341" s="4" t="s">
        <v>184</v>
      </c>
      <c r="I341" s="4"/>
      <c r="J341" s="4" t="s">
        <v>85</v>
      </c>
      <c r="K341" s="4">
        <v>99.0</v>
      </c>
      <c r="L341" s="4"/>
      <c r="M341" s="4">
        <v>99.0</v>
      </c>
      <c r="N341" s="4" t="s">
        <v>67</v>
      </c>
      <c r="O341" s="4" t="b">
        <v>0</v>
      </c>
      <c r="P341" s="4" t="s">
        <v>68</v>
      </c>
      <c r="Q341" s="4" t="s">
        <v>69</v>
      </c>
      <c r="R341" s="4"/>
      <c r="S341" s="4"/>
      <c r="T341" s="4"/>
      <c r="U341" s="7"/>
      <c r="V341" s="4"/>
      <c r="W341" s="4"/>
      <c r="X341" s="4"/>
      <c r="Y341" s="4"/>
      <c r="Z341" s="4"/>
      <c r="AA341" s="5"/>
      <c r="AB341" s="5"/>
      <c r="AC341" s="5"/>
      <c r="AD341" s="5"/>
      <c r="AE341" s="5"/>
    </row>
    <row r="342">
      <c r="A342" s="14" t="s">
        <v>249</v>
      </c>
      <c r="B342" s="19">
        <v>44280.76225694444</v>
      </c>
      <c r="C342" s="4">
        <v>49864.0</v>
      </c>
      <c r="D342" s="4" t="s">
        <v>250</v>
      </c>
      <c r="E342" s="4">
        <v>9.19819825204E11</v>
      </c>
      <c r="F342" s="4" t="s">
        <v>83</v>
      </c>
      <c r="G342" s="4"/>
      <c r="H342" s="4" t="s">
        <v>181</v>
      </c>
      <c r="I342" s="4"/>
      <c r="J342" s="4" t="s">
        <v>149</v>
      </c>
      <c r="K342" s="4">
        <v>99.0</v>
      </c>
      <c r="L342" s="4"/>
      <c r="M342" s="4">
        <v>99.0</v>
      </c>
      <c r="N342" s="4" t="s">
        <v>67</v>
      </c>
      <c r="O342" s="4" t="b">
        <v>0</v>
      </c>
      <c r="P342" s="4" t="s">
        <v>68</v>
      </c>
      <c r="Q342" s="4" t="s">
        <v>69</v>
      </c>
      <c r="R342" s="4"/>
      <c r="S342" s="4"/>
      <c r="T342" s="4"/>
      <c r="U342" s="7"/>
      <c r="V342" s="4"/>
      <c r="W342" s="4"/>
      <c r="X342" s="4"/>
      <c r="Y342" s="4"/>
      <c r="Z342" s="4"/>
      <c r="AA342" s="5"/>
      <c r="AB342" s="5"/>
      <c r="AC342" s="5"/>
      <c r="AD342" s="5"/>
      <c r="AE342" s="5"/>
    </row>
    <row r="343">
      <c r="A343" s="14" t="s">
        <v>559</v>
      </c>
      <c r="B343" s="19">
        <v>44280.806608796294</v>
      </c>
      <c r="C343" s="4">
        <v>49833.0</v>
      </c>
      <c r="D343" s="4" t="s">
        <v>560</v>
      </c>
      <c r="E343" s="4">
        <v>9.19819469277E11</v>
      </c>
      <c r="F343" s="4">
        <v>16477.0</v>
      </c>
      <c r="G343" s="4"/>
      <c r="H343" s="4" t="s">
        <v>184</v>
      </c>
      <c r="I343" s="4"/>
      <c r="J343" s="4" t="s">
        <v>85</v>
      </c>
      <c r="K343" s="4">
        <v>99.0</v>
      </c>
      <c r="L343" s="4"/>
      <c r="M343" s="4">
        <v>99.0</v>
      </c>
      <c r="N343" s="4" t="s">
        <v>67</v>
      </c>
      <c r="O343" s="4" t="b">
        <v>0</v>
      </c>
      <c r="P343" s="4" t="s">
        <v>68</v>
      </c>
      <c r="Q343" s="4" t="s">
        <v>69</v>
      </c>
      <c r="R343" s="4"/>
      <c r="S343" s="4"/>
      <c r="T343" s="4"/>
      <c r="U343" s="7"/>
      <c r="V343" s="4"/>
      <c r="W343" s="4"/>
      <c r="X343" s="4"/>
      <c r="Y343" s="4"/>
      <c r="Z343" s="4"/>
      <c r="AA343" s="5"/>
      <c r="AB343" s="5"/>
      <c r="AC343" s="5"/>
      <c r="AD343" s="5"/>
      <c r="AE343" s="5"/>
    </row>
    <row r="344">
      <c r="A344" s="14" t="s">
        <v>1167</v>
      </c>
      <c r="B344" s="19">
        <v>44280.83300925926</v>
      </c>
      <c r="C344" s="4">
        <v>49835.0</v>
      </c>
      <c r="D344" s="4" t="s">
        <v>1168</v>
      </c>
      <c r="E344" s="4">
        <v>9.19861036869E11</v>
      </c>
      <c r="F344" s="4">
        <v>16468.0</v>
      </c>
      <c r="G344" s="4"/>
      <c r="H344" s="4" t="s">
        <v>680</v>
      </c>
      <c r="I344" s="4"/>
      <c r="J344" s="4" t="s">
        <v>85</v>
      </c>
      <c r="K344" s="4">
        <v>99.0</v>
      </c>
      <c r="L344" s="4"/>
      <c r="M344" s="4">
        <v>99.0</v>
      </c>
      <c r="N344" s="4" t="s">
        <v>67</v>
      </c>
      <c r="O344" s="4" t="b">
        <v>0</v>
      </c>
      <c r="P344" s="4" t="s">
        <v>68</v>
      </c>
      <c r="Q344" s="4" t="s">
        <v>69</v>
      </c>
      <c r="R344" s="4"/>
      <c r="S344" s="4"/>
      <c r="T344" s="4"/>
      <c r="U344" s="7"/>
      <c r="V344" s="4"/>
      <c r="W344" s="4"/>
      <c r="X344" s="4"/>
      <c r="Y344" s="4"/>
      <c r="Z344" s="4"/>
      <c r="AA344" s="5"/>
      <c r="AB344" s="5"/>
      <c r="AC344" s="5"/>
      <c r="AD344" s="5"/>
      <c r="AE344" s="5"/>
    </row>
    <row r="345">
      <c r="A345" s="14" t="s">
        <v>2189</v>
      </c>
      <c r="B345" s="19">
        <v>44279.79519675926</v>
      </c>
      <c r="C345" s="4">
        <v>49854.0</v>
      </c>
      <c r="D345" s="4" t="s">
        <v>2190</v>
      </c>
      <c r="E345" s="4">
        <v>9.19850472278E11</v>
      </c>
      <c r="F345" s="4">
        <v>16863.0</v>
      </c>
      <c r="G345" s="4"/>
      <c r="H345" s="4" t="s">
        <v>2161</v>
      </c>
      <c r="I345" s="4"/>
      <c r="J345" s="4" t="s">
        <v>85</v>
      </c>
      <c r="K345" s="4">
        <v>999.0</v>
      </c>
      <c r="L345" s="4"/>
      <c r="M345" s="4">
        <v>999.0</v>
      </c>
      <c r="N345" s="4" t="s">
        <v>67</v>
      </c>
      <c r="O345" s="4" t="b">
        <v>0</v>
      </c>
      <c r="P345" s="4" t="s">
        <v>68</v>
      </c>
      <c r="Q345" s="4" t="s">
        <v>69</v>
      </c>
      <c r="R345" s="4"/>
      <c r="S345" s="4"/>
      <c r="T345" s="4"/>
      <c r="U345" s="7"/>
      <c r="V345" s="4"/>
      <c r="W345" s="4"/>
      <c r="X345" s="4"/>
      <c r="Y345" s="4"/>
      <c r="Z345" s="4"/>
      <c r="AA345" s="5"/>
      <c r="AB345" s="5"/>
      <c r="AC345" s="5"/>
      <c r="AD345" s="5"/>
      <c r="AE345" s="5"/>
    </row>
    <row r="346">
      <c r="A346" s="14" t="s">
        <v>1169</v>
      </c>
      <c r="B346" s="19">
        <v>44280.85697916667</v>
      </c>
      <c r="C346" s="4">
        <v>49835.0</v>
      </c>
      <c r="D346" s="4" t="s">
        <v>1170</v>
      </c>
      <c r="E346" s="4">
        <v>9.18977292937E11</v>
      </c>
      <c r="F346" s="4">
        <v>16467.0</v>
      </c>
      <c r="G346" s="4"/>
      <c r="H346" s="4" t="s">
        <v>680</v>
      </c>
      <c r="I346" s="4"/>
      <c r="J346" s="4" t="s">
        <v>85</v>
      </c>
      <c r="K346" s="4">
        <v>99.0</v>
      </c>
      <c r="L346" s="4"/>
      <c r="M346" s="4">
        <v>99.0</v>
      </c>
      <c r="N346" s="4" t="s">
        <v>67</v>
      </c>
      <c r="O346" s="4" t="b">
        <v>0</v>
      </c>
      <c r="P346" s="4" t="s">
        <v>68</v>
      </c>
      <c r="Q346" s="4" t="s">
        <v>69</v>
      </c>
      <c r="R346" s="4"/>
      <c r="S346" s="4"/>
      <c r="T346" s="4"/>
      <c r="U346" s="7"/>
      <c r="V346" s="4"/>
      <c r="W346" s="4"/>
      <c r="X346" s="4"/>
      <c r="Y346" s="4"/>
      <c r="Z346" s="4"/>
      <c r="AA346" s="5"/>
      <c r="AB346" s="5"/>
      <c r="AC346" s="5"/>
      <c r="AD346" s="5"/>
      <c r="AE346" s="5"/>
    </row>
    <row r="347">
      <c r="A347" s="14" t="s">
        <v>1118</v>
      </c>
      <c r="B347" s="19">
        <v>44279.79226851852</v>
      </c>
      <c r="C347" s="4">
        <v>49835.0</v>
      </c>
      <c r="D347" s="4" t="s">
        <v>1119</v>
      </c>
      <c r="E347" s="4">
        <v>9.18099773482E11</v>
      </c>
      <c r="F347" s="4">
        <v>16451.0</v>
      </c>
      <c r="G347" s="4"/>
      <c r="H347" s="4" t="s">
        <v>680</v>
      </c>
      <c r="I347" s="4"/>
      <c r="J347" s="4" t="s">
        <v>85</v>
      </c>
      <c r="K347" s="4">
        <v>99.0</v>
      </c>
      <c r="L347" s="4"/>
      <c r="M347" s="4">
        <v>99.0</v>
      </c>
      <c r="N347" s="4" t="s">
        <v>67</v>
      </c>
      <c r="O347" s="4" t="b">
        <v>0</v>
      </c>
      <c r="P347" s="4" t="s">
        <v>74</v>
      </c>
      <c r="Q347" s="4" t="s">
        <v>69</v>
      </c>
      <c r="R347" s="4"/>
      <c r="S347" s="4"/>
      <c r="T347" s="4"/>
      <c r="U347" s="7"/>
      <c r="V347" s="4"/>
      <c r="W347" s="4"/>
      <c r="X347" s="4"/>
      <c r="Y347" s="4"/>
      <c r="Z347" s="4"/>
      <c r="AA347" s="5"/>
      <c r="AB347" s="5"/>
      <c r="AC347" s="5"/>
      <c r="AD347" s="5"/>
      <c r="AE347" s="5"/>
    </row>
    <row r="348">
      <c r="A348" s="14" t="s">
        <v>1178</v>
      </c>
      <c r="B348" s="19">
        <v>44280.90309027778</v>
      </c>
      <c r="C348" s="4">
        <v>49835.0</v>
      </c>
      <c r="D348" s="4" t="s">
        <v>1179</v>
      </c>
      <c r="E348" s="4">
        <v>9.17274875448E11</v>
      </c>
      <c r="F348" s="4">
        <v>16488.0</v>
      </c>
      <c r="G348" s="4"/>
      <c r="H348" s="4" t="s">
        <v>680</v>
      </c>
      <c r="I348" s="4"/>
      <c r="J348" s="4" t="s">
        <v>85</v>
      </c>
      <c r="K348" s="4">
        <v>99.0</v>
      </c>
      <c r="L348" s="4"/>
      <c r="M348" s="4">
        <v>99.0</v>
      </c>
      <c r="N348" s="4" t="s">
        <v>67</v>
      </c>
      <c r="O348" s="4" t="b">
        <v>0</v>
      </c>
      <c r="P348" s="4" t="s">
        <v>68</v>
      </c>
      <c r="Q348" s="4" t="s">
        <v>69</v>
      </c>
      <c r="R348" s="4"/>
      <c r="S348" s="4"/>
      <c r="T348" s="4"/>
      <c r="U348" s="7"/>
      <c r="V348" s="4"/>
      <c r="W348" s="4"/>
      <c r="X348" s="4"/>
      <c r="Y348" s="4"/>
      <c r="Z348" s="4"/>
      <c r="AA348" s="5"/>
      <c r="AB348" s="5"/>
      <c r="AC348" s="5"/>
      <c r="AD348" s="5"/>
      <c r="AE348" s="5"/>
    </row>
    <row r="349">
      <c r="A349" s="14" t="s">
        <v>567</v>
      </c>
      <c r="B349" s="19">
        <v>44280.912777777776</v>
      </c>
      <c r="C349" s="4">
        <v>49833.0</v>
      </c>
      <c r="D349" s="4" t="s">
        <v>568</v>
      </c>
      <c r="E349" s="4">
        <v>9.18332003912E11</v>
      </c>
      <c r="F349" s="4">
        <v>7029.0</v>
      </c>
      <c r="G349" s="4"/>
      <c r="H349" s="4" t="s">
        <v>184</v>
      </c>
      <c r="I349" s="4"/>
      <c r="J349" s="4" t="s">
        <v>85</v>
      </c>
      <c r="K349" s="4">
        <v>99.0</v>
      </c>
      <c r="L349" s="4"/>
      <c r="M349" s="4">
        <v>99.0</v>
      </c>
      <c r="N349" s="4" t="s">
        <v>67</v>
      </c>
      <c r="O349" s="4" t="b">
        <v>0</v>
      </c>
      <c r="P349" s="4" t="s">
        <v>68</v>
      </c>
      <c r="Q349" s="4" t="s">
        <v>69</v>
      </c>
      <c r="R349" s="4"/>
      <c r="S349" s="4"/>
      <c r="T349" s="4"/>
      <c r="U349" s="7"/>
      <c r="V349" s="4"/>
      <c r="W349" s="4"/>
      <c r="X349" s="4"/>
      <c r="Y349" s="4"/>
      <c r="Z349" s="4"/>
      <c r="AA349" s="5"/>
      <c r="AB349" s="5"/>
      <c r="AC349" s="5"/>
      <c r="AD349" s="5"/>
      <c r="AE349" s="5"/>
    </row>
    <row r="350">
      <c r="A350" s="14" t="s">
        <v>513</v>
      </c>
      <c r="B350" s="19">
        <v>44279.86329861111</v>
      </c>
      <c r="C350" s="4">
        <v>49834.0</v>
      </c>
      <c r="D350" s="4" t="s">
        <v>514</v>
      </c>
      <c r="E350" s="4">
        <v>9.18240981705E11</v>
      </c>
      <c r="F350" s="4">
        <v>16489.0</v>
      </c>
      <c r="G350" s="4"/>
      <c r="H350" s="4" t="s">
        <v>76</v>
      </c>
      <c r="I350" s="4"/>
      <c r="J350" s="4" t="s">
        <v>77</v>
      </c>
      <c r="K350" s="4">
        <v>499.0</v>
      </c>
      <c r="L350" s="4"/>
      <c r="M350" s="4">
        <v>499.0</v>
      </c>
      <c r="N350" s="4" t="s">
        <v>67</v>
      </c>
      <c r="O350" s="4" t="b">
        <v>0</v>
      </c>
      <c r="P350" s="4" t="s">
        <v>68</v>
      </c>
      <c r="Q350" s="4" t="s">
        <v>69</v>
      </c>
      <c r="R350" s="4"/>
      <c r="S350" s="4"/>
      <c r="T350" s="4"/>
      <c r="U350" s="7"/>
      <c r="V350" s="4"/>
      <c r="W350" s="4"/>
      <c r="X350" s="4"/>
      <c r="Y350" s="4"/>
      <c r="Z350" s="4"/>
      <c r="AA350" s="5"/>
      <c r="AB350" s="5"/>
      <c r="AC350" s="5"/>
      <c r="AD350" s="5"/>
      <c r="AE350" s="5"/>
    </row>
    <row r="351">
      <c r="A351" s="14" t="s">
        <v>1145</v>
      </c>
      <c r="B351" s="19">
        <v>44279.873125</v>
      </c>
      <c r="C351" s="4">
        <v>49835.0</v>
      </c>
      <c r="D351" s="4" t="s">
        <v>1146</v>
      </c>
      <c r="E351" s="4">
        <v>9.19160009508E11</v>
      </c>
      <c r="F351" s="4">
        <v>16452.0</v>
      </c>
      <c r="G351" s="4"/>
      <c r="H351" s="4" t="s">
        <v>680</v>
      </c>
      <c r="I351" s="4"/>
      <c r="J351" s="4" t="s">
        <v>85</v>
      </c>
      <c r="K351" s="4">
        <v>99.0</v>
      </c>
      <c r="L351" s="4"/>
      <c r="M351" s="4">
        <v>99.0</v>
      </c>
      <c r="N351" s="4" t="s">
        <v>67</v>
      </c>
      <c r="O351" s="4" t="b">
        <v>0</v>
      </c>
      <c r="P351" s="4" t="s">
        <v>68</v>
      </c>
      <c r="Q351" s="4" t="s">
        <v>69</v>
      </c>
      <c r="R351" s="4"/>
      <c r="S351" s="4"/>
      <c r="T351" s="4"/>
      <c r="U351" s="7"/>
      <c r="V351" s="4"/>
      <c r="W351" s="4"/>
      <c r="X351" s="4"/>
      <c r="Y351" s="4"/>
      <c r="Z351" s="4"/>
      <c r="AA351" s="5"/>
      <c r="AB351" s="5"/>
      <c r="AC351" s="5"/>
      <c r="AD351" s="5"/>
      <c r="AE351" s="5"/>
    </row>
    <row r="352">
      <c r="A352" s="14" t="s">
        <v>517</v>
      </c>
      <c r="B352" s="19">
        <v>44279.87384259259</v>
      </c>
      <c r="C352" s="4">
        <v>49833.0</v>
      </c>
      <c r="D352" s="4" t="s">
        <v>518</v>
      </c>
      <c r="E352" s="4">
        <v>9.18946071126E11</v>
      </c>
      <c r="F352" s="4">
        <v>16481.0</v>
      </c>
      <c r="G352" s="4"/>
      <c r="H352" s="4" t="s">
        <v>184</v>
      </c>
      <c r="I352" s="4"/>
      <c r="J352" s="4" t="s">
        <v>85</v>
      </c>
      <c r="K352" s="4">
        <v>99.0</v>
      </c>
      <c r="L352" s="4"/>
      <c r="M352" s="4">
        <v>99.0</v>
      </c>
      <c r="N352" s="4" t="s">
        <v>67</v>
      </c>
      <c r="O352" s="4" t="b">
        <v>0</v>
      </c>
      <c r="P352" s="4" t="s">
        <v>68</v>
      </c>
      <c r="Q352" s="4" t="s">
        <v>69</v>
      </c>
      <c r="R352" s="4"/>
      <c r="S352" s="4"/>
      <c r="T352" s="4"/>
      <c r="U352" s="7"/>
      <c r="V352" s="4"/>
      <c r="W352" s="4"/>
      <c r="X352" s="4"/>
      <c r="Y352" s="4"/>
      <c r="Z352" s="4"/>
      <c r="AA352" s="5"/>
      <c r="AB352" s="5"/>
      <c r="AC352" s="5"/>
      <c r="AD352" s="5"/>
      <c r="AE352" s="5"/>
    </row>
    <row r="353">
      <c r="A353" s="14" t="s">
        <v>947</v>
      </c>
      <c r="B353" s="19">
        <v>44279.89659722222</v>
      </c>
      <c r="C353" s="4">
        <v>49958.0</v>
      </c>
      <c r="D353" s="4" t="s">
        <v>948</v>
      </c>
      <c r="E353" s="4">
        <v>9.18279730238E11</v>
      </c>
      <c r="F353" s="4">
        <v>10971.0</v>
      </c>
      <c r="G353" s="4"/>
      <c r="H353" s="4" t="s">
        <v>858</v>
      </c>
      <c r="I353" s="4"/>
      <c r="J353" s="4" t="s">
        <v>149</v>
      </c>
      <c r="K353" s="4">
        <v>99.0</v>
      </c>
      <c r="L353" s="4"/>
      <c r="M353" s="4">
        <v>99.0</v>
      </c>
      <c r="N353" s="4" t="s">
        <v>67</v>
      </c>
      <c r="O353" s="4" t="b">
        <v>0</v>
      </c>
      <c r="P353" s="4" t="s">
        <v>68</v>
      </c>
      <c r="Q353" s="4" t="s">
        <v>69</v>
      </c>
      <c r="R353" s="4"/>
      <c r="S353" s="4"/>
      <c r="T353" s="4"/>
      <c r="U353" s="7"/>
      <c r="V353" s="4"/>
      <c r="W353" s="4"/>
      <c r="X353" s="4"/>
      <c r="Y353" s="4"/>
      <c r="Z353" s="4"/>
      <c r="AA353" s="5"/>
      <c r="AB353" s="5"/>
      <c r="AC353" s="5"/>
      <c r="AD353" s="5"/>
      <c r="AE353" s="5"/>
    </row>
    <row r="354">
      <c r="A354" s="14" t="s">
        <v>1151</v>
      </c>
      <c r="B354" s="19">
        <v>44279.8987037037</v>
      </c>
      <c r="C354" s="4">
        <v>49835.0</v>
      </c>
      <c r="D354" s="4" t="s">
        <v>1152</v>
      </c>
      <c r="E354" s="4">
        <v>9.19059598497E11</v>
      </c>
      <c r="F354" s="4">
        <v>16455.0</v>
      </c>
      <c r="G354" s="4"/>
      <c r="H354" s="4" t="s">
        <v>680</v>
      </c>
      <c r="I354" s="4"/>
      <c r="J354" s="4" t="s">
        <v>85</v>
      </c>
      <c r="K354" s="4">
        <v>99.0</v>
      </c>
      <c r="L354" s="4"/>
      <c r="M354" s="4">
        <v>99.0</v>
      </c>
      <c r="N354" s="4" t="s">
        <v>67</v>
      </c>
      <c r="O354" s="4" t="b">
        <v>0</v>
      </c>
      <c r="P354" s="4" t="s">
        <v>151</v>
      </c>
      <c r="Q354" s="4" t="s">
        <v>69</v>
      </c>
      <c r="R354" s="4"/>
      <c r="S354" s="4"/>
      <c r="T354" s="4"/>
      <c r="U354" s="7"/>
      <c r="V354" s="4"/>
      <c r="W354" s="4"/>
      <c r="X354" s="4"/>
      <c r="Y354" s="4"/>
      <c r="Z354" s="4"/>
      <c r="AA354" s="5"/>
      <c r="AB354" s="5"/>
      <c r="AC354" s="5"/>
      <c r="AD354" s="5"/>
      <c r="AE354" s="5"/>
    </row>
    <row r="355">
      <c r="A355" s="14" t="s">
        <v>523</v>
      </c>
      <c r="B355" s="19">
        <v>44279.946863425925</v>
      </c>
      <c r="C355" s="4">
        <v>49833.0</v>
      </c>
      <c r="D355" s="4" t="s">
        <v>524</v>
      </c>
      <c r="E355" s="4">
        <v>9.19927578255E11</v>
      </c>
      <c r="F355" s="4">
        <v>16719.0</v>
      </c>
      <c r="G355" s="4"/>
      <c r="H355" s="4" t="s">
        <v>184</v>
      </c>
      <c r="I355" s="4"/>
      <c r="J355" s="4" t="s">
        <v>85</v>
      </c>
      <c r="K355" s="4">
        <v>99.0</v>
      </c>
      <c r="L355" s="4"/>
      <c r="M355" s="4">
        <v>99.0</v>
      </c>
      <c r="N355" s="4" t="s">
        <v>67</v>
      </c>
      <c r="O355" s="4" t="b">
        <v>0</v>
      </c>
      <c r="P355" s="4" t="s">
        <v>74</v>
      </c>
      <c r="Q355" s="4" t="s">
        <v>69</v>
      </c>
      <c r="R355" s="4"/>
      <c r="S355" s="4"/>
      <c r="T355" s="4"/>
      <c r="U355" s="7"/>
      <c r="V355" s="4"/>
      <c r="W355" s="4"/>
      <c r="X355" s="4"/>
      <c r="Y355" s="4"/>
      <c r="Z355" s="4"/>
      <c r="AA355" s="5"/>
      <c r="AB355" s="5"/>
      <c r="AC355" s="5"/>
      <c r="AD355" s="5"/>
      <c r="AE355" s="5"/>
    </row>
    <row r="356">
      <c r="A356" s="14" t="s">
        <v>89</v>
      </c>
      <c r="B356" s="19">
        <v>44215.52313657408</v>
      </c>
      <c r="C356" s="4">
        <v>49831.0</v>
      </c>
      <c r="D356" s="4" t="s">
        <v>90</v>
      </c>
      <c r="E356" s="4">
        <v>9.1900999272E11</v>
      </c>
      <c r="F356" s="4">
        <v>4197.0</v>
      </c>
      <c r="G356" s="4"/>
      <c r="H356" s="4" t="s">
        <v>64</v>
      </c>
      <c r="I356" s="4"/>
      <c r="J356" s="4" t="s">
        <v>65</v>
      </c>
      <c r="K356" s="4">
        <v>299.0</v>
      </c>
      <c r="L356" s="4"/>
      <c r="M356" s="4">
        <v>299.0</v>
      </c>
      <c r="N356" s="4" t="s">
        <v>67</v>
      </c>
      <c r="O356" s="4" t="b">
        <v>0</v>
      </c>
      <c r="P356" s="4" t="s">
        <v>68</v>
      </c>
      <c r="Q356" s="4" t="s">
        <v>69</v>
      </c>
      <c r="R356" s="4"/>
      <c r="S356" s="4"/>
      <c r="T356" s="4"/>
      <c r="U356" s="7"/>
      <c r="V356" s="4"/>
      <c r="W356" s="4"/>
      <c r="X356" s="4"/>
      <c r="Y356" s="4"/>
      <c r="Z356" s="4"/>
      <c r="AA356" s="5"/>
      <c r="AB356" s="5"/>
      <c r="AC356" s="5"/>
      <c r="AD356" s="5"/>
      <c r="AE356" s="5"/>
    </row>
    <row r="357">
      <c r="A357" s="14" t="s">
        <v>255</v>
      </c>
      <c r="B357" s="19">
        <v>44281.32378472222</v>
      </c>
      <c r="C357" s="4">
        <v>49864.0</v>
      </c>
      <c r="D357" s="4" t="s">
        <v>256</v>
      </c>
      <c r="E357" s="4">
        <v>9.19268000639E11</v>
      </c>
      <c r="F357" s="4">
        <v>16484.0</v>
      </c>
      <c r="G357" s="4"/>
      <c r="H357" s="4" t="s">
        <v>181</v>
      </c>
      <c r="I357" s="4"/>
      <c r="J357" s="4" t="s">
        <v>149</v>
      </c>
      <c r="K357" s="4">
        <v>99.0</v>
      </c>
      <c r="L357" s="4"/>
      <c r="M357" s="4">
        <v>99.0</v>
      </c>
      <c r="N357" s="4" t="s">
        <v>67</v>
      </c>
      <c r="O357" s="4" t="b">
        <v>0</v>
      </c>
      <c r="P357" s="4" t="s">
        <v>74</v>
      </c>
      <c r="Q357" s="4" t="s">
        <v>69</v>
      </c>
      <c r="R357" s="4"/>
      <c r="S357" s="4"/>
      <c r="T357" s="4"/>
      <c r="U357" s="7"/>
      <c r="V357" s="4"/>
      <c r="W357" s="4"/>
      <c r="X357" s="4"/>
      <c r="Y357" s="4"/>
      <c r="Z357" s="4"/>
      <c r="AA357" s="5"/>
      <c r="AB357" s="5"/>
      <c r="AC357" s="5"/>
      <c r="AD357" s="5"/>
      <c r="AE357" s="5"/>
    </row>
    <row r="358">
      <c r="A358" s="14" t="s">
        <v>257</v>
      </c>
      <c r="B358" s="19">
        <v>44281.34552083333</v>
      </c>
      <c r="C358" s="4">
        <v>49864.0</v>
      </c>
      <c r="D358" s="4" t="s">
        <v>258</v>
      </c>
      <c r="E358" s="4">
        <v>9.18419802594E11</v>
      </c>
      <c r="F358" s="4" t="s">
        <v>83</v>
      </c>
      <c r="G358" s="4"/>
      <c r="H358" s="4" t="s">
        <v>181</v>
      </c>
      <c r="I358" s="4"/>
      <c r="J358" s="4" t="s">
        <v>149</v>
      </c>
      <c r="K358" s="4">
        <v>99.0</v>
      </c>
      <c r="L358" s="4"/>
      <c r="M358" s="4">
        <v>99.0</v>
      </c>
      <c r="N358" s="4" t="s">
        <v>67</v>
      </c>
      <c r="O358" s="4" t="b">
        <v>0</v>
      </c>
      <c r="P358" s="4" t="s">
        <v>68</v>
      </c>
      <c r="Q358" s="4" t="s">
        <v>69</v>
      </c>
      <c r="R358" s="4"/>
      <c r="S358" s="4"/>
      <c r="T358" s="4"/>
      <c r="U358" s="7"/>
      <c r="V358" s="4"/>
      <c r="W358" s="4"/>
      <c r="X358" s="4"/>
      <c r="Y358" s="4"/>
      <c r="Z358" s="4"/>
      <c r="AA358" s="5"/>
      <c r="AB358" s="5"/>
      <c r="AC358" s="5"/>
      <c r="AD358" s="5"/>
      <c r="AE358" s="5"/>
    </row>
    <row r="359">
      <c r="A359" s="14" t="s">
        <v>1192</v>
      </c>
      <c r="B359" s="19">
        <v>44281.414305555554</v>
      </c>
      <c r="C359" s="4">
        <v>49835.0</v>
      </c>
      <c r="D359" s="4" t="s">
        <v>1193</v>
      </c>
      <c r="E359" s="4">
        <v>9.18668346674E11</v>
      </c>
      <c r="F359" s="4">
        <v>16476.0</v>
      </c>
      <c r="G359" s="4"/>
      <c r="H359" s="4" t="s">
        <v>680</v>
      </c>
      <c r="I359" s="4"/>
      <c r="J359" s="4" t="s">
        <v>85</v>
      </c>
      <c r="K359" s="4">
        <v>99.0</v>
      </c>
      <c r="L359" s="4"/>
      <c r="M359" s="4">
        <v>99.0</v>
      </c>
      <c r="N359" s="4" t="s">
        <v>67</v>
      </c>
      <c r="O359" s="4" t="b">
        <v>0</v>
      </c>
      <c r="P359" s="4" t="s">
        <v>68</v>
      </c>
      <c r="Q359" s="4" t="s">
        <v>69</v>
      </c>
      <c r="R359" s="4"/>
      <c r="S359" s="4"/>
      <c r="T359" s="4"/>
      <c r="U359" s="7"/>
      <c r="V359" s="4"/>
      <c r="W359" s="4"/>
      <c r="X359" s="4"/>
      <c r="Y359" s="4"/>
      <c r="Z359" s="4"/>
      <c r="AA359" s="5"/>
      <c r="AB359" s="5"/>
      <c r="AC359" s="5"/>
      <c r="AD359" s="5"/>
      <c r="AE359" s="5"/>
    </row>
    <row r="360">
      <c r="A360" s="14" t="s">
        <v>575</v>
      </c>
      <c r="B360" s="19">
        <v>44281.433657407404</v>
      </c>
      <c r="C360" s="4">
        <v>49833.0</v>
      </c>
      <c r="D360" s="4" t="s">
        <v>576</v>
      </c>
      <c r="E360" s="4">
        <v>9.19607111053E11</v>
      </c>
      <c r="F360" s="4">
        <v>16503.0</v>
      </c>
      <c r="G360" s="4"/>
      <c r="H360" s="4" t="s">
        <v>184</v>
      </c>
      <c r="I360" s="4"/>
      <c r="J360" s="4" t="s">
        <v>85</v>
      </c>
      <c r="K360" s="4">
        <v>99.0</v>
      </c>
      <c r="L360" s="4"/>
      <c r="M360" s="4">
        <v>99.0</v>
      </c>
      <c r="N360" s="4" t="s">
        <v>67</v>
      </c>
      <c r="O360" s="4" t="b">
        <v>0</v>
      </c>
      <c r="P360" s="4" t="s">
        <v>68</v>
      </c>
      <c r="Q360" s="4" t="s">
        <v>69</v>
      </c>
      <c r="R360" s="4"/>
      <c r="S360" s="4"/>
      <c r="T360" s="4"/>
      <c r="U360" s="7"/>
      <c r="V360" s="4"/>
      <c r="W360" s="4"/>
      <c r="X360" s="4"/>
      <c r="Y360" s="4"/>
      <c r="Z360" s="4"/>
      <c r="AA360" s="5"/>
      <c r="AB360" s="5"/>
      <c r="AC360" s="5"/>
      <c r="AD360" s="5"/>
      <c r="AE360" s="5"/>
    </row>
    <row r="361">
      <c r="A361" s="14" t="s">
        <v>577</v>
      </c>
      <c r="B361" s="19">
        <v>44281.48094907407</v>
      </c>
      <c r="C361" s="4">
        <v>49891.0</v>
      </c>
      <c r="D361" s="4" t="s">
        <v>579</v>
      </c>
      <c r="E361" s="4">
        <v>9.178936505E11</v>
      </c>
      <c r="F361" s="4">
        <v>16483.0</v>
      </c>
      <c r="G361" s="4"/>
      <c r="H361" s="4" t="s">
        <v>578</v>
      </c>
      <c r="I361" s="4"/>
      <c r="J361" s="4" t="s">
        <v>85</v>
      </c>
      <c r="K361" s="4">
        <v>99.0</v>
      </c>
      <c r="L361" s="4"/>
      <c r="M361" s="4">
        <v>99.0</v>
      </c>
      <c r="N361" s="4" t="s">
        <v>67</v>
      </c>
      <c r="O361" s="4" t="b">
        <v>0</v>
      </c>
      <c r="P361" s="4" t="s">
        <v>74</v>
      </c>
      <c r="Q361" s="4" t="s">
        <v>69</v>
      </c>
      <c r="R361" s="4"/>
      <c r="S361" s="4"/>
      <c r="T361" s="4"/>
      <c r="U361" s="7"/>
      <c r="V361" s="4"/>
      <c r="W361" s="4"/>
      <c r="X361" s="4"/>
      <c r="Y361" s="4"/>
      <c r="Z361" s="4"/>
      <c r="AA361" s="5"/>
      <c r="AB361" s="5"/>
      <c r="AC361" s="5"/>
      <c r="AD361" s="5"/>
      <c r="AE361" s="5"/>
    </row>
    <row r="362">
      <c r="A362" s="14" t="s">
        <v>619</v>
      </c>
      <c r="B362" s="19">
        <v>44282.55201388889</v>
      </c>
      <c r="C362" s="4">
        <v>49834.0</v>
      </c>
      <c r="D362" s="4" t="s">
        <v>620</v>
      </c>
      <c r="E362" s="4">
        <v>9.18249166991E11</v>
      </c>
      <c r="F362" s="4">
        <v>16533.0</v>
      </c>
      <c r="G362" s="4"/>
      <c r="H362" s="4" t="s">
        <v>76</v>
      </c>
      <c r="I362" s="4"/>
      <c r="J362" s="4" t="s">
        <v>85</v>
      </c>
      <c r="K362" s="4">
        <v>299.0</v>
      </c>
      <c r="L362" s="4"/>
      <c r="M362" s="4">
        <v>299.0</v>
      </c>
      <c r="N362" s="4" t="s">
        <v>67</v>
      </c>
      <c r="O362" s="4" t="b">
        <v>0</v>
      </c>
      <c r="P362" s="4" t="s">
        <v>68</v>
      </c>
      <c r="Q362" s="4" t="s">
        <v>69</v>
      </c>
      <c r="R362" s="4"/>
      <c r="S362" s="4"/>
      <c r="T362" s="4"/>
      <c r="U362" s="7"/>
      <c r="V362" s="4"/>
      <c r="W362" s="4"/>
      <c r="X362" s="4"/>
      <c r="Y362" s="4"/>
      <c r="Z362" s="4"/>
      <c r="AA362" s="5"/>
      <c r="AB362" s="5"/>
      <c r="AC362" s="5"/>
      <c r="AD362" s="5"/>
      <c r="AE362" s="5"/>
    </row>
    <row r="363">
      <c r="A363" s="14" t="s">
        <v>580</v>
      </c>
      <c r="B363" s="19">
        <v>44281.49277777778</v>
      </c>
      <c r="C363" s="4">
        <v>49891.0</v>
      </c>
      <c r="D363" s="4" t="s">
        <v>581</v>
      </c>
      <c r="E363" s="4">
        <v>9.19880707899E11</v>
      </c>
      <c r="F363" s="4">
        <v>16474.0</v>
      </c>
      <c r="G363" s="4"/>
      <c r="H363" s="4" t="s">
        <v>578</v>
      </c>
      <c r="I363" s="4"/>
      <c r="J363" s="4" t="s">
        <v>85</v>
      </c>
      <c r="K363" s="4">
        <v>99.0</v>
      </c>
      <c r="L363" s="4"/>
      <c r="M363" s="4">
        <v>99.0</v>
      </c>
      <c r="N363" s="4" t="s">
        <v>67</v>
      </c>
      <c r="O363" s="4" t="b">
        <v>0</v>
      </c>
      <c r="P363" s="4" t="s">
        <v>68</v>
      </c>
      <c r="Q363" s="4" t="s">
        <v>69</v>
      </c>
      <c r="R363" s="4"/>
      <c r="S363" s="4"/>
      <c r="T363" s="4"/>
      <c r="U363" s="7"/>
      <c r="V363" s="4"/>
      <c r="W363" s="4"/>
      <c r="X363" s="4"/>
      <c r="Y363" s="4"/>
      <c r="Z363" s="4"/>
      <c r="AA363" s="5"/>
      <c r="AB363" s="5"/>
      <c r="AC363" s="5"/>
      <c r="AD363" s="5"/>
      <c r="AE363" s="5"/>
    </row>
    <row r="364">
      <c r="A364" s="14" t="s">
        <v>1196</v>
      </c>
      <c r="B364" s="19">
        <v>44282.62385416667</v>
      </c>
      <c r="C364" s="4">
        <v>49835.0</v>
      </c>
      <c r="D364" s="4" t="s">
        <v>1197</v>
      </c>
      <c r="E364" s="4">
        <v>9.1903343568E11</v>
      </c>
      <c r="F364" s="4">
        <v>16507.0</v>
      </c>
      <c r="G364" s="4"/>
      <c r="H364" s="4" t="s">
        <v>680</v>
      </c>
      <c r="I364" s="4"/>
      <c r="J364" s="4" t="s">
        <v>85</v>
      </c>
      <c r="K364" s="4">
        <v>99.0</v>
      </c>
      <c r="L364" s="4"/>
      <c r="M364" s="4">
        <v>99.0</v>
      </c>
      <c r="N364" s="4" t="s">
        <v>67</v>
      </c>
      <c r="O364" s="4" t="b">
        <v>0</v>
      </c>
      <c r="P364" s="4" t="s">
        <v>74</v>
      </c>
      <c r="Q364" s="4" t="s">
        <v>69</v>
      </c>
      <c r="R364" s="4"/>
      <c r="S364" s="4"/>
      <c r="T364" s="4"/>
      <c r="U364" s="7"/>
      <c r="V364" s="4"/>
      <c r="W364" s="4"/>
      <c r="X364" s="4"/>
      <c r="Y364" s="4"/>
      <c r="Z364" s="4"/>
      <c r="AA364" s="5"/>
      <c r="AB364" s="5"/>
      <c r="AC364" s="5"/>
      <c r="AD364" s="5"/>
      <c r="AE364" s="5"/>
    </row>
    <row r="365">
      <c r="A365" s="14" t="s">
        <v>1204</v>
      </c>
      <c r="B365" s="19">
        <v>44282.62851851852</v>
      </c>
      <c r="C365" s="4">
        <v>49835.0</v>
      </c>
      <c r="D365" s="4" t="s">
        <v>1205</v>
      </c>
      <c r="E365" s="4">
        <v>9.19840027205E11</v>
      </c>
      <c r="F365" s="4">
        <v>16508.0</v>
      </c>
      <c r="G365" s="4"/>
      <c r="H365" s="4" t="s">
        <v>680</v>
      </c>
      <c r="I365" s="4"/>
      <c r="J365" s="4" t="s">
        <v>85</v>
      </c>
      <c r="K365" s="4">
        <v>99.0</v>
      </c>
      <c r="L365" s="4"/>
      <c r="M365" s="4">
        <v>99.0</v>
      </c>
      <c r="N365" s="4" t="s">
        <v>67</v>
      </c>
      <c r="O365" s="4" t="b">
        <v>0</v>
      </c>
      <c r="P365" s="4" t="s">
        <v>97</v>
      </c>
      <c r="Q365" s="4" t="s">
        <v>69</v>
      </c>
      <c r="R365" s="4"/>
      <c r="S365" s="4"/>
      <c r="T365" s="4"/>
      <c r="U365" s="7"/>
      <c r="V365" s="4"/>
      <c r="W365" s="4"/>
      <c r="X365" s="4"/>
      <c r="Y365" s="4"/>
      <c r="Z365" s="4"/>
      <c r="AA365" s="5"/>
      <c r="AB365" s="5"/>
      <c r="AC365" s="5"/>
      <c r="AD365" s="5"/>
      <c r="AE365" s="5"/>
    </row>
    <row r="366">
      <c r="A366" s="14" t="s">
        <v>1208</v>
      </c>
      <c r="B366" s="19">
        <v>44282.62869212963</v>
      </c>
      <c r="C366" s="4">
        <v>49835.0</v>
      </c>
      <c r="D366" s="4" t="s">
        <v>1209</v>
      </c>
      <c r="E366" s="4">
        <v>9.19650269576E11</v>
      </c>
      <c r="F366" s="4">
        <v>16512.0</v>
      </c>
      <c r="G366" s="4"/>
      <c r="H366" s="4" t="s">
        <v>680</v>
      </c>
      <c r="I366" s="4"/>
      <c r="J366" s="4" t="s">
        <v>85</v>
      </c>
      <c r="K366" s="4">
        <v>99.0</v>
      </c>
      <c r="L366" s="4"/>
      <c r="M366" s="4">
        <v>99.0</v>
      </c>
      <c r="N366" s="4" t="s">
        <v>67</v>
      </c>
      <c r="O366" s="4" t="b">
        <v>0</v>
      </c>
      <c r="P366" s="4" t="s">
        <v>68</v>
      </c>
      <c r="Q366" s="4" t="s">
        <v>69</v>
      </c>
      <c r="R366" s="4"/>
      <c r="S366" s="4"/>
      <c r="T366" s="4"/>
      <c r="U366" s="7"/>
      <c r="V366" s="4"/>
      <c r="W366" s="4"/>
      <c r="X366" s="4"/>
      <c r="Y366" s="4"/>
      <c r="Z366" s="4"/>
      <c r="AA366" s="5"/>
      <c r="AB366" s="5"/>
      <c r="AC366" s="5"/>
      <c r="AD366" s="5"/>
      <c r="AE366" s="5"/>
    </row>
    <row r="367">
      <c r="A367" s="14" t="s">
        <v>1220</v>
      </c>
      <c r="B367" s="19">
        <v>44282.63086805555</v>
      </c>
      <c r="C367" s="4">
        <v>49835.0</v>
      </c>
      <c r="D367" s="4" t="s">
        <v>1221</v>
      </c>
      <c r="E367" s="4">
        <v>9.19975083337E11</v>
      </c>
      <c r="F367" s="4">
        <v>16550.0</v>
      </c>
      <c r="G367" s="4"/>
      <c r="H367" s="4" t="s">
        <v>680</v>
      </c>
      <c r="I367" s="4"/>
      <c r="J367" s="4" t="s">
        <v>85</v>
      </c>
      <c r="K367" s="4">
        <v>99.0</v>
      </c>
      <c r="L367" s="4"/>
      <c r="M367" s="4">
        <v>99.0</v>
      </c>
      <c r="N367" s="4" t="s">
        <v>67</v>
      </c>
      <c r="O367" s="4" t="b">
        <v>0</v>
      </c>
      <c r="P367" s="4" t="s">
        <v>74</v>
      </c>
      <c r="Q367" s="4" t="s">
        <v>69</v>
      </c>
      <c r="R367" s="4"/>
      <c r="S367" s="4"/>
      <c r="T367" s="4"/>
      <c r="U367" s="7"/>
      <c r="V367" s="4"/>
      <c r="W367" s="4"/>
      <c r="X367" s="4"/>
      <c r="Y367" s="4"/>
      <c r="Z367" s="4"/>
      <c r="AA367" s="5"/>
      <c r="AB367" s="5"/>
      <c r="AC367" s="5"/>
      <c r="AD367" s="5"/>
      <c r="AE367" s="5"/>
    </row>
    <row r="368">
      <c r="A368" s="14" t="s">
        <v>1222</v>
      </c>
      <c r="B368" s="19">
        <v>44282.63292824074</v>
      </c>
      <c r="C368" s="4">
        <v>49835.0</v>
      </c>
      <c r="D368" s="4" t="s">
        <v>1223</v>
      </c>
      <c r="E368" s="4">
        <v>9.19585765416E11</v>
      </c>
      <c r="F368" s="4">
        <v>16513.0</v>
      </c>
      <c r="G368" s="4"/>
      <c r="H368" s="4" t="s">
        <v>680</v>
      </c>
      <c r="I368" s="4"/>
      <c r="J368" s="4" t="s">
        <v>85</v>
      </c>
      <c r="K368" s="4">
        <v>99.0</v>
      </c>
      <c r="L368" s="4"/>
      <c r="M368" s="4">
        <v>99.0</v>
      </c>
      <c r="N368" s="4" t="s">
        <v>67</v>
      </c>
      <c r="O368" s="4" t="b">
        <v>0</v>
      </c>
      <c r="P368" s="4" t="s">
        <v>68</v>
      </c>
      <c r="Q368" s="4" t="s">
        <v>69</v>
      </c>
      <c r="R368" s="4"/>
      <c r="S368" s="4"/>
      <c r="T368" s="4"/>
      <c r="U368" s="7"/>
      <c r="V368" s="4"/>
      <c r="W368" s="4"/>
      <c r="X368" s="4"/>
      <c r="Y368" s="4"/>
      <c r="Z368" s="4"/>
      <c r="AA368" s="5"/>
      <c r="AB368" s="5"/>
      <c r="AC368" s="5"/>
      <c r="AD368" s="5"/>
      <c r="AE368" s="5"/>
    </row>
    <row r="369">
      <c r="A369" s="14" t="s">
        <v>582</v>
      </c>
      <c r="B369" s="19">
        <v>44281.590902777774</v>
      </c>
      <c r="C369" s="4">
        <v>49891.0</v>
      </c>
      <c r="D369" s="4" t="s">
        <v>583</v>
      </c>
      <c r="E369" s="4">
        <v>9.19967738737E11</v>
      </c>
      <c r="F369" s="4">
        <v>16492.0</v>
      </c>
      <c r="G369" s="4"/>
      <c r="H369" s="4" t="s">
        <v>578</v>
      </c>
      <c r="I369" s="4"/>
      <c r="J369" s="4" t="s">
        <v>85</v>
      </c>
      <c r="K369" s="4">
        <v>99.0</v>
      </c>
      <c r="L369" s="4"/>
      <c r="M369" s="4">
        <v>99.0</v>
      </c>
      <c r="N369" s="4" t="s">
        <v>67</v>
      </c>
      <c r="O369" s="4" t="b">
        <v>0</v>
      </c>
      <c r="P369" s="4" t="s">
        <v>74</v>
      </c>
      <c r="Q369" s="4" t="s">
        <v>69</v>
      </c>
      <c r="R369" s="4"/>
      <c r="S369" s="4"/>
      <c r="T369" s="4"/>
      <c r="U369" s="7"/>
      <c r="V369" s="4"/>
      <c r="W369" s="4"/>
      <c r="X369" s="4"/>
      <c r="Y369" s="4"/>
      <c r="Z369" s="4"/>
      <c r="AA369" s="5"/>
      <c r="AB369" s="5"/>
      <c r="AC369" s="5"/>
      <c r="AD369" s="5"/>
      <c r="AE369" s="5"/>
    </row>
    <row r="370">
      <c r="A370" s="14" t="s">
        <v>1228</v>
      </c>
      <c r="B370" s="19">
        <v>44282.66675925926</v>
      </c>
      <c r="C370" s="4">
        <v>49835.0</v>
      </c>
      <c r="D370" s="4" t="s">
        <v>1229</v>
      </c>
      <c r="E370" s="4">
        <v>9.19799767443E11</v>
      </c>
      <c r="F370" s="4">
        <v>16511.0</v>
      </c>
      <c r="G370" s="4"/>
      <c r="H370" s="4" t="s">
        <v>680</v>
      </c>
      <c r="I370" s="4"/>
      <c r="J370" s="4" t="s">
        <v>85</v>
      </c>
      <c r="K370" s="4">
        <v>99.0</v>
      </c>
      <c r="L370" s="4"/>
      <c r="M370" s="4">
        <v>99.0</v>
      </c>
      <c r="N370" s="4" t="s">
        <v>67</v>
      </c>
      <c r="O370" s="4" t="b">
        <v>0</v>
      </c>
      <c r="P370" s="4" t="s">
        <v>68</v>
      </c>
      <c r="Q370" s="4" t="s">
        <v>69</v>
      </c>
      <c r="R370" s="4"/>
      <c r="S370" s="4"/>
      <c r="T370" s="4"/>
      <c r="U370" s="7"/>
      <c r="V370" s="4"/>
      <c r="W370" s="4"/>
      <c r="X370" s="4"/>
      <c r="Y370" s="4"/>
      <c r="Z370" s="4"/>
      <c r="AA370" s="5"/>
      <c r="AB370" s="5"/>
      <c r="AC370" s="5"/>
      <c r="AD370" s="5"/>
      <c r="AE370" s="5"/>
    </row>
    <row r="371">
      <c r="A371" s="14" t="s">
        <v>589</v>
      </c>
      <c r="B371" s="19">
        <v>44281.628020833334</v>
      </c>
      <c r="C371" s="4">
        <v>49833.0</v>
      </c>
      <c r="D371" s="4" t="s">
        <v>590</v>
      </c>
      <c r="E371" s="4">
        <v>9.19703388791E11</v>
      </c>
      <c r="F371" s="4" t="s">
        <v>83</v>
      </c>
      <c r="G371" s="4"/>
      <c r="H371" s="4" t="s">
        <v>184</v>
      </c>
      <c r="I371" s="4"/>
      <c r="J371" s="4" t="s">
        <v>85</v>
      </c>
      <c r="K371" s="4">
        <v>99.0</v>
      </c>
      <c r="L371" s="4"/>
      <c r="M371" s="4">
        <v>99.0</v>
      </c>
      <c r="N371" s="4" t="s">
        <v>67</v>
      </c>
      <c r="O371" s="4" t="b">
        <v>0</v>
      </c>
      <c r="P371" s="4" t="s">
        <v>68</v>
      </c>
      <c r="Q371" s="4" t="s">
        <v>69</v>
      </c>
      <c r="R371" s="4"/>
      <c r="S371" s="4"/>
      <c r="T371" s="4"/>
      <c r="U371" s="7"/>
      <c r="V371" s="4"/>
      <c r="W371" s="4"/>
      <c r="X371" s="4"/>
      <c r="Y371" s="4"/>
      <c r="Z371" s="4"/>
      <c r="AA371" s="5"/>
      <c r="AB371" s="5"/>
      <c r="AC371" s="5"/>
      <c r="AD371" s="5"/>
      <c r="AE371" s="5"/>
    </row>
    <row r="372">
      <c r="A372" s="14" t="s">
        <v>591</v>
      </c>
      <c r="B372" s="19">
        <v>44281.6300462963</v>
      </c>
      <c r="C372" s="4">
        <v>49833.0</v>
      </c>
      <c r="D372" s="4" t="s">
        <v>592</v>
      </c>
      <c r="E372" s="4">
        <v>9.17420038487E11</v>
      </c>
      <c r="F372" s="4">
        <v>16593.0</v>
      </c>
      <c r="G372" s="4"/>
      <c r="H372" s="4" t="s">
        <v>184</v>
      </c>
      <c r="I372" s="4"/>
      <c r="J372" s="4" t="s">
        <v>85</v>
      </c>
      <c r="K372" s="4">
        <v>99.0</v>
      </c>
      <c r="L372" s="4"/>
      <c r="M372" s="4">
        <v>99.0</v>
      </c>
      <c r="N372" s="4" t="s">
        <v>67</v>
      </c>
      <c r="O372" s="4" t="b">
        <v>0</v>
      </c>
      <c r="P372" s="4" t="s">
        <v>74</v>
      </c>
      <c r="Q372" s="4" t="s">
        <v>69</v>
      </c>
      <c r="R372" s="4"/>
      <c r="S372" s="4"/>
      <c r="T372" s="4"/>
      <c r="U372" s="7"/>
      <c r="V372" s="4"/>
      <c r="W372" s="4"/>
      <c r="X372" s="4"/>
      <c r="Y372" s="4"/>
      <c r="Z372" s="4"/>
      <c r="AA372" s="5"/>
      <c r="AB372" s="5"/>
      <c r="AC372" s="5"/>
      <c r="AD372" s="5"/>
      <c r="AE372" s="5"/>
    </row>
    <row r="373">
      <c r="A373" s="14" t="s">
        <v>584</v>
      </c>
      <c r="B373" s="19">
        <v>44281.61954861111</v>
      </c>
      <c r="C373" s="4">
        <v>49833.0</v>
      </c>
      <c r="D373" s="4" t="s">
        <v>585</v>
      </c>
      <c r="E373" s="4">
        <v>9.19556842122E11</v>
      </c>
      <c r="F373" s="4">
        <v>16583.0</v>
      </c>
      <c r="G373" s="4"/>
      <c r="H373" s="4" t="s">
        <v>184</v>
      </c>
      <c r="I373" s="4"/>
      <c r="J373" s="4" t="s">
        <v>85</v>
      </c>
      <c r="K373" s="4">
        <v>99.0</v>
      </c>
      <c r="L373" s="4"/>
      <c r="M373" s="4">
        <v>99.0</v>
      </c>
      <c r="N373" s="4" t="s">
        <v>67</v>
      </c>
      <c r="O373" s="4" t="b">
        <v>0</v>
      </c>
      <c r="P373" s="4" t="s">
        <v>68</v>
      </c>
      <c r="Q373" s="4" t="s">
        <v>69</v>
      </c>
      <c r="R373" s="4"/>
      <c r="S373" s="4"/>
      <c r="T373" s="4"/>
      <c r="U373" s="7"/>
      <c r="V373" s="4"/>
      <c r="W373" s="4"/>
      <c r="X373" s="4"/>
      <c r="Y373" s="4"/>
      <c r="Z373" s="4"/>
      <c r="AA373" s="5"/>
      <c r="AB373" s="5"/>
      <c r="AC373" s="5"/>
      <c r="AD373" s="5"/>
      <c r="AE373" s="5"/>
    </row>
    <row r="374">
      <c r="A374" s="14" t="s">
        <v>1232</v>
      </c>
      <c r="B374" s="19">
        <v>44282.684282407405</v>
      </c>
      <c r="C374" s="4">
        <v>49835.0</v>
      </c>
      <c r="D374" s="4" t="s">
        <v>1233</v>
      </c>
      <c r="E374" s="4">
        <v>9.18308831523E11</v>
      </c>
      <c r="F374" s="4">
        <v>16515.0</v>
      </c>
      <c r="G374" s="4"/>
      <c r="H374" s="4" t="s">
        <v>680</v>
      </c>
      <c r="I374" s="4"/>
      <c r="J374" s="4" t="s">
        <v>85</v>
      </c>
      <c r="K374" s="4">
        <v>99.0</v>
      </c>
      <c r="L374" s="4"/>
      <c r="M374" s="4">
        <v>99.0</v>
      </c>
      <c r="N374" s="4" t="s">
        <v>67</v>
      </c>
      <c r="O374" s="4" t="b">
        <v>0</v>
      </c>
      <c r="P374" s="4" t="s">
        <v>74</v>
      </c>
      <c r="Q374" s="4" t="s">
        <v>69</v>
      </c>
      <c r="R374" s="4"/>
      <c r="S374" s="4"/>
      <c r="T374" s="4"/>
      <c r="U374" s="7"/>
      <c r="V374" s="4"/>
      <c r="W374" s="4"/>
      <c r="X374" s="4"/>
      <c r="Y374" s="4"/>
      <c r="Z374" s="4"/>
      <c r="AA374" s="5"/>
      <c r="AB374" s="5"/>
      <c r="AC374" s="5"/>
      <c r="AD374" s="5"/>
      <c r="AE374" s="5"/>
    </row>
    <row r="375">
      <c r="A375" s="14" t="s">
        <v>2193</v>
      </c>
      <c r="B375" s="19">
        <v>44281.62484953704</v>
      </c>
      <c r="C375" s="4">
        <v>49854.0</v>
      </c>
      <c r="D375" s="4" t="s">
        <v>2194</v>
      </c>
      <c r="E375" s="4">
        <v>9.19997111701E11</v>
      </c>
      <c r="F375" s="4" t="s">
        <v>2195</v>
      </c>
      <c r="G375" s="4"/>
      <c r="H375" s="4" t="s">
        <v>2161</v>
      </c>
      <c r="I375" s="4"/>
      <c r="J375" s="4" t="s">
        <v>85</v>
      </c>
      <c r="K375" s="4">
        <v>999.0</v>
      </c>
      <c r="L375" s="4"/>
      <c r="M375" s="4">
        <v>999.0</v>
      </c>
      <c r="N375" s="4" t="s">
        <v>67</v>
      </c>
      <c r="O375" s="4" t="b">
        <v>0</v>
      </c>
      <c r="P375" s="4" t="s">
        <v>74</v>
      </c>
      <c r="Q375" s="4" t="s">
        <v>69</v>
      </c>
      <c r="R375" s="4"/>
      <c r="S375" s="4"/>
      <c r="T375" s="4"/>
      <c r="U375" s="7"/>
      <c r="V375" s="4"/>
      <c r="W375" s="4"/>
      <c r="X375" s="4"/>
      <c r="Y375" s="4"/>
      <c r="Z375" s="4"/>
      <c r="AA375" s="5"/>
      <c r="AB375" s="5"/>
      <c r="AC375" s="5"/>
      <c r="AD375" s="5"/>
      <c r="AE375" s="5"/>
    </row>
    <row r="376">
      <c r="A376" s="14" t="s">
        <v>964</v>
      </c>
      <c r="B376" s="19">
        <v>44281.64469907407</v>
      </c>
      <c r="C376" s="4">
        <v>49834.0</v>
      </c>
      <c r="D376" s="4" t="s">
        <v>685</v>
      </c>
      <c r="E376" s="4">
        <v>9.19866769779E11</v>
      </c>
      <c r="F376" s="4">
        <v>16480.0</v>
      </c>
      <c r="G376" s="4"/>
      <c r="H376" s="4" t="s">
        <v>960</v>
      </c>
      <c r="I376" s="4"/>
      <c r="J376" s="4" t="s">
        <v>149</v>
      </c>
      <c r="K376" s="4">
        <v>699.0</v>
      </c>
      <c r="L376" s="4"/>
      <c r="M376" s="4">
        <v>699.0</v>
      </c>
      <c r="N376" s="4" t="s">
        <v>67</v>
      </c>
      <c r="O376" s="4" t="b">
        <v>0</v>
      </c>
      <c r="P376" s="4" t="s">
        <v>68</v>
      </c>
      <c r="Q376" s="4" t="s">
        <v>69</v>
      </c>
      <c r="R376" s="4"/>
      <c r="S376" s="4"/>
      <c r="T376" s="4"/>
      <c r="U376" s="7"/>
      <c r="V376" s="4"/>
      <c r="W376" s="4"/>
      <c r="X376" s="4"/>
      <c r="Y376" s="4"/>
      <c r="Z376" s="4"/>
      <c r="AA376" s="5"/>
      <c r="AB376" s="5"/>
      <c r="AC376" s="5"/>
      <c r="AD376" s="5"/>
      <c r="AE376" s="5"/>
    </row>
    <row r="377">
      <c r="A377" s="14" t="s">
        <v>1194</v>
      </c>
      <c r="B377" s="19">
        <v>44281.66369212963</v>
      </c>
      <c r="C377" s="4">
        <v>49835.0</v>
      </c>
      <c r="D377" s="4" t="s">
        <v>1195</v>
      </c>
      <c r="E377" s="4">
        <v>9.17906644849E11</v>
      </c>
      <c r="F377" s="4" t="s">
        <v>83</v>
      </c>
      <c r="G377" s="4"/>
      <c r="H377" s="4" t="s">
        <v>680</v>
      </c>
      <c r="I377" s="4"/>
      <c r="J377" s="4" t="s">
        <v>85</v>
      </c>
      <c r="K377" s="4">
        <v>99.0</v>
      </c>
      <c r="L377" s="4"/>
      <c r="M377" s="4">
        <v>99.0</v>
      </c>
      <c r="N377" s="4" t="s">
        <v>67</v>
      </c>
      <c r="O377" s="4" t="b">
        <v>0</v>
      </c>
      <c r="P377" s="4" t="s">
        <v>68</v>
      </c>
      <c r="Q377" s="4" t="s">
        <v>69</v>
      </c>
      <c r="R377" s="4"/>
      <c r="S377" s="4"/>
      <c r="T377" s="4"/>
      <c r="U377" s="7"/>
      <c r="V377" s="4"/>
      <c r="W377" s="4"/>
      <c r="X377" s="4"/>
      <c r="Y377" s="4"/>
      <c r="Z377" s="4"/>
      <c r="AA377" s="5"/>
      <c r="AB377" s="5"/>
      <c r="AC377" s="5"/>
      <c r="AD377" s="5"/>
      <c r="AE377" s="5"/>
    </row>
    <row r="378">
      <c r="A378" s="14" t="s">
        <v>597</v>
      </c>
      <c r="B378" s="19">
        <v>44281.71119212963</v>
      </c>
      <c r="C378" s="4">
        <v>49833.0</v>
      </c>
      <c r="D378" s="4" t="s">
        <v>598</v>
      </c>
      <c r="E378" s="4">
        <v>9.16370166083E11</v>
      </c>
      <c r="F378" s="4">
        <v>16696.0</v>
      </c>
      <c r="G378" s="4"/>
      <c r="H378" s="4" t="s">
        <v>184</v>
      </c>
      <c r="I378" s="4"/>
      <c r="J378" s="4" t="s">
        <v>85</v>
      </c>
      <c r="K378" s="4">
        <v>299.0</v>
      </c>
      <c r="L378" s="4"/>
      <c r="M378" s="4">
        <v>299.0</v>
      </c>
      <c r="N378" s="4" t="s">
        <v>67</v>
      </c>
      <c r="O378" s="4" t="b">
        <v>0</v>
      </c>
      <c r="P378" s="4" t="s">
        <v>68</v>
      </c>
      <c r="Q378" s="4" t="s">
        <v>69</v>
      </c>
      <c r="R378" s="4"/>
      <c r="S378" s="4"/>
      <c r="T378" s="4"/>
      <c r="U378" s="7"/>
      <c r="V378" s="4"/>
      <c r="W378" s="4"/>
      <c r="X378" s="4"/>
      <c r="Y378" s="4"/>
      <c r="Z378" s="4"/>
      <c r="AA378" s="5"/>
      <c r="AB378" s="5"/>
      <c r="AC378" s="5"/>
      <c r="AD378" s="5"/>
      <c r="AE378" s="5"/>
    </row>
    <row r="379">
      <c r="A379" s="14" t="s">
        <v>973</v>
      </c>
      <c r="B379" s="19">
        <v>44282.772835648146</v>
      </c>
      <c r="C379" s="4">
        <v>49958.0</v>
      </c>
      <c r="D379" s="4" t="s">
        <v>974</v>
      </c>
      <c r="E379" s="4">
        <v>9.18309523987E11</v>
      </c>
      <c r="F379" s="4">
        <v>16514.0</v>
      </c>
      <c r="G379" s="4"/>
      <c r="H379" s="4" t="s">
        <v>858</v>
      </c>
      <c r="I379" s="4"/>
      <c r="J379" s="4" t="s">
        <v>149</v>
      </c>
      <c r="K379" s="4">
        <v>99.0</v>
      </c>
      <c r="L379" s="4"/>
      <c r="M379" s="4">
        <v>99.0</v>
      </c>
      <c r="N379" s="4" t="s">
        <v>67</v>
      </c>
      <c r="O379" s="4" t="b">
        <v>0</v>
      </c>
      <c r="P379" s="4" t="s">
        <v>68</v>
      </c>
      <c r="Q379" s="4" t="s">
        <v>69</v>
      </c>
      <c r="R379" s="4"/>
      <c r="S379" s="4"/>
      <c r="T379" s="4"/>
      <c r="U379" s="7"/>
      <c r="V379" s="4"/>
      <c r="W379" s="4"/>
      <c r="X379" s="4"/>
      <c r="Y379" s="4"/>
      <c r="Z379" s="4"/>
      <c r="AA379" s="5"/>
      <c r="AB379" s="5"/>
      <c r="AC379" s="5"/>
      <c r="AD379" s="5"/>
      <c r="AE379" s="5"/>
    </row>
    <row r="380">
      <c r="A380" s="14" t="s">
        <v>259</v>
      </c>
      <c r="B380" s="19">
        <v>44281.72576388889</v>
      </c>
      <c r="C380" s="4">
        <v>49864.0</v>
      </c>
      <c r="D380" s="4" t="s">
        <v>260</v>
      </c>
      <c r="E380" s="4">
        <v>9.18505879696E11</v>
      </c>
      <c r="F380" s="4" t="s">
        <v>83</v>
      </c>
      <c r="G380" s="4"/>
      <c r="H380" s="4" t="s">
        <v>181</v>
      </c>
      <c r="I380" s="4"/>
      <c r="J380" s="4" t="s">
        <v>149</v>
      </c>
      <c r="K380" s="4">
        <v>99.0</v>
      </c>
      <c r="L380" s="4"/>
      <c r="M380" s="4">
        <v>99.0</v>
      </c>
      <c r="N380" s="4" t="s">
        <v>67</v>
      </c>
      <c r="O380" s="4" t="b">
        <v>0</v>
      </c>
      <c r="P380" s="4" t="s">
        <v>261</v>
      </c>
      <c r="Q380" s="4" t="s">
        <v>69</v>
      </c>
      <c r="R380" s="4"/>
      <c r="S380" s="4"/>
      <c r="T380" s="4"/>
      <c r="U380" s="7"/>
      <c r="V380" s="4"/>
      <c r="W380" s="4"/>
      <c r="X380" s="4"/>
      <c r="Y380" s="4"/>
      <c r="Z380" s="4"/>
      <c r="AA380" s="5"/>
      <c r="AB380" s="5"/>
      <c r="AC380" s="5"/>
      <c r="AD380" s="5"/>
      <c r="AE380" s="5"/>
    </row>
    <row r="381">
      <c r="A381" s="14" t="s">
        <v>601</v>
      </c>
      <c r="B381" s="19">
        <v>44281.73784722222</v>
      </c>
      <c r="C381" s="4">
        <v>49891.0</v>
      </c>
      <c r="D381" s="4" t="s">
        <v>602</v>
      </c>
      <c r="E381" s="4">
        <v>9.19096533965E11</v>
      </c>
      <c r="F381" s="4">
        <v>16485.0</v>
      </c>
      <c r="G381" s="4"/>
      <c r="H381" s="4" t="s">
        <v>578</v>
      </c>
      <c r="I381" s="4"/>
      <c r="J381" s="4" t="s">
        <v>85</v>
      </c>
      <c r="K381" s="4">
        <v>99.0</v>
      </c>
      <c r="L381" s="4"/>
      <c r="M381" s="4">
        <v>99.0</v>
      </c>
      <c r="N381" s="4" t="s">
        <v>67</v>
      </c>
      <c r="O381" s="4" t="b">
        <v>0</v>
      </c>
      <c r="P381" s="4" t="s">
        <v>68</v>
      </c>
      <c r="Q381" s="4" t="s">
        <v>69</v>
      </c>
      <c r="R381" s="4"/>
      <c r="S381" s="4"/>
      <c r="T381" s="4"/>
      <c r="U381" s="7"/>
      <c r="V381" s="4"/>
      <c r="W381" s="4"/>
      <c r="X381" s="4"/>
      <c r="Y381" s="4"/>
      <c r="Z381" s="4"/>
      <c r="AA381" s="5"/>
      <c r="AB381" s="5"/>
      <c r="AC381" s="5"/>
      <c r="AD381" s="5"/>
      <c r="AE381" s="5"/>
    </row>
    <row r="382">
      <c r="A382" s="14" t="s">
        <v>271</v>
      </c>
      <c r="B382" s="19">
        <v>44282.899675925924</v>
      </c>
      <c r="C382" s="4">
        <v>49864.0</v>
      </c>
      <c r="D382" s="4" t="s">
        <v>272</v>
      </c>
      <c r="E382" s="4">
        <v>9.19619651802E11</v>
      </c>
      <c r="F382" s="4">
        <v>16791.0</v>
      </c>
      <c r="G382" s="4"/>
      <c r="H382" s="4" t="s">
        <v>181</v>
      </c>
      <c r="I382" s="4"/>
      <c r="J382" s="4" t="s">
        <v>149</v>
      </c>
      <c r="K382" s="4">
        <v>99.0</v>
      </c>
      <c r="L382" s="4"/>
      <c r="M382" s="4">
        <v>99.0</v>
      </c>
      <c r="N382" s="4" t="s">
        <v>67</v>
      </c>
      <c r="O382" s="4" t="b">
        <v>0</v>
      </c>
      <c r="P382" s="4" t="s">
        <v>68</v>
      </c>
      <c r="Q382" s="4" t="s">
        <v>69</v>
      </c>
      <c r="R382" s="4"/>
      <c r="S382" s="4"/>
      <c r="T382" s="4"/>
      <c r="U382" s="7"/>
      <c r="V382" s="4"/>
      <c r="W382" s="4"/>
      <c r="X382" s="4"/>
      <c r="Y382" s="4"/>
      <c r="Z382" s="4"/>
      <c r="AA382" s="5"/>
      <c r="AB382" s="5"/>
      <c r="AC382" s="5"/>
      <c r="AD382" s="5"/>
      <c r="AE382" s="5"/>
    </row>
    <row r="383">
      <c r="A383" s="14" t="s">
        <v>603</v>
      </c>
      <c r="B383" s="19">
        <v>44281.881747685184</v>
      </c>
      <c r="C383" s="4">
        <v>49891.0</v>
      </c>
      <c r="D383" s="4" t="s">
        <v>604</v>
      </c>
      <c r="E383" s="4">
        <v>9.1901111609E11</v>
      </c>
      <c r="F383" s="4">
        <v>16506.0</v>
      </c>
      <c r="G383" s="4"/>
      <c r="H383" s="4" t="s">
        <v>578</v>
      </c>
      <c r="I383" s="4"/>
      <c r="J383" s="4" t="s">
        <v>85</v>
      </c>
      <c r="K383" s="4">
        <v>99.0</v>
      </c>
      <c r="L383" s="4"/>
      <c r="M383" s="4">
        <v>99.0</v>
      </c>
      <c r="N383" s="4" t="s">
        <v>67</v>
      </c>
      <c r="O383" s="4" t="b">
        <v>0</v>
      </c>
      <c r="P383" s="4" t="s">
        <v>74</v>
      </c>
      <c r="Q383" s="4" t="s">
        <v>69</v>
      </c>
      <c r="R383" s="4"/>
      <c r="S383" s="4"/>
      <c r="T383" s="4"/>
      <c r="U383" s="7"/>
      <c r="V383" s="4"/>
      <c r="W383" s="4"/>
      <c r="X383" s="4"/>
      <c r="Y383" s="4"/>
      <c r="Z383" s="4"/>
      <c r="AA383" s="5"/>
      <c r="AB383" s="5"/>
      <c r="AC383" s="5"/>
      <c r="AD383" s="5"/>
      <c r="AE383" s="5"/>
    </row>
    <row r="384">
      <c r="A384" s="14" t="s">
        <v>965</v>
      </c>
      <c r="B384" s="19">
        <v>44281.90582175926</v>
      </c>
      <c r="C384" s="4">
        <v>49948.0</v>
      </c>
      <c r="D384" s="4" t="s">
        <v>966</v>
      </c>
      <c r="E384" s="4">
        <v>9.18826223205E11</v>
      </c>
      <c r="F384" s="4">
        <v>16490.0</v>
      </c>
      <c r="G384" s="4"/>
      <c r="H384" s="4" t="s">
        <v>791</v>
      </c>
      <c r="I384" s="4"/>
      <c r="J384" s="4" t="s">
        <v>149</v>
      </c>
      <c r="K384" s="4">
        <v>99.0</v>
      </c>
      <c r="L384" s="4"/>
      <c r="M384" s="4">
        <v>99.0</v>
      </c>
      <c r="N384" s="4" t="s">
        <v>67</v>
      </c>
      <c r="O384" s="4" t="b">
        <v>0</v>
      </c>
      <c r="P384" s="4" t="s">
        <v>68</v>
      </c>
      <c r="Q384" s="4" t="s">
        <v>69</v>
      </c>
      <c r="R384" s="4"/>
      <c r="S384" s="4"/>
      <c r="T384" s="4"/>
      <c r="U384" s="7"/>
      <c r="V384" s="4"/>
      <c r="W384" s="4"/>
      <c r="X384" s="4"/>
      <c r="Y384" s="4"/>
      <c r="Z384" s="4"/>
      <c r="AA384" s="5"/>
      <c r="AB384" s="5"/>
      <c r="AC384" s="5"/>
      <c r="AD384" s="5"/>
      <c r="AE384" s="5"/>
    </row>
    <row r="385">
      <c r="A385" s="14" t="s">
        <v>967</v>
      </c>
      <c r="B385" s="19">
        <v>44281.90665509259</v>
      </c>
      <c r="C385" s="4">
        <v>49948.0</v>
      </c>
      <c r="D385" s="4" t="s">
        <v>968</v>
      </c>
      <c r="E385" s="4">
        <v>9.17533903125E11</v>
      </c>
      <c r="F385" s="4">
        <v>2936.0</v>
      </c>
      <c r="G385" s="4"/>
      <c r="H385" s="4" t="s">
        <v>791</v>
      </c>
      <c r="I385" s="4"/>
      <c r="J385" s="4" t="s">
        <v>149</v>
      </c>
      <c r="K385" s="4">
        <v>99.0</v>
      </c>
      <c r="L385" s="4"/>
      <c r="M385" s="4">
        <v>99.0</v>
      </c>
      <c r="N385" s="4" t="s">
        <v>67</v>
      </c>
      <c r="O385" s="4" t="b">
        <v>0</v>
      </c>
      <c r="P385" s="4" t="s">
        <v>68</v>
      </c>
      <c r="Q385" s="4" t="s">
        <v>69</v>
      </c>
      <c r="R385" s="4"/>
      <c r="S385" s="4"/>
      <c r="T385" s="4"/>
      <c r="U385" s="7"/>
      <c r="V385" s="4"/>
      <c r="W385" s="4"/>
      <c r="X385" s="4"/>
      <c r="Y385" s="4"/>
      <c r="Z385" s="4"/>
      <c r="AA385" s="5"/>
      <c r="AB385" s="5"/>
      <c r="AC385" s="5"/>
      <c r="AD385" s="5"/>
      <c r="AE385" s="5"/>
    </row>
    <row r="386">
      <c r="A386" s="14" t="s">
        <v>969</v>
      </c>
      <c r="B386" s="19">
        <v>44281.966678240744</v>
      </c>
      <c r="C386" s="4">
        <v>49958.0</v>
      </c>
      <c r="D386" s="4" t="s">
        <v>970</v>
      </c>
      <c r="E386" s="4">
        <v>9.19894300078E11</v>
      </c>
      <c r="F386" s="4">
        <v>16493.0</v>
      </c>
      <c r="G386" s="4"/>
      <c r="H386" s="4" t="s">
        <v>858</v>
      </c>
      <c r="I386" s="4"/>
      <c r="J386" s="4" t="s">
        <v>149</v>
      </c>
      <c r="K386" s="4">
        <v>99.0</v>
      </c>
      <c r="L386" s="4"/>
      <c r="M386" s="4">
        <v>99.0</v>
      </c>
      <c r="N386" s="4" t="s">
        <v>67</v>
      </c>
      <c r="O386" s="4" t="b">
        <v>0</v>
      </c>
      <c r="P386" s="4" t="s">
        <v>68</v>
      </c>
      <c r="Q386" s="4" t="s">
        <v>69</v>
      </c>
      <c r="R386" s="4"/>
      <c r="S386" s="4"/>
      <c r="T386" s="4"/>
      <c r="U386" s="7"/>
      <c r="V386" s="4"/>
      <c r="W386" s="4"/>
      <c r="X386" s="4"/>
      <c r="Y386" s="4"/>
      <c r="Z386" s="4"/>
      <c r="AA386" s="5"/>
      <c r="AB386" s="5"/>
      <c r="AC386" s="5"/>
      <c r="AD386" s="5"/>
      <c r="AE386" s="5"/>
    </row>
    <row r="387">
      <c r="A387" s="14" t="s">
        <v>91</v>
      </c>
      <c r="B387" s="19">
        <v>44217.48792824074</v>
      </c>
      <c r="C387" s="4">
        <v>49831.0</v>
      </c>
      <c r="D387" s="4" t="s">
        <v>92</v>
      </c>
      <c r="E387" s="4">
        <v>9.1817170558E11</v>
      </c>
      <c r="F387" s="4">
        <v>4697.0</v>
      </c>
      <c r="G387" s="4"/>
      <c r="H387" s="4" t="s">
        <v>64</v>
      </c>
      <c r="I387" s="4"/>
      <c r="J387" s="4" t="s">
        <v>65</v>
      </c>
      <c r="K387" s="4">
        <v>299.0</v>
      </c>
      <c r="L387" s="4"/>
      <c r="M387" s="4">
        <v>299.0</v>
      </c>
      <c r="N387" s="4" t="s">
        <v>67</v>
      </c>
      <c r="O387" s="4" t="b">
        <v>0</v>
      </c>
      <c r="P387" s="4" t="s">
        <v>68</v>
      </c>
      <c r="Q387" s="4" t="s">
        <v>69</v>
      </c>
      <c r="R387" s="4"/>
      <c r="S387" s="4"/>
      <c r="T387" s="4"/>
      <c r="U387" s="7"/>
      <c r="V387" s="4"/>
      <c r="W387" s="4"/>
      <c r="X387" s="4"/>
      <c r="Y387" s="4"/>
      <c r="Z387" s="4"/>
      <c r="AA387" s="5"/>
      <c r="AB387" s="5"/>
      <c r="AC387" s="5"/>
      <c r="AD387" s="5"/>
      <c r="AE387" s="5"/>
    </row>
    <row r="388">
      <c r="A388" s="14" t="s">
        <v>93</v>
      </c>
      <c r="B388" s="19">
        <v>44217.6590625</v>
      </c>
      <c r="C388" s="4">
        <v>49831.0</v>
      </c>
      <c r="D388" s="4" t="s">
        <v>94</v>
      </c>
      <c r="E388" s="4">
        <v>9.1726808563E11</v>
      </c>
      <c r="F388" s="4">
        <v>4786.0</v>
      </c>
      <c r="G388" s="4"/>
      <c r="H388" s="4" t="s">
        <v>64</v>
      </c>
      <c r="I388" s="4"/>
      <c r="J388" s="4" t="s">
        <v>65</v>
      </c>
      <c r="K388" s="4">
        <v>299.0</v>
      </c>
      <c r="L388" s="4"/>
      <c r="M388" s="4">
        <v>299.0</v>
      </c>
      <c r="N388" s="4" t="s">
        <v>67</v>
      </c>
      <c r="O388" s="4" t="b">
        <v>0</v>
      </c>
      <c r="P388" s="4" t="s">
        <v>68</v>
      </c>
      <c r="Q388" s="4" t="s">
        <v>69</v>
      </c>
      <c r="R388" s="4"/>
      <c r="S388" s="4"/>
      <c r="T388" s="4"/>
      <c r="U388" s="7"/>
      <c r="V388" s="4"/>
      <c r="W388" s="4"/>
      <c r="X388" s="4"/>
      <c r="Y388" s="4"/>
      <c r="Z388" s="4"/>
      <c r="AA388" s="5"/>
      <c r="AB388" s="5"/>
      <c r="AC388" s="5"/>
      <c r="AD388" s="5"/>
      <c r="AE388" s="5"/>
    </row>
    <row r="389">
      <c r="A389" s="14" t="s">
        <v>971</v>
      </c>
      <c r="B389" s="19">
        <v>44282.443020833336</v>
      </c>
      <c r="C389" s="4">
        <v>49948.0</v>
      </c>
      <c r="D389" s="4" t="s">
        <v>972</v>
      </c>
      <c r="E389" s="4">
        <v>9.19295856979E11</v>
      </c>
      <c r="F389" s="4" t="s">
        <v>83</v>
      </c>
      <c r="G389" s="4"/>
      <c r="H389" s="4" t="s">
        <v>791</v>
      </c>
      <c r="I389" s="4"/>
      <c r="J389" s="4" t="s">
        <v>149</v>
      </c>
      <c r="K389" s="4">
        <v>99.0</v>
      </c>
      <c r="L389" s="4"/>
      <c r="M389" s="4">
        <v>99.0</v>
      </c>
      <c r="N389" s="4" t="s">
        <v>67</v>
      </c>
      <c r="O389" s="4" t="b">
        <v>0</v>
      </c>
      <c r="P389" s="4" t="s">
        <v>68</v>
      </c>
      <c r="Q389" s="4" t="s">
        <v>69</v>
      </c>
      <c r="R389" s="4"/>
      <c r="S389" s="4"/>
      <c r="T389" s="4"/>
      <c r="U389" s="7"/>
      <c r="V389" s="4"/>
      <c r="W389" s="4"/>
      <c r="X389" s="4"/>
      <c r="Y389" s="4"/>
      <c r="Z389" s="4"/>
      <c r="AA389" s="5"/>
      <c r="AB389" s="5"/>
      <c r="AC389" s="5"/>
      <c r="AD389" s="5"/>
      <c r="AE389" s="5"/>
    </row>
    <row r="390">
      <c r="A390" s="14" t="s">
        <v>611</v>
      </c>
      <c r="B390" s="19">
        <v>44282.43565972222</v>
      </c>
      <c r="C390" s="4">
        <v>49962.0</v>
      </c>
      <c r="D390" s="4" t="s">
        <v>612</v>
      </c>
      <c r="E390" s="4">
        <v>9.19449450452E11</v>
      </c>
      <c r="F390" s="4">
        <v>16572.0</v>
      </c>
      <c r="G390" s="4"/>
      <c r="H390" s="4" t="s">
        <v>245</v>
      </c>
      <c r="I390" s="4"/>
      <c r="J390" s="4" t="s">
        <v>85</v>
      </c>
      <c r="K390" s="4">
        <v>99.0</v>
      </c>
      <c r="L390" s="4"/>
      <c r="M390" s="4">
        <v>99.0</v>
      </c>
      <c r="N390" s="4" t="s">
        <v>67</v>
      </c>
      <c r="O390" s="4" t="b">
        <v>0</v>
      </c>
      <c r="P390" s="4" t="s">
        <v>74</v>
      </c>
      <c r="Q390" s="4" t="s">
        <v>69</v>
      </c>
      <c r="R390" s="4"/>
      <c r="S390" s="4"/>
      <c r="T390" s="4"/>
      <c r="U390" s="7"/>
      <c r="V390" s="4"/>
      <c r="W390" s="4"/>
      <c r="X390" s="4"/>
      <c r="Y390" s="4"/>
      <c r="Z390" s="4"/>
      <c r="AA390" s="5"/>
      <c r="AB390" s="5"/>
      <c r="AC390" s="5"/>
      <c r="AD390" s="5"/>
      <c r="AE390" s="5"/>
    </row>
    <row r="391">
      <c r="A391" s="14" t="s">
        <v>613</v>
      </c>
      <c r="B391" s="19">
        <v>44282.43672453704</v>
      </c>
      <c r="C391" s="4">
        <v>49962.0</v>
      </c>
      <c r="D391" s="4" t="s">
        <v>614</v>
      </c>
      <c r="E391" s="4">
        <v>9.18074264784E11</v>
      </c>
      <c r="F391" s="4">
        <v>16573.0</v>
      </c>
      <c r="G391" s="4"/>
      <c r="H391" s="4" t="s">
        <v>245</v>
      </c>
      <c r="I391" s="4"/>
      <c r="J391" s="4" t="s">
        <v>85</v>
      </c>
      <c r="K391" s="4">
        <v>99.0</v>
      </c>
      <c r="L391" s="4"/>
      <c r="M391" s="4">
        <v>99.0</v>
      </c>
      <c r="N391" s="4" t="s">
        <v>67</v>
      </c>
      <c r="O391" s="4" t="b">
        <v>0</v>
      </c>
      <c r="P391" s="4" t="s">
        <v>68</v>
      </c>
      <c r="Q391" s="4" t="s">
        <v>69</v>
      </c>
      <c r="R391" s="4"/>
      <c r="S391" s="4"/>
      <c r="T391" s="4"/>
      <c r="U391" s="7"/>
      <c r="V391" s="4"/>
      <c r="W391" s="4"/>
      <c r="X391" s="4"/>
      <c r="Y391" s="4"/>
      <c r="Z391" s="4"/>
      <c r="AA391" s="5"/>
      <c r="AB391" s="5"/>
      <c r="AC391" s="5"/>
      <c r="AD391" s="5"/>
      <c r="AE391" s="5"/>
    </row>
    <row r="392">
      <c r="A392" s="14" t="s">
        <v>615</v>
      </c>
      <c r="B392" s="19">
        <v>44282.43931712963</v>
      </c>
      <c r="C392" s="4">
        <v>49962.0</v>
      </c>
      <c r="D392" s="4" t="s">
        <v>616</v>
      </c>
      <c r="E392" s="4">
        <v>9.1740027119E11</v>
      </c>
      <c r="F392" s="4" t="s">
        <v>83</v>
      </c>
      <c r="G392" s="4"/>
      <c r="H392" s="4" t="s">
        <v>245</v>
      </c>
      <c r="I392" s="4"/>
      <c r="J392" s="4" t="s">
        <v>85</v>
      </c>
      <c r="K392" s="4">
        <v>99.0</v>
      </c>
      <c r="L392" s="4"/>
      <c r="M392" s="4">
        <v>99.0</v>
      </c>
      <c r="N392" s="4" t="s">
        <v>67</v>
      </c>
      <c r="O392" s="4" t="b">
        <v>0</v>
      </c>
      <c r="P392" s="4" t="s">
        <v>68</v>
      </c>
      <c r="Q392" s="4" t="s">
        <v>69</v>
      </c>
      <c r="R392" s="4"/>
      <c r="S392" s="4"/>
      <c r="T392" s="4"/>
      <c r="U392" s="7"/>
      <c r="V392" s="4"/>
      <c r="W392" s="4"/>
      <c r="X392" s="4"/>
      <c r="Y392" s="4"/>
      <c r="Z392" s="4"/>
      <c r="AA392" s="5"/>
      <c r="AB392" s="5"/>
      <c r="AC392" s="5"/>
      <c r="AD392" s="5"/>
      <c r="AE392" s="5"/>
    </row>
    <row r="393">
      <c r="A393" s="14" t="s">
        <v>273</v>
      </c>
      <c r="B393" s="19">
        <v>44283.52311342592</v>
      </c>
      <c r="C393" s="4">
        <v>49864.0</v>
      </c>
      <c r="D393" s="4" t="s">
        <v>274</v>
      </c>
      <c r="E393" s="4">
        <v>9.19480750504E11</v>
      </c>
      <c r="F393" s="4" t="s">
        <v>83</v>
      </c>
      <c r="G393" s="4"/>
      <c r="H393" s="4" t="s">
        <v>181</v>
      </c>
      <c r="I393" s="4"/>
      <c r="J393" s="4" t="s">
        <v>149</v>
      </c>
      <c r="K393" s="4">
        <v>99.0</v>
      </c>
      <c r="L393" s="4"/>
      <c r="M393" s="4">
        <v>99.0</v>
      </c>
      <c r="N393" s="4" t="s">
        <v>67</v>
      </c>
      <c r="O393" s="4" t="b">
        <v>0</v>
      </c>
      <c r="P393" s="4" t="s">
        <v>74</v>
      </c>
      <c r="Q393" s="4" t="s">
        <v>69</v>
      </c>
      <c r="R393" s="4"/>
      <c r="S393" s="4"/>
      <c r="T393" s="4"/>
      <c r="U393" s="7"/>
      <c r="V393" s="4"/>
      <c r="W393" s="4"/>
      <c r="X393" s="4"/>
      <c r="Y393" s="4"/>
      <c r="Z393" s="4"/>
      <c r="AA393" s="5"/>
      <c r="AB393" s="5"/>
      <c r="AC393" s="5"/>
      <c r="AD393" s="5"/>
      <c r="AE393" s="5"/>
    </row>
    <row r="394">
      <c r="A394" s="14" t="s">
        <v>641</v>
      </c>
      <c r="B394" s="19">
        <v>44283.558125</v>
      </c>
      <c r="C394" s="4">
        <v>49891.0</v>
      </c>
      <c r="D394" s="4" t="s">
        <v>642</v>
      </c>
      <c r="E394" s="4">
        <v>9.19909955138E11</v>
      </c>
      <c r="F394" s="4" t="s">
        <v>83</v>
      </c>
      <c r="G394" s="4"/>
      <c r="H394" s="4" t="s">
        <v>578</v>
      </c>
      <c r="I394" s="4"/>
      <c r="J394" s="4" t="s">
        <v>85</v>
      </c>
      <c r="K394" s="4">
        <v>99.0</v>
      </c>
      <c r="L394" s="4"/>
      <c r="M394" s="4">
        <v>99.0</v>
      </c>
      <c r="N394" s="4" t="s">
        <v>67</v>
      </c>
      <c r="O394" s="4" t="b">
        <v>0</v>
      </c>
      <c r="P394" s="4" t="s">
        <v>68</v>
      </c>
      <c r="Q394" s="4" t="s">
        <v>69</v>
      </c>
      <c r="R394" s="4"/>
      <c r="S394" s="4"/>
      <c r="T394" s="4"/>
      <c r="U394" s="7"/>
      <c r="V394" s="4"/>
      <c r="W394" s="4"/>
      <c r="X394" s="4"/>
      <c r="Y394" s="4"/>
      <c r="Z394" s="4"/>
      <c r="AA394" s="5"/>
      <c r="AB394" s="5"/>
      <c r="AC394" s="5"/>
      <c r="AD394" s="5"/>
      <c r="AE394" s="5"/>
    </row>
    <row r="395">
      <c r="A395" s="14" t="s">
        <v>1236</v>
      </c>
      <c r="B395" s="19">
        <v>44283.59193287037</v>
      </c>
      <c r="C395" s="4">
        <v>49835.0</v>
      </c>
      <c r="D395" s="4" t="s">
        <v>1237</v>
      </c>
      <c r="E395" s="4">
        <v>9.194458324E11</v>
      </c>
      <c r="F395" s="4" t="s">
        <v>83</v>
      </c>
      <c r="G395" s="4"/>
      <c r="H395" s="4" t="s">
        <v>680</v>
      </c>
      <c r="I395" s="4"/>
      <c r="J395" s="4" t="s">
        <v>85</v>
      </c>
      <c r="K395" s="4">
        <v>99.0</v>
      </c>
      <c r="L395" s="4"/>
      <c r="M395" s="4">
        <v>99.0</v>
      </c>
      <c r="N395" s="4" t="s">
        <v>67</v>
      </c>
      <c r="O395" s="4" t="b">
        <v>0</v>
      </c>
      <c r="P395" s="4" t="s">
        <v>68</v>
      </c>
      <c r="Q395" s="4" t="s">
        <v>69</v>
      </c>
      <c r="R395" s="4"/>
      <c r="S395" s="4"/>
      <c r="T395" s="4"/>
      <c r="U395" s="7"/>
      <c r="V395" s="4"/>
      <c r="W395" s="4"/>
      <c r="X395" s="4"/>
      <c r="Y395" s="4"/>
      <c r="Z395" s="4"/>
      <c r="AA395" s="5"/>
      <c r="AB395" s="5"/>
      <c r="AC395" s="5"/>
      <c r="AD395" s="5"/>
      <c r="AE395" s="5"/>
    </row>
    <row r="396">
      <c r="A396" s="14" t="s">
        <v>275</v>
      </c>
      <c r="B396" s="19">
        <v>44283.619988425926</v>
      </c>
      <c r="C396" s="4">
        <v>49864.0</v>
      </c>
      <c r="D396" s="4" t="s">
        <v>276</v>
      </c>
      <c r="E396" s="4">
        <v>9.19422560164E11</v>
      </c>
      <c r="F396" s="4" t="s">
        <v>83</v>
      </c>
      <c r="G396" s="4"/>
      <c r="H396" s="4" t="s">
        <v>181</v>
      </c>
      <c r="I396" s="4"/>
      <c r="J396" s="4" t="s">
        <v>149</v>
      </c>
      <c r="K396" s="4">
        <v>99.0</v>
      </c>
      <c r="L396" s="4"/>
      <c r="M396" s="4">
        <v>99.0</v>
      </c>
      <c r="N396" s="4" t="s">
        <v>67</v>
      </c>
      <c r="O396" s="4" t="b">
        <v>0</v>
      </c>
      <c r="P396" s="4" t="s">
        <v>74</v>
      </c>
      <c r="Q396" s="4" t="s">
        <v>69</v>
      </c>
      <c r="R396" s="4"/>
      <c r="S396" s="4"/>
      <c r="T396" s="4"/>
      <c r="U396" s="7"/>
      <c r="V396" s="4"/>
      <c r="W396" s="4"/>
      <c r="X396" s="4"/>
      <c r="Y396" s="4"/>
      <c r="Z396" s="4"/>
      <c r="AA396" s="5"/>
      <c r="AB396" s="5"/>
      <c r="AC396" s="5"/>
      <c r="AD396" s="5"/>
      <c r="AE396" s="5"/>
    </row>
    <row r="397">
      <c r="A397" s="14" t="s">
        <v>647</v>
      </c>
      <c r="B397" s="19">
        <v>44283.780381944445</v>
      </c>
      <c r="C397" s="4">
        <v>49891.0</v>
      </c>
      <c r="D397" s="4" t="s">
        <v>648</v>
      </c>
      <c r="E397" s="4">
        <v>9.19672372333E11</v>
      </c>
      <c r="F397" s="4">
        <v>16521.0</v>
      </c>
      <c r="G397" s="4"/>
      <c r="H397" s="4" t="s">
        <v>578</v>
      </c>
      <c r="I397" s="4"/>
      <c r="J397" s="4" t="s">
        <v>85</v>
      </c>
      <c r="K397" s="4">
        <v>99.0</v>
      </c>
      <c r="L397" s="4"/>
      <c r="M397" s="4">
        <v>99.0</v>
      </c>
      <c r="N397" s="4" t="s">
        <v>67</v>
      </c>
      <c r="O397" s="4" t="b">
        <v>0</v>
      </c>
      <c r="P397" s="4" t="s">
        <v>68</v>
      </c>
      <c r="Q397" s="4" t="s">
        <v>69</v>
      </c>
      <c r="R397" s="4"/>
      <c r="S397" s="4"/>
      <c r="T397" s="4"/>
      <c r="U397" s="7"/>
      <c r="V397" s="4"/>
      <c r="W397" s="4"/>
      <c r="X397" s="4"/>
      <c r="Y397" s="4"/>
      <c r="Z397" s="4"/>
      <c r="AA397" s="5"/>
      <c r="AB397" s="5"/>
      <c r="AC397" s="5"/>
      <c r="AD397" s="5"/>
      <c r="AE397" s="5"/>
    </row>
    <row r="398">
      <c r="A398" s="14" t="s">
        <v>1261</v>
      </c>
      <c r="B398" s="19">
        <v>44283.85972222222</v>
      </c>
      <c r="C398" s="4">
        <v>49835.0</v>
      </c>
      <c r="D398" s="4" t="s">
        <v>1262</v>
      </c>
      <c r="E398" s="4">
        <v>9.17411410801E11</v>
      </c>
      <c r="F398" s="4" t="s">
        <v>83</v>
      </c>
      <c r="G398" s="4"/>
      <c r="H398" s="4" t="s">
        <v>680</v>
      </c>
      <c r="I398" s="4"/>
      <c r="J398" s="4" t="s">
        <v>85</v>
      </c>
      <c r="K398" s="4">
        <v>99.0</v>
      </c>
      <c r="L398" s="4"/>
      <c r="M398" s="4">
        <v>99.0</v>
      </c>
      <c r="N398" s="4" t="s">
        <v>67</v>
      </c>
      <c r="O398" s="4" t="b">
        <v>0</v>
      </c>
      <c r="P398" s="4" t="s">
        <v>68</v>
      </c>
      <c r="Q398" s="4" t="s">
        <v>69</v>
      </c>
      <c r="R398" s="4"/>
      <c r="S398" s="4"/>
      <c r="T398" s="4"/>
      <c r="U398" s="7"/>
      <c r="V398" s="4"/>
      <c r="W398" s="4"/>
      <c r="X398" s="4"/>
      <c r="Y398" s="4"/>
      <c r="Z398" s="4"/>
      <c r="AA398" s="5"/>
      <c r="AB398" s="5"/>
      <c r="AC398" s="5"/>
      <c r="AD398" s="5"/>
      <c r="AE398" s="5"/>
    </row>
    <row r="399">
      <c r="A399" s="14" t="s">
        <v>651</v>
      </c>
      <c r="B399" s="19">
        <v>44284.02795138889</v>
      </c>
      <c r="C399" s="4">
        <v>49834.0</v>
      </c>
      <c r="D399" s="4" t="s">
        <v>652</v>
      </c>
      <c r="E399" s="4">
        <v>9.1982003323E11</v>
      </c>
      <c r="F399" s="4">
        <v>16534.0</v>
      </c>
      <c r="G399" s="4"/>
      <c r="H399" s="4" t="s">
        <v>76</v>
      </c>
      <c r="I399" s="4"/>
      <c r="J399" s="4" t="s">
        <v>77</v>
      </c>
      <c r="K399" s="4">
        <v>499.0</v>
      </c>
      <c r="L399" s="4"/>
      <c r="M399" s="4">
        <v>499.0</v>
      </c>
      <c r="N399" s="4" t="s">
        <v>67</v>
      </c>
      <c r="O399" s="4" t="b">
        <v>0</v>
      </c>
      <c r="P399" s="4" t="s">
        <v>68</v>
      </c>
      <c r="Q399" s="4" t="s">
        <v>69</v>
      </c>
      <c r="R399" s="4"/>
      <c r="S399" s="4"/>
      <c r="T399" s="4"/>
      <c r="U399" s="7"/>
      <c r="V399" s="4"/>
      <c r="W399" s="4"/>
      <c r="X399" s="4"/>
      <c r="Y399" s="4"/>
      <c r="Z399" s="4"/>
      <c r="AA399" s="5"/>
      <c r="AB399" s="5"/>
      <c r="AC399" s="5"/>
      <c r="AD399" s="5"/>
      <c r="AE399" s="5"/>
    </row>
    <row r="400">
      <c r="A400" s="14" t="s">
        <v>2196</v>
      </c>
      <c r="B400" s="19">
        <v>44285.316099537034</v>
      </c>
      <c r="C400" s="4">
        <v>49854.0</v>
      </c>
      <c r="D400" s="4" t="s">
        <v>2197</v>
      </c>
      <c r="E400" s="4">
        <v>9.19902221576E11</v>
      </c>
      <c r="F400" s="4">
        <v>16531.0</v>
      </c>
      <c r="G400" s="4"/>
      <c r="H400" s="4" t="s">
        <v>2161</v>
      </c>
      <c r="I400" s="4"/>
      <c r="J400" s="4" t="s">
        <v>85</v>
      </c>
      <c r="K400" s="4">
        <v>999.0</v>
      </c>
      <c r="L400" s="4"/>
      <c r="M400" s="4">
        <v>999.0</v>
      </c>
      <c r="N400" s="4" t="s">
        <v>67</v>
      </c>
      <c r="O400" s="4" t="b">
        <v>0</v>
      </c>
      <c r="P400" s="4" t="s">
        <v>97</v>
      </c>
      <c r="Q400" s="4" t="s">
        <v>69</v>
      </c>
      <c r="R400" s="4"/>
      <c r="S400" s="4"/>
      <c r="T400" s="4"/>
      <c r="U400" s="7"/>
      <c r="V400" s="4"/>
      <c r="W400" s="4"/>
      <c r="X400" s="4"/>
      <c r="Y400" s="4"/>
      <c r="Z400" s="4"/>
      <c r="AA400" s="5"/>
      <c r="AB400" s="5"/>
      <c r="AC400" s="5"/>
      <c r="AD400" s="5"/>
      <c r="AE400" s="5"/>
    </row>
    <row r="401">
      <c r="A401" s="14" t="s">
        <v>2202</v>
      </c>
      <c r="B401" s="19">
        <v>44285.32318287037</v>
      </c>
      <c r="C401" s="4">
        <v>49854.0</v>
      </c>
      <c r="D401" s="4" t="s">
        <v>2197</v>
      </c>
      <c r="E401" s="4">
        <v>9.18197246368E11</v>
      </c>
      <c r="F401" s="4" t="s">
        <v>2203</v>
      </c>
      <c r="G401" s="4"/>
      <c r="H401" s="4" t="s">
        <v>2161</v>
      </c>
      <c r="I401" s="4"/>
      <c r="J401" s="4" t="s">
        <v>85</v>
      </c>
      <c r="K401" s="4">
        <v>999.0</v>
      </c>
      <c r="L401" s="4"/>
      <c r="M401" s="4">
        <v>999.0</v>
      </c>
      <c r="N401" s="4" t="s">
        <v>67</v>
      </c>
      <c r="O401" s="4" t="b">
        <v>0</v>
      </c>
      <c r="P401" s="4" t="s">
        <v>97</v>
      </c>
      <c r="Q401" s="4" t="s">
        <v>69</v>
      </c>
      <c r="R401" s="4"/>
      <c r="S401" s="4"/>
      <c r="T401" s="4"/>
      <c r="U401" s="7"/>
      <c r="V401" s="4"/>
      <c r="W401" s="4"/>
      <c r="X401" s="4"/>
      <c r="Y401" s="4"/>
      <c r="Z401" s="4"/>
      <c r="AA401" s="5"/>
      <c r="AB401" s="5"/>
      <c r="AC401" s="5"/>
      <c r="AD401" s="5"/>
      <c r="AE401" s="5"/>
    </row>
    <row r="402">
      <c r="A402" s="14" t="s">
        <v>324</v>
      </c>
      <c r="B402" s="19">
        <v>44284.45232638889</v>
      </c>
      <c r="C402" s="4">
        <v>49864.0</v>
      </c>
      <c r="D402" s="4" t="s">
        <v>325</v>
      </c>
      <c r="E402" s="4">
        <v>9.17995182223E11</v>
      </c>
      <c r="F402" s="4" t="s">
        <v>83</v>
      </c>
      <c r="G402" s="4"/>
      <c r="H402" s="4" t="s">
        <v>181</v>
      </c>
      <c r="I402" s="4"/>
      <c r="J402" s="4" t="s">
        <v>149</v>
      </c>
      <c r="K402" s="4">
        <v>99.0</v>
      </c>
      <c r="L402" s="4"/>
      <c r="M402" s="4">
        <v>99.0</v>
      </c>
      <c r="N402" s="4" t="s">
        <v>67</v>
      </c>
      <c r="O402" s="4" t="b">
        <v>0</v>
      </c>
      <c r="P402" s="4" t="s">
        <v>68</v>
      </c>
      <c r="Q402" s="4" t="s">
        <v>69</v>
      </c>
      <c r="R402" s="4"/>
      <c r="S402" s="4"/>
      <c r="T402" s="4"/>
      <c r="U402" s="7"/>
      <c r="V402" s="4"/>
      <c r="W402" s="4"/>
      <c r="X402" s="4"/>
      <c r="Y402" s="4"/>
      <c r="Z402" s="4"/>
      <c r="AA402" s="5"/>
      <c r="AB402" s="5"/>
      <c r="AC402" s="5"/>
      <c r="AD402" s="5"/>
      <c r="AE402" s="5"/>
    </row>
    <row r="403">
      <c r="A403" s="14" t="s">
        <v>348</v>
      </c>
      <c r="B403" s="19">
        <v>44285.582037037035</v>
      </c>
      <c r="C403" s="4">
        <v>49864.0</v>
      </c>
      <c r="D403" s="4" t="s">
        <v>349</v>
      </c>
      <c r="E403" s="4">
        <v>9.19871399495E11</v>
      </c>
      <c r="F403" s="4" t="s">
        <v>83</v>
      </c>
      <c r="G403" s="4"/>
      <c r="H403" s="4" t="s">
        <v>181</v>
      </c>
      <c r="I403" s="4"/>
      <c r="J403" s="4" t="s">
        <v>149</v>
      </c>
      <c r="K403" s="4">
        <v>99.0</v>
      </c>
      <c r="L403" s="4"/>
      <c r="M403" s="4">
        <v>99.0</v>
      </c>
      <c r="N403" s="4" t="s">
        <v>67</v>
      </c>
      <c r="O403" s="4" t="b">
        <v>0</v>
      </c>
      <c r="P403" s="4" t="s">
        <v>74</v>
      </c>
      <c r="Q403" s="4" t="s">
        <v>69</v>
      </c>
      <c r="R403" s="4"/>
      <c r="S403" s="4"/>
      <c r="T403" s="4"/>
      <c r="U403" s="7"/>
      <c r="V403" s="4"/>
      <c r="W403" s="4"/>
      <c r="X403" s="4"/>
      <c r="Y403" s="4"/>
      <c r="Z403" s="4"/>
      <c r="AA403" s="5"/>
      <c r="AB403" s="5"/>
      <c r="AC403" s="5"/>
      <c r="AD403" s="5"/>
      <c r="AE403" s="5"/>
    </row>
    <row r="404">
      <c r="A404" s="14" t="s">
        <v>1266</v>
      </c>
      <c r="B404" s="19">
        <v>44285.589224537034</v>
      </c>
      <c r="C404" s="4">
        <v>49835.0</v>
      </c>
      <c r="D404" s="4" t="s">
        <v>1267</v>
      </c>
      <c r="E404" s="4">
        <v>9.18977733861E11</v>
      </c>
      <c r="F404" s="4">
        <v>16569.0</v>
      </c>
      <c r="G404" s="4"/>
      <c r="H404" s="4" t="s">
        <v>680</v>
      </c>
      <c r="I404" s="4"/>
      <c r="J404" s="4" t="s">
        <v>85</v>
      </c>
      <c r="K404" s="4">
        <v>99.0</v>
      </c>
      <c r="L404" s="4"/>
      <c r="M404" s="4">
        <v>99.0</v>
      </c>
      <c r="N404" s="4" t="s">
        <v>67</v>
      </c>
      <c r="O404" s="4" t="b">
        <v>0</v>
      </c>
      <c r="P404" s="4" t="s">
        <v>68</v>
      </c>
      <c r="Q404" s="4" t="s">
        <v>69</v>
      </c>
      <c r="R404" s="4"/>
      <c r="S404" s="4"/>
      <c r="T404" s="4"/>
      <c r="U404" s="7"/>
      <c r="V404" s="4"/>
      <c r="W404" s="4"/>
      <c r="X404" s="4"/>
      <c r="Y404" s="4"/>
      <c r="Z404" s="4"/>
      <c r="AA404" s="5"/>
      <c r="AB404" s="5"/>
      <c r="AC404" s="5"/>
      <c r="AD404" s="5"/>
      <c r="AE404" s="5"/>
    </row>
    <row r="405">
      <c r="A405" s="14" t="s">
        <v>1270</v>
      </c>
      <c r="B405" s="19">
        <v>44285.60439814815</v>
      </c>
      <c r="C405" s="4">
        <v>49835.0</v>
      </c>
      <c r="D405" s="4" t="s">
        <v>1271</v>
      </c>
      <c r="E405" s="4">
        <v>9.19920937811E11</v>
      </c>
      <c r="F405" s="4">
        <v>16563.0</v>
      </c>
      <c r="G405" s="4"/>
      <c r="H405" s="4" t="s">
        <v>680</v>
      </c>
      <c r="I405" s="4"/>
      <c r="J405" s="4" t="s">
        <v>85</v>
      </c>
      <c r="K405" s="4">
        <v>99.0</v>
      </c>
      <c r="L405" s="4"/>
      <c r="M405" s="4">
        <v>99.0</v>
      </c>
      <c r="N405" s="4" t="s">
        <v>67</v>
      </c>
      <c r="O405" s="4" t="b">
        <v>0</v>
      </c>
      <c r="P405" s="4" t="s">
        <v>68</v>
      </c>
      <c r="Q405" s="4" t="s">
        <v>69</v>
      </c>
      <c r="R405" s="4"/>
      <c r="S405" s="4"/>
      <c r="T405" s="4"/>
      <c r="U405" s="7"/>
      <c r="V405" s="4"/>
      <c r="W405" s="4"/>
      <c r="X405" s="4"/>
      <c r="Y405" s="4"/>
      <c r="Z405" s="4"/>
      <c r="AA405" s="5"/>
      <c r="AB405" s="5"/>
      <c r="AC405" s="5"/>
      <c r="AD405" s="5"/>
      <c r="AE405" s="5"/>
    </row>
    <row r="406">
      <c r="A406" s="14" t="s">
        <v>95</v>
      </c>
      <c r="B406" s="19">
        <v>44218.89418981481</v>
      </c>
      <c r="C406" s="4">
        <v>49831.0</v>
      </c>
      <c r="D406" s="4" t="s">
        <v>96</v>
      </c>
      <c r="E406" s="4">
        <v>9.173830861E11</v>
      </c>
      <c r="F406" s="4">
        <v>5187.0</v>
      </c>
      <c r="G406" s="4"/>
      <c r="H406" s="4" t="s">
        <v>64</v>
      </c>
      <c r="I406" s="4"/>
      <c r="J406" s="4" t="s">
        <v>65</v>
      </c>
      <c r="K406" s="4">
        <v>299.0</v>
      </c>
      <c r="L406" s="4"/>
      <c r="M406" s="4">
        <v>299.0</v>
      </c>
      <c r="N406" s="4" t="s">
        <v>67</v>
      </c>
      <c r="O406" s="4" t="b">
        <v>0</v>
      </c>
      <c r="P406" s="4" t="s">
        <v>97</v>
      </c>
      <c r="Q406" s="4" t="s">
        <v>69</v>
      </c>
      <c r="R406" s="4"/>
      <c r="S406" s="4"/>
      <c r="T406" s="4"/>
      <c r="U406" s="7"/>
      <c r="V406" s="4"/>
      <c r="W406" s="4"/>
      <c r="X406" s="4"/>
      <c r="Y406" s="4"/>
      <c r="Z406" s="4"/>
      <c r="AA406" s="5"/>
      <c r="AB406" s="5"/>
      <c r="AC406" s="5"/>
      <c r="AD406" s="5"/>
      <c r="AE406" s="5"/>
    </row>
    <row r="407">
      <c r="A407" s="14" t="s">
        <v>326</v>
      </c>
      <c r="B407" s="19">
        <v>44284.67418981482</v>
      </c>
      <c r="C407" s="4">
        <v>49864.0</v>
      </c>
      <c r="D407" s="4" t="s">
        <v>327</v>
      </c>
      <c r="E407" s="4">
        <v>9.19619041069E11</v>
      </c>
      <c r="F407" s="4">
        <v>16830.0</v>
      </c>
      <c r="G407" s="4"/>
      <c r="H407" s="4" t="s">
        <v>181</v>
      </c>
      <c r="I407" s="4"/>
      <c r="J407" s="4" t="s">
        <v>149</v>
      </c>
      <c r="K407" s="4">
        <v>99.0</v>
      </c>
      <c r="L407" s="4"/>
      <c r="M407" s="4">
        <v>99.0</v>
      </c>
      <c r="N407" s="4" t="s">
        <v>67</v>
      </c>
      <c r="O407" s="4" t="b">
        <v>0</v>
      </c>
      <c r="P407" s="4" t="s">
        <v>68</v>
      </c>
      <c r="Q407" s="4" t="s">
        <v>69</v>
      </c>
      <c r="R407" s="4"/>
      <c r="S407" s="4"/>
      <c r="T407" s="4"/>
      <c r="U407" s="7"/>
      <c r="V407" s="4"/>
      <c r="W407" s="4"/>
      <c r="X407" s="4"/>
      <c r="Y407" s="4"/>
      <c r="Z407" s="4"/>
      <c r="AA407" s="5"/>
      <c r="AB407" s="5"/>
      <c r="AC407" s="5"/>
      <c r="AD407" s="5"/>
      <c r="AE407" s="5"/>
    </row>
    <row r="408">
      <c r="A408" s="14" t="s">
        <v>340</v>
      </c>
      <c r="B408" s="19">
        <v>44284.735972222225</v>
      </c>
      <c r="C408" s="4">
        <v>49864.0</v>
      </c>
      <c r="D408" s="4" t="s">
        <v>341</v>
      </c>
      <c r="E408" s="4">
        <v>9.17041414749E11</v>
      </c>
      <c r="F408" s="4">
        <v>16671.0</v>
      </c>
      <c r="G408" s="4"/>
      <c r="H408" s="4" t="s">
        <v>181</v>
      </c>
      <c r="I408" s="4"/>
      <c r="J408" s="4" t="s">
        <v>149</v>
      </c>
      <c r="K408" s="4">
        <v>99.0</v>
      </c>
      <c r="L408" s="4"/>
      <c r="M408" s="4">
        <v>99.0</v>
      </c>
      <c r="N408" s="4" t="s">
        <v>67</v>
      </c>
      <c r="O408" s="4" t="b">
        <v>0</v>
      </c>
      <c r="P408" s="4" t="s">
        <v>74</v>
      </c>
      <c r="Q408" s="4" t="s">
        <v>69</v>
      </c>
      <c r="R408" s="4"/>
      <c r="S408" s="4"/>
      <c r="T408" s="4"/>
      <c r="U408" s="7"/>
      <c r="V408" s="4"/>
      <c r="W408" s="4"/>
      <c r="X408" s="4"/>
      <c r="Y408" s="4"/>
      <c r="Z408" s="4"/>
      <c r="AA408" s="5"/>
      <c r="AB408" s="5"/>
      <c r="AC408" s="5"/>
      <c r="AD408" s="5"/>
      <c r="AE408" s="5"/>
    </row>
    <row r="409">
      <c r="A409" s="14" t="s">
        <v>669</v>
      </c>
      <c r="B409" s="19">
        <v>44285.78157407408</v>
      </c>
      <c r="C409" s="4">
        <v>49891.0</v>
      </c>
      <c r="D409" s="4" t="s">
        <v>670</v>
      </c>
      <c r="E409" s="4">
        <v>9.19004556222E11</v>
      </c>
      <c r="F409" s="4">
        <v>16558.0</v>
      </c>
      <c r="G409" s="4"/>
      <c r="H409" s="4" t="s">
        <v>578</v>
      </c>
      <c r="I409" s="4"/>
      <c r="J409" s="4" t="s">
        <v>85</v>
      </c>
      <c r="K409" s="4">
        <v>99.0</v>
      </c>
      <c r="L409" s="4"/>
      <c r="M409" s="4">
        <v>99.0</v>
      </c>
      <c r="N409" s="4" t="s">
        <v>67</v>
      </c>
      <c r="O409" s="4" t="b">
        <v>0</v>
      </c>
      <c r="P409" s="4" t="s">
        <v>97</v>
      </c>
      <c r="Q409" s="4" t="s">
        <v>69</v>
      </c>
      <c r="R409" s="4"/>
      <c r="S409" s="4"/>
      <c r="T409" s="4"/>
      <c r="U409" s="7"/>
      <c r="V409" s="4"/>
      <c r="W409" s="4"/>
      <c r="X409" s="4"/>
      <c r="Y409" s="4"/>
      <c r="Z409" s="4"/>
      <c r="AA409" s="5"/>
      <c r="AB409" s="5"/>
      <c r="AC409" s="5"/>
      <c r="AD409" s="5"/>
      <c r="AE409" s="5"/>
    </row>
    <row r="410">
      <c r="A410" s="14" t="s">
        <v>1274</v>
      </c>
      <c r="B410" s="19">
        <v>44285.80042824074</v>
      </c>
      <c r="C410" s="4">
        <v>49835.0</v>
      </c>
      <c r="D410" s="4" t="s">
        <v>1275</v>
      </c>
      <c r="E410" s="4">
        <v>9.19739958666E11</v>
      </c>
      <c r="F410" s="4">
        <v>16564.0</v>
      </c>
      <c r="G410" s="4"/>
      <c r="H410" s="4" t="s">
        <v>680</v>
      </c>
      <c r="I410" s="4"/>
      <c r="J410" s="4" t="s">
        <v>85</v>
      </c>
      <c r="K410" s="4">
        <v>99.0</v>
      </c>
      <c r="L410" s="4"/>
      <c r="M410" s="4">
        <v>99.0</v>
      </c>
      <c r="N410" s="4" t="s">
        <v>67</v>
      </c>
      <c r="O410" s="4" t="b">
        <v>0</v>
      </c>
      <c r="P410" s="4" t="s">
        <v>68</v>
      </c>
      <c r="Q410" s="4" t="s">
        <v>69</v>
      </c>
      <c r="R410" s="4"/>
      <c r="S410" s="4"/>
      <c r="T410" s="4"/>
      <c r="U410" s="7"/>
      <c r="V410" s="4"/>
      <c r="W410" s="4"/>
      <c r="X410" s="4"/>
      <c r="Y410" s="4"/>
      <c r="Z410" s="4"/>
      <c r="AA410" s="5"/>
      <c r="AB410" s="5"/>
      <c r="AC410" s="5"/>
      <c r="AD410" s="5"/>
      <c r="AE410" s="5"/>
    </row>
    <row r="411">
      <c r="A411" s="14" t="s">
        <v>673</v>
      </c>
      <c r="B411" s="19">
        <v>44285.84353009259</v>
      </c>
      <c r="C411" s="4">
        <v>49891.0</v>
      </c>
      <c r="D411" s="4" t="s">
        <v>674</v>
      </c>
      <c r="E411" s="4">
        <v>9.18978023455E11</v>
      </c>
      <c r="F411" s="4">
        <v>16554.0</v>
      </c>
      <c r="G411" s="4"/>
      <c r="H411" s="4" t="s">
        <v>578</v>
      </c>
      <c r="I411" s="4"/>
      <c r="J411" s="4" t="s">
        <v>85</v>
      </c>
      <c r="K411" s="4">
        <v>99.0</v>
      </c>
      <c r="L411" s="4"/>
      <c r="M411" s="4">
        <v>99.0</v>
      </c>
      <c r="N411" s="4" t="s">
        <v>67</v>
      </c>
      <c r="O411" s="4" t="b">
        <v>0</v>
      </c>
      <c r="P411" s="4" t="s">
        <v>68</v>
      </c>
      <c r="Q411" s="4" t="s">
        <v>69</v>
      </c>
      <c r="R411" s="4"/>
      <c r="S411" s="4"/>
      <c r="T411" s="4"/>
      <c r="U411" s="7"/>
      <c r="V411" s="4"/>
      <c r="W411" s="4"/>
      <c r="X411" s="4"/>
      <c r="Y411" s="4"/>
      <c r="Z411" s="4"/>
      <c r="AA411" s="5"/>
      <c r="AB411" s="5"/>
      <c r="AC411" s="5"/>
      <c r="AD411" s="5"/>
      <c r="AE411" s="5"/>
    </row>
    <row r="412">
      <c r="A412" s="14" t="s">
        <v>1288</v>
      </c>
      <c r="B412" s="19">
        <v>44285.87427083333</v>
      </c>
      <c r="C412" s="4">
        <v>49835.0</v>
      </c>
      <c r="D412" s="4" t="s">
        <v>1289</v>
      </c>
      <c r="E412" s="4">
        <v>9.19894644746E11</v>
      </c>
      <c r="F412" s="4">
        <v>16567.0</v>
      </c>
      <c r="G412" s="4"/>
      <c r="H412" s="4" t="s">
        <v>680</v>
      </c>
      <c r="I412" s="4"/>
      <c r="J412" s="4" t="s">
        <v>85</v>
      </c>
      <c r="K412" s="4">
        <v>99.0</v>
      </c>
      <c r="L412" s="4"/>
      <c r="M412" s="4">
        <v>99.0</v>
      </c>
      <c r="N412" s="4" t="s">
        <v>67</v>
      </c>
      <c r="O412" s="4" t="b">
        <v>0</v>
      </c>
      <c r="P412" s="4" t="s">
        <v>97</v>
      </c>
      <c r="Q412" s="4" t="s">
        <v>69</v>
      </c>
      <c r="R412" s="4"/>
      <c r="S412" s="4"/>
      <c r="T412" s="4"/>
      <c r="U412" s="7"/>
      <c r="V412" s="4"/>
      <c r="W412" s="4"/>
      <c r="X412" s="4"/>
      <c r="Y412" s="4"/>
      <c r="Z412" s="4"/>
      <c r="AA412" s="5"/>
      <c r="AB412" s="5"/>
      <c r="AC412" s="5"/>
      <c r="AD412" s="5"/>
      <c r="AE412" s="5"/>
    </row>
    <row r="413">
      <c r="A413" s="14" t="s">
        <v>342</v>
      </c>
      <c r="B413" s="19">
        <v>44284.86729166667</v>
      </c>
      <c r="C413" s="4">
        <v>49864.0</v>
      </c>
      <c r="D413" s="4" t="s">
        <v>343</v>
      </c>
      <c r="E413" s="4">
        <v>9.17728037177E11</v>
      </c>
      <c r="F413" s="4">
        <v>16679.0</v>
      </c>
      <c r="G413" s="4"/>
      <c r="H413" s="4" t="s">
        <v>181</v>
      </c>
      <c r="I413" s="4"/>
      <c r="J413" s="4" t="s">
        <v>149</v>
      </c>
      <c r="K413" s="4">
        <v>99.0</v>
      </c>
      <c r="L413" s="4"/>
      <c r="M413" s="4">
        <v>99.0</v>
      </c>
      <c r="N413" s="4" t="s">
        <v>67</v>
      </c>
      <c r="O413" s="4" t="b">
        <v>0</v>
      </c>
      <c r="P413" s="4" t="s">
        <v>68</v>
      </c>
      <c r="Q413" s="4" t="s">
        <v>69</v>
      </c>
      <c r="R413" s="4"/>
      <c r="S413" s="4"/>
      <c r="T413" s="4"/>
      <c r="U413" s="7"/>
      <c r="V413" s="4"/>
      <c r="W413" s="4"/>
      <c r="X413" s="4"/>
      <c r="Y413" s="4"/>
      <c r="Z413" s="4"/>
      <c r="AA413" s="5"/>
      <c r="AB413" s="5"/>
      <c r="AC413" s="5"/>
      <c r="AD413" s="5"/>
      <c r="AE413" s="5"/>
    </row>
    <row r="414">
      <c r="A414" s="14" t="s">
        <v>975</v>
      </c>
      <c r="B414" s="19">
        <v>44284.938680555555</v>
      </c>
      <c r="C414" s="4">
        <v>49948.0</v>
      </c>
      <c r="D414" s="4" t="s">
        <v>976</v>
      </c>
      <c r="E414" s="4">
        <v>9.19087000401E11</v>
      </c>
      <c r="F414" s="4">
        <v>16543.0</v>
      </c>
      <c r="G414" s="4"/>
      <c r="H414" s="4" t="s">
        <v>791</v>
      </c>
      <c r="I414" s="4"/>
      <c r="J414" s="4" t="s">
        <v>149</v>
      </c>
      <c r="K414" s="4">
        <v>99.0</v>
      </c>
      <c r="L414" s="4"/>
      <c r="M414" s="4">
        <v>99.0</v>
      </c>
      <c r="N414" s="4" t="s">
        <v>67</v>
      </c>
      <c r="O414" s="4" t="b">
        <v>0</v>
      </c>
      <c r="P414" s="4" t="s">
        <v>68</v>
      </c>
      <c r="Q414" s="4" t="s">
        <v>69</v>
      </c>
      <c r="R414" s="4"/>
      <c r="S414" s="4"/>
      <c r="T414" s="4"/>
      <c r="U414" s="7"/>
      <c r="V414" s="4"/>
      <c r="W414" s="4"/>
      <c r="X414" s="4"/>
      <c r="Y414" s="4"/>
      <c r="Z414" s="4"/>
      <c r="AA414" s="5"/>
      <c r="AB414" s="5"/>
      <c r="AC414" s="5"/>
      <c r="AD414" s="5"/>
      <c r="AE414" s="5"/>
    </row>
    <row r="415">
      <c r="A415" s="14" t="s">
        <v>346</v>
      </c>
      <c r="B415" s="19">
        <v>44284.94253472222</v>
      </c>
      <c r="C415" s="4">
        <v>49864.0</v>
      </c>
      <c r="D415" s="4" t="s">
        <v>347</v>
      </c>
      <c r="E415" s="4">
        <v>9.19017651251E11</v>
      </c>
      <c r="F415" s="4" t="s">
        <v>83</v>
      </c>
      <c r="G415" s="4"/>
      <c r="H415" s="4" t="s">
        <v>181</v>
      </c>
      <c r="I415" s="4"/>
      <c r="J415" s="4" t="s">
        <v>149</v>
      </c>
      <c r="K415" s="4">
        <v>99.0</v>
      </c>
      <c r="L415" s="4"/>
      <c r="M415" s="4">
        <v>99.0</v>
      </c>
      <c r="N415" s="4" t="s">
        <v>67</v>
      </c>
      <c r="O415" s="4" t="b">
        <v>0</v>
      </c>
      <c r="P415" s="4" t="s">
        <v>68</v>
      </c>
      <c r="Q415" s="4" t="s">
        <v>69</v>
      </c>
      <c r="R415" s="4"/>
      <c r="S415" s="4"/>
      <c r="T415" s="4"/>
      <c r="U415" s="7"/>
      <c r="V415" s="4"/>
      <c r="W415" s="4"/>
      <c r="X415" s="4"/>
      <c r="Y415" s="4"/>
      <c r="Z415" s="4"/>
      <c r="AA415" s="5"/>
      <c r="AB415" s="5"/>
      <c r="AC415" s="5"/>
      <c r="AD415" s="5"/>
      <c r="AE415" s="5"/>
    </row>
    <row r="416">
      <c r="A416" s="14" t="s">
        <v>677</v>
      </c>
      <c r="B416" s="19">
        <v>44286.04482638889</v>
      </c>
      <c r="C416" s="4">
        <v>49891.0</v>
      </c>
      <c r="D416" s="4" t="s">
        <v>678</v>
      </c>
      <c r="E416" s="4">
        <v>9.19049396249E11</v>
      </c>
      <c r="F416" s="4">
        <v>16559.0</v>
      </c>
      <c r="G416" s="4"/>
      <c r="H416" s="4" t="s">
        <v>578</v>
      </c>
      <c r="I416" s="4"/>
      <c r="J416" s="4" t="s">
        <v>85</v>
      </c>
      <c r="K416" s="4">
        <v>99.0</v>
      </c>
      <c r="L416" s="4"/>
      <c r="M416" s="4">
        <v>99.0</v>
      </c>
      <c r="N416" s="4" t="s">
        <v>67</v>
      </c>
      <c r="O416" s="4" t="b">
        <v>0</v>
      </c>
      <c r="P416" s="4" t="s">
        <v>68</v>
      </c>
      <c r="Q416" s="4" t="s">
        <v>69</v>
      </c>
      <c r="R416" s="4"/>
      <c r="S416" s="4"/>
      <c r="T416" s="4"/>
      <c r="U416" s="7"/>
      <c r="V416" s="4"/>
      <c r="W416" s="4"/>
      <c r="X416" s="4"/>
      <c r="Y416" s="4"/>
      <c r="Z416" s="4"/>
      <c r="AA416" s="5"/>
      <c r="AB416" s="5"/>
      <c r="AC416" s="5"/>
      <c r="AD416" s="5"/>
      <c r="AE416" s="5"/>
    </row>
    <row r="417">
      <c r="A417" s="14" t="s">
        <v>981</v>
      </c>
      <c r="B417" s="19">
        <v>44286.48616898148</v>
      </c>
      <c r="C417" s="4">
        <v>49948.0</v>
      </c>
      <c r="D417" s="4" t="s">
        <v>982</v>
      </c>
      <c r="E417" s="4">
        <v>9.18447664324E11</v>
      </c>
      <c r="F417" s="4">
        <v>16575.0</v>
      </c>
      <c r="G417" s="4"/>
      <c r="H417" s="4" t="s">
        <v>791</v>
      </c>
      <c r="I417" s="4"/>
      <c r="J417" s="4" t="s">
        <v>149</v>
      </c>
      <c r="K417" s="4">
        <v>99.0</v>
      </c>
      <c r="L417" s="4"/>
      <c r="M417" s="4">
        <v>99.0</v>
      </c>
      <c r="N417" s="4" t="s">
        <v>67</v>
      </c>
      <c r="O417" s="4" t="b">
        <v>0</v>
      </c>
      <c r="P417" s="4" t="s">
        <v>68</v>
      </c>
      <c r="Q417" s="4" t="s">
        <v>69</v>
      </c>
      <c r="R417" s="4"/>
      <c r="S417" s="4"/>
      <c r="T417" s="4"/>
      <c r="U417" s="7"/>
      <c r="V417" s="4"/>
      <c r="W417" s="4"/>
      <c r="X417" s="4"/>
      <c r="Y417" s="4"/>
      <c r="Z417" s="4"/>
      <c r="AA417" s="5"/>
      <c r="AB417" s="5"/>
      <c r="AC417" s="5"/>
      <c r="AD417" s="5"/>
      <c r="AE417" s="5"/>
    </row>
    <row r="418">
      <c r="A418" s="14" t="s">
        <v>98</v>
      </c>
      <c r="B418" s="19">
        <v>44220.80243055556</v>
      </c>
      <c r="C418" s="4">
        <v>49831.0</v>
      </c>
      <c r="D418" s="4" t="s">
        <v>99</v>
      </c>
      <c r="E418" s="4">
        <v>9.18668235424E11</v>
      </c>
      <c r="F418" s="4">
        <v>5857.0</v>
      </c>
      <c r="G418" s="4"/>
      <c r="H418" s="4" t="s">
        <v>64</v>
      </c>
      <c r="I418" s="4"/>
      <c r="J418" s="4" t="s">
        <v>65</v>
      </c>
      <c r="K418" s="4">
        <v>299.0</v>
      </c>
      <c r="L418" s="4"/>
      <c r="M418" s="4">
        <v>299.0</v>
      </c>
      <c r="N418" s="4" t="s">
        <v>67</v>
      </c>
      <c r="O418" s="4" t="b">
        <v>0</v>
      </c>
      <c r="P418" s="4" t="s">
        <v>68</v>
      </c>
      <c r="Q418" s="4" t="s">
        <v>69</v>
      </c>
      <c r="R418" s="4"/>
      <c r="S418" s="4"/>
      <c r="T418" s="4"/>
      <c r="U418" s="7"/>
      <c r="V418" s="4"/>
      <c r="W418" s="4"/>
      <c r="X418" s="4"/>
      <c r="Y418" s="4"/>
      <c r="Z418" s="4"/>
      <c r="AA418" s="5"/>
      <c r="AB418" s="5"/>
      <c r="AC418" s="5"/>
      <c r="AD418" s="5"/>
      <c r="AE418" s="5"/>
    </row>
    <row r="419">
      <c r="A419" s="14" t="s">
        <v>1292</v>
      </c>
      <c r="B419" s="19">
        <v>44286.571435185186</v>
      </c>
      <c r="C419" s="4">
        <v>49835.0</v>
      </c>
      <c r="D419" s="4" t="s">
        <v>1293</v>
      </c>
      <c r="E419" s="4">
        <v>9.19873483333E11</v>
      </c>
      <c r="F419" s="4">
        <v>16570.0</v>
      </c>
      <c r="G419" s="4"/>
      <c r="H419" s="4" t="s">
        <v>680</v>
      </c>
      <c r="I419" s="4"/>
      <c r="J419" s="4" t="s">
        <v>85</v>
      </c>
      <c r="K419" s="4">
        <v>99.0</v>
      </c>
      <c r="L419" s="4"/>
      <c r="M419" s="4">
        <v>99.0</v>
      </c>
      <c r="N419" s="4" t="s">
        <v>67</v>
      </c>
      <c r="O419" s="4" t="b">
        <v>0</v>
      </c>
      <c r="P419" s="4" t="s">
        <v>68</v>
      </c>
      <c r="Q419" s="4" t="s">
        <v>69</v>
      </c>
      <c r="R419" s="4"/>
      <c r="S419" s="4"/>
      <c r="T419" s="4"/>
      <c r="U419" s="7"/>
      <c r="V419" s="4"/>
      <c r="W419" s="4"/>
      <c r="X419" s="4"/>
      <c r="Y419" s="4"/>
      <c r="Z419" s="4"/>
      <c r="AA419" s="5"/>
      <c r="AB419" s="5"/>
      <c r="AC419" s="5"/>
      <c r="AD419" s="5"/>
      <c r="AE419" s="5"/>
    </row>
    <row r="420">
      <c r="A420" s="14" t="s">
        <v>378</v>
      </c>
      <c r="B420" s="19">
        <v>44287.63422453704</v>
      </c>
      <c r="C420" s="4">
        <v>49864.0</v>
      </c>
      <c r="D420" s="4" t="s">
        <v>379</v>
      </c>
      <c r="E420" s="4">
        <v>9.19860308557E11</v>
      </c>
      <c r="F420" s="4">
        <v>16683.0</v>
      </c>
      <c r="G420" s="4"/>
      <c r="H420" s="4" t="s">
        <v>181</v>
      </c>
      <c r="I420" s="4"/>
      <c r="J420" s="4" t="s">
        <v>149</v>
      </c>
      <c r="K420" s="4">
        <v>99.0</v>
      </c>
      <c r="L420" s="4"/>
      <c r="M420" s="4">
        <v>99.0</v>
      </c>
      <c r="N420" s="4" t="s">
        <v>67</v>
      </c>
      <c r="O420" s="4" t="b">
        <v>0</v>
      </c>
      <c r="P420" s="4" t="s">
        <v>97</v>
      </c>
      <c r="Q420" s="4" t="s">
        <v>69</v>
      </c>
      <c r="R420" s="4"/>
      <c r="S420" s="4"/>
      <c r="T420" s="4"/>
      <c r="U420" s="7"/>
      <c r="V420" s="4"/>
      <c r="W420" s="4"/>
      <c r="X420" s="4"/>
      <c r="Y420" s="4"/>
      <c r="Z420" s="4"/>
      <c r="AA420" s="5"/>
      <c r="AB420" s="5"/>
      <c r="AC420" s="5"/>
      <c r="AD420" s="5"/>
      <c r="AE420" s="5"/>
    </row>
    <row r="421">
      <c r="A421" s="14" t="s">
        <v>708</v>
      </c>
      <c r="B421" s="19">
        <v>44287.635405092595</v>
      </c>
      <c r="C421" s="4">
        <v>49891.0</v>
      </c>
      <c r="D421" s="4" t="s">
        <v>709</v>
      </c>
      <c r="E421" s="4">
        <v>9.1899979908E11</v>
      </c>
      <c r="F421" s="4">
        <v>16596.0</v>
      </c>
      <c r="G421" s="4"/>
      <c r="H421" s="4" t="s">
        <v>578</v>
      </c>
      <c r="I421" s="4"/>
      <c r="J421" s="4" t="s">
        <v>85</v>
      </c>
      <c r="K421" s="4">
        <v>99.0</v>
      </c>
      <c r="L421" s="4"/>
      <c r="M421" s="4">
        <v>99.0</v>
      </c>
      <c r="N421" s="4" t="s">
        <v>67</v>
      </c>
      <c r="O421" s="4" t="b">
        <v>0</v>
      </c>
      <c r="P421" s="4" t="s">
        <v>68</v>
      </c>
      <c r="Q421" s="4" t="s">
        <v>69</v>
      </c>
      <c r="R421" s="4"/>
      <c r="S421" s="4"/>
      <c r="T421" s="4"/>
      <c r="U421" s="7"/>
      <c r="V421" s="4"/>
      <c r="W421" s="4"/>
      <c r="X421" s="4"/>
      <c r="Y421" s="4"/>
      <c r="Z421" s="4"/>
      <c r="AA421" s="5"/>
      <c r="AB421" s="5"/>
      <c r="AC421" s="5"/>
      <c r="AD421" s="5"/>
      <c r="AE421" s="5"/>
    </row>
    <row r="422">
      <c r="A422" s="14" t="s">
        <v>682</v>
      </c>
      <c r="B422" s="19">
        <v>44286.61662037037</v>
      </c>
      <c r="C422" s="4">
        <v>49833.0</v>
      </c>
      <c r="D422" s="4" t="s">
        <v>683</v>
      </c>
      <c r="E422" s="4">
        <v>9.19537210787E11</v>
      </c>
      <c r="F422" s="4">
        <v>16586.0</v>
      </c>
      <c r="G422" s="4"/>
      <c r="H422" s="4" t="s">
        <v>184</v>
      </c>
      <c r="I422" s="4"/>
      <c r="J422" s="4" t="s">
        <v>85</v>
      </c>
      <c r="K422" s="4">
        <v>299.0</v>
      </c>
      <c r="L422" s="4"/>
      <c r="M422" s="4">
        <v>299.0</v>
      </c>
      <c r="N422" s="4" t="s">
        <v>67</v>
      </c>
      <c r="O422" s="4" t="b">
        <v>0</v>
      </c>
      <c r="P422" s="4" t="s">
        <v>68</v>
      </c>
      <c r="Q422" s="4" t="s">
        <v>69</v>
      </c>
      <c r="R422" s="4"/>
      <c r="S422" s="4"/>
      <c r="T422" s="4"/>
      <c r="U422" s="7"/>
      <c r="V422" s="4"/>
      <c r="W422" s="4"/>
      <c r="X422" s="4"/>
      <c r="Y422" s="4"/>
      <c r="Z422" s="4"/>
      <c r="AA422" s="5"/>
      <c r="AB422" s="5"/>
      <c r="AC422" s="5"/>
      <c r="AD422" s="5"/>
      <c r="AE422" s="5"/>
    </row>
    <row r="423">
      <c r="A423" s="14" t="s">
        <v>398</v>
      </c>
      <c r="B423" s="19">
        <v>44287.702581018515</v>
      </c>
      <c r="C423" s="4">
        <v>49864.0</v>
      </c>
      <c r="D423" s="4" t="s">
        <v>399</v>
      </c>
      <c r="E423" s="4">
        <v>9.19886416061E11</v>
      </c>
      <c r="F423" s="4">
        <v>16664.0</v>
      </c>
      <c r="G423" s="4"/>
      <c r="H423" s="4" t="s">
        <v>181</v>
      </c>
      <c r="I423" s="4"/>
      <c r="J423" s="4" t="s">
        <v>149</v>
      </c>
      <c r="K423" s="4">
        <v>99.0</v>
      </c>
      <c r="L423" s="4"/>
      <c r="M423" s="4">
        <v>99.0</v>
      </c>
      <c r="N423" s="4" t="s">
        <v>67</v>
      </c>
      <c r="O423" s="4" t="b">
        <v>0</v>
      </c>
      <c r="P423" s="4" t="s">
        <v>68</v>
      </c>
      <c r="Q423" s="4" t="s">
        <v>69</v>
      </c>
      <c r="R423" s="4"/>
      <c r="S423" s="4"/>
      <c r="T423" s="4"/>
      <c r="U423" s="7"/>
      <c r="V423" s="4"/>
      <c r="W423" s="4"/>
      <c r="X423" s="4"/>
      <c r="Y423" s="4"/>
      <c r="Z423" s="4"/>
      <c r="AA423" s="5"/>
      <c r="AB423" s="5"/>
      <c r="AC423" s="5"/>
      <c r="AD423" s="5"/>
      <c r="AE423" s="5"/>
    </row>
    <row r="424">
      <c r="A424" s="14" t="s">
        <v>684</v>
      </c>
      <c r="B424" s="19">
        <v>44286.62657407407</v>
      </c>
      <c r="C424" s="4">
        <v>49962.0</v>
      </c>
      <c r="D424" s="4" t="s">
        <v>685</v>
      </c>
      <c r="E424" s="4">
        <v>9.19866769779E11</v>
      </c>
      <c r="F424" s="4">
        <v>16480.0</v>
      </c>
      <c r="G424" s="4"/>
      <c r="H424" s="4" t="s">
        <v>245</v>
      </c>
      <c r="I424" s="4"/>
      <c r="J424" s="4" t="s">
        <v>85</v>
      </c>
      <c r="K424" s="4">
        <v>99.0</v>
      </c>
      <c r="L424" s="4"/>
      <c r="M424" s="4">
        <v>99.0</v>
      </c>
      <c r="N424" s="4" t="s">
        <v>67</v>
      </c>
      <c r="O424" s="4" t="b">
        <v>0</v>
      </c>
      <c r="P424" s="4" t="s">
        <v>97</v>
      </c>
      <c r="Q424" s="4" t="s">
        <v>69</v>
      </c>
      <c r="R424" s="4"/>
      <c r="S424" s="4"/>
      <c r="T424" s="4"/>
      <c r="U424" s="7"/>
      <c r="V424" s="4"/>
      <c r="W424" s="4"/>
      <c r="X424" s="4"/>
      <c r="Y424" s="4"/>
      <c r="Z424" s="4"/>
      <c r="AA424" s="5"/>
      <c r="AB424" s="5"/>
      <c r="AC424" s="5"/>
      <c r="AD424" s="5"/>
      <c r="AE424" s="5"/>
    </row>
    <row r="425">
      <c r="A425" s="14" t="s">
        <v>686</v>
      </c>
      <c r="B425" s="19">
        <v>44286.628842592596</v>
      </c>
      <c r="C425" s="4">
        <v>49833.0</v>
      </c>
      <c r="D425" s="4" t="s">
        <v>687</v>
      </c>
      <c r="E425" s="4">
        <v>9.19620071209E11</v>
      </c>
      <c r="F425" s="4">
        <v>16639.0</v>
      </c>
      <c r="G425" s="4"/>
      <c r="H425" s="4" t="s">
        <v>184</v>
      </c>
      <c r="I425" s="4"/>
      <c r="J425" s="4" t="s">
        <v>85</v>
      </c>
      <c r="K425" s="4">
        <v>299.0</v>
      </c>
      <c r="L425" s="4"/>
      <c r="M425" s="4">
        <v>299.0</v>
      </c>
      <c r="N425" s="4" t="s">
        <v>67</v>
      </c>
      <c r="O425" s="4" t="b">
        <v>0</v>
      </c>
      <c r="P425" s="4" t="s">
        <v>68</v>
      </c>
      <c r="Q425" s="4" t="s">
        <v>69</v>
      </c>
      <c r="R425" s="4"/>
      <c r="S425" s="4"/>
      <c r="T425" s="4"/>
      <c r="U425" s="7"/>
      <c r="V425" s="4"/>
      <c r="W425" s="4"/>
      <c r="X425" s="4"/>
      <c r="Y425" s="4"/>
      <c r="Z425" s="4"/>
      <c r="AA425" s="5"/>
      <c r="AB425" s="5"/>
      <c r="AC425" s="5"/>
      <c r="AD425" s="5"/>
      <c r="AE425" s="5"/>
    </row>
    <row r="426">
      <c r="A426" s="14" t="s">
        <v>688</v>
      </c>
      <c r="B426" s="19">
        <v>44286.63402777778</v>
      </c>
      <c r="C426" s="4">
        <v>49962.0</v>
      </c>
      <c r="D426" s="4" t="s">
        <v>689</v>
      </c>
      <c r="E426" s="4">
        <v>9.17975174635E11</v>
      </c>
      <c r="F426" s="4">
        <v>16580.0</v>
      </c>
      <c r="G426" s="4"/>
      <c r="H426" s="4" t="s">
        <v>245</v>
      </c>
      <c r="I426" s="4"/>
      <c r="J426" s="4" t="s">
        <v>85</v>
      </c>
      <c r="K426" s="4">
        <v>99.0</v>
      </c>
      <c r="L426" s="4"/>
      <c r="M426" s="4">
        <v>99.0</v>
      </c>
      <c r="N426" s="4" t="s">
        <v>67</v>
      </c>
      <c r="O426" s="4" t="b">
        <v>0</v>
      </c>
      <c r="P426" s="4" t="s">
        <v>68</v>
      </c>
      <c r="Q426" s="4" t="s">
        <v>69</v>
      </c>
      <c r="R426" s="4"/>
      <c r="S426" s="4"/>
      <c r="T426" s="4"/>
      <c r="U426" s="7"/>
      <c r="V426" s="4"/>
      <c r="W426" s="4"/>
      <c r="X426" s="4"/>
      <c r="Y426" s="4"/>
      <c r="Z426" s="4"/>
      <c r="AA426" s="5"/>
      <c r="AB426" s="5"/>
      <c r="AC426" s="5"/>
      <c r="AD426" s="5"/>
      <c r="AE426" s="5"/>
    </row>
    <row r="427">
      <c r="A427" s="14" t="s">
        <v>363</v>
      </c>
      <c r="B427" s="19">
        <v>44286.65306712963</v>
      </c>
      <c r="C427" s="4">
        <v>49864.0</v>
      </c>
      <c r="D427" s="4" t="s">
        <v>364</v>
      </c>
      <c r="E427" s="4">
        <v>9.19947325873E11</v>
      </c>
      <c r="F427" s="4">
        <v>16973.0</v>
      </c>
      <c r="G427" s="4"/>
      <c r="H427" s="4" t="s">
        <v>181</v>
      </c>
      <c r="I427" s="4"/>
      <c r="J427" s="4" t="s">
        <v>149</v>
      </c>
      <c r="K427" s="4">
        <v>99.0</v>
      </c>
      <c r="L427" s="4"/>
      <c r="M427" s="4">
        <v>99.0</v>
      </c>
      <c r="N427" s="4" t="s">
        <v>67</v>
      </c>
      <c r="O427" s="4" t="b">
        <v>0</v>
      </c>
      <c r="P427" s="4" t="s">
        <v>97</v>
      </c>
      <c r="Q427" s="4" t="s">
        <v>69</v>
      </c>
      <c r="R427" s="4"/>
      <c r="S427" s="4"/>
      <c r="T427" s="4"/>
      <c r="U427" s="7"/>
      <c r="V427" s="4"/>
      <c r="W427" s="4"/>
      <c r="X427" s="4"/>
      <c r="Y427" s="4"/>
      <c r="Z427" s="4"/>
      <c r="AA427" s="5"/>
      <c r="AB427" s="5"/>
      <c r="AC427" s="5"/>
      <c r="AD427" s="5"/>
      <c r="AE427" s="5"/>
    </row>
    <row r="428">
      <c r="A428" s="14" t="s">
        <v>710</v>
      </c>
      <c r="B428" s="19">
        <v>44287.71511574074</v>
      </c>
      <c r="C428" s="4">
        <v>49877.0</v>
      </c>
      <c r="D428" s="4" t="s">
        <v>711</v>
      </c>
      <c r="E428" s="4">
        <v>9.19205742249E11</v>
      </c>
      <c r="F428" s="4">
        <v>16597.0</v>
      </c>
      <c r="G428" s="4"/>
      <c r="H428" s="4" t="s">
        <v>280</v>
      </c>
      <c r="I428" s="4"/>
      <c r="J428" s="4" t="s">
        <v>85</v>
      </c>
      <c r="K428" s="4">
        <v>99.0</v>
      </c>
      <c r="L428" s="4"/>
      <c r="M428" s="4">
        <v>99.0</v>
      </c>
      <c r="N428" s="4" t="s">
        <v>67</v>
      </c>
      <c r="O428" s="4" t="b">
        <v>0</v>
      </c>
      <c r="P428" s="4" t="s">
        <v>151</v>
      </c>
      <c r="Q428" s="4" t="s">
        <v>69</v>
      </c>
      <c r="R428" s="4"/>
      <c r="S428" s="4"/>
      <c r="T428" s="4"/>
      <c r="U428" s="7"/>
      <c r="V428" s="4"/>
      <c r="W428" s="4"/>
      <c r="X428" s="4"/>
      <c r="Y428" s="4"/>
      <c r="Z428" s="4"/>
      <c r="AA428" s="5"/>
      <c r="AB428" s="5"/>
      <c r="AC428" s="5"/>
      <c r="AD428" s="5"/>
      <c r="AE428" s="5"/>
    </row>
    <row r="429">
      <c r="A429" s="14" t="s">
        <v>690</v>
      </c>
      <c r="B429" s="19">
        <v>44286.638344907406</v>
      </c>
      <c r="C429" s="4">
        <v>49962.0</v>
      </c>
      <c r="D429" s="4" t="s">
        <v>691</v>
      </c>
      <c r="E429" s="4">
        <v>9.18801185563E11</v>
      </c>
      <c r="F429" s="4">
        <v>16581.0</v>
      </c>
      <c r="G429" s="4"/>
      <c r="H429" s="4" t="s">
        <v>245</v>
      </c>
      <c r="I429" s="4"/>
      <c r="J429" s="4" t="s">
        <v>85</v>
      </c>
      <c r="K429" s="4">
        <v>99.0</v>
      </c>
      <c r="L429" s="4"/>
      <c r="M429" s="4">
        <v>99.0</v>
      </c>
      <c r="N429" s="4" t="s">
        <v>67</v>
      </c>
      <c r="O429" s="4" t="b">
        <v>0</v>
      </c>
      <c r="P429" s="4" t="s">
        <v>68</v>
      </c>
      <c r="Q429" s="4" t="s">
        <v>69</v>
      </c>
      <c r="R429" s="4"/>
      <c r="S429" s="4"/>
      <c r="T429" s="4"/>
      <c r="U429" s="7"/>
      <c r="V429" s="4"/>
      <c r="W429" s="4"/>
      <c r="X429" s="4"/>
      <c r="Y429" s="4"/>
      <c r="Z429" s="4"/>
      <c r="AA429" s="5"/>
      <c r="AB429" s="5"/>
      <c r="AC429" s="5"/>
      <c r="AD429" s="5"/>
      <c r="AE429" s="5"/>
    </row>
    <row r="430">
      <c r="A430" s="14" t="s">
        <v>692</v>
      </c>
      <c r="B430" s="19">
        <v>44286.638449074075</v>
      </c>
      <c r="C430" s="4">
        <v>49962.0</v>
      </c>
      <c r="D430" s="4" t="s">
        <v>693</v>
      </c>
      <c r="E430" s="4">
        <v>9.19899747165E11</v>
      </c>
      <c r="F430" s="4">
        <v>16579.0</v>
      </c>
      <c r="G430" s="4"/>
      <c r="H430" s="4" t="s">
        <v>245</v>
      </c>
      <c r="I430" s="4"/>
      <c r="J430" s="4" t="s">
        <v>85</v>
      </c>
      <c r="K430" s="4">
        <v>99.0</v>
      </c>
      <c r="L430" s="4"/>
      <c r="M430" s="4">
        <v>99.0</v>
      </c>
      <c r="N430" s="4" t="s">
        <v>67</v>
      </c>
      <c r="O430" s="4" t="b">
        <v>0</v>
      </c>
      <c r="P430" s="4" t="s">
        <v>68</v>
      </c>
      <c r="Q430" s="4" t="s">
        <v>69</v>
      </c>
      <c r="R430" s="4"/>
      <c r="S430" s="4"/>
      <c r="T430" s="4"/>
      <c r="U430" s="7"/>
      <c r="V430" s="4"/>
      <c r="W430" s="4"/>
      <c r="X430" s="4"/>
      <c r="Y430" s="4"/>
      <c r="Z430" s="4"/>
      <c r="AA430" s="5"/>
      <c r="AB430" s="5"/>
      <c r="AC430" s="5"/>
      <c r="AD430" s="5"/>
      <c r="AE430" s="5"/>
    </row>
    <row r="431">
      <c r="A431" s="14" t="s">
        <v>1298</v>
      </c>
      <c r="B431" s="19">
        <v>44286.68261574074</v>
      </c>
      <c r="C431" s="4">
        <v>49835.0</v>
      </c>
      <c r="D431" s="4" t="s">
        <v>1299</v>
      </c>
      <c r="E431" s="4">
        <v>9.18447875636E11</v>
      </c>
      <c r="F431" s="4">
        <v>16595.0</v>
      </c>
      <c r="G431" s="4"/>
      <c r="H431" s="4" t="s">
        <v>680</v>
      </c>
      <c r="I431" s="4"/>
      <c r="J431" s="4" t="s">
        <v>85</v>
      </c>
      <c r="K431" s="4">
        <v>99.0</v>
      </c>
      <c r="L431" s="4"/>
      <c r="M431" s="4">
        <v>99.0</v>
      </c>
      <c r="N431" s="4" t="s">
        <v>67</v>
      </c>
      <c r="O431" s="4" t="b">
        <v>0</v>
      </c>
      <c r="P431" s="4" t="s">
        <v>68</v>
      </c>
      <c r="Q431" s="4" t="s">
        <v>69</v>
      </c>
      <c r="R431" s="4"/>
      <c r="S431" s="4"/>
      <c r="T431" s="4"/>
      <c r="U431" s="7"/>
      <c r="V431" s="4"/>
      <c r="W431" s="4"/>
      <c r="X431" s="4"/>
      <c r="Y431" s="4"/>
      <c r="Z431" s="4"/>
      <c r="AA431" s="5"/>
      <c r="AB431" s="5"/>
      <c r="AC431" s="5"/>
      <c r="AD431" s="5"/>
      <c r="AE431" s="5"/>
    </row>
    <row r="432">
      <c r="A432" s="14" t="s">
        <v>696</v>
      </c>
      <c r="B432" s="19">
        <v>44286.68953703704</v>
      </c>
      <c r="C432" s="4">
        <v>49834.0</v>
      </c>
      <c r="D432" s="4" t="s">
        <v>697</v>
      </c>
      <c r="E432" s="4">
        <v>9.18891781175E11</v>
      </c>
      <c r="F432" s="4">
        <v>16594.0</v>
      </c>
      <c r="G432" s="4"/>
      <c r="H432" s="4" t="s">
        <v>76</v>
      </c>
      <c r="I432" s="4"/>
      <c r="J432" s="4" t="s">
        <v>85</v>
      </c>
      <c r="K432" s="4">
        <v>299.0</v>
      </c>
      <c r="L432" s="4"/>
      <c r="M432" s="4">
        <v>299.0</v>
      </c>
      <c r="N432" s="4" t="s">
        <v>67</v>
      </c>
      <c r="O432" s="4" t="b">
        <v>0</v>
      </c>
      <c r="P432" s="4" t="s">
        <v>68</v>
      </c>
      <c r="Q432" s="4" t="s">
        <v>69</v>
      </c>
      <c r="R432" s="4"/>
      <c r="S432" s="4"/>
      <c r="T432" s="4"/>
      <c r="U432" s="7"/>
      <c r="V432" s="4"/>
      <c r="W432" s="4"/>
      <c r="X432" s="4"/>
      <c r="Y432" s="4"/>
      <c r="Z432" s="4"/>
      <c r="AA432" s="5"/>
      <c r="AB432" s="5"/>
      <c r="AC432" s="5"/>
      <c r="AD432" s="5"/>
      <c r="AE432" s="5"/>
    </row>
    <row r="433">
      <c r="A433" s="14" t="s">
        <v>983</v>
      </c>
      <c r="B433" s="19">
        <v>44287.760717592595</v>
      </c>
      <c r="C433" s="4">
        <v>49948.0</v>
      </c>
      <c r="D433" s="4" t="s">
        <v>984</v>
      </c>
      <c r="E433" s="4">
        <v>9.19871774415E11</v>
      </c>
      <c r="F433" s="4">
        <v>16806.0</v>
      </c>
      <c r="G433" s="4"/>
      <c r="H433" s="4" t="s">
        <v>791</v>
      </c>
      <c r="I433" s="4"/>
      <c r="J433" s="4" t="s">
        <v>149</v>
      </c>
      <c r="K433" s="4">
        <v>99.0</v>
      </c>
      <c r="L433" s="4"/>
      <c r="M433" s="4">
        <v>99.0</v>
      </c>
      <c r="N433" s="4" t="s">
        <v>67</v>
      </c>
      <c r="O433" s="4" t="b">
        <v>0</v>
      </c>
      <c r="P433" s="4" t="s">
        <v>68</v>
      </c>
      <c r="Q433" s="4" t="s">
        <v>69</v>
      </c>
      <c r="R433" s="4"/>
      <c r="S433" s="4"/>
      <c r="T433" s="4"/>
      <c r="U433" s="7"/>
      <c r="V433" s="4"/>
      <c r="W433" s="4"/>
      <c r="X433" s="4"/>
      <c r="Y433" s="4"/>
      <c r="Z433" s="4"/>
      <c r="AA433" s="5"/>
      <c r="AB433" s="5"/>
      <c r="AC433" s="5"/>
      <c r="AD433" s="5"/>
      <c r="AE433" s="5"/>
    </row>
    <row r="434">
      <c r="A434" s="14" t="s">
        <v>698</v>
      </c>
      <c r="B434" s="19">
        <v>44286.71165509259</v>
      </c>
      <c r="C434" s="4">
        <v>49833.0</v>
      </c>
      <c r="D434" s="4" t="s">
        <v>699</v>
      </c>
      <c r="E434" s="4">
        <v>9.19491426888E11</v>
      </c>
      <c r="F434" s="4">
        <v>16603.0</v>
      </c>
      <c r="G434" s="4"/>
      <c r="H434" s="4" t="s">
        <v>184</v>
      </c>
      <c r="I434" s="4"/>
      <c r="J434" s="4" t="s">
        <v>85</v>
      </c>
      <c r="K434" s="4">
        <v>299.0</v>
      </c>
      <c r="L434" s="4"/>
      <c r="M434" s="4">
        <v>299.0</v>
      </c>
      <c r="N434" s="4" t="s">
        <v>67</v>
      </c>
      <c r="O434" s="4" t="b">
        <v>0</v>
      </c>
      <c r="P434" s="4" t="s">
        <v>68</v>
      </c>
      <c r="Q434" s="4" t="s">
        <v>69</v>
      </c>
      <c r="R434" s="4"/>
      <c r="S434" s="4"/>
      <c r="T434" s="4"/>
      <c r="U434" s="7"/>
      <c r="V434" s="4"/>
      <c r="W434" s="4"/>
      <c r="X434" s="4"/>
      <c r="Y434" s="4"/>
      <c r="Z434" s="4"/>
      <c r="AA434" s="5"/>
      <c r="AB434" s="5"/>
      <c r="AC434" s="5"/>
      <c r="AD434" s="5"/>
      <c r="AE434" s="5"/>
    </row>
    <row r="435">
      <c r="A435" s="14" t="s">
        <v>367</v>
      </c>
      <c r="B435" s="19">
        <v>44286.730104166665</v>
      </c>
      <c r="C435" s="4">
        <v>49864.0</v>
      </c>
      <c r="D435" s="4" t="s">
        <v>368</v>
      </c>
      <c r="E435" s="4">
        <v>9.19860358931E11</v>
      </c>
      <c r="F435" s="4">
        <v>16686.0</v>
      </c>
      <c r="G435" s="4"/>
      <c r="H435" s="4" t="s">
        <v>181</v>
      </c>
      <c r="I435" s="4"/>
      <c r="J435" s="4" t="s">
        <v>149</v>
      </c>
      <c r="K435" s="4">
        <v>99.0</v>
      </c>
      <c r="L435" s="4"/>
      <c r="M435" s="4">
        <v>99.0</v>
      </c>
      <c r="N435" s="4" t="s">
        <v>67</v>
      </c>
      <c r="O435" s="4" t="b">
        <v>0</v>
      </c>
      <c r="P435" s="4" t="s">
        <v>74</v>
      </c>
      <c r="Q435" s="4" t="s">
        <v>69</v>
      </c>
      <c r="R435" s="4"/>
      <c r="S435" s="4"/>
      <c r="T435" s="4"/>
      <c r="U435" s="7"/>
      <c r="V435" s="4"/>
      <c r="W435" s="4"/>
      <c r="X435" s="4"/>
      <c r="Y435" s="4"/>
      <c r="Z435" s="4"/>
      <c r="AA435" s="5"/>
      <c r="AB435" s="5"/>
      <c r="AC435" s="5"/>
      <c r="AD435" s="5"/>
      <c r="AE435" s="5"/>
    </row>
    <row r="436">
      <c r="A436" s="14" t="s">
        <v>700</v>
      </c>
      <c r="B436" s="19">
        <v>44286.807662037034</v>
      </c>
      <c r="C436" s="4">
        <v>49962.0</v>
      </c>
      <c r="D436" s="4" t="s">
        <v>701</v>
      </c>
      <c r="E436" s="4">
        <v>9.18088038268E11</v>
      </c>
      <c r="F436" s="4">
        <v>16577.0</v>
      </c>
      <c r="G436" s="4"/>
      <c r="H436" s="4" t="s">
        <v>245</v>
      </c>
      <c r="I436" s="4"/>
      <c r="J436" s="4" t="s">
        <v>85</v>
      </c>
      <c r="K436" s="4">
        <v>99.0</v>
      </c>
      <c r="L436" s="4"/>
      <c r="M436" s="4">
        <v>99.0</v>
      </c>
      <c r="N436" s="4" t="s">
        <v>67</v>
      </c>
      <c r="O436" s="4" t="b">
        <v>0</v>
      </c>
      <c r="P436" s="4" t="s">
        <v>68</v>
      </c>
      <c r="Q436" s="4" t="s">
        <v>69</v>
      </c>
      <c r="R436" s="4"/>
      <c r="S436" s="4"/>
      <c r="T436" s="4"/>
      <c r="U436" s="7"/>
      <c r="V436" s="4"/>
      <c r="W436" s="4"/>
      <c r="X436" s="4"/>
      <c r="Y436" s="4"/>
      <c r="Z436" s="4"/>
      <c r="AA436" s="5"/>
      <c r="AB436" s="5"/>
      <c r="AC436" s="5"/>
      <c r="AD436" s="5"/>
      <c r="AE436" s="5"/>
    </row>
    <row r="437">
      <c r="A437" s="14" t="s">
        <v>986</v>
      </c>
      <c r="B437" s="19">
        <v>44287.899189814816</v>
      </c>
      <c r="C437" s="4">
        <v>49948.0</v>
      </c>
      <c r="D437" s="4" t="s">
        <v>987</v>
      </c>
      <c r="E437" s="4">
        <v>9.19579765697E11</v>
      </c>
      <c r="F437" s="4">
        <v>16599.0</v>
      </c>
      <c r="G437" s="4"/>
      <c r="H437" s="4" t="s">
        <v>791</v>
      </c>
      <c r="I437" s="4"/>
      <c r="J437" s="4" t="s">
        <v>149</v>
      </c>
      <c r="K437" s="4">
        <v>99.0</v>
      </c>
      <c r="L437" s="4"/>
      <c r="M437" s="4">
        <v>99.0</v>
      </c>
      <c r="N437" s="4" t="s">
        <v>67</v>
      </c>
      <c r="O437" s="4" t="b">
        <v>0</v>
      </c>
      <c r="P437" s="4" t="s">
        <v>68</v>
      </c>
      <c r="Q437" s="4" t="s">
        <v>69</v>
      </c>
      <c r="R437" s="4"/>
      <c r="S437" s="4"/>
      <c r="T437" s="4"/>
      <c r="U437" s="7"/>
      <c r="V437" s="4"/>
      <c r="W437" s="4"/>
      <c r="X437" s="4"/>
      <c r="Y437" s="4"/>
      <c r="Z437" s="4"/>
      <c r="AA437" s="5"/>
      <c r="AB437" s="5"/>
      <c r="AC437" s="5"/>
      <c r="AD437" s="5"/>
      <c r="AE437" s="5"/>
    </row>
    <row r="438">
      <c r="A438" s="14" t="s">
        <v>1302</v>
      </c>
      <c r="B438" s="19">
        <v>44287.47241898148</v>
      </c>
      <c r="C438" s="4">
        <v>49835.0</v>
      </c>
      <c r="D438" s="4" t="s">
        <v>1303</v>
      </c>
      <c r="E438" s="4">
        <v>9.1709672918E11</v>
      </c>
      <c r="F438" s="4">
        <v>16589.0</v>
      </c>
      <c r="G438" s="4"/>
      <c r="H438" s="4" t="s">
        <v>680</v>
      </c>
      <c r="I438" s="4"/>
      <c r="J438" s="4" t="s">
        <v>85</v>
      </c>
      <c r="K438" s="4">
        <v>99.0</v>
      </c>
      <c r="L438" s="4"/>
      <c r="M438" s="4">
        <v>99.0</v>
      </c>
      <c r="N438" s="4" t="s">
        <v>67</v>
      </c>
      <c r="O438" s="4" t="b">
        <v>0</v>
      </c>
      <c r="P438" s="4" t="s">
        <v>68</v>
      </c>
      <c r="Q438" s="4" t="s">
        <v>69</v>
      </c>
      <c r="R438" s="4"/>
      <c r="S438" s="4"/>
      <c r="T438" s="4"/>
      <c r="U438" s="7"/>
      <c r="V438" s="4"/>
      <c r="W438" s="4"/>
      <c r="X438" s="4"/>
      <c r="Y438" s="4"/>
      <c r="Z438" s="4"/>
      <c r="AA438" s="5"/>
      <c r="AB438" s="5"/>
      <c r="AC438" s="5"/>
      <c r="AD438" s="5"/>
      <c r="AE438" s="5"/>
    </row>
    <row r="439">
      <c r="A439" s="14" t="s">
        <v>1306</v>
      </c>
      <c r="B439" s="19">
        <v>44287.50991898148</v>
      </c>
      <c r="C439" s="4">
        <v>49835.0</v>
      </c>
      <c r="D439" s="4" t="s">
        <v>1307</v>
      </c>
      <c r="E439" s="4">
        <v>9.2044562223E10</v>
      </c>
      <c r="F439" s="4" t="s">
        <v>83</v>
      </c>
      <c r="G439" s="4"/>
      <c r="H439" s="4" t="s">
        <v>680</v>
      </c>
      <c r="I439" s="4"/>
      <c r="J439" s="4" t="s">
        <v>85</v>
      </c>
      <c r="K439" s="4">
        <v>99.0</v>
      </c>
      <c r="L439" s="4"/>
      <c r="M439" s="4">
        <v>99.0</v>
      </c>
      <c r="N439" s="4" t="s">
        <v>67</v>
      </c>
      <c r="O439" s="4" t="b">
        <v>0</v>
      </c>
      <c r="P439" s="4" t="s">
        <v>68</v>
      </c>
      <c r="Q439" s="4" t="s">
        <v>69</v>
      </c>
      <c r="R439" s="4"/>
      <c r="S439" s="4"/>
      <c r="T439" s="4"/>
      <c r="U439" s="7"/>
      <c r="V439" s="4"/>
      <c r="W439" s="4"/>
      <c r="X439" s="4"/>
      <c r="Y439" s="4"/>
      <c r="Z439" s="4"/>
      <c r="AA439" s="5"/>
      <c r="AB439" s="5"/>
      <c r="AC439" s="5"/>
      <c r="AD439" s="5"/>
      <c r="AE439" s="5"/>
    </row>
    <row r="440">
      <c r="A440" s="14" t="s">
        <v>1308</v>
      </c>
      <c r="B440" s="19">
        <v>44287.518171296295</v>
      </c>
      <c r="C440" s="4">
        <v>49835.0</v>
      </c>
      <c r="D440" s="4" t="s">
        <v>1307</v>
      </c>
      <c r="E440" s="4">
        <v>9.19204456223E11</v>
      </c>
      <c r="F440" s="4" t="s">
        <v>83</v>
      </c>
      <c r="G440" s="4"/>
      <c r="H440" s="4" t="s">
        <v>680</v>
      </c>
      <c r="I440" s="4"/>
      <c r="J440" s="4" t="s">
        <v>85</v>
      </c>
      <c r="K440" s="4">
        <v>99.0</v>
      </c>
      <c r="L440" s="4"/>
      <c r="M440" s="4">
        <v>99.0</v>
      </c>
      <c r="N440" s="4" t="s">
        <v>67</v>
      </c>
      <c r="O440" s="4" t="b">
        <v>0</v>
      </c>
      <c r="P440" s="4" t="s">
        <v>74</v>
      </c>
      <c r="Q440" s="4" t="s">
        <v>69</v>
      </c>
      <c r="R440" s="4"/>
      <c r="S440" s="4"/>
      <c r="T440" s="4"/>
      <c r="U440" s="7"/>
      <c r="V440" s="4"/>
      <c r="W440" s="4"/>
      <c r="X440" s="4"/>
      <c r="Y440" s="4"/>
      <c r="Z440" s="4"/>
      <c r="AA440" s="5"/>
      <c r="AB440" s="5"/>
      <c r="AC440" s="5"/>
      <c r="AD440" s="5"/>
      <c r="AE440" s="5"/>
    </row>
    <row r="441">
      <c r="A441" s="14" t="s">
        <v>408</v>
      </c>
      <c r="B441" s="19">
        <v>44288.60563657407</v>
      </c>
      <c r="C441" s="4">
        <v>49864.0</v>
      </c>
      <c r="D441" s="4" t="s">
        <v>409</v>
      </c>
      <c r="E441" s="4">
        <v>9.19895893015E11</v>
      </c>
      <c r="F441" s="4">
        <v>16986.0</v>
      </c>
      <c r="G441" s="4"/>
      <c r="H441" s="4" t="s">
        <v>181</v>
      </c>
      <c r="I441" s="4"/>
      <c r="J441" s="4" t="s">
        <v>149</v>
      </c>
      <c r="K441" s="4">
        <v>99.0</v>
      </c>
      <c r="L441" s="4"/>
      <c r="M441" s="4">
        <v>99.0</v>
      </c>
      <c r="N441" s="4" t="s">
        <v>67</v>
      </c>
      <c r="O441" s="4" t="b">
        <v>0</v>
      </c>
      <c r="P441" s="4" t="s">
        <v>97</v>
      </c>
      <c r="Q441" s="4" t="s">
        <v>69</v>
      </c>
      <c r="R441" s="4"/>
      <c r="S441" s="4"/>
      <c r="T441" s="4"/>
      <c r="U441" s="7"/>
      <c r="V441" s="4"/>
      <c r="W441" s="4"/>
      <c r="X441" s="4"/>
      <c r="Y441" s="4"/>
      <c r="Z441" s="4"/>
      <c r="AA441" s="5"/>
      <c r="AB441" s="5"/>
      <c r="AC441" s="5"/>
      <c r="AD441" s="5"/>
      <c r="AE441" s="5"/>
    </row>
    <row r="442">
      <c r="A442" s="14" t="s">
        <v>1311</v>
      </c>
      <c r="B442" s="19">
        <v>44288.63554398148</v>
      </c>
      <c r="C442" s="4">
        <v>49835.0</v>
      </c>
      <c r="D442" s="4" t="s">
        <v>1312</v>
      </c>
      <c r="E442" s="4">
        <v>9.19579981219E11</v>
      </c>
      <c r="F442" s="4">
        <v>16604.0</v>
      </c>
      <c r="G442" s="4"/>
      <c r="H442" s="4" t="s">
        <v>680</v>
      </c>
      <c r="I442" s="4"/>
      <c r="J442" s="4" t="s">
        <v>85</v>
      </c>
      <c r="K442" s="4">
        <v>99.0</v>
      </c>
      <c r="L442" s="4"/>
      <c r="M442" s="4">
        <v>99.0</v>
      </c>
      <c r="N442" s="4" t="s">
        <v>67</v>
      </c>
      <c r="O442" s="4" t="b">
        <v>0</v>
      </c>
      <c r="P442" s="4" t="s">
        <v>97</v>
      </c>
      <c r="Q442" s="4" t="s">
        <v>69</v>
      </c>
      <c r="R442" s="4"/>
      <c r="S442" s="4"/>
      <c r="T442" s="4"/>
      <c r="U442" s="7"/>
      <c r="V442" s="4"/>
      <c r="W442" s="4"/>
      <c r="X442" s="4"/>
      <c r="Y442" s="4"/>
      <c r="Z442" s="4"/>
      <c r="AA442" s="5"/>
      <c r="AB442" s="5"/>
      <c r="AC442" s="5"/>
      <c r="AD442" s="5"/>
      <c r="AE442" s="5"/>
    </row>
    <row r="443">
      <c r="A443" s="14" t="s">
        <v>1315</v>
      </c>
      <c r="B443" s="19">
        <v>44288.66849537037</v>
      </c>
      <c r="C443" s="4">
        <v>49835.0</v>
      </c>
      <c r="D443" s="4" t="s">
        <v>1316</v>
      </c>
      <c r="E443" s="4">
        <v>9.1970329801E11</v>
      </c>
      <c r="F443" s="4">
        <v>16602.0</v>
      </c>
      <c r="G443" s="4"/>
      <c r="H443" s="4" t="s">
        <v>680</v>
      </c>
      <c r="I443" s="4"/>
      <c r="J443" s="4" t="s">
        <v>85</v>
      </c>
      <c r="K443" s="4">
        <v>99.0</v>
      </c>
      <c r="L443" s="4"/>
      <c r="M443" s="4">
        <v>99.0</v>
      </c>
      <c r="N443" s="4" t="s">
        <v>67</v>
      </c>
      <c r="O443" s="4" t="b">
        <v>0</v>
      </c>
      <c r="P443" s="4" t="s">
        <v>68</v>
      </c>
      <c r="Q443" s="4" t="s">
        <v>69</v>
      </c>
      <c r="R443" s="4"/>
      <c r="S443" s="4"/>
      <c r="T443" s="4"/>
      <c r="U443" s="7"/>
      <c r="V443" s="4"/>
      <c r="W443" s="4"/>
      <c r="X443" s="4"/>
      <c r="Y443" s="4"/>
      <c r="Z443" s="4"/>
      <c r="AA443" s="5"/>
      <c r="AB443" s="5"/>
      <c r="AC443" s="5"/>
      <c r="AD443" s="5"/>
      <c r="AE443" s="5"/>
    </row>
    <row r="444">
      <c r="A444" s="14" t="s">
        <v>716</v>
      </c>
      <c r="B444" s="19">
        <v>44288.708657407406</v>
      </c>
      <c r="C444" s="4">
        <v>49833.0</v>
      </c>
      <c r="D444" s="4" t="s">
        <v>717</v>
      </c>
      <c r="E444" s="4">
        <v>9.1973954447E11</v>
      </c>
      <c r="F444" s="4" t="s">
        <v>83</v>
      </c>
      <c r="G444" s="4"/>
      <c r="H444" s="4" t="s">
        <v>184</v>
      </c>
      <c r="I444" s="4"/>
      <c r="J444" s="4" t="s">
        <v>85</v>
      </c>
      <c r="K444" s="4">
        <v>299.0</v>
      </c>
      <c r="L444" s="4"/>
      <c r="M444" s="4">
        <v>299.0</v>
      </c>
      <c r="N444" s="4" t="s">
        <v>67</v>
      </c>
      <c r="O444" s="4" t="b">
        <v>0</v>
      </c>
      <c r="P444" s="4" t="s">
        <v>68</v>
      </c>
      <c r="Q444" s="4" t="s">
        <v>69</v>
      </c>
      <c r="R444" s="4"/>
      <c r="S444" s="4"/>
      <c r="T444" s="4"/>
      <c r="U444" s="7"/>
      <c r="V444" s="4"/>
      <c r="W444" s="4"/>
      <c r="X444" s="4"/>
      <c r="Y444" s="4"/>
      <c r="Z444" s="4"/>
      <c r="AA444" s="5"/>
      <c r="AB444" s="5"/>
      <c r="AC444" s="5"/>
      <c r="AD444" s="5"/>
      <c r="AE444" s="5"/>
    </row>
    <row r="445">
      <c r="A445" s="14" t="s">
        <v>718</v>
      </c>
      <c r="B445" s="19">
        <v>44288.732881944445</v>
      </c>
      <c r="C445" s="4">
        <v>49833.0</v>
      </c>
      <c r="D445" s="4" t="s">
        <v>719</v>
      </c>
      <c r="E445" s="4">
        <v>9.18415959465E11</v>
      </c>
      <c r="F445" s="4">
        <v>16648.0</v>
      </c>
      <c r="G445" s="4"/>
      <c r="H445" s="4" t="s">
        <v>184</v>
      </c>
      <c r="I445" s="4"/>
      <c r="J445" s="4" t="s">
        <v>85</v>
      </c>
      <c r="K445" s="4">
        <v>299.0</v>
      </c>
      <c r="L445" s="4"/>
      <c r="M445" s="4">
        <v>299.0</v>
      </c>
      <c r="N445" s="4" t="s">
        <v>67</v>
      </c>
      <c r="O445" s="4" t="b">
        <v>0</v>
      </c>
      <c r="P445" s="4" t="s">
        <v>74</v>
      </c>
      <c r="Q445" s="4" t="s">
        <v>69</v>
      </c>
      <c r="R445" s="4"/>
      <c r="S445" s="4"/>
      <c r="T445" s="4"/>
      <c r="U445" s="7"/>
      <c r="V445" s="4"/>
      <c r="W445" s="4"/>
      <c r="X445" s="4"/>
      <c r="Y445" s="4"/>
      <c r="Z445" s="4"/>
      <c r="AA445" s="5"/>
      <c r="AB445" s="5"/>
      <c r="AC445" s="5"/>
      <c r="AD445" s="5"/>
      <c r="AE445" s="5"/>
    </row>
    <row r="446">
      <c r="A446" s="14" t="s">
        <v>988</v>
      </c>
      <c r="B446" s="19">
        <v>44288.97513888889</v>
      </c>
      <c r="C446" s="4">
        <v>49834.0</v>
      </c>
      <c r="D446" s="4" t="s">
        <v>989</v>
      </c>
      <c r="E446" s="4">
        <v>9.18087651651E11</v>
      </c>
      <c r="F446" s="4">
        <v>16609.0</v>
      </c>
      <c r="G446" s="4"/>
      <c r="H446" s="4" t="s">
        <v>960</v>
      </c>
      <c r="I446" s="4"/>
      <c r="J446" s="4" t="s">
        <v>149</v>
      </c>
      <c r="K446" s="4">
        <v>699.0</v>
      </c>
      <c r="L446" s="4"/>
      <c r="M446" s="4">
        <v>699.0</v>
      </c>
      <c r="N446" s="4" t="s">
        <v>67</v>
      </c>
      <c r="O446" s="4" t="b">
        <v>0</v>
      </c>
      <c r="P446" s="4" t="s">
        <v>151</v>
      </c>
      <c r="Q446" s="4" t="s">
        <v>69</v>
      </c>
      <c r="R446" s="4"/>
      <c r="S446" s="4"/>
      <c r="T446" s="4"/>
      <c r="U446" s="7"/>
      <c r="V446" s="4"/>
      <c r="W446" s="4"/>
      <c r="X446" s="4"/>
      <c r="Y446" s="4"/>
      <c r="Z446" s="4"/>
      <c r="AA446" s="5"/>
      <c r="AB446" s="5"/>
      <c r="AC446" s="5"/>
      <c r="AD446" s="5"/>
      <c r="AE446" s="5"/>
    </row>
    <row r="447">
      <c r="A447" s="14" t="s">
        <v>746</v>
      </c>
      <c r="B447" s="19">
        <v>44290.343090277776</v>
      </c>
      <c r="C447" s="4">
        <v>49833.0</v>
      </c>
      <c r="D447" s="4" t="s">
        <v>747</v>
      </c>
      <c r="E447" s="4">
        <v>9.19052913151E11</v>
      </c>
      <c r="F447" s="4" t="s">
        <v>83</v>
      </c>
      <c r="G447" s="4"/>
      <c r="H447" s="4" t="s">
        <v>184</v>
      </c>
      <c r="I447" s="4"/>
      <c r="J447" s="4" t="s">
        <v>85</v>
      </c>
      <c r="K447" s="4">
        <v>99.0</v>
      </c>
      <c r="L447" s="4"/>
      <c r="M447" s="4">
        <v>99.0</v>
      </c>
      <c r="N447" s="4" t="s">
        <v>67</v>
      </c>
      <c r="O447" s="4" t="b">
        <v>0</v>
      </c>
      <c r="P447" s="4" t="s">
        <v>68</v>
      </c>
      <c r="Q447" s="4" t="s">
        <v>69</v>
      </c>
      <c r="R447" s="4"/>
      <c r="S447" s="4"/>
      <c r="T447" s="4"/>
      <c r="U447" s="7"/>
      <c r="V447" s="4"/>
      <c r="W447" s="4"/>
      <c r="X447" s="4"/>
      <c r="Y447" s="4"/>
      <c r="Z447" s="4"/>
      <c r="AA447" s="5"/>
      <c r="AB447" s="5"/>
      <c r="AC447" s="5"/>
      <c r="AD447" s="5"/>
      <c r="AE447" s="5"/>
    </row>
    <row r="448">
      <c r="A448" s="14" t="s">
        <v>720</v>
      </c>
      <c r="B448" s="19">
        <v>44289.308171296296</v>
      </c>
      <c r="C448" s="4">
        <v>49877.0</v>
      </c>
      <c r="D448" s="4" t="s">
        <v>721</v>
      </c>
      <c r="E448" s="4">
        <v>9.19325552072E11</v>
      </c>
      <c r="F448" s="4">
        <v>15932.0</v>
      </c>
      <c r="G448" s="4"/>
      <c r="H448" s="4" t="s">
        <v>280</v>
      </c>
      <c r="I448" s="4"/>
      <c r="J448" s="4" t="s">
        <v>85</v>
      </c>
      <c r="K448" s="4">
        <v>99.0</v>
      </c>
      <c r="L448" s="4"/>
      <c r="M448" s="4">
        <v>99.0</v>
      </c>
      <c r="N448" s="4" t="s">
        <v>67</v>
      </c>
      <c r="O448" s="4" t="b">
        <v>0</v>
      </c>
      <c r="P448" s="4" t="s">
        <v>74</v>
      </c>
      <c r="Q448" s="4" t="s">
        <v>69</v>
      </c>
      <c r="R448" s="4"/>
      <c r="S448" s="4"/>
      <c r="T448" s="4"/>
      <c r="U448" s="7"/>
      <c r="V448" s="4"/>
      <c r="W448" s="4"/>
      <c r="X448" s="4"/>
      <c r="Y448" s="4"/>
      <c r="Z448" s="4"/>
      <c r="AA448" s="5"/>
      <c r="AB448" s="5"/>
      <c r="AC448" s="5"/>
      <c r="AD448" s="5"/>
      <c r="AE448" s="5"/>
    </row>
    <row r="449">
      <c r="A449" s="14" t="s">
        <v>445</v>
      </c>
      <c r="B449" s="19">
        <v>44290.39297453704</v>
      </c>
      <c r="C449" s="4">
        <v>49864.0</v>
      </c>
      <c r="D449" s="4" t="s">
        <v>446</v>
      </c>
      <c r="E449" s="4">
        <v>9.19008532327E11</v>
      </c>
      <c r="F449" s="4">
        <v>16672.0</v>
      </c>
      <c r="G449" s="4"/>
      <c r="H449" s="4" t="s">
        <v>181</v>
      </c>
      <c r="I449" s="4"/>
      <c r="J449" s="4" t="s">
        <v>149</v>
      </c>
      <c r="K449" s="4">
        <v>99.0</v>
      </c>
      <c r="L449" s="4"/>
      <c r="M449" s="4">
        <v>99.0</v>
      </c>
      <c r="N449" s="4" t="s">
        <v>67</v>
      </c>
      <c r="O449" s="4" t="b">
        <v>0</v>
      </c>
      <c r="P449" s="4" t="s">
        <v>68</v>
      </c>
      <c r="Q449" s="4" t="s">
        <v>69</v>
      </c>
      <c r="R449" s="4"/>
      <c r="S449" s="4"/>
      <c r="T449" s="4"/>
      <c r="U449" s="7"/>
      <c r="V449" s="4"/>
      <c r="W449" s="4"/>
      <c r="X449" s="4"/>
      <c r="Y449" s="4"/>
      <c r="Z449" s="4"/>
      <c r="AA449" s="5"/>
      <c r="AB449" s="5"/>
      <c r="AC449" s="5"/>
      <c r="AD449" s="5"/>
      <c r="AE449" s="5"/>
    </row>
    <row r="450">
      <c r="A450" s="14" t="s">
        <v>1328</v>
      </c>
      <c r="B450" s="19">
        <v>44290.39662037037</v>
      </c>
      <c r="C450" s="4">
        <v>49835.0</v>
      </c>
      <c r="D450" s="4" t="s">
        <v>1329</v>
      </c>
      <c r="E450" s="4">
        <v>9.16353122546E11</v>
      </c>
      <c r="F450" s="4">
        <v>16618.0</v>
      </c>
      <c r="G450" s="4"/>
      <c r="H450" s="4" t="s">
        <v>680</v>
      </c>
      <c r="I450" s="4"/>
      <c r="J450" s="4" t="s">
        <v>85</v>
      </c>
      <c r="K450" s="4">
        <v>99.0</v>
      </c>
      <c r="L450" s="4"/>
      <c r="M450" s="4">
        <v>99.0</v>
      </c>
      <c r="N450" s="4" t="s">
        <v>67</v>
      </c>
      <c r="O450" s="4" t="b">
        <v>0</v>
      </c>
      <c r="P450" s="4" t="s">
        <v>68</v>
      </c>
      <c r="Q450" s="4" t="s">
        <v>69</v>
      </c>
      <c r="R450" s="4"/>
      <c r="S450" s="4"/>
      <c r="T450" s="4"/>
      <c r="U450" s="7"/>
      <c r="V450" s="4"/>
      <c r="W450" s="4"/>
      <c r="X450" s="4"/>
      <c r="Y450" s="4"/>
      <c r="Z450" s="4"/>
      <c r="AA450" s="5"/>
      <c r="AB450" s="5"/>
      <c r="AC450" s="5"/>
      <c r="AD450" s="5"/>
      <c r="AE450" s="5"/>
    </row>
    <row r="451">
      <c r="A451" s="14" t="s">
        <v>1317</v>
      </c>
      <c r="B451" s="19">
        <v>44289.34341435185</v>
      </c>
      <c r="C451" s="4">
        <v>49835.0</v>
      </c>
      <c r="D451" s="4" t="s">
        <v>1318</v>
      </c>
      <c r="E451" s="4">
        <v>9.19985141881E11</v>
      </c>
      <c r="F451" s="4">
        <v>16611.0</v>
      </c>
      <c r="G451" s="4"/>
      <c r="H451" s="4" t="s">
        <v>680</v>
      </c>
      <c r="I451" s="4"/>
      <c r="J451" s="4" t="s">
        <v>85</v>
      </c>
      <c r="K451" s="4">
        <v>99.0</v>
      </c>
      <c r="L451" s="4"/>
      <c r="M451" s="4">
        <v>99.0</v>
      </c>
      <c r="N451" s="4" t="s">
        <v>67</v>
      </c>
      <c r="O451" s="4" t="b">
        <v>0</v>
      </c>
      <c r="P451" s="4" t="s">
        <v>68</v>
      </c>
      <c r="Q451" s="4" t="s">
        <v>69</v>
      </c>
      <c r="R451" s="4"/>
      <c r="S451" s="4"/>
      <c r="T451" s="4"/>
      <c r="U451" s="7"/>
      <c r="V451" s="4"/>
      <c r="W451" s="4"/>
      <c r="X451" s="4"/>
      <c r="Y451" s="4"/>
      <c r="Z451" s="4"/>
      <c r="AA451" s="5"/>
      <c r="AB451" s="5"/>
      <c r="AC451" s="5"/>
      <c r="AD451" s="5"/>
      <c r="AE451" s="5"/>
    </row>
    <row r="452">
      <c r="A452" s="14" t="s">
        <v>428</v>
      </c>
      <c r="B452" s="19">
        <v>44289.38649305556</v>
      </c>
      <c r="C452" s="4">
        <v>49864.0</v>
      </c>
      <c r="D452" s="4" t="s">
        <v>429</v>
      </c>
      <c r="E452" s="4">
        <v>9.19844994069E11</v>
      </c>
      <c r="F452" s="4">
        <v>16680.0</v>
      </c>
      <c r="G452" s="4"/>
      <c r="H452" s="4" t="s">
        <v>181</v>
      </c>
      <c r="I452" s="4"/>
      <c r="J452" s="4" t="s">
        <v>149</v>
      </c>
      <c r="K452" s="4">
        <v>99.0</v>
      </c>
      <c r="L452" s="4"/>
      <c r="M452" s="4">
        <v>99.0</v>
      </c>
      <c r="N452" s="4" t="s">
        <v>67</v>
      </c>
      <c r="O452" s="4" t="b">
        <v>0</v>
      </c>
      <c r="P452" s="4" t="s">
        <v>68</v>
      </c>
      <c r="Q452" s="4" t="s">
        <v>69</v>
      </c>
      <c r="R452" s="4"/>
      <c r="S452" s="4"/>
      <c r="T452" s="4"/>
      <c r="U452" s="7"/>
      <c r="V452" s="4"/>
      <c r="W452" s="4"/>
      <c r="X452" s="4"/>
      <c r="Y452" s="4"/>
      <c r="Z452" s="4"/>
      <c r="AA452" s="5"/>
      <c r="AB452" s="5"/>
      <c r="AC452" s="5"/>
      <c r="AD452" s="5"/>
      <c r="AE452" s="5"/>
    </row>
    <row r="453">
      <c r="A453" s="14" t="s">
        <v>750</v>
      </c>
      <c r="B453" s="19">
        <v>44290.48005787037</v>
      </c>
      <c r="C453" s="4">
        <v>49833.0</v>
      </c>
      <c r="D453" s="4" t="s">
        <v>751</v>
      </c>
      <c r="E453" s="4">
        <v>9.17021726326E11</v>
      </c>
      <c r="F453" s="4">
        <v>16617.0</v>
      </c>
      <c r="G453" s="4"/>
      <c r="H453" s="4" t="s">
        <v>184</v>
      </c>
      <c r="I453" s="4"/>
      <c r="J453" s="4" t="s">
        <v>85</v>
      </c>
      <c r="K453" s="4">
        <v>99.0</v>
      </c>
      <c r="L453" s="4"/>
      <c r="M453" s="4">
        <v>99.0</v>
      </c>
      <c r="N453" s="4" t="s">
        <v>67</v>
      </c>
      <c r="O453" s="4" t="b">
        <v>0</v>
      </c>
      <c r="P453" s="4" t="s">
        <v>68</v>
      </c>
      <c r="Q453" s="4" t="s">
        <v>69</v>
      </c>
      <c r="R453" s="4"/>
      <c r="S453" s="4"/>
      <c r="T453" s="4"/>
      <c r="U453" s="7"/>
      <c r="V453" s="4"/>
      <c r="W453" s="4"/>
      <c r="X453" s="4"/>
      <c r="Y453" s="4"/>
      <c r="Z453" s="4"/>
      <c r="AA453" s="5"/>
      <c r="AB453" s="5"/>
      <c r="AC453" s="5"/>
      <c r="AD453" s="5"/>
      <c r="AE453" s="5"/>
    </row>
    <row r="454">
      <c r="A454" s="14" t="s">
        <v>447</v>
      </c>
      <c r="B454" s="19">
        <v>44290.50591435185</v>
      </c>
      <c r="C454" s="4">
        <v>49864.0</v>
      </c>
      <c r="D454" s="4" t="s">
        <v>448</v>
      </c>
      <c r="E454" s="4">
        <v>9.17989517887E11</v>
      </c>
      <c r="F454" s="4">
        <v>16692.0</v>
      </c>
      <c r="G454" s="4"/>
      <c r="H454" s="4" t="s">
        <v>181</v>
      </c>
      <c r="I454" s="4"/>
      <c r="J454" s="4" t="s">
        <v>149</v>
      </c>
      <c r="K454" s="4">
        <v>99.0</v>
      </c>
      <c r="L454" s="4"/>
      <c r="M454" s="4">
        <v>99.0</v>
      </c>
      <c r="N454" s="4" t="s">
        <v>67</v>
      </c>
      <c r="O454" s="4" t="b">
        <v>0</v>
      </c>
      <c r="P454" s="4" t="s">
        <v>68</v>
      </c>
      <c r="Q454" s="4" t="s">
        <v>69</v>
      </c>
      <c r="R454" s="4"/>
      <c r="S454" s="4"/>
      <c r="T454" s="4"/>
      <c r="U454" s="7"/>
      <c r="V454" s="4"/>
      <c r="W454" s="4"/>
      <c r="X454" s="4"/>
      <c r="Y454" s="4"/>
      <c r="Z454" s="4"/>
      <c r="AA454" s="5"/>
      <c r="AB454" s="5"/>
      <c r="AC454" s="5"/>
      <c r="AD454" s="5"/>
      <c r="AE454" s="5"/>
    </row>
    <row r="455">
      <c r="A455" s="14" t="s">
        <v>1330</v>
      </c>
      <c r="B455" s="19">
        <v>44290.52674768519</v>
      </c>
      <c r="C455" s="4">
        <v>49835.0</v>
      </c>
      <c r="D455" s="4" t="s">
        <v>1331</v>
      </c>
      <c r="E455" s="4">
        <v>9.1902922058E11</v>
      </c>
      <c r="F455" s="4">
        <v>16677.0</v>
      </c>
      <c r="G455" s="4"/>
      <c r="H455" s="4" t="s">
        <v>680</v>
      </c>
      <c r="I455" s="4"/>
      <c r="J455" s="4" t="s">
        <v>85</v>
      </c>
      <c r="K455" s="4">
        <v>99.0</v>
      </c>
      <c r="L455" s="4"/>
      <c r="M455" s="4">
        <v>99.0</v>
      </c>
      <c r="N455" s="4" t="s">
        <v>67</v>
      </c>
      <c r="O455" s="4" t="b">
        <v>0</v>
      </c>
      <c r="P455" s="4" t="s">
        <v>68</v>
      </c>
      <c r="Q455" s="4" t="s">
        <v>69</v>
      </c>
      <c r="R455" s="4"/>
      <c r="S455" s="4"/>
      <c r="T455" s="4"/>
      <c r="U455" s="7"/>
      <c r="V455" s="4"/>
      <c r="W455" s="4"/>
      <c r="X455" s="4"/>
      <c r="Y455" s="4"/>
      <c r="Z455" s="4"/>
      <c r="AA455" s="5"/>
      <c r="AB455" s="5"/>
      <c r="AC455" s="5"/>
      <c r="AD455" s="5"/>
      <c r="AE455" s="5"/>
    </row>
    <row r="456">
      <c r="A456" s="14" t="s">
        <v>756</v>
      </c>
      <c r="B456" s="19">
        <v>44290.56704861111</v>
      </c>
      <c r="C456" s="4">
        <v>49833.0</v>
      </c>
      <c r="D456" s="4" t="s">
        <v>757</v>
      </c>
      <c r="E456" s="4">
        <v>9.18335922616E11</v>
      </c>
      <c r="F456" s="4">
        <v>16861.0</v>
      </c>
      <c r="G456" s="4"/>
      <c r="H456" s="4" t="s">
        <v>184</v>
      </c>
      <c r="I456" s="4"/>
      <c r="J456" s="4" t="s">
        <v>85</v>
      </c>
      <c r="K456" s="4">
        <v>99.0</v>
      </c>
      <c r="L456" s="4"/>
      <c r="M456" s="4">
        <v>99.0</v>
      </c>
      <c r="N456" s="4" t="s">
        <v>67</v>
      </c>
      <c r="O456" s="4" t="b">
        <v>0</v>
      </c>
      <c r="P456" s="4" t="s">
        <v>68</v>
      </c>
      <c r="Q456" s="4" t="s">
        <v>69</v>
      </c>
      <c r="R456" s="4"/>
      <c r="S456" s="4"/>
      <c r="T456" s="4"/>
      <c r="U456" s="7"/>
      <c r="V456" s="4"/>
      <c r="W456" s="4"/>
      <c r="X456" s="4"/>
      <c r="Y456" s="4"/>
      <c r="Z456" s="4"/>
      <c r="AA456" s="5"/>
      <c r="AB456" s="5"/>
      <c r="AC456" s="5"/>
      <c r="AD456" s="5"/>
      <c r="AE456" s="5"/>
    </row>
    <row r="457">
      <c r="A457" s="14" t="s">
        <v>754</v>
      </c>
      <c r="B457" s="19">
        <v>44290.54996527778</v>
      </c>
      <c r="C457" s="4">
        <v>49833.0</v>
      </c>
      <c r="D457" s="4" t="s">
        <v>755</v>
      </c>
      <c r="E457" s="4">
        <v>9.1700502492E11</v>
      </c>
      <c r="F457" s="4" t="s">
        <v>83</v>
      </c>
      <c r="G457" s="4"/>
      <c r="H457" s="4" t="s">
        <v>184</v>
      </c>
      <c r="I457" s="4"/>
      <c r="J457" s="4" t="s">
        <v>85</v>
      </c>
      <c r="K457" s="4">
        <v>99.0</v>
      </c>
      <c r="L457" s="4"/>
      <c r="M457" s="4">
        <v>99.0</v>
      </c>
      <c r="N457" s="4" t="s">
        <v>67</v>
      </c>
      <c r="O457" s="4" t="b">
        <v>0</v>
      </c>
      <c r="P457" s="4" t="s">
        <v>68</v>
      </c>
      <c r="Q457" s="4" t="s">
        <v>69</v>
      </c>
      <c r="R457" s="4"/>
      <c r="S457" s="4"/>
      <c r="T457" s="4"/>
      <c r="U457" s="7"/>
      <c r="V457" s="4"/>
      <c r="W457" s="4"/>
      <c r="X457" s="4"/>
      <c r="Y457" s="4"/>
      <c r="Z457" s="4"/>
      <c r="AA457" s="5"/>
      <c r="AB457" s="5"/>
      <c r="AC457" s="5"/>
      <c r="AD457" s="5"/>
      <c r="AE457" s="5"/>
    </row>
    <row r="458">
      <c r="A458" s="14" t="s">
        <v>724</v>
      </c>
      <c r="B458" s="19">
        <v>44289.54388888889</v>
      </c>
      <c r="C458" s="4">
        <v>49833.0</v>
      </c>
      <c r="D458" s="4" t="s">
        <v>725</v>
      </c>
      <c r="E458" s="4">
        <v>9.17674953996E11</v>
      </c>
      <c r="F458" s="4">
        <v>16649.0</v>
      </c>
      <c r="G458" s="4"/>
      <c r="H458" s="4" t="s">
        <v>184</v>
      </c>
      <c r="I458" s="4"/>
      <c r="J458" s="4" t="s">
        <v>85</v>
      </c>
      <c r="K458" s="4">
        <v>99.0</v>
      </c>
      <c r="L458" s="4"/>
      <c r="M458" s="4">
        <v>99.0</v>
      </c>
      <c r="N458" s="4" t="s">
        <v>67</v>
      </c>
      <c r="O458" s="4" t="b">
        <v>0</v>
      </c>
      <c r="P458" s="4" t="s">
        <v>68</v>
      </c>
      <c r="Q458" s="4" t="s">
        <v>69</v>
      </c>
      <c r="R458" s="4"/>
      <c r="S458" s="4"/>
      <c r="T458" s="4"/>
      <c r="U458" s="7"/>
      <c r="V458" s="4"/>
      <c r="W458" s="4"/>
      <c r="X458" s="4"/>
      <c r="Y458" s="4"/>
      <c r="Z458" s="4"/>
      <c r="AA458" s="5"/>
      <c r="AB458" s="5"/>
      <c r="AC458" s="5"/>
      <c r="AD458" s="5"/>
      <c r="AE458" s="5"/>
    </row>
    <row r="459">
      <c r="A459" s="14" t="s">
        <v>726</v>
      </c>
      <c r="B459" s="19">
        <v>44289.545798611114</v>
      </c>
      <c r="C459" s="4">
        <v>49833.0</v>
      </c>
      <c r="D459" s="4" t="s">
        <v>727</v>
      </c>
      <c r="E459" s="4">
        <v>9.17305910432E11</v>
      </c>
      <c r="F459" s="4" t="s">
        <v>83</v>
      </c>
      <c r="G459" s="4"/>
      <c r="H459" s="4" t="s">
        <v>184</v>
      </c>
      <c r="I459" s="4"/>
      <c r="J459" s="4" t="s">
        <v>85</v>
      </c>
      <c r="K459" s="4">
        <v>99.0</v>
      </c>
      <c r="L459" s="4"/>
      <c r="M459" s="4">
        <v>99.0</v>
      </c>
      <c r="N459" s="4" t="s">
        <v>67</v>
      </c>
      <c r="O459" s="4" t="b">
        <v>0</v>
      </c>
      <c r="P459" s="4" t="s">
        <v>74</v>
      </c>
      <c r="Q459" s="4" t="s">
        <v>69</v>
      </c>
      <c r="R459" s="4"/>
      <c r="S459" s="4"/>
      <c r="T459" s="4"/>
      <c r="U459" s="7"/>
      <c r="V459" s="4"/>
      <c r="W459" s="4"/>
      <c r="X459" s="4"/>
      <c r="Y459" s="4"/>
      <c r="Z459" s="4"/>
      <c r="AA459" s="5"/>
      <c r="AB459" s="5"/>
      <c r="AC459" s="5"/>
      <c r="AD459" s="5"/>
      <c r="AE459" s="5"/>
    </row>
    <row r="460">
      <c r="A460" s="14" t="s">
        <v>728</v>
      </c>
      <c r="B460" s="19">
        <v>44289.54950231482</v>
      </c>
      <c r="C460" s="4">
        <v>49833.0</v>
      </c>
      <c r="D460" s="4" t="s">
        <v>729</v>
      </c>
      <c r="E460" s="4">
        <v>9.17338348917E11</v>
      </c>
      <c r="F460" s="4">
        <v>16641.0</v>
      </c>
      <c r="G460" s="4"/>
      <c r="H460" s="4" t="s">
        <v>184</v>
      </c>
      <c r="I460" s="4"/>
      <c r="J460" s="4" t="s">
        <v>85</v>
      </c>
      <c r="K460" s="4">
        <v>99.0</v>
      </c>
      <c r="L460" s="4"/>
      <c r="M460" s="4">
        <v>99.0</v>
      </c>
      <c r="N460" s="4" t="s">
        <v>67</v>
      </c>
      <c r="O460" s="4" t="b">
        <v>0</v>
      </c>
      <c r="P460" s="4" t="s">
        <v>68</v>
      </c>
      <c r="Q460" s="4" t="s">
        <v>69</v>
      </c>
      <c r="R460" s="4"/>
      <c r="S460" s="4"/>
      <c r="T460" s="4"/>
      <c r="U460" s="7"/>
      <c r="V460" s="4"/>
      <c r="W460" s="4"/>
      <c r="X460" s="4"/>
      <c r="Y460" s="4"/>
      <c r="Z460" s="4"/>
      <c r="AA460" s="5"/>
      <c r="AB460" s="5"/>
      <c r="AC460" s="5"/>
      <c r="AD460" s="5"/>
      <c r="AE460" s="5"/>
    </row>
    <row r="461">
      <c r="A461" s="14" t="s">
        <v>730</v>
      </c>
      <c r="B461" s="19">
        <v>44289.55403935185</v>
      </c>
      <c r="C461" s="4">
        <v>49833.0</v>
      </c>
      <c r="D461" s="4" t="s">
        <v>731</v>
      </c>
      <c r="E461" s="4">
        <v>9.18169989785E11</v>
      </c>
      <c r="F461" s="4">
        <v>16640.0</v>
      </c>
      <c r="G461" s="4"/>
      <c r="H461" s="4" t="s">
        <v>184</v>
      </c>
      <c r="I461" s="4"/>
      <c r="J461" s="4" t="s">
        <v>85</v>
      </c>
      <c r="K461" s="4">
        <v>99.0</v>
      </c>
      <c r="L461" s="4"/>
      <c r="M461" s="4">
        <v>99.0</v>
      </c>
      <c r="N461" s="4" t="s">
        <v>67</v>
      </c>
      <c r="O461" s="4" t="b">
        <v>0</v>
      </c>
      <c r="P461" s="4" t="s">
        <v>68</v>
      </c>
      <c r="Q461" s="4" t="s">
        <v>69</v>
      </c>
      <c r="R461" s="4"/>
      <c r="S461" s="4"/>
      <c r="T461" s="4"/>
      <c r="U461" s="7"/>
      <c r="V461" s="4"/>
      <c r="W461" s="4"/>
      <c r="X461" s="4"/>
      <c r="Y461" s="4"/>
      <c r="Z461" s="4"/>
      <c r="AA461" s="5"/>
      <c r="AB461" s="5"/>
      <c r="AC461" s="5"/>
      <c r="AD461" s="5"/>
      <c r="AE461" s="5"/>
    </row>
    <row r="462">
      <c r="A462" s="14" t="s">
        <v>758</v>
      </c>
      <c r="B462" s="19">
        <v>44290.61435185185</v>
      </c>
      <c r="C462" s="4">
        <v>49833.0</v>
      </c>
      <c r="D462" s="4" t="s">
        <v>759</v>
      </c>
      <c r="E462" s="4">
        <v>9.19451555279E11</v>
      </c>
      <c r="F462" s="4" t="s">
        <v>83</v>
      </c>
      <c r="G462" s="4"/>
      <c r="H462" s="4" t="s">
        <v>184</v>
      </c>
      <c r="I462" s="4"/>
      <c r="J462" s="4" t="s">
        <v>85</v>
      </c>
      <c r="K462" s="4">
        <v>99.0</v>
      </c>
      <c r="L462" s="4"/>
      <c r="M462" s="4">
        <v>99.0</v>
      </c>
      <c r="N462" s="4" t="s">
        <v>67</v>
      </c>
      <c r="O462" s="4" t="b">
        <v>0</v>
      </c>
      <c r="P462" s="4" t="s">
        <v>68</v>
      </c>
      <c r="Q462" s="4" t="s">
        <v>69</v>
      </c>
      <c r="R462" s="4"/>
      <c r="S462" s="4"/>
      <c r="T462" s="4"/>
      <c r="U462" s="7"/>
      <c r="V462" s="4"/>
      <c r="W462" s="4"/>
      <c r="X462" s="4"/>
      <c r="Y462" s="4"/>
      <c r="Z462" s="4"/>
      <c r="AA462" s="5"/>
      <c r="AB462" s="5"/>
      <c r="AC462" s="5"/>
      <c r="AD462" s="5"/>
      <c r="AE462" s="5"/>
    </row>
    <row r="463">
      <c r="A463" s="14" t="s">
        <v>732</v>
      </c>
      <c r="B463" s="19">
        <v>44289.559224537035</v>
      </c>
      <c r="C463" s="4">
        <v>49833.0</v>
      </c>
      <c r="D463" s="4" t="s">
        <v>733</v>
      </c>
      <c r="E463" s="4">
        <v>9.199580528E11</v>
      </c>
      <c r="F463" s="4" t="s">
        <v>83</v>
      </c>
      <c r="G463" s="4"/>
      <c r="H463" s="4" t="s">
        <v>184</v>
      </c>
      <c r="I463" s="4"/>
      <c r="J463" s="4" t="s">
        <v>85</v>
      </c>
      <c r="K463" s="4">
        <v>99.0</v>
      </c>
      <c r="L463" s="4"/>
      <c r="M463" s="4">
        <v>99.0</v>
      </c>
      <c r="N463" s="4" t="s">
        <v>67</v>
      </c>
      <c r="O463" s="4" t="b">
        <v>0</v>
      </c>
      <c r="P463" s="4" t="s">
        <v>68</v>
      </c>
      <c r="Q463" s="4" t="s">
        <v>69</v>
      </c>
      <c r="R463" s="4"/>
      <c r="S463" s="4"/>
      <c r="T463" s="4"/>
      <c r="U463" s="7"/>
      <c r="V463" s="4"/>
      <c r="W463" s="4"/>
      <c r="X463" s="4"/>
      <c r="Y463" s="4"/>
      <c r="Z463" s="4"/>
      <c r="AA463" s="5"/>
      <c r="AB463" s="5"/>
      <c r="AC463" s="5"/>
      <c r="AD463" s="5"/>
      <c r="AE463" s="5"/>
    </row>
    <row r="464">
      <c r="A464" s="14" t="s">
        <v>734</v>
      </c>
      <c r="B464" s="19">
        <v>44289.5646412037</v>
      </c>
      <c r="C464" s="4">
        <v>49833.0</v>
      </c>
      <c r="D464" s="4" t="s">
        <v>735</v>
      </c>
      <c r="E464" s="4">
        <v>9.19975891986E11</v>
      </c>
      <c r="F464" s="4">
        <v>16732.0</v>
      </c>
      <c r="G464" s="4"/>
      <c r="H464" s="4" t="s">
        <v>184</v>
      </c>
      <c r="I464" s="4"/>
      <c r="J464" s="4" t="s">
        <v>85</v>
      </c>
      <c r="K464" s="4">
        <v>99.0</v>
      </c>
      <c r="L464" s="4"/>
      <c r="M464" s="4">
        <v>99.0</v>
      </c>
      <c r="N464" s="4" t="s">
        <v>67</v>
      </c>
      <c r="O464" s="4" t="b">
        <v>0</v>
      </c>
      <c r="P464" s="4" t="s">
        <v>68</v>
      </c>
      <c r="Q464" s="4" t="s">
        <v>69</v>
      </c>
      <c r="R464" s="4"/>
      <c r="S464" s="4"/>
      <c r="T464" s="4"/>
      <c r="U464" s="7"/>
      <c r="V464" s="4"/>
      <c r="W464" s="4"/>
      <c r="X464" s="4"/>
      <c r="Y464" s="4"/>
      <c r="Z464" s="4"/>
      <c r="AA464" s="5"/>
      <c r="AB464" s="5"/>
      <c r="AC464" s="5"/>
      <c r="AD464" s="5"/>
      <c r="AE464" s="5"/>
    </row>
    <row r="465">
      <c r="A465" s="14" t="s">
        <v>736</v>
      </c>
      <c r="B465" s="19">
        <v>44289.5887037037</v>
      </c>
      <c r="C465" s="4">
        <v>49833.0</v>
      </c>
      <c r="D465" s="4" t="s">
        <v>737</v>
      </c>
      <c r="E465" s="4">
        <v>9.17569162272E11</v>
      </c>
      <c r="F465" s="4">
        <v>16814.0</v>
      </c>
      <c r="G465" s="4"/>
      <c r="H465" s="4" t="s">
        <v>184</v>
      </c>
      <c r="I465" s="4"/>
      <c r="J465" s="4" t="s">
        <v>85</v>
      </c>
      <c r="K465" s="4">
        <v>99.0</v>
      </c>
      <c r="L465" s="4"/>
      <c r="M465" s="4">
        <v>99.0</v>
      </c>
      <c r="N465" s="4" t="s">
        <v>67</v>
      </c>
      <c r="O465" s="4" t="b">
        <v>0</v>
      </c>
      <c r="P465" s="4" t="s">
        <v>68</v>
      </c>
      <c r="Q465" s="4" t="s">
        <v>69</v>
      </c>
      <c r="R465" s="4"/>
      <c r="S465" s="4"/>
      <c r="T465" s="4"/>
      <c r="U465" s="7"/>
      <c r="V465" s="4"/>
      <c r="W465" s="4"/>
      <c r="X465" s="4"/>
      <c r="Y465" s="4"/>
      <c r="Z465" s="4"/>
      <c r="AA465" s="5"/>
      <c r="AB465" s="5"/>
      <c r="AC465" s="5"/>
      <c r="AD465" s="5"/>
      <c r="AE465" s="5"/>
    </row>
    <row r="466">
      <c r="A466" s="14" t="s">
        <v>760</v>
      </c>
      <c r="B466" s="19">
        <v>44290.64976851852</v>
      </c>
      <c r="C466" s="4">
        <v>49833.0</v>
      </c>
      <c r="D466" s="4" t="s">
        <v>761</v>
      </c>
      <c r="E466" s="4">
        <v>9.18295788746E11</v>
      </c>
      <c r="F466" s="4">
        <v>16650.0</v>
      </c>
      <c r="G466" s="4"/>
      <c r="H466" s="4" t="s">
        <v>184</v>
      </c>
      <c r="I466" s="4"/>
      <c r="J466" s="4" t="s">
        <v>85</v>
      </c>
      <c r="K466" s="4">
        <v>99.0</v>
      </c>
      <c r="L466" s="4"/>
      <c r="M466" s="4">
        <v>99.0</v>
      </c>
      <c r="N466" s="4" t="s">
        <v>67</v>
      </c>
      <c r="O466" s="4" t="b">
        <v>0</v>
      </c>
      <c r="P466" s="4" t="s">
        <v>68</v>
      </c>
      <c r="Q466" s="4" t="s">
        <v>69</v>
      </c>
      <c r="R466" s="4"/>
      <c r="S466" s="4"/>
      <c r="T466" s="4"/>
      <c r="U466" s="7"/>
      <c r="V466" s="4"/>
      <c r="W466" s="4"/>
      <c r="X466" s="4"/>
      <c r="Y466" s="4"/>
      <c r="Z466" s="4"/>
      <c r="AA466" s="5"/>
      <c r="AB466" s="5"/>
      <c r="AC466" s="5"/>
      <c r="AD466" s="5"/>
      <c r="AE466" s="5"/>
    </row>
    <row r="467">
      <c r="A467" s="14" t="s">
        <v>100</v>
      </c>
      <c r="B467" s="19">
        <v>44223.88650462963</v>
      </c>
      <c r="C467" s="4">
        <v>49834.0</v>
      </c>
      <c r="D467" s="4" t="s">
        <v>101</v>
      </c>
      <c r="E467" s="4">
        <v>9.18468909258E11</v>
      </c>
      <c r="F467" s="4">
        <v>1954.0</v>
      </c>
      <c r="G467" s="4"/>
      <c r="H467" s="4" t="s">
        <v>76</v>
      </c>
      <c r="I467" s="4"/>
      <c r="J467" s="4" t="s">
        <v>85</v>
      </c>
      <c r="K467" s="4">
        <v>299.0</v>
      </c>
      <c r="L467" s="4"/>
      <c r="M467" s="4">
        <v>299.0</v>
      </c>
      <c r="N467" s="4" t="s">
        <v>67</v>
      </c>
      <c r="O467" s="4" t="b">
        <v>0</v>
      </c>
      <c r="P467" s="4" t="s">
        <v>68</v>
      </c>
      <c r="Q467" s="4" t="s">
        <v>69</v>
      </c>
      <c r="R467" s="4"/>
      <c r="S467" s="4"/>
      <c r="T467" s="4"/>
      <c r="U467" s="7"/>
      <c r="V467" s="4"/>
      <c r="W467" s="4"/>
      <c r="X467" s="4"/>
      <c r="Y467" s="4"/>
      <c r="Z467" s="4"/>
      <c r="AA467" s="5"/>
      <c r="AB467" s="5"/>
      <c r="AC467" s="5"/>
      <c r="AD467" s="5"/>
      <c r="AE467" s="5"/>
    </row>
    <row r="468">
      <c r="A468" s="14" t="s">
        <v>762</v>
      </c>
      <c r="B468" s="19">
        <v>44290.6603125</v>
      </c>
      <c r="C468" s="4">
        <v>49833.0</v>
      </c>
      <c r="D468" s="4" t="s">
        <v>763</v>
      </c>
      <c r="E468" s="4">
        <v>9.19361418736E11</v>
      </c>
      <c r="F468" s="4">
        <v>16655.0</v>
      </c>
      <c r="G468" s="4"/>
      <c r="H468" s="4" t="s">
        <v>184</v>
      </c>
      <c r="I468" s="4"/>
      <c r="J468" s="4" t="s">
        <v>85</v>
      </c>
      <c r="K468" s="4">
        <v>99.0</v>
      </c>
      <c r="L468" s="4"/>
      <c r="M468" s="4">
        <v>99.0</v>
      </c>
      <c r="N468" s="4" t="s">
        <v>67</v>
      </c>
      <c r="O468" s="4" t="b">
        <v>0</v>
      </c>
      <c r="P468" s="4" t="s">
        <v>68</v>
      </c>
      <c r="Q468" s="4" t="s">
        <v>69</v>
      </c>
      <c r="R468" s="4"/>
      <c r="S468" s="4"/>
      <c r="T468" s="4"/>
      <c r="U468" s="7"/>
      <c r="V468" s="4"/>
      <c r="W468" s="4"/>
      <c r="X468" s="4"/>
      <c r="Y468" s="4"/>
      <c r="Z468" s="4"/>
      <c r="AA468" s="5"/>
      <c r="AB468" s="5"/>
      <c r="AC468" s="5"/>
      <c r="AD468" s="5"/>
      <c r="AE468" s="5"/>
    </row>
    <row r="469">
      <c r="A469" s="14" t="s">
        <v>764</v>
      </c>
      <c r="B469" s="19">
        <v>44290.680138888885</v>
      </c>
      <c r="C469" s="4">
        <v>49833.0</v>
      </c>
      <c r="D469" s="4" t="s">
        <v>765</v>
      </c>
      <c r="E469" s="4">
        <v>9.19632219597E11</v>
      </c>
      <c r="F469" s="4">
        <v>16690.0</v>
      </c>
      <c r="G469" s="4"/>
      <c r="H469" s="4" t="s">
        <v>184</v>
      </c>
      <c r="I469" s="4"/>
      <c r="J469" s="4" t="s">
        <v>77</v>
      </c>
      <c r="K469" s="4">
        <v>299.0</v>
      </c>
      <c r="L469" s="4"/>
      <c r="M469" s="4">
        <v>299.0</v>
      </c>
      <c r="N469" s="4" t="s">
        <v>67</v>
      </c>
      <c r="O469" s="4" t="b">
        <v>0</v>
      </c>
      <c r="P469" s="4" t="s">
        <v>68</v>
      </c>
      <c r="Q469" s="4" t="s">
        <v>69</v>
      </c>
      <c r="R469" s="4"/>
      <c r="S469" s="4"/>
      <c r="T469" s="4"/>
      <c r="U469" s="7"/>
      <c r="V469" s="4"/>
      <c r="W469" s="4"/>
      <c r="X469" s="4"/>
      <c r="Y469" s="4"/>
      <c r="Z469" s="4"/>
      <c r="AA469" s="5"/>
      <c r="AB469" s="5"/>
      <c r="AC469" s="5"/>
      <c r="AD469" s="5"/>
      <c r="AE469" s="5"/>
    </row>
    <row r="470">
      <c r="A470" s="14" t="s">
        <v>766</v>
      </c>
      <c r="B470" s="19">
        <v>44290.68127314815</v>
      </c>
      <c r="C470" s="4">
        <v>49833.0</v>
      </c>
      <c r="D470" s="4" t="s">
        <v>767</v>
      </c>
      <c r="E470" s="4">
        <v>9.1829173187E11</v>
      </c>
      <c r="F470" s="4">
        <v>16644.0</v>
      </c>
      <c r="G470" s="4"/>
      <c r="H470" s="4" t="s">
        <v>184</v>
      </c>
      <c r="I470" s="4"/>
      <c r="J470" s="4" t="s">
        <v>85</v>
      </c>
      <c r="K470" s="4">
        <v>99.0</v>
      </c>
      <c r="L470" s="4"/>
      <c r="M470" s="4">
        <v>99.0</v>
      </c>
      <c r="N470" s="4" t="s">
        <v>67</v>
      </c>
      <c r="O470" s="4" t="b">
        <v>0</v>
      </c>
      <c r="P470" s="4" t="s">
        <v>68</v>
      </c>
      <c r="Q470" s="4" t="s">
        <v>69</v>
      </c>
      <c r="R470" s="4"/>
      <c r="S470" s="4"/>
      <c r="T470" s="4"/>
      <c r="U470" s="7"/>
      <c r="V470" s="4"/>
      <c r="W470" s="4"/>
      <c r="X470" s="4"/>
      <c r="Y470" s="4"/>
      <c r="Z470" s="4"/>
      <c r="AA470" s="5"/>
      <c r="AB470" s="5"/>
      <c r="AC470" s="5"/>
      <c r="AD470" s="5"/>
      <c r="AE470" s="5"/>
    </row>
    <row r="471">
      <c r="A471" s="14" t="s">
        <v>768</v>
      </c>
      <c r="B471" s="19">
        <v>44290.68971064815</v>
      </c>
      <c r="C471" s="4">
        <v>49833.0</v>
      </c>
      <c r="D471" s="4" t="s">
        <v>769</v>
      </c>
      <c r="E471" s="4">
        <v>9.17083064416E11</v>
      </c>
      <c r="F471" s="4" t="s">
        <v>83</v>
      </c>
      <c r="G471" s="4"/>
      <c r="H471" s="4" t="s">
        <v>184</v>
      </c>
      <c r="I471" s="4"/>
      <c r="J471" s="4" t="s">
        <v>85</v>
      </c>
      <c r="K471" s="4">
        <v>99.0</v>
      </c>
      <c r="L471" s="4"/>
      <c r="M471" s="4">
        <v>99.0</v>
      </c>
      <c r="N471" s="4" t="s">
        <v>67</v>
      </c>
      <c r="O471" s="4" t="b">
        <v>0</v>
      </c>
      <c r="P471" s="4" t="s">
        <v>74</v>
      </c>
      <c r="Q471" s="4" t="s">
        <v>69</v>
      </c>
      <c r="R471" s="4"/>
      <c r="S471" s="4"/>
      <c r="T471" s="4"/>
      <c r="U471" s="7"/>
      <c r="V471" s="4"/>
      <c r="W471" s="4"/>
      <c r="X471" s="4"/>
      <c r="Y471" s="4"/>
      <c r="Z471" s="4"/>
      <c r="AA471" s="5"/>
      <c r="AB471" s="5"/>
      <c r="AC471" s="5"/>
      <c r="AD471" s="5"/>
      <c r="AE471" s="5"/>
    </row>
    <row r="472">
      <c r="A472" s="14" t="s">
        <v>770</v>
      </c>
      <c r="B472" s="19">
        <v>44290.69516203704</v>
      </c>
      <c r="C472" s="4">
        <v>49833.0</v>
      </c>
      <c r="D472" s="4" t="s">
        <v>771</v>
      </c>
      <c r="E472" s="4">
        <v>9.19076233324E11</v>
      </c>
      <c r="F472" s="4">
        <v>16619.0</v>
      </c>
      <c r="G472" s="4"/>
      <c r="H472" s="4" t="s">
        <v>184</v>
      </c>
      <c r="I472" s="4"/>
      <c r="J472" s="4" t="s">
        <v>85</v>
      </c>
      <c r="K472" s="4">
        <v>99.0</v>
      </c>
      <c r="L472" s="4"/>
      <c r="M472" s="4">
        <v>99.0</v>
      </c>
      <c r="N472" s="4" t="s">
        <v>67</v>
      </c>
      <c r="O472" s="4" t="b">
        <v>0</v>
      </c>
      <c r="P472" s="4" t="s">
        <v>68</v>
      </c>
      <c r="Q472" s="4" t="s">
        <v>69</v>
      </c>
      <c r="R472" s="4"/>
      <c r="S472" s="4"/>
      <c r="T472" s="4"/>
      <c r="U472" s="7"/>
      <c r="V472" s="4"/>
      <c r="W472" s="4"/>
      <c r="X472" s="4"/>
      <c r="Y472" s="4"/>
      <c r="Z472" s="4"/>
      <c r="AA472" s="5"/>
      <c r="AB472" s="5"/>
      <c r="AC472" s="5"/>
      <c r="AD472" s="5"/>
      <c r="AE472" s="5"/>
    </row>
    <row r="473">
      <c r="A473" s="14" t="s">
        <v>772</v>
      </c>
      <c r="B473" s="19">
        <v>44290.703784722224</v>
      </c>
      <c r="C473" s="4">
        <v>49833.0</v>
      </c>
      <c r="D473" s="4" t="s">
        <v>773</v>
      </c>
      <c r="E473" s="4">
        <v>9.1970241011E11</v>
      </c>
      <c r="F473" s="4">
        <v>17050.0</v>
      </c>
      <c r="G473" s="4"/>
      <c r="H473" s="4" t="s">
        <v>184</v>
      </c>
      <c r="I473" s="4"/>
      <c r="J473" s="4" t="s">
        <v>85</v>
      </c>
      <c r="K473" s="4">
        <v>99.0</v>
      </c>
      <c r="L473" s="4"/>
      <c r="M473" s="4">
        <v>99.0</v>
      </c>
      <c r="N473" s="4" t="s">
        <v>67</v>
      </c>
      <c r="O473" s="4" t="b">
        <v>0</v>
      </c>
      <c r="P473" s="4" t="s">
        <v>68</v>
      </c>
      <c r="Q473" s="4" t="s">
        <v>69</v>
      </c>
      <c r="R473" s="4"/>
      <c r="S473" s="4"/>
      <c r="T473" s="4"/>
      <c r="U473" s="7"/>
      <c r="V473" s="4"/>
      <c r="W473" s="4"/>
      <c r="X473" s="4"/>
      <c r="Y473" s="4"/>
      <c r="Z473" s="4"/>
      <c r="AA473" s="5"/>
      <c r="AB473" s="5"/>
      <c r="AC473" s="5"/>
      <c r="AD473" s="5"/>
      <c r="AE473" s="5"/>
    </row>
    <row r="474">
      <c r="A474" s="14" t="s">
        <v>1336</v>
      </c>
      <c r="B474" s="19">
        <v>44290.70951388889</v>
      </c>
      <c r="C474" s="4">
        <v>49835.0</v>
      </c>
      <c r="D474" s="4" t="s">
        <v>1337</v>
      </c>
      <c r="E474" s="4">
        <v>9.17016529011E11</v>
      </c>
      <c r="F474" s="4" t="s">
        <v>83</v>
      </c>
      <c r="G474" s="4"/>
      <c r="H474" s="4" t="s">
        <v>680</v>
      </c>
      <c r="I474" s="4"/>
      <c r="J474" s="4" t="s">
        <v>85</v>
      </c>
      <c r="K474" s="4">
        <v>99.0</v>
      </c>
      <c r="L474" s="4"/>
      <c r="M474" s="4">
        <v>99.0</v>
      </c>
      <c r="N474" s="4" t="s">
        <v>67</v>
      </c>
      <c r="O474" s="4" t="b">
        <v>0</v>
      </c>
      <c r="P474" s="4" t="s">
        <v>74</v>
      </c>
      <c r="Q474" s="4" t="s">
        <v>69</v>
      </c>
      <c r="R474" s="4"/>
      <c r="S474" s="4"/>
      <c r="T474" s="4"/>
      <c r="U474" s="7"/>
      <c r="V474" s="4"/>
      <c r="W474" s="4"/>
      <c r="X474" s="4"/>
      <c r="Y474" s="4"/>
      <c r="Z474" s="4"/>
      <c r="AA474" s="5"/>
      <c r="AB474" s="5"/>
      <c r="AC474" s="5"/>
      <c r="AD474" s="5"/>
      <c r="AE474" s="5"/>
    </row>
    <row r="475">
      <c r="A475" s="14" t="s">
        <v>776</v>
      </c>
      <c r="B475" s="19">
        <v>44290.739641203705</v>
      </c>
      <c r="C475" s="4">
        <v>49833.0</v>
      </c>
      <c r="D475" s="4" t="s">
        <v>777</v>
      </c>
      <c r="E475" s="4">
        <v>9.17836977023E11</v>
      </c>
      <c r="F475" s="4">
        <v>16651.0</v>
      </c>
      <c r="G475" s="4"/>
      <c r="H475" s="4" t="s">
        <v>184</v>
      </c>
      <c r="I475" s="4"/>
      <c r="J475" s="4" t="s">
        <v>85</v>
      </c>
      <c r="K475" s="4">
        <v>99.0</v>
      </c>
      <c r="L475" s="4"/>
      <c r="M475" s="4">
        <v>99.0</v>
      </c>
      <c r="N475" s="4" t="s">
        <v>67</v>
      </c>
      <c r="O475" s="4" t="b">
        <v>0</v>
      </c>
      <c r="P475" s="4" t="s">
        <v>68</v>
      </c>
      <c r="Q475" s="4" t="s">
        <v>69</v>
      </c>
      <c r="R475" s="4"/>
      <c r="S475" s="4"/>
      <c r="T475" s="4"/>
      <c r="U475" s="7"/>
      <c r="V475" s="4"/>
      <c r="W475" s="4"/>
      <c r="X475" s="4"/>
      <c r="Y475" s="4"/>
      <c r="Z475" s="4"/>
      <c r="AA475" s="5"/>
      <c r="AB475" s="5"/>
      <c r="AC475" s="5"/>
      <c r="AD475" s="5"/>
      <c r="AE475" s="5"/>
    </row>
    <row r="476">
      <c r="A476" s="14" t="s">
        <v>778</v>
      </c>
      <c r="B476" s="19">
        <v>44290.7412962963</v>
      </c>
      <c r="C476" s="4">
        <v>49833.0</v>
      </c>
      <c r="D476" s="4" t="s">
        <v>779</v>
      </c>
      <c r="E476" s="4">
        <v>9.19627201201E11</v>
      </c>
      <c r="F476" s="4">
        <v>16653.0</v>
      </c>
      <c r="G476" s="4"/>
      <c r="H476" s="4" t="s">
        <v>184</v>
      </c>
      <c r="I476" s="4"/>
      <c r="J476" s="4" t="s">
        <v>85</v>
      </c>
      <c r="K476" s="4">
        <v>99.0</v>
      </c>
      <c r="L476" s="4"/>
      <c r="M476" s="4">
        <v>99.0</v>
      </c>
      <c r="N476" s="4" t="s">
        <v>67</v>
      </c>
      <c r="O476" s="4" t="b">
        <v>0</v>
      </c>
      <c r="P476" s="4" t="s">
        <v>74</v>
      </c>
      <c r="Q476" s="4" t="s">
        <v>69</v>
      </c>
      <c r="R476" s="4"/>
      <c r="S476" s="4"/>
      <c r="T476" s="4"/>
      <c r="U476" s="7"/>
      <c r="V476" s="4"/>
      <c r="W476" s="4"/>
      <c r="X476" s="4"/>
      <c r="Y476" s="4"/>
      <c r="Z476" s="4"/>
      <c r="AA476" s="5"/>
      <c r="AB476" s="5"/>
      <c r="AC476" s="5"/>
      <c r="AD476" s="5"/>
      <c r="AE476" s="5"/>
    </row>
    <row r="477">
      <c r="A477" s="14" t="s">
        <v>471</v>
      </c>
      <c r="B477" s="19">
        <v>44290.76519675926</v>
      </c>
      <c r="C477" s="4">
        <v>49864.0</v>
      </c>
      <c r="D477" s="4" t="s">
        <v>472</v>
      </c>
      <c r="E477" s="4">
        <v>9.19860553717E11</v>
      </c>
      <c r="F477" s="4">
        <v>16670.0</v>
      </c>
      <c r="G477" s="4"/>
      <c r="H477" s="4" t="s">
        <v>181</v>
      </c>
      <c r="I477" s="4"/>
      <c r="J477" s="4" t="s">
        <v>149</v>
      </c>
      <c r="K477" s="4">
        <v>99.0</v>
      </c>
      <c r="L477" s="4"/>
      <c r="M477" s="4">
        <v>99.0</v>
      </c>
      <c r="N477" s="4" t="s">
        <v>67</v>
      </c>
      <c r="O477" s="4" t="b">
        <v>0</v>
      </c>
      <c r="P477" s="4" t="s">
        <v>74</v>
      </c>
      <c r="Q477" s="4" t="s">
        <v>69</v>
      </c>
      <c r="R477" s="4"/>
      <c r="S477" s="4"/>
      <c r="T477" s="4"/>
      <c r="U477" s="7"/>
      <c r="V477" s="4"/>
      <c r="W477" s="4"/>
      <c r="X477" s="4"/>
      <c r="Y477" s="4"/>
      <c r="Z477" s="4"/>
      <c r="AA477" s="5"/>
      <c r="AB477" s="5"/>
      <c r="AC477" s="5"/>
      <c r="AD477" s="5"/>
      <c r="AE477" s="5"/>
    </row>
    <row r="478">
      <c r="A478" s="14" t="s">
        <v>437</v>
      </c>
      <c r="B478" s="19">
        <v>44289.72895833333</v>
      </c>
      <c r="C478" s="4">
        <v>49864.0</v>
      </c>
      <c r="D478" s="4" t="s">
        <v>438</v>
      </c>
      <c r="E478" s="4">
        <v>9.17044967575E11</v>
      </c>
      <c r="F478" s="4" t="s">
        <v>83</v>
      </c>
      <c r="G478" s="4"/>
      <c r="H478" s="4" t="s">
        <v>181</v>
      </c>
      <c r="I478" s="4"/>
      <c r="J478" s="4" t="s">
        <v>149</v>
      </c>
      <c r="K478" s="4">
        <v>99.0</v>
      </c>
      <c r="L478" s="4"/>
      <c r="M478" s="4">
        <v>99.0</v>
      </c>
      <c r="N478" s="4" t="s">
        <v>67</v>
      </c>
      <c r="O478" s="4" t="b">
        <v>0</v>
      </c>
      <c r="P478" s="4" t="s">
        <v>97</v>
      </c>
      <c r="Q478" s="4" t="s">
        <v>69</v>
      </c>
      <c r="R478" s="4"/>
      <c r="S478" s="4"/>
      <c r="T478" s="4"/>
      <c r="U478" s="7"/>
      <c r="V478" s="4"/>
      <c r="W478" s="4"/>
      <c r="X478" s="4"/>
      <c r="Y478" s="4"/>
      <c r="Z478" s="4"/>
      <c r="AA478" s="5"/>
      <c r="AB478" s="5"/>
      <c r="AC478" s="5"/>
      <c r="AD478" s="5"/>
      <c r="AE478" s="5"/>
    </row>
    <row r="479">
      <c r="A479" s="14" t="s">
        <v>738</v>
      </c>
      <c r="B479" s="19">
        <v>44289.73168981481</v>
      </c>
      <c r="C479" s="4">
        <v>49833.0</v>
      </c>
      <c r="D479" s="4" t="s">
        <v>739</v>
      </c>
      <c r="E479" s="4">
        <v>9.17983235911E11</v>
      </c>
      <c r="F479" s="4" t="s">
        <v>83</v>
      </c>
      <c r="G479" s="4"/>
      <c r="H479" s="4" t="s">
        <v>184</v>
      </c>
      <c r="I479" s="4"/>
      <c r="J479" s="4" t="s">
        <v>85</v>
      </c>
      <c r="K479" s="4">
        <v>99.0</v>
      </c>
      <c r="L479" s="4"/>
      <c r="M479" s="4">
        <v>99.0</v>
      </c>
      <c r="N479" s="4" t="s">
        <v>67</v>
      </c>
      <c r="O479" s="4" t="b">
        <v>0</v>
      </c>
      <c r="P479" s="4" t="s">
        <v>68</v>
      </c>
      <c r="Q479" s="4" t="s">
        <v>69</v>
      </c>
      <c r="R479" s="4"/>
      <c r="S479" s="4"/>
      <c r="T479" s="4"/>
      <c r="U479" s="7"/>
      <c r="V479" s="4"/>
      <c r="W479" s="4"/>
      <c r="X479" s="4"/>
      <c r="Y479" s="4"/>
      <c r="Z479" s="4"/>
      <c r="AA479" s="5"/>
      <c r="AB479" s="5"/>
      <c r="AC479" s="5"/>
      <c r="AD479" s="5"/>
      <c r="AE479" s="5"/>
    </row>
    <row r="480">
      <c r="A480" s="14" t="s">
        <v>783</v>
      </c>
      <c r="B480" s="19">
        <v>44290.82975694445</v>
      </c>
      <c r="C480" s="4">
        <v>49833.0</v>
      </c>
      <c r="D480" s="4" t="s">
        <v>784</v>
      </c>
      <c r="E480" s="4">
        <v>9.1988606817E11</v>
      </c>
      <c r="F480" s="4" t="s">
        <v>83</v>
      </c>
      <c r="G480" s="4"/>
      <c r="H480" s="4" t="s">
        <v>184</v>
      </c>
      <c r="I480" s="4"/>
      <c r="J480" s="4" t="s">
        <v>85</v>
      </c>
      <c r="K480" s="4">
        <v>99.0</v>
      </c>
      <c r="L480" s="4"/>
      <c r="M480" s="4">
        <v>99.0</v>
      </c>
      <c r="N480" s="4" t="s">
        <v>67</v>
      </c>
      <c r="O480" s="4" t="b">
        <v>0</v>
      </c>
      <c r="P480" s="4" t="s">
        <v>68</v>
      </c>
      <c r="Q480" s="4" t="s">
        <v>69</v>
      </c>
      <c r="R480" s="4"/>
      <c r="S480" s="4"/>
      <c r="T480" s="4"/>
      <c r="U480" s="7"/>
      <c r="V480" s="4"/>
      <c r="W480" s="4"/>
      <c r="X480" s="4"/>
      <c r="Y480" s="4"/>
      <c r="Z480" s="4"/>
      <c r="AA480" s="5"/>
      <c r="AB480" s="5"/>
      <c r="AC480" s="5"/>
      <c r="AD480" s="5"/>
      <c r="AE480" s="5"/>
    </row>
    <row r="481">
      <c r="A481" s="14" t="s">
        <v>740</v>
      </c>
      <c r="B481" s="19">
        <v>44289.76975694444</v>
      </c>
      <c r="C481" s="4">
        <v>49833.0</v>
      </c>
      <c r="D481" s="4" t="s">
        <v>741</v>
      </c>
      <c r="E481" s="4">
        <v>9.18169795906E11</v>
      </c>
      <c r="F481" s="4">
        <v>16645.0</v>
      </c>
      <c r="G481" s="4"/>
      <c r="H481" s="4" t="s">
        <v>184</v>
      </c>
      <c r="I481" s="4"/>
      <c r="J481" s="4" t="s">
        <v>85</v>
      </c>
      <c r="K481" s="4">
        <v>99.0</v>
      </c>
      <c r="L481" s="4"/>
      <c r="M481" s="4">
        <v>99.0</v>
      </c>
      <c r="N481" s="4" t="s">
        <v>67</v>
      </c>
      <c r="O481" s="4" t="b">
        <v>0</v>
      </c>
      <c r="P481" s="4" t="s">
        <v>74</v>
      </c>
      <c r="Q481" s="4" t="s">
        <v>69</v>
      </c>
      <c r="R481" s="4"/>
      <c r="S481" s="4"/>
      <c r="T481" s="4"/>
      <c r="U481" s="7"/>
      <c r="V481" s="4"/>
      <c r="W481" s="4"/>
      <c r="X481" s="4"/>
      <c r="Y481" s="4"/>
      <c r="Z481" s="4"/>
      <c r="AA481" s="5"/>
      <c r="AB481" s="5"/>
      <c r="AC481" s="5"/>
      <c r="AD481" s="5"/>
      <c r="AE481" s="5"/>
    </row>
    <row r="482">
      <c r="A482" s="14" t="s">
        <v>1338</v>
      </c>
      <c r="B482" s="19">
        <v>44290.899201388886</v>
      </c>
      <c r="C482" s="4">
        <v>49835.0</v>
      </c>
      <c r="D482" s="4" t="s">
        <v>1339</v>
      </c>
      <c r="E482" s="4">
        <v>9.19176625213E11</v>
      </c>
      <c r="F482" s="4" t="s">
        <v>83</v>
      </c>
      <c r="G482" s="4"/>
      <c r="H482" s="4" t="s">
        <v>680</v>
      </c>
      <c r="I482" s="4"/>
      <c r="J482" s="4" t="s">
        <v>85</v>
      </c>
      <c r="K482" s="4">
        <v>99.0</v>
      </c>
      <c r="L482" s="4"/>
      <c r="M482" s="4">
        <v>99.0</v>
      </c>
      <c r="N482" s="4" t="s">
        <v>67</v>
      </c>
      <c r="O482" s="4" t="b">
        <v>0</v>
      </c>
      <c r="P482" s="4" t="s">
        <v>151</v>
      </c>
      <c r="Q482" s="4" t="s">
        <v>69</v>
      </c>
      <c r="R482" s="4"/>
      <c r="S482" s="4"/>
      <c r="T482" s="4"/>
      <c r="U482" s="7"/>
      <c r="V482" s="4"/>
      <c r="W482" s="4"/>
      <c r="X482" s="4"/>
      <c r="Y482" s="4"/>
      <c r="Z482" s="4"/>
      <c r="AA482" s="5"/>
      <c r="AB482" s="5"/>
      <c r="AC482" s="5"/>
      <c r="AD482" s="5"/>
      <c r="AE482" s="5"/>
    </row>
    <row r="483">
      <c r="A483" s="14" t="s">
        <v>485</v>
      </c>
      <c r="B483" s="19">
        <v>44290.90225694444</v>
      </c>
      <c r="C483" s="4">
        <v>49864.0</v>
      </c>
      <c r="D483" s="4" t="s">
        <v>486</v>
      </c>
      <c r="E483" s="4">
        <v>9.19049130882E11</v>
      </c>
      <c r="F483" s="4">
        <v>16665.0</v>
      </c>
      <c r="G483" s="4"/>
      <c r="H483" s="4" t="s">
        <v>181</v>
      </c>
      <c r="I483" s="4"/>
      <c r="J483" s="4" t="s">
        <v>149</v>
      </c>
      <c r="K483" s="4">
        <v>99.0</v>
      </c>
      <c r="L483" s="4"/>
      <c r="M483" s="4">
        <v>99.0</v>
      </c>
      <c r="N483" s="4" t="s">
        <v>67</v>
      </c>
      <c r="O483" s="4" t="b">
        <v>0</v>
      </c>
      <c r="P483" s="4" t="s">
        <v>68</v>
      </c>
      <c r="Q483" s="4" t="s">
        <v>69</v>
      </c>
      <c r="R483" s="4"/>
      <c r="S483" s="4"/>
      <c r="T483" s="4"/>
      <c r="U483" s="8"/>
      <c r="V483" s="4"/>
      <c r="W483" s="4"/>
      <c r="X483" s="4"/>
      <c r="Y483" s="4"/>
      <c r="Z483" s="4"/>
      <c r="AA483" s="5"/>
      <c r="AB483" s="5"/>
      <c r="AC483" s="5"/>
      <c r="AD483" s="5"/>
      <c r="AE483" s="5"/>
    </row>
    <row r="484">
      <c r="A484" s="14" t="s">
        <v>493</v>
      </c>
      <c r="B484" s="19">
        <v>44290.91354166667</v>
      </c>
      <c r="C484" s="4">
        <v>49864.0</v>
      </c>
      <c r="D484" s="4" t="s">
        <v>494</v>
      </c>
      <c r="E484" s="4">
        <v>9.19880351574E11</v>
      </c>
      <c r="F484" s="4">
        <v>16983.0</v>
      </c>
      <c r="G484" s="4"/>
      <c r="H484" s="4" t="s">
        <v>181</v>
      </c>
      <c r="I484" s="4"/>
      <c r="J484" s="4" t="s">
        <v>149</v>
      </c>
      <c r="K484" s="4">
        <v>99.0</v>
      </c>
      <c r="L484" s="4"/>
      <c r="M484" s="4">
        <v>99.0</v>
      </c>
      <c r="N484" s="4" t="s">
        <v>67</v>
      </c>
      <c r="O484" s="4" t="b">
        <v>0</v>
      </c>
      <c r="P484" s="4" t="s">
        <v>68</v>
      </c>
      <c r="Q484" s="4" t="s">
        <v>69</v>
      </c>
      <c r="R484" s="4"/>
      <c r="S484" s="4"/>
      <c r="T484" s="4"/>
      <c r="U484" s="7"/>
      <c r="V484" s="4"/>
      <c r="W484" s="4"/>
      <c r="X484" s="4"/>
      <c r="Y484" s="4"/>
      <c r="Z484" s="4"/>
      <c r="AA484" s="5"/>
      <c r="AB484" s="5"/>
      <c r="AC484" s="5"/>
      <c r="AD484" s="5"/>
      <c r="AE484" s="5"/>
    </row>
    <row r="485">
      <c r="A485" s="14" t="s">
        <v>996</v>
      </c>
      <c r="B485" s="19">
        <v>44290.93493055556</v>
      </c>
      <c r="C485" s="4">
        <v>49948.0</v>
      </c>
      <c r="D485" s="4" t="s">
        <v>997</v>
      </c>
      <c r="E485" s="4">
        <v>9.19949893907E11</v>
      </c>
      <c r="F485" s="4">
        <v>16740.0</v>
      </c>
      <c r="G485" s="4"/>
      <c r="H485" s="4" t="s">
        <v>791</v>
      </c>
      <c r="I485" s="4"/>
      <c r="J485" s="4" t="s">
        <v>149</v>
      </c>
      <c r="K485" s="4">
        <v>99.0</v>
      </c>
      <c r="L485" s="4"/>
      <c r="M485" s="4">
        <v>99.0</v>
      </c>
      <c r="N485" s="4" t="s">
        <v>67</v>
      </c>
      <c r="O485" s="4" t="b">
        <v>0</v>
      </c>
      <c r="P485" s="4" t="s">
        <v>74</v>
      </c>
      <c r="Q485" s="4" t="s">
        <v>69</v>
      </c>
      <c r="R485" s="4"/>
      <c r="S485" s="4"/>
      <c r="T485" s="4"/>
      <c r="U485" s="7"/>
      <c r="V485" s="4"/>
      <c r="W485" s="4"/>
      <c r="X485" s="4"/>
      <c r="Y485" s="4"/>
      <c r="Z485" s="4"/>
      <c r="AA485" s="5"/>
      <c r="AB485" s="5"/>
      <c r="AC485" s="5"/>
      <c r="AD485" s="5"/>
      <c r="AE485" s="5"/>
    </row>
    <row r="486">
      <c r="A486" s="14" t="s">
        <v>994</v>
      </c>
      <c r="B486" s="19">
        <v>44289.88628472222</v>
      </c>
      <c r="C486" s="4">
        <v>49948.0</v>
      </c>
      <c r="D486" s="4" t="s">
        <v>995</v>
      </c>
      <c r="E486" s="4">
        <v>9.19916823638E11</v>
      </c>
      <c r="F486" s="4">
        <v>16734.0</v>
      </c>
      <c r="G486" s="4"/>
      <c r="H486" s="4" t="s">
        <v>791</v>
      </c>
      <c r="I486" s="4"/>
      <c r="J486" s="4" t="s">
        <v>149</v>
      </c>
      <c r="K486" s="4">
        <v>99.0</v>
      </c>
      <c r="L486" s="4"/>
      <c r="M486" s="4">
        <v>99.0</v>
      </c>
      <c r="N486" s="4" t="s">
        <v>67</v>
      </c>
      <c r="O486" s="4" t="b">
        <v>0</v>
      </c>
      <c r="P486" s="4" t="s">
        <v>68</v>
      </c>
      <c r="Q486" s="4" t="s">
        <v>69</v>
      </c>
      <c r="R486" s="4"/>
      <c r="S486" s="4"/>
      <c r="T486" s="4"/>
      <c r="U486" s="7"/>
      <c r="V486" s="4"/>
      <c r="W486" s="4"/>
      <c r="X486" s="4"/>
      <c r="Y486" s="4"/>
      <c r="Z486" s="4"/>
      <c r="AA486" s="5"/>
      <c r="AB486" s="5"/>
      <c r="AC486" s="5"/>
      <c r="AD486" s="5"/>
      <c r="AE486" s="5"/>
    </row>
    <row r="487">
      <c r="A487" s="14" t="s">
        <v>793</v>
      </c>
      <c r="B487" s="19">
        <v>44290.947592592594</v>
      </c>
      <c r="C487" s="4">
        <v>49833.0</v>
      </c>
      <c r="D487" s="4" t="s">
        <v>794</v>
      </c>
      <c r="E487" s="4">
        <v>9.19176548049E11</v>
      </c>
      <c r="F487" s="4">
        <v>16678.0</v>
      </c>
      <c r="G487" s="4"/>
      <c r="H487" s="4" t="s">
        <v>184</v>
      </c>
      <c r="I487" s="4"/>
      <c r="J487" s="4" t="s">
        <v>77</v>
      </c>
      <c r="K487" s="4">
        <v>299.0</v>
      </c>
      <c r="L487" s="4"/>
      <c r="M487" s="4">
        <v>299.0</v>
      </c>
      <c r="N487" s="4" t="s">
        <v>67</v>
      </c>
      <c r="O487" s="4" t="b">
        <v>0</v>
      </c>
      <c r="P487" s="4" t="s">
        <v>68</v>
      </c>
      <c r="Q487" s="4" t="s">
        <v>69</v>
      </c>
      <c r="R487" s="4"/>
      <c r="S487" s="4"/>
      <c r="T487" s="4"/>
      <c r="U487" s="7"/>
      <c r="V487" s="4"/>
      <c r="W487" s="4"/>
      <c r="X487" s="4"/>
      <c r="Y487" s="4"/>
      <c r="Z487" s="4"/>
      <c r="AA487" s="5"/>
      <c r="AB487" s="5"/>
      <c r="AC487" s="5"/>
      <c r="AD487" s="5"/>
      <c r="AE487" s="5"/>
    </row>
    <row r="488">
      <c r="A488" s="14" t="s">
        <v>795</v>
      </c>
      <c r="B488" s="19">
        <v>44290.988900462966</v>
      </c>
      <c r="C488" s="4">
        <v>49877.0</v>
      </c>
      <c r="D488" s="4" t="s">
        <v>796</v>
      </c>
      <c r="E488" s="4">
        <v>9.17233924385E11</v>
      </c>
      <c r="F488" s="4" t="s">
        <v>83</v>
      </c>
      <c r="G488" s="4"/>
      <c r="H488" s="4" t="s">
        <v>280</v>
      </c>
      <c r="I488" s="4"/>
      <c r="J488" s="4" t="s">
        <v>85</v>
      </c>
      <c r="K488" s="4">
        <v>99.0</v>
      </c>
      <c r="L488" s="4"/>
      <c r="M488" s="4">
        <v>99.0</v>
      </c>
      <c r="N488" s="4" t="s">
        <v>67</v>
      </c>
      <c r="O488" s="4" t="b">
        <v>0</v>
      </c>
      <c r="P488" s="4" t="s">
        <v>74</v>
      </c>
      <c r="Q488" s="4" t="s">
        <v>69</v>
      </c>
      <c r="R488" s="4"/>
      <c r="S488" s="4"/>
      <c r="T488" s="4"/>
      <c r="U488" s="7"/>
      <c r="V488" s="4"/>
      <c r="W488" s="4"/>
      <c r="X488" s="4"/>
      <c r="Y488" s="4"/>
      <c r="Z488" s="4"/>
      <c r="AA488" s="5"/>
      <c r="AB488" s="5"/>
      <c r="AC488" s="5"/>
      <c r="AD488" s="5"/>
      <c r="AE488" s="5"/>
    </row>
    <row r="489">
      <c r="A489" s="14" t="s">
        <v>742</v>
      </c>
      <c r="B489" s="19">
        <v>44289.986238425925</v>
      </c>
      <c r="C489" s="4">
        <v>49833.0</v>
      </c>
      <c r="D489" s="4" t="s">
        <v>743</v>
      </c>
      <c r="E489" s="4">
        <v>9.19547688804E11</v>
      </c>
      <c r="F489" s="4">
        <v>16642.0</v>
      </c>
      <c r="G489" s="4"/>
      <c r="H489" s="4" t="s">
        <v>184</v>
      </c>
      <c r="I489" s="4"/>
      <c r="J489" s="4" t="s">
        <v>85</v>
      </c>
      <c r="K489" s="4">
        <v>99.0</v>
      </c>
      <c r="L489" s="4"/>
      <c r="M489" s="4">
        <v>99.0</v>
      </c>
      <c r="N489" s="4" t="s">
        <v>67</v>
      </c>
      <c r="O489" s="4" t="b">
        <v>0</v>
      </c>
      <c r="P489" s="4" t="s">
        <v>74</v>
      </c>
      <c r="Q489" s="4" t="s">
        <v>69</v>
      </c>
      <c r="R489" s="4"/>
      <c r="S489" s="4"/>
      <c r="T489" s="4"/>
      <c r="U489" s="7"/>
      <c r="V489" s="4"/>
      <c r="W489" s="4"/>
      <c r="X489" s="4"/>
      <c r="Y489" s="4"/>
      <c r="Z489" s="4"/>
      <c r="AA489" s="5"/>
      <c r="AB489" s="5"/>
      <c r="AC489" s="5"/>
      <c r="AD489" s="5"/>
      <c r="AE489" s="5"/>
    </row>
    <row r="490">
      <c r="A490" s="14" t="s">
        <v>507</v>
      </c>
      <c r="B490" s="19">
        <v>44291.05100694444</v>
      </c>
      <c r="C490" s="4">
        <v>49864.0</v>
      </c>
      <c r="D490" s="4" t="s">
        <v>508</v>
      </c>
      <c r="E490" s="4">
        <v>9.1707582584E11</v>
      </c>
      <c r="F490" s="4">
        <v>16666.0</v>
      </c>
      <c r="G490" s="4"/>
      <c r="H490" s="4" t="s">
        <v>181</v>
      </c>
      <c r="I490" s="4"/>
      <c r="J490" s="4" t="s">
        <v>149</v>
      </c>
      <c r="K490" s="4">
        <v>99.0</v>
      </c>
      <c r="L490" s="4"/>
      <c r="M490" s="4">
        <v>99.0</v>
      </c>
      <c r="N490" s="4" t="s">
        <v>67</v>
      </c>
      <c r="O490" s="4" t="b">
        <v>0</v>
      </c>
      <c r="P490" s="4" t="s">
        <v>74</v>
      </c>
      <c r="Q490" s="4" t="s">
        <v>69</v>
      </c>
      <c r="R490" s="4"/>
      <c r="S490" s="4"/>
      <c r="T490" s="4"/>
      <c r="U490" s="7"/>
      <c r="V490" s="4"/>
      <c r="W490" s="4"/>
      <c r="X490" s="4"/>
      <c r="Y490" s="4"/>
      <c r="Z490" s="4"/>
      <c r="AA490" s="5"/>
      <c r="AB490" s="5"/>
      <c r="AC490" s="5"/>
      <c r="AD490" s="5"/>
      <c r="AE490" s="5"/>
    </row>
    <row r="491">
      <c r="A491" s="14" t="s">
        <v>744</v>
      </c>
      <c r="B491" s="19">
        <v>44290.02334490741</v>
      </c>
      <c r="C491" s="4">
        <v>49834.0</v>
      </c>
      <c r="D491" s="4" t="s">
        <v>745</v>
      </c>
      <c r="E491" s="4">
        <v>9.18082433278E11</v>
      </c>
      <c r="F491" s="4" t="s">
        <v>83</v>
      </c>
      <c r="G491" s="4"/>
      <c r="H491" s="4" t="s">
        <v>76</v>
      </c>
      <c r="I491" s="4"/>
      <c r="J491" s="4" t="s">
        <v>85</v>
      </c>
      <c r="K491" s="4">
        <v>299.0</v>
      </c>
      <c r="L491" s="4"/>
      <c r="M491" s="4">
        <v>299.0</v>
      </c>
      <c r="N491" s="4" t="s">
        <v>67</v>
      </c>
      <c r="O491" s="4" t="b">
        <v>0</v>
      </c>
      <c r="P491" s="4" t="s">
        <v>97</v>
      </c>
      <c r="Q491" s="4" t="s">
        <v>69</v>
      </c>
      <c r="R491" s="4"/>
      <c r="S491" s="4"/>
      <c r="T491" s="4"/>
      <c r="U491" s="7"/>
      <c r="V491" s="4"/>
      <c r="W491" s="4"/>
      <c r="X491" s="4"/>
      <c r="Y491" s="4"/>
      <c r="Z491" s="4"/>
      <c r="AA491" s="5"/>
      <c r="AB491" s="5"/>
      <c r="AC491" s="5"/>
      <c r="AD491" s="5"/>
      <c r="AE491" s="5"/>
    </row>
    <row r="492">
      <c r="A492" s="14" t="s">
        <v>102</v>
      </c>
      <c r="B492" s="19">
        <v>44224.360972222225</v>
      </c>
      <c r="C492" s="4">
        <v>49831.0</v>
      </c>
      <c r="D492" s="4" t="s">
        <v>103</v>
      </c>
      <c r="E492" s="4">
        <v>9.19370569303E11</v>
      </c>
      <c r="F492" s="4">
        <v>6724.0</v>
      </c>
      <c r="G492" s="4"/>
      <c r="H492" s="4" t="s">
        <v>64</v>
      </c>
      <c r="I492" s="4"/>
      <c r="J492" s="4" t="s">
        <v>65</v>
      </c>
      <c r="K492" s="4">
        <v>299.0</v>
      </c>
      <c r="L492" s="4"/>
      <c r="M492" s="4">
        <v>299.0</v>
      </c>
      <c r="N492" s="4" t="s">
        <v>67</v>
      </c>
      <c r="O492" s="4" t="b">
        <v>0</v>
      </c>
      <c r="P492" s="4" t="s">
        <v>74</v>
      </c>
      <c r="Q492" s="4" t="s">
        <v>69</v>
      </c>
      <c r="R492" s="4"/>
      <c r="S492" s="4"/>
      <c r="T492" s="4"/>
      <c r="U492" s="7"/>
      <c r="V492" s="4"/>
      <c r="W492" s="4"/>
      <c r="X492" s="4"/>
      <c r="Y492" s="4"/>
      <c r="Z492" s="4"/>
      <c r="AA492" s="5"/>
      <c r="AB492" s="5"/>
      <c r="AC492" s="5"/>
      <c r="AD492" s="5"/>
      <c r="AE492" s="5"/>
    </row>
    <row r="493">
      <c r="A493" s="14" t="s">
        <v>799</v>
      </c>
      <c r="B493" s="19">
        <v>44291.18373842593</v>
      </c>
      <c r="C493" s="4">
        <v>49833.0</v>
      </c>
      <c r="D493" s="4" t="s">
        <v>800</v>
      </c>
      <c r="E493" s="4">
        <v>9.18448418696E11</v>
      </c>
      <c r="F493" s="4" t="s">
        <v>83</v>
      </c>
      <c r="G493" s="4"/>
      <c r="H493" s="4" t="s">
        <v>184</v>
      </c>
      <c r="I493" s="4"/>
      <c r="J493" s="4" t="s">
        <v>85</v>
      </c>
      <c r="K493" s="4">
        <v>99.0</v>
      </c>
      <c r="L493" s="4"/>
      <c r="M493" s="4">
        <v>99.0</v>
      </c>
      <c r="N493" s="4" t="s">
        <v>67</v>
      </c>
      <c r="O493" s="4" t="b">
        <v>0</v>
      </c>
      <c r="P493" s="4" t="s">
        <v>68</v>
      </c>
      <c r="Q493" s="4" t="s">
        <v>69</v>
      </c>
      <c r="R493" s="4"/>
      <c r="S493" s="4"/>
      <c r="T493" s="4"/>
      <c r="U493" s="7"/>
      <c r="V493" s="4"/>
      <c r="W493" s="4"/>
      <c r="X493" s="4"/>
      <c r="Y493" s="4"/>
      <c r="Z493" s="4"/>
      <c r="AA493" s="5"/>
      <c r="AB493" s="5"/>
      <c r="AC493" s="5"/>
      <c r="AD493" s="5"/>
      <c r="AE493" s="5"/>
    </row>
    <row r="494">
      <c r="A494" s="14" t="s">
        <v>998</v>
      </c>
      <c r="B494" s="19">
        <v>44291.22408564815</v>
      </c>
      <c r="C494" s="4">
        <v>49948.0</v>
      </c>
      <c r="D494" s="4" t="s">
        <v>999</v>
      </c>
      <c r="E494" s="4">
        <v>9.17980961321E11</v>
      </c>
      <c r="F494" s="4">
        <v>16681.0</v>
      </c>
      <c r="G494" s="4"/>
      <c r="H494" s="4" t="s">
        <v>791</v>
      </c>
      <c r="I494" s="4"/>
      <c r="J494" s="4" t="s">
        <v>149</v>
      </c>
      <c r="K494" s="4">
        <v>99.0</v>
      </c>
      <c r="L494" s="4"/>
      <c r="M494" s="4">
        <v>99.0</v>
      </c>
      <c r="N494" s="4" t="s">
        <v>67</v>
      </c>
      <c r="O494" s="4" t="b">
        <v>0</v>
      </c>
      <c r="P494" s="4" t="s">
        <v>68</v>
      </c>
      <c r="Q494" s="4" t="s">
        <v>69</v>
      </c>
      <c r="R494" s="4"/>
      <c r="S494" s="4"/>
      <c r="T494" s="4"/>
      <c r="U494" s="7"/>
      <c r="V494" s="4"/>
      <c r="W494" s="4"/>
      <c r="X494" s="4"/>
      <c r="Y494" s="4"/>
      <c r="Z494" s="4"/>
      <c r="AA494" s="5"/>
      <c r="AB494" s="5"/>
      <c r="AC494" s="5"/>
      <c r="AD494" s="5"/>
      <c r="AE494" s="5"/>
    </row>
    <row r="495">
      <c r="A495" s="14" t="s">
        <v>803</v>
      </c>
      <c r="B495" s="19">
        <v>44291.31002314815</v>
      </c>
      <c r="C495" s="4">
        <v>49877.0</v>
      </c>
      <c r="D495" s="4" t="s">
        <v>804</v>
      </c>
      <c r="E495" s="4">
        <v>9.1832915984E11</v>
      </c>
      <c r="F495" s="4" t="s">
        <v>83</v>
      </c>
      <c r="G495" s="4"/>
      <c r="H495" s="4" t="s">
        <v>280</v>
      </c>
      <c r="I495" s="4"/>
      <c r="J495" s="4" t="s">
        <v>85</v>
      </c>
      <c r="K495" s="4">
        <v>99.0</v>
      </c>
      <c r="L495" s="4"/>
      <c r="M495" s="4">
        <v>99.0</v>
      </c>
      <c r="N495" s="4" t="s">
        <v>67</v>
      </c>
      <c r="O495" s="4" t="b">
        <v>0</v>
      </c>
      <c r="P495" s="4" t="s">
        <v>68</v>
      </c>
      <c r="Q495" s="4" t="s">
        <v>69</v>
      </c>
      <c r="R495" s="4"/>
      <c r="S495" s="4"/>
      <c r="T495" s="4"/>
      <c r="U495" s="7"/>
      <c r="V495" s="4"/>
      <c r="W495" s="4"/>
      <c r="X495" s="4"/>
      <c r="Y495" s="4"/>
      <c r="Z495" s="4"/>
      <c r="AA495" s="5"/>
      <c r="AB495" s="5"/>
      <c r="AC495" s="5"/>
      <c r="AD495" s="5"/>
      <c r="AE495" s="5"/>
    </row>
    <row r="496">
      <c r="A496" s="14" t="s">
        <v>104</v>
      </c>
      <c r="B496" s="19">
        <v>44225.62994212963</v>
      </c>
      <c r="C496" s="4">
        <v>49831.0</v>
      </c>
      <c r="D496" s="4" t="s">
        <v>105</v>
      </c>
      <c r="E496" s="4">
        <v>9.1639684691E11</v>
      </c>
      <c r="F496" s="4">
        <v>7923.0</v>
      </c>
      <c r="G496" s="4"/>
      <c r="H496" s="4" t="s">
        <v>64</v>
      </c>
      <c r="I496" s="4"/>
      <c r="J496" s="4" t="s">
        <v>65</v>
      </c>
      <c r="K496" s="4">
        <v>299.0</v>
      </c>
      <c r="L496" s="4"/>
      <c r="M496" s="4">
        <v>299.0</v>
      </c>
      <c r="N496" s="4" t="s">
        <v>67</v>
      </c>
      <c r="O496" s="4" t="b">
        <v>0</v>
      </c>
      <c r="P496" s="4" t="s">
        <v>97</v>
      </c>
      <c r="Q496" s="4" t="s">
        <v>69</v>
      </c>
      <c r="R496" s="4"/>
      <c r="S496" s="4"/>
      <c r="T496" s="4"/>
      <c r="U496" s="7"/>
      <c r="V496" s="4"/>
      <c r="W496" s="4"/>
      <c r="X496" s="4"/>
      <c r="Y496" s="4"/>
      <c r="Z496" s="4"/>
      <c r="AA496" s="5"/>
      <c r="AB496" s="5"/>
      <c r="AC496" s="5"/>
      <c r="AD496" s="5"/>
      <c r="AE496" s="5"/>
    </row>
    <row r="497">
      <c r="A497" s="14" t="s">
        <v>805</v>
      </c>
      <c r="B497" s="19">
        <v>44291.35435185185</v>
      </c>
      <c r="C497" s="4">
        <v>49833.0</v>
      </c>
      <c r="D497" s="4" t="s">
        <v>806</v>
      </c>
      <c r="E497" s="4">
        <v>9.19970593037E11</v>
      </c>
      <c r="F497" s="4" t="s">
        <v>83</v>
      </c>
      <c r="G497" s="4"/>
      <c r="H497" s="4" t="s">
        <v>184</v>
      </c>
      <c r="I497" s="4"/>
      <c r="J497" s="4" t="s">
        <v>85</v>
      </c>
      <c r="K497" s="4">
        <v>99.0</v>
      </c>
      <c r="L497" s="4"/>
      <c r="M497" s="4">
        <v>99.0</v>
      </c>
      <c r="N497" s="4" t="s">
        <v>67</v>
      </c>
      <c r="O497" s="4" t="b">
        <v>0</v>
      </c>
      <c r="P497" s="4" t="s">
        <v>68</v>
      </c>
      <c r="Q497" s="4" t="s">
        <v>69</v>
      </c>
      <c r="R497" s="4"/>
      <c r="S497" s="4"/>
      <c r="T497" s="4"/>
      <c r="U497" s="7"/>
      <c r="V497" s="4"/>
      <c r="W497" s="4"/>
      <c r="X497" s="4"/>
      <c r="Y497" s="4"/>
      <c r="Z497" s="4"/>
      <c r="AA497" s="5"/>
      <c r="AB497" s="5"/>
      <c r="AC497" s="5"/>
      <c r="AD497" s="5"/>
      <c r="AE497" s="5"/>
    </row>
    <row r="498">
      <c r="A498" s="14" t="s">
        <v>809</v>
      </c>
      <c r="B498" s="19">
        <v>44291.41196759259</v>
      </c>
      <c r="C498" s="4">
        <v>49833.0</v>
      </c>
      <c r="D498" s="4" t="s">
        <v>810</v>
      </c>
      <c r="E498" s="4">
        <v>9.18806652336E11</v>
      </c>
      <c r="F498" s="4">
        <v>6466.0</v>
      </c>
      <c r="G498" s="4"/>
      <c r="H498" s="4" t="s">
        <v>184</v>
      </c>
      <c r="I498" s="4"/>
      <c r="J498" s="4" t="s">
        <v>77</v>
      </c>
      <c r="K498" s="4">
        <v>299.0</v>
      </c>
      <c r="L498" s="4"/>
      <c r="M498" s="4">
        <v>299.0</v>
      </c>
      <c r="N498" s="4" t="s">
        <v>67</v>
      </c>
      <c r="O498" s="4" t="b">
        <v>0</v>
      </c>
      <c r="P498" s="4" t="s">
        <v>74</v>
      </c>
      <c r="Q498" s="4" t="s">
        <v>69</v>
      </c>
      <c r="R498" s="4"/>
      <c r="S498" s="4"/>
      <c r="T498" s="4"/>
      <c r="U498" s="8"/>
      <c r="V498" s="4"/>
      <c r="W498" s="4"/>
      <c r="X498" s="4"/>
      <c r="Y498" s="4"/>
      <c r="Z498" s="4"/>
      <c r="AA498" s="5"/>
      <c r="AB498" s="5"/>
      <c r="AC498" s="5"/>
      <c r="AD498" s="5"/>
      <c r="AE498" s="5"/>
    </row>
    <row r="499">
      <c r="A499" s="14" t="s">
        <v>811</v>
      </c>
      <c r="B499" s="19">
        <v>44291.41233796296</v>
      </c>
      <c r="C499" s="4">
        <v>49833.0</v>
      </c>
      <c r="D499" s="4" t="s">
        <v>812</v>
      </c>
      <c r="E499" s="4">
        <v>9.18976004528E11</v>
      </c>
      <c r="F499" s="4">
        <v>16673.0</v>
      </c>
      <c r="G499" s="4"/>
      <c r="H499" s="4" t="s">
        <v>184</v>
      </c>
      <c r="I499" s="4"/>
      <c r="J499" s="4" t="s">
        <v>85</v>
      </c>
      <c r="K499" s="4">
        <v>99.0</v>
      </c>
      <c r="L499" s="4"/>
      <c r="M499" s="4">
        <v>99.0</v>
      </c>
      <c r="N499" s="4" t="s">
        <v>67</v>
      </c>
      <c r="O499" s="4" t="b">
        <v>0</v>
      </c>
      <c r="P499" s="4" t="s">
        <v>68</v>
      </c>
      <c r="Q499" s="4" t="s">
        <v>69</v>
      </c>
      <c r="R499" s="4"/>
      <c r="S499" s="4"/>
      <c r="T499" s="4"/>
      <c r="U499" s="8"/>
      <c r="V499" s="4"/>
      <c r="W499" s="4"/>
      <c r="X499" s="4"/>
      <c r="Y499" s="4"/>
      <c r="Z499" s="4"/>
      <c r="AA499" s="5"/>
      <c r="AB499" s="5"/>
      <c r="AC499" s="5"/>
      <c r="AD499" s="5"/>
      <c r="AE499" s="5"/>
    </row>
    <row r="500">
      <c r="A500" s="14" t="s">
        <v>1359</v>
      </c>
      <c r="B500" s="19">
        <v>44291.39628472222</v>
      </c>
      <c r="C500" s="4">
        <v>49835.0</v>
      </c>
      <c r="D500" s="4" t="s">
        <v>1360</v>
      </c>
      <c r="E500" s="4">
        <v>9.1886725733E11</v>
      </c>
      <c r="F500" s="4" t="s">
        <v>83</v>
      </c>
      <c r="G500" s="4"/>
      <c r="H500" s="4" t="s">
        <v>680</v>
      </c>
      <c r="I500" s="4"/>
      <c r="J500" s="4" t="s">
        <v>85</v>
      </c>
      <c r="K500" s="4">
        <v>99.0</v>
      </c>
      <c r="L500" s="4"/>
      <c r="M500" s="4">
        <v>99.0</v>
      </c>
      <c r="N500" s="4" t="s">
        <v>67</v>
      </c>
      <c r="O500" s="4" t="b">
        <v>0</v>
      </c>
      <c r="P500" s="4" t="s">
        <v>74</v>
      </c>
      <c r="Q500" s="4" t="s">
        <v>69</v>
      </c>
      <c r="R500" s="4"/>
      <c r="S500" s="4"/>
      <c r="T500" s="4"/>
      <c r="U500" s="7"/>
      <c r="V500" s="4"/>
      <c r="W500" s="4"/>
      <c r="X500" s="4"/>
      <c r="Y500" s="4"/>
      <c r="Z500" s="4"/>
      <c r="AA500" s="5"/>
      <c r="AB500" s="5"/>
      <c r="AC500" s="5"/>
      <c r="AD500" s="5"/>
      <c r="AE500" s="5"/>
    </row>
    <row r="501">
      <c r="A501" s="14" t="s">
        <v>813</v>
      </c>
      <c r="B501" s="19">
        <v>44291.438159722224</v>
      </c>
      <c r="C501" s="4">
        <v>49877.0</v>
      </c>
      <c r="D501" s="4" t="s">
        <v>814</v>
      </c>
      <c r="E501" s="4">
        <v>9.19599660295E11</v>
      </c>
      <c r="F501" s="4">
        <v>16869.0</v>
      </c>
      <c r="G501" s="4"/>
      <c r="H501" s="4" t="s">
        <v>280</v>
      </c>
      <c r="I501" s="4"/>
      <c r="J501" s="4" t="s">
        <v>85</v>
      </c>
      <c r="K501" s="4">
        <v>99.0</v>
      </c>
      <c r="L501" s="4"/>
      <c r="M501" s="4">
        <v>99.0</v>
      </c>
      <c r="N501" s="4" t="s">
        <v>67</v>
      </c>
      <c r="O501" s="4" t="b">
        <v>0</v>
      </c>
      <c r="P501" s="4" t="s">
        <v>68</v>
      </c>
      <c r="Q501" s="4" t="s">
        <v>69</v>
      </c>
      <c r="R501" s="4"/>
      <c r="S501" s="4"/>
      <c r="T501" s="4"/>
      <c r="U501" s="7"/>
      <c r="V501" s="4"/>
      <c r="W501" s="4"/>
      <c r="X501" s="4"/>
      <c r="Y501" s="4"/>
      <c r="Z501" s="4"/>
      <c r="AA501" s="5"/>
      <c r="AB501" s="5"/>
      <c r="AC501" s="5"/>
      <c r="AD501" s="5"/>
      <c r="AE501" s="5"/>
    </row>
    <row r="502">
      <c r="A502" s="14" t="s">
        <v>815</v>
      </c>
      <c r="B502" s="19">
        <v>44291.49392361111</v>
      </c>
      <c r="C502" s="4">
        <v>49833.0</v>
      </c>
      <c r="D502" s="4" t="s">
        <v>816</v>
      </c>
      <c r="E502" s="4">
        <v>9.17506573129E11</v>
      </c>
      <c r="F502" s="4">
        <v>16818.0</v>
      </c>
      <c r="G502" s="4"/>
      <c r="H502" s="4" t="s">
        <v>184</v>
      </c>
      <c r="I502" s="4"/>
      <c r="J502" s="4" t="s">
        <v>85</v>
      </c>
      <c r="K502" s="4">
        <v>99.0</v>
      </c>
      <c r="L502" s="4"/>
      <c r="M502" s="4">
        <v>99.0</v>
      </c>
      <c r="N502" s="4" t="s">
        <v>67</v>
      </c>
      <c r="O502" s="4" t="b">
        <v>0</v>
      </c>
      <c r="P502" s="4" t="s">
        <v>97</v>
      </c>
      <c r="Q502" s="4" t="s">
        <v>69</v>
      </c>
      <c r="R502" s="4"/>
      <c r="S502" s="4"/>
      <c r="T502" s="4"/>
      <c r="U502" s="7"/>
      <c r="V502" s="4"/>
      <c r="W502" s="4"/>
      <c r="X502" s="4"/>
      <c r="Y502" s="4"/>
      <c r="Z502" s="4"/>
      <c r="AA502" s="5"/>
      <c r="AB502" s="5"/>
      <c r="AC502" s="5"/>
      <c r="AD502" s="5"/>
      <c r="AE502" s="5"/>
    </row>
    <row r="503">
      <c r="A503" s="14" t="s">
        <v>817</v>
      </c>
      <c r="B503" s="19">
        <v>44291.510729166665</v>
      </c>
      <c r="C503" s="4">
        <v>49833.0</v>
      </c>
      <c r="D503" s="4" t="s">
        <v>818</v>
      </c>
      <c r="E503" s="4">
        <v>9.17738219439E11</v>
      </c>
      <c r="F503" s="4" t="s">
        <v>83</v>
      </c>
      <c r="G503" s="4"/>
      <c r="H503" s="4" t="s">
        <v>184</v>
      </c>
      <c r="I503" s="4"/>
      <c r="J503" s="4" t="s">
        <v>85</v>
      </c>
      <c r="K503" s="4">
        <v>99.0</v>
      </c>
      <c r="L503" s="4"/>
      <c r="M503" s="4">
        <v>99.0</v>
      </c>
      <c r="N503" s="4" t="s">
        <v>67</v>
      </c>
      <c r="O503" s="4" t="b">
        <v>0</v>
      </c>
      <c r="P503" s="4" t="s">
        <v>68</v>
      </c>
      <c r="Q503" s="4" t="s">
        <v>69</v>
      </c>
      <c r="R503" s="4"/>
      <c r="S503" s="4"/>
      <c r="T503" s="4"/>
      <c r="U503" s="7"/>
      <c r="V503" s="4"/>
      <c r="W503" s="4"/>
      <c r="X503" s="4"/>
      <c r="Y503" s="4"/>
      <c r="Z503" s="4"/>
      <c r="AA503" s="5"/>
      <c r="AB503" s="5"/>
      <c r="AC503" s="5"/>
      <c r="AD503" s="5"/>
      <c r="AE503" s="5"/>
    </row>
    <row r="504">
      <c r="A504" s="14" t="s">
        <v>819</v>
      </c>
      <c r="B504" s="19">
        <v>44291.51819444444</v>
      </c>
      <c r="C504" s="4">
        <v>49833.0</v>
      </c>
      <c r="D504" s="4" t="s">
        <v>820</v>
      </c>
      <c r="E504" s="4">
        <v>9.18978885133E11</v>
      </c>
      <c r="F504" s="4" t="s">
        <v>83</v>
      </c>
      <c r="G504" s="4"/>
      <c r="H504" s="4" t="s">
        <v>184</v>
      </c>
      <c r="I504" s="4"/>
      <c r="J504" s="4" t="s">
        <v>85</v>
      </c>
      <c r="K504" s="4">
        <v>99.0</v>
      </c>
      <c r="L504" s="4"/>
      <c r="M504" s="4">
        <v>99.0</v>
      </c>
      <c r="N504" s="4" t="s">
        <v>67</v>
      </c>
      <c r="O504" s="4" t="b">
        <v>0</v>
      </c>
      <c r="P504" s="4" t="s">
        <v>68</v>
      </c>
      <c r="Q504" s="4" t="s">
        <v>69</v>
      </c>
      <c r="R504" s="4"/>
      <c r="S504" s="4"/>
      <c r="T504" s="4"/>
      <c r="U504" s="7"/>
      <c r="V504" s="4"/>
      <c r="W504" s="4"/>
      <c r="X504" s="4"/>
      <c r="Y504" s="4"/>
      <c r="Z504" s="4"/>
      <c r="AA504" s="5"/>
      <c r="AB504" s="5"/>
      <c r="AC504" s="5"/>
      <c r="AD504" s="5"/>
      <c r="AE504" s="5"/>
    </row>
    <row r="505">
      <c r="A505" s="14" t="s">
        <v>2208</v>
      </c>
      <c r="B505" s="19">
        <v>44292.612222222226</v>
      </c>
      <c r="C505" s="4">
        <v>49854.0</v>
      </c>
      <c r="D505" s="4" t="s">
        <v>2209</v>
      </c>
      <c r="E505" s="4">
        <v>9.19123094571E11</v>
      </c>
      <c r="F505" s="4">
        <v>16891.0</v>
      </c>
      <c r="G505" s="4"/>
      <c r="H505" s="4" t="s">
        <v>2161</v>
      </c>
      <c r="I505" s="4"/>
      <c r="J505" s="4" t="s">
        <v>85</v>
      </c>
      <c r="K505" s="4">
        <v>999.0</v>
      </c>
      <c r="L505" s="4"/>
      <c r="M505" s="4">
        <v>999.0</v>
      </c>
      <c r="N505" s="4" t="s">
        <v>67</v>
      </c>
      <c r="O505" s="4" t="b">
        <v>0</v>
      </c>
      <c r="P505" s="4" t="s">
        <v>74</v>
      </c>
      <c r="Q505" s="4" t="s">
        <v>69</v>
      </c>
      <c r="R505" s="4"/>
      <c r="S505" s="4"/>
      <c r="T505" s="4"/>
      <c r="U505" s="7"/>
      <c r="V505" s="4"/>
      <c r="W505" s="4"/>
      <c r="X505" s="4"/>
      <c r="Y505" s="4"/>
      <c r="Z505" s="4"/>
      <c r="AA505" s="5"/>
      <c r="AB505" s="5"/>
      <c r="AC505" s="5"/>
      <c r="AD505" s="5"/>
      <c r="AE505" s="5"/>
    </row>
    <row r="506">
      <c r="A506" s="14" t="s">
        <v>821</v>
      </c>
      <c r="B506" s="19">
        <v>44291.556226851855</v>
      </c>
      <c r="C506" s="4">
        <v>49877.0</v>
      </c>
      <c r="D506" s="4" t="s">
        <v>822</v>
      </c>
      <c r="E506" s="4">
        <v>9.19925905303E11</v>
      </c>
      <c r="F506" s="4">
        <v>16643.0</v>
      </c>
      <c r="G506" s="4"/>
      <c r="H506" s="4" t="s">
        <v>280</v>
      </c>
      <c r="I506" s="4"/>
      <c r="J506" s="4" t="s">
        <v>85</v>
      </c>
      <c r="K506" s="4">
        <v>99.0</v>
      </c>
      <c r="L506" s="4"/>
      <c r="M506" s="4">
        <v>99.0</v>
      </c>
      <c r="N506" s="4" t="s">
        <v>67</v>
      </c>
      <c r="O506" s="4" t="b">
        <v>0</v>
      </c>
      <c r="P506" s="4" t="s">
        <v>74</v>
      </c>
      <c r="Q506" s="4" t="s">
        <v>69</v>
      </c>
      <c r="R506" s="4"/>
      <c r="S506" s="4"/>
      <c r="T506" s="4"/>
      <c r="U506" s="7"/>
      <c r="V506" s="4"/>
      <c r="W506" s="4"/>
      <c r="X506" s="4"/>
      <c r="Y506" s="4"/>
      <c r="Z506" s="4"/>
      <c r="AA506" s="5"/>
      <c r="AB506" s="5"/>
      <c r="AC506" s="5"/>
      <c r="AD506" s="5"/>
      <c r="AE506" s="5"/>
    </row>
    <row r="507">
      <c r="A507" s="14" t="s">
        <v>823</v>
      </c>
      <c r="B507" s="19">
        <v>44291.58587962963</v>
      </c>
      <c r="C507" s="4">
        <v>49833.0</v>
      </c>
      <c r="D507" s="4" t="s">
        <v>824</v>
      </c>
      <c r="E507" s="4">
        <v>9.17042373889E11</v>
      </c>
      <c r="F507" s="4">
        <v>16713.0</v>
      </c>
      <c r="G507" s="4"/>
      <c r="H507" s="4" t="s">
        <v>184</v>
      </c>
      <c r="I507" s="4"/>
      <c r="J507" s="4" t="s">
        <v>85</v>
      </c>
      <c r="K507" s="4">
        <v>99.0</v>
      </c>
      <c r="L507" s="4"/>
      <c r="M507" s="4">
        <v>99.0</v>
      </c>
      <c r="N507" s="4" t="s">
        <v>67</v>
      </c>
      <c r="O507" s="4" t="b">
        <v>0</v>
      </c>
      <c r="P507" s="4" t="s">
        <v>68</v>
      </c>
      <c r="Q507" s="4" t="s">
        <v>69</v>
      </c>
      <c r="R507" s="4"/>
      <c r="S507" s="4"/>
      <c r="T507" s="4"/>
      <c r="U507" s="7"/>
      <c r="V507" s="4"/>
      <c r="W507" s="4"/>
      <c r="X507" s="4"/>
      <c r="Y507" s="4"/>
      <c r="Z507" s="4"/>
      <c r="AA507" s="5"/>
      <c r="AB507" s="5"/>
      <c r="AC507" s="5"/>
      <c r="AD507" s="5"/>
      <c r="AE507" s="5"/>
    </row>
    <row r="508">
      <c r="A508" s="14" t="s">
        <v>1363</v>
      </c>
      <c r="B508" s="19">
        <v>44291.601006944446</v>
      </c>
      <c r="C508" s="4">
        <v>49835.0</v>
      </c>
      <c r="D508" s="4" t="s">
        <v>1364</v>
      </c>
      <c r="E508" s="4">
        <v>9.17014180098E11</v>
      </c>
      <c r="F508" s="4" t="s">
        <v>83</v>
      </c>
      <c r="G508" s="4"/>
      <c r="H508" s="4" t="s">
        <v>680</v>
      </c>
      <c r="I508" s="4"/>
      <c r="J508" s="4" t="s">
        <v>85</v>
      </c>
      <c r="K508" s="4">
        <v>99.0</v>
      </c>
      <c r="L508" s="4"/>
      <c r="M508" s="4">
        <v>99.0</v>
      </c>
      <c r="N508" s="4" t="s">
        <v>67</v>
      </c>
      <c r="O508" s="4" t="b">
        <v>0</v>
      </c>
      <c r="P508" s="4" t="s">
        <v>68</v>
      </c>
      <c r="Q508" s="4" t="s">
        <v>69</v>
      </c>
      <c r="R508" s="4"/>
      <c r="S508" s="4"/>
      <c r="T508" s="4"/>
      <c r="U508" s="7"/>
      <c r="V508" s="4"/>
      <c r="W508" s="4"/>
      <c r="X508" s="4"/>
      <c r="Y508" s="4"/>
      <c r="Z508" s="4"/>
      <c r="AA508" s="5"/>
      <c r="AB508" s="5"/>
      <c r="AC508" s="5"/>
      <c r="AD508" s="5"/>
      <c r="AE508" s="5"/>
    </row>
    <row r="509">
      <c r="A509" s="14" t="s">
        <v>827</v>
      </c>
      <c r="B509" s="19">
        <v>44291.62464120371</v>
      </c>
      <c r="C509" s="4">
        <v>49833.0</v>
      </c>
      <c r="D509" s="4" t="s">
        <v>828</v>
      </c>
      <c r="E509" s="4">
        <v>9.1725956385E11</v>
      </c>
      <c r="F509" s="4">
        <v>16811.0</v>
      </c>
      <c r="G509" s="4"/>
      <c r="H509" s="4" t="s">
        <v>184</v>
      </c>
      <c r="I509" s="4"/>
      <c r="J509" s="4" t="s">
        <v>85</v>
      </c>
      <c r="K509" s="4">
        <v>99.0</v>
      </c>
      <c r="L509" s="4"/>
      <c r="M509" s="4">
        <v>99.0</v>
      </c>
      <c r="N509" s="4" t="s">
        <v>67</v>
      </c>
      <c r="O509" s="4" t="b">
        <v>0</v>
      </c>
      <c r="P509" s="4" t="s">
        <v>74</v>
      </c>
      <c r="Q509" s="4" t="s">
        <v>69</v>
      </c>
      <c r="R509" s="4"/>
      <c r="S509" s="4"/>
      <c r="T509" s="4"/>
      <c r="U509" s="7"/>
      <c r="V509" s="4"/>
      <c r="W509" s="4"/>
      <c r="X509" s="4"/>
      <c r="Y509" s="4"/>
      <c r="Z509" s="4"/>
      <c r="AA509" s="5"/>
      <c r="AB509" s="5"/>
      <c r="AC509" s="5"/>
      <c r="AD509" s="5"/>
      <c r="AE509" s="5"/>
    </row>
    <row r="510">
      <c r="A510" s="14" t="s">
        <v>1000</v>
      </c>
      <c r="B510" s="19">
        <v>44291.63122685185</v>
      </c>
      <c r="C510" s="4">
        <v>49958.0</v>
      </c>
      <c r="D510" s="4" t="s">
        <v>1001</v>
      </c>
      <c r="E510" s="4">
        <v>9.1990141395E11</v>
      </c>
      <c r="F510" s="4">
        <v>16712.0</v>
      </c>
      <c r="G510" s="4"/>
      <c r="H510" s="4" t="s">
        <v>858</v>
      </c>
      <c r="I510" s="4"/>
      <c r="J510" s="4" t="s">
        <v>149</v>
      </c>
      <c r="K510" s="4">
        <v>99.0</v>
      </c>
      <c r="L510" s="4"/>
      <c r="M510" s="4">
        <v>99.0</v>
      </c>
      <c r="N510" s="4" t="s">
        <v>67</v>
      </c>
      <c r="O510" s="4" t="b">
        <v>0</v>
      </c>
      <c r="P510" s="4" t="s">
        <v>68</v>
      </c>
      <c r="Q510" s="4" t="s">
        <v>69</v>
      </c>
      <c r="R510" s="4"/>
      <c r="S510" s="4"/>
      <c r="T510" s="4"/>
      <c r="U510" s="7"/>
      <c r="V510" s="4"/>
      <c r="W510" s="4"/>
      <c r="X510" s="4"/>
      <c r="Y510" s="4"/>
      <c r="Z510" s="4"/>
      <c r="AA510" s="5"/>
      <c r="AB510" s="5"/>
      <c r="AC510" s="5"/>
      <c r="AD510" s="5"/>
      <c r="AE510" s="5"/>
    </row>
    <row r="511">
      <c r="A511" s="14" t="s">
        <v>1425</v>
      </c>
      <c r="B511" s="19">
        <v>44292.71708333334</v>
      </c>
      <c r="C511" s="4">
        <v>49835.0</v>
      </c>
      <c r="D511" s="4" t="s">
        <v>1426</v>
      </c>
      <c r="E511" s="4">
        <v>9.19764397268E11</v>
      </c>
      <c r="F511" s="4" t="s">
        <v>83</v>
      </c>
      <c r="G511" s="4"/>
      <c r="H511" s="4" t="s">
        <v>680</v>
      </c>
      <c r="I511" s="4"/>
      <c r="J511" s="4" t="s">
        <v>85</v>
      </c>
      <c r="K511" s="4">
        <v>99.0</v>
      </c>
      <c r="L511" s="4"/>
      <c r="M511" s="4">
        <v>99.0</v>
      </c>
      <c r="N511" s="4" t="s">
        <v>67</v>
      </c>
      <c r="O511" s="4" t="b">
        <v>0</v>
      </c>
      <c r="P511" s="4" t="s">
        <v>97</v>
      </c>
      <c r="Q511" s="4" t="s">
        <v>69</v>
      </c>
      <c r="R511" s="4"/>
      <c r="S511" s="4"/>
      <c r="T511" s="4"/>
      <c r="U511" s="7"/>
      <c r="V511" s="4"/>
      <c r="W511" s="4"/>
      <c r="X511" s="4"/>
      <c r="Y511" s="4"/>
      <c r="Z511" s="4"/>
      <c r="AA511" s="5"/>
      <c r="AB511" s="5"/>
      <c r="AC511" s="5"/>
      <c r="AD511" s="5"/>
      <c r="AE511" s="5"/>
    </row>
    <row r="512">
      <c r="A512" s="14" t="s">
        <v>891</v>
      </c>
      <c r="B512" s="19">
        <v>44292.69974537037</v>
      </c>
      <c r="C512" s="4">
        <v>49833.0</v>
      </c>
      <c r="D512" s="4" t="s">
        <v>892</v>
      </c>
      <c r="E512" s="4">
        <v>9.17416464951E11</v>
      </c>
      <c r="F512" s="4">
        <v>16708.0</v>
      </c>
      <c r="G512" s="4"/>
      <c r="H512" s="4" t="s">
        <v>184</v>
      </c>
      <c r="I512" s="4"/>
      <c r="J512" s="4" t="s">
        <v>85</v>
      </c>
      <c r="K512" s="4">
        <v>99.0</v>
      </c>
      <c r="L512" s="4"/>
      <c r="M512" s="4">
        <v>99.0</v>
      </c>
      <c r="N512" s="4" t="s">
        <v>67</v>
      </c>
      <c r="O512" s="4" t="b">
        <v>0</v>
      </c>
      <c r="P512" s="4" t="s">
        <v>97</v>
      </c>
      <c r="Q512" s="4" t="s">
        <v>69</v>
      </c>
      <c r="R512" s="4"/>
      <c r="S512" s="4"/>
      <c r="T512" s="4"/>
      <c r="U512" s="7"/>
      <c r="V512" s="4"/>
      <c r="W512" s="4"/>
      <c r="X512" s="4"/>
      <c r="Y512" s="4"/>
      <c r="Z512" s="4"/>
      <c r="AA512" s="5"/>
      <c r="AB512" s="5"/>
      <c r="AC512" s="5"/>
      <c r="AD512" s="5"/>
      <c r="AE512" s="5"/>
    </row>
    <row r="513">
      <c r="A513" s="14" t="s">
        <v>893</v>
      </c>
      <c r="B513" s="19">
        <v>44292.70123842593</v>
      </c>
      <c r="C513" s="4">
        <v>49833.0</v>
      </c>
      <c r="D513" s="4" t="s">
        <v>894</v>
      </c>
      <c r="E513" s="4">
        <v>9.16303895054E11</v>
      </c>
      <c r="F513" s="4">
        <v>16710.0</v>
      </c>
      <c r="G513" s="4"/>
      <c r="H513" s="4" t="s">
        <v>184</v>
      </c>
      <c r="I513" s="4"/>
      <c r="J513" s="4" t="s">
        <v>85</v>
      </c>
      <c r="K513" s="4">
        <v>99.0</v>
      </c>
      <c r="L513" s="4"/>
      <c r="M513" s="4">
        <v>99.0</v>
      </c>
      <c r="N513" s="4" t="s">
        <v>67</v>
      </c>
      <c r="O513" s="4" t="b">
        <v>0</v>
      </c>
      <c r="P513" s="4" t="s">
        <v>74</v>
      </c>
      <c r="Q513" s="4" t="s">
        <v>69</v>
      </c>
      <c r="R513" s="4"/>
      <c r="S513" s="4"/>
      <c r="T513" s="4"/>
      <c r="U513" s="7"/>
      <c r="V513" s="4"/>
      <c r="W513" s="4"/>
      <c r="X513" s="4"/>
      <c r="Y513" s="4"/>
      <c r="Z513" s="4"/>
      <c r="AA513" s="5"/>
      <c r="AB513" s="5"/>
      <c r="AC513" s="5"/>
      <c r="AD513" s="5"/>
      <c r="AE513" s="5"/>
    </row>
    <row r="514">
      <c r="A514" s="14" t="s">
        <v>1365</v>
      </c>
      <c r="B514" s="19">
        <v>44291.645590277774</v>
      </c>
      <c r="C514" s="4">
        <v>49835.0</v>
      </c>
      <c r="D514" s="4" t="s">
        <v>1366</v>
      </c>
      <c r="E514" s="4">
        <v>9.1999988122E11</v>
      </c>
      <c r="F514" s="4" t="s">
        <v>83</v>
      </c>
      <c r="G514" s="4"/>
      <c r="H514" s="4" t="s">
        <v>680</v>
      </c>
      <c r="I514" s="4"/>
      <c r="J514" s="4" t="s">
        <v>85</v>
      </c>
      <c r="K514" s="4">
        <v>99.0</v>
      </c>
      <c r="L514" s="4"/>
      <c r="M514" s="4">
        <v>99.0</v>
      </c>
      <c r="N514" s="4" t="s">
        <v>67</v>
      </c>
      <c r="O514" s="4" t="b">
        <v>0</v>
      </c>
      <c r="P514" s="4" t="s">
        <v>68</v>
      </c>
      <c r="Q514" s="4" t="s">
        <v>69</v>
      </c>
      <c r="R514" s="4"/>
      <c r="S514" s="4"/>
      <c r="T514" s="4"/>
      <c r="U514" s="7"/>
      <c r="V514" s="4"/>
      <c r="W514" s="4"/>
      <c r="X514" s="4"/>
      <c r="Y514" s="4"/>
      <c r="Z514" s="4"/>
      <c r="AA514" s="5"/>
      <c r="AB514" s="5"/>
      <c r="AC514" s="5"/>
      <c r="AD514" s="5"/>
      <c r="AE514" s="5"/>
    </row>
    <row r="515">
      <c r="A515" s="14" t="s">
        <v>895</v>
      </c>
      <c r="B515" s="19">
        <v>44292.710497685184</v>
      </c>
      <c r="C515" s="4">
        <v>49833.0</v>
      </c>
      <c r="D515" s="4" t="s">
        <v>896</v>
      </c>
      <c r="E515" s="4">
        <v>9.18374783987E11</v>
      </c>
      <c r="F515" s="4">
        <v>16716.0</v>
      </c>
      <c r="G515" s="4"/>
      <c r="H515" s="4" t="s">
        <v>184</v>
      </c>
      <c r="I515" s="4"/>
      <c r="J515" s="4" t="s">
        <v>85</v>
      </c>
      <c r="K515" s="4">
        <v>99.0</v>
      </c>
      <c r="L515" s="4"/>
      <c r="M515" s="4">
        <v>99.0</v>
      </c>
      <c r="N515" s="4" t="s">
        <v>67</v>
      </c>
      <c r="O515" s="4" t="b">
        <v>0</v>
      </c>
      <c r="P515" s="4" t="s">
        <v>68</v>
      </c>
      <c r="Q515" s="4" t="s">
        <v>69</v>
      </c>
      <c r="R515" s="4"/>
      <c r="S515" s="4"/>
      <c r="T515" s="4"/>
      <c r="U515" s="7"/>
      <c r="V515" s="4"/>
      <c r="W515" s="4"/>
      <c r="X515" s="4"/>
      <c r="Y515" s="4"/>
      <c r="Z515" s="4"/>
      <c r="AA515" s="5"/>
      <c r="AB515" s="5"/>
      <c r="AC515" s="5"/>
      <c r="AD515" s="5"/>
      <c r="AE515" s="5"/>
    </row>
    <row r="516">
      <c r="A516" s="14" t="s">
        <v>527</v>
      </c>
      <c r="B516" s="19">
        <v>44292.711122685185</v>
      </c>
      <c r="C516" s="4">
        <v>49864.0</v>
      </c>
      <c r="D516" s="4" t="s">
        <v>528</v>
      </c>
      <c r="E516" s="4">
        <v>9.18766313736E11</v>
      </c>
      <c r="F516" s="4">
        <v>16832.0</v>
      </c>
      <c r="G516" s="4"/>
      <c r="H516" s="4" t="s">
        <v>181</v>
      </c>
      <c r="I516" s="4"/>
      <c r="J516" s="4" t="s">
        <v>149</v>
      </c>
      <c r="K516" s="4">
        <v>99.0</v>
      </c>
      <c r="L516" s="4"/>
      <c r="M516" s="4">
        <v>99.0</v>
      </c>
      <c r="N516" s="4" t="s">
        <v>67</v>
      </c>
      <c r="O516" s="4" t="b">
        <v>0</v>
      </c>
      <c r="P516" s="4" t="s">
        <v>97</v>
      </c>
      <c r="Q516" s="4" t="s">
        <v>69</v>
      </c>
      <c r="R516" s="4"/>
      <c r="S516" s="4"/>
      <c r="T516" s="4"/>
      <c r="U516" s="7"/>
      <c r="V516" s="4"/>
      <c r="W516" s="4"/>
      <c r="X516" s="4"/>
      <c r="Y516" s="4"/>
      <c r="Z516" s="4"/>
      <c r="AA516" s="5"/>
      <c r="AB516" s="5"/>
      <c r="AC516" s="5"/>
      <c r="AD516" s="5"/>
      <c r="AE516" s="5"/>
    </row>
    <row r="517">
      <c r="A517" s="14" t="s">
        <v>833</v>
      </c>
      <c r="B517" s="19">
        <v>44291.702361111114</v>
      </c>
      <c r="C517" s="4">
        <v>49833.0</v>
      </c>
      <c r="D517" s="4" t="s">
        <v>834</v>
      </c>
      <c r="E517" s="4">
        <v>9.19022387194E11</v>
      </c>
      <c r="F517" s="4" t="s">
        <v>83</v>
      </c>
      <c r="G517" s="4"/>
      <c r="H517" s="4" t="s">
        <v>184</v>
      </c>
      <c r="I517" s="4"/>
      <c r="J517" s="4" t="s">
        <v>85</v>
      </c>
      <c r="K517" s="4">
        <v>99.0</v>
      </c>
      <c r="L517" s="4"/>
      <c r="M517" s="4">
        <v>99.0</v>
      </c>
      <c r="N517" s="4" t="s">
        <v>67</v>
      </c>
      <c r="O517" s="4" t="b">
        <v>0</v>
      </c>
      <c r="P517" s="4" t="s">
        <v>68</v>
      </c>
      <c r="Q517" s="4" t="s">
        <v>69</v>
      </c>
      <c r="R517" s="4"/>
      <c r="S517" s="4"/>
      <c r="T517" s="4"/>
      <c r="U517" s="7"/>
      <c r="V517" s="4"/>
      <c r="W517" s="4"/>
      <c r="X517" s="4"/>
      <c r="Y517" s="4"/>
      <c r="Z517" s="4"/>
      <c r="AA517" s="5"/>
      <c r="AB517" s="5"/>
      <c r="AC517" s="5"/>
      <c r="AD517" s="5"/>
      <c r="AE517" s="5"/>
    </row>
    <row r="518">
      <c r="A518" s="14" t="s">
        <v>903</v>
      </c>
      <c r="B518" s="19">
        <v>44292.79525462963</v>
      </c>
      <c r="C518" s="4">
        <v>49833.0</v>
      </c>
      <c r="D518" s="4" t="s">
        <v>904</v>
      </c>
      <c r="E518" s="4">
        <v>9.18105132941E11</v>
      </c>
      <c r="F518" s="4">
        <v>17145.0</v>
      </c>
      <c r="G518" s="4"/>
      <c r="H518" s="4" t="s">
        <v>184</v>
      </c>
      <c r="I518" s="4"/>
      <c r="J518" s="4" t="s">
        <v>85</v>
      </c>
      <c r="K518" s="4">
        <v>99.0</v>
      </c>
      <c r="L518" s="4"/>
      <c r="M518" s="4">
        <v>99.0</v>
      </c>
      <c r="N518" s="4" t="s">
        <v>67</v>
      </c>
      <c r="O518" s="4" t="b">
        <v>0</v>
      </c>
      <c r="P518" s="4" t="s">
        <v>68</v>
      </c>
      <c r="Q518" s="4" t="s">
        <v>69</v>
      </c>
      <c r="R518" s="4"/>
      <c r="S518" s="4"/>
      <c r="T518" s="4"/>
      <c r="U518" s="7"/>
      <c r="V518" s="4"/>
      <c r="W518" s="4"/>
      <c r="X518" s="4"/>
      <c r="Y518" s="4"/>
      <c r="Z518" s="4"/>
      <c r="AA518" s="5"/>
      <c r="AB518" s="5"/>
      <c r="AC518" s="5"/>
      <c r="AD518" s="5"/>
      <c r="AE518" s="5"/>
    </row>
    <row r="519">
      <c r="A519" s="14" t="s">
        <v>1427</v>
      </c>
      <c r="B519" s="19">
        <v>44292.79046296296</v>
      </c>
      <c r="C519" s="4">
        <v>49835.0</v>
      </c>
      <c r="D519" s="4" t="s">
        <v>1428</v>
      </c>
      <c r="E519" s="4">
        <v>9.19007518877E11</v>
      </c>
      <c r="F519" s="4" t="s">
        <v>83</v>
      </c>
      <c r="G519" s="4"/>
      <c r="H519" s="4" t="s">
        <v>680</v>
      </c>
      <c r="I519" s="4"/>
      <c r="J519" s="4" t="s">
        <v>85</v>
      </c>
      <c r="K519" s="4">
        <v>99.0</v>
      </c>
      <c r="L519" s="4"/>
      <c r="M519" s="4">
        <v>99.0</v>
      </c>
      <c r="N519" s="4" t="s">
        <v>67</v>
      </c>
      <c r="O519" s="4" t="b">
        <v>0</v>
      </c>
      <c r="P519" s="4" t="s">
        <v>68</v>
      </c>
      <c r="Q519" s="4" t="s">
        <v>69</v>
      </c>
      <c r="R519" s="4"/>
      <c r="S519" s="4"/>
      <c r="T519" s="4"/>
      <c r="U519" s="7"/>
      <c r="V519" s="4"/>
      <c r="W519" s="4"/>
      <c r="X519" s="4"/>
      <c r="Y519" s="4"/>
      <c r="Z519" s="4"/>
      <c r="AA519" s="5"/>
      <c r="AB519" s="5"/>
      <c r="AC519" s="5"/>
      <c r="AD519" s="5"/>
      <c r="AE519" s="5"/>
    </row>
    <row r="520">
      <c r="A520" s="14" t="s">
        <v>1367</v>
      </c>
      <c r="B520" s="19">
        <v>44291.733402777776</v>
      </c>
      <c r="C520" s="4">
        <v>49835.0</v>
      </c>
      <c r="D520" s="4" t="s">
        <v>1368</v>
      </c>
      <c r="E520" s="4">
        <v>9.19482191628E11</v>
      </c>
      <c r="F520" s="4" t="s">
        <v>83</v>
      </c>
      <c r="G520" s="4"/>
      <c r="H520" s="4" t="s">
        <v>680</v>
      </c>
      <c r="I520" s="4"/>
      <c r="J520" s="4" t="s">
        <v>85</v>
      </c>
      <c r="K520" s="4">
        <v>99.0</v>
      </c>
      <c r="L520" s="4"/>
      <c r="M520" s="4">
        <v>99.0</v>
      </c>
      <c r="N520" s="4" t="s">
        <v>67</v>
      </c>
      <c r="O520" s="4" t="b">
        <v>0</v>
      </c>
      <c r="P520" s="4" t="s">
        <v>68</v>
      </c>
      <c r="Q520" s="4" t="s">
        <v>69</v>
      </c>
      <c r="R520" s="4"/>
      <c r="S520" s="4"/>
      <c r="T520" s="4"/>
      <c r="U520" s="7"/>
      <c r="V520" s="4"/>
      <c r="W520" s="4"/>
      <c r="X520" s="4"/>
      <c r="Y520" s="4"/>
      <c r="Z520" s="4"/>
      <c r="AA520" s="5"/>
      <c r="AB520" s="5"/>
      <c r="AC520" s="5"/>
      <c r="AD520" s="5"/>
      <c r="AE520" s="5"/>
    </row>
    <row r="521">
      <c r="A521" s="14" t="s">
        <v>905</v>
      </c>
      <c r="B521" s="19">
        <v>44292.81706018518</v>
      </c>
      <c r="C521" s="4">
        <v>49877.0</v>
      </c>
      <c r="D521" s="4" t="s">
        <v>906</v>
      </c>
      <c r="E521" s="4">
        <v>9.18130724406E11</v>
      </c>
      <c r="F521" s="4">
        <v>16699.0</v>
      </c>
      <c r="G521" s="4"/>
      <c r="H521" s="4" t="s">
        <v>280</v>
      </c>
      <c r="I521" s="4"/>
      <c r="J521" s="4" t="s">
        <v>85</v>
      </c>
      <c r="K521" s="4">
        <v>99.0</v>
      </c>
      <c r="L521" s="4"/>
      <c r="M521" s="4">
        <v>99.0</v>
      </c>
      <c r="N521" s="4" t="s">
        <v>67</v>
      </c>
      <c r="O521" s="4" t="b">
        <v>0</v>
      </c>
      <c r="P521" s="4" t="s">
        <v>68</v>
      </c>
      <c r="Q521" s="4" t="s">
        <v>69</v>
      </c>
      <c r="R521" s="4"/>
      <c r="S521" s="4"/>
      <c r="T521" s="4"/>
      <c r="U521" s="7"/>
      <c r="V521" s="4"/>
      <c r="W521" s="4"/>
      <c r="X521" s="4"/>
      <c r="Y521" s="4"/>
      <c r="Z521" s="4"/>
      <c r="AA521" s="5"/>
      <c r="AB521" s="5"/>
      <c r="AC521" s="5"/>
      <c r="AD521" s="5"/>
      <c r="AE521" s="5"/>
    </row>
    <row r="522">
      <c r="A522" s="14" t="s">
        <v>907</v>
      </c>
      <c r="B522" s="19">
        <v>44292.828518518516</v>
      </c>
      <c r="C522" s="4">
        <v>49833.0</v>
      </c>
      <c r="D522" s="4" t="s">
        <v>908</v>
      </c>
      <c r="E522" s="4">
        <v>9.18826337294E11</v>
      </c>
      <c r="F522" s="4" t="s">
        <v>83</v>
      </c>
      <c r="G522" s="4"/>
      <c r="H522" s="4" t="s">
        <v>184</v>
      </c>
      <c r="I522" s="4"/>
      <c r="J522" s="4" t="s">
        <v>77</v>
      </c>
      <c r="K522" s="4">
        <v>299.0</v>
      </c>
      <c r="L522" s="4"/>
      <c r="M522" s="4">
        <v>299.0</v>
      </c>
      <c r="N522" s="4" t="s">
        <v>67</v>
      </c>
      <c r="O522" s="4" t="b">
        <v>0</v>
      </c>
      <c r="P522" s="4" t="s">
        <v>97</v>
      </c>
      <c r="Q522" s="4" t="s">
        <v>69</v>
      </c>
      <c r="R522" s="4"/>
      <c r="S522" s="4"/>
      <c r="T522" s="4"/>
      <c r="U522" s="7"/>
      <c r="V522" s="4"/>
      <c r="W522" s="4"/>
      <c r="X522" s="4"/>
      <c r="Y522" s="4"/>
      <c r="Z522" s="4"/>
      <c r="AA522" s="5"/>
      <c r="AB522" s="5"/>
      <c r="AC522" s="5"/>
      <c r="AD522" s="5"/>
      <c r="AE522" s="5"/>
    </row>
    <row r="523">
      <c r="A523" s="14" t="s">
        <v>909</v>
      </c>
      <c r="B523" s="19">
        <v>44292.85167824074</v>
      </c>
      <c r="C523" s="4">
        <v>49833.0</v>
      </c>
      <c r="D523" s="4" t="s">
        <v>910</v>
      </c>
      <c r="E523" s="4">
        <v>9.17319871366E11</v>
      </c>
      <c r="F523" s="4" t="s">
        <v>83</v>
      </c>
      <c r="G523" s="4"/>
      <c r="H523" s="4" t="s">
        <v>184</v>
      </c>
      <c r="I523" s="4"/>
      <c r="J523" s="4" t="s">
        <v>85</v>
      </c>
      <c r="K523" s="4">
        <v>99.0</v>
      </c>
      <c r="L523" s="4"/>
      <c r="M523" s="4">
        <v>99.0</v>
      </c>
      <c r="N523" s="4" t="s">
        <v>67</v>
      </c>
      <c r="O523" s="4" t="b">
        <v>0</v>
      </c>
      <c r="P523" s="4" t="s">
        <v>68</v>
      </c>
      <c r="Q523" s="4" t="s">
        <v>69</v>
      </c>
      <c r="R523" s="4"/>
      <c r="S523" s="4"/>
      <c r="T523" s="4"/>
      <c r="U523" s="7"/>
      <c r="V523" s="4"/>
      <c r="W523" s="4"/>
      <c r="X523" s="4"/>
      <c r="Y523" s="4"/>
      <c r="Z523" s="4"/>
      <c r="AA523" s="5"/>
      <c r="AB523" s="5"/>
      <c r="AC523" s="5"/>
      <c r="AD523" s="5"/>
      <c r="AE523" s="5"/>
    </row>
    <row r="524">
      <c r="A524" s="14" t="s">
        <v>531</v>
      </c>
      <c r="B524" s="19">
        <v>44292.857777777775</v>
      </c>
      <c r="C524" s="4">
        <v>49864.0</v>
      </c>
      <c r="D524" s="4" t="s">
        <v>532</v>
      </c>
      <c r="E524" s="4">
        <v>9.19928066659E11</v>
      </c>
      <c r="F524" s="4">
        <v>16985.0</v>
      </c>
      <c r="G524" s="4"/>
      <c r="H524" s="4" t="s">
        <v>181</v>
      </c>
      <c r="I524" s="4"/>
      <c r="J524" s="4" t="s">
        <v>149</v>
      </c>
      <c r="K524" s="4">
        <v>99.0</v>
      </c>
      <c r="L524" s="4"/>
      <c r="M524" s="4">
        <v>99.0</v>
      </c>
      <c r="N524" s="4" t="s">
        <v>67</v>
      </c>
      <c r="O524" s="4" t="b">
        <v>0</v>
      </c>
      <c r="P524" s="4" t="s">
        <v>68</v>
      </c>
      <c r="Q524" s="4" t="s">
        <v>69</v>
      </c>
      <c r="R524" s="4"/>
      <c r="S524" s="4"/>
      <c r="T524" s="4"/>
      <c r="U524" s="7"/>
      <c r="V524" s="4"/>
      <c r="W524" s="4"/>
      <c r="X524" s="4"/>
      <c r="Y524" s="4"/>
      <c r="Z524" s="4"/>
      <c r="AA524" s="5"/>
      <c r="AB524" s="5"/>
      <c r="AC524" s="5"/>
      <c r="AD524" s="5"/>
      <c r="AE524" s="5"/>
    </row>
    <row r="525">
      <c r="A525" s="14" t="s">
        <v>1006</v>
      </c>
      <c r="B525" s="19">
        <v>44291.81760416667</v>
      </c>
      <c r="C525" s="4">
        <v>49948.0</v>
      </c>
      <c r="D525" s="4" t="s">
        <v>1007</v>
      </c>
      <c r="E525" s="4">
        <v>9.18411860506E11</v>
      </c>
      <c r="F525" s="4" t="s">
        <v>1008</v>
      </c>
      <c r="G525" s="4"/>
      <c r="H525" s="4" t="s">
        <v>791</v>
      </c>
      <c r="I525" s="4"/>
      <c r="J525" s="4" t="s">
        <v>149</v>
      </c>
      <c r="K525" s="4">
        <v>99.0</v>
      </c>
      <c r="L525" s="4"/>
      <c r="M525" s="4">
        <v>99.0</v>
      </c>
      <c r="N525" s="4" t="s">
        <v>67</v>
      </c>
      <c r="O525" s="4" t="b">
        <v>0</v>
      </c>
      <c r="P525" s="4" t="s">
        <v>68</v>
      </c>
      <c r="Q525" s="4" t="s">
        <v>69</v>
      </c>
      <c r="R525" s="4"/>
      <c r="S525" s="4"/>
      <c r="T525" s="4"/>
      <c r="U525" s="7"/>
      <c r="V525" s="4"/>
      <c r="W525" s="4"/>
      <c r="X525" s="4"/>
      <c r="Y525" s="4"/>
      <c r="Z525" s="4"/>
      <c r="AA525" s="5"/>
      <c r="AB525" s="5"/>
      <c r="AC525" s="5"/>
      <c r="AD525" s="5"/>
      <c r="AE525" s="5"/>
    </row>
    <row r="526">
      <c r="A526" s="14" t="s">
        <v>839</v>
      </c>
      <c r="B526" s="19">
        <v>44291.817928240744</v>
      </c>
      <c r="C526" s="4">
        <v>49833.0</v>
      </c>
      <c r="D526" s="4" t="s">
        <v>840</v>
      </c>
      <c r="E526" s="4">
        <v>9.19667314043E11</v>
      </c>
      <c r="F526" s="4">
        <v>16701.0</v>
      </c>
      <c r="G526" s="4"/>
      <c r="H526" s="4" t="s">
        <v>184</v>
      </c>
      <c r="I526" s="4"/>
      <c r="J526" s="4" t="s">
        <v>85</v>
      </c>
      <c r="K526" s="4">
        <v>99.0</v>
      </c>
      <c r="L526" s="4"/>
      <c r="M526" s="4">
        <v>99.0</v>
      </c>
      <c r="N526" s="4" t="s">
        <v>67</v>
      </c>
      <c r="O526" s="4" t="b">
        <v>0</v>
      </c>
      <c r="P526" s="4" t="s">
        <v>68</v>
      </c>
      <c r="Q526" s="4" t="s">
        <v>69</v>
      </c>
      <c r="R526" s="4"/>
      <c r="S526" s="4"/>
      <c r="T526" s="4"/>
      <c r="U526" s="7"/>
      <c r="V526" s="4"/>
      <c r="W526" s="4"/>
      <c r="X526" s="4"/>
      <c r="Y526" s="4"/>
      <c r="Z526" s="4"/>
      <c r="AA526" s="5"/>
      <c r="AB526" s="5"/>
      <c r="AC526" s="5"/>
      <c r="AD526" s="5"/>
      <c r="AE526" s="5"/>
    </row>
    <row r="527">
      <c r="A527" s="14" t="s">
        <v>915</v>
      </c>
      <c r="B527" s="19">
        <v>44292.88585648148</v>
      </c>
      <c r="C527" s="4">
        <v>49833.0</v>
      </c>
      <c r="D527" s="4" t="s">
        <v>916</v>
      </c>
      <c r="E527" s="4">
        <v>9.18506881781E11</v>
      </c>
      <c r="F527" s="4" t="s">
        <v>83</v>
      </c>
      <c r="G527" s="4"/>
      <c r="H527" s="4" t="s">
        <v>184</v>
      </c>
      <c r="I527" s="4"/>
      <c r="J527" s="4" t="s">
        <v>85</v>
      </c>
      <c r="K527" s="4">
        <v>99.0</v>
      </c>
      <c r="L527" s="4"/>
      <c r="M527" s="4">
        <v>99.0</v>
      </c>
      <c r="N527" s="4" t="s">
        <v>67</v>
      </c>
      <c r="O527" s="4" t="b">
        <v>0</v>
      </c>
      <c r="P527" s="4" t="s">
        <v>68</v>
      </c>
      <c r="Q527" s="4" t="s">
        <v>69</v>
      </c>
      <c r="R527" s="4"/>
      <c r="S527" s="4"/>
      <c r="T527" s="4"/>
      <c r="U527" s="7"/>
      <c r="V527" s="4"/>
      <c r="W527" s="4"/>
      <c r="X527" s="4"/>
      <c r="Y527" s="4"/>
      <c r="Z527" s="4"/>
      <c r="AA527" s="5"/>
      <c r="AB527" s="5"/>
      <c r="AC527" s="5"/>
      <c r="AD527" s="5"/>
      <c r="AE527" s="5"/>
    </row>
    <row r="528">
      <c r="A528" s="14" t="s">
        <v>841</v>
      </c>
      <c r="B528" s="19">
        <v>44291.82821759259</v>
      </c>
      <c r="C528" s="4">
        <v>49833.0</v>
      </c>
      <c r="D528" s="4" t="s">
        <v>842</v>
      </c>
      <c r="E528" s="4">
        <v>9.19866603605E11</v>
      </c>
      <c r="F528" s="4" t="s">
        <v>83</v>
      </c>
      <c r="G528" s="4"/>
      <c r="H528" s="4" t="s">
        <v>184</v>
      </c>
      <c r="I528" s="4"/>
      <c r="J528" s="4" t="s">
        <v>85</v>
      </c>
      <c r="K528" s="4">
        <v>99.0</v>
      </c>
      <c r="L528" s="4"/>
      <c r="M528" s="4">
        <v>99.0</v>
      </c>
      <c r="N528" s="4" t="s">
        <v>67</v>
      </c>
      <c r="O528" s="4" t="b">
        <v>0</v>
      </c>
      <c r="P528" s="4" t="s">
        <v>68</v>
      </c>
      <c r="Q528" s="4" t="s">
        <v>69</v>
      </c>
      <c r="R528" s="4"/>
      <c r="S528" s="4"/>
      <c r="T528" s="4"/>
      <c r="U528" s="7"/>
      <c r="V528" s="4"/>
      <c r="W528" s="4"/>
      <c r="X528" s="4"/>
      <c r="Y528" s="4"/>
      <c r="Z528" s="4"/>
      <c r="AA528" s="5"/>
      <c r="AB528" s="5"/>
      <c r="AC528" s="5"/>
      <c r="AD528" s="5"/>
      <c r="AE528" s="5"/>
    </row>
    <row r="529">
      <c r="A529" s="14" t="s">
        <v>913</v>
      </c>
      <c r="B529" s="19">
        <v>44292.87621527778</v>
      </c>
      <c r="C529" s="4">
        <v>49833.0</v>
      </c>
      <c r="D529" s="4" t="s">
        <v>914</v>
      </c>
      <c r="E529" s="4">
        <v>9.18770031299E11</v>
      </c>
      <c r="F529" s="4">
        <v>16749.0</v>
      </c>
      <c r="G529" s="4"/>
      <c r="H529" s="4" t="s">
        <v>184</v>
      </c>
      <c r="I529" s="4"/>
      <c r="J529" s="4" t="s">
        <v>85</v>
      </c>
      <c r="K529" s="4">
        <v>99.0</v>
      </c>
      <c r="L529" s="4"/>
      <c r="M529" s="4">
        <v>99.0</v>
      </c>
      <c r="N529" s="4" t="s">
        <v>67</v>
      </c>
      <c r="O529" s="4" t="b">
        <v>0</v>
      </c>
      <c r="P529" s="4" t="s">
        <v>68</v>
      </c>
      <c r="Q529" s="4" t="s">
        <v>69</v>
      </c>
      <c r="R529" s="4"/>
      <c r="S529" s="4"/>
      <c r="T529" s="4"/>
      <c r="U529" s="7"/>
      <c r="V529" s="4"/>
      <c r="W529" s="4"/>
      <c r="X529" s="4"/>
      <c r="Y529" s="4"/>
      <c r="Z529" s="4"/>
      <c r="AA529" s="5"/>
      <c r="AB529" s="5"/>
      <c r="AC529" s="5"/>
      <c r="AD529" s="5"/>
      <c r="AE529" s="5"/>
    </row>
    <row r="530">
      <c r="A530" s="14" t="s">
        <v>1018</v>
      </c>
      <c r="B530" s="19">
        <v>44292.89753472222</v>
      </c>
      <c r="C530" s="4">
        <v>49958.0</v>
      </c>
      <c r="D530" s="4" t="s">
        <v>1019</v>
      </c>
      <c r="E530" s="4">
        <v>9.19496824552E11</v>
      </c>
      <c r="F530" s="4">
        <v>16704.0</v>
      </c>
      <c r="G530" s="4"/>
      <c r="H530" s="4" t="s">
        <v>858</v>
      </c>
      <c r="I530" s="4"/>
      <c r="J530" s="4" t="s">
        <v>149</v>
      </c>
      <c r="K530" s="4">
        <v>99.0</v>
      </c>
      <c r="L530" s="4"/>
      <c r="M530" s="4">
        <v>99.0</v>
      </c>
      <c r="N530" s="4" t="s">
        <v>67</v>
      </c>
      <c r="O530" s="4" t="b">
        <v>0</v>
      </c>
      <c r="P530" s="4" t="s">
        <v>68</v>
      </c>
      <c r="Q530" s="4" t="s">
        <v>69</v>
      </c>
      <c r="R530" s="4"/>
      <c r="S530" s="4"/>
      <c r="T530" s="4"/>
      <c r="U530" s="7"/>
      <c r="V530" s="4"/>
      <c r="W530" s="4"/>
      <c r="X530" s="4"/>
      <c r="Y530" s="4"/>
      <c r="Z530" s="4"/>
      <c r="AA530" s="5"/>
      <c r="AB530" s="5"/>
      <c r="AC530" s="5"/>
      <c r="AD530" s="5"/>
      <c r="AE530" s="5"/>
    </row>
    <row r="531">
      <c r="A531" s="14" t="s">
        <v>1020</v>
      </c>
      <c r="B531" s="19">
        <v>44292.90012731482</v>
      </c>
      <c r="C531" s="4">
        <v>49948.0</v>
      </c>
      <c r="D531" s="4" t="s">
        <v>1021</v>
      </c>
      <c r="E531" s="4">
        <v>9.19910475789E11</v>
      </c>
      <c r="F531" s="4">
        <v>16737.0</v>
      </c>
      <c r="G531" s="4"/>
      <c r="H531" s="4" t="s">
        <v>791</v>
      </c>
      <c r="I531" s="4"/>
      <c r="J531" s="4" t="s">
        <v>149</v>
      </c>
      <c r="K531" s="4">
        <v>99.0</v>
      </c>
      <c r="L531" s="4"/>
      <c r="M531" s="4">
        <v>99.0</v>
      </c>
      <c r="N531" s="4" t="s">
        <v>67</v>
      </c>
      <c r="O531" s="4" t="b">
        <v>0</v>
      </c>
      <c r="P531" s="4" t="s">
        <v>68</v>
      </c>
      <c r="Q531" s="4" t="s">
        <v>69</v>
      </c>
      <c r="R531" s="4"/>
      <c r="S531" s="4"/>
      <c r="T531" s="4"/>
      <c r="U531" s="7"/>
      <c r="V531" s="4"/>
      <c r="W531" s="4"/>
      <c r="X531" s="4"/>
      <c r="Y531" s="4"/>
      <c r="Z531" s="4"/>
      <c r="AA531" s="5"/>
      <c r="AB531" s="5"/>
      <c r="AC531" s="5"/>
      <c r="AD531" s="5"/>
      <c r="AE531" s="5"/>
    </row>
    <row r="532">
      <c r="A532" s="14" t="s">
        <v>1009</v>
      </c>
      <c r="B532" s="19">
        <v>44291.85921296296</v>
      </c>
      <c r="C532" s="4">
        <v>49958.0</v>
      </c>
      <c r="D532" s="4" t="s">
        <v>1010</v>
      </c>
      <c r="E532" s="4">
        <v>9.17054674592E11</v>
      </c>
      <c r="F532" s="4">
        <v>16676.0</v>
      </c>
      <c r="G532" s="4"/>
      <c r="H532" s="4" t="s">
        <v>858</v>
      </c>
      <c r="I532" s="4"/>
      <c r="J532" s="4" t="s">
        <v>149</v>
      </c>
      <c r="K532" s="4">
        <v>99.0</v>
      </c>
      <c r="L532" s="4"/>
      <c r="M532" s="4">
        <v>99.0</v>
      </c>
      <c r="N532" s="4" t="s">
        <v>67</v>
      </c>
      <c r="O532" s="4" t="b">
        <v>0</v>
      </c>
      <c r="P532" s="4" t="s">
        <v>74</v>
      </c>
      <c r="Q532" s="4" t="s">
        <v>69</v>
      </c>
      <c r="R532" s="4"/>
      <c r="S532" s="4"/>
      <c r="T532" s="4"/>
      <c r="U532" s="7"/>
      <c r="V532" s="4"/>
      <c r="W532" s="4"/>
      <c r="X532" s="4"/>
      <c r="Y532" s="4"/>
      <c r="Z532" s="4"/>
      <c r="AA532" s="5"/>
      <c r="AB532" s="5"/>
      <c r="AC532" s="5"/>
      <c r="AD532" s="5"/>
      <c r="AE532" s="5"/>
    </row>
    <row r="533">
      <c r="A533" s="14" t="s">
        <v>921</v>
      </c>
      <c r="B533" s="19">
        <v>44292.92513888889</v>
      </c>
      <c r="C533" s="4">
        <v>49877.0</v>
      </c>
      <c r="D533" s="4" t="s">
        <v>922</v>
      </c>
      <c r="E533" s="4">
        <v>9.19900171846E11</v>
      </c>
      <c r="F533" s="4">
        <v>16725.0</v>
      </c>
      <c r="G533" s="4"/>
      <c r="H533" s="4" t="s">
        <v>280</v>
      </c>
      <c r="I533" s="4"/>
      <c r="J533" s="4" t="s">
        <v>85</v>
      </c>
      <c r="K533" s="4">
        <v>99.0</v>
      </c>
      <c r="L533" s="4"/>
      <c r="M533" s="4">
        <v>99.0</v>
      </c>
      <c r="N533" s="4" t="s">
        <v>67</v>
      </c>
      <c r="O533" s="4" t="b">
        <v>0</v>
      </c>
      <c r="P533" s="4" t="s">
        <v>68</v>
      </c>
      <c r="Q533" s="4" t="s">
        <v>69</v>
      </c>
      <c r="R533" s="4"/>
      <c r="S533" s="4"/>
      <c r="T533" s="4"/>
      <c r="U533" s="7"/>
      <c r="V533" s="4"/>
      <c r="W533" s="4"/>
      <c r="X533" s="4"/>
      <c r="Y533" s="4"/>
      <c r="Z533" s="4"/>
      <c r="AA533" s="5"/>
      <c r="AB533" s="5"/>
      <c r="AC533" s="5"/>
      <c r="AD533" s="5"/>
      <c r="AE533" s="5"/>
    </row>
    <row r="534">
      <c r="A534" s="14" t="s">
        <v>923</v>
      </c>
      <c r="B534" s="19">
        <v>44292.9281712963</v>
      </c>
      <c r="C534" s="4">
        <v>49833.0</v>
      </c>
      <c r="D534" s="4" t="s">
        <v>924</v>
      </c>
      <c r="E534" s="4">
        <v>9.19620409283E11</v>
      </c>
      <c r="F534" s="4">
        <v>16736.0</v>
      </c>
      <c r="G534" s="4"/>
      <c r="H534" s="4" t="s">
        <v>184</v>
      </c>
      <c r="I534" s="4"/>
      <c r="J534" s="4" t="s">
        <v>85</v>
      </c>
      <c r="K534" s="4">
        <v>99.0</v>
      </c>
      <c r="L534" s="4"/>
      <c r="M534" s="4">
        <v>99.0</v>
      </c>
      <c r="N534" s="4" t="s">
        <v>67</v>
      </c>
      <c r="O534" s="4" t="b">
        <v>0</v>
      </c>
      <c r="P534" s="4" t="s">
        <v>74</v>
      </c>
      <c r="Q534" s="4" t="s">
        <v>69</v>
      </c>
      <c r="R534" s="4"/>
      <c r="S534" s="4"/>
      <c r="T534" s="4"/>
      <c r="U534" s="7"/>
      <c r="V534" s="4"/>
      <c r="W534" s="4"/>
      <c r="X534" s="4"/>
      <c r="Y534" s="4"/>
      <c r="Z534" s="4"/>
      <c r="AA534" s="5"/>
      <c r="AB534" s="5"/>
      <c r="AC534" s="5"/>
      <c r="AD534" s="5"/>
      <c r="AE534" s="5"/>
    </row>
    <row r="535">
      <c r="A535" s="14" t="s">
        <v>843</v>
      </c>
      <c r="B535" s="19">
        <v>44291.85716435185</v>
      </c>
      <c r="C535" s="4">
        <v>49833.0</v>
      </c>
      <c r="D535" s="4" t="s">
        <v>844</v>
      </c>
      <c r="E535" s="4">
        <v>9.19882693003E11</v>
      </c>
      <c r="F535" s="4" t="s">
        <v>83</v>
      </c>
      <c r="G535" s="4"/>
      <c r="H535" s="4" t="s">
        <v>184</v>
      </c>
      <c r="I535" s="4"/>
      <c r="J535" s="4" t="s">
        <v>85</v>
      </c>
      <c r="K535" s="4">
        <v>99.0</v>
      </c>
      <c r="L535" s="4"/>
      <c r="M535" s="4">
        <v>99.0</v>
      </c>
      <c r="N535" s="4" t="s">
        <v>67</v>
      </c>
      <c r="O535" s="4" t="b">
        <v>0</v>
      </c>
      <c r="P535" s="4" t="s">
        <v>97</v>
      </c>
      <c r="Q535" s="4" t="s">
        <v>69</v>
      </c>
      <c r="R535" s="4"/>
      <c r="S535" s="4"/>
      <c r="T535" s="4"/>
      <c r="U535" s="7"/>
      <c r="V535" s="4"/>
      <c r="W535" s="4"/>
      <c r="X535" s="4"/>
      <c r="Y535" s="4"/>
      <c r="Z535" s="4"/>
      <c r="AA535" s="5"/>
      <c r="AB535" s="5"/>
      <c r="AC535" s="5"/>
      <c r="AD535" s="5"/>
      <c r="AE535" s="5"/>
    </row>
    <row r="536">
      <c r="A536" s="14" t="s">
        <v>925</v>
      </c>
      <c r="B536" s="19">
        <v>44292.93785879629</v>
      </c>
      <c r="C536" s="4">
        <v>49833.0</v>
      </c>
      <c r="D536" s="4" t="s">
        <v>926</v>
      </c>
      <c r="E536" s="4">
        <v>9.18447849162E11</v>
      </c>
      <c r="F536" s="4" t="s">
        <v>83</v>
      </c>
      <c r="G536" s="4"/>
      <c r="H536" s="4" t="s">
        <v>184</v>
      </c>
      <c r="I536" s="4"/>
      <c r="J536" s="4" t="s">
        <v>85</v>
      </c>
      <c r="K536" s="4">
        <v>99.0</v>
      </c>
      <c r="L536" s="4"/>
      <c r="M536" s="4">
        <v>99.0</v>
      </c>
      <c r="N536" s="4" t="s">
        <v>67</v>
      </c>
      <c r="O536" s="4" t="b">
        <v>0</v>
      </c>
      <c r="P536" s="4" t="s">
        <v>68</v>
      </c>
      <c r="Q536" s="4" t="s">
        <v>69</v>
      </c>
      <c r="R536" s="4"/>
      <c r="S536" s="4"/>
      <c r="T536" s="4"/>
      <c r="U536" s="7"/>
      <c r="V536" s="4"/>
      <c r="W536" s="4"/>
      <c r="X536" s="4"/>
      <c r="Y536" s="4"/>
      <c r="Z536" s="4"/>
      <c r="AA536" s="5"/>
      <c r="AB536" s="5"/>
      <c r="AC536" s="5"/>
      <c r="AD536" s="5"/>
      <c r="AE536" s="5"/>
    </row>
    <row r="537">
      <c r="A537" s="14" t="s">
        <v>927</v>
      </c>
      <c r="B537" s="19">
        <v>44292.96113425926</v>
      </c>
      <c r="C537" s="4">
        <v>49833.0</v>
      </c>
      <c r="D537" s="4" t="s">
        <v>928</v>
      </c>
      <c r="E537" s="4">
        <v>9.19964221453E11</v>
      </c>
      <c r="F537" s="4" t="s">
        <v>83</v>
      </c>
      <c r="G537" s="4"/>
      <c r="H537" s="4" t="s">
        <v>184</v>
      </c>
      <c r="I537" s="4"/>
      <c r="J537" s="4" t="s">
        <v>85</v>
      </c>
      <c r="K537" s="4">
        <v>99.0</v>
      </c>
      <c r="L537" s="4"/>
      <c r="M537" s="4">
        <v>99.0</v>
      </c>
      <c r="N537" s="4" t="s">
        <v>67</v>
      </c>
      <c r="O537" s="4" t="b">
        <v>0</v>
      </c>
      <c r="P537" s="4" t="s">
        <v>68</v>
      </c>
      <c r="Q537" s="4" t="s">
        <v>69</v>
      </c>
      <c r="R537" s="4"/>
      <c r="S537" s="4"/>
      <c r="T537" s="4"/>
      <c r="U537" s="7"/>
      <c r="V537" s="4"/>
      <c r="W537" s="4"/>
      <c r="X537" s="4"/>
      <c r="Y537" s="4"/>
      <c r="Z537" s="4"/>
      <c r="AA537" s="5"/>
      <c r="AB537" s="5"/>
      <c r="AC537" s="5"/>
      <c r="AD537" s="5"/>
      <c r="AE537" s="5"/>
    </row>
    <row r="538">
      <c r="A538" s="14" t="s">
        <v>847</v>
      </c>
      <c r="B538" s="19">
        <v>44291.921122685184</v>
      </c>
      <c r="C538" s="4">
        <v>49891.0</v>
      </c>
      <c r="D538" s="4" t="s">
        <v>848</v>
      </c>
      <c r="E538" s="4">
        <v>9.1630902229E11</v>
      </c>
      <c r="F538" s="4" t="s">
        <v>83</v>
      </c>
      <c r="G538" s="4"/>
      <c r="H538" s="4" t="s">
        <v>578</v>
      </c>
      <c r="I538" s="4"/>
      <c r="J538" s="4" t="s">
        <v>85</v>
      </c>
      <c r="K538" s="4">
        <v>99.0</v>
      </c>
      <c r="L538" s="4"/>
      <c r="M538" s="4">
        <v>99.0</v>
      </c>
      <c r="N538" s="4" t="s">
        <v>67</v>
      </c>
      <c r="O538" s="4" t="b">
        <v>0</v>
      </c>
      <c r="P538" s="4" t="s">
        <v>97</v>
      </c>
      <c r="Q538" s="4" t="s">
        <v>69</v>
      </c>
      <c r="R538" s="4"/>
      <c r="S538" s="4"/>
      <c r="T538" s="4"/>
      <c r="U538" s="7"/>
      <c r="V538" s="4"/>
      <c r="W538" s="4"/>
      <c r="X538" s="4"/>
      <c r="Y538" s="4"/>
      <c r="Z538" s="4"/>
      <c r="AA538" s="5"/>
      <c r="AB538" s="5"/>
      <c r="AC538" s="5"/>
      <c r="AD538" s="5"/>
      <c r="AE538" s="5"/>
    </row>
    <row r="539">
      <c r="A539" s="14" t="s">
        <v>1383</v>
      </c>
      <c r="B539" s="19">
        <v>44291.94846064815</v>
      </c>
      <c r="C539" s="4">
        <v>49835.0</v>
      </c>
      <c r="D539" s="4" t="s">
        <v>1384</v>
      </c>
      <c r="E539" s="4">
        <v>9.18077348951E11</v>
      </c>
      <c r="F539" s="4" t="s">
        <v>83</v>
      </c>
      <c r="G539" s="4"/>
      <c r="H539" s="4" t="s">
        <v>680</v>
      </c>
      <c r="I539" s="4"/>
      <c r="J539" s="4" t="s">
        <v>85</v>
      </c>
      <c r="K539" s="4">
        <v>99.0</v>
      </c>
      <c r="L539" s="4"/>
      <c r="M539" s="4">
        <v>99.0</v>
      </c>
      <c r="N539" s="4" t="s">
        <v>67</v>
      </c>
      <c r="O539" s="4" t="b">
        <v>0</v>
      </c>
      <c r="P539" s="4" t="s">
        <v>74</v>
      </c>
      <c r="Q539" s="4" t="s">
        <v>69</v>
      </c>
      <c r="R539" s="4"/>
      <c r="S539" s="4"/>
      <c r="T539" s="4"/>
      <c r="U539" s="7"/>
      <c r="V539" s="4"/>
      <c r="W539" s="4"/>
      <c r="X539" s="4"/>
      <c r="Y539" s="4"/>
      <c r="Z539" s="4"/>
      <c r="AA539" s="5"/>
      <c r="AB539" s="5"/>
      <c r="AC539" s="5"/>
      <c r="AD539" s="5"/>
      <c r="AE539" s="5"/>
    </row>
    <row r="540">
      <c r="A540" s="14" t="s">
        <v>519</v>
      </c>
      <c r="B540" s="19">
        <v>44291.94940972222</v>
      </c>
      <c r="C540" s="4">
        <v>49864.0</v>
      </c>
      <c r="D540" s="4" t="s">
        <v>520</v>
      </c>
      <c r="E540" s="4">
        <v>9.1987155357E11</v>
      </c>
      <c r="F540" s="4" t="s">
        <v>83</v>
      </c>
      <c r="G540" s="4"/>
      <c r="H540" s="4" t="s">
        <v>181</v>
      </c>
      <c r="I540" s="4"/>
      <c r="J540" s="4" t="s">
        <v>149</v>
      </c>
      <c r="K540" s="4">
        <v>99.0</v>
      </c>
      <c r="L540" s="4"/>
      <c r="M540" s="4">
        <v>99.0</v>
      </c>
      <c r="N540" s="4" t="s">
        <v>67</v>
      </c>
      <c r="O540" s="4" t="b">
        <v>0</v>
      </c>
      <c r="P540" s="4" t="s">
        <v>97</v>
      </c>
      <c r="Q540" s="4" t="s">
        <v>69</v>
      </c>
      <c r="R540" s="4"/>
      <c r="S540" s="4"/>
      <c r="T540" s="4"/>
      <c r="U540" s="7"/>
      <c r="V540" s="4"/>
      <c r="W540" s="4"/>
      <c r="X540" s="4"/>
      <c r="Y540" s="4"/>
      <c r="Z540" s="4"/>
      <c r="AA540" s="5"/>
      <c r="AB540" s="5"/>
      <c r="AC540" s="5"/>
      <c r="AD540" s="5"/>
      <c r="AE540" s="5"/>
    </row>
    <row r="541">
      <c r="A541" s="14" t="s">
        <v>853</v>
      </c>
      <c r="B541" s="19">
        <v>44291.983819444446</v>
      </c>
      <c r="C541" s="4">
        <v>49833.0</v>
      </c>
      <c r="D541" s="4" t="s">
        <v>854</v>
      </c>
      <c r="E541" s="4">
        <v>9.19082661274E11</v>
      </c>
      <c r="F541" s="4">
        <v>16709.0</v>
      </c>
      <c r="G541" s="4"/>
      <c r="H541" s="4" t="s">
        <v>184</v>
      </c>
      <c r="I541" s="4"/>
      <c r="J541" s="4" t="s">
        <v>85</v>
      </c>
      <c r="K541" s="4">
        <v>99.0</v>
      </c>
      <c r="L541" s="4"/>
      <c r="M541" s="4">
        <v>99.0</v>
      </c>
      <c r="N541" s="4" t="s">
        <v>67</v>
      </c>
      <c r="O541" s="4" t="b">
        <v>0</v>
      </c>
      <c r="P541" s="4" t="s">
        <v>68</v>
      </c>
      <c r="Q541" s="4" t="s">
        <v>69</v>
      </c>
      <c r="R541" s="4"/>
      <c r="S541" s="4"/>
      <c r="T541" s="4"/>
      <c r="U541" s="7"/>
      <c r="V541" s="4"/>
      <c r="W541" s="4"/>
      <c r="X541" s="4"/>
      <c r="Y541" s="4"/>
      <c r="Z541" s="4"/>
      <c r="AA541" s="5"/>
      <c r="AB541" s="5"/>
      <c r="AC541" s="5"/>
      <c r="AD541" s="5"/>
      <c r="AE541" s="5"/>
    </row>
    <row r="542">
      <c r="A542" s="14" t="s">
        <v>855</v>
      </c>
      <c r="B542" s="19">
        <v>44292.09716435185</v>
      </c>
      <c r="C542" s="4">
        <v>49833.0</v>
      </c>
      <c r="D542" s="4" t="s">
        <v>856</v>
      </c>
      <c r="E542" s="4">
        <v>9.18285682442E11</v>
      </c>
      <c r="F542" s="4">
        <v>16718.0</v>
      </c>
      <c r="G542" s="4"/>
      <c r="H542" s="4" t="s">
        <v>184</v>
      </c>
      <c r="I542" s="4"/>
      <c r="J542" s="4" t="s">
        <v>85</v>
      </c>
      <c r="K542" s="4">
        <v>99.0</v>
      </c>
      <c r="L542" s="4"/>
      <c r="M542" s="4">
        <v>99.0</v>
      </c>
      <c r="N542" s="4" t="s">
        <v>67</v>
      </c>
      <c r="O542" s="4" t="b">
        <v>0</v>
      </c>
      <c r="P542" s="4" t="s">
        <v>68</v>
      </c>
      <c r="Q542" s="4" t="s">
        <v>69</v>
      </c>
      <c r="R542" s="4"/>
      <c r="S542" s="4"/>
      <c r="T542" s="4"/>
      <c r="U542" s="7"/>
      <c r="V542" s="4"/>
      <c r="W542" s="4"/>
      <c r="X542" s="4"/>
      <c r="Y542" s="4"/>
      <c r="Z542" s="4"/>
      <c r="AA542" s="5"/>
      <c r="AB542" s="5"/>
      <c r="AC542" s="5"/>
      <c r="AD542" s="5"/>
      <c r="AE542" s="5"/>
    </row>
    <row r="543">
      <c r="A543" s="14" t="s">
        <v>106</v>
      </c>
      <c r="B543" s="19">
        <v>44226.42375</v>
      </c>
      <c r="C543" s="4">
        <v>49834.0</v>
      </c>
      <c r="D543" s="4" t="s">
        <v>107</v>
      </c>
      <c r="E543" s="4">
        <v>9.19959986457E11</v>
      </c>
      <c r="F543" s="4">
        <v>6280.0</v>
      </c>
      <c r="G543" s="4"/>
      <c r="H543" s="4" t="s">
        <v>76</v>
      </c>
      <c r="I543" s="4"/>
      <c r="J543" s="4" t="s">
        <v>85</v>
      </c>
      <c r="K543" s="4">
        <v>299.0</v>
      </c>
      <c r="L543" s="4"/>
      <c r="M543" s="4">
        <v>299.0</v>
      </c>
      <c r="N543" s="4" t="s">
        <v>67</v>
      </c>
      <c r="O543" s="4" t="b">
        <v>0</v>
      </c>
      <c r="P543" s="4" t="s">
        <v>68</v>
      </c>
      <c r="Q543" s="4" t="s">
        <v>69</v>
      </c>
      <c r="R543" s="4"/>
      <c r="S543" s="4"/>
      <c r="T543" s="4"/>
      <c r="U543" s="7"/>
      <c r="V543" s="4"/>
      <c r="W543" s="4"/>
      <c r="X543" s="4"/>
      <c r="Y543" s="4"/>
      <c r="Z543" s="4"/>
      <c r="AA543" s="5"/>
      <c r="AB543" s="5"/>
      <c r="AC543" s="5"/>
      <c r="AD543" s="5"/>
      <c r="AE543" s="5"/>
    </row>
    <row r="544">
      <c r="A544" s="14" t="s">
        <v>1011</v>
      </c>
      <c r="B544" s="19">
        <v>44292.14880787037</v>
      </c>
      <c r="C544" s="4">
        <v>49834.0</v>
      </c>
      <c r="D544" s="4" t="s">
        <v>1012</v>
      </c>
      <c r="E544" s="4">
        <v>9.17507905444E11</v>
      </c>
      <c r="F544" s="4">
        <v>16724.0</v>
      </c>
      <c r="G544" s="4"/>
      <c r="H544" s="4" t="s">
        <v>960</v>
      </c>
      <c r="I544" s="4"/>
      <c r="J544" s="4" t="s">
        <v>149</v>
      </c>
      <c r="K544" s="4">
        <v>699.0</v>
      </c>
      <c r="L544" s="4"/>
      <c r="M544" s="4">
        <v>699.0</v>
      </c>
      <c r="N544" s="4" t="s">
        <v>67</v>
      </c>
      <c r="O544" s="4" t="b">
        <v>0</v>
      </c>
      <c r="P544" s="4" t="s">
        <v>97</v>
      </c>
      <c r="Q544" s="4" t="s">
        <v>69</v>
      </c>
      <c r="R544" s="4"/>
      <c r="S544" s="4"/>
      <c r="T544" s="4"/>
      <c r="U544" s="7"/>
      <c r="V544" s="4"/>
      <c r="W544" s="4"/>
      <c r="X544" s="4"/>
      <c r="Y544" s="4"/>
      <c r="Z544" s="4"/>
      <c r="AA544" s="5"/>
      <c r="AB544" s="5"/>
      <c r="AC544" s="5"/>
      <c r="AD544" s="5"/>
      <c r="AE544" s="5"/>
    </row>
    <row r="545">
      <c r="A545" s="14" t="s">
        <v>108</v>
      </c>
      <c r="B545" s="19">
        <v>44226.545335648145</v>
      </c>
      <c r="C545" s="4">
        <v>49834.0</v>
      </c>
      <c r="D545" s="4" t="s">
        <v>109</v>
      </c>
      <c r="E545" s="4">
        <v>9.19074974588E11</v>
      </c>
      <c r="F545" s="4" t="s">
        <v>83</v>
      </c>
      <c r="G545" s="4"/>
      <c r="H545" s="4" t="s">
        <v>76</v>
      </c>
      <c r="I545" s="4"/>
      <c r="J545" s="4" t="s">
        <v>85</v>
      </c>
      <c r="K545" s="4">
        <v>299.0</v>
      </c>
      <c r="L545" s="4"/>
      <c r="M545" s="4">
        <v>299.0</v>
      </c>
      <c r="N545" s="4" t="s">
        <v>67</v>
      </c>
      <c r="O545" s="4" t="b">
        <v>0</v>
      </c>
      <c r="P545" s="4" t="s">
        <v>68</v>
      </c>
      <c r="Q545" s="4" t="s">
        <v>69</v>
      </c>
      <c r="R545" s="4"/>
      <c r="S545" s="4"/>
      <c r="T545" s="4"/>
      <c r="U545" s="8"/>
      <c r="V545" s="4"/>
      <c r="W545" s="4"/>
      <c r="X545" s="4"/>
      <c r="Y545" s="4"/>
      <c r="Z545" s="4"/>
      <c r="AA545" s="5"/>
      <c r="AB545" s="5"/>
      <c r="AC545" s="5"/>
      <c r="AD545" s="5"/>
      <c r="AE545" s="5"/>
    </row>
    <row r="546">
      <c r="A546" s="14" t="s">
        <v>1013</v>
      </c>
      <c r="B546" s="19">
        <v>44292.28755787037</v>
      </c>
      <c r="C546" s="4">
        <v>49948.0</v>
      </c>
      <c r="D546" s="4" t="s">
        <v>1014</v>
      </c>
      <c r="E546" s="4">
        <v>9.19031937718E11</v>
      </c>
      <c r="F546" s="4">
        <v>16739.0</v>
      </c>
      <c r="G546" s="4"/>
      <c r="H546" s="4" t="s">
        <v>791</v>
      </c>
      <c r="I546" s="4"/>
      <c r="J546" s="4" t="s">
        <v>149</v>
      </c>
      <c r="K546" s="4">
        <v>99.0</v>
      </c>
      <c r="L546" s="4"/>
      <c r="M546" s="4">
        <v>99.0</v>
      </c>
      <c r="N546" s="4" t="s">
        <v>67</v>
      </c>
      <c r="O546" s="4" t="b">
        <v>0</v>
      </c>
      <c r="P546" s="4" t="s">
        <v>68</v>
      </c>
      <c r="Q546" s="4" t="s">
        <v>69</v>
      </c>
      <c r="R546" s="4"/>
      <c r="S546" s="4"/>
      <c r="T546" s="4"/>
      <c r="U546" s="7"/>
      <c r="V546" s="4"/>
      <c r="W546" s="4"/>
      <c r="X546" s="4"/>
      <c r="Y546" s="4"/>
      <c r="Z546" s="4"/>
      <c r="AA546" s="5"/>
      <c r="AB546" s="5"/>
      <c r="AC546" s="5"/>
      <c r="AD546" s="5"/>
      <c r="AE546" s="5"/>
    </row>
    <row r="547">
      <c r="A547" s="14" t="s">
        <v>1433</v>
      </c>
      <c r="B547" s="19">
        <v>44293.35150462963</v>
      </c>
      <c r="C547" s="4">
        <v>49835.0</v>
      </c>
      <c r="D547" s="4" t="s">
        <v>1434</v>
      </c>
      <c r="E547" s="4">
        <v>9.19894717185E11</v>
      </c>
      <c r="F547" s="4" t="s">
        <v>83</v>
      </c>
      <c r="G547" s="4"/>
      <c r="H547" s="4" t="s">
        <v>680</v>
      </c>
      <c r="I547" s="4"/>
      <c r="J547" s="4" t="s">
        <v>85</v>
      </c>
      <c r="K547" s="4">
        <v>99.0</v>
      </c>
      <c r="L547" s="4"/>
      <c r="M547" s="4">
        <v>99.0</v>
      </c>
      <c r="N547" s="4" t="s">
        <v>67</v>
      </c>
      <c r="O547" s="4" t="b">
        <v>0</v>
      </c>
      <c r="P547" s="4" t="s">
        <v>68</v>
      </c>
      <c r="Q547" s="4" t="s">
        <v>69</v>
      </c>
      <c r="R547" s="4"/>
      <c r="S547" s="4"/>
      <c r="T547" s="4"/>
      <c r="U547" s="7"/>
      <c r="V547" s="4"/>
      <c r="W547" s="4"/>
      <c r="X547" s="4"/>
      <c r="Y547" s="4"/>
      <c r="Z547" s="4"/>
      <c r="AA547" s="5"/>
      <c r="AB547" s="5"/>
      <c r="AC547" s="5"/>
      <c r="AD547" s="5"/>
      <c r="AE547" s="5"/>
    </row>
    <row r="548">
      <c r="A548" s="14" t="s">
        <v>862</v>
      </c>
      <c r="B548" s="19">
        <v>44292.31769675926</v>
      </c>
      <c r="C548" s="4">
        <v>49833.0</v>
      </c>
      <c r="D548" s="4" t="s">
        <v>863</v>
      </c>
      <c r="E548" s="4">
        <v>9.19525752886E11</v>
      </c>
      <c r="F548" s="4">
        <v>16702.0</v>
      </c>
      <c r="G548" s="4"/>
      <c r="H548" s="4" t="s">
        <v>184</v>
      </c>
      <c r="I548" s="4"/>
      <c r="J548" s="4" t="s">
        <v>85</v>
      </c>
      <c r="K548" s="4">
        <v>99.0</v>
      </c>
      <c r="L548" s="4"/>
      <c r="M548" s="4">
        <v>99.0</v>
      </c>
      <c r="N548" s="4" t="s">
        <v>67</v>
      </c>
      <c r="O548" s="4" t="b">
        <v>0</v>
      </c>
      <c r="P548" s="4" t="s">
        <v>68</v>
      </c>
      <c r="Q548" s="4" t="s">
        <v>69</v>
      </c>
      <c r="R548" s="4"/>
      <c r="S548" s="4"/>
      <c r="T548" s="4"/>
      <c r="U548" s="7"/>
      <c r="V548" s="4"/>
      <c r="W548" s="4"/>
      <c r="X548" s="4"/>
      <c r="Y548" s="4"/>
      <c r="Z548" s="4"/>
      <c r="AA548" s="5"/>
      <c r="AB548" s="5"/>
      <c r="AC548" s="5"/>
      <c r="AD548" s="5"/>
      <c r="AE548" s="5"/>
    </row>
    <row r="549">
      <c r="A549" s="14" t="s">
        <v>931</v>
      </c>
      <c r="B549" s="19">
        <v>44293.385613425926</v>
      </c>
      <c r="C549" s="4">
        <v>49833.0</v>
      </c>
      <c r="D549" s="4" t="s">
        <v>932</v>
      </c>
      <c r="E549" s="4">
        <v>9.17249339493E11</v>
      </c>
      <c r="F549" s="4">
        <v>16812.0</v>
      </c>
      <c r="G549" s="4"/>
      <c r="H549" s="4" t="s">
        <v>184</v>
      </c>
      <c r="I549" s="4"/>
      <c r="J549" s="4" t="s">
        <v>85</v>
      </c>
      <c r="K549" s="4">
        <v>99.0</v>
      </c>
      <c r="L549" s="4"/>
      <c r="M549" s="4">
        <v>99.0</v>
      </c>
      <c r="N549" s="4" t="s">
        <v>67</v>
      </c>
      <c r="O549" s="4" t="b">
        <v>0</v>
      </c>
      <c r="P549" s="4" t="s">
        <v>74</v>
      </c>
      <c r="Q549" s="4" t="s">
        <v>69</v>
      </c>
      <c r="R549" s="4"/>
      <c r="S549" s="4"/>
      <c r="T549" s="4"/>
      <c r="U549" s="7"/>
      <c r="V549" s="4"/>
      <c r="W549" s="4"/>
      <c r="X549" s="4"/>
      <c r="Y549" s="4"/>
      <c r="Z549" s="4"/>
      <c r="AA549" s="5"/>
      <c r="AB549" s="5"/>
      <c r="AC549" s="5"/>
      <c r="AD549" s="5"/>
      <c r="AE549" s="5"/>
    </row>
    <row r="550">
      <c r="A550" s="14" t="s">
        <v>864</v>
      </c>
      <c r="B550" s="19">
        <v>44292.37</v>
      </c>
      <c r="C550" s="4">
        <v>49833.0</v>
      </c>
      <c r="D550" s="4" t="s">
        <v>865</v>
      </c>
      <c r="E550" s="4">
        <v>9.17385833937E11</v>
      </c>
      <c r="F550" s="4">
        <v>16822.0</v>
      </c>
      <c r="G550" s="4"/>
      <c r="H550" s="4" t="s">
        <v>184</v>
      </c>
      <c r="I550" s="4"/>
      <c r="J550" s="4" t="s">
        <v>85</v>
      </c>
      <c r="K550" s="4">
        <v>99.0</v>
      </c>
      <c r="L550" s="4"/>
      <c r="M550" s="4">
        <v>99.0</v>
      </c>
      <c r="N550" s="4" t="s">
        <v>67</v>
      </c>
      <c r="O550" s="4" t="b">
        <v>0</v>
      </c>
      <c r="P550" s="4" t="s">
        <v>68</v>
      </c>
      <c r="Q550" s="4" t="s">
        <v>69</v>
      </c>
      <c r="R550" s="4"/>
      <c r="S550" s="4"/>
      <c r="T550" s="4"/>
      <c r="U550" s="7"/>
      <c r="V550" s="4"/>
      <c r="W550" s="4"/>
      <c r="X550" s="4"/>
      <c r="Y550" s="4"/>
      <c r="Z550" s="4"/>
      <c r="AA550" s="5"/>
      <c r="AB550" s="5"/>
      <c r="AC550" s="5"/>
      <c r="AD550" s="5"/>
      <c r="AE550" s="5"/>
    </row>
    <row r="551">
      <c r="A551" s="14" t="s">
        <v>868</v>
      </c>
      <c r="B551" s="19">
        <v>44292.39653935185</v>
      </c>
      <c r="C551" s="4">
        <v>49833.0</v>
      </c>
      <c r="D551" s="4" t="s">
        <v>869</v>
      </c>
      <c r="E551" s="4">
        <v>9.19482342955E11</v>
      </c>
      <c r="F551" s="4">
        <v>16717.0</v>
      </c>
      <c r="G551" s="4"/>
      <c r="H551" s="4" t="s">
        <v>184</v>
      </c>
      <c r="I551" s="4"/>
      <c r="J551" s="4" t="s">
        <v>85</v>
      </c>
      <c r="K551" s="4">
        <v>99.0</v>
      </c>
      <c r="L551" s="4"/>
      <c r="M551" s="4">
        <v>99.0</v>
      </c>
      <c r="N551" s="4" t="s">
        <v>67</v>
      </c>
      <c r="O551" s="4" t="b">
        <v>0</v>
      </c>
      <c r="P551" s="4" t="s">
        <v>68</v>
      </c>
      <c r="Q551" s="4" t="s">
        <v>69</v>
      </c>
      <c r="R551" s="4"/>
      <c r="S551" s="4"/>
      <c r="T551" s="4"/>
      <c r="U551" s="7"/>
      <c r="V551" s="4"/>
      <c r="W551" s="4"/>
      <c r="X551" s="4"/>
      <c r="Y551" s="4"/>
      <c r="Z551" s="4"/>
      <c r="AA551" s="5"/>
      <c r="AB551" s="5"/>
      <c r="AC551" s="5"/>
      <c r="AD551" s="5"/>
      <c r="AE551" s="5"/>
    </row>
    <row r="552">
      <c r="A552" s="14" t="s">
        <v>870</v>
      </c>
      <c r="B552" s="19">
        <v>44292.40273148148</v>
      </c>
      <c r="C552" s="4">
        <v>49833.0</v>
      </c>
      <c r="D552" s="4" t="s">
        <v>871</v>
      </c>
      <c r="E552" s="4">
        <v>9.19028042471E11</v>
      </c>
      <c r="F552" s="4">
        <v>16703.0</v>
      </c>
      <c r="G552" s="4"/>
      <c r="H552" s="4" t="s">
        <v>184</v>
      </c>
      <c r="I552" s="4"/>
      <c r="J552" s="4" t="s">
        <v>85</v>
      </c>
      <c r="K552" s="4">
        <v>99.0</v>
      </c>
      <c r="L552" s="4"/>
      <c r="M552" s="4">
        <v>99.0</v>
      </c>
      <c r="N552" s="4" t="s">
        <v>67</v>
      </c>
      <c r="O552" s="4" t="b">
        <v>0</v>
      </c>
      <c r="P552" s="4" t="s">
        <v>68</v>
      </c>
      <c r="Q552" s="4" t="s">
        <v>69</v>
      </c>
      <c r="R552" s="4"/>
      <c r="S552" s="4"/>
      <c r="T552" s="4"/>
      <c r="U552" s="7"/>
      <c r="V552" s="4"/>
      <c r="W552" s="4"/>
      <c r="X552" s="4"/>
      <c r="Y552" s="4"/>
      <c r="Z552" s="4"/>
      <c r="AA552" s="5"/>
      <c r="AB552" s="5"/>
      <c r="AC552" s="5"/>
      <c r="AD552" s="5"/>
      <c r="AE552" s="5"/>
    </row>
    <row r="553">
      <c r="A553" s="14" t="s">
        <v>866</v>
      </c>
      <c r="B553" s="19">
        <v>44292.38649305556</v>
      </c>
      <c r="C553" s="4">
        <v>49833.0</v>
      </c>
      <c r="D553" s="4" t="s">
        <v>867</v>
      </c>
      <c r="E553" s="4">
        <v>9.19770177656E11</v>
      </c>
      <c r="F553" s="4" t="s">
        <v>83</v>
      </c>
      <c r="G553" s="4"/>
      <c r="H553" s="4" t="s">
        <v>184</v>
      </c>
      <c r="I553" s="4"/>
      <c r="J553" s="4" t="s">
        <v>85</v>
      </c>
      <c r="K553" s="4">
        <v>99.0</v>
      </c>
      <c r="L553" s="4"/>
      <c r="M553" s="4">
        <v>99.0</v>
      </c>
      <c r="N553" s="4" t="s">
        <v>67</v>
      </c>
      <c r="O553" s="4" t="b">
        <v>0</v>
      </c>
      <c r="P553" s="4" t="s">
        <v>68</v>
      </c>
      <c r="Q553" s="4" t="s">
        <v>69</v>
      </c>
      <c r="R553" s="4"/>
      <c r="S553" s="4"/>
      <c r="T553" s="4"/>
      <c r="U553" s="7"/>
      <c r="V553" s="4"/>
      <c r="W553" s="4"/>
      <c r="X553" s="4"/>
      <c r="Y553" s="4"/>
      <c r="Z553" s="4"/>
      <c r="AA553" s="5"/>
      <c r="AB553" s="5"/>
      <c r="AC553" s="5"/>
      <c r="AD553" s="5"/>
      <c r="AE553" s="5"/>
    </row>
    <row r="554">
      <c r="A554" s="14" t="s">
        <v>872</v>
      </c>
      <c r="B554" s="19">
        <v>44292.412199074075</v>
      </c>
      <c r="C554" s="4">
        <v>49833.0</v>
      </c>
      <c r="D554" s="4" t="s">
        <v>873</v>
      </c>
      <c r="E554" s="4">
        <v>9.18861992808E11</v>
      </c>
      <c r="F554" s="4">
        <v>16707.0</v>
      </c>
      <c r="G554" s="4"/>
      <c r="H554" s="4" t="s">
        <v>184</v>
      </c>
      <c r="I554" s="4"/>
      <c r="J554" s="4" t="s">
        <v>85</v>
      </c>
      <c r="K554" s="4">
        <v>99.0</v>
      </c>
      <c r="L554" s="4"/>
      <c r="M554" s="4">
        <v>99.0</v>
      </c>
      <c r="N554" s="4" t="s">
        <v>67</v>
      </c>
      <c r="O554" s="4" t="b">
        <v>0</v>
      </c>
      <c r="P554" s="4" t="s">
        <v>68</v>
      </c>
      <c r="Q554" s="4" t="s">
        <v>69</v>
      </c>
      <c r="R554" s="4"/>
      <c r="S554" s="4"/>
      <c r="T554" s="4"/>
      <c r="U554" s="7"/>
      <c r="V554" s="4"/>
      <c r="W554" s="4"/>
      <c r="X554" s="4"/>
      <c r="Y554" s="4"/>
      <c r="Z554" s="4"/>
      <c r="AA554" s="5"/>
      <c r="AB554" s="5"/>
      <c r="AC554" s="5"/>
      <c r="AD554" s="5"/>
      <c r="AE554" s="5"/>
    </row>
    <row r="555">
      <c r="A555" s="14" t="s">
        <v>110</v>
      </c>
      <c r="B555" s="19">
        <v>44226.710439814815</v>
      </c>
      <c r="C555" s="4">
        <v>49834.0</v>
      </c>
      <c r="D555" s="4" t="s">
        <v>111</v>
      </c>
      <c r="E555" s="4">
        <v>9.17070989596E11</v>
      </c>
      <c r="F555" s="4">
        <v>9318.0</v>
      </c>
      <c r="G555" s="4"/>
      <c r="H555" s="4" t="s">
        <v>76</v>
      </c>
      <c r="I555" s="4"/>
      <c r="J555" s="4" t="s">
        <v>85</v>
      </c>
      <c r="K555" s="4">
        <v>299.0</v>
      </c>
      <c r="L555" s="4"/>
      <c r="M555" s="4">
        <v>299.0</v>
      </c>
      <c r="N555" s="4" t="s">
        <v>67</v>
      </c>
      <c r="O555" s="4" t="b">
        <v>0</v>
      </c>
      <c r="P555" s="4" t="s">
        <v>74</v>
      </c>
      <c r="Q555" s="4" t="s">
        <v>69</v>
      </c>
      <c r="R555" s="4"/>
      <c r="S555" s="4"/>
      <c r="T555" s="4"/>
      <c r="U555" s="7"/>
      <c r="V555" s="4"/>
      <c r="W555" s="4"/>
      <c r="X555" s="4"/>
      <c r="Y555" s="4"/>
      <c r="Z555" s="4"/>
      <c r="AA555" s="5"/>
      <c r="AB555" s="5"/>
      <c r="AC555" s="5"/>
      <c r="AD555" s="5"/>
      <c r="AE555" s="5"/>
    </row>
    <row r="556">
      <c r="A556" s="14" t="s">
        <v>874</v>
      </c>
      <c r="B556" s="19">
        <v>44292.417395833334</v>
      </c>
      <c r="C556" s="4">
        <v>49833.0</v>
      </c>
      <c r="D556" s="4" t="s">
        <v>875</v>
      </c>
      <c r="E556" s="4">
        <v>9.19860821318E11</v>
      </c>
      <c r="F556" s="4">
        <v>16706.0</v>
      </c>
      <c r="G556" s="4"/>
      <c r="H556" s="4" t="s">
        <v>184</v>
      </c>
      <c r="I556" s="4"/>
      <c r="J556" s="4" t="s">
        <v>85</v>
      </c>
      <c r="K556" s="4">
        <v>99.0</v>
      </c>
      <c r="L556" s="4"/>
      <c r="M556" s="4">
        <v>99.0</v>
      </c>
      <c r="N556" s="4" t="s">
        <v>67</v>
      </c>
      <c r="O556" s="4" t="b">
        <v>0</v>
      </c>
      <c r="P556" s="4" t="s">
        <v>97</v>
      </c>
      <c r="Q556" s="4" t="s">
        <v>69</v>
      </c>
      <c r="R556" s="4"/>
      <c r="S556" s="4"/>
      <c r="T556" s="4"/>
      <c r="U556" s="7"/>
      <c r="V556" s="4"/>
      <c r="W556" s="4"/>
      <c r="X556" s="4"/>
      <c r="Y556" s="4"/>
      <c r="Z556" s="4"/>
      <c r="AA556" s="5"/>
      <c r="AB556" s="5"/>
      <c r="AC556" s="5"/>
      <c r="AD556" s="5"/>
      <c r="AE556" s="5"/>
    </row>
    <row r="557">
      <c r="A557" s="14" t="s">
        <v>933</v>
      </c>
      <c r="B557" s="19">
        <v>44293.512407407405</v>
      </c>
      <c r="C557" s="4">
        <v>49844.0</v>
      </c>
      <c r="D557" s="4" t="s">
        <v>934</v>
      </c>
      <c r="E557" s="4">
        <v>9.19589501792E11</v>
      </c>
      <c r="F557" s="4">
        <v>16731.0</v>
      </c>
      <c r="G557" s="4"/>
      <c r="H557" s="4" t="s">
        <v>885</v>
      </c>
      <c r="I557" s="4"/>
      <c r="J557" s="4" t="s">
        <v>85</v>
      </c>
      <c r="K557" s="4">
        <v>299.0</v>
      </c>
      <c r="L557" s="4"/>
      <c r="M557" s="4">
        <v>299.0</v>
      </c>
      <c r="N557" s="4" t="s">
        <v>67</v>
      </c>
      <c r="O557" s="4" t="b">
        <v>0</v>
      </c>
      <c r="P557" s="4" t="s">
        <v>68</v>
      </c>
      <c r="Q557" s="4" t="s">
        <v>69</v>
      </c>
      <c r="R557" s="4"/>
      <c r="S557" s="4"/>
      <c r="T557" s="4"/>
      <c r="U557" s="8"/>
      <c r="V557" s="4"/>
      <c r="W557" s="4"/>
      <c r="X557" s="4"/>
      <c r="Y557" s="4"/>
      <c r="Z557" s="4"/>
      <c r="AA557" s="5"/>
      <c r="AB557" s="5"/>
      <c r="AC557" s="5"/>
      <c r="AD557" s="5"/>
      <c r="AE557" s="5"/>
    </row>
    <row r="558">
      <c r="A558" s="14" t="s">
        <v>876</v>
      </c>
      <c r="B558" s="19">
        <v>44292.453368055554</v>
      </c>
      <c r="C558" s="4">
        <v>49833.0</v>
      </c>
      <c r="D558" s="4" t="s">
        <v>877</v>
      </c>
      <c r="E558" s="4">
        <v>9.1968250902E11</v>
      </c>
      <c r="F558" s="4">
        <v>16685.0</v>
      </c>
      <c r="G558" s="4"/>
      <c r="H558" s="4" t="s">
        <v>184</v>
      </c>
      <c r="I558" s="4"/>
      <c r="J558" s="4" t="s">
        <v>85</v>
      </c>
      <c r="K558" s="4">
        <v>99.0</v>
      </c>
      <c r="L558" s="4"/>
      <c r="M558" s="4">
        <v>99.0</v>
      </c>
      <c r="N558" s="4" t="s">
        <v>67</v>
      </c>
      <c r="O558" s="4" t="b">
        <v>0</v>
      </c>
      <c r="P558" s="4" t="s">
        <v>68</v>
      </c>
      <c r="Q558" s="4" t="s">
        <v>69</v>
      </c>
      <c r="R558" s="4"/>
      <c r="S558" s="4"/>
      <c r="T558" s="4"/>
      <c r="U558" s="7"/>
      <c r="V558" s="4"/>
      <c r="W558" s="4"/>
      <c r="X558" s="4"/>
      <c r="Y558" s="4"/>
      <c r="Z558" s="4"/>
      <c r="AA558" s="5"/>
      <c r="AB558" s="5"/>
      <c r="AC558" s="5"/>
      <c r="AD558" s="5"/>
      <c r="AE558" s="5"/>
    </row>
    <row r="559">
      <c r="A559" s="14" t="s">
        <v>878</v>
      </c>
      <c r="B559" s="19">
        <v>44292.49234953704</v>
      </c>
      <c r="C559" s="4">
        <v>49833.0</v>
      </c>
      <c r="D559" s="4" t="s">
        <v>879</v>
      </c>
      <c r="E559" s="4">
        <v>9.18125771795E11</v>
      </c>
      <c r="F559" s="4">
        <v>16705.0</v>
      </c>
      <c r="G559" s="4"/>
      <c r="H559" s="4" t="s">
        <v>184</v>
      </c>
      <c r="I559" s="4"/>
      <c r="J559" s="4" t="s">
        <v>85</v>
      </c>
      <c r="K559" s="4">
        <v>99.0</v>
      </c>
      <c r="L559" s="4"/>
      <c r="M559" s="4">
        <v>99.0</v>
      </c>
      <c r="N559" s="4" t="s">
        <v>67</v>
      </c>
      <c r="O559" s="4" t="b">
        <v>0</v>
      </c>
      <c r="P559" s="4" t="s">
        <v>68</v>
      </c>
      <c r="Q559" s="4" t="s">
        <v>69</v>
      </c>
      <c r="R559" s="4"/>
      <c r="S559" s="4"/>
      <c r="T559" s="4"/>
      <c r="U559" s="7"/>
      <c r="V559" s="4"/>
      <c r="W559" s="4"/>
      <c r="X559" s="4"/>
      <c r="Y559" s="4"/>
      <c r="Z559" s="4"/>
      <c r="AA559" s="5"/>
      <c r="AB559" s="5"/>
      <c r="AC559" s="5"/>
      <c r="AD559" s="5"/>
      <c r="AE559" s="5"/>
    </row>
    <row r="560">
      <c r="A560" s="14" t="s">
        <v>1409</v>
      </c>
      <c r="B560" s="19">
        <v>44292.50130787037</v>
      </c>
      <c r="C560" s="4">
        <v>49835.0</v>
      </c>
      <c r="D560" s="4" t="s">
        <v>1410</v>
      </c>
      <c r="E560" s="4">
        <v>9.19032408728E11</v>
      </c>
      <c r="F560" s="4" t="s">
        <v>83</v>
      </c>
      <c r="G560" s="4"/>
      <c r="H560" s="4" t="s">
        <v>680</v>
      </c>
      <c r="I560" s="4"/>
      <c r="J560" s="4" t="s">
        <v>85</v>
      </c>
      <c r="K560" s="4">
        <v>99.0</v>
      </c>
      <c r="L560" s="4"/>
      <c r="M560" s="4">
        <v>99.0</v>
      </c>
      <c r="N560" s="4" t="s">
        <v>67</v>
      </c>
      <c r="O560" s="4" t="b">
        <v>0</v>
      </c>
      <c r="P560" s="4" t="s">
        <v>68</v>
      </c>
      <c r="Q560" s="4" t="s">
        <v>69</v>
      </c>
      <c r="R560" s="4"/>
      <c r="S560" s="4"/>
      <c r="T560" s="4"/>
      <c r="U560" s="7"/>
      <c r="V560" s="4"/>
      <c r="W560" s="4"/>
      <c r="X560" s="4"/>
      <c r="Y560" s="4"/>
      <c r="Z560" s="4"/>
      <c r="AA560" s="5"/>
      <c r="AB560" s="5"/>
      <c r="AC560" s="5"/>
      <c r="AD560" s="5"/>
      <c r="AE560" s="5"/>
    </row>
    <row r="561">
      <c r="A561" s="14" t="s">
        <v>112</v>
      </c>
      <c r="B561" s="19">
        <v>44227.877337962964</v>
      </c>
      <c r="C561" s="4">
        <v>49831.0</v>
      </c>
      <c r="D561" s="4" t="s">
        <v>113</v>
      </c>
      <c r="E561" s="4">
        <v>9.18619552616E11</v>
      </c>
      <c r="F561" s="4">
        <v>9249.0</v>
      </c>
      <c r="G561" s="4"/>
      <c r="H561" s="4" t="s">
        <v>64</v>
      </c>
      <c r="I561" s="4"/>
      <c r="J561" s="4" t="s">
        <v>65</v>
      </c>
      <c r="K561" s="4">
        <v>299.0</v>
      </c>
      <c r="L561" s="4"/>
      <c r="M561" s="4">
        <v>299.0</v>
      </c>
      <c r="N561" s="4" t="s">
        <v>67</v>
      </c>
      <c r="O561" s="4" t="b">
        <v>0</v>
      </c>
      <c r="P561" s="4" t="s">
        <v>68</v>
      </c>
      <c r="Q561" s="4" t="s">
        <v>69</v>
      </c>
      <c r="R561" s="4"/>
      <c r="S561" s="4"/>
      <c r="T561" s="4"/>
      <c r="U561" s="7"/>
      <c r="V561" s="4"/>
      <c r="W561" s="4"/>
      <c r="X561" s="4"/>
      <c r="Y561" s="4"/>
      <c r="Z561" s="4"/>
      <c r="AA561" s="5"/>
      <c r="AB561" s="5"/>
      <c r="AC561" s="5"/>
      <c r="AD561" s="5"/>
      <c r="AE561" s="5"/>
    </row>
    <row r="562">
      <c r="A562" s="14" t="s">
        <v>2204</v>
      </c>
      <c r="B562" s="19">
        <v>44292.508252314816</v>
      </c>
      <c r="C562" s="4">
        <v>49854.0</v>
      </c>
      <c r="D562" s="4" t="s">
        <v>2205</v>
      </c>
      <c r="E562" s="4">
        <v>9.18121908757E11</v>
      </c>
      <c r="F562" s="4">
        <v>17912.0</v>
      </c>
      <c r="G562" s="4"/>
      <c r="H562" s="4" t="s">
        <v>2161</v>
      </c>
      <c r="I562" s="4"/>
      <c r="J562" s="4" t="s">
        <v>85</v>
      </c>
      <c r="K562" s="4">
        <v>999.0</v>
      </c>
      <c r="L562" s="4"/>
      <c r="M562" s="4">
        <v>999.0</v>
      </c>
      <c r="N562" s="4" t="s">
        <v>67</v>
      </c>
      <c r="O562" s="4" t="b">
        <v>0</v>
      </c>
      <c r="P562" s="4" t="s">
        <v>68</v>
      </c>
      <c r="Q562" s="4" t="s">
        <v>69</v>
      </c>
      <c r="R562" s="4"/>
      <c r="S562" s="4"/>
      <c r="T562" s="4"/>
      <c r="U562" s="7"/>
      <c r="V562" s="4"/>
      <c r="W562" s="4"/>
      <c r="X562" s="4"/>
      <c r="Y562" s="4"/>
      <c r="Z562" s="4"/>
      <c r="AA562" s="5"/>
      <c r="AB562" s="5"/>
      <c r="AC562" s="5"/>
      <c r="AD562" s="5"/>
      <c r="AE562" s="5"/>
    </row>
    <row r="563">
      <c r="A563" s="14" t="s">
        <v>935</v>
      </c>
      <c r="B563" s="19">
        <v>44293.5990625</v>
      </c>
      <c r="C563" s="4">
        <v>49877.0</v>
      </c>
      <c r="D563" s="4" t="s">
        <v>936</v>
      </c>
      <c r="E563" s="4">
        <v>9.19167616685E11</v>
      </c>
      <c r="F563" s="4">
        <v>16722.0</v>
      </c>
      <c r="G563" s="4"/>
      <c r="H563" s="4" t="s">
        <v>280</v>
      </c>
      <c r="I563" s="4"/>
      <c r="J563" s="4" t="s">
        <v>85</v>
      </c>
      <c r="K563" s="4">
        <v>99.0</v>
      </c>
      <c r="L563" s="4"/>
      <c r="M563" s="4">
        <v>99.0</v>
      </c>
      <c r="N563" s="4" t="s">
        <v>67</v>
      </c>
      <c r="O563" s="4" t="b">
        <v>0</v>
      </c>
      <c r="P563" s="4" t="s">
        <v>97</v>
      </c>
      <c r="Q563" s="4" t="s">
        <v>69</v>
      </c>
      <c r="R563" s="4"/>
      <c r="S563" s="4"/>
      <c r="T563" s="4"/>
      <c r="U563" s="7"/>
      <c r="V563" s="4"/>
      <c r="W563" s="4"/>
      <c r="X563" s="4"/>
      <c r="Y563" s="4"/>
      <c r="Z563" s="4"/>
      <c r="AA563" s="5"/>
      <c r="AB563" s="5"/>
      <c r="AC563" s="5"/>
      <c r="AD563" s="5"/>
      <c r="AE563" s="5"/>
    </row>
    <row r="564">
      <c r="A564" s="14" t="s">
        <v>884</v>
      </c>
      <c r="B564" s="19">
        <v>44292.56394675926</v>
      </c>
      <c r="C564" s="4">
        <v>49844.0</v>
      </c>
      <c r="D564" s="4" t="s">
        <v>886</v>
      </c>
      <c r="E564" s="4">
        <v>9.19633950074E11</v>
      </c>
      <c r="F564" s="4">
        <v>16835.0</v>
      </c>
      <c r="G564" s="4"/>
      <c r="H564" s="4" t="s">
        <v>885</v>
      </c>
      <c r="I564" s="4"/>
      <c r="J564" s="4" t="s">
        <v>85</v>
      </c>
      <c r="K564" s="4">
        <v>299.0</v>
      </c>
      <c r="L564" s="4"/>
      <c r="M564" s="4">
        <v>299.0</v>
      </c>
      <c r="N564" s="4" t="s">
        <v>67</v>
      </c>
      <c r="O564" s="4" t="b">
        <v>0</v>
      </c>
      <c r="P564" s="4" t="s">
        <v>68</v>
      </c>
      <c r="Q564" s="4" t="s">
        <v>69</v>
      </c>
      <c r="R564" s="4"/>
      <c r="S564" s="4"/>
      <c r="T564" s="4"/>
      <c r="U564" s="7"/>
      <c r="V564" s="4"/>
      <c r="W564" s="4"/>
      <c r="X564" s="4"/>
      <c r="Y564" s="4"/>
      <c r="Z564" s="4"/>
      <c r="AA564" s="5"/>
      <c r="AB564" s="5"/>
      <c r="AC564" s="5"/>
      <c r="AD564" s="5"/>
      <c r="AE564" s="5"/>
    </row>
    <row r="565">
      <c r="A565" s="14" t="s">
        <v>533</v>
      </c>
      <c r="B565" s="19">
        <v>44293.62349537037</v>
      </c>
      <c r="C565" s="4">
        <v>49864.0</v>
      </c>
      <c r="D565" s="4" t="s">
        <v>534</v>
      </c>
      <c r="E565" s="4">
        <v>9.1996158784E11</v>
      </c>
      <c r="F565" s="4" t="s">
        <v>83</v>
      </c>
      <c r="G565" s="4"/>
      <c r="H565" s="4" t="s">
        <v>181</v>
      </c>
      <c r="I565" s="4"/>
      <c r="J565" s="4" t="s">
        <v>149</v>
      </c>
      <c r="K565" s="4">
        <v>99.0</v>
      </c>
      <c r="L565" s="4"/>
      <c r="M565" s="4">
        <v>99.0</v>
      </c>
      <c r="N565" s="4" t="s">
        <v>67</v>
      </c>
      <c r="O565" s="4" t="b">
        <v>0</v>
      </c>
      <c r="P565" s="4" t="s">
        <v>74</v>
      </c>
      <c r="Q565" s="4" t="s">
        <v>69</v>
      </c>
      <c r="R565" s="4"/>
      <c r="S565" s="4"/>
      <c r="T565" s="4"/>
      <c r="U565" s="7"/>
      <c r="V565" s="4"/>
      <c r="W565" s="4"/>
      <c r="X565" s="4"/>
      <c r="Y565" s="4"/>
      <c r="Z565" s="4"/>
      <c r="AA565" s="5"/>
      <c r="AB565" s="5"/>
      <c r="AC565" s="5"/>
      <c r="AD565" s="5"/>
      <c r="AE565" s="5"/>
    </row>
    <row r="566">
      <c r="A566" s="14" t="s">
        <v>525</v>
      </c>
      <c r="B566" s="19">
        <v>44292.57518518518</v>
      </c>
      <c r="C566" s="4">
        <v>49864.0</v>
      </c>
      <c r="D566" s="4" t="s">
        <v>526</v>
      </c>
      <c r="E566" s="4">
        <v>9.17406266555E11</v>
      </c>
      <c r="F566" s="4">
        <v>17024.0</v>
      </c>
      <c r="G566" s="4"/>
      <c r="H566" s="4" t="s">
        <v>181</v>
      </c>
      <c r="I566" s="4"/>
      <c r="J566" s="4" t="s">
        <v>149</v>
      </c>
      <c r="K566" s="4">
        <v>99.0</v>
      </c>
      <c r="L566" s="4"/>
      <c r="M566" s="4">
        <v>99.0</v>
      </c>
      <c r="N566" s="4" t="s">
        <v>67</v>
      </c>
      <c r="O566" s="4" t="b">
        <v>0</v>
      </c>
      <c r="P566" s="4" t="s">
        <v>68</v>
      </c>
      <c r="Q566" s="4" t="s">
        <v>69</v>
      </c>
      <c r="R566" s="4"/>
      <c r="S566" s="4"/>
      <c r="T566" s="4"/>
      <c r="U566" s="7"/>
      <c r="V566" s="4"/>
      <c r="W566" s="4"/>
      <c r="X566" s="4"/>
      <c r="Y566" s="4"/>
      <c r="Z566" s="4"/>
      <c r="AA566" s="5"/>
      <c r="AB566" s="5"/>
      <c r="AC566" s="5"/>
      <c r="AD566" s="5"/>
      <c r="AE566" s="5"/>
    </row>
    <row r="567">
      <c r="A567" s="14" t="s">
        <v>939</v>
      </c>
      <c r="B567" s="19">
        <v>44293.64</v>
      </c>
      <c r="C567" s="4">
        <v>49877.0</v>
      </c>
      <c r="D567" s="4" t="s">
        <v>940</v>
      </c>
      <c r="E567" s="4">
        <v>9.19344545554E11</v>
      </c>
      <c r="F567" s="4">
        <v>16723.0</v>
      </c>
      <c r="G567" s="4"/>
      <c r="H567" s="4" t="s">
        <v>280</v>
      </c>
      <c r="I567" s="4"/>
      <c r="J567" s="4" t="s">
        <v>85</v>
      </c>
      <c r="K567" s="4">
        <v>99.0</v>
      </c>
      <c r="L567" s="4"/>
      <c r="M567" s="4">
        <v>99.0</v>
      </c>
      <c r="N567" s="4" t="s">
        <v>67</v>
      </c>
      <c r="O567" s="4" t="b">
        <v>0</v>
      </c>
      <c r="P567" s="4" t="s">
        <v>68</v>
      </c>
      <c r="Q567" s="4" t="s">
        <v>69</v>
      </c>
      <c r="R567" s="4"/>
      <c r="S567" s="4"/>
      <c r="T567" s="4"/>
      <c r="U567" s="7"/>
      <c r="V567" s="4"/>
      <c r="W567" s="4"/>
      <c r="X567" s="4"/>
      <c r="Y567" s="4"/>
      <c r="Z567" s="4"/>
      <c r="AA567" s="5"/>
      <c r="AB567" s="5"/>
      <c r="AC567" s="5"/>
      <c r="AD567" s="5"/>
      <c r="AE567" s="5"/>
    </row>
    <row r="568">
      <c r="A568" s="14" t="s">
        <v>551</v>
      </c>
      <c r="B568" s="19">
        <v>44293.6459375</v>
      </c>
      <c r="C568" s="4">
        <v>49864.0</v>
      </c>
      <c r="D568" s="4" t="s">
        <v>552</v>
      </c>
      <c r="E568" s="4">
        <v>9.19340708669E11</v>
      </c>
      <c r="F568" s="4">
        <v>16970.0</v>
      </c>
      <c r="G568" s="4"/>
      <c r="H568" s="4" t="s">
        <v>181</v>
      </c>
      <c r="I568" s="4"/>
      <c r="J568" s="4" t="s">
        <v>149</v>
      </c>
      <c r="K568" s="4">
        <v>99.0</v>
      </c>
      <c r="L568" s="4"/>
      <c r="M568" s="4">
        <v>99.0</v>
      </c>
      <c r="N568" s="4" t="s">
        <v>67</v>
      </c>
      <c r="O568" s="4" t="b">
        <v>0</v>
      </c>
      <c r="P568" s="4" t="s">
        <v>68</v>
      </c>
      <c r="Q568" s="4" t="s">
        <v>69</v>
      </c>
      <c r="R568" s="4"/>
      <c r="S568" s="4"/>
      <c r="T568" s="4"/>
      <c r="U568" s="7"/>
      <c r="V568" s="4"/>
      <c r="W568" s="4"/>
      <c r="X568" s="4"/>
      <c r="Y568" s="4"/>
      <c r="Z568" s="4"/>
      <c r="AA568" s="5"/>
      <c r="AB568" s="5"/>
      <c r="AC568" s="5"/>
      <c r="AD568" s="5"/>
      <c r="AE568" s="5"/>
    </row>
    <row r="569">
      <c r="A569" s="14" t="s">
        <v>943</v>
      </c>
      <c r="B569" s="19">
        <v>44293.65016203704</v>
      </c>
      <c r="C569" s="4">
        <v>49877.0</v>
      </c>
      <c r="D569" s="4" t="s">
        <v>944</v>
      </c>
      <c r="E569" s="4">
        <v>9.18619054187E11</v>
      </c>
      <c r="F569" s="4" t="s">
        <v>83</v>
      </c>
      <c r="G569" s="4"/>
      <c r="H569" s="4" t="s">
        <v>280</v>
      </c>
      <c r="I569" s="4"/>
      <c r="J569" s="4" t="s">
        <v>85</v>
      </c>
      <c r="K569" s="4">
        <v>99.0</v>
      </c>
      <c r="L569" s="4"/>
      <c r="M569" s="4">
        <v>99.0</v>
      </c>
      <c r="N569" s="4" t="s">
        <v>67</v>
      </c>
      <c r="O569" s="4" t="b">
        <v>0</v>
      </c>
      <c r="P569" s="4" t="s">
        <v>68</v>
      </c>
      <c r="Q569" s="4" t="s">
        <v>69</v>
      </c>
      <c r="R569" s="4"/>
      <c r="S569" s="4"/>
      <c r="T569" s="4"/>
      <c r="U569" s="7"/>
      <c r="V569" s="4"/>
      <c r="W569" s="4"/>
      <c r="X569" s="4"/>
      <c r="Y569" s="4"/>
      <c r="Z569" s="4"/>
      <c r="AA569" s="5"/>
      <c r="AB569" s="5"/>
      <c r="AC569" s="5"/>
      <c r="AD569" s="5"/>
      <c r="AE569" s="5"/>
    </row>
    <row r="570">
      <c r="A570" s="14" t="s">
        <v>945</v>
      </c>
      <c r="B570" s="19">
        <v>44293.680127314816</v>
      </c>
      <c r="C570" s="4">
        <v>49877.0</v>
      </c>
      <c r="D570" s="4" t="s">
        <v>946</v>
      </c>
      <c r="E570" s="4">
        <v>9.19632559977E11</v>
      </c>
      <c r="F570" s="4">
        <v>16726.0</v>
      </c>
      <c r="G570" s="4"/>
      <c r="H570" s="4" t="s">
        <v>280</v>
      </c>
      <c r="I570" s="4"/>
      <c r="J570" s="4" t="s">
        <v>85</v>
      </c>
      <c r="K570" s="4">
        <v>99.0</v>
      </c>
      <c r="L570" s="4"/>
      <c r="M570" s="4">
        <v>99.0</v>
      </c>
      <c r="N570" s="4" t="s">
        <v>67</v>
      </c>
      <c r="O570" s="4" t="b">
        <v>0</v>
      </c>
      <c r="P570" s="4" t="s">
        <v>68</v>
      </c>
      <c r="Q570" s="4" t="s">
        <v>69</v>
      </c>
      <c r="R570" s="4"/>
      <c r="S570" s="4"/>
      <c r="T570" s="4"/>
      <c r="U570" s="7"/>
      <c r="V570" s="4"/>
      <c r="W570" s="4"/>
      <c r="X570" s="4"/>
      <c r="Y570" s="4"/>
      <c r="Z570" s="4"/>
      <c r="AA570" s="5"/>
      <c r="AB570" s="5"/>
      <c r="AC570" s="5"/>
      <c r="AD570" s="5"/>
      <c r="AE570" s="5"/>
    </row>
    <row r="571">
      <c r="A571" s="14" t="s">
        <v>1031</v>
      </c>
      <c r="B571" s="19">
        <v>44293.68582175926</v>
      </c>
      <c r="C571" s="4">
        <v>49958.0</v>
      </c>
      <c r="D571" s="4" t="s">
        <v>1032</v>
      </c>
      <c r="E571" s="4">
        <v>9.18668877436E11</v>
      </c>
      <c r="F571" s="4">
        <v>16727.0</v>
      </c>
      <c r="G571" s="4"/>
      <c r="H571" s="4" t="s">
        <v>858</v>
      </c>
      <c r="I571" s="4"/>
      <c r="J571" s="4" t="s">
        <v>149</v>
      </c>
      <c r="K571" s="4">
        <v>99.0</v>
      </c>
      <c r="L571" s="4"/>
      <c r="M571" s="4">
        <v>99.0</v>
      </c>
      <c r="N571" s="4" t="s">
        <v>67</v>
      </c>
      <c r="O571" s="4" t="b">
        <v>0</v>
      </c>
      <c r="P571" s="4" t="s">
        <v>68</v>
      </c>
      <c r="Q571" s="4" t="s">
        <v>69</v>
      </c>
      <c r="R571" s="4"/>
      <c r="S571" s="4"/>
      <c r="T571" s="4"/>
      <c r="U571" s="7"/>
      <c r="V571" s="4"/>
      <c r="W571" s="4"/>
      <c r="X571" s="4"/>
      <c r="Y571" s="4"/>
      <c r="Z571" s="4"/>
      <c r="AA571" s="5"/>
      <c r="AB571" s="5"/>
      <c r="AC571" s="5"/>
      <c r="AD571" s="5"/>
      <c r="AE571" s="5"/>
    </row>
    <row r="572">
      <c r="A572" s="14" t="s">
        <v>949</v>
      </c>
      <c r="B572" s="19">
        <v>44293.68853009259</v>
      </c>
      <c r="C572" s="4">
        <v>49833.0</v>
      </c>
      <c r="D572" s="4" t="s">
        <v>950</v>
      </c>
      <c r="E572" s="4">
        <v>9.17073210759E11</v>
      </c>
      <c r="F572" s="4">
        <v>16748.0</v>
      </c>
      <c r="G572" s="4"/>
      <c r="H572" s="4" t="s">
        <v>184</v>
      </c>
      <c r="I572" s="4"/>
      <c r="J572" s="4" t="s">
        <v>85</v>
      </c>
      <c r="K572" s="4">
        <v>99.0</v>
      </c>
      <c r="L572" s="4"/>
      <c r="M572" s="4">
        <v>99.0</v>
      </c>
      <c r="N572" s="4" t="s">
        <v>67</v>
      </c>
      <c r="O572" s="4" t="b">
        <v>0</v>
      </c>
      <c r="P572" s="4" t="s">
        <v>68</v>
      </c>
      <c r="Q572" s="4" t="s">
        <v>69</v>
      </c>
      <c r="R572" s="4"/>
      <c r="S572" s="4"/>
      <c r="T572" s="4"/>
      <c r="U572" s="7"/>
      <c r="V572" s="4"/>
      <c r="W572" s="4"/>
      <c r="X572" s="4"/>
      <c r="Y572" s="4"/>
      <c r="Z572" s="4"/>
      <c r="AA572" s="5"/>
      <c r="AB572" s="5"/>
      <c r="AC572" s="5"/>
      <c r="AD572" s="5"/>
      <c r="AE572" s="5"/>
    </row>
    <row r="573">
      <c r="A573" s="14" t="s">
        <v>555</v>
      </c>
      <c r="B573" s="19">
        <v>44293.72667824074</v>
      </c>
      <c r="C573" s="4">
        <v>49864.0</v>
      </c>
      <c r="D573" s="4" t="s">
        <v>556</v>
      </c>
      <c r="E573" s="4">
        <v>9.17798005325E11</v>
      </c>
      <c r="F573" s="4" t="s">
        <v>83</v>
      </c>
      <c r="G573" s="4"/>
      <c r="H573" s="4" t="s">
        <v>181</v>
      </c>
      <c r="I573" s="4"/>
      <c r="J573" s="4" t="s">
        <v>149</v>
      </c>
      <c r="K573" s="4">
        <v>99.0</v>
      </c>
      <c r="L573" s="4"/>
      <c r="M573" s="4">
        <v>99.0</v>
      </c>
      <c r="N573" s="4" t="s">
        <v>67</v>
      </c>
      <c r="O573" s="4" t="b">
        <v>0</v>
      </c>
      <c r="P573" s="4" t="s">
        <v>68</v>
      </c>
      <c r="Q573" s="4" t="s">
        <v>69</v>
      </c>
      <c r="R573" s="4"/>
      <c r="S573" s="4"/>
      <c r="T573" s="4"/>
      <c r="U573" s="7"/>
      <c r="V573" s="4"/>
      <c r="W573" s="4"/>
      <c r="X573" s="4"/>
      <c r="Y573" s="4"/>
      <c r="Z573" s="4"/>
      <c r="AA573" s="5"/>
      <c r="AB573" s="5"/>
      <c r="AC573" s="5"/>
      <c r="AD573" s="5"/>
      <c r="AE573" s="5"/>
    </row>
    <row r="574">
      <c r="A574" s="14" t="s">
        <v>1594</v>
      </c>
      <c r="B574" s="19">
        <v>44293.79184027778</v>
      </c>
      <c r="C574" s="4">
        <v>49813.0</v>
      </c>
      <c r="D574" s="4" t="s">
        <v>1595</v>
      </c>
      <c r="E574" s="4">
        <v>9.19818448372E11</v>
      </c>
      <c r="F574" s="4" t="s">
        <v>83</v>
      </c>
      <c r="G574" s="4"/>
      <c r="H574" s="4" t="s">
        <v>1592</v>
      </c>
      <c r="I574" s="4"/>
      <c r="J574" s="4" t="s">
        <v>149</v>
      </c>
      <c r="K574" s="4">
        <v>149.0</v>
      </c>
      <c r="L574" s="4"/>
      <c r="M574" s="4">
        <v>149.0</v>
      </c>
      <c r="N574" s="4" t="s">
        <v>67</v>
      </c>
      <c r="O574" s="4" t="b">
        <v>0</v>
      </c>
      <c r="P574" s="4" t="s">
        <v>74</v>
      </c>
      <c r="Q574" s="4" t="s">
        <v>69</v>
      </c>
      <c r="R574" s="4"/>
      <c r="S574" s="4"/>
      <c r="T574" s="4"/>
      <c r="U574" s="8"/>
      <c r="V574" s="4"/>
      <c r="W574" s="4"/>
      <c r="X574" s="4"/>
      <c r="Y574" s="4"/>
      <c r="Z574" s="4"/>
      <c r="AA574" s="5"/>
      <c r="AB574" s="5"/>
      <c r="AC574" s="5"/>
      <c r="AD574" s="5"/>
      <c r="AE574" s="5"/>
    </row>
    <row r="575">
      <c r="A575" s="14" t="s">
        <v>955</v>
      </c>
      <c r="B575" s="19">
        <v>44293.79719907408</v>
      </c>
      <c r="C575" s="4">
        <v>49877.0</v>
      </c>
      <c r="D575" s="4" t="s">
        <v>956</v>
      </c>
      <c r="E575" s="4">
        <v>9.1983633312E11</v>
      </c>
      <c r="F575" s="4">
        <v>16730.0</v>
      </c>
      <c r="G575" s="4"/>
      <c r="H575" s="4" t="s">
        <v>280</v>
      </c>
      <c r="I575" s="4"/>
      <c r="J575" s="4" t="s">
        <v>85</v>
      </c>
      <c r="K575" s="4">
        <v>99.0</v>
      </c>
      <c r="L575" s="4"/>
      <c r="M575" s="4">
        <v>99.0</v>
      </c>
      <c r="N575" s="4" t="s">
        <v>67</v>
      </c>
      <c r="O575" s="4" t="b">
        <v>0</v>
      </c>
      <c r="P575" s="4" t="s">
        <v>68</v>
      </c>
      <c r="Q575" s="4" t="s">
        <v>69</v>
      </c>
      <c r="R575" s="4"/>
      <c r="S575" s="4"/>
      <c r="T575" s="4"/>
      <c r="U575" s="7"/>
      <c r="V575" s="4"/>
      <c r="W575" s="4"/>
      <c r="X575" s="4"/>
      <c r="Y575" s="4"/>
      <c r="Z575" s="4"/>
      <c r="AA575" s="5"/>
      <c r="AB575" s="5"/>
      <c r="AC575" s="5"/>
      <c r="AD575" s="5"/>
      <c r="AE575" s="5"/>
    </row>
    <row r="576">
      <c r="A576" s="14" t="s">
        <v>957</v>
      </c>
      <c r="B576" s="19">
        <v>44293.89469907407</v>
      </c>
      <c r="C576" s="4">
        <v>49877.0</v>
      </c>
      <c r="D576" s="4" t="s">
        <v>958</v>
      </c>
      <c r="E576" s="4">
        <v>9.18777866155E11</v>
      </c>
      <c r="F576" s="4">
        <v>15076.0</v>
      </c>
      <c r="G576" s="4"/>
      <c r="H576" s="4" t="s">
        <v>280</v>
      </c>
      <c r="I576" s="4"/>
      <c r="J576" s="4" t="s">
        <v>85</v>
      </c>
      <c r="K576" s="4">
        <v>99.0</v>
      </c>
      <c r="L576" s="4"/>
      <c r="M576" s="4">
        <v>99.0</v>
      </c>
      <c r="N576" s="4" t="s">
        <v>67</v>
      </c>
      <c r="O576" s="4" t="b">
        <v>0</v>
      </c>
      <c r="P576" s="4" t="s">
        <v>97</v>
      </c>
      <c r="Q576" s="4" t="s">
        <v>69</v>
      </c>
      <c r="R576" s="4"/>
      <c r="S576" s="4"/>
      <c r="T576" s="4"/>
      <c r="U576" s="7"/>
      <c r="V576" s="4"/>
      <c r="W576" s="4"/>
      <c r="X576" s="4"/>
      <c r="Y576" s="4"/>
      <c r="Z576" s="4"/>
      <c r="AA576" s="5"/>
      <c r="AB576" s="5"/>
      <c r="AC576" s="5"/>
      <c r="AD576" s="5"/>
      <c r="AE576" s="5"/>
    </row>
    <row r="577">
      <c r="A577" s="14" t="s">
        <v>1037</v>
      </c>
      <c r="B577" s="19">
        <v>44293.91505787037</v>
      </c>
      <c r="C577" s="4">
        <v>49958.0</v>
      </c>
      <c r="D577" s="4" t="s">
        <v>1038</v>
      </c>
      <c r="E577" s="4">
        <v>9.1729195179E11</v>
      </c>
      <c r="F577" s="4">
        <v>16735.0</v>
      </c>
      <c r="G577" s="4"/>
      <c r="H577" s="4" t="s">
        <v>858</v>
      </c>
      <c r="I577" s="4"/>
      <c r="J577" s="4" t="s">
        <v>149</v>
      </c>
      <c r="K577" s="4">
        <v>99.0</v>
      </c>
      <c r="L577" s="4"/>
      <c r="M577" s="4">
        <v>99.0</v>
      </c>
      <c r="N577" s="4" t="s">
        <v>67</v>
      </c>
      <c r="O577" s="4" t="b">
        <v>0</v>
      </c>
      <c r="P577" s="4" t="s">
        <v>68</v>
      </c>
      <c r="Q577" s="4" t="s">
        <v>69</v>
      </c>
      <c r="R577" s="4"/>
      <c r="S577" s="4"/>
      <c r="T577" s="4"/>
      <c r="U577" s="7"/>
      <c r="V577" s="4"/>
      <c r="W577" s="4"/>
      <c r="X577" s="4"/>
      <c r="Y577" s="4"/>
      <c r="Z577" s="4"/>
      <c r="AA577" s="5"/>
      <c r="AB577" s="5"/>
      <c r="AC577" s="5"/>
      <c r="AD577" s="5"/>
      <c r="AE577" s="5"/>
    </row>
    <row r="578">
      <c r="A578" s="14" t="s">
        <v>114</v>
      </c>
      <c r="B578" s="19">
        <v>44228.24755787037</v>
      </c>
      <c r="C578" s="4">
        <v>49834.0</v>
      </c>
      <c r="D578" s="4" t="s">
        <v>115</v>
      </c>
      <c r="E578" s="4">
        <v>9.18801416002E11</v>
      </c>
      <c r="F578" s="4">
        <v>2204.0</v>
      </c>
      <c r="G578" s="4"/>
      <c r="H578" s="4" t="s">
        <v>76</v>
      </c>
      <c r="I578" s="4"/>
      <c r="J578" s="4" t="s">
        <v>77</v>
      </c>
      <c r="K578" s="4">
        <v>499.0</v>
      </c>
      <c r="L578" s="4"/>
      <c r="M578" s="4">
        <v>499.0</v>
      </c>
      <c r="N578" s="4" t="s">
        <v>67</v>
      </c>
      <c r="O578" s="4" t="b">
        <v>0</v>
      </c>
      <c r="P578" s="4" t="s">
        <v>68</v>
      </c>
      <c r="Q578" s="4" t="s">
        <v>69</v>
      </c>
      <c r="R578" s="4"/>
      <c r="S578" s="4"/>
      <c r="T578" s="4"/>
      <c r="U578" s="8"/>
      <c r="V578" s="4"/>
      <c r="W578" s="4"/>
      <c r="X578" s="4"/>
      <c r="Y578" s="4"/>
      <c r="Z578" s="4"/>
      <c r="AA578" s="5"/>
      <c r="AB578" s="5"/>
      <c r="AC578" s="5"/>
      <c r="AD578" s="5"/>
      <c r="AE578" s="5"/>
    </row>
    <row r="579">
      <c r="A579" s="14" t="s">
        <v>992</v>
      </c>
      <c r="B579" s="19">
        <v>44295.14145833333</v>
      </c>
      <c r="C579" s="4">
        <v>49877.0</v>
      </c>
      <c r="D579" s="4" t="s">
        <v>993</v>
      </c>
      <c r="E579" s="4">
        <v>9.19717905588E11</v>
      </c>
      <c r="F579" s="4">
        <v>16793.0</v>
      </c>
      <c r="G579" s="4"/>
      <c r="H579" s="4" t="s">
        <v>280</v>
      </c>
      <c r="I579" s="4"/>
      <c r="J579" s="4" t="s">
        <v>85</v>
      </c>
      <c r="K579" s="4">
        <v>99.0</v>
      </c>
      <c r="L579" s="4"/>
      <c r="M579" s="4">
        <v>99.0</v>
      </c>
      <c r="N579" s="4" t="s">
        <v>67</v>
      </c>
      <c r="O579" s="4" t="b">
        <v>0</v>
      </c>
      <c r="P579" s="4" t="s">
        <v>74</v>
      </c>
      <c r="Q579" s="4" t="s">
        <v>69</v>
      </c>
      <c r="R579" s="4"/>
      <c r="S579" s="4"/>
      <c r="T579" s="4"/>
      <c r="U579" s="7"/>
      <c r="V579" s="4"/>
      <c r="W579" s="4"/>
      <c r="X579" s="4"/>
      <c r="Y579" s="4"/>
      <c r="Z579" s="4"/>
      <c r="AA579" s="5"/>
      <c r="AB579" s="5"/>
      <c r="AC579" s="5"/>
      <c r="AD579" s="5"/>
      <c r="AE579" s="5"/>
    </row>
    <row r="580">
      <c r="A580" s="14" t="s">
        <v>599</v>
      </c>
      <c r="B580" s="19">
        <v>44295.38</v>
      </c>
      <c r="C580" s="4">
        <v>49864.0</v>
      </c>
      <c r="D580" s="4" t="s">
        <v>600</v>
      </c>
      <c r="E580" s="4">
        <v>9.19561683E11</v>
      </c>
      <c r="F580" s="4">
        <v>16978.0</v>
      </c>
      <c r="G580" s="4"/>
      <c r="H580" s="4" t="s">
        <v>181</v>
      </c>
      <c r="I580" s="4"/>
      <c r="J580" s="4" t="s">
        <v>149</v>
      </c>
      <c r="K580" s="4">
        <v>99.0</v>
      </c>
      <c r="L580" s="4"/>
      <c r="M580" s="4">
        <v>99.0</v>
      </c>
      <c r="N580" s="4" t="s">
        <v>67</v>
      </c>
      <c r="O580" s="4" t="b">
        <v>0</v>
      </c>
      <c r="P580" s="4" t="s">
        <v>68</v>
      </c>
      <c r="Q580" s="4" t="s">
        <v>69</v>
      </c>
      <c r="R580" s="4"/>
      <c r="S580" s="4"/>
      <c r="T580" s="4"/>
      <c r="U580" s="7"/>
      <c r="V580" s="4"/>
      <c r="W580" s="4"/>
      <c r="X580" s="4"/>
      <c r="Y580" s="4"/>
      <c r="Z580" s="4"/>
      <c r="AA580" s="5"/>
      <c r="AB580" s="5"/>
      <c r="AC580" s="5"/>
      <c r="AD580" s="5"/>
      <c r="AE580" s="5"/>
    </row>
    <row r="581">
      <c r="A581" s="14" t="s">
        <v>962</v>
      </c>
      <c r="B581" s="19">
        <v>44294.40186342593</v>
      </c>
      <c r="C581" s="4">
        <v>49877.0</v>
      </c>
      <c r="D581" s="4" t="s">
        <v>963</v>
      </c>
      <c r="E581" s="4">
        <v>9.19820472204E11</v>
      </c>
      <c r="F581" s="4">
        <v>16738.0</v>
      </c>
      <c r="G581" s="4"/>
      <c r="H581" s="4" t="s">
        <v>280</v>
      </c>
      <c r="I581" s="4"/>
      <c r="J581" s="4" t="s">
        <v>85</v>
      </c>
      <c r="K581" s="4">
        <v>99.0</v>
      </c>
      <c r="L581" s="4"/>
      <c r="M581" s="4">
        <v>99.0</v>
      </c>
      <c r="N581" s="4" t="s">
        <v>67</v>
      </c>
      <c r="O581" s="4" t="b">
        <v>0</v>
      </c>
      <c r="P581" s="4" t="s">
        <v>74</v>
      </c>
      <c r="Q581" s="4" t="s">
        <v>69</v>
      </c>
      <c r="R581" s="4"/>
      <c r="S581" s="4"/>
      <c r="T581" s="4"/>
      <c r="U581" s="7"/>
      <c r="V581" s="4"/>
      <c r="W581" s="4"/>
      <c r="X581" s="4"/>
      <c r="Y581" s="4"/>
      <c r="Z581" s="4"/>
      <c r="AA581" s="5"/>
      <c r="AB581" s="5"/>
      <c r="AC581" s="5"/>
      <c r="AD581" s="5"/>
      <c r="AE581" s="5"/>
    </row>
    <row r="582">
      <c r="A582" s="14" t="s">
        <v>1041</v>
      </c>
      <c r="B582" s="19">
        <v>44294.43278935185</v>
      </c>
      <c r="C582" s="4">
        <v>49948.0</v>
      </c>
      <c r="D582" s="4" t="s">
        <v>824</v>
      </c>
      <c r="E582" s="4">
        <v>9.17042373889E11</v>
      </c>
      <c r="F582" s="4">
        <v>16713.0</v>
      </c>
      <c r="G582" s="4"/>
      <c r="H582" s="4" t="s">
        <v>791</v>
      </c>
      <c r="I582" s="4"/>
      <c r="J582" s="4" t="s">
        <v>149</v>
      </c>
      <c r="K582" s="4">
        <v>99.0</v>
      </c>
      <c r="L582" s="4"/>
      <c r="M582" s="4">
        <v>99.0</v>
      </c>
      <c r="N582" s="4" t="s">
        <v>67</v>
      </c>
      <c r="O582" s="4" t="b">
        <v>0</v>
      </c>
      <c r="P582" s="4" t="s">
        <v>68</v>
      </c>
      <c r="Q582" s="4" t="s">
        <v>69</v>
      </c>
      <c r="R582" s="4"/>
      <c r="S582" s="4"/>
      <c r="T582" s="4"/>
      <c r="U582" s="7"/>
      <c r="V582" s="4"/>
      <c r="W582" s="4"/>
      <c r="X582" s="4"/>
      <c r="Y582" s="4"/>
      <c r="Z582" s="4"/>
      <c r="AA582" s="5"/>
      <c r="AB582" s="5"/>
      <c r="AC582" s="5"/>
      <c r="AD582" s="5"/>
      <c r="AE582" s="5"/>
    </row>
    <row r="583">
      <c r="A583" s="14" t="s">
        <v>605</v>
      </c>
      <c r="B583" s="19">
        <v>44295.49456018519</v>
      </c>
      <c r="C583" s="4">
        <v>49864.0</v>
      </c>
      <c r="D583" s="4" t="s">
        <v>606</v>
      </c>
      <c r="E583" s="4">
        <v>9.17045746333E11</v>
      </c>
      <c r="F583" s="4" t="s">
        <v>83</v>
      </c>
      <c r="G583" s="4"/>
      <c r="H583" s="4" t="s">
        <v>181</v>
      </c>
      <c r="I583" s="4"/>
      <c r="J583" s="4" t="s">
        <v>149</v>
      </c>
      <c r="K583" s="4">
        <v>99.0</v>
      </c>
      <c r="L583" s="4"/>
      <c r="M583" s="4">
        <v>99.0</v>
      </c>
      <c r="N583" s="4" t="s">
        <v>67</v>
      </c>
      <c r="O583" s="4" t="b">
        <v>0</v>
      </c>
      <c r="P583" s="4" t="s">
        <v>74</v>
      </c>
      <c r="Q583" s="4" t="s">
        <v>69</v>
      </c>
      <c r="R583" s="4"/>
      <c r="S583" s="4"/>
      <c r="T583" s="4"/>
      <c r="U583" s="7"/>
      <c r="V583" s="4"/>
      <c r="W583" s="4"/>
      <c r="X583" s="4"/>
      <c r="Y583" s="4"/>
      <c r="Z583" s="4"/>
      <c r="AA583" s="5"/>
      <c r="AB583" s="5"/>
      <c r="AC583" s="5"/>
      <c r="AD583" s="5"/>
      <c r="AE583" s="5"/>
    </row>
    <row r="584">
      <c r="A584" s="14" t="s">
        <v>1077</v>
      </c>
      <c r="B584" s="19">
        <v>44295.50958333333</v>
      </c>
      <c r="C584" s="4">
        <v>49948.0</v>
      </c>
      <c r="D584" s="4" t="s">
        <v>1078</v>
      </c>
      <c r="E584" s="4">
        <v>9.19182641223E11</v>
      </c>
      <c r="F584" s="4">
        <v>16787.0</v>
      </c>
      <c r="G584" s="4"/>
      <c r="H584" s="4" t="s">
        <v>791</v>
      </c>
      <c r="I584" s="4"/>
      <c r="J584" s="4" t="s">
        <v>149</v>
      </c>
      <c r="K584" s="4">
        <v>99.0</v>
      </c>
      <c r="L584" s="4"/>
      <c r="M584" s="4">
        <v>99.0</v>
      </c>
      <c r="N584" s="4" t="s">
        <v>67</v>
      </c>
      <c r="O584" s="4" t="b">
        <v>0</v>
      </c>
      <c r="P584" s="4" t="s">
        <v>68</v>
      </c>
      <c r="Q584" s="4" t="s">
        <v>69</v>
      </c>
      <c r="R584" s="4"/>
      <c r="S584" s="4"/>
      <c r="T584" s="4"/>
      <c r="U584" s="7"/>
      <c r="V584" s="4"/>
      <c r="W584" s="4"/>
      <c r="X584" s="4"/>
      <c r="Y584" s="4"/>
      <c r="Z584" s="4"/>
      <c r="AA584" s="5"/>
      <c r="AB584" s="5"/>
      <c r="AC584" s="5"/>
      <c r="AD584" s="5"/>
      <c r="AE584" s="5"/>
    </row>
    <row r="585">
      <c r="A585" s="14" t="s">
        <v>1002</v>
      </c>
      <c r="B585" s="19">
        <v>44295.509675925925</v>
      </c>
      <c r="C585" s="4">
        <v>49877.0</v>
      </c>
      <c r="D585" s="4" t="s">
        <v>1003</v>
      </c>
      <c r="E585" s="4">
        <v>9.17208044702E11</v>
      </c>
      <c r="F585" s="4" t="s">
        <v>83</v>
      </c>
      <c r="G585" s="4"/>
      <c r="H585" s="4" t="s">
        <v>280</v>
      </c>
      <c r="I585" s="4"/>
      <c r="J585" s="4" t="s">
        <v>85</v>
      </c>
      <c r="K585" s="4">
        <v>99.0</v>
      </c>
      <c r="L585" s="4"/>
      <c r="M585" s="4">
        <v>99.0</v>
      </c>
      <c r="N585" s="4" t="s">
        <v>67</v>
      </c>
      <c r="O585" s="4" t="b">
        <v>0</v>
      </c>
      <c r="P585" s="4" t="s">
        <v>68</v>
      </c>
      <c r="Q585" s="4" t="s">
        <v>69</v>
      </c>
      <c r="R585" s="4"/>
      <c r="S585" s="4"/>
      <c r="T585" s="4"/>
      <c r="U585" s="7"/>
      <c r="V585" s="4"/>
      <c r="W585" s="4"/>
      <c r="X585" s="4"/>
      <c r="Y585" s="4"/>
      <c r="Z585" s="4"/>
      <c r="AA585" s="5"/>
      <c r="AB585" s="5"/>
      <c r="AC585" s="5"/>
      <c r="AD585" s="5"/>
      <c r="AE585" s="5"/>
    </row>
    <row r="586">
      <c r="A586" s="14" t="s">
        <v>1004</v>
      </c>
      <c r="B586" s="19">
        <v>44295.54107638889</v>
      </c>
      <c r="C586" s="4">
        <v>49877.0</v>
      </c>
      <c r="D586" s="4" t="s">
        <v>1005</v>
      </c>
      <c r="E586" s="4">
        <v>9.16001418651E11</v>
      </c>
      <c r="F586" s="4">
        <v>16757.0</v>
      </c>
      <c r="G586" s="4"/>
      <c r="H586" s="4" t="s">
        <v>280</v>
      </c>
      <c r="I586" s="4"/>
      <c r="J586" s="4" t="s">
        <v>85</v>
      </c>
      <c r="K586" s="4">
        <v>99.0</v>
      </c>
      <c r="L586" s="4"/>
      <c r="M586" s="4">
        <v>99.0</v>
      </c>
      <c r="N586" s="4" t="s">
        <v>67</v>
      </c>
      <c r="O586" s="4" t="b">
        <v>0</v>
      </c>
      <c r="P586" s="4" t="s">
        <v>68</v>
      </c>
      <c r="Q586" s="4" t="s">
        <v>69</v>
      </c>
      <c r="R586" s="4"/>
      <c r="S586" s="4"/>
      <c r="T586" s="4"/>
      <c r="U586" s="7"/>
      <c r="V586" s="4"/>
      <c r="W586" s="4"/>
      <c r="X586" s="4"/>
      <c r="Y586" s="4"/>
      <c r="Z586" s="4"/>
      <c r="AA586" s="5"/>
      <c r="AB586" s="5"/>
      <c r="AC586" s="5"/>
      <c r="AD586" s="5"/>
      <c r="AE586" s="5"/>
    </row>
    <row r="587">
      <c r="A587" s="14" t="s">
        <v>569</v>
      </c>
      <c r="B587" s="19">
        <v>44294.48535879629</v>
      </c>
      <c r="C587" s="4">
        <v>49864.0</v>
      </c>
      <c r="D587" s="4" t="s">
        <v>570</v>
      </c>
      <c r="E587" s="4">
        <v>9.18770373009E11</v>
      </c>
      <c r="F587" s="4">
        <v>16975.0</v>
      </c>
      <c r="G587" s="4"/>
      <c r="H587" s="4" t="s">
        <v>181</v>
      </c>
      <c r="I587" s="4"/>
      <c r="J587" s="4" t="s">
        <v>149</v>
      </c>
      <c r="K587" s="4">
        <v>99.0</v>
      </c>
      <c r="L587" s="4"/>
      <c r="M587" s="4">
        <v>99.0</v>
      </c>
      <c r="N587" s="4" t="s">
        <v>67</v>
      </c>
      <c r="O587" s="4" t="b">
        <v>0</v>
      </c>
      <c r="P587" s="4" t="s">
        <v>68</v>
      </c>
      <c r="Q587" s="4" t="s">
        <v>69</v>
      </c>
      <c r="R587" s="4"/>
      <c r="S587" s="4"/>
      <c r="T587" s="4"/>
      <c r="U587" s="7"/>
      <c r="V587" s="4"/>
      <c r="W587" s="4"/>
      <c r="X587" s="4"/>
      <c r="Y587" s="4"/>
      <c r="Z587" s="4"/>
      <c r="AA587" s="5"/>
      <c r="AB587" s="5"/>
      <c r="AC587" s="5"/>
      <c r="AD587" s="5"/>
      <c r="AE587" s="5"/>
    </row>
    <row r="588">
      <c r="A588" s="14" t="s">
        <v>1042</v>
      </c>
      <c r="B588" s="19">
        <v>44294.488020833334</v>
      </c>
      <c r="C588" s="4">
        <v>49948.0</v>
      </c>
      <c r="D588" s="4" t="s">
        <v>1043</v>
      </c>
      <c r="E588" s="4">
        <v>9.19965090924E11</v>
      </c>
      <c r="F588" s="4" t="s">
        <v>83</v>
      </c>
      <c r="G588" s="4"/>
      <c r="H588" s="4" t="s">
        <v>791</v>
      </c>
      <c r="I588" s="4"/>
      <c r="J588" s="4" t="s">
        <v>149</v>
      </c>
      <c r="K588" s="4">
        <v>99.0</v>
      </c>
      <c r="L588" s="4"/>
      <c r="M588" s="4">
        <v>99.0</v>
      </c>
      <c r="N588" s="4" t="s">
        <v>67</v>
      </c>
      <c r="O588" s="4" t="b">
        <v>0</v>
      </c>
      <c r="P588" s="4" t="s">
        <v>68</v>
      </c>
      <c r="Q588" s="4" t="s">
        <v>69</v>
      </c>
      <c r="R588" s="4"/>
      <c r="S588" s="4"/>
      <c r="T588" s="4"/>
      <c r="U588" s="7"/>
      <c r="V588" s="4"/>
      <c r="W588" s="4"/>
      <c r="X588" s="4"/>
      <c r="Y588" s="4"/>
      <c r="Z588" s="4"/>
      <c r="AA588" s="5"/>
      <c r="AB588" s="5"/>
      <c r="AC588" s="5"/>
      <c r="AD588" s="5"/>
      <c r="AE588" s="5"/>
    </row>
    <row r="589">
      <c r="A589" s="14" t="s">
        <v>607</v>
      </c>
      <c r="B589" s="19">
        <v>44295.59037037037</v>
      </c>
      <c r="C589" s="4">
        <v>49864.0</v>
      </c>
      <c r="D589" s="4" t="s">
        <v>608</v>
      </c>
      <c r="E589" s="4">
        <v>9.1944724875E11</v>
      </c>
      <c r="F589" s="4" t="s">
        <v>83</v>
      </c>
      <c r="G589" s="4"/>
      <c r="H589" s="4" t="s">
        <v>181</v>
      </c>
      <c r="I589" s="4"/>
      <c r="J589" s="4" t="s">
        <v>149</v>
      </c>
      <c r="K589" s="4">
        <v>99.0</v>
      </c>
      <c r="L589" s="4"/>
      <c r="M589" s="4">
        <v>99.0</v>
      </c>
      <c r="N589" s="4" t="s">
        <v>67</v>
      </c>
      <c r="O589" s="4" t="b">
        <v>0</v>
      </c>
      <c r="P589" s="4" t="s">
        <v>97</v>
      </c>
      <c r="Q589" s="4" t="s">
        <v>69</v>
      </c>
      <c r="R589" s="4"/>
      <c r="S589" s="4"/>
      <c r="T589" s="4"/>
      <c r="U589" s="7"/>
      <c r="V589" s="4"/>
      <c r="W589" s="4"/>
      <c r="X589" s="4"/>
      <c r="Y589" s="4"/>
      <c r="Z589" s="4"/>
      <c r="AA589" s="5"/>
      <c r="AB589" s="5"/>
      <c r="AC589" s="5"/>
      <c r="AD589" s="5"/>
      <c r="AE589" s="5"/>
    </row>
    <row r="590">
      <c r="A590" s="14" t="s">
        <v>1079</v>
      </c>
      <c r="B590" s="19">
        <v>44295.60916666667</v>
      </c>
      <c r="C590" s="4">
        <v>49958.0</v>
      </c>
      <c r="D590" s="4" t="s">
        <v>1080</v>
      </c>
      <c r="E590" s="4">
        <v>9.19654180293E11</v>
      </c>
      <c r="F590" s="4">
        <v>17503.0</v>
      </c>
      <c r="G590" s="4"/>
      <c r="H590" s="4" t="s">
        <v>858</v>
      </c>
      <c r="I590" s="4"/>
      <c r="J590" s="4" t="s">
        <v>149</v>
      </c>
      <c r="K590" s="4">
        <v>99.0</v>
      </c>
      <c r="L590" s="4"/>
      <c r="M590" s="4">
        <v>99.0</v>
      </c>
      <c r="N590" s="4" t="s">
        <v>67</v>
      </c>
      <c r="O590" s="4" t="b">
        <v>0</v>
      </c>
      <c r="P590" s="4" t="s">
        <v>68</v>
      </c>
      <c r="Q590" s="4" t="s">
        <v>69</v>
      </c>
      <c r="R590" s="4"/>
      <c r="S590" s="4"/>
      <c r="T590" s="4"/>
      <c r="U590" s="7"/>
      <c r="V590" s="4"/>
      <c r="W590" s="4"/>
      <c r="X590" s="4"/>
      <c r="Y590" s="4"/>
      <c r="Z590" s="4"/>
      <c r="AA590" s="5"/>
      <c r="AB590" s="5"/>
      <c r="AC590" s="5"/>
      <c r="AD590" s="5"/>
      <c r="AE590" s="5"/>
    </row>
    <row r="591">
      <c r="A591" s="14" t="s">
        <v>1044</v>
      </c>
      <c r="B591" s="19">
        <v>44294.555497685185</v>
      </c>
      <c r="C591" s="4">
        <v>49948.0</v>
      </c>
      <c r="D591" s="4" t="s">
        <v>1045</v>
      </c>
      <c r="E591" s="4">
        <v>9.18976355185E11</v>
      </c>
      <c r="F591" s="4">
        <v>16741.0</v>
      </c>
      <c r="G591" s="4"/>
      <c r="H591" s="4" t="s">
        <v>791</v>
      </c>
      <c r="I591" s="4"/>
      <c r="J591" s="4" t="s">
        <v>149</v>
      </c>
      <c r="K591" s="4">
        <v>99.0</v>
      </c>
      <c r="L591" s="4"/>
      <c r="M591" s="4">
        <v>99.0</v>
      </c>
      <c r="N591" s="4" t="s">
        <v>67</v>
      </c>
      <c r="O591" s="4" t="b">
        <v>0</v>
      </c>
      <c r="P591" s="4" t="s">
        <v>74</v>
      </c>
      <c r="Q591" s="4" t="s">
        <v>69</v>
      </c>
      <c r="R591" s="4"/>
      <c r="S591" s="4"/>
      <c r="T591" s="4"/>
      <c r="U591" s="7"/>
      <c r="V591" s="4"/>
      <c r="W591" s="4"/>
      <c r="X591" s="4"/>
      <c r="Y591" s="4"/>
      <c r="Z591" s="4"/>
      <c r="AA591" s="5"/>
      <c r="AB591" s="5"/>
      <c r="AC591" s="5"/>
      <c r="AD591" s="5"/>
      <c r="AE591" s="5"/>
    </row>
    <row r="592">
      <c r="A592" s="14" t="s">
        <v>571</v>
      </c>
      <c r="B592" s="19">
        <v>44294.61107638889</v>
      </c>
      <c r="C592" s="4">
        <v>49864.0</v>
      </c>
      <c r="D592" s="4" t="s">
        <v>572</v>
      </c>
      <c r="E592" s="4">
        <v>9.19597773717E11</v>
      </c>
      <c r="F592" s="4">
        <v>16977.0</v>
      </c>
      <c r="G592" s="4"/>
      <c r="H592" s="4" t="s">
        <v>181</v>
      </c>
      <c r="I592" s="4"/>
      <c r="J592" s="4" t="s">
        <v>149</v>
      </c>
      <c r="K592" s="4">
        <v>99.0</v>
      </c>
      <c r="L592" s="4"/>
      <c r="M592" s="4">
        <v>99.0</v>
      </c>
      <c r="N592" s="4" t="s">
        <v>67</v>
      </c>
      <c r="O592" s="4" t="b">
        <v>0</v>
      </c>
      <c r="P592" s="4" t="s">
        <v>68</v>
      </c>
      <c r="Q592" s="4" t="s">
        <v>69</v>
      </c>
      <c r="R592" s="4"/>
      <c r="S592" s="4"/>
      <c r="T592" s="4"/>
      <c r="U592" s="7"/>
      <c r="V592" s="4"/>
      <c r="W592" s="4"/>
      <c r="X592" s="4"/>
      <c r="Y592" s="4"/>
      <c r="Z592" s="4"/>
      <c r="AA592" s="5"/>
      <c r="AB592" s="5"/>
      <c r="AC592" s="5"/>
      <c r="AD592" s="5"/>
      <c r="AE592" s="5"/>
    </row>
    <row r="593">
      <c r="A593" s="14" t="s">
        <v>1050</v>
      </c>
      <c r="B593" s="19">
        <v>44294.630625</v>
      </c>
      <c r="C593" s="4">
        <v>49833.0</v>
      </c>
      <c r="D593" s="4" t="s">
        <v>1051</v>
      </c>
      <c r="E593" s="4">
        <v>9.17702764774E11</v>
      </c>
      <c r="F593" s="4" t="s">
        <v>83</v>
      </c>
      <c r="G593" s="4"/>
      <c r="H593" s="4" t="s">
        <v>184</v>
      </c>
      <c r="I593" s="4"/>
      <c r="J593" s="4" t="s">
        <v>149</v>
      </c>
      <c r="K593" s="4">
        <v>199.0</v>
      </c>
      <c r="L593" s="4"/>
      <c r="M593" s="4">
        <v>199.0</v>
      </c>
      <c r="N593" s="4" t="s">
        <v>67</v>
      </c>
      <c r="O593" s="4" t="b">
        <v>0</v>
      </c>
      <c r="P593" s="4" t="s">
        <v>68</v>
      </c>
      <c r="Q593" s="4" t="s">
        <v>69</v>
      </c>
      <c r="R593" s="4"/>
      <c r="S593" s="4"/>
      <c r="T593" s="4"/>
      <c r="U593" s="7"/>
      <c r="V593" s="4"/>
      <c r="W593" s="4"/>
      <c r="X593" s="4"/>
      <c r="Y593" s="4"/>
      <c r="Z593" s="4"/>
      <c r="AA593" s="5"/>
      <c r="AB593" s="5"/>
      <c r="AC593" s="5"/>
      <c r="AD593" s="5"/>
      <c r="AE593" s="5"/>
    </row>
    <row r="594">
      <c r="A594" s="14" t="s">
        <v>609</v>
      </c>
      <c r="B594" s="19">
        <v>44295.69559027778</v>
      </c>
      <c r="C594" s="4">
        <v>49864.0</v>
      </c>
      <c r="D594" s="4" t="s">
        <v>610</v>
      </c>
      <c r="E594" s="4">
        <v>9.19930447947E11</v>
      </c>
      <c r="F594" s="4">
        <v>16980.0</v>
      </c>
      <c r="G594" s="4"/>
      <c r="H594" s="4" t="s">
        <v>181</v>
      </c>
      <c r="I594" s="4"/>
      <c r="J594" s="4" t="s">
        <v>149</v>
      </c>
      <c r="K594" s="4">
        <v>99.0</v>
      </c>
      <c r="L594" s="4"/>
      <c r="M594" s="4">
        <v>99.0</v>
      </c>
      <c r="N594" s="4" t="s">
        <v>67</v>
      </c>
      <c r="O594" s="4" t="b">
        <v>0</v>
      </c>
      <c r="P594" s="4" t="s">
        <v>74</v>
      </c>
      <c r="Q594" s="4" t="s">
        <v>69</v>
      </c>
      <c r="R594" s="4"/>
      <c r="S594" s="4"/>
      <c r="T594" s="4"/>
      <c r="U594" s="7"/>
      <c r="V594" s="4"/>
      <c r="W594" s="4"/>
      <c r="X594" s="4"/>
      <c r="Y594" s="4"/>
      <c r="Z594" s="4"/>
      <c r="AA594" s="5"/>
      <c r="AB594" s="5"/>
      <c r="AC594" s="5"/>
      <c r="AD594" s="5"/>
      <c r="AE594" s="5"/>
    </row>
    <row r="595">
      <c r="A595" s="14" t="s">
        <v>1067</v>
      </c>
      <c r="B595" s="19">
        <v>44294.651921296296</v>
      </c>
      <c r="C595" s="4">
        <v>49958.0</v>
      </c>
      <c r="D595" s="4" t="s">
        <v>1068</v>
      </c>
      <c r="E595" s="4">
        <v>9.18237930412E11</v>
      </c>
      <c r="F595" s="4">
        <v>16746.0</v>
      </c>
      <c r="G595" s="4"/>
      <c r="H595" s="4" t="s">
        <v>858</v>
      </c>
      <c r="I595" s="4"/>
      <c r="J595" s="4" t="s">
        <v>149</v>
      </c>
      <c r="K595" s="4">
        <v>99.0</v>
      </c>
      <c r="L595" s="4"/>
      <c r="M595" s="4">
        <v>99.0</v>
      </c>
      <c r="N595" s="4" t="s">
        <v>67</v>
      </c>
      <c r="O595" s="4" t="b">
        <v>0</v>
      </c>
      <c r="P595" s="4" t="s">
        <v>68</v>
      </c>
      <c r="Q595" s="4" t="s">
        <v>69</v>
      </c>
      <c r="R595" s="4"/>
      <c r="S595" s="4"/>
      <c r="T595" s="4"/>
      <c r="U595" s="7"/>
      <c r="V595" s="4"/>
      <c r="W595" s="4"/>
      <c r="X595" s="4"/>
      <c r="Y595" s="4"/>
      <c r="Z595" s="4"/>
      <c r="AA595" s="5"/>
      <c r="AB595" s="5"/>
      <c r="AC595" s="5"/>
      <c r="AD595" s="5"/>
      <c r="AE595" s="5"/>
    </row>
    <row r="596">
      <c r="A596" s="14" t="s">
        <v>979</v>
      </c>
      <c r="B596" s="19">
        <v>44294.67894675926</v>
      </c>
      <c r="C596" s="4">
        <v>49877.0</v>
      </c>
      <c r="D596" s="4" t="s">
        <v>980</v>
      </c>
      <c r="E596" s="4">
        <v>9.19789303244E11</v>
      </c>
      <c r="F596" s="4" t="s">
        <v>83</v>
      </c>
      <c r="G596" s="4"/>
      <c r="H596" s="4" t="s">
        <v>280</v>
      </c>
      <c r="I596" s="4"/>
      <c r="J596" s="4" t="s">
        <v>85</v>
      </c>
      <c r="K596" s="4">
        <v>99.0</v>
      </c>
      <c r="L596" s="4"/>
      <c r="M596" s="4">
        <v>99.0</v>
      </c>
      <c r="N596" s="4" t="s">
        <v>67</v>
      </c>
      <c r="O596" s="4" t="b">
        <v>0</v>
      </c>
      <c r="P596" s="4" t="s">
        <v>97</v>
      </c>
      <c r="Q596" s="4" t="s">
        <v>69</v>
      </c>
      <c r="R596" s="4"/>
      <c r="S596" s="4"/>
      <c r="T596" s="4"/>
      <c r="U596" s="7"/>
      <c r="V596" s="4"/>
      <c r="W596" s="4"/>
      <c r="X596" s="4"/>
      <c r="Y596" s="4"/>
      <c r="Z596" s="4"/>
      <c r="AA596" s="5"/>
      <c r="AB596" s="5"/>
      <c r="AC596" s="5"/>
      <c r="AD596" s="5"/>
      <c r="AE596" s="5"/>
    </row>
    <row r="597">
      <c r="A597" s="14" t="s">
        <v>977</v>
      </c>
      <c r="B597" s="19">
        <v>44294.664351851854</v>
      </c>
      <c r="C597" s="4">
        <v>49877.0</v>
      </c>
      <c r="D597" s="4" t="s">
        <v>978</v>
      </c>
      <c r="E597" s="4">
        <v>9.19757474789E11</v>
      </c>
      <c r="F597" s="4">
        <v>16745.0</v>
      </c>
      <c r="G597" s="4"/>
      <c r="H597" s="4" t="s">
        <v>280</v>
      </c>
      <c r="I597" s="4"/>
      <c r="J597" s="4" t="s">
        <v>85</v>
      </c>
      <c r="K597" s="4">
        <v>99.0</v>
      </c>
      <c r="L597" s="4"/>
      <c r="M597" s="4">
        <v>99.0</v>
      </c>
      <c r="N597" s="4" t="s">
        <v>67</v>
      </c>
      <c r="O597" s="4" t="b">
        <v>0</v>
      </c>
      <c r="P597" s="4" t="s">
        <v>68</v>
      </c>
      <c r="Q597" s="4" t="s">
        <v>69</v>
      </c>
      <c r="R597" s="4"/>
      <c r="S597" s="4"/>
      <c r="T597" s="4"/>
      <c r="U597" s="7"/>
      <c r="V597" s="4"/>
      <c r="W597" s="4"/>
      <c r="X597" s="4"/>
      <c r="Y597" s="4"/>
      <c r="Z597" s="4"/>
      <c r="AA597" s="5"/>
      <c r="AB597" s="5"/>
      <c r="AC597" s="5"/>
      <c r="AD597" s="5"/>
      <c r="AE597" s="5"/>
    </row>
    <row r="598">
      <c r="A598" s="14" t="s">
        <v>1596</v>
      </c>
      <c r="B598" s="19">
        <v>44294.742256944446</v>
      </c>
      <c r="C598" s="4">
        <v>49813.0</v>
      </c>
      <c r="D598" s="4" t="s">
        <v>1597</v>
      </c>
      <c r="E598" s="4">
        <v>9.19769710324E11</v>
      </c>
      <c r="F598" s="4">
        <v>16755.0</v>
      </c>
      <c r="G598" s="4"/>
      <c r="H598" s="4" t="s">
        <v>1592</v>
      </c>
      <c r="I598" s="4"/>
      <c r="J598" s="4" t="s">
        <v>149</v>
      </c>
      <c r="K598" s="4">
        <v>149.0</v>
      </c>
      <c r="L598" s="4"/>
      <c r="M598" s="4">
        <v>149.0</v>
      </c>
      <c r="N598" s="4" t="s">
        <v>67</v>
      </c>
      <c r="O598" s="4" t="b">
        <v>0</v>
      </c>
      <c r="P598" s="4" t="s">
        <v>97</v>
      </c>
      <c r="Q598" s="4" t="s">
        <v>69</v>
      </c>
      <c r="R598" s="4"/>
      <c r="S598" s="4"/>
      <c r="T598" s="4"/>
      <c r="U598" s="8"/>
      <c r="V598" s="4"/>
      <c r="W598" s="4"/>
      <c r="X598" s="4"/>
      <c r="Y598" s="4"/>
      <c r="Z598" s="4"/>
      <c r="AA598" s="5"/>
      <c r="AB598" s="5"/>
      <c r="AC598" s="5"/>
      <c r="AD598" s="5"/>
      <c r="AE598" s="5"/>
    </row>
    <row r="599">
      <c r="A599" s="14" t="s">
        <v>593</v>
      </c>
      <c r="B599" s="19">
        <v>44294.76362268518</v>
      </c>
      <c r="C599" s="4">
        <v>49864.0</v>
      </c>
      <c r="D599" s="4" t="s">
        <v>594</v>
      </c>
      <c r="E599" s="4">
        <v>9.17721854777E11</v>
      </c>
      <c r="F599" s="4" t="s">
        <v>83</v>
      </c>
      <c r="G599" s="4"/>
      <c r="H599" s="4" t="s">
        <v>181</v>
      </c>
      <c r="I599" s="4"/>
      <c r="J599" s="4" t="s">
        <v>149</v>
      </c>
      <c r="K599" s="4">
        <v>99.0</v>
      </c>
      <c r="L599" s="4"/>
      <c r="M599" s="4">
        <v>99.0</v>
      </c>
      <c r="N599" s="4" t="s">
        <v>67</v>
      </c>
      <c r="O599" s="4" t="b">
        <v>0</v>
      </c>
      <c r="P599" s="4" t="s">
        <v>68</v>
      </c>
      <c r="Q599" s="4" t="s">
        <v>69</v>
      </c>
      <c r="R599" s="4"/>
      <c r="S599" s="4"/>
      <c r="T599" s="4"/>
      <c r="U599" s="7"/>
      <c r="V599" s="4"/>
      <c r="W599" s="4"/>
      <c r="X599" s="4"/>
      <c r="Y599" s="4"/>
      <c r="Z599" s="4"/>
      <c r="AA599" s="5"/>
      <c r="AB599" s="5"/>
      <c r="AC599" s="5"/>
      <c r="AD599" s="5"/>
      <c r="AE599" s="5"/>
    </row>
    <row r="600">
      <c r="A600" s="14" t="s">
        <v>985</v>
      </c>
      <c r="B600" s="19">
        <v>44294.772511574076</v>
      </c>
      <c r="C600" s="4">
        <v>49877.0</v>
      </c>
      <c r="D600" s="4" t="s">
        <v>333</v>
      </c>
      <c r="E600" s="4">
        <v>9.16009313775E11</v>
      </c>
      <c r="F600" s="4" t="s">
        <v>83</v>
      </c>
      <c r="G600" s="4"/>
      <c r="H600" s="4" t="s">
        <v>280</v>
      </c>
      <c r="I600" s="4"/>
      <c r="J600" s="4" t="s">
        <v>85</v>
      </c>
      <c r="K600" s="4">
        <v>99.0</v>
      </c>
      <c r="L600" s="4"/>
      <c r="M600" s="4">
        <v>99.0</v>
      </c>
      <c r="N600" s="4" t="s">
        <v>67</v>
      </c>
      <c r="O600" s="4" t="b">
        <v>0</v>
      </c>
      <c r="P600" s="4" t="s">
        <v>68</v>
      </c>
      <c r="Q600" s="4" t="s">
        <v>69</v>
      </c>
      <c r="R600" s="4"/>
      <c r="S600" s="4"/>
      <c r="T600" s="4"/>
      <c r="U600" s="7"/>
      <c r="V600" s="4"/>
      <c r="W600" s="4"/>
      <c r="X600" s="4"/>
      <c r="Y600" s="4"/>
      <c r="Z600" s="4"/>
      <c r="AA600" s="5"/>
      <c r="AB600" s="5"/>
      <c r="AC600" s="5"/>
      <c r="AD600" s="5"/>
      <c r="AE600" s="5"/>
    </row>
    <row r="601">
      <c r="A601" s="14" t="s">
        <v>1598</v>
      </c>
      <c r="B601" s="19">
        <v>44294.77798611111</v>
      </c>
      <c r="C601" s="4">
        <v>49813.0</v>
      </c>
      <c r="D601" s="4" t="s">
        <v>1599</v>
      </c>
      <c r="E601" s="4">
        <v>9.18879400445E11</v>
      </c>
      <c r="F601" s="4">
        <v>6069.0</v>
      </c>
      <c r="G601" s="4"/>
      <c r="H601" s="4" t="s">
        <v>1592</v>
      </c>
      <c r="I601" s="4"/>
      <c r="J601" s="4" t="s">
        <v>149</v>
      </c>
      <c r="K601" s="4">
        <v>149.0</v>
      </c>
      <c r="L601" s="4"/>
      <c r="M601" s="4">
        <v>149.0</v>
      </c>
      <c r="N601" s="4" t="s">
        <v>67</v>
      </c>
      <c r="O601" s="4" t="b">
        <v>0</v>
      </c>
      <c r="P601" s="4" t="s">
        <v>74</v>
      </c>
      <c r="Q601" s="4" t="s">
        <v>69</v>
      </c>
      <c r="R601" s="4"/>
      <c r="S601" s="4"/>
      <c r="T601" s="4"/>
      <c r="U601" s="7"/>
      <c r="V601" s="4"/>
      <c r="W601" s="4"/>
      <c r="X601" s="4"/>
      <c r="Y601" s="4"/>
      <c r="Z601" s="4"/>
      <c r="AA601" s="5"/>
      <c r="AB601" s="5"/>
      <c r="AC601" s="5"/>
      <c r="AD601" s="5"/>
      <c r="AE601" s="5"/>
    </row>
    <row r="602">
      <c r="A602" s="14" t="s">
        <v>1015</v>
      </c>
      <c r="B602" s="19">
        <v>44295.89454861111</v>
      </c>
      <c r="C602" s="4">
        <v>49899.0</v>
      </c>
      <c r="D602" s="4" t="s">
        <v>1017</v>
      </c>
      <c r="E602" s="4">
        <v>9.18334836917E11</v>
      </c>
      <c r="F602" s="4">
        <v>13419.0</v>
      </c>
      <c r="G602" s="4"/>
      <c r="H602" s="4" t="s">
        <v>1016</v>
      </c>
      <c r="I602" s="4"/>
      <c r="J602" s="4" t="s">
        <v>77</v>
      </c>
      <c r="K602" s="4">
        <v>249.0</v>
      </c>
      <c r="L602" s="4"/>
      <c r="M602" s="4">
        <v>249.0</v>
      </c>
      <c r="N602" s="4" t="s">
        <v>67</v>
      </c>
      <c r="O602" s="4" t="b">
        <v>0</v>
      </c>
      <c r="P602" s="4" t="s">
        <v>74</v>
      </c>
      <c r="Q602" s="4" t="s">
        <v>69</v>
      </c>
      <c r="R602" s="4"/>
      <c r="S602" s="4"/>
      <c r="T602" s="4"/>
      <c r="U602" s="8"/>
      <c r="V602" s="4"/>
      <c r="W602" s="4"/>
      <c r="X602" s="4"/>
      <c r="Y602" s="4"/>
      <c r="Z602" s="4"/>
      <c r="AA602" s="5"/>
      <c r="AB602" s="5"/>
      <c r="AC602" s="5"/>
      <c r="AD602" s="5"/>
      <c r="AE602" s="5"/>
    </row>
    <row r="603">
      <c r="A603" s="14" t="s">
        <v>1085</v>
      </c>
      <c r="B603" s="19">
        <v>44295.91415509259</v>
      </c>
      <c r="C603" s="4">
        <v>49833.0</v>
      </c>
      <c r="D603" s="4" t="s">
        <v>1086</v>
      </c>
      <c r="E603" s="4">
        <v>9.17978295558E11</v>
      </c>
      <c r="F603" s="4">
        <v>16810.0</v>
      </c>
      <c r="G603" s="4"/>
      <c r="H603" s="4" t="s">
        <v>184</v>
      </c>
      <c r="I603" s="4"/>
      <c r="J603" s="4" t="s">
        <v>149</v>
      </c>
      <c r="K603" s="4">
        <v>199.0</v>
      </c>
      <c r="L603" s="4"/>
      <c r="M603" s="4">
        <v>199.0</v>
      </c>
      <c r="N603" s="4" t="s">
        <v>67</v>
      </c>
      <c r="O603" s="4" t="b">
        <v>0</v>
      </c>
      <c r="P603" s="4" t="s">
        <v>74</v>
      </c>
      <c r="Q603" s="4" t="s">
        <v>69</v>
      </c>
      <c r="R603" s="4"/>
      <c r="S603" s="4"/>
      <c r="T603" s="4"/>
      <c r="U603" s="7"/>
      <c r="V603" s="4"/>
      <c r="W603" s="4"/>
      <c r="X603" s="4"/>
      <c r="Y603" s="4"/>
      <c r="Z603" s="4"/>
      <c r="AA603" s="5"/>
      <c r="AB603" s="5"/>
      <c r="AC603" s="5"/>
      <c r="AD603" s="5"/>
      <c r="AE603" s="5"/>
    </row>
    <row r="604">
      <c r="A604" s="14" t="s">
        <v>1602</v>
      </c>
      <c r="B604" s="19">
        <v>44295.91394675926</v>
      </c>
      <c r="C604" s="4">
        <v>49813.0</v>
      </c>
      <c r="D604" s="4" t="s">
        <v>1603</v>
      </c>
      <c r="E604" s="4">
        <v>9.18008670621E11</v>
      </c>
      <c r="F604" s="4">
        <v>16797.0</v>
      </c>
      <c r="G604" s="4"/>
      <c r="H604" s="4" t="s">
        <v>1592</v>
      </c>
      <c r="I604" s="4"/>
      <c r="J604" s="4" t="s">
        <v>149</v>
      </c>
      <c r="K604" s="4">
        <v>149.0</v>
      </c>
      <c r="L604" s="4"/>
      <c r="M604" s="4">
        <v>149.0</v>
      </c>
      <c r="N604" s="4" t="s">
        <v>67</v>
      </c>
      <c r="O604" s="4" t="b">
        <v>0</v>
      </c>
      <c r="P604" s="4" t="s">
        <v>68</v>
      </c>
      <c r="Q604" s="4" t="s">
        <v>69</v>
      </c>
      <c r="R604" s="4"/>
      <c r="S604" s="4"/>
      <c r="T604" s="4"/>
      <c r="U604" s="7"/>
      <c r="V604" s="4"/>
      <c r="W604" s="4"/>
      <c r="X604" s="4"/>
      <c r="Y604" s="4"/>
      <c r="Z604" s="4"/>
      <c r="AA604" s="5"/>
      <c r="AB604" s="5"/>
      <c r="AC604" s="5"/>
      <c r="AD604" s="5"/>
      <c r="AE604" s="5"/>
    </row>
    <row r="605">
      <c r="A605" s="14" t="s">
        <v>1022</v>
      </c>
      <c r="B605" s="19">
        <v>44295.92209490741</v>
      </c>
      <c r="C605" s="4">
        <v>49877.0</v>
      </c>
      <c r="D605" s="4" t="s">
        <v>1023</v>
      </c>
      <c r="E605" s="4">
        <v>9.19130323747E11</v>
      </c>
      <c r="F605" s="4">
        <v>16762.0</v>
      </c>
      <c r="G605" s="4"/>
      <c r="H605" s="4" t="s">
        <v>280</v>
      </c>
      <c r="I605" s="4"/>
      <c r="J605" s="4" t="s">
        <v>85</v>
      </c>
      <c r="K605" s="4">
        <v>99.0</v>
      </c>
      <c r="L605" s="4"/>
      <c r="M605" s="4">
        <v>99.0</v>
      </c>
      <c r="N605" s="4" t="s">
        <v>67</v>
      </c>
      <c r="O605" s="4" t="b">
        <v>0</v>
      </c>
      <c r="P605" s="4" t="s">
        <v>68</v>
      </c>
      <c r="Q605" s="4" t="s">
        <v>69</v>
      </c>
      <c r="R605" s="4"/>
      <c r="S605" s="4"/>
      <c r="T605" s="4"/>
      <c r="U605" s="7"/>
      <c r="V605" s="4"/>
      <c r="W605" s="4"/>
      <c r="X605" s="4"/>
      <c r="Y605" s="4"/>
      <c r="Z605" s="4"/>
      <c r="AA605" s="5"/>
      <c r="AB605" s="5"/>
      <c r="AC605" s="5"/>
      <c r="AD605" s="5"/>
      <c r="AE605" s="5"/>
    </row>
    <row r="606">
      <c r="A606" s="14" t="s">
        <v>1075</v>
      </c>
      <c r="B606" s="19">
        <v>44294.96537037037</v>
      </c>
      <c r="C606" s="4">
        <v>49834.0</v>
      </c>
      <c r="D606" s="4" t="s">
        <v>1076</v>
      </c>
      <c r="E606" s="4">
        <v>9.18551941847E11</v>
      </c>
      <c r="F606" s="4">
        <v>16790.0</v>
      </c>
      <c r="G606" s="4"/>
      <c r="H606" s="4" t="s">
        <v>960</v>
      </c>
      <c r="I606" s="4"/>
      <c r="J606" s="4" t="s">
        <v>149</v>
      </c>
      <c r="K606" s="4">
        <v>199.0</v>
      </c>
      <c r="L606" s="4"/>
      <c r="M606" s="4">
        <v>199.0</v>
      </c>
      <c r="N606" s="4" t="s">
        <v>67</v>
      </c>
      <c r="O606" s="4" t="b">
        <v>0</v>
      </c>
      <c r="P606" s="4" t="s">
        <v>68</v>
      </c>
      <c r="Q606" s="4" t="s">
        <v>69</v>
      </c>
      <c r="R606" s="4"/>
      <c r="S606" s="4"/>
      <c r="T606" s="4"/>
      <c r="U606" s="7"/>
      <c r="V606" s="4"/>
      <c r="W606" s="4"/>
      <c r="X606" s="4"/>
      <c r="Y606" s="4"/>
      <c r="Z606" s="4"/>
      <c r="AA606" s="5"/>
      <c r="AB606" s="5"/>
      <c r="AC606" s="5"/>
      <c r="AD606" s="5"/>
      <c r="AE606" s="5"/>
    </row>
    <row r="607">
      <c r="A607" s="14" t="s">
        <v>1591</v>
      </c>
      <c r="B607" s="19">
        <v>44295.05244212963</v>
      </c>
      <c r="C607" s="4">
        <v>49813.0</v>
      </c>
      <c r="D607" s="4" t="s">
        <v>1593</v>
      </c>
      <c r="E607" s="4">
        <v>9.18527986928E11</v>
      </c>
      <c r="F607" s="4">
        <v>16862.0</v>
      </c>
      <c r="G607" s="4"/>
      <c r="H607" s="4" t="s">
        <v>1592</v>
      </c>
      <c r="I607" s="4"/>
      <c r="J607" s="4" t="s">
        <v>85</v>
      </c>
      <c r="K607" s="4">
        <v>299.0</v>
      </c>
      <c r="L607" s="4"/>
      <c r="M607" s="4">
        <v>299.0</v>
      </c>
      <c r="N607" s="4" t="s">
        <v>67</v>
      </c>
      <c r="O607" s="4" t="b">
        <v>0</v>
      </c>
      <c r="P607" s="4" t="s">
        <v>74</v>
      </c>
      <c r="Q607" s="4" t="s">
        <v>69</v>
      </c>
      <c r="R607" s="4"/>
      <c r="S607" s="4"/>
      <c r="T607" s="4"/>
      <c r="U607" s="7"/>
      <c r="V607" s="4"/>
      <c r="W607" s="4"/>
      <c r="X607" s="4"/>
      <c r="Y607" s="4"/>
      <c r="Z607" s="4"/>
      <c r="AA607" s="5"/>
      <c r="AB607" s="5"/>
      <c r="AC607" s="5"/>
      <c r="AD607" s="5"/>
      <c r="AE607" s="5"/>
    </row>
    <row r="608">
      <c r="A608" s="14" t="s">
        <v>1024</v>
      </c>
      <c r="B608" s="19">
        <v>44296.355787037035</v>
      </c>
      <c r="C608" s="4">
        <v>49948.0</v>
      </c>
      <c r="D608" s="4" t="s">
        <v>1026</v>
      </c>
      <c r="E608" s="4">
        <v>9.17339644424E11</v>
      </c>
      <c r="F608" s="4">
        <v>16803.0</v>
      </c>
      <c r="G608" s="4"/>
      <c r="H608" s="4" t="s">
        <v>1025</v>
      </c>
      <c r="I608" s="4"/>
      <c r="J608" s="4" t="s">
        <v>85</v>
      </c>
      <c r="K608" s="4">
        <v>199.0</v>
      </c>
      <c r="L608" s="4"/>
      <c r="M608" s="4">
        <v>199.0</v>
      </c>
      <c r="N608" s="4" t="s">
        <v>67</v>
      </c>
      <c r="O608" s="4" t="b">
        <v>0</v>
      </c>
      <c r="P608" s="4" t="s">
        <v>68</v>
      </c>
      <c r="Q608" s="4" t="s">
        <v>69</v>
      </c>
      <c r="R608" s="4"/>
      <c r="S608" s="4"/>
      <c r="T608" s="4"/>
      <c r="U608" s="7"/>
      <c r="V608" s="4"/>
      <c r="W608" s="4"/>
      <c r="X608" s="4"/>
      <c r="Y608" s="4"/>
      <c r="Z608" s="4"/>
      <c r="AA608" s="5"/>
      <c r="AB608" s="5"/>
      <c r="AC608" s="5"/>
      <c r="AD608" s="5"/>
      <c r="AE608" s="5"/>
    </row>
    <row r="609">
      <c r="A609" s="14" t="s">
        <v>1027</v>
      </c>
      <c r="B609" s="19">
        <v>44296.384560185186</v>
      </c>
      <c r="C609" s="4">
        <v>49877.0</v>
      </c>
      <c r="D609" s="4" t="s">
        <v>1028</v>
      </c>
      <c r="E609" s="4">
        <v>9.19871998481E11</v>
      </c>
      <c r="F609" s="4" t="s">
        <v>83</v>
      </c>
      <c r="G609" s="4"/>
      <c r="H609" s="4" t="s">
        <v>280</v>
      </c>
      <c r="I609" s="4"/>
      <c r="J609" s="4" t="s">
        <v>85</v>
      </c>
      <c r="K609" s="4">
        <v>99.0</v>
      </c>
      <c r="L609" s="4"/>
      <c r="M609" s="4">
        <v>99.0</v>
      </c>
      <c r="N609" s="4" t="s">
        <v>67</v>
      </c>
      <c r="O609" s="4" t="b">
        <v>0</v>
      </c>
      <c r="P609" s="4" t="s">
        <v>68</v>
      </c>
      <c r="Q609" s="4" t="s">
        <v>69</v>
      </c>
      <c r="R609" s="4"/>
      <c r="S609" s="4"/>
      <c r="T609" s="4"/>
      <c r="U609" s="7"/>
      <c r="V609" s="4"/>
      <c r="W609" s="4"/>
      <c r="X609" s="4"/>
      <c r="Y609" s="4"/>
      <c r="Z609" s="4"/>
      <c r="AA609" s="5"/>
      <c r="AB609" s="5"/>
      <c r="AC609" s="5"/>
      <c r="AD609" s="5"/>
      <c r="AE609" s="5"/>
    </row>
    <row r="610">
      <c r="A610" s="14" t="s">
        <v>1029</v>
      </c>
      <c r="B610" s="19">
        <v>44296.425578703704</v>
      </c>
      <c r="C610" s="4">
        <v>49833.0</v>
      </c>
      <c r="D610" s="4" t="s">
        <v>1030</v>
      </c>
      <c r="E610" s="4">
        <v>9.19930208383E11</v>
      </c>
      <c r="F610" s="4">
        <v>16770.0</v>
      </c>
      <c r="G610" s="4"/>
      <c r="H610" s="4" t="s">
        <v>184</v>
      </c>
      <c r="I610" s="4"/>
      <c r="J610" s="4" t="s">
        <v>85</v>
      </c>
      <c r="K610" s="4">
        <v>299.0</v>
      </c>
      <c r="L610" s="4"/>
      <c r="M610" s="4">
        <v>299.0</v>
      </c>
      <c r="N610" s="4" t="s">
        <v>67</v>
      </c>
      <c r="O610" s="4" t="b">
        <v>0</v>
      </c>
      <c r="P610" s="4" t="s">
        <v>68</v>
      </c>
      <c r="Q610" s="4" t="s">
        <v>69</v>
      </c>
      <c r="R610" s="4"/>
      <c r="S610" s="4"/>
      <c r="T610" s="4"/>
      <c r="U610" s="7"/>
      <c r="V610" s="4"/>
      <c r="W610" s="4"/>
      <c r="X610" s="4"/>
      <c r="Y610" s="4"/>
      <c r="Z610" s="4"/>
      <c r="AA610" s="5"/>
      <c r="AB610" s="5"/>
      <c r="AC610" s="5"/>
      <c r="AD610" s="5"/>
      <c r="AE610" s="5"/>
    </row>
    <row r="611">
      <c r="A611" s="14" t="s">
        <v>617</v>
      </c>
      <c r="B611" s="19">
        <v>44296.4340625</v>
      </c>
      <c r="C611" s="4">
        <v>49864.0</v>
      </c>
      <c r="D611" s="4" t="s">
        <v>618</v>
      </c>
      <c r="E611" s="4">
        <v>9.19445286758E11</v>
      </c>
      <c r="F611" s="4" t="s">
        <v>83</v>
      </c>
      <c r="G611" s="4"/>
      <c r="H611" s="4" t="s">
        <v>181</v>
      </c>
      <c r="I611" s="4"/>
      <c r="J611" s="4" t="s">
        <v>149</v>
      </c>
      <c r="K611" s="4">
        <v>99.0</v>
      </c>
      <c r="L611" s="4"/>
      <c r="M611" s="4">
        <v>99.0</v>
      </c>
      <c r="N611" s="4" t="s">
        <v>67</v>
      </c>
      <c r="O611" s="4" t="b">
        <v>0</v>
      </c>
      <c r="P611" s="4" t="s">
        <v>68</v>
      </c>
      <c r="Q611" s="4" t="s">
        <v>69</v>
      </c>
      <c r="R611" s="4"/>
      <c r="S611" s="4"/>
      <c r="T611" s="4"/>
      <c r="U611" s="8"/>
      <c r="V611" s="4"/>
      <c r="W611" s="4"/>
      <c r="X611" s="4"/>
      <c r="Y611" s="4"/>
      <c r="Z611" s="4"/>
      <c r="AA611" s="5"/>
      <c r="AB611" s="5"/>
      <c r="AC611" s="5"/>
      <c r="AD611" s="5"/>
      <c r="AE611" s="5"/>
    </row>
    <row r="612">
      <c r="A612" s="14" t="s">
        <v>1122</v>
      </c>
      <c r="B612" s="19">
        <v>44297.677708333336</v>
      </c>
      <c r="C612" s="4">
        <v>49833.0</v>
      </c>
      <c r="D612" s="4" t="s">
        <v>1123</v>
      </c>
      <c r="E612" s="4">
        <v>9.18097486489E11</v>
      </c>
      <c r="F612" s="4" t="s">
        <v>83</v>
      </c>
      <c r="G612" s="4"/>
      <c r="H612" s="4" t="s">
        <v>184</v>
      </c>
      <c r="I612" s="4"/>
      <c r="J612" s="4" t="s">
        <v>149</v>
      </c>
      <c r="K612" s="4">
        <v>199.0</v>
      </c>
      <c r="L612" s="4"/>
      <c r="M612" s="4">
        <v>199.0</v>
      </c>
      <c r="N612" s="4" t="s">
        <v>67</v>
      </c>
      <c r="O612" s="4" t="b">
        <v>0</v>
      </c>
      <c r="P612" s="4" t="s">
        <v>68</v>
      </c>
      <c r="Q612" s="4" t="s">
        <v>69</v>
      </c>
      <c r="R612" s="4"/>
      <c r="S612" s="4"/>
      <c r="T612" s="4"/>
      <c r="U612" s="7"/>
      <c r="V612" s="4"/>
      <c r="W612" s="4"/>
      <c r="X612" s="4"/>
      <c r="Y612" s="4"/>
      <c r="Z612" s="4"/>
      <c r="AA612" s="5"/>
      <c r="AB612" s="5"/>
      <c r="AC612" s="5"/>
      <c r="AD612" s="5"/>
      <c r="AE612" s="5"/>
    </row>
    <row r="613">
      <c r="A613" s="14" t="s">
        <v>1033</v>
      </c>
      <c r="B613" s="19">
        <v>44296.62023148148</v>
      </c>
      <c r="C613" s="4">
        <v>49958.0</v>
      </c>
      <c r="D613" s="4" t="s">
        <v>1034</v>
      </c>
      <c r="E613" s="4">
        <v>9.19410579952E11</v>
      </c>
      <c r="F613" s="4">
        <v>17458.0</v>
      </c>
      <c r="G613" s="4"/>
      <c r="H613" s="4" t="s">
        <v>858</v>
      </c>
      <c r="I613" s="4"/>
      <c r="J613" s="4" t="s">
        <v>85</v>
      </c>
      <c r="K613" s="4">
        <v>199.0</v>
      </c>
      <c r="L613" s="4"/>
      <c r="M613" s="4">
        <v>199.0</v>
      </c>
      <c r="N613" s="4" t="s">
        <v>67</v>
      </c>
      <c r="O613" s="4" t="b">
        <v>0</v>
      </c>
      <c r="P613" s="4" t="s">
        <v>97</v>
      </c>
      <c r="Q613" s="4" t="s">
        <v>69</v>
      </c>
      <c r="R613" s="4"/>
      <c r="S613" s="4"/>
      <c r="T613" s="4"/>
      <c r="U613" s="7"/>
      <c r="V613" s="4"/>
      <c r="W613" s="4"/>
      <c r="X613" s="4"/>
      <c r="Y613" s="4"/>
      <c r="Z613" s="4"/>
      <c r="AA613" s="5"/>
      <c r="AB613" s="5"/>
      <c r="AC613" s="5"/>
      <c r="AD613" s="5"/>
      <c r="AE613" s="5"/>
    </row>
    <row r="614">
      <c r="A614" s="14" t="s">
        <v>1073</v>
      </c>
      <c r="B614" s="19">
        <v>44297.70245370371</v>
      </c>
      <c r="C614" s="4">
        <v>49899.0</v>
      </c>
      <c r="D614" s="4" t="s">
        <v>1074</v>
      </c>
      <c r="E614" s="4">
        <v>9.19860474565E11</v>
      </c>
      <c r="F614" s="4">
        <v>16142.0</v>
      </c>
      <c r="G614" s="4"/>
      <c r="H614" s="4" t="s">
        <v>1016</v>
      </c>
      <c r="I614" s="4"/>
      <c r="J614" s="4" t="s">
        <v>85</v>
      </c>
      <c r="K614" s="4">
        <v>149.0</v>
      </c>
      <c r="L614" s="4"/>
      <c r="M614" s="4">
        <v>149.0</v>
      </c>
      <c r="N614" s="4" t="s">
        <v>67</v>
      </c>
      <c r="O614" s="4" t="b">
        <v>0</v>
      </c>
      <c r="P614" s="4" t="s">
        <v>68</v>
      </c>
      <c r="Q614" s="4" t="s">
        <v>69</v>
      </c>
      <c r="R614" s="4"/>
      <c r="S614" s="4"/>
      <c r="T614" s="4"/>
      <c r="U614" s="7"/>
      <c r="V614" s="4"/>
      <c r="W614" s="4"/>
      <c r="X614" s="4"/>
      <c r="Y614" s="4"/>
      <c r="Z614" s="4"/>
      <c r="AA614" s="5"/>
      <c r="AB614" s="5"/>
      <c r="AC614" s="5"/>
      <c r="AD614" s="5"/>
      <c r="AE614" s="5"/>
    </row>
    <row r="615">
      <c r="A615" s="14" t="s">
        <v>1124</v>
      </c>
      <c r="B615" s="19">
        <v>44297.70979166667</v>
      </c>
      <c r="C615" s="4">
        <v>49948.0</v>
      </c>
      <c r="D615" s="4" t="s">
        <v>1125</v>
      </c>
      <c r="E615" s="4">
        <v>9.17738022992E11</v>
      </c>
      <c r="F615" s="4">
        <v>16785.0</v>
      </c>
      <c r="G615" s="4"/>
      <c r="H615" s="4" t="s">
        <v>791</v>
      </c>
      <c r="I615" s="4"/>
      <c r="J615" s="4" t="s">
        <v>149</v>
      </c>
      <c r="K615" s="4">
        <v>99.0</v>
      </c>
      <c r="L615" s="4"/>
      <c r="M615" s="4">
        <v>99.0</v>
      </c>
      <c r="N615" s="4" t="s">
        <v>67</v>
      </c>
      <c r="O615" s="4" t="b">
        <v>0</v>
      </c>
      <c r="P615" s="4" t="s">
        <v>74</v>
      </c>
      <c r="Q615" s="4" t="s">
        <v>69</v>
      </c>
      <c r="R615" s="4"/>
      <c r="S615" s="4"/>
      <c r="T615" s="4"/>
      <c r="U615" s="7"/>
      <c r="V615" s="4"/>
      <c r="W615" s="4"/>
      <c r="X615" s="4"/>
      <c r="Y615" s="4"/>
      <c r="Z615" s="4"/>
      <c r="AA615" s="5"/>
      <c r="AB615" s="5"/>
      <c r="AC615" s="5"/>
      <c r="AD615" s="5"/>
      <c r="AE615" s="5"/>
    </row>
    <row r="616">
      <c r="A616" s="14" t="s">
        <v>1097</v>
      </c>
      <c r="B616" s="19">
        <v>44296.6505787037</v>
      </c>
      <c r="C616" s="4">
        <v>49834.0</v>
      </c>
      <c r="D616" s="4" t="s">
        <v>1098</v>
      </c>
      <c r="E616" s="4">
        <v>9.19823379973E11</v>
      </c>
      <c r="F616" s="4">
        <v>16773.0</v>
      </c>
      <c r="G616" s="4"/>
      <c r="H616" s="4" t="s">
        <v>960</v>
      </c>
      <c r="I616" s="4"/>
      <c r="J616" s="4" t="s">
        <v>149</v>
      </c>
      <c r="K616" s="4">
        <v>99.0</v>
      </c>
      <c r="L616" s="4"/>
      <c r="M616" s="4">
        <v>99.0</v>
      </c>
      <c r="N616" s="4" t="s">
        <v>67</v>
      </c>
      <c r="O616" s="4" t="b">
        <v>0</v>
      </c>
      <c r="P616" s="4" t="s">
        <v>68</v>
      </c>
      <c r="Q616" s="4" t="s">
        <v>69</v>
      </c>
      <c r="R616" s="4"/>
      <c r="S616" s="4"/>
      <c r="T616" s="4"/>
      <c r="U616" s="7"/>
      <c r="V616" s="4"/>
      <c r="W616" s="4"/>
      <c r="X616" s="4"/>
      <c r="Y616" s="4"/>
      <c r="Z616" s="4"/>
      <c r="AA616" s="5"/>
      <c r="AB616" s="5"/>
      <c r="AC616" s="5"/>
      <c r="AD616" s="5"/>
      <c r="AE616" s="5"/>
    </row>
    <row r="617">
      <c r="A617" s="14" t="s">
        <v>1128</v>
      </c>
      <c r="B617" s="19">
        <v>44297.73106481481</v>
      </c>
      <c r="C617" s="4">
        <v>49899.0</v>
      </c>
      <c r="D617" s="4" t="s">
        <v>1129</v>
      </c>
      <c r="E617" s="4">
        <v>9.1891931511E11</v>
      </c>
      <c r="F617" s="4">
        <v>16784.0</v>
      </c>
      <c r="G617" s="4"/>
      <c r="H617" s="4" t="s">
        <v>1016</v>
      </c>
      <c r="I617" s="4"/>
      <c r="J617" s="4" t="s">
        <v>149</v>
      </c>
      <c r="K617" s="4">
        <v>99.0</v>
      </c>
      <c r="L617" s="4"/>
      <c r="M617" s="4">
        <v>99.0</v>
      </c>
      <c r="N617" s="4" t="s">
        <v>67</v>
      </c>
      <c r="O617" s="4" t="b">
        <v>0</v>
      </c>
      <c r="P617" s="4" t="s">
        <v>68</v>
      </c>
      <c r="Q617" s="4" t="s">
        <v>69</v>
      </c>
      <c r="R617" s="4"/>
      <c r="S617" s="4"/>
      <c r="T617" s="4"/>
      <c r="U617" s="7"/>
      <c r="V617" s="4"/>
      <c r="W617" s="4"/>
      <c r="X617" s="4"/>
      <c r="Y617" s="4"/>
      <c r="Z617" s="4"/>
      <c r="AA617" s="5"/>
      <c r="AB617" s="5"/>
      <c r="AC617" s="5"/>
      <c r="AD617" s="5"/>
      <c r="AE617" s="5"/>
    </row>
    <row r="618">
      <c r="A618" s="14" t="s">
        <v>635</v>
      </c>
      <c r="B618" s="19">
        <v>44297.77990740741</v>
      </c>
      <c r="C618" s="4">
        <v>49864.0</v>
      </c>
      <c r="D618" s="4" t="s">
        <v>636</v>
      </c>
      <c r="E618" s="4">
        <v>9.19870264525E11</v>
      </c>
      <c r="F618" s="4">
        <v>11363.0</v>
      </c>
      <c r="G618" s="4"/>
      <c r="H618" s="4" t="s">
        <v>181</v>
      </c>
      <c r="I618" s="4"/>
      <c r="J618" s="4" t="s">
        <v>149</v>
      </c>
      <c r="K618" s="4">
        <v>99.0</v>
      </c>
      <c r="L618" s="4"/>
      <c r="M618" s="4">
        <v>99.0</v>
      </c>
      <c r="N618" s="4" t="s">
        <v>67</v>
      </c>
      <c r="O618" s="4" t="b">
        <v>0</v>
      </c>
      <c r="P618" s="4" t="s">
        <v>97</v>
      </c>
      <c r="Q618" s="4" t="s">
        <v>69</v>
      </c>
      <c r="R618" s="4"/>
      <c r="S618" s="4"/>
      <c r="T618" s="4"/>
      <c r="U618" s="7"/>
      <c r="V618" s="4"/>
      <c r="W618" s="4"/>
      <c r="X618" s="4"/>
      <c r="Y618" s="4"/>
      <c r="Z618" s="4"/>
      <c r="AA618" s="5"/>
      <c r="AB618" s="5"/>
      <c r="AC618" s="5"/>
      <c r="AD618" s="5"/>
      <c r="AE618" s="5"/>
    </row>
    <row r="619">
      <c r="A619" s="14" t="s">
        <v>1081</v>
      </c>
      <c r="B619" s="19">
        <v>44297.78275462963</v>
      </c>
      <c r="C619" s="4">
        <v>49899.0</v>
      </c>
      <c r="D619" s="4" t="s">
        <v>1082</v>
      </c>
      <c r="E619" s="4">
        <v>9.19602562899E11</v>
      </c>
      <c r="F619" s="4">
        <v>13007.0</v>
      </c>
      <c r="G619" s="4"/>
      <c r="H619" s="4" t="s">
        <v>1016</v>
      </c>
      <c r="I619" s="4"/>
      <c r="J619" s="4" t="s">
        <v>85</v>
      </c>
      <c r="K619" s="4">
        <v>149.0</v>
      </c>
      <c r="L619" s="4"/>
      <c r="M619" s="4">
        <v>149.0</v>
      </c>
      <c r="N619" s="4" t="s">
        <v>67</v>
      </c>
      <c r="O619" s="4" t="b">
        <v>0</v>
      </c>
      <c r="P619" s="4" t="s">
        <v>68</v>
      </c>
      <c r="Q619" s="4" t="s">
        <v>69</v>
      </c>
      <c r="R619" s="4"/>
      <c r="S619" s="4"/>
      <c r="T619" s="4"/>
      <c r="U619" s="7"/>
      <c r="V619" s="4"/>
      <c r="W619" s="4"/>
      <c r="X619" s="4"/>
      <c r="Y619" s="4"/>
      <c r="Z619" s="4"/>
      <c r="AA619" s="5"/>
      <c r="AB619" s="5"/>
      <c r="AC619" s="5"/>
      <c r="AD619" s="5"/>
      <c r="AE619" s="5"/>
    </row>
    <row r="620">
      <c r="A620" s="14" t="s">
        <v>1130</v>
      </c>
      <c r="B620" s="19">
        <v>44297.79148148148</v>
      </c>
      <c r="C620" s="4">
        <v>49833.0</v>
      </c>
      <c r="D620" s="4" t="s">
        <v>1131</v>
      </c>
      <c r="E620" s="4">
        <v>9.1992006585E11</v>
      </c>
      <c r="F620" s="4" t="s">
        <v>83</v>
      </c>
      <c r="G620" s="4"/>
      <c r="H620" s="4" t="s">
        <v>184</v>
      </c>
      <c r="I620" s="4"/>
      <c r="J620" s="4" t="s">
        <v>149</v>
      </c>
      <c r="K620" s="4">
        <v>199.0</v>
      </c>
      <c r="L620" s="4"/>
      <c r="M620" s="4">
        <v>199.0</v>
      </c>
      <c r="N620" s="4" t="s">
        <v>67</v>
      </c>
      <c r="O620" s="4" t="b">
        <v>0</v>
      </c>
      <c r="P620" s="4" t="s">
        <v>74</v>
      </c>
      <c r="Q620" s="4" t="s">
        <v>69</v>
      </c>
      <c r="R620" s="4"/>
      <c r="S620" s="4"/>
      <c r="T620" s="4"/>
      <c r="U620" s="7"/>
      <c r="V620" s="4"/>
      <c r="W620" s="4"/>
      <c r="X620" s="4"/>
      <c r="Y620" s="4"/>
      <c r="Z620" s="4"/>
      <c r="AA620" s="5"/>
      <c r="AB620" s="5"/>
      <c r="AC620" s="5"/>
      <c r="AD620" s="5"/>
      <c r="AE620" s="5"/>
    </row>
    <row r="621">
      <c r="A621" s="14" t="s">
        <v>1039</v>
      </c>
      <c r="B621" s="19">
        <v>44296.75460648148</v>
      </c>
      <c r="C621" s="4">
        <v>49877.0</v>
      </c>
      <c r="D621" s="4" t="s">
        <v>1040</v>
      </c>
      <c r="E621" s="4">
        <v>9.19805379172E11</v>
      </c>
      <c r="F621" s="4" t="s">
        <v>83</v>
      </c>
      <c r="G621" s="4"/>
      <c r="H621" s="4" t="s">
        <v>280</v>
      </c>
      <c r="I621" s="4"/>
      <c r="J621" s="4" t="s">
        <v>85</v>
      </c>
      <c r="K621" s="4">
        <v>99.0</v>
      </c>
      <c r="L621" s="4"/>
      <c r="M621" s="4">
        <v>99.0</v>
      </c>
      <c r="N621" s="4" t="s">
        <v>67</v>
      </c>
      <c r="O621" s="4" t="b">
        <v>0</v>
      </c>
      <c r="P621" s="4" t="s">
        <v>74</v>
      </c>
      <c r="Q621" s="4" t="s">
        <v>69</v>
      </c>
      <c r="R621" s="4"/>
      <c r="S621" s="4"/>
      <c r="T621" s="4"/>
      <c r="U621" s="7"/>
      <c r="V621" s="4"/>
      <c r="W621" s="4"/>
      <c r="X621" s="4"/>
      <c r="Y621" s="4"/>
      <c r="Z621" s="4"/>
      <c r="AA621" s="5"/>
      <c r="AB621" s="5"/>
      <c r="AC621" s="5"/>
      <c r="AD621" s="5"/>
      <c r="AE621" s="5"/>
    </row>
    <row r="622">
      <c r="A622" s="14" t="s">
        <v>1141</v>
      </c>
      <c r="B622" s="19">
        <v>44297.81758101852</v>
      </c>
      <c r="C622" s="4">
        <v>49899.0</v>
      </c>
      <c r="D622" s="4" t="s">
        <v>1142</v>
      </c>
      <c r="E622" s="4">
        <v>9.19304533843E11</v>
      </c>
      <c r="F622" s="4">
        <v>15685.0</v>
      </c>
      <c r="G622" s="4"/>
      <c r="H622" s="4" t="s">
        <v>1016</v>
      </c>
      <c r="I622" s="4"/>
      <c r="J622" s="4" t="s">
        <v>149</v>
      </c>
      <c r="K622" s="4">
        <v>99.0</v>
      </c>
      <c r="L622" s="4"/>
      <c r="M622" s="4">
        <v>99.0</v>
      </c>
      <c r="N622" s="4" t="s">
        <v>67</v>
      </c>
      <c r="O622" s="4" t="b">
        <v>0</v>
      </c>
      <c r="P622" s="4" t="s">
        <v>97</v>
      </c>
      <c r="Q622" s="4" t="s">
        <v>69</v>
      </c>
      <c r="R622" s="4"/>
      <c r="S622" s="4"/>
      <c r="T622" s="4"/>
      <c r="U622" s="7"/>
      <c r="V622" s="4"/>
      <c r="W622" s="4"/>
      <c r="X622" s="4"/>
      <c r="Y622" s="4"/>
      <c r="Z622" s="4"/>
      <c r="AA622" s="5"/>
      <c r="AB622" s="5"/>
      <c r="AC622" s="5"/>
      <c r="AD622" s="5"/>
      <c r="AE622" s="5"/>
    </row>
    <row r="623">
      <c r="A623" s="14" t="s">
        <v>1087</v>
      </c>
      <c r="B623" s="19">
        <v>44297.83739583333</v>
      </c>
      <c r="C623" s="4">
        <v>49899.0</v>
      </c>
      <c r="D623" s="4" t="s">
        <v>1088</v>
      </c>
      <c r="E623" s="4">
        <v>9.18055165881E11</v>
      </c>
      <c r="F623" s="4">
        <v>15594.0</v>
      </c>
      <c r="G623" s="4"/>
      <c r="H623" s="4" t="s">
        <v>1016</v>
      </c>
      <c r="I623" s="4"/>
      <c r="J623" s="4" t="s">
        <v>85</v>
      </c>
      <c r="K623" s="4">
        <v>149.0</v>
      </c>
      <c r="L623" s="4"/>
      <c r="M623" s="4">
        <v>149.0</v>
      </c>
      <c r="N623" s="4" t="s">
        <v>67</v>
      </c>
      <c r="O623" s="4" t="b">
        <v>0</v>
      </c>
      <c r="P623" s="4" t="s">
        <v>68</v>
      </c>
      <c r="Q623" s="4" t="s">
        <v>69</v>
      </c>
      <c r="R623" s="4"/>
      <c r="S623" s="4"/>
      <c r="T623" s="4"/>
      <c r="U623" s="7"/>
      <c r="V623" s="4"/>
      <c r="W623" s="4"/>
      <c r="X623" s="4"/>
      <c r="Y623" s="4"/>
      <c r="Z623" s="4"/>
      <c r="AA623" s="5"/>
      <c r="AB623" s="5"/>
      <c r="AC623" s="5"/>
      <c r="AD623" s="5"/>
      <c r="AE623" s="5"/>
    </row>
    <row r="624">
      <c r="A624" s="14" t="s">
        <v>586</v>
      </c>
      <c r="B624" s="19">
        <v>44297.86837962963</v>
      </c>
      <c r="C624" s="4">
        <v>49907.0</v>
      </c>
      <c r="D624" s="4" t="s">
        <v>588</v>
      </c>
      <c r="E624" s="4">
        <v>9.18892959914E11</v>
      </c>
      <c r="F624" s="4">
        <v>16883.0</v>
      </c>
      <c r="G624" s="4"/>
      <c r="H624" s="4" t="s">
        <v>587</v>
      </c>
      <c r="I624" s="4"/>
      <c r="J624" s="4" t="s">
        <v>77</v>
      </c>
      <c r="K624" s="4">
        <v>349.0</v>
      </c>
      <c r="L624" s="4"/>
      <c r="M624" s="4">
        <v>349.0</v>
      </c>
      <c r="N624" s="4" t="s">
        <v>67</v>
      </c>
      <c r="O624" s="4" t="b">
        <v>0</v>
      </c>
      <c r="P624" s="4" t="s">
        <v>68</v>
      </c>
      <c r="Q624" s="4" t="s">
        <v>69</v>
      </c>
      <c r="R624" s="4"/>
      <c r="S624" s="4"/>
      <c r="T624" s="4"/>
      <c r="U624" s="7"/>
      <c r="V624" s="4"/>
      <c r="W624" s="4"/>
      <c r="X624" s="4"/>
      <c r="Y624" s="4"/>
      <c r="Z624" s="4"/>
      <c r="AA624" s="5"/>
      <c r="AB624" s="5"/>
      <c r="AC624" s="5"/>
      <c r="AD624" s="5"/>
      <c r="AE624" s="5"/>
    </row>
    <row r="625">
      <c r="A625" s="14" t="s">
        <v>1091</v>
      </c>
      <c r="B625" s="19">
        <v>44297.868425925924</v>
      </c>
      <c r="C625" s="4">
        <v>49899.0</v>
      </c>
      <c r="D625" s="4" t="s">
        <v>1092</v>
      </c>
      <c r="E625" s="4">
        <v>9.19910694686E11</v>
      </c>
      <c r="F625" s="4">
        <v>16792.0</v>
      </c>
      <c r="G625" s="4"/>
      <c r="H625" s="4" t="s">
        <v>1016</v>
      </c>
      <c r="I625" s="4"/>
      <c r="J625" s="4" t="s">
        <v>85</v>
      </c>
      <c r="K625" s="4">
        <v>149.0</v>
      </c>
      <c r="L625" s="4"/>
      <c r="M625" s="4">
        <v>149.0</v>
      </c>
      <c r="N625" s="4" t="s">
        <v>67</v>
      </c>
      <c r="O625" s="4" t="b">
        <v>0</v>
      </c>
      <c r="P625" s="4" t="s">
        <v>74</v>
      </c>
      <c r="Q625" s="4" t="s">
        <v>69</v>
      </c>
      <c r="R625" s="4"/>
      <c r="S625" s="4"/>
      <c r="T625" s="4"/>
      <c r="U625" s="7"/>
      <c r="V625" s="4"/>
      <c r="W625" s="4"/>
      <c r="X625" s="4"/>
      <c r="Y625" s="4"/>
      <c r="Z625" s="4"/>
      <c r="AA625" s="5"/>
      <c r="AB625" s="5"/>
      <c r="AC625" s="5"/>
      <c r="AD625" s="5"/>
      <c r="AE625" s="5"/>
    </row>
    <row r="626">
      <c r="A626" s="14" t="s">
        <v>1093</v>
      </c>
      <c r="B626" s="19">
        <v>44297.86981481482</v>
      </c>
      <c r="C626" s="4">
        <v>49899.0</v>
      </c>
      <c r="D626" s="4" t="s">
        <v>1094</v>
      </c>
      <c r="E626" s="4">
        <v>9.19381998851E11</v>
      </c>
      <c r="F626" s="4">
        <v>13182.0</v>
      </c>
      <c r="G626" s="4"/>
      <c r="H626" s="4" t="s">
        <v>1016</v>
      </c>
      <c r="I626" s="4"/>
      <c r="J626" s="4" t="s">
        <v>77</v>
      </c>
      <c r="K626" s="4">
        <v>249.0</v>
      </c>
      <c r="L626" s="4"/>
      <c r="M626" s="4">
        <v>249.0</v>
      </c>
      <c r="N626" s="4" t="s">
        <v>67</v>
      </c>
      <c r="O626" s="4" t="b">
        <v>0</v>
      </c>
      <c r="P626" s="4" t="s">
        <v>68</v>
      </c>
      <c r="Q626" s="4" t="s">
        <v>69</v>
      </c>
      <c r="R626" s="4"/>
      <c r="S626" s="4"/>
      <c r="T626" s="4"/>
      <c r="U626" s="8"/>
      <c r="V626" s="4"/>
      <c r="W626" s="4"/>
      <c r="X626" s="4"/>
      <c r="Y626" s="4"/>
      <c r="Z626" s="4"/>
      <c r="AA626" s="5"/>
      <c r="AB626" s="5"/>
      <c r="AC626" s="5"/>
      <c r="AD626" s="5"/>
      <c r="AE626" s="5"/>
    </row>
    <row r="627">
      <c r="A627" s="14" t="s">
        <v>1095</v>
      </c>
      <c r="B627" s="19">
        <v>44297.87695601852</v>
      </c>
      <c r="C627" s="4">
        <v>49899.0</v>
      </c>
      <c r="D627" s="4" t="s">
        <v>1096</v>
      </c>
      <c r="E627" s="4">
        <v>9.18698626838E11</v>
      </c>
      <c r="F627" s="4">
        <v>16074.0</v>
      </c>
      <c r="G627" s="4"/>
      <c r="H627" s="4" t="s">
        <v>1016</v>
      </c>
      <c r="I627" s="4"/>
      <c r="J627" s="4" t="s">
        <v>77</v>
      </c>
      <c r="K627" s="4">
        <v>249.0</v>
      </c>
      <c r="L627" s="4"/>
      <c r="M627" s="4">
        <v>249.0</v>
      </c>
      <c r="N627" s="4" t="s">
        <v>67</v>
      </c>
      <c r="O627" s="4" t="b">
        <v>0</v>
      </c>
      <c r="P627" s="4" t="s">
        <v>68</v>
      </c>
      <c r="Q627" s="4" t="s">
        <v>69</v>
      </c>
      <c r="R627" s="4"/>
      <c r="S627" s="4"/>
      <c r="T627" s="4"/>
      <c r="U627" s="7"/>
      <c r="V627" s="4"/>
      <c r="W627" s="4"/>
      <c r="X627" s="4"/>
      <c r="Y627" s="4"/>
      <c r="Z627" s="4"/>
      <c r="AA627" s="5"/>
      <c r="AB627" s="5"/>
      <c r="AC627" s="5"/>
      <c r="AD627" s="5"/>
      <c r="AE627" s="5"/>
    </row>
    <row r="628">
      <c r="A628" s="14" t="s">
        <v>1099</v>
      </c>
      <c r="B628" s="19">
        <v>44296.87170138889</v>
      </c>
      <c r="C628" s="4">
        <v>49834.0</v>
      </c>
      <c r="D628" s="4" t="s">
        <v>1100</v>
      </c>
      <c r="E628" s="4">
        <v>9.198208606E11</v>
      </c>
      <c r="F628" s="4">
        <v>16777.0</v>
      </c>
      <c r="G628" s="4"/>
      <c r="H628" s="4" t="s">
        <v>960</v>
      </c>
      <c r="I628" s="4"/>
      <c r="J628" s="4" t="s">
        <v>149</v>
      </c>
      <c r="K628" s="4">
        <v>99.0</v>
      </c>
      <c r="L628" s="4"/>
      <c r="M628" s="4">
        <v>99.0</v>
      </c>
      <c r="N628" s="4" t="s">
        <v>67</v>
      </c>
      <c r="O628" s="4" t="b">
        <v>0</v>
      </c>
      <c r="P628" s="4" t="s">
        <v>74</v>
      </c>
      <c r="Q628" s="4" t="s">
        <v>69</v>
      </c>
      <c r="R628" s="4"/>
      <c r="S628" s="4"/>
      <c r="T628" s="4"/>
      <c r="U628" s="7"/>
      <c r="V628" s="4"/>
      <c r="W628" s="4"/>
      <c r="X628" s="4"/>
      <c r="Y628" s="4"/>
      <c r="Z628" s="4"/>
      <c r="AA628" s="5"/>
      <c r="AB628" s="5"/>
      <c r="AC628" s="5"/>
      <c r="AD628" s="5"/>
      <c r="AE628" s="5"/>
    </row>
    <row r="629">
      <c r="A629" s="14" t="s">
        <v>1147</v>
      </c>
      <c r="B629" s="19">
        <v>44297.915625</v>
      </c>
      <c r="C629" s="4">
        <v>49833.0</v>
      </c>
      <c r="D629" s="4" t="s">
        <v>1148</v>
      </c>
      <c r="E629" s="4">
        <v>9.17830542434E11</v>
      </c>
      <c r="F629" s="4">
        <v>17116.0</v>
      </c>
      <c r="G629" s="4"/>
      <c r="H629" s="4" t="s">
        <v>184</v>
      </c>
      <c r="I629" s="4"/>
      <c r="J629" s="4" t="s">
        <v>149</v>
      </c>
      <c r="K629" s="4">
        <v>199.0</v>
      </c>
      <c r="L629" s="4"/>
      <c r="M629" s="4">
        <v>199.0</v>
      </c>
      <c r="N629" s="4" t="s">
        <v>67</v>
      </c>
      <c r="O629" s="4" t="b">
        <v>0</v>
      </c>
      <c r="P629" s="4" t="s">
        <v>68</v>
      </c>
      <c r="Q629" s="4" t="s">
        <v>69</v>
      </c>
      <c r="R629" s="4"/>
      <c r="S629" s="4"/>
      <c r="T629" s="4"/>
      <c r="U629" s="7"/>
      <c r="V629" s="4"/>
      <c r="W629" s="4"/>
      <c r="X629" s="4"/>
      <c r="Y629" s="4"/>
      <c r="Z629" s="4"/>
      <c r="AA629" s="5"/>
      <c r="AB629" s="5"/>
      <c r="AC629" s="5"/>
      <c r="AD629" s="5"/>
      <c r="AE629" s="5"/>
    </row>
    <row r="630">
      <c r="A630" s="14" t="s">
        <v>1149</v>
      </c>
      <c r="B630" s="19">
        <v>44297.93415509259</v>
      </c>
      <c r="C630" s="4">
        <v>49833.0</v>
      </c>
      <c r="D630" s="4" t="s">
        <v>1150</v>
      </c>
      <c r="E630" s="4">
        <v>9.17028122777E11</v>
      </c>
      <c r="F630" s="4">
        <v>16813.0</v>
      </c>
      <c r="G630" s="4"/>
      <c r="H630" s="4" t="s">
        <v>184</v>
      </c>
      <c r="I630" s="4"/>
      <c r="J630" s="4" t="s">
        <v>149</v>
      </c>
      <c r="K630" s="4">
        <v>199.0</v>
      </c>
      <c r="L630" s="4"/>
      <c r="M630" s="4">
        <v>199.0</v>
      </c>
      <c r="N630" s="4" t="s">
        <v>67</v>
      </c>
      <c r="O630" s="4" t="b">
        <v>0</v>
      </c>
      <c r="P630" s="4" t="s">
        <v>68</v>
      </c>
      <c r="Q630" s="4" t="s">
        <v>69</v>
      </c>
      <c r="R630" s="4"/>
      <c r="S630" s="4"/>
      <c r="T630" s="4"/>
      <c r="U630" s="7"/>
      <c r="V630" s="4"/>
      <c r="W630" s="4"/>
      <c r="X630" s="4"/>
      <c r="Y630" s="4"/>
      <c r="Z630" s="4"/>
      <c r="AA630" s="5"/>
      <c r="AB630" s="5"/>
      <c r="AC630" s="5"/>
      <c r="AD630" s="5"/>
      <c r="AE630" s="5"/>
    </row>
    <row r="631">
      <c r="A631" s="14" t="s">
        <v>595</v>
      </c>
      <c r="B631" s="19">
        <v>44296.88471064815</v>
      </c>
      <c r="C631" s="4">
        <v>49907.0</v>
      </c>
      <c r="D631" s="4" t="s">
        <v>596</v>
      </c>
      <c r="E631" s="4">
        <v>9.19445180942E11</v>
      </c>
      <c r="F631" s="4">
        <v>16902.0</v>
      </c>
      <c r="G631" s="4"/>
      <c r="H631" s="4" t="s">
        <v>587</v>
      </c>
      <c r="I631" s="4"/>
      <c r="J631" s="4" t="s">
        <v>149</v>
      </c>
      <c r="K631" s="4">
        <v>99.0</v>
      </c>
      <c r="L631" s="4"/>
      <c r="M631" s="4">
        <v>99.0</v>
      </c>
      <c r="N631" s="4" t="s">
        <v>67</v>
      </c>
      <c r="O631" s="4" t="b">
        <v>0</v>
      </c>
      <c r="P631" s="4" t="s">
        <v>68</v>
      </c>
      <c r="Q631" s="4" t="s">
        <v>69</v>
      </c>
      <c r="R631" s="4"/>
      <c r="S631" s="4"/>
      <c r="T631" s="4"/>
      <c r="U631" s="7"/>
      <c r="V631" s="4"/>
      <c r="W631" s="4"/>
      <c r="X631" s="4"/>
      <c r="Y631" s="4"/>
      <c r="Z631" s="4"/>
      <c r="AA631" s="5"/>
      <c r="AB631" s="5"/>
      <c r="AC631" s="5"/>
      <c r="AD631" s="5"/>
      <c r="AE631" s="5"/>
    </row>
    <row r="632">
      <c r="A632" s="14" t="s">
        <v>1610</v>
      </c>
      <c r="B632" s="19">
        <v>44297.952893518515</v>
      </c>
      <c r="C632" s="4">
        <v>49813.0</v>
      </c>
      <c r="D632" s="4" t="s">
        <v>1611</v>
      </c>
      <c r="E632" s="4">
        <v>9.19527398831E11</v>
      </c>
      <c r="F632" s="4">
        <v>16804.0</v>
      </c>
      <c r="G632" s="4"/>
      <c r="H632" s="4" t="s">
        <v>1592</v>
      </c>
      <c r="I632" s="4"/>
      <c r="J632" s="4" t="s">
        <v>149</v>
      </c>
      <c r="K632" s="4">
        <v>149.0</v>
      </c>
      <c r="L632" s="4"/>
      <c r="M632" s="4">
        <v>149.0</v>
      </c>
      <c r="N632" s="4" t="s">
        <v>67</v>
      </c>
      <c r="O632" s="4" t="b">
        <v>0</v>
      </c>
      <c r="P632" s="4" t="s">
        <v>68</v>
      </c>
      <c r="Q632" s="4" t="s">
        <v>69</v>
      </c>
      <c r="R632" s="4"/>
      <c r="S632" s="4"/>
      <c r="T632" s="4"/>
      <c r="U632" s="7"/>
      <c r="V632" s="4"/>
      <c r="W632" s="4"/>
      <c r="X632" s="4"/>
      <c r="Y632" s="4"/>
      <c r="Z632" s="4"/>
      <c r="AA632" s="5"/>
      <c r="AB632" s="5"/>
      <c r="AC632" s="5"/>
      <c r="AD632" s="5"/>
      <c r="AE632" s="5"/>
    </row>
    <row r="633">
      <c r="A633" s="14" t="s">
        <v>637</v>
      </c>
      <c r="B633" s="19">
        <v>44297.95584490741</v>
      </c>
      <c r="C633" s="4">
        <v>49864.0</v>
      </c>
      <c r="D633" s="4" t="s">
        <v>638</v>
      </c>
      <c r="E633" s="4">
        <v>9.18638986402E11</v>
      </c>
      <c r="F633" s="4" t="s">
        <v>83</v>
      </c>
      <c r="G633" s="4"/>
      <c r="H633" s="4" t="s">
        <v>181</v>
      </c>
      <c r="I633" s="4"/>
      <c r="J633" s="4" t="s">
        <v>149</v>
      </c>
      <c r="K633" s="4">
        <v>99.0</v>
      </c>
      <c r="L633" s="4"/>
      <c r="M633" s="4">
        <v>99.0</v>
      </c>
      <c r="N633" s="4" t="s">
        <v>67</v>
      </c>
      <c r="O633" s="4" t="b">
        <v>0</v>
      </c>
      <c r="P633" s="4" t="s">
        <v>74</v>
      </c>
      <c r="Q633" s="4" t="s">
        <v>69</v>
      </c>
      <c r="R633" s="4"/>
      <c r="S633" s="4"/>
      <c r="T633" s="4"/>
      <c r="U633" s="7"/>
      <c r="V633" s="4"/>
      <c r="W633" s="4"/>
      <c r="X633" s="4"/>
      <c r="Y633" s="4"/>
      <c r="Z633" s="4"/>
      <c r="AA633" s="5"/>
      <c r="AB633" s="5"/>
      <c r="AC633" s="5"/>
      <c r="AD633" s="5"/>
      <c r="AE633" s="5"/>
    </row>
    <row r="634">
      <c r="A634" s="14" t="s">
        <v>1110</v>
      </c>
      <c r="B634" s="19">
        <v>44297.97445601852</v>
      </c>
      <c r="C634" s="4">
        <v>49899.0</v>
      </c>
      <c r="D634" s="4" t="s">
        <v>1111</v>
      </c>
      <c r="E634" s="4">
        <v>9.18763708663E11</v>
      </c>
      <c r="F634" s="4">
        <v>15952.0</v>
      </c>
      <c r="G634" s="4"/>
      <c r="H634" s="4" t="s">
        <v>1016</v>
      </c>
      <c r="I634" s="4"/>
      <c r="J634" s="4" t="s">
        <v>85</v>
      </c>
      <c r="K634" s="4">
        <v>149.0</v>
      </c>
      <c r="L634" s="4"/>
      <c r="M634" s="4">
        <v>149.0</v>
      </c>
      <c r="N634" s="4" t="s">
        <v>67</v>
      </c>
      <c r="O634" s="4" t="b">
        <v>0</v>
      </c>
      <c r="P634" s="4" t="s">
        <v>68</v>
      </c>
      <c r="Q634" s="4" t="s">
        <v>69</v>
      </c>
      <c r="R634" s="4"/>
      <c r="S634" s="4"/>
      <c r="T634" s="4"/>
      <c r="U634" s="7"/>
      <c r="V634" s="4"/>
      <c r="W634" s="4"/>
      <c r="X634" s="4"/>
      <c r="Y634" s="4"/>
      <c r="Z634" s="4"/>
      <c r="AA634" s="5"/>
      <c r="AB634" s="5"/>
      <c r="AC634" s="5"/>
      <c r="AD634" s="5"/>
      <c r="AE634" s="5"/>
    </row>
    <row r="635">
      <c r="A635" s="14" t="s">
        <v>621</v>
      </c>
      <c r="B635" s="19">
        <v>44297.965833333335</v>
      </c>
      <c r="C635" s="4">
        <v>49907.0</v>
      </c>
      <c r="D635" s="4" t="s">
        <v>622</v>
      </c>
      <c r="E635" s="4">
        <v>9.18113925474E11</v>
      </c>
      <c r="F635" s="4">
        <v>16799.0</v>
      </c>
      <c r="G635" s="4"/>
      <c r="H635" s="4" t="s">
        <v>587</v>
      </c>
      <c r="I635" s="4"/>
      <c r="J635" s="4" t="s">
        <v>85</v>
      </c>
      <c r="K635" s="4">
        <v>199.0</v>
      </c>
      <c r="L635" s="4"/>
      <c r="M635" s="4">
        <v>199.0</v>
      </c>
      <c r="N635" s="4" t="s">
        <v>67</v>
      </c>
      <c r="O635" s="4" t="b">
        <v>0</v>
      </c>
      <c r="P635" s="4" t="s">
        <v>74</v>
      </c>
      <c r="Q635" s="4" t="s">
        <v>69</v>
      </c>
      <c r="R635" s="4"/>
      <c r="S635" s="4"/>
      <c r="T635" s="4"/>
      <c r="U635" s="7"/>
      <c r="V635" s="4"/>
      <c r="W635" s="4"/>
      <c r="X635" s="4"/>
      <c r="Y635" s="4"/>
      <c r="Z635" s="4"/>
      <c r="AA635" s="5"/>
      <c r="AB635" s="5"/>
      <c r="AC635" s="5"/>
      <c r="AD635" s="5"/>
      <c r="AE635" s="5"/>
    </row>
    <row r="636">
      <c r="A636" s="14" t="s">
        <v>1046</v>
      </c>
      <c r="B636" s="19">
        <v>44296.927615740744</v>
      </c>
      <c r="C636" s="4">
        <v>49833.0</v>
      </c>
      <c r="D636" s="4" t="s">
        <v>1047</v>
      </c>
      <c r="E636" s="4">
        <v>9.17708767012E11</v>
      </c>
      <c r="F636" s="4" t="s">
        <v>83</v>
      </c>
      <c r="G636" s="4"/>
      <c r="H636" s="4" t="s">
        <v>184</v>
      </c>
      <c r="I636" s="4"/>
      <c r="J636" s="4" t="s">
        <v>85</v>
      </c>
      <c r="K636" s="4">
        <v>299.0</v>
      </c>
      <c r="L636" s="4"/>
      <c r="M636" s="4">
        <v>299.0</v>
      </c>
      <c r="N636" s="4" t="s">
        <v>67</v>
      </c>
      <c r="O636" s="4" t="b">
        <v>0</v>
      </c>
      <c r="P636" s="4" t="s">
        <v>68</v>
      </c>
      <c r="Q636" s="4" t="s">
        <v>69</v>
      </c>
      <c r="R636" s="4"/>
      <c r="S636" s="4"/>
      <c r="T636" s="4"/>
      <c r="U636" s="7"/>
      <c r="V636" s="4"/>
      <c r="W636" s="4"/>
      <c r="X636" s="4"/>
      <c r="Y636" s="4"/>
      <c r="Z636" s="4"/>
      <c r="AA636" s="5"/>
      <c r="AB636" s="5"/>
      <c r="AC636" s="5"/>
      <c r="AD636" s="5"/>
      <c r="AE636" s="5"/>
    </row>
    <row r="637">
      <c r="A637" s="14" t="s">
        <v>1108</v>
      </c>
      <c r="B637" s="19">
        <v>44297.97064814815</v>
      </c>
      <c r="C637" s="4">
        <v>49877.0</v>
      </c>
      <c r="D637" s="4" t="s">
        <v>1109</v>
      </c>
      <c r="E637" s="4">
        <v>9.18247036504E11</v>
      </c>
      <c r="F637" s="4">
        <v>17225.0</v>
      </c>
      <c r="G637" s="4"/>
      <c r="H637" s="4" t="s">
        <v>280</v>
      </c>
      <c r="I637" s="4"/>
      <c r="J637" s="4" t="s">
        <v>85</v>
      </c>
      <c r="K637" s="4">
        <v>99.0</v>
      </c>
      <c r="L637" s="4"/>
      <c r="M637" s="4">
        <v>99.0</v>
      </c>
      <c r="N637" s="4" t="s">
        <v>67</v>
      </c>
      <c r="O637" s="4" t="b">
        <v>0</v>
      </c>
      <c r="P637" s="4" t="s">
        <v>74</v>
      </c>
      <c r="Q637" s="4" t="s">
        <v>69</v>
      </c>
      <c r="R637" s="4"/>
      <c r="S637" s="4"/>
      <c r="T637" s="4"/>
      <c r="U637" s="7"/>
      <c r="V637" s="4"/>
      <c r="W637" s="4"/>
      <c r="X637" s="4"/>
      <c r="Y637" s="4"/>
      <c r="Z637" s="4"/>
      <c r="AA637" s="5"/>
      <c r="AB637" s="5"/>
      <c r="AC637" s="5"/>
      <c r="AD637" s="5"/>
      <c r="AE637" s="5"/>
    </row>
    <row r="638">
      <c r="A638" s="14" t="s">
        <v>1153</v>
      </c>
      <c r="B638" s="19">
        <v>44298.01283564815</v>
      </c>
      <c r="C638" s="4">
        <v>49993.0</v>
      </c>
      <c r="D638" s="4" t="s">
        <v>1154</v>
      </c>
      <c r="E638" s="4">
        <v>9.19740840621E11</v>
      </c>
      <c r="F638" s="4">
        <v>16873.0</v>
      </c>
      <c r="G638" s="4"/>
      <c r="H638" s="4" t="s">
        <v>1104</v>
      </c>
      <c r="I638" s="4"/>
      <c r="J638" s="4" t="s">
        <v>149</v>
      </c>
      <c r="K638" s="4">
        <v>99.0</v>
      </c>
      <c r="L638" s="4"/>
      <c r="M638" s="4">
        <v>99.0</v>
      </c>
      <c r="N638" s="4" t="s">
        <v>67</v>
      </c>
      <c r="O638" s="4" t="b">
        <v>0</v>
      </c>
      <c r="P638" s="4" t="s">
        <v>68</v>
      </c>
      <c r="Q638" s="4" t="s">
        <v>69</v>
      </c>
      <c r="R638" s="4"/>
      <c r="S638" s="4"/>
      <c r="T638" s="4"/>
      <c r="U638" s="7"/>
      <c r="V638" s="4"/>
      <c r="W638" s="4"/>
      <c r="X638" s="4"/>
      <c r="Y638" s="4"/>
      <c r="Z638" s="4"/>
      <c r="AA638" s="5"/>
      <c r="AB638" s="5"/>
      <c r="AC638" s="5"/>
      <c r="AD638" s="5"/>
      <c r="AE638" s="5"/>
    </row>
    <row r="639">
      <c r="A639" s="14" t="s">
        <v>1114</v>
      </c>
      <c r="B639" s="19">
        <v>44298.02390046296</v>
      </c>
      <c r="C639" s="4">
        <v>49899.0</v>
      </c>
      <c r="D639" s="4" t="s">
        <v>1115</v>
      </c>
      <c r="E639" s="4">
        <v>9.18619025126E11</v>
      </c>
      <c r="F639" s="4">
        <v>16794.0</v>
      </c>
      <c r="G639" s="4"/>
      <c r="H639" s="4" t="s">
        <v>1016</v>
      </c>
      <c r="I639" s="4"/>
      <c r="J639" s="4" t="s">
        <v>85</v>
      </c>
      <c r="K639" s="4">
        <v>149.0</v>
      </c>
      <c r="L639" s="4"/>
      <c r="M639" s="4">
        <v>149.0</v>
      </c>
      <c r="N639" s="4" t="s">
        <v>67</v>
      </c>
      <c r="O639" s="4" t="b">
        <v>0</v>
      </c>
      <c r="P639" s="4" t="s">
        <v>74</v>
      </c>
      <c r="Q639" s="4" t="s">
        <v>69</v>
      </c>
      <c r="R639" s="4"/>
      <c r="S639" s="4"/>
      <c r="T639" s="4"/>
      <c r="U639" s="7"/>
      <c r="V639" s="4"/>
      <c r="W639" s="4"/>
      <c r="X639" s="4"/>
      <c r="Y639" s="4"/>
      <c r="Z639" s="4"/>
      <c r="AA639" s="5"/>
      <c r="AB639" s="5"/>
      <c r="AC639" s="5"/>
      <c r="AD639" s="5"/>
      <c r="AE639" s="5"/>
    </row>
    <row r="640">
      <c r="A640" s="14" t="s">
        <v>1116</v>
      </c>
      <c r="B640" s="19">
        <v>44298.030706018515</v>
      </c>
      <c r="C640" s="4">
        <v>49877.0</v>
      </c>
      <c r="D640" s="4" t="s">
        <v>1117</v>
      </c>
      <c r="E640" s="4">
        <v>9.19891326328E11</v>
      </c>
      <c r="F640" s="4">
        <v>16801.0</v>
      </c>
      <c r="G640" s="4"/>
      <c r="H640" s="4" t="s">
        <v>280</v>
      </c>
      <c r="I640" s="4"/>
      <c r="J640" s="4" t="s">
        <v>85</v>
      </c>
      <c r="K640" s="4">
        <v>99.0</v>
      </c>
      <c r="L640" s="4"/>
      <c r="M640" s="4">
        <v>99.0</v>
      </c>
      <c r="N640" s="4" t="s">
        <v>67</v>
      </c>
      <c r="O640" s="4" t="b">
        <v>0</v>
      </c>
      <c r="P640" s="4" t="s">
        <v>74</v>
      </c>
      <c r="Q640" s="4" t="s">
        <v>69</v>
      </c>
      <c r="R640" s="4"/>
      <c r="S640" s="4"/>
      <c r="T640" s="4"/>
      <c r="U640" s="8"/>
      <c r="V640" s="4"/>
      <c r="W640" s="4"/>
      <c r="X640" s="4"/>
      <c r="Y640" s="4"/>
      <c r="Z640" s="4"/>
      <c r="AA640" s="5"/>
      <c r="AB640" s="5"/>
      <c r="AC640" s="5"/>
      <c r="AD640" s="5"/>
      <c r="AE640" s="5"/>
    </row>
    <row r="641">
      <c r="A641" s="14" t="s">
        <v>1159</v>
      </c>
      <c r="B641" s="19">
        <v>44298.05467592592</v>
      </c>
      <c r="C641" s="4">
        <v>49993.0</v>
      </c>
      <c r="D641" s="4" t="s">
        <v>1160</v>
      </c>
      <c r="E641" s="4">
        <v>9.19920425717E11</v>
      </c>
      <c r="F641" s="4">
        <v>16853.0</v>
      </c>
      <c r="G641" s="4"/>
      <c r="H641" s="4" t="s">
        <v>1104</v>
      </c>
      <c r="I641" s="4"/>
      <c r="J641" s="4" t="s">
        <v>149</v>
      </c>
      <c r="K641" s="4">
        <v>99.0</v>
      </c>
      <c r="L641" s="4"/>
      <c r="M641" s="4">
        <v>99.0</v>
      </c>
      <c r="N641" s="4" t="s">
        <v>67</v>
      </c>
      <c r="O641" s="4" t="b">
        <v>0</v>
      </c>
      <c r="P641" s="4" t="s">
        <v>68</v>
      </c>
      <c r="Q641" s="4" t="s">
        <v>69</v>
      </c>
      <c r="R641" s="4"/>
      <c r="S641" s="4"/>
      <c r="T641" s="4"/>
      <c r="U641" s="7"/>
      <c r="V641" s="4"/>
      <c r="W641" s="4"/>
      <c r="X641" s="4"/>
      <c r="Y641" s="4"/>
      <c r="Z641" s="4"/>
      <c r="AA641" s="5"/>
      <c r="AB641" s="5"/>
      <c r="AC641" s="5"/>
      <c r="AD641" s="5"/>
      <c r="AE641" s="5"/>
    </row>
    <row r="642">
      <c r="A642" s="14" t="s">
        <v>1120</v>
      </c>
      <c r="B642" s="19">
        <v>44298.08210648148</v>
      </c>
      <c r="C642" s="4">
        <v>49993.0</v>
      </c>
      <c r="D642" s="4" t="s">
        <v>1121</v>
      </c>
      <c r="E642" s="4">
        <v>9.19867390225E11</v>
      </c>
      <c r="F642" s="4" t="s">
        <v>83</v>
      </c>
      <c r="G642" s="4"/>
      <c r="H642" s="4" t="s">
        <v>1104</v>
      </c>
      <c r="I642" s="4"/>
      <c r="J642" s="4" t="s">
        <v>85</v>
      </c>
      <c r="K642" s="4">
        <v>199.0</v>
      </c>
      <c r="L642" s="4"/>
      <c r="M642" s="4">
        <v>199.0</v>
      </c>
      <c r="N642" s="4" t="s">
        <v>67</v>
      </c>
      <c r="O642" s="4" t="b">
        <v>0</v>
      </c>
      <c r="P642" s="4" t="s">
        <v>74</v>
      </c>
      <c r="Q642" s="4" t="s">
        <v>69</v>
      </c>
      <c r="R642" s="4"/>
      <c r="S642" s="4"/>
      <c r="T642" s="4"/>
      <c r="U642" s="7"/>
      <c r="V642" s="4"/>
      <c r="W642" s="4"/>
      <c r="X642" s="4"/>
      <c r="Y642" s="4"/>
      <c r="Z642" s="4"/>
      <c r="AA642" s="5"/>
      <c r="AB642" s="5"/>
      <c r="AC642" s="5"/>
      <c r="AD642" s="5"/>
      <c r="AE642" s="5"/>
    </row>
    <row r="643">
      <c r="A643" s="14" t="s">
        <v>1048</v>
      </c>
      <c r="B643" s="19">
        <v>44297.03372685185</v>
      </c>
      <c r="C643" s="4">
        <v>49877.0</v>
      </c>
      <c r="D643" s="4" t="s">
        <v>1049</v>
      </c>
      <c r="E643" s="4">
        <v>9.19944335899E11</v>
      </c>
      <c r="F643" s="4" t="s">
        <v>83</v>
      </c>
      <c r="G643" s="4"/>
      <c r="H643" s="4" t="s">
        <v>280</v>
      </c>
      <c r="I643" s="4"/>
      <c r="J643" s="4" t="s">
        <v>85</v>
      </c>
      <c r="K643" s="4">
        <v>99.0</v>
      </c>
      <c r="L643" s="4"/>
      <c r="M643" s="4">
        <v>99.0</v>
      </c>
      <c r="N643" s="4" t="s">
        <v>67</v>
      </c>
      <c r="O643" s="4" t="b">
        <v>0</v>
      </c>
      <c r="P643" s="4" t="s">
        <v>68</v>
      </c>
      <c r="Q643" s="4" t="s">
        <v>69</v>
      </c>
      <c r="R643" s="4"/>
      <c r="S643" s="4"/>
      <c r="T643" s="4"/>
      <c r="U643" s="7"/>
      <c r="V643" s="4"/>
      <c r="W643" s="4"/>
      <c r="X643" s="4"/>
      <c r="Y643" s="4"/>
      <c r="Z643" s="4"/>
      <c r="AA643" s="5"/>
      <c r="AB643" s="5"/>
      <c r="AC643" s="5"/>
      <c r="AD643" s="5"/>
      <c r="AE643" s="5"/>
    </row>
    <row r="644">
      <c r="A644" s="14" t="s">
        <v>639</v>
      </c>
      <c r="B644" s="19">
        <v>44298.169953703706</v>
      </c>
      <c r="C644" s="4">
        <v>49864.0</v>
      </c>
      <c r="D644" s="4" t="s">
        <v>640</v>
      </c>
      <c r="E644" s="4">
        <v>9.1809596145E11</v>
      </c>
      <c r="F644" s="4" t="s">
        <v>83</v>
      </c>
      <c r="G644" s="4"/>
      <c r="H644" s="4" t="s">
        <v>181</v>
      </c>
      <c r="I644" s="4"/>
      <c r="J644" s="4" t="s">
        <v>149</v>
      </c>
      <c r="K644" s="4">
        <v>99.0</v>
      </c>
      <c r="L644" s="4"/>
      <c r="M644" s="4">
        <v>99.0</v>
      </c>
      <c r="N644" s="4" t="s">
        <v>67</v>
      </c>
      <c r="O644" s="4" t="b">
        <v>0</v>
      </c>
      <c r="P644" s="4" t="s">
        <v>68</v>
      </c>
      <c r="Q644" s="4" t="s">
        <v>69</v>
      </c>
      <c r="R644" s="4"/>
      <c r="S644" s="4"/>
      <c r="T644" s="4"/>
      <c r="U644" s="7"/>
      <c r="V644" s="4"/>
      <c r="W644" s="4"/>
      <c r="X644" s="4"/>
      <c r="Y644" s="4"/>
      <c r="Z644" s="4"/>
      <c r="AA644" s="5"/>
      <c r="AB644" s="5"/>
      <c r="AC644" s="5"/>
      <c r="AD644" s="5"/>
      <c r="AE644" s="5"/>
    </row>
    <row r="645">
      <c r="A645" s="14" t="s">
        <v>1612</v>
      </c>
      <c r="B645" s="19">
        <v>44298.27909722222</v>
      </c>
      <c r="C645" s="4">
        <v>49813.0</v>
      </c>
      <c r="D645" s="4" t="s">
        <v>1613</v>
      </c>
      <c r="E645" s="4">
        <v>9.19901362862E11</v>
      </c>
      <c r="F645" s="4">
        <v>17201.0</v>
      </c>
      <c r="G645" s="4"/>
      <c r="H645" s="4" t="s">
        <v>1592</v>
      </c>
      <c r="I645" s="4"/>
      <c r="J645" s="4" t="s">
        <v>149</v>
      </c>
      <c r="K645" s="4">
        <v>149.0</v>
      </c>
      <c r="L645" s="4"/>
      <c r="M645" s="4">
        <v>149.0</v>
      </c>
      <c r="N645" s="4" t="s">
        <v>67</v>
      </c>
      <c r="O645" s="4" t="b">
        <v>0</v>
      </c>
      <c r="P645" s="4" t="s">
        <v>97</v>
      </c>
      <c r="Q645" s="4" t="s">
        <v>69</v>
      </c>
      <c r="R645" s="4"/>
      <c r="S645" s="4"/>
      <c r="T645" s="4"/>
      <c r="U645" s="7"/>
      <c r="V645" s="4"/>
      <c r="W645" s="4"/>
      <c r="X645" s="4"/>
      <c r="Y645" s="4"/>
      <c r="Z645" s="4"/>
      <c r="AA645" s="5"/>
      <c r="AB645" s="5"/>
      <c r="AC645" s="5"/>
      <c r="AD645" s="5"/>
      <c r="AE645" s="5"/>
    </row>
    <row r="646">
      <c r="A646" s="14" t="s">
        <v>1126</v>
      </c>
      <c r="B646" s="19">
        <v>44298.30474537037</v>
      </c>
      <c r="C646" s="4">
        <v>49877.0</v>
      </c>
      <c r="D646" s="4" t="s">
        <v>1127</v>
      </c>
      <c r="E646" s="4">
        <v>9.17975862096E11</v>
      </c>
      <c r="F646" s="4" t="s">
        <v>83</v>
      </c>
      <c r="G646" s="4"/>
      <c r="H646" s="4" t="s">
        <v>280</v>
      </c>
      <c r="I646" s="4"/>
      <c r="J646" s="4" t="s">
        <v>85</v>
      </c>
      <c r="K646" s="4">
        <v>99.0</v>
      </c>
      <c r="L646" s="4"/>
      <c r="M646" s="4">
        <v>99.0</v>
      </c>
      <c r="N646" s="4" t="s">
        <v>67</v>
      </c>
      <c r="O646" s="4" t="b">
        <v>0</v>
      </c>
      <c r="P646" s="4" t="s">
        <v>74</v>
      </c>
      <c r="Q646" s="4" t="s">
        <v>69</v>
      </c>
      <c r="R646" s="4"/>
      <c r="S646" s="4"/>
      <c r="T646" s="4"/>
      <c r="U646" s="7"/>
      <c r="V646" s="4"/>
      <c r="W646" s="4"/>
      <c r="X646" s="4"/>
      <c r="Y646" s="4"/>
      <c r="Z646" s="4"/>
      <c r="AA646" s="5"/>
      <c r="AB646" s="5"/>
      <c r="AC646" s="5"/>
      <c r="AD646" s="5"/>
      <c r="AE646" s="5"/>
    </row>
    <row r="647">
      <c r="A647" s="14" t="s">
        <v>1103</v>
      </c>
      <c r="B647" s="19">
        <v>44297.27148148148</v>
      </c>
      <c r="C647" s="4">
        <v>49993.0</v>
      </c>
      <c r="D647" s="4" t="s">
        <v>1105</v>
      </c>
      <c r="E647" s="4">
        <v>9.19995594286E11</v>
      </c>
      <c r="F647" s="4">
        <v>16775.0</v>
      </c>
      <c r="G647" s="4"/>
      <c r="H647" s="4" t="s">
        <v>1104</v>
      </c>
      <c r="I647" s="4"/>
      <c r="J647" s="4" t="s">
        <v>149</v>
      </c>
      <c r="K647" s="4">
        <v>99.0</v>
      </c>
      <c r="L647" s="4"/>
      <c r="M647" s="4">
        <v>99.0</v>
      </c>
      <c r="N647" s="4" t="s">
        <v>67</v>
      </c>
      <c r="O647" s="4" t="b">
        <v>0</v>
      </c>
      <c r="P647" s="4" t="s">
        <v>68</v>
      </c>
      <c r="Q647" s="4" t="s">
        <v>69</v>
      </c>
      <c r="R647" s="4"/>
      <c r="S647" s="4"/>
      <c r="T647" s="4"/>
      <c r="U647" s="7"/>
      <c r="V647" s="4"/>
      <c r="W647" s="4"/>
      <c r="X647" s="4"/>
      <c r="Y647" s="4"/>
      <c r="Z647" s="4"/>
      <c r="AA647" s="5"/>
      <c r="AB647" s="5"/>
      <c r="AC647" s="5"/>
      <c r="AD647" s="5"/>
      <c r="AE647" s="5"/>
    </row>
    <row r="648">
      <c r="A648" s="14" t="s">
        <v>1054</v>
      </c>
      <c r="B648" s="19">
        <v>44297.28863425926</v>
      </c>
      <c r="C648" s="4">
        <v>49877.0</v>
      </c>
      <c r="D648" s="4" t="s">
        <v>1055</v>
      </c>
      <c r="E648" s="4">
        <v>9.19637599591E11</v>
      </c>
      <c r="F648" s="4" t="s">
        <v>83</v>
      </c>
      <c r="G648" s="4"/>
      <c r="H648" s="4" t="s">
        <v>280</v>
      </c>
      <c r="I648" s="4"/>
      <c r="J648" s="4" t="s">
        <v>85</v>
      </c>
      <c r="K648" s="4">
        <v>99.0</v>
      </c>
      <c r="L648" s="4"/>
      <c r="M648" s="4">
        <v>99.0</v>
      </c>
      <c r="N648" s="4" t="s">
        <v>67</v>
      </c>
      <c r="O648" s="4" t="b">
        <v>0</v>
      </c>
      <c r="P648" s="4" t="s">
        <v>151</v>
      </c>
      <c r="Q648" s="4" t="s">
        <v>69</v>
      </c>
      <c r="R648" s="4"/>
      <c r="S648" s="4"/>
      <c r="T648" s="4"/>
      <c r="U648" s="7"/>
      <c r="V648" s="4"/>
      <c r="W648" s="4"/>
      <c r="X648" s="4"/>
      <c r="Y648" s="4"/>
      <c r="Z648" s="4"/>
      <c r="AA648" s="5"/>
      <c r="AB648" s="5"/>
      <c r="AC648" s="5"/>
      <c r="AD648" s="5"/>
      <c r="AE648" s="5"/>
    </row>
    <row r="649">
      <c r="A649" s="14" t="s">
        <v>1052</v>
      </c>
      <c r="B649" s="19">
        <v>44297.27322916667</v>
      </c>
      <c r="C649" s="4">
        <v>49844.0</v>
      </c>
      <c r="D649" s="4" t="s">
        <v>1053</v>
      </c>
      <c r="E649" s="4">
        <v>9.19798977977E11</v>
      </c>
      <c r="F649" s="4" t="s">
        <v>83</v>
      </c>
      <c r="G649" s="4"/>
      <c r="H649" s="4" t="s">
        <v>885</v>
      </c>
      <c r="I649" s="4"/>
      <c r="J649" s="4" t="s">
        <v>85</v>
      </c>
      <c r="K649" s="4">
        <v>299.0</v>
      </c>
      <c r="L649" s="4"/>
      <c r="M649" s="4">
        <v>299.0</v>
      </c>
      <c r="N649" s="4" t="s">
        <v>67</v>
      </c>
      <c r="O649" s="4" t="b">
        <v>0</v>
      </c>
      <c r="P649" s="4" t="s">
        <v>68</v>
      </c>
      <c r="Q649" s="4" t="s">
        <v>69</v>
      </c>
      <c r="R649" s="4"/>
      <c r="S649" s="4"/>
      <c r="T649" s="4"/>
      <c r="U649" s="7"/>
      <c r="V649" s="4"/>
      <c r="W649" s="4"/>
      <c r="X649" s="4"/>
      <c r="Y649" s="4"/>
      <c r="Z649" s="4"/>
      <c r="AA649" s="5"/>
      <c r="AB649" s="5"/>
      <c r="AC649" s="5"/>
      <c r="AD649" s="5"/>
      <c r="AE649" s="5"/>
    </row>
    <row r="650">
      <c r="A650" s="14" t="s">
        <v>1614</v>
      </c>
      <c r="B650" s="19">
        <v>44298.35155092592</v>
      </c>
      <c r="C650" s="4">
        <v>49813.0</v>
      </c>
      <c r="D650" s="4" t="s">
        <v>1615</v>
      </c>
      <c r="E650" s="4">
        <v>9.1968041459E11</v>
      </c>
      <c r="F650" s="4">
        <v>16842.0</v>
      </c>
      <c r="G650" s="4"/>
      <c r="H650" s="4" t="s">
        <v>1592</v>
      </c>
      <c r="I650" s="4"/>
      <c r="J650" s="4" t="s">
        <v>149</v>
      </c>
      <c r="K650" s="4">
        <v>149.0</v>
      </c>
      <c r="L650" s="4"/>
      <c r="M650" s="4">
        <v>149.0</v>
      </c>
      <c r="N650" s="4" t="s">
        <v>67</v>
      </c>
      <c r="O650" s="4" t="b">
        <v>0</v>
      </c>
      <c r="P650" s="4" t="s">
        <v>74</v>
      </c>
      <c r="Q650" s="4" t="s">
        <v>69</v>
      </c>
      <c r="R650" s="4"/>
      <c r="S650" s="4"/>
      <c r="T650" s="4"/>
      <c r="U650" s="7"/>
      <c r="V650" s="4"/>
      <c r="W650" s="4"/>
      <c r="X650" s="4"/>
      <c r="Y650" s="4"/>
      <c r="Z650" s="4"/>
      <c r="AA650" s="5"/>
      <c r="AB650" s="5"/>
      <c r="AC650" s="5"/>
      <c r="AD650" s="5"/>
      <c r="AE650" s="5"/>
    </row>
    <row r="651">
      <c r="A651" s="14" t="s">
        <v>1056</v>
      </c>
      <c r="B651" s="19">
        <v>44297.34627314815</v>
      </c>
      <c r="C651" s="4">
        <v>49899.0</v>
      </c>
      <c r="D651" s="4" t="s">
        <v>1057</v>
      </c>
      <c r="E651" s="4">
        <v>9.19964835699E11</v>
      </c>
      <c r="F651" s="4">
        <v>16782.0</v>
      </c>
      <c r="G651" s="4"/>
      <c r="H651" s="4" t="s">
        <v>1016</v>
      </c>
      <c r="I651" s="4"/>
      <c r="J651" s="4" t="s">
        <v>85</v>
      </c>
      <c r="K651" s="4">
        <v>149.0</v>
      </c>
      <c r="L651" s="4"/>
      <c r="M651" s="4">
        <v>149.0</v>
      </c>
      <c r="N651" s="4" t="s">
        <v>67</v>
      </c>
      <c r="O651" s="4" t="b">
        <v>0</v>
      </c>
      <c r="P651" s="4" t="s">
        <v>68</v>
      </c>
      <c r="Q651" s="4" t="s">
        <v>69</v>
      </c>
      <c r="R651" s="4"/>
      <c r="S651" s="4"/>
      <c r="T651" s="4"/>
      <c r="U651" s="7"/>
      <c r="V651" s="4"/>
      <c r="W651" s="4"/>
      <c r="X651" s="4"/>
      <c r="Y651" s="4"/>
      <c r="Z651" s="4"/>
      <c r="AA651" s="5"/>
      <c r="AB651" s="5"/>
      <c r="AC651" s="5"/>
      <c r="AD651" s="5"/>
      <c r="AE651" s="5"/>
    </row>
    <row r="652">
      <c r="A652" s="14" t="s">
        <v>623</v>
      </c>
      <c r="B652" s="19">
        <v>44298.410949074074</v>
      </c>
      <c r="C652" s="4">
        <v>49907.0</v>
      </c>
      <c r="D652" s="4" t="s">
        <v>624</v>
      </c>
      <c r="E652" s="4">
        <v>9.17007999702E11</v>
      </c>
      <c r="F652" s="4">
        <v>16915.0</v>
      </c>
      <c r="G652" s="4"/>
      <c r="H652" s="4" t="s">
        <v>587</v>
      </c>
      <c r="I652" s="4"/>
      <c r="J652" s="4" t="s">
        <v>149</v>
      </c>
      <c r="K652" s="4">
        <v>99.0</v>
      </c>
      <c r="L652" s="4"/>
      <c r="M652" s="4">
        <v>99.0</v>
      </c>
      <c r="N652" s="4" t="s">
        <v>67</v>
      </c>
      <c r="O652" s="4" t="b">
        <v>0</v>
      </c>
      <c r="P652" s="4" t="s">
        <v>68</v>
      </c>
      <c r="Q652" s="4" t="s">
        <v>69</v>
      </c>
      <c r="R652" s="4"/>
      <c r="S652" s="4"/>
      <c r="T652" s="4"/>
      <c r="U652" s="7"/>
      <c r="V652" s="4"/>
      <c r="W652" s="4"/>
      <c r="X652" s="4"/>
      <c r="Y652" s="4"/>
      <c r="Z652" s="4"/>
      <c r="AA652" s="5"/>
      <c r="AB652" s="5"/>
      <c r="AC652" s="5"/>
      <c r="AD652" s="5"/>
      <c r="AE652" s="5"/>
    </row>
    <row r="653">
      <c r="A653" s="14" t="s">
        <v>1058</v>
      </c>
      <c r="B653" s="19">
        <v>44297.370208333334</v>
      </c>
      <c r="C653" s="4">
        <v>49997.0</v>
      </c>
      <c r="D653" s="4" t="s">
        <v>1060</v>
      </c>
      <c r="E653" s="4">
        <v>9.19980809118E11</v>
      </c>
      <c r="F653" s="4" t="s">
        <v>83</v>
      </c>
      <c r="G653" s="4"/>
      <c r="H653" s="4" t="s">
        <v>1059</v>
      </c>
      <c r="I653" s="4"/>
      <c r="J653" s="4" t="s">
        <v>149</v>
      </c>
      <c r="K653" s="4">
        <v>99.0</v>
      </c>
      <c r="L653" s="4"/>
      <c r="M653" s="4">
        <v>99.0</v>
      </c>
      <c r="N653" s="4" t="s">
        <v>67</v>
      </c>
      <c r="O653" s="4" t="b">
        <v>0</v>
      </c>
      <c r="P653" s="4" t="s">
        <v>97</v>
      </c>
      <c r="Q653" s="4" t="s">
        <v>69</v>
      </c>
      <c r="R653" s="4"/>
      <c r="S653" s="4"/>
      <c r="T653" s="4"/>
      <c r="U653" s="7"/>
      <c r="V653" s="4"/>
      <c r="W653" s="4"/>
      <c r="X653" s="4"/>
      <c r="Y653" s="4"/>
      <c r="Z653" s="4"/>
      <c r="AA653" s="5"/>
      <c r="AB653" s="5"/>
      <c r="AC653" s="5"/>
      <c r="AD653" s="5"/>
      <c r="AE653" s="5"/>
    </row>
    <row r="654">
      <c r="A654" s="14" t="s">
        <v>1061</v>
      </c>
      <c r="B654" s="19">
        <v>44297.38707175926</v>
      </c>
      <c r="C654" s="4">
        <v>49877.0</v>
      </c>
      <c r="D654" s="4" t="s">
        <v>1062</v>
      </c>
      <c r="E654" s="4">
        <v>9.19934490988E11</v>
      </c>
      <c r="F654" s="4" t="s">
        <v>83</v>
      </c>
      <c r="G654" s="4"/>
      <c r="H654" s="4" t="s">
        <v>280</v>
      </c>
      <c r="I654" s="4"/>
      <c r="J654" s="4" t="s">
        <v>85</v>
      </c>
      <c r="K654" s="4">
        <v>99.0</v>
      </c>
      <c r="L654" s="4"/>
      <c r="M654" s="4">
        <v>99.0</v>
      </c>
      <c r="N654" s="4" t="s">
        <v>67</v>
      </c>
      <c r="O654" s="4" t="b">
        <v>0</v>
      </c>
      <c r="P654" s="4" t="s">
        <v>68</v>
      </c>
      <c r="Q654" s="4" t="s">
        <v>69</v>
      </c>
      <c r="R654" s="4"/>
      <c r="S654" s="4"/>
      <c r="T654" s="4"/>
      <c r="U654" s="7"/>
      <c r="V654" s="4"/>
      <c r="W654" s="4"/>
      <c r="X654" s="4"/>
      <c r="Y654" s="4"/>
      <c r="Z654" s="4"/>
      <c r="AA654" s="5"/>
      <c r="AB654" s="5"/>
      <c r="AC654" s="5"/>
      <c r="AD654" s="5"/>
      <c r="AE654" s="5"/>
    </row>
    <row r="655">
      <c r="A655" s="14" t="s">
        <v>1132</v>
      </c>
      <c r="B655" s="19">
        <v>44298.5105787037</v>
      </c>
      <c r="C655" s="4">
        <v>49859.0</v>
      </c>
      <c r="D655" s="4" t="s">
        <v>1134</v>
      </c>
      <c r="E655" s="4">
        <v>9.19654330123E11</v>
      </c>
      <c r="F655" s="4">
        <v>16800.0</v>
      </c>
      <c r="G655" s="4"/>
      <c r="H655" s="4" t="s">
        <v>1133</v>
      </c>
      <c r="I655" s="4"/>
      <c r="J655" s="4" t="s">
        <v>85</v>
      </c>
      <c r="K655" s="4">
        <v>199.0</v>
      </c>
      <c r="L655" s="4"/>
      <c r="M655" s="4">
        <v>199.0</v>
      </c>
      <c r="N655" s="4" t="s">
        <v>67</v>
      </c>
      <c r="O655" s="4" t="b">
        <v>0</v>
      </c>
      <c r="P655" s="4" t="s">
        <v>68</v>
      </c>
      <c r="Q655" s="4" t="s">
        <v>69</v>
      </c>
      <c r="R655" s="4"/>
      <c r="S655" s="4"/>
      <c r="T655" s="4"/>
      <c r="U655" s="7"/>
      <c r="V655" s="4"/>
      <c r="W655" s="4"/>
      <c r="X655" s="4"/>
      <c r="Y655" s="4"/>
      <c r="Z655" s="4"/>
      <c r="AA655" s="5"/>
      <c r="AB655" s="5"/>
      <c r="AC655" s="5"/>
      <c r="AD655" s="5"/>
      <c r="AE655" s="5"/>
    </row>
    <row r="656">
      <c r="A656" s="14" t="s">
        <v>1135</v>
      </c>
      <c r="B656" s="19">
        <v>44298.52625</v>
      </c>
      <c r="C656" s="4">
        <v>49997.0</v>
      </c>
      <c r="D656" s="4" t="s">
        <v>1136</v>
      </c>
      <c r="E656" s="4">
        <v>9.17411000295E11</v>
      </c>
      <c r="F656" s="4" t="s">
        <v>83</v>
      </c>
      <c r="G656" s="4"/>
      <c r="H656" s="4" t="s">
        <v>1059</v>
      </c>
      <c r="I656" s="4"/>
      <c r="J656" s="4" t="s">
        <v>149</v>
      </c>
      <c r="K656" s="4">
        <v>99.0</v>
      </c>
      <c r="L656" s="4"/>
      <c r="M656" s="4">
        <v>99.0</v>
      </c>
      <c r="N656" s="4" t="s">
        <v>67</v>
      </c>
      <c r="O656" s="4" t="b">
        <v>0</v>
      </c>
      <c r="P656" s="4" t="s">
        <v>68</v>
      </c>
      <c r="Q656" s="4" t="s">
        <v>69</v>
      </c>
      <c r="R656" s="4"/>
      <c r="S656" s="4"/>
      <c r="T656" s="4"/>
      <c r="U656" s="7"/>
      <c r="V656" s="4"/>
      <c r="W656" s="4"/>
      <c r="X656" s="4"/>
      <c r="Y656" s="4"/>
      <c r="Z656" s="4"/>
      <c r="AA656" s="5"/>
      <c r="AB656" s="5"/>
      <c r="AC656" s="5"/>
      <c r="AD656" s="5"/>
      <c r="AE656" s="5"/>
    </row>
    <row r="657">
      <c r="A657" s="14" t="s">
        <v>1137</v>
      </c>
      <c r="B657" s="19">
        <v>44298.54908564815</v>
      </c>
      <c r="C657" s="4">
        <v>49899.0</v>
      </c>
      <c r="D657" s="4" t="s">
        <v>1138</v>
      </c>
      <c r="E657" s="4">
        <v>9.17083846181E11</v>
      </c>
      <c r="F657" s="4">
        <v>16064.0</v>
      </c>
      <c r="G657" s="4"/>
      <c r="H657" s="4" t="s">
        <v>1016</v>
      </c>
      <c r="I657" s="4"/>
      <c r="J657" s="4" t="s">
        <v>85</v>
      </c>
      <c r="K657" s="4">
        <v>149.0</v>
      </c>
      <c r="L657" s="4"/>
      <c r="M657" s="4">
        <v>149.0</v>
      </c>
      <c r="N657" s="4" t="s">
        <v>67</v>
      </c>
      <c r="O657" s="4" t="b">
        <v>0</v>
      </c>
      <c r="P657" s="4" t="s">
        <v>68</v>
      </c>
      <c r="Q657" s="4" t="s">
        <v>69</v>
      </c>
      <c r="R657" s="4"/>
      <c r="S657" s="4"/>
      <c r="T657" s="4"/>
      <c r="U657" s="7"/>
      <c r="V657" s="4"/>
      <c r="W657" s="4"/>
      <c r="X657" s="4"/>
      <c r="Y657" s="4"/>
      <c r="Z657" s="4"/>
      <c r="AA657" s="5"/>
      <c r="AB657" s="5"/>
      <c r="AC657" s="5"/>
      <c r="AD657" s="5"/>
      <c r="AE657" s="5"/>
    </row>
    <row r="658">
      <c r="A658" s="14" t="s">
        <v>1063</v>
      </c>
      <c r="B658" s="19">
        <v>44297.49300925926</v>
      </c>
      <c r="C658" s="4">
        <v>49997.0</v>
      </c>
      <c r="D658" s="4" t="s">
        <v>1064</v>
      </c>
      <c r="E658" s="4">
        <v>9.19893147563E11</v>
      </c>
      <c r="F658" s="4" t="s">
        <v>83</v>
      </c>
      <c r="G658" s="4"/>
      <c r="H658" s="4" t="s">
        <v>1059</v>
      </c>
      <c r="I658" s="4"/>
      <c r="J658" s="4" t="s">
        <v>77</v>
      </c>
      <c r="K658" s="4">
        <v>349.0</v>
      </c>
      <c r="L658" s="4"/>
      <c r="M658" s="4">
        <v>349.0</v>
      </c>
      <c r="N658" s="4" t="s">
        <v>67</v>
      </c>
      <c r="O658" s="4" t="b">
        <v>0</v>
      </c>
      <c r="P658" s="4" t="s">
        <v>68</v>
      </c>
      <c r="Q658" s="4" t="s">
        <v>69</v>
      </c>
      <c r="R658" s="4"/>
      <c r="S658" s="4"/>
      <c r="T658" s="4"/>
      <c r="U658" s="7"/>
      <c r="V658" s="4"/>
      <c r="W658" s="4"/>
      <c r="X658" s="4"/>
      <c r="Y658" s="4"/>
      <c r="Z658" s="4"/>
      <c r="AA658" s="5"/>
      <c r="AB658" s="5"/>
      <c r="AC658" s="5"/>
      <c r="AD658" s="5"/>
      <c r="AE658" s="5"/>
    </row>
    <row r="659">
      <c r="A659" s="14" t="s">
        <v>1065</v>
      </c>
      <c r="B659" s="19">
        <v>44297.52475694445</v>
      </c>
      <c r="C659" s="4">
        <v>49877.0</v>
      </c>
      <c r="D659" s="4" t="s">
        <v>1066</v>
      </c>
      <c r="E659" s="4">
        <v>9.19145050291E11</v>
      </c>
      <c r="F659" s="4" t="s">
        <v>83</v>
      </c>
      <c r="G659" s="4"/>
      <c r="H659" s="4" t="s">
        <v>280</v>
      </c>
      <c r="I659" s="4"/>
      <c r="J659" s="4" t="s">
        <v>85</v>
      </c>
      <c r="K659" s="4">
        <v>99.0</v>
      </c>
      <c r="L659" s="4"/>
      <c r="M659" s="4">
        <v>99.0</v>
      </c>
      <c r="N659" s="4" t="s">
        <v>67</v>
      </c>
      <c r="O659" s="4" t="b">
        <v>0</v>
      </c>
      <c r="P659" s="4" t="s">
        <v>68</v>
      </c>
      <c r="Q659" s="4" t="s">
        <v>69</v>
      </c>
      <c r="R659" s="4"/>
      <c r="S659" s="4"/>
      <c r="T659" s="4"/>
      <c r="U659" s="8"/>
      <c r="V659" s="4"/>
      <c r="W659" s="4"/>
      <c r="X659" s="4"/>
      <c r="Y659" s="4"/>
      <c r="Z659" s="4"/>
      <c r="AA659" s="5"/>
      <c r="AB659" s="5"/>
      <c r="AC659" s="5"/>
      <c r="AD659" s="5"/>
      <c r="AE659" s="5"/>
    </row>
    <row r="660">
      <c r="A660" s="14" t="s">
        <v>1139</v>
      </c>
      <c r="B660" s="19">
        <v>44298.57041666667</v>
      </c>
      <c r="C660" s="4">
        <v>49899.0</v>
      </c>
      <c r="D660" s="4" t="s">
        <v>1140</v>
      </c>
      <c r="E660" s="4">
        <v>9.18888718913E11</v>
      </c>
      <c r="F660" s="4">
        <v>15616.0</v>
      </c>
      <c r="G660" s="4"/>
      <c r="H660" s="4" t="s">
        <v>1016</v>
      </c>
      <c r="I660" s="4"/>
      <c r="J660" s="4" t="s">
        <v>85</v>
      </c>
      <c r="K660" s="4">
        <v>149.0</v>
      </c>
      <c r="L660" s="4"/>
      <c r="M660" s="4">
        <v>149.0</v>
      </c>
      <c r="N660" s="4" t="s">
        <v>67</v>
      </c>
      <c r="O660" s="4" t="b">
        <v>0</v>
      </c>
      <c r="P660" s="4" t="s">
        <v>68</v>
      </c>
      <c r="Q660" s="4" t="s">
        <v>69</v>
      </c>
      <c r="R660" s="4"/>
      <c r="S660" s="4"/>
      <c r="T660" s="4"/>
      <c r="U660" s="7"/>
      <c r="V660" s="4"/>
      <c r="W660" s="4"/>
      <c r="X660" s="4"/>
      <c r="Y660" s="4"/>
      <c r="Z660" s="4"/>
      <c r="AA660" s="5"/>
      <c r="AB660" s="5"/>
      <c r="AC660" s="5"/>
      <c r="AD660" s="5"/>
      <c r="AE660" s="5"/>
    </row>
    <row r="661">
      <c r="A661" s="14" t="s">
        <v>625</v>
      </c>
      <c r="B661" s="19">
        <v>44298.57283564815</v>
      </c>
      <c r="C661" s="4">
        <v>49907.0</v>
      </c>
      <c r="D661" s="4" t="s">
        <v>626</v>
      </c>
      <c r="E661" s="4">
        <v>9.17045314165E11</v>
      </c>
      <c r="F661" s="4">
        <v>16882.0</v>
      </c>
      <c r="G661" s="4"/>
      <c r="H661" s="4" t="s">
        <v>587</v>
      </c>
      <c r="I661" s="4"/>
      <c r="J661" s="4" t="s">
        <v>149</v>
      </c>
      <c r="K661" s="4">
        <v>99.0</v>
      </c>
      <c r="L661" s="4"/>
      <c r="M661" s="4">
        <v>99.0</v>
      </c>
      <c r="N661" s="4" t="s">
        <v>67</v>
      </c>
      <c r="O661" s="4" t="b">
        <v>0</v>
      </c>
      <c r="P661" s="4" t="s">
        <v>74</v>
      </c>
      <c r="Q661" s="4" t="s">
        <v>69</v>
      </c>
      <c r="R661" s="4"/>
      <c r="S661" s="4"/>
      <c r="T661" s="4"/>
      <c r="U661" s="7"/>
      <c r="V661" s="4"/>
      <c r="W661" s="4"/>
      <c r="X661" s="4"/>
      <c r="Y661" s="4"/>
      <c r="Z661" s="4"/>
      <c r="AA661" s="5"/>
      <c r="AB661" s="5"/>
      <c r="AC661" s="5"/>
      <c r="AD661" s="5"/>
      <c r="AE661" s="5"/>
    </row>
    <row r="662">
      <c r="A662" s="14" t="s">
        <v>1143</v>
      </c>
      <c r="B662" s="19">
        <v>44298.57476851852</v>
      </c>
      <c r="C662" s="4">
        <v>49833.0</v>
      </c>
      <c r="D662" s="4" t="s">
        <v>1144</v>
      </c>
      <c r="E662" s="4">
        <v>9.19972733084E11</v>
      </c>
      <c r="F662" s="4">
        <v>17060.0</v>
      </c>
      <c r="G662" s="4"/>
      <c r="H662" s="4" t="s">
        <v>184</v>
      </c>
      <c r="I662" s="4"/>
      <c r="J662" s="4" t="s">
        <v>85</v>
      </c>
      <c r="K662" s="4">
        <v>299.0</v>
      </c>
      <c r="L662" s="4"/>
      <c r="M662" s="4">
        <v>299.0</v>
      </c>
      <c r="N662" s="4" t="s">
        <v>67</v>
      </c>
      <c r="O662" s="4" t="b">
        <v>0</v>
      </c>
      <c r="P662" s="4" t="s">
        <v>68</v>
      </c>
      <c r="Q662" s="4" t="s">
        <v>69</v>
      </c>
      <c r="R662" s="4"/>
      <c r="S662" s="4"/>
      <c r="T662" s="4"/>
      <c r="U662" s="7"/>
      <c r="V662" s="4"/>
      <c r="W662" s="4"/>
      <c r="X662" s="4"/>
      <c r="Y662" s="4"/>
      <c r="Z662" s="4"/>
      <c r="AA662" s="5"/>
      <c r="AB662" s="5"/>
      <c r="AC662" s="5"/>
      <c r="AD662" s="5"/>
      <c r="AE662" s="5"/>
    </row>
    <row r="663">
      <c r="A663" s="14" t="s">
        <v>1112</v>
      </c>
      <c r="B663" s="19">
        <v>44297.557800925926</v>
      </c>
      <c r="C663" s="4">
        <v>49834.0</v>
      </c>
      <c r="D663" s="4" t="s">
        <v>1113</v>
      </c>
      <c r="E663" s="4">
        <v>9.19108908279E11</v>
      </c>
      <c r="F663" s="4">
        <v>16817.0</v>
      </c>
      <c r="G663" s="4"/>
      <c r="H663" s="4" t="s">
        <v>960</v>
      </c>
      <c r="I663" s="4"/>
      <c r="J663" s="4" t="s">
        <v>149</v>
      </c>
      <c r="K663" s="4">
        <v>99.0</v>
      </c>
      <c r="L663" s="4"/>
      <c r="M663" s="4">
        <v>99.0</v>
      </c>
      <c r="N663" s="4" t="s">
        <v>67</v>
      </c>
      <c r="O663" s="4" t="b">
        <v>0</v>
      </c>
      <c r="P663" s="4" t="s">
        <v>68</v>
      </c>
      <c r="Q663" s="4" t="s">
        <v>69</v>
      </c>
      <c r="R663" s="4"/>
      <c r="S663" s="4"/>
      <c r="T663" s="4"/>
      <c r="U663" s="7"/>
      <c r="V663" s="4"/>
      <c r="W663" s="4"/>
      <c r="X663" s="4"/>
      <c r="Y663" s="4"/>
      <c r="Z663" s="4"/>
      <c r="AA663" s="5"/>
      <c r="AB663" s="5"/>
      <c r="AC663" s="5"/>
      <c r="AD663" s="5"/>
      <c r="AE663" s="5"/>
    </row>
    <row r="664">
      <c r="A664" s="14" t="s">
        <v>1608</v>
      </c>
      <c r="B664" s="19">
        <v>44298.62137731481</v>
      </c>
      <c r="C664" s="4">
        <v>49813.0</v>
      </c>
      <c r="D664" s="4" t="s">
        <v>1609</v>
      </c>
      <c r="E664" s="4">
        <v>9.1990383959E11</v>
      </c>
      <c r="F664" s="4">
        <v>16809.0</v>
      </c>
      <c r="G664" s="4"/>
      <c r="H664" s="4" t="s">
        <v>1592</v>
      </c>
      <c r="I664" s="4"/>
      <c r="J664" s="4" t="s">
        <v>77</v>
      </c>
      <c r="K664" s="4">
        <v>499.0</v>
      </c>
      <c r="L664" s="4"/>
      <c r="M664" s="4">
        <v>499.0</v>
      </c>
      <c r="N664" s="4" t="s">
        <v>67</v>
      </c>
      <c r="O664" s="4" t="b">
        <v>0</v>
      </c>
      <c r="P664" s="4" t="s">
        <v>74</v>
      </c>
      <c r="Q664" s="4" t="s">
        <v>69</v>
      </c>
      <c r="R664" s="4"/>
      <c r="S664" s="4"/>
      <c r="T664" s="4"/>
      <c r="U664" s="7"/>
      <c r="V664" s="4"/>
      <c r="W664" s="4"/>
      <c r="X664" s="4"/>
      <c r="Y664" s="4"/>
      <c r="Z664" s="4"/>
      <c r="AA664" s="5"/>
      <c r="AB664" s="5"/>
      <c r="AC664" s="5"/>
      <c r="AD664" s="5"/>
      <c r="AE664" s="5"/>
    </row>
    <row r="665">
      <c r="A665" s="14" t="s">
        <v>1511</v>
      </c>
      <c r="B665" s="19">
        <v>44297.59119212963</v>
      </c>
      <c r="C665" s="4">
        <v>49859.0</v>
      </c>
      <c r="D665" s="4" t="s">
        <v>1512</v>
      </c>
      <c r="E665" s="4">
        <v>9.17387655461E11</v>
      </c>
      <c r="F665" s="4">
        <v>14990.0</v>
      </c>
      <c r="G665" s="4"/>
      <c r="H665" s="4" t="s">
        <v>1507</v>
      </c>
      <c r="I665" s="4"/>
      <c r="J665" s="4" t="s">
        <v>149</v>
      </c>
      <c r="K665" s="4">
        <v>99.0</v>
      </c>
      <c r="L665" s="4"/>
      <c r="M665" s="4">
        <v>99.0</v>
      </c>
      <c r="N665" s="4" t="s">
        <v>67</v>
      </c>
      <c r="O665" s="4" t="b">
        <v>0</v>
      </c>
      <c r="P665" s="4" t="s">
        <v>68</v>
      </c>
      <c r="Q665" s="4" t="s">
        <v>69</v>
      </c>
      <c r="R665" s="4"/>
      <c r="S665" s="4"/>
      <c r="T665" s="4"/>
      <c r="U665" s="7"/>
      <c r="V665" s="4"/>
      <c r="W665" s="4"/>
      <c r="X665" s="4"/>
      <c r="Y665" s="4"/>
      <c r="Z665" s="4"/>
      <c r="AA665" s="5"/>
      <c r="AB665" s="5"/>
      <c r="AC665" s="5"/>
      <c r="AD665" s="5"/>
      <c r="AE665" s="5"/>
    </row>
    <row r="666">
      <c r="A666" s="14" t="s">
        <v>1173</v>
      </c>
      <c r="B666" s="19">
        <v>44298.65109953703</v>
      </c>
      <c r="C666" s="4">
        <v>49844.0</v>
      </c>
      <c r="D666" s="4" t="s">
        <v>1175</v>
      </c>
      <c r="E666" s="4">
        <v>9.19629870727E11</v>
      </c>
      <c r="F666" s="4">
        <v>16808.0</v>
      </c>
      <c r="G666" s="4"/>
      <c r="H666" s="4" t="s">
        <v>1174</v>
      </c>
      <c r="I666" s="4"/>
      <c r="J666" s="4" t="s">
        <v>149</v>
      </c>
      <c r="K666" s="4">
        <v>99.0</v>
      </c>
      <c r="L666" s="4"/>
      <c r="M666" s="4">
        <v>99.0</v>
      </c>
      <c r="N666" s="4" t="s">
        <v>67</v>
      </c>
      <c r="O666" s="4" t="b">
        <v>0</v>
      </c>
      <c r="P666" s="4" t="s">
        <v>97</v>
      </c>
      <c r="Q666" s="4" t="s">
        <v>69</v>
      </c>
      <c r="R666" s="4"/>
      <c r="S666" s="4"/>
      <c r="T666" s="4"/>
      <c r="U666" s="7"/>
      <c r="V666" s="4"/>
      <c r="W666" s="4"/>
      <c r="X666" s="4"/>
      <c r="Y666" s="4"/>
      <c r="Z666" s="4"/>
      <c r="AA666" s="5"/>
      <c r="AB666" s="5"/>
      <c r="AC666" s="5"/>
      <c r="AD666" s="5"/>
      <c r="AE666" s="5"/>
    </row>
    <row r="667">
      <c r="A667" s="14" t="s">
        <v>1176</v>
      </c>
      <c r="B667" s="19">
        <v>44298.777719907404</v>
      </c>
      <c r="C667" s="4">
        <v>49958.0</v>
      </c>
      <c r="D667" s="4" t="s">
        <v>1177</v>
      </c>
      <c r="E667" s="4">
        <v>9.19607799251E11</v>
      </c>
      <c r="F667" s="4">
        <v>16819.0</v>
      </c>
      <c r="G667" s="4"/>
      <c r="H667" s="4" t="s">
        <v>858</v>
      </c>
      <c r="I667" s="4"/>
      <c r="J667" s="4" t="s">
        <v>149</v>
      </c>
      <c r="K667" s="4">
        <v>99.0</v>
      </c>
      <c r="L667" s="4"/>
      <c r="M667" s="4">
        <v>99.0</v>
      </c>
      <c r="N667" s="4" t="s">
        <v>67</v>
      </c>
      <c r="O667" s="4" t="b">
        <v>0</v>
      </c>
      <c r="P667" s="4" t="s">
        <v>68</v>
      </c>
      <c r="Q667" s="4" t="s">
        <v>69</v>
      </c>
      <c r="R667" s="4"/>
      <c r="S667" s="4"/>
      <c r="T667" s="4"/>
      <c r="U667" s="7"/>
      <c r="V667" s="4"/>
      <c r="W667" s="4"/>
      <c r="X667" s="4"/>
      <c r="Y667" s="4"/>
      <c r="Z667" s="4"/>
      <c r="AA667" s="5"/>
      <c r="AB667" s="5"/>
      <c r="AC667" s="5"/>
      <c r="AD667" s="5"/>
      <c r="AE667" s="5"/>
    </row>
    <row r="668">
      <c r="A668" s="14" t="s">
        <v>1180</v>
      </c>
      <c r="B668" s="19">
        <v>44298.78569444444</v>
      </c>
      <c r="C668" s="4">
        <v>49993.0</v>
      </c>
      <c r="D668" s="4" t="s">
        <v>1181</v>
      </c>
      <c r="E668" s="4">
        <v>9.19995074501E11</v>
      </c>
      <c r="F668" s="4" t="s">
        <v>83</v>
      </c>
      <c r="G668" s="4"/>
      <c r="H668" s="4" t="s">
        <v>1104</v>
      </c>
      <c r="I668" s="4"/>
      <c r="J668" s="4" t="s">
        <v>149</v>
      </c>
      <c r="K668" s="4">
        <v>99.0</v>
      </c>
      <c r="L668" s="4"/>
      <c r="M668" s="4">
        <v>99.0</v>
      </c>
      <c r="N668" s="4" t="s">
        <v>67</v>
      </c>
      <c r="O668" s="4" t="b">
        <v>0</v>
      </c>
      <c r="P668" s="4" t="s">
        <v>68</v>
      </c>
      <c r="Q668" s="4" t="s">
        <v>69</v>
      </c>
      <c r="R668" s="4"/>
      <c r="S668" s="4"/>
      <c r="T668" s="4"/>
      <c r="U668" s="7"/>
      <c r="V668" s="4"/>
      <c r="W668" s="4"/>
      <c r="X668" s="4"/>
      <c r="Y668" s="4"/>
      <c r="Z668" s="4"/>
      <c r="AA668" s="5"/>
      <c r="AB668" s="5"/>
      <c r="AC668" s="5"/>
      <c r="AD668" s="5"/>
      <c r="AE668" s="5"/>
    </row>
    <row r="669">
      <c r="A669" s="14" t="s">
        <v>1182</v>
      </c>
      <c r="B669" s="19">
        <v>44298.78579861111</v>
      </c>
      <c r="C669" s="4">
        <v>49834.0</v>
      </c>
      <c r="D669" s="4" t="s">
        <v>1183</v>
      </c>
      <c r="E669" s="4">
        <v>9.18618924365E11</v>
      </c>
      <c r="F669" s="4" t="s">
        <v>83</v>
      </c>
      <c r="G669" s="4"/>
      <c r="H669" s="4" t="s">
        <v>960</v>
      </c>
      <c r="I669" s="4"/>
      <c r="J669" s="4" t="s">
        <v>149</v>
      </c>
      <c r="K669" s="4">
        <v>99.0</v>
      </c>
      <c r="L669" s="4"/>
      <c r="M669" s="4">
        <v>99.0</v>
      </c>
      <c r="N669" s="4" t="s">
        <v>67</v>
      </c>
      <c r="O669" s="4" t="b">
        <v>0</v>
      </c>
      <c r="P669" s="4" t="s">
        <v>68</v>
      </c>
      <c r="Q669" s="4" t="s">
        <v>69</v>
      </c>
      <c r="R669" s="4"/>
      <c r="S669" s="4"/>
      <c r="T669" s="4"/>
      <c r="U669" s="7"/>
      <c r="V669" s="4"/>
      <c r="W669" s="4"/>
      <c r="X669" s="4"/>
      <c r="Y669" s="4"/>
      <c r="Z669" s="4"/>
      <c r="AA669" s="5"/>
      <c r="AB669" s="5"/>
      <c r="AC669" s="5"/>
      <c r="AD669" s="5"/>
      <c r="AE669" s="5"/>
    </row>
    <row r="670">
      <c r="A670" s="14" t="s">
        <v>1155</v>
      </c>
      <c r="B670" s="19">
        <v>44298.816666666666</v>
      </c>
      <c r="C670" s="4">
        <v>49877.0</v>
      </c>
      <c r="D670" s="4" t="s">
        <v>1156</v>
      </c>
      <c r="E670" s="4">
        <v>9.19923576324E11</v>
      </c>
      <c r="F670" s="4" t="s">
        <v>83</v>
      </c>
      <c r="G670" s="4"/>
      <c r="H670" s="4" t="s">
        <v>280</v>
      </c>
      <c r="I670" s="4"/>
      <c r="J670" s="4" t="s">
        <v>85</v>
      </c>
      <c r="K670" s="4">
        <v>99.0</v>
      </c>
      <c r="L670" s="4"/>
      <c r="M670" s="4">
        <v>99.0</v>
      </c>
      <c r="N670" s="4" t="s">
        <v>67</v>
      </c>
      <c r="O670" s="4" t="b">
        <v>0</v>
      </c>
      <c r="P670" s="4" t="s">
        <v>68</v>
      </c>
      <c r="Q670" s="4" t="s">
        <v>69</v>
      </c>
      <c r="R670" s="4"/>
      <c r="S670" s="4"/>
      <c r="T670" s="4"/>
      <c r="U670" s="7"/>
      <c r="V670" s="4"/>
      <c r="W670" s="4"/>
      <c r="X670" s="4"/>
      <c r="Y670" s="4"/>
      <c r="Z670" s="4"/>
      <c r="AA670" s="5"/>
      <c r="AB670" s="5"/>
      <c r="AC670" s="5"/>
      <c r="AD670" s="5"/>
      <c r="AE670" s="5"/>
    </row>
    <row r="671">
      <c r="A671" s="14" t="s">
        <v>1157</v>
      </c>
      <c r="B671" s="19">
        <v>44298.81853009259</v>
      </c>
      <c r="C671" s="4">
        <v>49997.0</v>
      </c>
      <c r="D671" s="4" t="s">
        <v>1158</v>
      </c>
      <c r="E671" s="4">
        <v>9.1720895517E11</v>
      </c>
      <c r="F671" s="4">
        <v>16899.0</v>
      </c>
      <c r="G671" s="4"/>
      <c r="H671" s="4" t="s">
        <v>1059</v>
      </c>
      <c r="I671" s="4"/>
      <c r="J671" s="4" t="s">
        <v>149</v>
      </c>
      <c r="K671" s="4">
        <v>99.0</v>
      </c>
      <c r="L671" s="4"/>
      <c r="M671" s="4">
        <v>99.0</v>
      </c>
      <c r="N671" s="4" t="s">
        <v>67</v>
      </c>
      <c r="O671" s="4" t="b">
        <v>0</v>
      </c>
      <c r="P671" s="4" t="s">
        <v>68</v>
      </c>
      <c r="Q671" s="4" t="s">
        <v>69</v>
      </c>
      <c r="R671" s="4"/>
      <c r="S671" s="4"/>
      <c r="T671" s="4"/>
      <c r="U671" s="7"/>
      <c r="V671" s="4"/>
      <c r="W671" s="4"/>
      <c r="X671" s="4"/>
      <c r="Y671" s="4"/>
      <c r="Z671" s="4"/>
      <c r="AA671" s="5"/>
      <c r="AB671" s="5"/>
      <c r="AC671" s="5"/>
      <c r="AD671" s="5"/>
      <c r="AE671" s="5"/>
    </row>
    <row r="672">
      <c r="A672" s="14" t="s">
        <v>645</v>
      </c>
      <c r="B672" s="19">
        <v>44298.83697916667</v>
      </c>
      <c r="C672" s="4">
        <v>49864.0</v>
      </c>
      <c r="D672" s="4" t="s">
        <v>646</v>
      </c>
      <c r="E672" s="4">
        <v>9.19490314211E11</v>
      </c>
      <c r="F672" s="4">
        <v>17236.0</v>
      </c>
      <c r="G672" s="4"/>
      <c r="H672" s="4" t="s">
        <v>181</v>
      </c>
      <c r="I672" s="4"/>
      <c r="J672" s="4" t="s">
        <v>149</v>
      </c>
      <c r="K672" s="4">
        <v>99.0</v>
      </c>
      <c r="L672" s="4"/>
      <c r="M672" s="4">
        <v>99.0</v>
      </c>
      <c r="N672" s="4" t="s">
        <v>67</v>
      </c>
      <c r="O672" s="4" t="b">
        <v>0</v>
      </c>
      <c r="P672" s="4" t="s">
        <v>68</v>
      </c>
      <c r="Q672" s="4" t="s">
        <v>69</v>
      </c>
      <c r="R672" s="4"/>
      <c r="S672" s="4"/>
      <c r="T672" s="4"/>
      <c r="U672" s="8"/>
      <c r="V672" s="4"/>
      <c r="W672" s="4"/>
      <c r="X672" s="4"/>
      <c r="Y672" s="4"/>
      <c r="Z672" s="4"/>
      <c r="AA672" s="5"/>
      <c r="AB672" s="5"/>
      <c r="AC672" s="5"/>
      <c r="AD672" s="5"/>
      <c r="AE672" s="5"/>
    </row>
    <row r="673">
      <c r="A673" s="14" t="s">
        <v>1161</v>
      </c>
      <c r="B673" s="19">
        <v>44298.855104166665</v>
      </c>
      <c r="C673" s="4">
        <v>49877.0</v>
      </c>
      <c r="D673" s="4" t="s">
        <v>1162</v>
      </c>
      <c r="E673" s="4">
        <v>9.17506087782E11</v>
      </c>
      <c r="F673" s="4">
        <v>16821.0</v>
      </c>
      <c r="G673" s="4"/>
      <c r="H673" s="4" t="s">
        <v>280</v>
      </c>
      <c r="I673" s="4"/>
      <c r="J673" s="4" t="s">
        <v>85</v>
      </c>
      <c r="K673" s="4">
        <v>99.0</v>
      </c>
      <c r="L673" s="4"/>
      <c r="M673" s="4">
        <v>99.0</v>
      </c>
      <c r="N673" s="4" t="s">
        <v>67</v>
      </c>
      <c r="O673" s="4" t="b">
        <v>0</v>
      </c>
      <c r="P673" s="4" t="s">
        <v>74</v>
      </c>
      <c r="Q673" s="4" t="s">
        <v>69</v>
      </c>
      <c r="R673" s="4"/>
      <c r="S673" s="4"/>
      <c r="T673" s="4"/>
      <c r="U673" s="7"/>
      <c r="V673" s="4"/>
      <c r="W673" s="4"/>
      <c r="X673" s="4"/>
      <c r="Y673" s="4"/>
      <c r="Z673" s="4"/>
      <c r="AA673" s="5"/>
      <c r="AB673" s="5"/>
      <c r="AC673" s="5"/>
      <c r="AD673" s="5"/>
      <c r="AE673" s="5"/>
    </row>
    <row r="674">
      <c r="A674" s="14" t="s">
        <v>1184</v>
      </c>
      <c r="B674" s="19">
        <v>44298.88239583333</v>
      </c>
      <c r="C674" s="4">
        <v>49958.0</v>
      </c>
      <c r="D674" s="4" t="s">
        <v>1185</v>
      </c>
      <c r="E674" s="4">
        <v>9.19739693101E11</v>
      </c>
      <c r="F674" s="4" t="s">
        <v>83</v>
      </c>
      <c r="G674" s="4"/>
      <c r="H674" s="4" t="s">
        <v>858</v>
      </c>
      <c r="I674" s="4"/>
      <c r="J674" s="4" t="s">
        <v>149</v>
      </c>
      <c r="K674" s="4">
        <v>99.0</v>
      </c>
      <c r="L674" s="4"/>
      <c r="M674" s="4">
        <v>99.0</v>
      </c>
      <c r="N674" s="4" t="s">
        <v>67</v>
      </c>
      <c r="O674" s="4" t="b">
        <v>0</v>
      </c>
      <c r="P674" s="4" t="s">
        <v>68</v>
      </c>
      <c r="Q674" s="4" t="s">
        <v>69</v>
      </c>
      <c r="R674" s="4"/>
      <c r="S674" s="4"/>
      <c r="T674" s="4"/>
      <c r="U674" s="7"/>
      <c r="V674" s="4"/>
      <c r="W674" s="4"/>
      <c r="X674" s="4"/>
      <c r="Y674" s="4"/>
      <c r="Z674" s="4"/>
      <c r="AA674" s="5"/>
      <c r="AB674" s="5"/>
      <c r="AC674" s="5"/>
      <c r="AD674" s="5"/>
      <c r="AE674" s="5"/>
    </row>
    <row r="675">
      <c r="A675" s="14" t="s">
        <v>1186</v>
      </c>
      <c r="B675" s="19">
        <v>44298.912199074075</v>
      </c>
      <c r="C675" s="4">
        <v>49833.0</v>
      </c>
      <c r="D675" s="4" t="s">
        <v>1187</v>
      </c>
      <c r="E675" s="4">
        <v>9.17489413636E11</v>
      </c>
      <c r="F675" s="4" t="s">
        <v>83</v>
      </c>
      <c r="G675" s="4"/>
      <c r="H675" s="4" t="s">
        <v>184</v>
      </c>
      <c r="I675" s="4"/>
      <c r="J675" s="4" t="s">
        <v>149</v>
      </c>
      <c r="K675" s="4">
        <v>199.0</v>
      </c>
      <c r="L675" s="4"/>
      <c r="M675" s="4">
        <v>199.0</v>
      </c>
      <c r="N675" s="4" t="s">
        <v>67</v>
      </c>
      <c r="O675" s="4" t="b">
        <v>0</v>
      </c>
      <c r="P675" s="4" t="s">
        <v>68</v>
      </c>
      <c r="Q675" s="4" t="s">
        <v>69</v>
      </c>
      <c r="R675" s="4"/>
      <c r="S675" s="4"/>
      <c r="T675" s="4"/>
      <c r="U675" s="7"/>
      <c r="V675" s="4"/>
      <c r="W675" s="4"/>
      <c r="X675" s="4"/>
      <c r="Y675" s="4"/>
      <c r="Z675" s="4"/>
      <c r="AA675" s="5"/>
      <c r="AB675" s="5"/>
      <c r="AC675" s="5"/>
      <c r="AD675" s="5"/>
      <c r="AE675" s="5"/>
    </row>
    <row r="676">
      <c r="A676" s="14" t="s">
        <v>631</v>
      </c>
      <c r="B676" s="19">
        <v>44298.9384375</v>
      </c>
      <c r="C676" s="4">
        <v>49907.0</v>
      </c>
      <c r="D676" s="4" t="s">
        <v>632</v>
      </c>
      <c r="E676" s="4">
        <v>9.19989716007E11</v>
      </c>
      <c r="F676" s="4">
        <v>16887.0</v>
      </c>
      <c r="G676" s="4"/>
      <c r="H676" s="4" t="s">
        <v>587</v>
      </c>
      <c r="I676" s="4"/>
      <c r="J676" s="4" t="s">
        <v>149</v>
      </c>
      <c r="K676" s="4">
        <v>99.0</v>
      </c>
      <c r="L676" s="4"/>
      <c r="M676" s="4">
        <v>99.0</v>
      </c>
      <c r="N676" s="4" t="s">
        <v>67</v>
      </c>
      <c r="O676" s="4" t="b">
        <v>0</v>
      </c>
      <c r="P676" s="4" t="s">
        <v>151</v>
      </c>
      <c r="Q676" s="4" t="s">
        <v>69</v>
      </c>
      <c r="R676" s="4"/>
      <c r="S676" s="4"/>
      <c r="T676" s="4"/>
      <c r="U676" s="7"/>
      <c r="V676" s="4"/>
      <c r="W676" s="4"/>
      <c r="X676" s="4"/>
      <c r="Y676" s="4"/>
      <c r="Z676" s="4"/>
      <c r="AA676" s="5"/>
      <c r="AB676" s="5"/>
      <c r="AC676" s="5"/>
      <c r="AD676" s="5"/>
      <c r="AE676" s="5"/>
    </row>
    <row r="677">
      <c r="A677" s="14" t="s">
        <v>1171</v>
      </c>
      <c r="B677" s="19">
        <v>44298.945231481484</v>
      </c>
      <c r="C677" s="4">
        <v>49958.0</v>
      </c>
      <c r="D677" s="4" t="s">
        <v>1172</v>
      </c>
      <c r="E677" s="4">
        <v>9.17397574692E11</v>
      </c>
      <c r="F677" s="4">
        <v>17521.0</v>
      </c>
      <c r="G677" s="4"/>
      <c r="H677" s="4" t="s">
        <v>858</v>
      </c>
      <c r="I677" s="4"/>
      <c r="J677" s="4" t="s">
        <v>85</v>
      </c>
      <c r="K677" s="4">
        <v>199.0</v>
      </c>
      <c r="L677" s="4"/>
      <c r="M677" s="4">
        <v>199.0</v>
      </c>
      <c r="N677" s="4" t="s">
        <v>67</v>
      </c>
      <c r="O677" s="4" t="b">
        <v>0</v>
      </c>
      <c r="P677" s="4" t="s">
        <v>68</v>
      </c>
      <c r="Q677" s="4" t="s">
        <v>69</v>
      </c>
      <c r="R677" s="4"/>
      <c r="S677" s="4"/>
      <c r="T677" s="4"/>
      <c r="U677" s="7"/>
      <c r="V677" s="4"/>
      <c r="W677" s="4"/>
      <c r="X677" s="4"/>
      <c r="Y677" s="4"/>
      <c r="Z677" s="4"/>
      <c r="AA677" s="5"/>
      <c r="AB677" s="5"/>
      <c r="AC677" s="5"/>
      <c r="AD677" s="5"/>
      <c r="AE677" s="5"/>
    </row>
    <row r="678">
      <c r="A678" s="14" t="s">
        <v>1198</v>
      </c>
      <c r="B678" s="19">
        <v>44299.003483796296</v>
      </c>
      <c r="C678" s="4">
        <v>49993.0</v>
      </c>
      <c r="D678" s="4" t="s">
        <v>1199</v>
      </c>
      <c r="E678" s="4">
        <v>9.19330326274E11</v>
      </c>
      <c r="F678" s="4">
        <v>16858.0</v>
      </c>
      <c r="G678" s="4"/>
      <c r="H678" s="4" t="s">
        <v>1104</v>
      </c>
      <c r="I678" s="4"/>
      <c r="J678" s="4" t="s">
        <v>149</v>
      </c>
      <c r="K678" s="4">
        <v>99.0</v>
      </c>
      <c r="L678" s="4"/>
      <c r="M678" s="4">
        <v>99.0</v>
      </c>
      <c r="N678" s="4" t="s">
        <v>67</v>
      </c>
      <c r="O678" s="4" t="b">
        <v>0</v>
      </c>
      <c r="P678" s="4" t="s">
        <v>68</v>
      </c>
      <c r="Q678" s="4" t="s">
        <v>69</v>
      </c>
      <c r="R678" s="4"/>
      <c r="S678" s="4"/>
      <c r="T678" s="4"/>
      <c r="U678" s="8"/>
      <c r="V678" s="4"/>
      <c r="W678" s="4"/>
      <c r="X678" s="4"/>
      <c r="Y678" s="4"/>
      <c r="Z678" s="4"/>
      <c r="AA678" s="5"/>
      <c r="AB678" s="5"/>
      <c r="AC678" s="5"/>
      <c r="AD678" s="5"/>
      <c r="AE678" s="5"/>
    </row>
    <row r="679">
      <c r="A679" s="14" t="s">
        <v>1200</v>
      </c>
      <c r="B679" s="19">
        <v>44299.006423611114</v>
      </c>
      <c r="C679" s="4">
        <v>49958.0</v>
      </c>
      <c r="D679" s="4" t="s">
        <v>1201</v>
      </c>
      <c r="E679" s="4">
        <v>9.18552030051E11</v>
      </c>
      <c r="F679" s="4">
        <v>17494.0</v>
      </c>
      <c r="G679" s="4"/>
      <c r="H679" s="4" t="s">
        <v>858</v>
      </c>
      <c r="I679" s="4"/>
      <c r="J679" s="4" t="s">
        <v>149</v>
      </c>
      <c r="K679" s="4">
        <v>99.0</v>
      </c>
      <c r="L679" s="4"/>
      <c r="M679" s="4">
        <v>99.0</v>
      </c>
      <c r="N679" s="4" t="s">
        <v>67</v>
      </c>
      <c r="O679" s="4" t="b">
        <v>0</v>
      </c>
      <c r="P679" s="4" t="s">
        <v>68</v>
      </c>
      <c r="Q679" s="4" t="s">
        <v>69</v>
      </c>
      <c r="R679" s="4"/>
      <c r="S679" s="4"/>
      <c r="T679" s="4"/>
      <c r="U679" s="7"/>
      <c r="V679" s="4"/>
      <c r="W679" s="4"/>
      <c r="X679" s="4"/>
      <c r="Y679" s="4"/>
      <c r="Z679" s="4"/>
      <c r="AA679" s="5"/>
      <c r="AB679" s="5"/>
      <c r="AC679" s="5"/>
      <c r="AD679" s="5"/>
      <c r="AE679" s="5"/>
    </row>
    <row r="680">
      <c r="A680" s="14" t="s">
        <v>627</v>
      </c>
      <c r="B680" s="19">
        <v>44299.123819444445</v>
      </c>
      <c r="C680" s="4">
        <v>49907.0</v>
      </c>
      <c r="D680" s="4" t="s">
        <v>628</v>
      </c>
      <c r="E680" s="4">
        <v>9.19711912852E11</v>
      </c>
      <c r="F680" s="4">
        <v>16885.0</v>
      </c>
      <c r="G680" s="4"/>
      <c r="H680" s="4" t="s">
        <v>587</v>
      </c>
      <c r="I680" s="4"/>
      <c r="J680" s="4" t="s">
        <v>77</v>
      </c>
      <c r="K680" s="4">
        <v>349.0</v>
      </c>
      <c r="L680" s="4"/>
      <c r="M680" s="4">
        <v>349.0</v>
      </c>
      <c r="N680" s="4" t="s">
        <v>67</v>
      </c>
      <c r="O680" s="4" t="b">
        <v>0</v>
      </c>
      <c r="P680" s="4" t="s">
        <v>68</v>
      </c>
      <c r="Q680" s="4" t="s">
        <v>69</v>
      </c>
      <c r="R680" s="4"/>
      <c r="S680" s="4"/>
      <c r="T680" s="4"/>
      <c r="U680" s="7"/>
      <c r="V680" s="4"/>
      <c r="W680" s="4"/>
      <c r="X680" s="4"/>
      <c r="Y680" s="4"/>
      <c r="Z680" s="4"/>
      <c r="AA680" s="5"/>
      <c r="AB680" s="5"/>
      <c r="AC680" s="5"/>
      <c r="AD680" s="5"/>
      <c r="AE680" s="5"/>
    </row>
    <row r="681">
      <c r="A681" s="14" t="s">
        <v>147</v>
      </c>
      <c r="B681" s="19">
        <v>44299.29246527778</v>
      </c>
      <c r="C681" s="4">
        <v>49991.0</v>
      </c>
      <c r="D681" s="4" t="s">
        <v>150</v>
      </c>
      <c r="E681" s="4">
        <v>9.197360124E11</v>
      </c>
      <c r="F681" s="4">
        <v>16847.0</v>
      </c>
      <c r="G681" s="4"/>
      <c r="H681" s="4" t="s">
        <v>148</v>
      </c>
      <c r="I681" s="4"/>
      <c r="J681" s="4" t="s">
        <v>149</v>
      </c>
      <c r="K681" s="4">
        <v>99.0</v>
      </c>
      <c r="L681" s="4"/>
      <c r="M681" s="4">
        <v>99.0</v>
      </c>
      <c r="N681" s="4" t="s">
        <v>67</v>
      </c>
      <c r="O681" s="4" t="b">
        <v>0</v>
      </c>
      <c r="P681" s="4" t="s">
        <v>151</v>
      </c>
      <c r="Q681" s="4" t="s">
        <v>69</v>
      </c>
      <c r="R681" s="4"/>
      <c r="S681" s="4"/>
      <c r="T681" s="4"/>
      <c r="U681" s="7"/>
      <c r="V681" s="4"/>
      <c r="W681" s="4"/>
      <c r="X681" s="4"/>
      <c r="Y681" s="4"/>
      <c r="Z681" s="4"/>
      <c r="AA681" s="5"/>
      <c r="AB681" s="5"/>
      <c r="AC681" s="5"/>
      <c r="AD681" s="5"/>
      <c r="AE681" s="5"/>
    </row>
    <row r="682">
      <c r="A682" s="14" t="s">
        <v>1648</v>
      </c>
      <c r="B682" s="19">
        <v>44300.38497685185</v>
      </c>
      <c r="C682" s="4">
        <v>49813.0</v>
      </c>
      <c r="D682" s="4" t="s">
        <v>1649</v>
      </c>
      <c r="E682" s="4">
        <v>9.18882217169E11</v>
      </c>
      <c r="F682" s="4">
        <v>16843.0</v>
      </c>
      <c r="G682" s="4"/>
      <c r="H682" s="4" t="s">
        <v>1592</v>
      </c>
      <c r="I682" s="4"/>
      <c r="J682" s="4" t="s">
        <v>149</v>
      </c>
      <c r="K682" s="4">
        <v>149.0</v>
      </c>
      <c r="L682" s="4"/>
      <c r="M682" s="4">
        <v>149.0</v>
      </c>
      <c r="N682" s="4" t="s">
        <v>67</v>
      </c>
      <c r="O682" s="4" t="b">
        <v>0</v>
      </c>
      <c r="P682" s="4" t="s">
        <v>68</v>
      </c>
      <c r="Q682" s="4" t="s">
        <v>69</v>
      </c>
      <c r="R682" s="4"/>
      <c r="S682" s="4"/>
      <c r="T682" s="4"/>
      <c r="U682" s="7"/>
      <c r="V682" s="4"/>
      <c r="W682" s="4"/>
      <c r="X682" s="4"/>
      <c r="Y682" s="4"/>
      <c r="Z682" s="4"/>
      <c r="AA682" s="5"/>
      <c r="AB682" s="5"/>
      <c r="AC682" s="5"/>
      <c r="AD682" s="5"/>
      <c r="AE682" s="5"/>
    </row>
    <row r="683">
      <c r="A683" s="14" t="s">
        <v>1218</v>
      </c>
      <c r="B683" s="19">
        <v>44300.38789351852</v>
      </c>
      <c r="C683" s="4">
        <v>49877.0</v>
      </c>
      <c r="D683" s="4" t="s">
        <v>1219</v>
      </c>
      <c r="E683" s="4">
        <v>9.19845121768E11</v>
      </c>
      <c r="F683" s="4" t="s">
        <v>83</v>
      </c>
      <c r="G683" s="4"/>
      <c r="H683" s="4" t="s">
        <v>280</v>
      </c>
      <c r="I683" s="4"/>
      <c r="J683" s="4" t="s">
        <v>85</v>
      </c>
      <c r="K683" s="4">
        <v>99.0</v>
      </c>
      <c r="L683" s="4"/>
      <c r="M683" s="4">
        <v>99.0</v>
      </c>
      <c r="N683" s="4" t="s">
        <v>67</v>
      </c>
      <c r="O683" s="4" t="b">
        <v>0</v>
      </c>
      <c r="P683" s="4" t="s">
        <v>68</v>
      </c>
      <c r="Q683" s="4" t="s">
        <v>69</v>
      </c>
      <c r="R683" s="4"/>
      <c r="S683" s="4"/>
      <c r="T683" s="4"/>
      <c r="U683" s="7"/>
      <c r="V683" s="4"/>
      <c r="W683" s="4"/>
      <c r="X683" s="4"/>
      <c r="Y683" s="4"/>
      <c r="Z683" s="4"/>
      <c r="AA683" s="5"/>
      <c r="AB683" s="5"/>
      <c r="AC683" s="5"/>
      <c r="AD683" s="5"/>
      <c r="AE683" s="5"/>
    </row>
    <row r="684">
      <c r="A684" s="14" t="s">
        <v>1230</v>
      </c>
      <c r="B684" s="19">
        <v>44300.410219907404</v>
      </c>
      <c r="C684" s="4">
        <v>49833.0</v>
      </c>
      <c r="D684" s="4" t="s">
        <v>1231</v>
      </c>
      <c r="E684" s="4">
        <v>9.18954730725E11</v>
      </c>
      <c r="F684" s="4">
        <v>17109.0</v>
      </c>
      <c r="G684" s="4"/>
      <c r="H684" s="4" t="s">
        <v>184</v>
      </c>
      <c r="I684" s="4"/>
      <c r="J684" s="4" t="s">
        <v>149</v>
      </c>
      <c r="K684" s="4">
        <v>199.0</v>
      </c>
      <c r="L684" s="4"/>
      <c r="M684" s="4">
        <v>199.0</v>
      </c>
      <c r="N684" s="4" t="s">
        <v>67</v>
      </c>
      <c r="O684" s="4" t="b">
        <v>0</v>
      </c>
      <c r="P684" s="4" t="s">
        <v>68</v>
      </c>
      <c r="Q684" s="4" t="s">
        <v>69</v>
      </c>
      <c r="R684" s="4"/>
      <c r="S684" s="4"/>
      <c r="T684" s="4"/>
      <c r="U684" s="7"/>
      <c r="V684" s="4"/>
      <c r="W684" s="4"/>
      <c r="X684" s="4"/>
      <c r="Y684" s="4"/>
      <c r="Z684" s="4"/>
      <c r="AA684" s="5"/>
      <c r="AB684" s="5"/>
      <c r="AC684" s="5"/>
      <c r="AD684" s="5"/>
      <c r="AE684" s="5"/>
    </row>
    <row r="685">
      <c r="A685" s="14" t="s">
        <v>176</v>
      </c>
      <c r="B685" s="19">
        <v>44300.46527777778</v>
      </c>
      <c r="C685" s="4">
        <v>49991.0</v>
      </c>
      <c r="D685" s="4" t="s">
        <v>177</v>
      </c>
      <c r="E685" s="4">
        <v>9.19426320716E11</v>
      </c>
      <c r="F685" s="4">
        <v>16851.0</v>
      </c>
      <c r="G685" s="4"/>
      <c r="H685" s="4" t="s">
        <v>148</v>
      </c>
      <c r="I685" s="4"/>
      <c r="J685" s="4" t="s">
        <v>149</v>
      </c>
      <c r="K685" s="4">
        <v>99.0</v>
      </c>
      <c r="L685" s="4"/>
      <c r="M685" s="4">
        <v>99.0</v>
      </c>
      <c r="N685" s="4" t="s">
        <v>67</v>
      </c>
      <c r="O685" s="4" t="b">
        <v>0</v>
      </c>
      <c r="P685" s="4" t="s">
        <v>74</v>
      </c>
      <c r="Q685" s="4" t="s">
        <v>69</v>
      </c>
      <c r="R685" s="4"/>
      <c r="S685" s="4"/>
      <c r="T685" s="4"/>
      <c r="U685" s="7"/>
      <c r="V685" s="4"/>
      <c r="W685" s="4"/>
      <c r="X685" s="4"/>
      <c r="Y685" s="4"/>
      <c r="Z685" s="4"/>
      <c r="AA685" s="5"/>
      <c r="AB685" s="5"/>
      <c r="AC685" s="5"/>
      <c r="AD685" s="5"/>
      <c r="AE685" s="5"/>
    </row>
    <row r="686">
      <c r="A686" s="14" t="s">
        <v>1224</v>
      </c>
      <c r="B686" s="19">
        <v>44300.510462962964</v>
      </c>
      <c r="C686" s="4">
        <v>49997.0</v>
      </c>
      <c r="D686" s="4" t="s">
        <v>1225</v>
      </c>
      <c r="E686" s="4">
        <v>9.18989512695E11</v>
      </c>
      <c r="F686" s="4">
        <v>16836.0</v>
      </c>
      <c r="G686" s="4"/>
      <c r="H686" s="4" t="s">
        <v>1059</v>
      </c>
      <c r="I686" s="4"/>
      <c r="J686" s="4" t="s">
        <v>149</v>
      </c>
      <c r="K686" s="4">
        <v>99.0</v>
      </c>
      <c r="L686" s="4"/>
      <c r="M686" s="4">
        <v>99.0</v>
      </c>
      <c r="N686" s="4" t="s">
        <v>67</v>
      </c>
      <c r="O686" s="4" t="b">
        <v>0</v>
      </c>
      <c r="P686" s="4" t="s">
        <v>97</v>
      </c>
      <c r="Q686" s="4" t="s">
        <v>69</v>
      </c>
      <c r="R686" s="4"/>
      <c r="S686" s="4"/>
      <c r="T686" s="4"/>
      <c r="U686" s="7"/>
      <c r="V686" s="4"/>
      <c r="W686" s="4"/>
      <c r="X686" s="4"/>
      <c r="Y686" s="4"/>
      <c r="Z686" s="4"/>
      <c r="AA686" s="5"/>
      <c r="AB686" s="5"/>
      <c r="AC686" s="5"/>
      <c r="AD686" s="5"/>
      <c r="AE686" s="5"/>
    </row>
    <row r="687">
      <c r="A687" s="14" t="s">
        <v>1226</v>
      </c>
      <c r="B687" s="19">
        <v>44300.51693287037</v>
      </c>
      <c r="C687" s="4">
        <v>49997.0</v>
      </c>
      <c r="D687" s="4" t="s">
        <v>1227</v>
      </c>
      <c r="E687" s="4">
        <v>9.19681482727E11</v>
      </c>
      <c r="F687" s="4">
        <v>16846.0</v>
      </c>
      <c r="G687" s="4"/>
      <c r="H687" s="4" t="s">
        <v>1059</v>
      </c>
      <c r="I687" s="4"/>
      <c r="J687" s="4" t="s">
        <v>149</v>
      </c>
      <c r="K687" s="4">
        <v>99.0</v>
      </c>
      <c r="L687" s="4"/>
      <c r="M687" s="4">
        <v>99.0</v>
      </c>
      <c r="N687" s="4" t="s">
        <v>67</v>
      </c>
      <c r="O687" s="4" t="b">
        <v>0</v>
      </c>
      <c r="P687" s="4" t="s">
        <v>151</v>
      </c>
      <c r="Q687" s="4" t="s">
        <v>69</v>
      </c>
      <c r="R687" s="4"/>
      <c r="S687" s="4"/>
      <c r="T687" s="4"/>
      <c r="U687" s="7"/>
      <c r="V687" s="4"/>
      <c r="W687" s="4"/>
      <c r="X687" s="4"/>
      <c r="Y687" s="4"/>
      <c r="Z687" s="4"/>
      <c r="AA687" s="5"/>
      <c r="AB687" s="5"/>
      <c r="AC687" s="5"/>
      <c r="AD687" s="5"/>
      <c r="AE687" s="5"/>
    </row>
    <row r="688">
      <c r="A688" s="14" t="s">
        <v>158</v>
      </c>
      <c r="B688" s="19">
        <v>44300.60493055556</v>
      </c>
      <c r="C688" s="4">
        <v>49991.0</v>
      </c>
      <c r="D688" s="4" t="s">
        <v>159</v>
      </c>
      <c r="E688" s="4">
        <v>9.19511729052E11</v>
      </c>
      <c r="F688" s="4">
        <v>16894.0</v>
      </c>
      <c r="G688" s="4"/>
      <c r="H688" s="4" t="s">
        <v>148</v>
      </c>
      <c r="I688" s="4"/>
      <c r="J688" s="4" t="s">
        <v>85</v>
      </c>
      <c r="K688" s="4">
        <v>199.0</v>
      </c>
      <c r="L688" s="4"/>
      <c r="M688" s="4">
        <v>199.0</v>
      </c>
      <c r="N688" s="4" t="s">
        <v>67</v>
      </c>
      <c r="O688" s="4" t="b">
        <v>0</v>
      </c>
      <c r="P688" s="4" t="s">
        <v>74</v>
      </c>
      <c r="Q688" s="4" t="s">
        <v>69</v>
      </c>
      <c r="R688" s="4"/>
      <c r="S688" s="4"/>
      <c r="T688" s="4"/>
      <c r="U688" s="7"/>
      <c r="V688" s="4"/>
      <c r="W688" s="4"/>
      <c r="X688" s="4"/>
      <c r="Y688" s="4"/>
      <c r="Z688" s="4"/>
      <c r="AA688" s="5"/>
      <c r="AB688" s="5"/>
      <c r="AC688" s="5"/>
      <c r="AD688" s="5"/>
      <c r="AE688" s="5"/>
    </row>
    <row r="689">
      <c r="A689" s="14" t="s">
        <v>1206</v>
      </c>
      <c r="B689" s="19">
        <v>44299.54719907408</v>
      </c>
      <c r="C689" s="4">
        <v>49958.0</v>
      </c>
      <c r="D689" s="4" t="s">
        <v>1207</v>
      </c>
      <c r="E689" s="4">
        <v>9.19645402053E11</v>
      </c>
      <c r="F689" s="4" t="s">
        <v>83</v>
      </c>
      <c r="G689" s="4"/>
      <c r="H689" s="4" t="s">
        <v>858</v>
      </c>
      <c r="I689" s="4"/>
      <c r="J689" s="4" t="s">
        <v>149</v>
      </c>
      <c r="K689" s="4">
        <v>99.0</v>
      </c>
      <c r="L689" s="4"/>
      <c r="M689" s="4">
        <v>99.0</v>
      </c>
      <c r="N689" s="4" t="s">
        <v>67</v>
      </c>
      <c r="O689" s="4" t="b">
        <v>0</v>
      </c>
      <c r="P689" s="4" t="s">
        <v>68</v>
      </c>
      <c r="Q689" s="4" t="s">
        <v>69</v>
      </c>
      <c r="R689" s="4"/>
      <c r="S689" s="4"/>
      <c r="T689" s="4"/>
      <c r="U689" s="7"/>
      <c r="V689" s="4"/>
      <c r="W689" s="4"/>
      <c r="X689" s="4"/>
      <c r="Y689" s="4"/>
      <c r="Z689" s="4"/>
      <c r="AA689" s="5"/>
      <c r="AB689" s="5"/>
      <c r="AC689" s="5"/>
      <c r="AD689" s="5"/>
      <c r="AE689" s="5"/>
    </row>
    <row r="690">
      <c r="A690" s="14" t="s">
        <v>1652</v>
      </c>
      <c r="B690" s="19">
        <v>44300.6084837963</v>
      </c>
      <c r="C690" s="4">
        <v>49813.0</v>
      </c>
      <c r="D690" s="4" t="s">
        <v>1653</v>
      </c>
      <c r="E690" s="4">
        <v>9.19971037565E11</v>
      </c>
      <c r="F690" s="4">
        <v>17290.0</v>
      </c>
      <c r="G690" s="4"/>
      <c r="H690" s="4" t="s">
        <v>1592</v>
      </c>
      <c r="I690" s="4"/>
      <c r="J690" s="4" t="s">
        <v>149</v>
      </c>
      <c r="K690" s="4">
        <v>149.0</v>
      </c>
      <c r="L690" s="4"/>
      <c r="M690" s="4">
        <v>149.0</v>
      </c>
      <c r="N690" s="4" t="s">
        <v>67</v>
      </c>
      <c r="O690" s="4" t="b">
        <v>0</v>
      </c>
      <c r="P690" s="4" t="s">
        <v>97</v>
      </c>
      <c r="Q690" s="4" t="s">
        <v>69</v>
      </c>
      <c r="R690" s="4"/>
      <c r="S690" s="4"/>
      <c r="T690" s="4"/>
      <c r="U690" s="7"/>
      <c r="V690" s="4"/>
      <c r="W690" s="4"/>
      <c r="X690" s="4"/>
      <c r="Y690" s="4"/>
      <c r="Z690" s="4"/>
      <c r="AA690" s="5"/>
      <c r="AB690" s="5"/>
      <c r="AC690" s="5"/>
      <c r="AD690" s="5"/>
      <c r="AE690" s="5"/>
    </row>
    <row r="691">
      <c r="A691" s="14" t="s">
        <v>653</v>
      </c>
      <c r="B691" s="19">
        <v>44299.55148148148</v>
      </c>
      <c r="C691" s="4">
        <v>49864.0</v>
      </c>
      <c r="D691" s="4" t="s">
        <v>654</v>
      </c>
      <c r="E691" s="4">
        <v>9.18889222542E11</v>
      </c>
      <c r="F691" s="4" t="s">
        <v>83</v>
      </c>
      <c r="G691" s="4"/>
      <c r="H691" s="4" t="s">
        <v>181</v>
      </c>
      <c r="I691" s="4"/>
      <c r="J691" s="4" t="s">
        <v>149</v>
      </c>
      <c r="K691" s="4">
        <v>99.0</v>
      </c>
      <c r="L691" s="4"/>
      <c r="M691" s="4">
        <v>99.0</v>
      </c>
      <c r="N691" s="4" t="s">
        <v>67</v>
      </c>
      <c r="O691" s="4" t="b">
        <v>0</v>
      </c>
      <c r="P691" s="4" t="s">
        <v>68</v>
      </c>
      <c r="Q691" s="4" t="s">
        <v>69</v>
      </c>
      <c r="R691" s="4"/>
      <c r="S691" s="4"/>
      <c r="T691" s="4"/>
      <c r="U691" s="7"/>
      <c r="V691" s="4"/>
      <c r="W691" s="4"/>
      <c r="X691" s="4"/>
      <c r="Y691" s="4"/>
      <c r="Z691" s="4"/>
      <c r="AA691" s="5"/>
      <c r="AB691" s="5"/>
      <c r="AC691" s="5"/>
      <c r="AD691" s="5"/>
      <c r="AE691" s="5"/>
    </row>
    <row r="692">
      <c r="A692" s="14" t="s">
        <v>655</v>
      </c>
      <c r="B692" s="19">
        <v>44299.596504629626</v>
      </c>
      <c r="C692" s="4">
        <v>49864.0</v>
      </c>
      <c r="D692" s="4" t="s">
        <v>656</v>
      </c>
      <c r="E692" s="4">
        <v>9.19629534161E11</v>
      </c>
      <c r="F692" s="4" t="s">
        <v>83</v>
      </c>
      <c r="G692" s="4"/>
      <c r="H692" s="4" t="s">
        <v>181</v>
      </c>
      <c r="I692" s="4"/>
      <c r="J692" s="4" t="s">
        <v>149</v>
      </c>
      <c r="K692" s="4">
        <v>99.0</v>
      </c>
      <c r="L692" s="4"/>
      <c r="M692" s="4">
        <v>99.0</v>
      </c>
      <c r="N692" s="4" t="s">
        <v>67</v>
      </c>
      <c r="O692" s="4" t="b">
        <v>0</v>
      </c>
      <c r="P692" s="4" t="s">
        <v>74</v>
      </c>
      <c r="Q692" s="4" t="s">
        <v>69</v>
      </c>
      <c r="R692" s="4"/>
      <c r="S692" s="4"/>
      <c r="T692" s="4"/>
      <c r="U692" s="7"/>
      <c r="V692" s="4"/>
      <c r="W692" s="4"/>
      <c r="X692" s="4"/>
      <c r="Y692" s="4"/>
      <c r="Z692" s="4"/>
      <c r="AA692" s="5"/>
      <c r="AB692" s="5"/>
      <c r="AC692" s="5"/>
      <c r="AD692" s="5"/>
      <c r="AE692" s="5"/>
    </row>
    <row r="693">
      <c r="A693" s="14" t="s">
        <v>1239</v>
      </c>
      <c r="B693" s="19">
        <v>44300.68115740741</v>
      </c>
      <c r="C693" s="4">
        <v>49958.0</v>
      </c>
      <c r="D693" s="4" t="s">
        <v>1240</v>
      </c>
      <c r="E693" s="4">
        <v>9.1724111505E11</v>
      </c>
      <c r="F693" s="4">
        <v>17457.0</v>
      </c>
      <c r="G693" s="4"/>
      <c r="H693" s="4" t="s">
        <v>858</v>
      </c>
      <c r="I693" s="4"/>
      <c r="J693" s="4" t="s">
        <v>149</v>
      </c>
      <c r="K693" s="4">
        <v>99.0</v>
      </c>
      <c r="L693" s="4"/>
      <c r="M693" s="4">
        <v>99.0</v>
      </c>
      <c r="N693" s="4" t="s">
        <v>67</v>
      </c>
      <c r="O693" s="4" t="b">
        <v>0</v>
      </c>
      <c r="P693" s="4" t="s">
        <v>68</v>
      </c>
      <c r="Q693" s="4" t="s">
        <v>69</v>
      </c>
      <c r="R693" s="4"/>
      <c r="S693" s="4"/>
      <c r="T693" s="4"/>
      <c r="U693" s="7"/>
      <c r="V693" s="4"/>
      <c r="W693" s="4"/>
      <c r="X693" s="4"/>
      <c r="Y693" s="4"/>
      <c r="Z693" s="4"/>
      <c r="AA693" s="5"/>
      <c r="AB693" s="5"/>
      <c r="AC693" s="5"/>
      <c r="AD693" s="5"/>
      <c r="AE693" s="5"/>
    </row>
    <row r="694">
      <c r="A694" s="14" t="s">
        <v>1234</v>
      </c>
      <c r="B694" s="19">
        <v>44300.70247685185</v>
      </c>
      <c r="C694" s="4">
        <v>49877.0</v>
      </c>
      <c r="D694" s="4" t="s">
        <v>1235</v>
      </c>
      <c r="E694" s="4">
        <v>9.19322256348E11</v>
      </c>
      <c r="F694" s="4" t="s">
        <v>83</v>
      </c>
      <c r="G694" s="4"/>
      <c r="H694" s="4" t="s">
        <v>280</v>
      </c>
      <c r="I694" s="4"/>
      <c r="J694" s="4" t="s">
        <v>85</v>
      </c>
      <c r="K694" s="4">
        <v>99.0</v>
      </c>
      <c r="L694" s="4"/>
      <c r="M694" s="4">
        <v>99.0</v>
      </c>
      <c r="N694" s="4" t="s">
        <v>67</v>
      </c>
      <c r="O694" s="4" t="b">
        <v>0</v>
      </c>
      <c r="P694" s="4" t="s">
        <v>97</v>
      </c>
      <c r="Q694" s="4" t="s">
        <v>69</v>
      </c>
      <c r="R694" s="4"/>
      <c r="S694" s="4"/>
      <c r="T694" s="4"/>
      <c r="U694" s="7"/>
      <c r="V694" s="4"/>
      <c r="W694" s="4"/>
      <c r="X694" s="4"/>
      <c r="Y694" s="4"/>
      <c r="Z694" s="4"/>
      <c r="AA694" s="5"/>
      <c r="AB694" s="5"/>
      <c r="AC694" s="5"/>
      <c r="AD694" s="5"/>
      <c r="AE694" s="5"/>
    </row>
    <row r="695">
      <c r="A695" s="14" t="s">
        <v>1188</v>
      </c>
      <c r="B695" s="19">
        <v>44299.677152777775</v>
      </c>
      <c r="C695" s="4">
        <v>49877.0</v>
      </c>
      <c r="D695" s="4" t="s">
        <v>1189</v>
      </c>
      <c r="E695" s="4">
        <v>9.17543882902E11</v>
      </c>
      <c r="F695" s="4">
        <v>16855.0</v>
      </c>
      <c r="G695" s="4"/>
      <c r="H695" s="4" t="s">
        <v>280</v>
      </c>
      <c r="I695" s="4"/>
      <c r="J695" s="4" t="s">
        <v>85</v>
      </c>
      <c r="K695" s="4">
        <v>99.0</v>
      </c>
      <c r="L695" s="4"/>
      <c r="M695" s="4">
        <v>99.0</v>
      </c>
      <c r="N695" s="4" t="s">
        <v>67</v>
      </c>
      <c r="O695" s="4" t="b">
        <v>0</v>
      </c>
      <c r="P695" s="4" t="s">
        <v>74</v>
      </c>
      <c r="Q695" s="4" t="s">
        <v>69</v>
      </c>
      <c r="R695" s="4"/>
      <c r="S695" s="4"/>
      <c r="T695" s="4"/>
      <c r="U695" s="7"/>
      <c r="V695" s="4"/>
      <c r="W695" s="4"/>
      <c r="X695" s="4"/>
      <c r="Y695" s="4"/>
      <c r="Z695" s="4"/>
      <c r="AA695" s="5"/>
      <c r="AB695" s="5"/>
      <c r="AC695" s="5"/>
      <c r="AD695" s="5"/>
      <c r="AE695" s="5"/>
    </row>
    <row r="696">
      <c r="A696" s="14" t="s">
        <v>1190</v>
      </c>
      <c r="B696" s="19">
        <v>44299.69752314815</v>
      </c>
      <c r="C696" s="4">
        <v>49997.0</v>
      </c>
      <c r="D696" s="4" t="s">
        <v>1191</v>
      </c>
      <c r="E696" s="4">
        <v>9.19980910389E11</v>
      </c>
      <c r="F696" s="4">
        <v>16848.0</v>
      </c>
      <c r="G696" s="4"/>
      <c r="H696" s="4" t="s">
        <v>1059</v>
      </c>
      <c r="I696" s="4"/>
      <c r="J696" s="4" t="s">
        <v>77</v>
      </c>
      <c r="K696" s="4">
        <v>349.0</v>
      </c>
      <c r="L696" s="4"/>
      <c r="M696" s="4">
        <v>349.0</v>
      </c>
      <c r="N696" s="4" t="s">
        <v>67</v>
      </c>
      <c r="O696" s="4" t="b">
        <v>0</v>
      </c>
      <c r="P696" s="4" t="s">
        <v>74</v>
      </c>
      <c r="Q696" s="4" t="s">
        <v>69</v>
      </c>
      <c r="R696" s="4"/>
      <c r="S696" s="4"/>
      <c r="T696" s="4"/>
      <c r="U696" s="7"/>
      <c r="V696" s="4"/>
      <c r="W696" s="4"/>
      <c r="X696" s="4"/>
      <c r="Y696" s="4"/>
      <c r="Z696" s="4"/>
      <c r="AA696" s="5"/>
      <c r="AB696" s="5"/>
      <c r="AC696" s="5"/>
      <c r="AD696" s="5"/>
      <c r="AE696" s="5"/>
    </row>
    <row r="697">
      <c r="A697" s="14" t="s">
        <v>629</v>
      </c>
      <c r="B697" s="19">
        <v>44299.70576388889</v>
      </c>
      <c r="C697" s="4">
        <v>49907.0</v>
      </c>
      <c r="D697" s="4" t="s">
        <v>630</v>
      </c>
      <c r="E697" s="4">
        <v>9.19490808616E11</v>
      </c>
      <c r="F697" s="4" t="s">
        <v>83</v>
      </c>
      <c r="G697" s="4"/>
      <c r="H697" s="4" t="s">
        <v>587</v>
      </c>
      <c r="I697" s="4"/>
      <c r="J697" s="4" t="s">
        <v>85</v>
      </c>
      <c r="K697" s="4">
        <v>199.0</v>
      </c>
      <c r="L697" s="4"/>
      <c r="M697" s="4">
        <v>199.0</v>
      </c>
      <c r="N697" s="4" t="s">
        <v>67</v>
      </c>
      <c r="O697" s="4" t="b">
        <v>0</v>
      </c>
      <c r="P697" s="4" t="s">
        <v>74</v>
      </c>
      <c r="Q697" s="4" t="s">
        <v>69</v>
      </c>
      <c r="R697" s="4"/>
      <c r="S697" s="4"/>
      <c r="T697" s="4"/>
      <c r="U697" s="7"/>
      <c r="V697" s="4"/>
      <c r="W697" s="4"/>
      <c r="X697" s="4"/>
      <c r="Y697" s="4"/>
      <c r="Z697" s="4"/>
      <c r="AA697" s="5"/>
      <c r="AB697" s="5"/>
      <c r="AC697" s="5"/>
      <c r="AD697" s="5"/>
      <c r="AE697" s="5"/>
    </row>
    <row r="698">
      <c r="A698" s="14" t="s">
        <v>1640</v>
      </c>
      <c r="B698" s="19">
        <v>44299.71988425926</v>
      </c>
      <c r="C698" s="4">
        <v>49813.0</v>
      </c>
      <c r="D698" s="4" t="s">
        <v>1641</v>
      </c>
      <c r="E698" s="4">
        <v>9.19664653672E11</v>
      </c>
      <c r="F698" s="4">
        <v>16827.0</v>
      </c>
      <c r="G698" s="4"/>
      <c r="H698" s="4" t="s">
        <v>1592</v>
      </c>
      <c r="I698" s="4"/>
      <c r="J698" s="4" t="s">
        <v>149</v>
      </c>
      <c r="K698" s="4">
        <v>149.0</v>
      </c>
      <c r="L698" s="4"/>
      <c r="M698" s="4">
        <v>149.0</v>
      </c>
      <c r="N698" s="4" t="s">
        <v>67</v>
      </c>
      <c r="O698" s="4" t="b">
        <v>0</v>
      </c>
      <c r="P698" s="4" t="s">
        <v>68</v>
      </c>
      <c r="Q698" s="4" t="s">
        <v>69</v>
      </c>
      <c r="R698" s="4"/>
      <c r="S698" s="4"/>
      <c r="T698" s="4"/>
      <c r="U698" s="7"/>
      <c r="V698" s="4"/>
      <c r="W698" s="4"/>
      <c r="X698" s="4"/>
      <c r="Y698" s="4"/>
      <c r="Z698" s="4"/>
      <c r="AA698" s="5"/>
      <c r="AB698" s="5"/>
      <c r="AC698" s="5"/>
      <c r="AD698" s="5"/>
      <c r="AE698" s="5"/>
    </row>
    <row r="699">
      <c r="A699" s="14" t="s">
        <v>1257</v>
      </c>
      <c r="B699" s="19">
        <v>44300.84762731481</v>
      </c>
      <c r="C699" s="4">
        <v>49993.0</v>
      </c>
      <c r="D699" s="4" t="s">
        <v>1258</v>
      </c>
      <c r="E699" s="4">
        <v>9.19535999553E11</v>
      </c>
      <c r="F699" s="4">
        <v>16856.0</v>
      </c>
      <c r="G699" s="4"/>
      <c r="H699" s="4" t="s">
        <v>1104</v>
      </c>
      <c r="I699" s="4"/>
      <c r="J699" s="4" t="s">
        <v>149</v>
      </c>
      <c r="K699" s="4">
        <v>99.0</v>
      </c>
      <c r="L699" s="4"/>
      <c r="M699" s="4">
        <v>99.0</v>
      </c>
      <c r="N699" s="4" t="s">
        <v>67</v>
      </c>
      <c r="O699" s="4" t="b">
        <v>0</v>
      </c>
      <c r="P699" s="4" t="s">
        <v>74</v>
      </c>
      <c r="Q699" s="4" t="s">
        <v>69</v>
      </c>
      <c r="R699" s="4"/>
      <c r="S699" s="4"/>
      <c r="T699" s="4"/>
      <c r="U699" s="7"/>
      <c r="V699" s="4"/>
      <c r="W699" s="4"/>
      <c r="X699" s="4"/>
      <c r="Y699" s="4"/>
      <c r="Z699" s="4"/>
      <c r="AA699" s="5"/>
      <c r="AB699" s="5"/>
      <c r="AC699" s="5"/>
      <c r="AD699" s="5"/>
      <c r="AE699" s="5"/>
    </row>
    <row r="700">
      <c r="A700" s="14" t="s">
        <v>1238</v>
      </c>
      <c r="B700" s="19">
        <v>44300.88748842593</v>
      </c>
      <c r="C700" s="4">
        <v>49877.0</v>
      </c>
      <c r="D700" s="4" t="s">
        <v>1060</v>
      </c>
      <c r="E700" s="4">
        <v>9.19980809118E11</v>
      </c>
      <c r="F700" s="4" t="s">
        <v>83</v>
      </c>
      <c r="G700" s="4"/>
      <c r="H700" s="4" t="s">
        <v>280</v>
      </c>
      <c r="I700" s="4"/>
      <c r="J700" s="4" t="s">
        <v>85</v>
      </c>
      <c r="K700" s="4">
        <v>99.0</v>
      </c>
      <c r="L700" s="4"/>
      <c r="M700" s="4">
        <v>99.0</v>
      </c>
      <c r="N700" s="4" t="s">
        <v>67</v>
      </c>
      <c r="O700" s="4" t="b">
        <v>0</v>
      </c>
      <c r="P700" s="4" t="s">
        <v>97</v>
      </c>
      <c r="Q700" s="4" t="s">
        <v>69</v>
      </c>
      <c r="R700" s="4"/>
      <c r="S700" s="4"/>
      <c r="T700" s="4"/>
      <c r="U700" s="7"/>
      <c r="V700" s="4"/>
      <c r="W700" s="4"/>
      <c r="X700" s="4"/>
      <c r="Y700" s="4"/>
      <c r="Z700" s="4"/>
      <c r="AA700" s="5"/>
      <c r="AB700" s="5"/>
      <c r="AC700" s="5"/>
      <c r="AD700" s="5"/>
      <c r="AE700" s="5"/>
    </row>
    <row r="701">
      <c r="A701" s="14" t="s">
        <v>1263</v>
      </c>
      <c r="B701" s="19">
        <v>44300.92582175926</v>
      </c>
      <c r="C701" s="4">
        <v>49994.0</v>
      </c>
      <c r="D701" s="4" t="s">
        <v>1265</v>
      </c>
      <c r="E701" s="4">
        <v>9.19784235426E11</v>
      </c>
      <c r="F701" s="4">
        <v>16930.0</v>
      </c>
      <c r="G701" s="4"/>
      <c r="H701" s="4" t="s">
        <v>1264</v>
      </c>
      <c r="I701" s="4"/>
      <c r="J701" s="4" t="s">
        <v>149</v>
      </c>
      <c r="K701" s="4">
        <v>99.0</v>
      </c>
      <c r="L701" s="4"/>
      <c r="M701" s="4">
        <v>99.0</v>
      </c>
      <c r="N701" s="4" t="s">
        <v>67</v>
      </c>
      <c r="O701" s="4" t="b">
        <v>0</v>
      </c>
      <c r="P701" s="4" t="s">
        <v>151</v>
      </c>
      <c r="Q701" s="4" t="s">
        <v>69</v>
      </c>
      <c r="R701" s="4"/>
      <c r="S701" s="4"/>
      <c r="T701" s="4"/>
      <c r="U701" s="7"/>
      <c r="V701" s="4"/>
      <c r="W701" s="4"/>
      <c r="X701" s="4"/>
      <c r="Y701" s="4"/>
      <c r="Z701" s="4"/>
      <c r="AA701" s="5"/>
      <c r="AB701" s="5"/>
      <c r="AC701" s="5"/>
      <c r="AD701" s="5"/>
      <c r="AE701" s="5"/>
    </row>
    <row r="702">
      <c r="A702" s="14" t="s">
        <v>1616</v>
      </c>
      <c r="B702" s="19">
        <v>44299.936747685184</v>
      </c>
      <c r="C702" s="4">
        <v>49813.0</v>
      </c>
      <c r="D702" s="4" t="s">
        <v>1617</v>
      </c>
      <c r="E702" s="4">
        <v>9.18017771061E11</v>
      </c>
      <c r="F702" s="4">
        <v>16850.0</v>
      </c>
      <c r="G702" s="4"/>
      <c r="H702" s="4" t="s">
        <v>1592</v>
      </c>
      <c r="I702" s="4"/>
      <c r="J702" s="4" t="s">
        <v>85</v>
      </c>
      <c r="K702" s="4">
        <v>299.0</v>
      </c>
      <c r="L702" s="4"/>
      <c r="M702" s="4">
        <v>299.0</v>
      </c>
      <c r="N702" s="4" t="s">
        <v>67</v>
      </c>
      <c r="O702" s="4" t="b">
        <v>0</v>
      </c>
      <c r="P702" s="4" t="s">
        <v>68</v>
      </c>
      <c r="Q702" s="4" t="s">
        <v>69</v>
      </c>
      <c r="R702" s="4"/>
      <c r="S702" s="4"/>
      <c r="T702" s="4"/>
      <c r="U702" s="7"/>
      <c r="V702" s="4"/>
      <c r="W702" s="4"/>
      <c r="X702" s="4"/>
      <c r="Y702" s="4"/>
      <c r="Z702" s="4"/>
      <c r="AA702" s="5"/>
      <c r="AB702" s="5"/>
      <c r="AC702" s="5"/>
      <c r="AD702" s="5"/>
      <c r="AE702" s="5"/>
    </row>
    <row r="703">
      <c r="A703" s="14" t="s">
        <v>657</v>
      </c>
      <c r="B703" s="19">
        <v>44299.93761574074</v>
      </c>
      <c r="C703" s="4">
        <v>49864.0</v>
      </c>
      <c r="D703" s="4" t="s">
        <v>658</v>
      </c>
      <c r="E703" s="4">
        <v>9.19823584497E11</v>
      </c>
      <c r="F703" s="4" t="s">
        <v>83</v>
      </c>
      <c r="G703" s="4"/>
      <c r="H703" s="4" t="s">
        <v>181</v>
      </c>
      <c r="I703" s="4"/>
      <c r="J703" s="4" t="s">
        <v>149</v>
      </c>
      <c r="K703" s="4">
        <v>99.0</v>
      </c>
      <c r="L703" s="4"/>
      <c r="M703" s="4">
        <v>99.0</v>
      </c>
      <c r="N703" s="4" t="s">
        <v>67</v>
      </c>
      <c r="O703" s="4" t="b">
        <v>0</v>
      </c>
      <c r="P703" s="4" t="s">
        <v>68</v>
      </c>
      <c r="Q703" s="4" t="s">
        <v>69</v>
      </c>
      <c r="R703" s="4"/>
      <c r="S703" s="4"/>
      <c r="T703" s="4"/>
      <c r="U703" s="7"/>
      <c r="V703" s="4"/>
      <c r="W703" s="4"/>
      <c r="X703" s="4"/>
      <c r="Y703" s="4"/>
      <c r="Z703" s="4"/>
      <c r="AA703" s="5"/>
      <c r="AB703" s="5"/>
      <c r="AC703" s="5"/>
      <c r="AD703" s="5"/>
      <c r="AE703" s="5"/>
    </row>
    <row r="704">
      <c r="A704" s="14" t="s">
        <v>1210</v>
      </c>
      <c r="B704" s="19">
        <v>44299.94451388889</v>
      </c>
      <c r="C704" s="4">
        <v>49834.0</v>
      </c>
      <c r="D704" s="4" t="s">
        <v>1211</v>
      </c>
      <c r="E704" s="4">
        <v>9.19756206269E11</v>
      </c>
      <c r="F704" s="4">
        <v>16829.0</v>
      </c>
      <c r="G704" s="4"/>
      <c r="H704" s="4" t="s">
        <v>960</v>
      </c>
      <c r="I704" s="4"/>
      <c r="J704" s="4" t="s">
        <v>149</v>
      </c>
      <c r="K704" s="4">
        <v>99.0</v>
      </c>
      <c r="L704" s="4"/>
      <c r="M704" s="4">
        <v>99.0</v>
      </c>
      <c r="N704" s="4" t="s">
        <v>67</v>
      </c>
      <c r="O704" s="4" t="b">
        <v>0</v>
      </c>
      <c r="P704" s="4" t="s">
        <v>68</v>
      </c>
      <c r="Q704" s="4" t="s">
        <v>69</v>
      </c>
      <c r="R704" s="4"/>
      <c r="S704" s="4"/>
      <c r="T704" s="4"/>
      <c r="U704" s="7"/>
      <c r="V704" s="4"/>
      <c r="W704" s="4"/>
      <c r="X704" s="4"/>
      <c r="Y704" s="4"/>
      <c r="Z704" s="4"/>
      <c r="AA704" s="5"/>
      <c r="AB704" s="5"/>
      <c r="AC704" s="5"/>
      <c r="AD704" s="5"/>
      <c r="AE704" s="5"/>
    </row>
    <row r="705">
      <c r="A705" s="14" t="s">
        <v>1241</v>
      </c>
      <c r="B705" s="19">
        <v>44301.023564814815</v>
      </c>
      <c r="C705" s="4">
        <v>49877.0</v>
      </c>
      <c r="D705" s="4" t="s">
        <v>1242</v>
      </c>
      <c r="E705" s="4">
        <v>9.1983302635E11</v>
      </c>
      <c r="F705" s="4" t="s">
        <v>83</v>
      </c>
      <c r="G705" s="4"/>
      <c r="H705" s="4" t="s">
        <v>280</v>
      </c>
      <c r="I705" s="4"/>
      <c r="J705" s="4" t="s">
        <v>85</v>
      </c>
      <c r="K705" s="4">
        <v>99.0</v>
      </c>
      <c r="L705" s="4"/>
      <c r="M705" s="4">
        <v>99.0</v>
      </c>
      <c r="N705" s="4" t="s">
        <v>67</v>
      </c>
      <c r="O705" s="4" t="b">
        <v>0</v>
      </c>
      <c r="P705" s="4" t="s">
        <v>68</v>
      </c>
      <c r="Q705" s="4" t="s">
        <v>69</v>
      </c>
      <c r="R705" s="4"/>
      <c r="S705" s="4"/>
      <c r="T705" s="4"/>
      <c r="U705" s="7"/>
      <c r="V705" s="4"/>
      <c r="W705" s="4"/>
      <c r="X705" s="4"/>
      <c r="Y705" s="4"/>
      <c r="Z705" s="4"/>
      <c r="AA705" s="5"/>
      <c r="AB705" s="5"/>
      <c r="AC705" s="5"/>
      <c r="AD705" s="5"/>
      <c r="AE705" s="5"/>
    </row>
    <row r="706">
      <c r="A706" s="14" t="s">
        <v>1202</v>
      </c>
      <c r="B706" s="19">
        <v>44299.967986111114</v>
      </c>
      <c r="C706" s="4">
        <v>49997.0</v>
      </c>
      <c r="D706" s="4" t="s">
        <v>1203</v>
      </c>
      <c r="E706" s="4">
        <v>9.19990456907E11</v>
      </c>
      <c r="F706" s="4" t="s">
        <v>83</v>
      </c>
      <c r="G706" s="4"/>
      <c r="H706" s="4" t="s">
        <v>1059</v>
      </c>
      <c r="I706" s="4"/>
      <c r="J706" s="4" t="s">
        <v>149</v>
      </c>
      <c r="K706" s="4">
        <v>99.0</v>
      </c>
      <c r="L706" s="4"/>
      <c r="M706" s="4">
        <v>99.0</v>
      </c>
      <c r="N706" s="4" t="s">
        <v>67</v>
      </c>
      <c r="O706" s="4" t="b">
        <v>0</v>
      </c>
      <c r="P706" s="4" t="s">
        <v>68</v>
      </c>
      <c r="Q706" s="4" t="s">
        <v>69</v>
      </c>
      <c r="R706" s="4"/>
      <c r="S706" s="4"/>
      <c r="T706" s="4"/>
      <c r="U706" s="7"/>
      <c r="V706" s="4"/>
      <c r="W706" s="4"/>
      <c r="X706" s="4"/>
      <c r="Y706" s="4"/>
      <c r="Z706" s="4"/>
      <c r="AA706" s="5"/>
      <c r="AB706" s="5"/>
      <c r="AC706" s="5"/>
      <c r="AD706" s="5"/>
      <c r="AE706" s="5"/>
    </row>
    <row r="707">
      <c r="A707" s="14" t="s">
        <v>1212</v>
      </c>
      <c r="B707" s="19">
        <v>44300.013194444444</v>
      </c>
      <c r="C707" s="4">
        <v>49958.0</v>
      </c>
      <c r="D707" s="4" t="s">
        <v>1213</v>
      </c>
      <c r="E707" s="4">
        <v>9.1725965494E11</v>
      </c>
      <c r="F707" s="4" t="s">
        <v>83</v>
      </c>
      <c r="G707" s="4"/>
      <c r="H707" s="4" t="s">
        <v>858</v>
      </c>
      <c r="I707" s="4"/>
      <c r="J707" s="4" t="s">
        <v>149</v>
      </c>
      <c r="K707" s="4">
        <v>99.0</v>
      </c>
      <c r="L707" s="4"/>
      <c r="M707" s="4">
        <v>99.0</v>
      </c>
      <c r="N707" s="4" t="s">
        <v>67</v>
      </c>
      <c r="O707" s="4" t="b">
        <v>0</v>
      </c>
      <c r="P707" s="4" t="s">
        <v>68</v>
      </c>
      <c r="Q707" s="4" t="s">
        <v>69</v>
      </c>
      <c r="R707" s="4"/>
      <c r="S707" s="4"/>
      <c r="T707" s="4"/>
      <c r="U707" s="7"/>
      <c r="V707" s="4"/>
      <c r="W707" s="4"/>
      <c r="X707" s="4"/>
      <c r="Y707" s="4"/>
      <c r="Z707" s="4"/>
      <c r="AA707" s="5"/>
      <c r="AB707" s="5"/>
      <c r="AC707" s="5"/>
      <c r="AD707" s="5"/>
      <c r="AE707" s="5"/>
    </row>
    <row r="708">
      <c r="A708" s="14" t="s">
        <v>1216</v>
      </c>
      <c r="B708" s="19">
        <v>44300.02633101852</v>
      </c>
      <c r="C708" s="4">
        <v>49958.0</v>
      </c>
      <c r="D708" s="4" t="s">
        <v>1217</v>
      </c>
      <c r="E708" s="4">
        <v>9.17978596139E11</v>
      </c>
      <c r="F708" s="4">
        <v>16833.0</v>
      </c>
      <c r="G708" s="4"/>
      <c r="H708" s="4" t="s">
        <v>858</v>
      </c>
      <c r="I708" s="4"/>
      <c r="J708" s="4" t="s">
        <v>149</v>
      </c>
      <c r="K708" s="4">
        <v>99.0</v>
      </c>
      <c r="L708" s="4"/>
      <c r="M708" s="4">
        <v>99.0</v>
      </c>
      <c r="N708" s="4" t="s">
        <v>67</v>
      </c>
      <c r="O708" s="4" t="b">
        <v>0</v>
      </c>
      <c r="P708" s="4" t="s">
        <v>68</v>
      </c>
      <c r="Q708" s="4" t="s">
        <v>69</v>
      </c>
      <c r="R708" s="4"/>
      <c r="S708" s="4"/>
      <c r="T708" s="4"/>
      <c r="U708" s="7"/>
      <c r="V708" s="4"/>
      <c r="W708" s="4"/>
      <c r="X708" s="4"/>
      <c r="Y708" s="4"/>
      <c r="Z708" s="4"/>
      <c r="AA708" s="5"/>
      <c r="AB708" s="5"/>
      <c r="AC708" s="5"/>
      <c r="AD708" s="5"/>
      <c r="AE708" s="5"/>
    </row>
    <row r="709">
      <c r="A709" s="14" t="s">
        <v>659</v>
      </c>
      <c r="B709" s="19">
        <v>44300.07230324074</v>
      </c>
      <c r="C709" s="4">
        <v>49864.0</v>
      </c>
      <c r="D709" s="4" t="s">
        <v>660</v>
      </c>
      <c r="E709" s="4">
        <v>9.19833800928E11</v>
      </c>
      <c r="F709" s="4" t="s">
        <v>83</v>
      </c>
      <c r="G709" s="4"/>
      <c r="H709" s="4" t="s">
        <v>181</v>
      </c>
      <c r="I709" s="4"/>
      <c r="J709" s="4" t="s">
        <v>149</v>
      </c>
      <c r="K709" s="4">
        <v>99.0</v>
      </c>
      <c r="L709" s="4"/>
      <c r="M709" s="4">
        <v>99.0</v>
      </c>
      <c r="N709" s="4" t="s">
        <v>67</v>
      </c>
      <c r="O709" s="4" t="b">
        <v>0</v>
      </c>
      <c r="P709" s="4" t="s">
        <v>97</v>
      </c>
      <c r="Q709" s="4" t="s">
        <v>69</v>
      </c>
      <c r="R709" s="4"/>
      <c r="S709" s="4"/>
      <c r="T709" s="4"/>
      <c r="U709" s="7"/>
      <c r="V709" s="4"/>
      <c r="W709" s="4"/>
      <c r="X709" s="4"/>
      <c r="Y709" s="4"/>
      <c r="Z709" s="4"/>
      <c r="AA709" s="5"/>
      <c r="AB709" s="5"/>
      <c r="AC709" s="5"/>
      <c r="AD709" s="5"/>
      <c r="AE709" s="5"/>
    </row>
    <row r="710">
      <c r="A710" s="14" t="s">
        <v>1642</v>
      </c>
      <c r="B710" s="19">
        <v>44300.09396990741</v>
      </c>
      <c r="C710" s="4">
        <v>49813.0</v>
      </c>
      <c r="D710" s="4" t="s">
        <v>1643</v>
      </c>
      <c r="E710" s="4">
        <v>9.19870101303E11</v>
      </c>
      <c r="F710" s="4" t="s">
        <v>83</v>
      </c>
      <c r="G710" s="4"/>
      <c r="H710" s="4" t="s">
        <v>1592</v>
      </c>
      <c r="I710" s="4"/>
      <c r="J710" s="4" t="s">
        <v>149</v>
      </c>
      <c r="K710" s="4">
        <v>149.0</v>
      </c>
      <c r="L710" s="4"/>
      <c r="M710" s="4">
        <v>149.0</v>
      </c>
      <c r="N710" s="4" t="s">
        <v>67</v>
      </c>
      <c r="O710" s="4" t="b">
        <v>0</v>
      </c>
      <c r="P710" s="4" t="s">
        <v>97</v>
      </c>
      <c r="Q710" s="4" t="s">
        <v>69</v>
      </c>
      <c r="R710" s="4"/>
      <c r="S710" s="4"/>
      <c r="T710" s="4"/>
      <c r="U710" s="8"/>
      <c r="V710" s="4"/>
      <c r="W710" s="4"/>
      <c r="X710" s="4"/>
      <c r="Y710" s="4"/>
      <c r="Z710" s="4"/>
      <c r="AA710" s="5"/>
      <c r="AB710" s="5"/>
      <c r="AC710" s="5"/>
      <c r="AD710" s="5"/>
      <c r="AE710" s="5"/>
    </row>
    <row r="711">
      <c r="A711" s="14" t="s">
        <v>1214</v>
      </c>
      <c r="B711" s="19">
        <v>44300.18920138889</v>
      </c>
      <c r="C711" s="4">
        <v>49993.0</v>
      </c>
      <c r="D711" s="4" t="s">
        <v>1215</v>
      </c>
      <c r="E711" s="4">
        <v>9.1902221115E11</v>
      </c>
      <c r="F711" s="4">
        <v>16837.0</v>
      </c>
      <c r="G711" s="4"/>
      <c r="H711" s="4" t="s">
        <v>1104</v>
      </c>
      <c r="I711" s="4"/>
      <c r="J711" s="4" t="s">
        <v>77</v>
      </c>
      <c r="K711" s="4">
        <v>349.0</v>
      </c>
      <c r="L711" s="4"/>
      <c r="M711" s="4">
        <v>349.0</v>
      </c>
      <c r="N711" s="4" t="s">
        <v>67</v>
      </c>
      <c r="O711" s="4" t="b">
        <v>0</v>
      </c>
      <c r="P711" s="4" t="s">
        <v>74</v>
      </c>
      <c r="Q711" s="4" t="s">
        <v>69</v>
      </c>
      <c r="R711" s="4"/>
      <c r="S711" s="4"/>
      <c r="T711" s="4"/>
      <c r="U711" s="7"/>
      <c r="V711" s="4"/>
      <c r="W711" s="4"/>
      <c r="X711" s="4"/>
      <c r="Y711" s="4"/>
      <c r="Z711" s="4"/>
      <c r="AA711" s="5"/>
      <c r="AB711" s="5"/>
      <c r="AC711" s="5"/>
      <c r="AD711" s="5"/>
      <c r="AE711" s="5"/>
    </row>
    <row r="712">
      <c r="A712" s="14" t="s">
        <v>1243</v>
      </c>
      <c r="B712" s="19">
        <v>44301.367476851854</v>
      </c>
      <c r="C712" s="4">
        <v>49844.0</v>
      </c>
      <c r="D712" s="4" t="s">
        <v>1244</v>
      </c>
      <c r="E712" s="4">
        <v>9.17096739255E11</v>
      </c>
      <c r="F712" s="4">
        <v>16871.0</v>
      </c>
      <c r="G712" s="4"/>
      <c r="H712" s="4" t="s">
        <v>885</v>
      </c>
      <c r="I712" s="4"/>
      <c r="J712" s="4" t="s">
        <v>85</v>
      </c>
      <c r="K712" s="4">
        <v>199.0</v>
      </c>
      <c r="L712" s="4"/>
      <c r="M712" s="4">
        <v>199.0</v>
      </c>
      <c r="N712" s="4" t="s">
        <v>67</v>
      </c>
      <c r="O712" s="4" t="b">
        <v>0</v>
      </c>
      <c r="P712" s="4" t="s">
        <v>68</v>
      </c>
      <c r="Q712" s="4" t="s">
        <v>69</v>
      </c>
      <c r="R712" s="4"/>
      <c r="S712" s="4"/>
      <c r="T712" s="4"/>
      <c r="U712" s="7"/>
      <c r="V712" s="4"/>
      <c r="W712" s="4"/>
      <c r="X712" s="4"/>
      <c r="Y712" s="4"/>
      <c r="Z712" s="4"/>
      <c r="AA712" s="5"/>
      <c r="AB712" s="5"/>
      <c r="AC712" s="5"/>
      <c r="AD712" s="5"/>
      <c r="AE712" s="5"/>
    </row>
    <row r="713">
      <c r="A713" s="14" t="s">
        <v>1245</v>
      </c>
      <c r="B713" s="19">
        <v>44301.37420138889</v>
      </c>
      <c r="C713" s="4">
        <v>49997.0</v>
      </c>
      <c r="D713" s="4" t="s">
        <v>1246</v>
      </c>
      <c r="E713" s="4">
        <v>9.18860120842E11</v>
      </c>
      <c r="F713" s="4">
        <v>16926.0</v>
      </c>
      <c r="G713" s="4"/>
      <c r="H713" s="4" t="s">
        <v>1059</v>
      </c>
      <c r="I713" s="4"/>
      <c r="J713" s="4" t="s">
        <v>149</v>
      </c>
      <c r="K713" s="4">
        <v>99.0</v>
      </c>
      <c r="L713" s="4"/>
      <c r="M713" s="4">
        <v>99.0</v>
      </c>
      <c r="N713" s="4" t="s">
        <v>67</v>
      </c>
      <c r="O713" s="4" t="b">
        <v>0</v>
      </c>
      <c r="P713" s="4" t="s">
        <v>68</v>
      </c>
      <c r="Q713" s="4" t="s">
        <v>69</v>
      </c>
      <c r="R713" s="4"/>
      <c r="S713" s="4"/>
      <c r="T713" s="4"/>
      <c r="U713" s="7"/>
      <c r="V713" s="4"/>
      <c r="W713" s="4"/>
      <c r="X713" s="4"/>
      <c r="Y713" s="4"/>
      <c r="Z713" s="4"/>
      <c r="AA713" s="5"/>
      <c r="AB713" s="5"/>
      <c r="AC713" s="5"/>
      <c r="AD713" s="5"/>
      <c r="AE713" s="5"/>
    </row>
    <row r="714">
      <c r="A714" s="14" t="s">
        <v>1249</v>
      </c>
      <c r="B714" s="19">
        <v>44301.40356481481</v>
      </c>
      <c r="C714" s="4">
        <v>49844.0</v>
      </c>
      <c r="D714" s="4" t="s">
        <v>1250</v>
      </c>
      <c r="E714" s="4">
        <v>9.19591329039E11</v>
      </c>
      <c r="F714" s="4" t="s">
        <v>83</v>
      </c>
      <c r="G714" s="4"/>
      <c r="H714" s="4" t="s">
        <v>885</v>
      </c>
      <c r="I714" s="4"/>
      <c r="J714" s="4" t="s">
        <v>85</v>
      </c>
      <c r="K714" s="4">
        <v>199.0</v>
      </c>
      <c r="L714" s="4"/>
      <c r="M714" s="4">
        <v>199.0</v>
      </c>
      <c r="N714" s="4" t="s">
        <v>67</v>
      </c>
      <c r="O714" s="4" t="b">
        <v>0</v>
      </c>
      <c r="P714" s="4" t="s">
        <v>74</v>
      </c>
      <c r="Q714" s="4" t="s">
        <v>69</v>
      </c>
      <c r="R714" s="4"/>
      <c r="S714" s="4"/>
      <c r="T714" s="4"/>
      <c r="U714" s="7"/>
      <c r="V714" s="4"/>
      <c r="W714" s="4"/>
      <c r="X714" s="4"/>
      <c r="Y714" s="4"/>
      <c r="Z714" s="4"/>
      <c r="AA714" s="5"/>
      <c r="AB714" s="5"/>
      <c r="AC714" s="5"/>
      <c r="AD714" s="5"/>
      <c r="AE714" s="5"/>
    </row>
    <row r="715">
      <c r="A715" s="14" t="s">
        <v>1247</v>
      </c>
      <c r="B715" s="19">
        <v>44301.39126157408</v>
      </c>
      <c r="C715" s="4">
        <v>49997.0</v>
      </c>
      <c r="D715" s="4" t="s">
        <v>1248</v>
      </c>
      <c r="E715" s="4">
        <v>9.19768586173E11</v>
      </c>
      <c r="F715" s="4">
        <v>16907.0</v>
      </c>
      <c r="G715" s="4"/>
      <c r="H715" s="4" t="s">
        <v>1059</v>
      </c>
      <c r="I715" s="4"/>
      <c r="J715" s="4" t="s">
        <v>77</v>
      </c>
      <c r="K715" s="4">
        <v>349.0</v>
      </c>
      <c r="L715" s="4"/>
      <c r="M715" s="4">
        <v>349.0</v>
      </c>
      <c r="N715" s="4" t="s">
        <v>67</v>
      </c>
      <c r="O715" s="4" t="b">
        <v>0</v>
      </c>
      <c r="P715" s="4" t="s">
        <v>68</v>
      </c>
      <c r="Q715" s="4" t="s">
        <v>69</v>
      </c>
      <c r="R715" s="4"/>
      <c r="S715" s="4"/>
      <c r="T715" s="4"/>
      <c r="U715" s="7"/>
      <c r="V715" s="4"/>
      <c r="W715" s="4"/>
      <c r="X715" s="4"/>
      <c r="Y715" s="4"/>
      <c r="Z715" s="4"/>
      <c r="AA715" s="5"/>
      <c r="AB715" s="5"/>
      <c r="AC715" s="5"/>
      <c r="AD715" s="5"/>
      <c r="AE715" s="5"/>
    </row>
    <row r="716">
      <c r="A716" s="14" t="s">
        <v>1251</v>
      </c>
      <c r="B716" s="19">
        <v>44301.46430555556</v>
      </c>
      <c r="C716" s="4">
        <v>49877.0</v>
      </c>
      <c r="D716" s="4" t="s">
        <v>1252</v>
      </c>
      <c r="E716" s="4">
        <v>9.18427153791E11</v>
      </c>
      <c r="F716" s="4" t="s">
        <v>83</v>
      </c>
      <c r="G716" s="4"/>
      <c r="H716" s="4" t="s">
        <v>280</v>
      </c>
      <c r="I716" s="4"/>
      <c r="J716" s="4" t="s">
        <v>85</v>
      </c>
      <c r="K716" s="4">
        <v>99.0</v>
      </c>
      <c r="L716" s="4"/>
      <c r="M716" s="4">
        <v>99.0</v>
      </c>
      <c r="N716" s="4" t="s">
        <v>67</v>
      </c>
      <c r="O716" s="4" t="b">
        <v>0</v>
      </c>
      <c r="P716" s="4" t="s">
        <v>74</v>
      </c>
      <c r="Q716" s="4" t="s">
        <v>69</v>
      </c>
      <c r="R716" s="4"/>
      <c r="S716" s="4"/>
      <c r="T716" s="4"/>
      <c r="U716" s="8"/>
      <c r="V716" s="4"/>
      <c r="W716" s="4"/>
      <c r="X716" s="4"/>
      <c r="Y716" s="4"/>
      <c r="Z716" s="4"/>
      <c r="AA716" s="5"/>
      <c r="AB716" s="5"/>
      <c r="AC716" s="5"/>
      <c r="AD716" s="5"/>
      <c r="AE716" s="5"/>
    </row>
    <row r="717">
      <c r="A717" s="14" t="s">
        <v>1253</v>
      </c>
      <c r="B717" s="19">
        <v>44301.510196759256</v>
      </c>
      <c r="C717" s="4">
        <v>49844.0</v>
      </c>
      <c r="D717" s="4" t="s">
        <v>1254</v>
      </c>
      <c r="E717" s="4">
        <v>9.19995858969E11</v>
      </c>
      <c r="F717" s="4">
        <v>16879.0</v>
      </c>
      <c r="G717" s="4"/>
      <c r="H717" s="4" t="s">
        <v>885</v>
      </c>
      <c r="I717" s="4"/>
      <c r="J717" s="4" t="s">
        <v>85</v>
      </c>
      <c r="K717" s="4">
        <v>199.0</v>
      </c>
      <c r="L717" s="4"/>
      <c r="M717" s="4">
        <v>199.0</v>
      </c>
      <c r="N717" s="4" t="s">
        <v>67</v>
      </c>
      <c r="O717" s="4" t="b">
        <v>0</v>
      </c>
      <c r="P717" s="4" t="s">
        <v>68</v>
      </c>
      <c r="Q717" s="4" t="s">
        <v>69</v>
      </c>
      <c r="R717" s="4"/>
      <c r="S717" s="4"/>
      <c r="T717" s="4"/>
      <c r="U717" s="7"/>
      <c r="V717" s="4"/>
      <c r="W717" s="4"/>
      <c r="X717" s="4"/>
      <c r="Y717" s="4"/>
      <c r="Z717" s="4"/>
      <c r="AA717" s="5"/>
      <c r="AB717" s="5"/>
      <c r="AC717" s="5"/>
      <c r="AD717" s="5"/>
      <c r="AE717" s="5"/>
    </row>
    <row r="718">
      <c r="A718" s="14" t="s">
        <v>1255</v>
      </c>
      <c r="B718" s="19">
        <v>44301.54754629629</v>
      </c>
      <c r="C718" s="4">
        <v>49993.0</v>
      </c>
      <c r="D718" s="4" t="s">
        <v>1256</v>
      </c>
      <c r="E718" s="4">
        <v>6.1450428471E10</v>
      </c>
      <c r="F718" s="4">
        <v>17276.0</v>
      </c>
      <c r="G718" s="4"/>
      <c r="H718" s="4" t="s">
        <v>1104</v>
      </c>
      <c r="I718" s="4"/>
      <c r="J718" s="4" t="s">
        <v>77</v>
      </c>
      <c r="K718" s="4">
        <v>349.0</v>
      </c>
      <c r="L718" s="4"/>
      <c r="M718" s="4">
        <v>349.0</v>
      </c>
      <c r="N718" s="4" t="s">
        <v>67</v>
      </c>
      <c r="O718" s="4" t="b">
        <v>0</v>
      </c>
      <c r="P718" s="4" t="s">
        <v>74</v>
      </c>
      <c r="Q718" s="4" t="s">
        <v>69</v>
      </c>
      <c r="R718" s="4"/>
      <c r="S718" s="4"/>
      <c r="T718" s="4"/>
      <c r="U718" s="7"/>
      <c r="V718" s="4"/>
      <c r="W718" s="4"/>
      <c r="X718" s="4"/>
      <c r="Y718" s="4"/>
      <c r="Z718" s="4"/>
      <c r="AA718" s="5"/>
      <c r="AB718" s="5"/>
      <c r="AC718" s="5"/>
      <c r="AD718" s="5"/>
      <c r="AE718" s="5"/>
    </row>
    <row r="719">
      <c r="A719" s="14" t="s">
        <v>116</v>
      </c>
      <c r="B719" s="19">
        <v>44235.880590277775</v>
      </c>
      <c r="C719" s="4">
        <v>49834.0</v>
      </c>
      <c r="D719" s="4" t="s">
        <v>117</v>
      </c>
      <c r="E719" s="4">
        <v>9.17592993781E11</v>
      </c>
      <c r="F719" s="4">
        <v>11776.0</v>
      </c>
      <c r="G719" s="4"/>
      <c r="H719" s="4" t="s">
        <v>76</v>
      </c>
      <c r="I719" s="4"/>
      <c r="J719" s="4" t="s">
        <v>77</v>
      </c>
      <c r="K719" s="4">
        <v>499.0</v>
      </c>
      <c r="L719" s="4"/>
      <c r="M719" s="4">
        <v>499.0</v>
      </c>
      <c r="N719" s="4" t="s">
        <v>67</v>
      </c>
      <c r="O719" s="4" t="b">
        <v>0</v>
      </c>
      <c r="P719" s="4" t="s">
        <v>68</v>
      </c>
      <c r="Q719" s="4" t="s">
        <v>69</v>
      </c>
      <c r="R719" s="4"/>
      <c r="S719" s="4"/>
      <c r="T719" s="4"/>
      <c r="U719" s="7"/>
      <c r="V719" s="4"/>
      <c r="W719" s="4"/>
      <c r="X719" s="4"/>
      <c r="Y719" s="4"/>
      <c r="Z719" s="4"/>
      <c r="AA719" s="5"/>
      <c r="AB719" s="5"/>
      <c r="AC719" s="5"/>
      <c r="AD719" s="5"/>
      <c r="AE719" s="5"/>
    </row>
    <row r="720">
      <c r="A720" s="14" t="s">
        <v>178</v>
      </c>
      <c r="B720" s="19">
        <v>44301.59310185185</v>
      </c>
      <c r="C720" s="4">
        <v>49991.0</v>
      </c>
      <c r="D720" s="4" t="s">
        <v>179</v>
      </c>
      <c r="E720" s="4">
        <v>9.19710303309E11</v>
      </c>
      <c r="F720" s="4">
        <v>16881.0</v>
      </c>
      <c r="G720" s="4"/>
      <c r="H720" s="4" t="s">
        <v>148</v>
      </c>
      <c r="I720" s="4"/>
      <c r="J720" s="4" t="s">
        <v>149</v>
      </c>
      <c r="K720" s="4">
        <v>99.0</v>
      </c>
      <c r="L720" s="4"/>
      <c r="M720" s="4">
        <v>99.0</v>
      </c>
      <c r="N720" s="4" t="s">
        <v>67</v>
      </c>
      <c r="O720" s="4" t="b">
        <v>0</v>
      </c>
      <c r="P720" s="4" t="s">
        <v>68</v>
      </c>
      <c r="Q720" s="4" t="s">
        <v>69</v>
      </c>
      <c r="R720" s="4"/>
      <c r="S720" s="4"/>
      <c r="T720" s="4"/>
      <c r="U720" s="7"/>
      <c r="V720" s="4"/>
      <c r="W720" s="4"/>
      <c r="X720" s="4"/>
      <c r="Y720" s="4"/>
      <c r="Z720" s="4"/>
      <c r="AA720" s="5"/>
      <c r="AB720" s="5"/>
      <c r="AC720" s="5"/>
      <c r="AD720" s="5"/>
      <c r="AE720" s="5"/>
    </row>
    <row r="721">
      <c r="A721" s="14" t="s">
        <v>1259</v>
      </c>
      <c r="B721" s="19">
        <v>44301.62657407407</v>
      </c>
      <c r="C721" s="4">
        <v>49948.0</v>
      </c>
      <c r="D721" s="4" t="s">
        <v>1260</v>
      </c>
      <c r="E721" s="4">
        <v>9.17248471313E11</v>
      </c>
      <c r="F721" s="4">
        <v>16905.0</v>
      </c>
      <c r="G721" s="4"/>
      <c r="H721" s="4" t="s">
        <v>1025</v>
      </c>
      <c r="I721" s="4"/>
      <c r="J721" s="4" t="s">
        <v>85</v>
      </c>
      <c r="K721" s="4">
        <v>199.0</v>
      </c>
      <c r="L721" s="4"/>
      <c r="M721" s="4">
        <v>199.0</v>
      </c>
      <c r="N721" s="4" t="s">
        <v>67</v>
      </c>
      <c r="O721" s="4" t="b">
        <v>0</v>
      </c>
      <c r="P721" s="4" t="s">
        <v>68</v>
      </c>
      <c r="Q721" s="4" t="s">
        <v>69</v>
      </c>
      <c r="R721" s="4"/>
      <c r="S721" s="4"/>
      <c r="T721" s="4"/>
      <c r="U721" s="7"/>
      <c r="V721" s="4"/>
      <c r="W721" s="4"/>
      <c r="X721" s="4"/>
      <c r="Y721" s="4"/>
      <c r="Z721" s="4"/>
      <c r="AA721" s="5"/>
      <c r="AB721" s="5"/>
      <c r="AC721" s="5"/>
      <c r="AD721" s="5"/>
      <c r="AE721" s="5"/>
    </row>
    <row r="722">
      <c r="A722" s="14" t="s">
        <v>1656</v>
      </c>
      <c r="B722" s="19">
        <v>44301.653958333336</v>
      </c>
      <c r="C722" s="4">
        <v>49813.0</v>
      </c>
      <c r="D722" s="4" t="s">
        <v>1657</v>
      </c>
      <c r="E722" s="4">
        <v>9.19884044335E11</v>
      </c>
      <c r="F722" s="4">
        <v>16886.0</v>
      </c>
      <c r="G722" s="4"/>
      <c r="H722" s="4" t="s">
        <v>1592</v>
      </c>
      <c r="I722" s="4"/>
      <c r="J722" s="4" t="s">
        <v>85</v>
      </c>
      <c r="K722" s="4">
        <v>299.0</v>
      </c>
      <c r="L722" s="4"/>
      <c r="M722" s="4">
        <v>299.0</v>
      </c>
      <c r="N722" s="4" t="s">
        <v>67</v>
      </c>
      <c r="O722" s="4" t="b">
        <v>0</v>
      </c>
      <c r="P722" s="4" t="s">
        <v>97</v>
      </c>
      <c r="Q722" s="4" t="s">
        <v>69</v>
      </c>
      <c r="R722" s="4"/>
      <c r="S722" s="4"/>
      <c r="T722" s="4"/>
      <c r="U722" s="7"/>
      <c r="V722" s="4"/>
      <c r="W722" s="4"/>
      <c r="X722" s="4"/>
      <c r="Y722" s="4"/>
      <c r="Z722" s="4"/>
      <c r="AA722" s="5"/>
      <c r="AB722" s="5"/>
      <c r="AC722" s="5"/>
      <c r="AD722" s="5"/>
      <c r="AE722" s="5"/>
    </row>
    <row r="723">
      <c r="A723" s="14" t="s">
        <v>1276</v>
      </c>
      <c r="B723" s="19">
        <v>44301.65803240741</v>
      </c>
      <c r="C723" s="4">
        <v>49958.0</v>
      </c>
      <c r="D723" s="4" t="s">
        <v>1277</v>
      </c>
      <c r="E723" s="4">
        <v>9.19326129046E11</v>
      </c>
      <c r="F723" s="4" t="s">
        <v>83</v>
      </c>
      <c r="G723" s="4"/>
      <c r="H723" s="4" t="s">
        <v>858</v>
      </c>
      <c r="I723" s="4"/>
      <c r="J723" s="4" t="s">
        <v>149</v>
      </c>
      <c r="K723" s="4">
        <v>99.0</v>
      </c>
      <c r="L723" s="4"/>
      <c r="M723" s="4">
        <v>99.0</v>
      </c>
      <c r="N723" s="4" t="s">
        <v>67</v>
      </c>
      <c r="O723" s="4" t="b">
        <v>0</v>
      </c>
      <c r="P723" s="4" t="s">
        <v>74</v>
      </c>
      <c r="Q723" s="4" t="s">
        <v>69</v>
      </c>
      <c r="R723" s="4"/>
      <c r="S723" s="4"/>
      <c r="T723" s="4"/>
      <c r="U723" s="7"/>
      <c r="V723" s="4"/>
      <c r="W723" s="4"/>
      <c r="X723" s="4"/>
      <c r="Y723" s="4"/>
      <c r="Z723" s="4"/>
      <c r="AA723" s="5"/>
      <c r="AB723" s="5"/>
      <c r="AC723" s="5"/>
      <c r="AD723" s="5"/>
      <c r="AE723" s="5"/>
    </row>
    <row r="724">
      <c r="A724" s="14" t="s">
        <v>1666</v>
      </c>
      <c r="B724" s="19">
        <v>44301.66395833333</v>
      </c>
      <c r="C724" s="4">
        <v>49813.0</v>
      </c>
      <c r="D724" s="4" t="s">
        <v>1667</v>
      </c>
      <c r="E724" s="4">
        <v>9.19913111744E11</v>
      </c>
      <c r="F724" s="4">
        <v>16892.0</v>
      </c>
      <c r="G724" s="4"/>
      <c r="H724" s="4" t="s">
        <v>1592</v>
      </c>
      <c r="I724" s="4"/>
      <c r="J724" s="4" t="s">
        <v>85</v>
      </c>
      <c r="K724" s="4">
        <v>299.0</v>
      </c>
      <c r="L724" s="4"/>
      <c r="M724" s="4">
        <v>299.0</v>
      </c>
      <c r="N724" s="4" t="s">
        <v>67</v>
      </c>
      <c r="O724" s="4" t="b">
        <v>0</v>
      </c>
      <c r="P724" s="4" t="s">
        <v>261</v>
      </c>
      <c r="Q724" s="4" t="s">
        <v>69</v>
      </c>
      <c r="R724" s="4"/>
      <c r="S724" s="4"/>
      <c r="T724" s="4"/>
      <c r="U724" s="7"/>
      <c r="V724" s="4"/>
      <c r="W724" s="4"/>
      <c r="X724" s="4"/>
      <c r="Y724" s="4"/>
      <c r="Z724" s="4"/>
      <c r="AA724" s="5"/>
      <c r="AB724" s="5"/>
      <c r="AC724" s="5"/>
      <c r="AD724" s="5"/>
      <c r="AE724" s="5"/>
    </row>
    <row r="725">
      <c r="A725" s="14" t="s">
        <v>1326</v>
      </c>
      <c r="B725" s="19">
        <v>44302.785462962966</v>
      </c>
      <c r="C725" s="4">
        <v>49958.0</v>
      </c>
      <c r="D725" s="4" t="s">
        <v>1327</v>
      </c>
      <c r="E725" s="4">
        <v>9.1883844192E11</v>
      </c>
      <c r="F725" s="4" t="s">
        <v>83</v>
      </c>
      <c r="G725" s="4"/>
      <c r="H725" s="4" t="s">
        <v>858</v>
      </c>
      <c r="I725" s="4"/>
      <c r="J725" s="4" t="s">
        <v>85</v>
      </c>
      <c r="K725" s="4">
        <v>199.0</v>
      </c>
      <c r="L725" s="4"/>
      <c r="M725" s="4">
        <v>199.0</v>
      </c>
      <c r="N725" s="4" t="s">
        <v>67</v>
      </c>
      <c r="O725" s="4" t="b">
        <v>0</v>
      </c>
      <c r="P725" s="4" t="s">
        <v>68</v>
      </c>
      <c r="Q725" s="4" t="s">
        <v>69</v>
      </c>
      <c r="R725" s="4"/>
      <c r="S725" s="4"/>
      <c r="T725" s="4"/>
      <c r="U725" s="7"/>
      <c r="V725" s="4"/>
      <c r="W725" s="4"/>
      <c r="X725" s="4"/>
      <c r="Y725" s="4"/>
      <c r="Z725" s="4"/>
      <c r="AA725" s="5"/>
      <c r="AB725" s="5"/>
      <c r="AC725" s="5"/>
      <c r="AD725" s="5"/>
      <c r="AE725" s="5"/>
    </row>
    <row r="726">
      <c r="A726" s="14" t="s">
        <v>2210</v>
      </c>
      <c r="B726" s="19">
        <v>44301.73743055556</v>
      </c>
      <c r="C726" s="4">
        <v>49854.0</v>
      </c>
      <c r="D726" s="4" t="s">
        <v>2211</v>
      </c>
      <c r="E726" s="4">
        <v>9.19830775774E11</v>
      </c>
      <c r="F726" s="4">
        <v>17750.0</v>
      </c>
      <c r="G726" s="4"/>
      <c r="H726" s="4" t="s">
        <v>2161</v>
      </c>
      <c r="I726" s="4"/>
      <c r="J726" s="4" t="s">
        <v>85</v>
      </c>
      <c r="K726" s="4">
        <v>599.0</v>
      </c>
      <c r="L726" s="4"/>
      <c r="M726" s="4">
        <v>599.0</v>
      </c>
      <c r="N726" s="4" t="s">
        <v>67</v>
      </c>
      <c r="O726" s="4" t="b">
        <v>0</v>
      </c>
      <c r="P726" s="4" t="s">
        <v>74</v>
      </c>
      <c r="Q726" s="4" t="s">
        <v>69</v>
      </c>
      <c r="R726" s="4"/>
      <c r="S726" s="4"/>
      <c r="T726" s="4"/>
      <c r="U726" s="7"/>
      <c r="V726" s="4"/>
      <c r="W726" s="4"/>
      <c r="X726" s="4"/>
      <c r="Y726" s="4"/>
      <c r="Z726" s="4"/>
      <c r="AA726" s="5"/>
      <c r="AB726" s="5"/>
      <c r="AC726" s="5"/>
      <c r="AD726" s="5"/>
      <c r="AE726" s="5"/>
    </row>
    <row r="727">
      <c r="A727" s="14" t="s">
        <v>1268</v>
      </c>
      <c r="B727" s="19">
        <v>44301.720243055555</v>
      </c>
      <c r="C727" s="4">
        <v>49877.0</v>
      </c>
      <c r="D727" s="4" t="s">
        <v>1269</v>
      </c>
      <c r="E727" s="4">
        <v>9.18767964718E11</v>
      </c>
      <c r="F727" s="4">
        <v>16933.0</v>
      </c>
      <c r="G727" s="4"/>
      <c r="H727" s="4" t="s">
        <v>280</v>
      </c>
      <c r="I727" s="4"/>
      <c r="J727" s="4" t="s">
        <v>85</v>
      </c>
      <c r="K727" s="4">
        <v>99.0</v>
      </c>
      <c r="L727" s="4"/>
      <c r="M727" s="4">
        <v>99.0</v>
      </c>
      <c r="N727" s="4" t="s">
        <v>67</v>
      </c>
      <c r="O727" s="4" t="b">
        <v>0</v>
      </c>
      <c r="P727" s="4" t="s">
        <v>68</v>
      </c>
      <c r="Q727" s="4" t="s">
        <v>69</v>
      </c>
      <c r="R727" s="4"/>
      <c r="S727" s="4"/>
      <c r="T727" s="4"/>
      <c r="U727" s="8"/>
      <c r="V727" s="4"/>
      <c r="W727" s="4"/>
      <c r="X727" s="4"/>
      <c r="Y727" s="4"/>
      <c r="Z727" s="4"/>
      <c r="AA727" s="5"/>
      <c r="AB727" s="5"/>
      <c r="AC727" s="5"/>
      <c r="AD727" s="5"/>
      <c r="AE727" s="5"/>
    </row>
    <row r="728">
      <c r="A728" s="14" t="s">
        <v>1690</v>
      </c>
      <c r="B728" s="19">
        <v>44302.805925925924</v>
      </c>
      <c r="C728" s="4">
        <v>49813.0</v>
      </c>
      <c r="D728" s="4" t="s">
        <v>1691</v>
      </c>
      <c r="E728" s="4">
        <v>9.17798397861E11</v>
      </c>
      <c r="F728" s="4">
        <v>16940.0</v>
      </c>
      <c r="G728" s="4"/>
      <c r="H728" s="4" t="s">
        <v>1592</v>
      </c>
      <c r="I728" s="4"/>
      <c r="J728" s="4" t="s">
        <v>85</v>
      </c>
      <c r="K728" s="4">
        <v>299.0</v>
      </c>
      <c r="L728" s="4"/>
      <c r="M728" s="4">
        <v>299.0</v>
      </c>
      <c r="N728" s="4" t="s">
        <v>67</v>
      </c>
      <c r="O728" s="4" t="b">
        <v>0</v>
      </c>
      <c r="P728" s="4" t="s">
        <v>97</v>
      </c>
      <c r="Q728" s="4" t="s">
        <v>69</v>
      </c>
      <c r="R728" s="4"/>
      <c r="S728" s="4"/>
      <c r="T728" s="4"/>
      <c r="U728" s="7"/>
      <c r="V728" s="4"/>
      <c r="W728" s="4"/>
      <c r="X728" s="4"/>
      <c r="Y728" s="4"/>
      <c r="Z728" s="4"/>
      <c r="AA728" s="5"/>
      <c r="AB728" s="5"/>
      <c r="AC728" s="5"/>
      <c r="AD728" s="5"/>
      <c r="AE728" s="5"/>
    </row>
    <row r="729">
      <c r="A729" s="14" t="s">
        <v>1272</v>
      </c>
      <c r="B729" s="19">
        <v>44301.76756944445</v>
      </c>
      <c r="C729" s="4">
        <v>49994.0</v>
      </c>
      <c r="D729" s="4" t="s">
        <v>1273</v>
      </c>
      <c r="E729" s="4">
        <v>9.19975678287E11</v>
      </c>
      <c r="F729" s="4">
        <v>16896.0</v>
      </c>
      <c r="G729" s="4"/>
      <c r="H729" s="4" t="s">
        <v>1264</v>
      </c>
      <c r="I729" s="4"/>
      <c r="J729" s="4" t="s">
        <v>85</v>
      </c>
      <c r="K729" s="4">
        <v>199.0</v>
      </c>
      <c r="L729" s="4"/>
      <c r="M729" s="4">
        <v>199.0</v>
      </c>
      <c r="N729" s="4" t="s">
        <v>67</v>
      </c>
      <c r="O729" s="4" t="b">
        <v>0</v>
      </c>
      <c r="P729" s="4" t="s">
        <v>68</v>
      </c>
      <c r="Q729" s="4" t="s">
        <v>69</v>
      </c>
      <c r="R729" s="4"/>
      <c r="S729" s="4"/>
      <c r="T729" s="4"/>
      <c r="U729" s="7"/>
      <c r="V729" s="4"/>
      <c r="W729" s="4"/>
      <c r="X729" s="4"/>
      <c r="Y729" s="4"/>
      <c r="Z729" s="4"/>
      <c r="AA729" s="5"/>
      <c r="AB729" s="5"/>
      <c r="AC729" s="5"/>
      <c r="AD729" s="5"/>
      <c r="AE729" s="5"/>
    </row>
    <row r="730">
      <c r="A730" s="14" t="s">
        <v>434</v>
      </c>
      <c r="B730" s="19">
        <v>44302.816608796296</v>
      </c>
      <c r="C730" s="4">
        <v>49992.0</v>
      </c>
      <c r="D730" s="4" t="s">
        <v>436</v>
      </c>
      <c r="E730" s="4">
        <v>9.17401781784E11</v>
      </c>
      <c r="F730" s="4">
        <v>2977.0</v>
      </c>
      <c r="G730" s="4"/>
      <c r="H730" s="4" t="s">
        <v>435</v>
      </c>
      <c r="I730" s="4"/>
      <c r="J730" s="4" t="s">
        <v>149</v>
      </c>
      <c r="K730" s="4">
        <v>99.0</v>
      </c>
      <c r="L730" s="4"/>
      <c r="M730" s="4">
        <v>99.0</v>
      </c>
      <c r="N730" s="4" t="s">
        <v>67</v>
      </c>
      <c r="O730" s="4" t="b">
        <v>0</v>
      </c>
      <c r="P730" s="4" t="s">
        <v>68</v>
      </c>
      <c r="Q730" s="4" t="s">
        <v>69</v>
      </c>
      <c r="R730" s="4"/>
      <c r="S730" s="4"/>
      <c r="T730" s="4"/>
      <c r="U730" s="7"/>
      <c r="V730" s="4"/>
      <c r="W730" s="4"/>
      <c r="X730" s="4"/>
      <c r="Y730" s="4"/>
      <c r="Z730" s="4"/>
      <c r="AA730" s="5"/>
      <c r="AB730" s="5"/>
      <c r="AC730" s="5"/>
      <c r="AD730" s="5"/>
      <c r="AE730" s="5"/>
    </row>
    <row r="731">
      <c r="A731" s="14" t="s">
        <v>1332</v>
      </c>
      <c r="B731" s="19">
        <v>44302.84180555555</v>
      </c>
      <c r="C731" s="4">
        <v>49833.0</v>
      </c>
      <c r="D731" s="4" t="s">
        <v>1333</v>
      </c>
      <c r="E731" s="4">
        <v>9.19900323825E11</v>
      </c>
      <c r="F731" s="4">
        <v>17102.0</v>
      </c>
      <c r="G731" s="4"/>
      <c r="H731" s="4" t="s">
        <v>184</v>
      </c>
      <c r="I731" s="4"/>
      <c r="J731" s="4" t="s">
        <v>85</v>
      </c>
      <c r="K731" s="4">
        <v>299.0</v>
      </c>
      <c r="L731" s="4"/>
      <c r="M731" s="4">
        <v>299.0</v>
      </c>
      <c r="N731" s="4" t="s">
        <v>67</v>
      </c>
      <c r="O731" s="4" t="b">
        <v>0</v>
      </c>
      <c r="P731" s="4" t="s">
        <v>97</v>
      </c>
      <c r="Q731" s="4" t="s">
        <v>69</v>
      </c>
      <c r="R731" s="4"/>
      <c r="S731" s="4"/>
      <c r="T731" s="4"/>
      <c r="U731" s="7"/>
      <c r="V731" s="4"/>
      <c r="W731" s="4"/>
      <c r="X731" s="4"/>
      <c r="Y731" s="4"/>
      <c r="Z731" s="4"/>
      <c r="AA731" s="5"/>
      <c r="AB731" s="5"/>
      <c r="AC731" s="5"/>
      <c r="AD731" s="5"/>
      <c r="AE731" s="5"/>
    </row>
    <row r="732">
      <c r="A732" s="14" t="s">
        <v>1278</v>
      </c>
      <c r="B732" s="19">
        <v>44301.78550925926</v>
      </c>
      <c r="C732" s="4">
        <v>49994.0</v>
      </c>
      <c r="D732" s="4" t="s">
        <v>1279</v>
      </c>
      <c r="E732" s="4">
        <v>9.18978473496E11</v>
      </c>
      <c r="F732" s="4">
        <v>16919.0</v>
      </c>
      <c r="G732" s="4"/>
      <c r="H732" s="4" t="s">
        <v>1264</v>
      </c>
      <c r="I732" s="4"/>
      <c r="J732" s="4" t="s">
        <v>149</v>
      </c>
      <c r="K732" s="4">
        <v>99.0</v>
      </c>
      <c r="L732" s="4"/>
      <c r="M732" s="4">
        <v>99.0</v>
      </c>
      <c r="N732" s="4" t="s">
        <v>67</v>
      </c>
      <c r="O732" s="4" t="b">
        <v>0</v>
      </c>
      <c r="P732" s="4" t="s">
        <v>151</v>
      </c>
      <c r="Q732" s="4" t="s">
        <v>69</v>
      </c>
      <c r="R732" s="4"/>
      <c r="S732" s="4"/>
      <c r="T732" s="4"/>
      <c r="U732" s="7"/>
      <c r="V732" s="4"/>
      <c r="W732" s="4"/>
      <c r="X732" s="4"/>
      <c r="Y732" s="4"/>
      <c r="Z732" s="4"/>
      <c r="AA732" s="5"/>
      <c r="AB732" s="5"/>
      <c r="AC732" s="5"/>
      <c r="AD732" s="5"/>
      <c r="AE732" s="5"/>
    </row>
    <row r="733">
      <c r="A733" s="14" t="s">
        <v>1334</v>
      </c>
      <c r="B733" s="19">
        <v>44302.87435185185</v>
      </c>
      <c r="C733" s="4">
        <v>49877.0</v>
      </c>
      <c r="D733" s="4" t="s">
        <v>1335</v>
      </c>
      <c r="E733" s="4">
        <v>9.1890332009E11</v>
      </c>
      <c r="F733" s="4" t="s">
        <v>83</v>
      </c>
      <c r="G733" s="4"/>
      <c r="H733" s="4" t="s">
        <v>280</v>
      </c>
      <c r="I733" s="4"/>
      <c r="J733" s="4" t="s">
        <v>85</v>
      </c>
      <c r="K733" s="4">
        <v>99.0</v>
      </c>
      <c r="L733" s="4"/>
      <c r="M733" s="4">
        <v>99.0</v>
      </c>
      <c r="N733" s="4" t="s">
        <v>67</v>
      </c>
      <c r="O733" s="4" t="b">
        <v>0</v>
      </c>
      <c r="P733" s="4" t="s">
        <v>97</v>
      </c>
      <c r="Q733" s="4" t="s">
        <v>69</v>
      </c>
      <c r="R733" s="4"/>
      <c r="S733" s="4"/>
      <c r="T733" s="4"/>
      <c r="U733" s="8"/>
      <c r="V733" s="4"/>
      <c r="W733" s="4"/>
      <c r="X733" s="4"/>
      <c r="Y733" s="4"/>
      <c r="Z733" s="4"/>
      <c r="AA733" s="5"/>
      <c r="AB733" s="5"/>
      <c r="AC733" s="5"/>
      <c r="AD733" s="5"/>
      <c r="AE733" s="5"/>
    </row>
    <row r="734">
      <c r="A734" s="14" t="s">
        <v>1280</v>
      </c>
      <c r="B734" s="19">
        <v>44301.827673611115</v>
      </c>
      <c r="C734" s="4">
        <v>49958.0</v>
      </c>
      <c r="D734" s="4" t="s">
        <v>1281</v>
      </c>
      <c r="E734" s="4">
        <v>9.1965796273E11</v>
      </c>
      <c r="F734" s="4">
        <v>17471.0</v>
      </c>
      <c r="G734" s="4"/>
      <c r="H734" s="4" t="s">
        <v>858</v>
      </c>
      <c r="I734" s="4"/>
      <c r="J734" s="4" t="s">
        <v>149</v>
      </c>
      <c r="K734" s="4">
        <v>99.0</v>
      </c>
      <c r="L734" s="4"/>
      <c r="M734" s="4">
        <v>99.0</v>
      </c>
      <c r="N734" s="4" t="s">
        <v>67</v>
      </c>
      <c r="O734" s="4" t="b">
        <v>0</v>
      </c>
      <c r="P734" s="4" t="s">
        <v>68</v>
      </c>
      <c r="Q734" s="4" t="s">
        <v>69</v>
      </c>
      <c r="R734" s="4"/>
      <c r="S734" s="4"/>
      <c r="T734" s="4"/>
      <c r="U734" s="7"/>
      <c r="V734" s="4"/>
      <c r="W734" s="4"/>
      <c r="X734" s="4"/>
      <c r="Y734" s="4"/>
      <c r="Z734" s="4"/>
      <c r="AA734" s="5"/>
      <c r="AB734" s="5"/>
      <c r="AC734" s="5"/>
      <c r="AD734" s="5"/>
      <c r="AE734" s="5"/>
    </row>
    <row r="735">
      <c r="A735" s="14" t="s">
        <v>1340</v>
      </c>
      <c r="B735" s="19">
        <v>44302.89303240741</v>
      </c>
      <c r="C735" s="4">
        <v>49958.0</v>
      </c>
      <c r="D735" s="4" t="s">
        <v>1341</v>
      </c>
      <c r="E735" s="4">
        <v>9.18975429431E11</v>
      </c>
      <c r="F735" s="4">
        <v>17456.0</v>
      </c>
      <c r="G735" s="4"/>
      <c r="H735" s="4" t="s">
        <v>858</v>
      </c>
      <c r="I735" s="4"/>
      <c r="J735" s="4" t="s">
        <v>149</v>
      </c>
      <c r="K735" s="4">
        <v>99.0</v>
      </c>
      <c r="L735" s="4"/>
      <c r="M735" s="4">
        <v>99.0</v>
      </c>
      <c r="N735" s="4" t="s">
        <v>67</v>
      </c>
      <c r="O735" s="4" t="b">
        <v>0</v>
      </c>
      <c r="P735" s="4" t="s">
        <v>68</v>
      </c>
      <c r="Q735" s="4" t="s">
        <v>69</v>
      </c>
      <c r="R735" s="4"/>
      <c r="S735" s="4"/>
      <c r="T735" s="4"/>
      <c r="U735" s="7"/>
      <c r="V735" s="4"/>
      <c r="W735" s="4"/>
      <c r="X735" s="4"/>
      <c r="Y735" s="4"/>
      <c r="Z735" s="4"/>
      <c r="AA735" s="5"/>
      <c r="AB735" s="5"/>
      <c r="AC735" s="5"/>
      <c r="AD735" s="5"/>
      <c r="AE735" s="5"/>
    </row>
    <row r="736">
      <c r="A736" s="14" t="s">
        <v>1282</v>
      </c>
      <c r="B736" s="19">
        <v>44301.85542824074</v>
      </c>
      <c r="C736" s="4">
        <v>49958.0</v>
      </c>
      <c r="D736" s="4" t="s">
        <v>1283</v>
      </c>
      <c r="E736" s="4">
        <v>9.19064236723E11</v>
      </c>
      <c r="F736" s="4">
        <v>17635.0</v>
      </c>
      <c r="G736" s="4"/>
      <c r="H736" s="4" t="s">
        <v>858</v>
      </c>
      <c r="I736" s="4"/>
      <c r="J736" s="4" t="s">
        <v>149</v>
      </c>
      <c r="K736" s="4">
        <v>99.0</v>
      </c>
      <c r="L736" s="4"/>
      <c r="M736" s="4">
        <v>99.0</v>
      </c>
      <c r="N736" s="4" t="s">
        <v>67</v>
      </c>
      <c r="O736" s="4" t="b">
        <v>0</v>
      </c>
      <c r="P736" s="4" t="s">
        <v>74</v>
      </c>
      <c r="Q736" s="4" t="s">
        <v>69</v>
      </c>
      <c r="R736" s="4"/>
      <c r="S736" s="4"/>
      <c r="T736" s="4"/>
      <c r="U736" s="8"/>
      <c r="V736" s="4"/>
      <c r="W736" s="4"/>
      <c r="X736" s="4"/>
      <c r="Y736" s="4"/>
      <c r="Z736" s="4"/>
      <c r="AA736" s="5"/>
      <c r="AB736" s="5"/>
      <c r="AC736" s="5"/>
      <c r="AD736" s="5"/>
      <c r="AE736" s="5"/>
    </row>
    <row r="737">
      <c r="A737" s="14" t="s">
        <v>1342</v>
      </c>
      <c r="B737" s="19">
        <v>44302.916655092595</v>
      </c>
      <c r="C737" s="4">
        <v>49948.0</v>
      </c>
      <c r="D737" s="4" t="s">
        <v>1343</v>
      </c>
      <c r="E737" s="4">
        <v>9.19916031233E11</v>
      </c>
      <c r="F737" s="4">
        <v>16939.0</v>
      </c>
      <c r="G737" s="4"/>
      <c r="H737" s="4" t="s">
        <v>791</v>
      </c>
      <c r="I737" s="4"/>
      <c r="J737" s="4" t="s">
        <v>149</v>
      </c>
      <c r="K737" s="4">
        <v>99.0</v>
      </c>
      <c r="L737" s="4"/>
      <c r="M737" s="4">
        <v>99.0</v>
      </c>
      <c r="N737" s="4" t="s">
        <v>67</v>
      </c>
      <c r="O737" s="4" t="b">
        <v>0</v>
      </c>
      <c r="P737" s="4" t="s">
        <v>68</v>
      </c>
      <c r="Q737" s="4" t="s">
        <v>69</v>
      </c>
      <c r="R737" s="4"/>
      <c r="S737" s="4"/>
      <c r="T737" s="4"/>
      <c r="U737" s="8"/>
      <c r="V737" s="4"/>
      <c r="W737" s="4"/>
      <c r="X737" s="4"/>
      <c r="Y737" s="4"/>
      <c r="Z737" s="4"/>
      <c r="AA737" s="5"/>
      <c r="AB737" s="5"/>
      <c r="AC737" s="5"/>
      <c r="AD737" s="5"/>
      <c r="AE737" s="5"/>
    </row>
    <row r="738">
      <c r="A738" s="14" t="s">
        <v>1344</v>
      </c>
      <c r="B738" s="19">
        <v>44302.92359953704</v>
      </c>
      <c r="C738" s="4">
        <v>49834.0</v>
      </c>
      <c r="D738" s="4" t="s">
        <v>1345</v>
      </c>
      <c r="E738" s="4">
        <v>9.19985799855E11</v>
      </c>
      <c r="F738" s="4">
        <v>17043.0</v>
      </c>
      <c r="G738" s="4"/>
      <c r="H738" s="4" t="s">
        <v>960</v>
      </c>
      <c r="I738" s="4"/>
      <c r="J738" s="4" t="s">
        <v>149</v>
      </c>
      <c r="K738" s="4">
        <v>99.0</v>
      </c>
      <c r="L738" s="4"/>
      <c r="M738" s="4">
        <v>99.0</v>
      </c>
      <c r="N738" s="4" t="s">
        <v>67</v>
      </c>
      <c r="O738" s="4" t="b">
        <v>0</v>
      </c>
      <c r="P738" s="4" t="s">
        <v>68</v>
      </c>
      <c r="Q738" s="4" t="s">
        <v>69</v>
      </c>
      <c r="R738" s="4"/>
      <c r="S738" s="4"/>
      <c r="T738" s="4"/>
      <c r="U738" s="7"/>
      <c r="V738" s="4"/>
      <c r="W738" s="4"/>
      <c r="X738" s="4"/>
      <c r="Y738" s="4"/>
      <c r="Z738" s="4"/>
      <c r="AA738" s="5"/>
      <c r="AB738" s="5"/>
      <c r="AC738" s="5"/>
      <c r="AD738" s="5"/>
      <c r="AE738" s="5"/>
    </row>
    <row r="739">
      <c r="A739" s="14" t="s">
        <v>1350</v>
      </c>
      <c r="B739" s="19">
        <v>44302.92579861111</v>
      </c>
      <c r="C739" s="4">
        <v>49834.0</v>
      </c>
      <c r="D739" s="4" t="s">
        <v>1351</v>
      </c>
      <c r="E739" s="4">
        <v>9.19873817091E11</v>
      </c>
      <c r="F739" s="4">
        <v>17402.0</v>
      </c>
      <c r="G739" s="4"/>
      <c r="H739" s="4" t="s">
        <v>960</v>
      </c>
      <c r="I739" s="4"/>
      <c r="J739" s="4" t="s">
        <v>149</v>
      </c>
      <c r="K739" s="4">
        <v>99.0</v>
      </c>
      <c r="L739" s="4"/>
      <c r="M739" s="4">
        <v>99.0</v>
      </c>
      <c r="N739" s="4" t="s">
        <v>67</v>
      </c>
      <c r="O739" s="4" t="b">
        <v>0</v>
      </c>
      <c r="P739" s="4" t="s">
        <v>74</v>
      </c>
      <c r="Q739" s="4" t="s">
        <v>69</v>
      </c>
      <c r="R739" s="4"/>
      <c r="S739" s="4"/>
      <c r="T739" s="4"/>
      <c r="U739" s="7"/>
      <c r="V739" s="4"/>
      <c r="W739" s="4"/>
      <c r="X739" s="4"/>
      <c r="Y739" s="4"/>
      <c r="Z739" s="4"/>
      <c r="AA739" s="5"/>
      <c r="AB739" s="5"/>
      <c r="AC739" s="5"/>
      <c r="AD739" s="5"/>
      <c r="AE739" s="5"/>
    </row>
    <row r="740">
      <c r="A740" s="14" t="s">
        <v>1284</v>
      </c>
      <c r="B740" s="19">
        <v>44301.88982638889</v>
      </c>
      <c r="C740" s="4">
        <v>49958.0</v>
      </c>
      <c r="D740" s="4" t="s">
        <v>1285</v>
      </c>
      <c r="E740" s="4">
        <v>9.18779424854E11</v>
      </c>
      <c r="F740" s="4">
        <v>16900.0</v>
      </c>
      <c r="G740" s="4"/>
      <c r="H740" s="4" t="s">
        <v>858</v>
      </c>
      <c r="I740" s="4"/>
      <c r="J740" s="4" t="s">
        <v>149</v>
      </c>
      <c r="K740" s="4">
        <v>99.0</v>
      </c>
      <c r="L740" s="4"/>
      <c r="M740" s="4">
        <v>99.0</v>
      </c>
      <c r="N740" s="4" t="s">
        <v>67</v>
      </c>
      <c r="O740" s="4" t="b">
        <v>0</v>
      </c>
      <c r="P740" s="4" t="s">
        <v>68</v>
      </c>
      <c r="Q740" s="4" t="s">
        <v>69</v>
      </c>
      <c r="R740" s="4"/>
      <c r="S740" s="4"/>
      <c r="T740" s="4"/>
      <c r="U740" s="7"/>
      <c r="V740" s="4"/>
      <c r="W740" s="4"/>
      <c r="X740" s="4"/>
      <c r="Y740" s="4"/>
      <c r="Z740" s="4"/>
      <c r="AA740" s="5"/>
      <c r="AB740" s="5"/>
      <c r="AC740" s="5"/>
      <c r="AD740" s="5"/>
      <c r="AE740" s="5"/>
    </row>
    <row r="741">
      <c r="A741" s="14" t="s">
        <v>1353</v>
      </c>
      <c r="B741" s="19">
        <v>44302.939884259256</v>
      </c>
      <c r="C741" s="4">
        <v>49958.0</v>
      </c>
      <c r="D741" s="4" t="s">
        <v>1354</v>
      </c>
      <c r="E741" s="4">
        <v>9.19653129846E11</v>
      </c>
      <c r="F741" s="4" t="s">
        <v>83</v>
      </c>
      <c r="G741" s="4"/>
      <c r="H741" s="4" t="s">
        <v>858</v>
      </c>
      <c r="I741" s="4"/>
      <c r="J741" s="4" t="s">
        <v>149</v>
      </c>
      <c r="K741" s="4">
        <v>99.0</v>
      </c>
      <c r="L741" s="4"/>
      <c r="M741" s="4">
        <v>99.0</v>
      </c>
      <c r="N741" s="4" t="s">
        <v>67</v>
      </c>
      <c r="O741" s="4" t="b">
        <v>0</v>
      </c>
      <c r="P741" s="4" t="s">
        <v>74</v>
      </c>
      <c r="Q741" s="4" t="s">
        <v>69</v>
      </c>
      <c r="R741" s="4"/>
      <c r="S741" s="4"/>
      <c r="T741" s="4"/>
      <c r="U741" s="7"/>
      <c r="V741" s="4"/>
      <c r="W741" s="4"/>
      <c r="X741" s="4"/>
      <c r="Y741" s="4"/>
      <c r="Z741" s="4"/>
      <c r="AA741" s="5"/>
      <c r="AB741" s="5"/>
      <c r="AC741" s="5"/>
      <c r="AD741" s="5"/>
      <c r="AE741" s="5"/>
    </row>
    <row r="742">
      <c r="A742" s="14" t="s">
        <v>1286</v>
      </c>
      <c r="B742" s="19">
        <v>44301.90825231482</v>
      </c>
      <c r="C742" s="4">
        <v>49958.0</v>
      </c>
      <c r="D742" s="4" t="s">
        <v>1287</v>
      </c>
      <c r="E742" s="4">
        <v>9.19136221622E11</v>
      </c>
      <c r="F742" s="4">
        <v>16904.0</v>
      </c>
      <c r="G742" s="4"/>
      <c r="H742" s="4" t="s">
        <v>858</v>
      </c>
      <c r="I742" s="4"/>
      <c r="J742" s="4" t="s">
        <v>149</v>
      </c>
      <c r="K742" s="4">
        <v>99.0</v>
      </c>
      <c r="L742" s="4"/>
      <c r="M742" s="4">
        <v>99.0</v>
      </c>
      <c r="N742" s="4" t="s">
        <v>67</v>
      </c>
      <c r="O742" s="4" t="b">
        <v>0</v>
      </c>
      <c r="P742" s="4" t="s">
        <v>68</v>
      </c>
      <c r="Q742" s="4" t="s">
        <v>69</v>
      </c>
      <c r="R742" s="4"/>
      <c r="S742" s="4"/>
      <c r="T742" s="4"/>
      <c r="U742" s="7"/>
      <c r="V742" s="4"/>
      <c r="W742" s="4"/>
      <c r="X742" s="4"/>
      <c r="Y742" s="4"/>
      <c r="Z742" s="4"/>
      <c r="AA742" s="5"/>
      <c r="AB742" s="5"/>
      <c r="AC742" s="5"/>
      <c r="AD742" s="5"/>
      <c r="AE742" s="5"/>
    </row>
    <row r="743">
      <c r="A743" s="14" t="s">
        <v>1346</v>
      </c>
      <c r="B743" s="19">
        <v>44302.97021990741</v>
      </c>
      <c r="C743" s="4">
        <v>49997.0</v>
      </c>
      <c r="D743" s="4" t="s">
        <v>1347</v>
      </c>
      <c r="E743" s="4">
        <v>9.18802705258E11</v>
      </c>
      <c r="F743" s="4">
        <v>5419.0</v>
      </c>
      <c r="G743" s="4"/>
      <c r="H743" s="4" t="s">
        <v>1059</v>
      </c>
      <c r="I743" s="4"/>
      <c r="J743" s="4" t="s">
        <v>85</v>
      </c>
      <c r="K743" s="4">
        <v>199.0</v>
      </c>
      <c r="L743" s="4"/>
      <c r="M743" s="4">
        <v>199.0</v>
      </c>
      <c r="N743" s="4" t="s">
        <v>67</v>
      </c>
      <c r="O743" s="4" t="b">
        <v>0</v>
      </c>
      <c r="P743" s="4" t="s">
        <v>151</v>
      </c>
      <c r="Q743" s="4" t="s">
        <v>69</v>
      </c>
      <c r="R743" s="4"/>
      <c r="S743" s="4"/>
      <c r="T743" s="4"/>
      <c r="U743" s="7"/>
      <c r="V743" s="4"/>
      <c r="W743" s="4"/>
      <c r="X743" s="4"/>
      <c r="Y743" s="4"/>
      <c r="Z743" s="4"/>
      <c r="AA743" s="5"/>
      <c r="AB743" s="5"/>
      <c r="AC743" s="5"/>
      <c r="AD743" s="5"/>
      <c r="AE743" s="5"/>
    </row>
    <row r="744">
      <c r="A744" s="14" t="s">
        <v>1348</v>
      </c>
      <c r="B744" s="19">
        <v>44302.975173611114</v>
      </c>
      <c r="C744" s="4">
        <v>49833.0</v>
      </c>
      <c r="D744" s="4" t="s">
        <v>1349</v>
      </c>
      <c r="E744" s="4">
        <v>9.19942704988E11</v>
      </c>
      <c r="F744" s="4" t="s">
        <v>83</v>
      </c>
      <c r="G744" s="4"/>
      <c r="H744" s="4" t="s">
        <v>184</v>
      </c>
      <c r="I744" s="4"/>
      <c r="J744" s="4" t="s">
        <v>85</v>
      </c>
      <c r="K744" s="4">
        <v>299.0</v>
      </c>
      <c r="L744" s="4"/>
      <c r="M744" s="4">
        <v>299.0</v>
      </c>
      <c r="N744" s="4" t="s">
        <v>67</v>
      </c>
      <c r="O744" s="4" t="b">
        <v>0</v>
      </c>
      <c r="P744" s="4" t="s">
        <v>68</v>
      </c>
      <c r="Q744" s="4" t="s">
        <v>69</v>
      </c>
      <c r="R744" s="4"/>
      <c r="S744" s="4"/>
      <c r="T744" s="4"/>
      <c r="U744" s="7"/>
      <c r="V744" s="4"/>
      <c r="W744" s="4"/>
      <c r="X744" s="4"/>
      <c r="Y744" s="4"/>
      <c r="Z744" s="4"/>
      <c r="AA744" s="5"/>
      <c r="AB744" s="5"/>
      <c r="AC744" s="5"/>
      <c r="AD744" s="5"/>
      <c r="AE744" s="5"/>
    </row>
    <row r="745">
      <c r="A745" s="14" t="s">
        <v>1357</v>
      </c>
      <c r="B745" s="19">
        <v>44302.976319444446</v>
      </c>
      <c r="C745" s="4">
        <v>49993.0</v>
      </c>
      <c r="D745" s="4" t="s">
        <v>1358</v>
      </c>
      <c r="E745" s="4">
        <v>9.17006160966E11</v>
      </c>
      <c r="F745" s="4">
        <v>16942.0</v>
      </c>
      <c r="G745" s="4"/>
      <c r="H745" s="4" t="s">
        <v>1104</v>
      </c>
      <c r="I745" s="4"/>
      <c r="J745" s="4" t="s">
        <v>149</v>
      </c>
      <c r="K745" s="4">
        <v>99.0</v>
      </c>
      <c r="L745" s="4"/>
      <c r="M745" s="4">
        <v>99.0</v>
      </c>
      <c r="N745" s="4" t="s">
        <v>67</v>
      </c>
      <c r="O745" s="4" t="b">
        <v>0</v>
      </c>
      <c r="P745" s="4" t="s">
        <v>74</v>
      </c>
      <c r="Q745" s="4" t="s">
        <v>69</v>
      </c>
      <c r="R745" s="4"/>
      <c r="S745" s="4"/>
      <c r="T745" s="4"/>
      <c r="U745" s="7"/>
      <c r="V745" s="4"/>
      <c r="W745" s="4"/>
      <c r="X745" s="4"/>
      <c r="Y745" s="4"/>
      <c r="Z745" s="4"/>
      <c r="AA745" s="5"/>
      <c r="AB745" s="5"/>
      <c r="AC745" s="5"/>
      <c r="AD745" s="5"/>
      <c r="AE745" s="5"/>
    </row>
    <row r="746">
      <c r="A746" s="14" t="s">
        <v>1678</v>
      </c>
      <c r="B746" s="19">
        <v>44301.920902777776</v>
      </c>
      <c r="C746" s="4">
        <v>49813.0</v>
      </c>
      <c r="D746" s="4" t="s">
        <v>1679</v>
      </c>
      <c r="E746" s="4">
        <v>9.19480603434E11</v>
      </c>
      <c r="F746" s="4">
        <v>16918.0</v>
      </c>
      <c r="G746" s="4"/>
      <c r="H746" s="4" t="s">
        <v>1592</v>
      </c>
      <c r="I746" s="4"/>
      <c r="J746" s="4" t="s">
        <v>149</v>
      </c>
      <c r="K746" s="4">
        <v>149.0</v>
      </c>
      <c r="L746" s="4"/>
      <c r="M746" s="4">
        <v>149.0</v>
      </c>
      <c r="N746" s="4" t="s">
        <v>67</v>
      </c>
      <c r="O746" s="4" t="b">
        <v>0</v>
      </c>
      <c r="P746" s="4" t="s">
        <v>68</v>
      </c>
      <c r="Q746" s="4" t="s">
        <v>69</v>
      </c>
      <c r="R746" s="4"/>
      <c r="S746" s="4"/>
      <c r="T746" s="4"/>
      <c r="U746" s="7"/>
      <c r="V746" s="4"/>
      <c r="W746" s="4"/>
      <c r="X746" s="4"/>
      <c r="Y746" s="4"/>
      <c r="Z746" s="4"/>
      <c r="AA746" s="5"/>
      <c r="AB746" s="5"/>
      <c r="AC746" s="5"/>
      <c r="AD746" s="5"/>
      <c r="AE746" s="5"/>
    </row>
    <row r="747">
      <c r="A747" s="14" t="s">
        <v>1300</v>
      </c>
      <c r="B747" s="19">
        <v>44301.96828703704</v>
      </c>
      <c r="C747" s="4">
        <v>49834.0</v>
      </c>
      <c r="D747" s="4" t="s">
        <v>1301</v>
      </c>
      <c r="E747" s="4">
        <v>9.18605689953E11</v>
      </c>
      <c r="F747" s="4" t="s">
        <v>83</v>
      </c>
      <c r="G747" s="4"/>
      <c r="H747" s="4" t="s">
        <v>960</v>
      </c>
      <c r="I747" s="4"/>
      <c r="J747" s="4" t="s">
        <v>149</v>
      </c>
      <c r="K747" s="4">
        <v>99.0</v>
      </c>
      <c r="L747" s="4"/>
      <c r="M747" s="4">
        <v>99.0</v>
      </c>
      <c r="N747" s="4" t="s">
        <v>67</v>
      </c>
      <c r="O747" s="4" t="b">
        <v>0</v>
      </c>
      <c r="P747" s="4" t="s">
        <v>97</v>
      </c>
      <c r="Q747" s="4" t="s">
        <v>69</v>
      </c>
      <c r="R747" s="4"/>
      <c r="S747" s="4"/>
      <c r="T747" s="4"/>
      <c r="U747" s="7"/>
      <c r="V747" s="4"/>
      <c r="W747" s="4"/>
      <c r="X747" s="4"/>
      <c r="Y747" s="4"/>
      <c r="Z747" s="4"/>
      <c r="AA747" s="5"/>
      <c r="AB747" s="5"/>
      <c r="AC747" s="5"/>
      <c r="AD747" s="5"/>
      <c r="AE747" s="5"/>
    </row>
    <row r="748">
      <c r="A748" s="14" t="s">
        <v>1352</v>
      </c>
      <c r="B748" s="19">
        <v>44303.01755787037</v>
      </c>
      <c r="C748" s="4">
        <v>49834.0</v>
      </c>
      <c r="D748" s="4" t="s">
        <v>765</v>
      </c>
      <c r="E748" s="4">
        <v>9.19632219597E11</v>
      </c>
      <c r="F748" s="4">
        <v>16690.0</v>
      </c>
      <c r="G748" s="4"/>
      <c r="H748" s="4" t="s">
        <v>76</v>
      </c>
      <c r="I748" s="4"/>
      <c r="J748" s="4" t="s">
        <v>77</v>
      </c>
      <c r="K748" s="4">
        <v>349.0</v>
      </c>
      <c r="L748" s="4"/>
      <c r="M748" s="4">
        <v>349.0</v>
      </c>
      <c r="N748" s="4" t="s">
        <v>67</v>
      </c>
      <c r="O748" s="4" t="b">
        <v>0</v>
      </c>
      <c r="P748" s="4" t="s">
        <v>68</v>
      </c>
      <c r="Q748" s="4" t="s">
        <v>69</v>
      </c>
      <c r="R748" s="4"/>
      <c r="S748" s="4"/>
      <c r="T748" s="4"/>
      <c r="U748" s="7"/>
      <c r="V748" s="4"/>
      <c r="W748" s="4"/>
      <c r="X748" s="4"/>
      <c r="Y748" s="4"/>
      <c r="Z748" s="4"/>
      <c r="AA748" s="5"/>
      <c r="AB748" s="5"/>
      <c r="AC748" s="5"/>
      <c r="AD748" s="5"/>
      <c r="AE748" s="5"/>
    </row>
    <row r="749">
      <c r="A749" s="14" t="s">
        <v>643</v>
      </c>
      <c r="B749" s="19">
        <v>44303.093090277776</v>
      </c>
      <c r="C749" s="4">
        <v>49907.0</v>
      </c>
      <c r="D749" s="4" t="s">
        <v>644</v>
      </c>
      <c r="E749" s="4">
        <v>9.18319230245E11</v>
      </c>
      <c r="F749" s="4" t="s">
        <v>83</v>
      </c>
      <c r="G749" s="4"/>
      <c r="H749" s="4" t="s">
        <v>587</v>
      </c>
      <c r="I749" s="4"/>
      <c r="J749" s="4" t="s">
        <v>149</v>
      </c>
      <c r="K749" s="4">
        <v>99.0</v>
      </c>
      <c r="L749" s="4"/>
      <c r="M749" s="4">
        <v>99.0</v>
      </c>
      <c r="N749" s="4" t="s">
        <v>67</v>
      </c>
      <c r="O749" s="4" t="b">
        <v>0</v>
      </c>
      <c r="P749" s="4" t="s">
        <v>68</v>
      </c>
      <c r="Q749" s="4" t="s">
        <v>69</v>
      </c>
      <c r="R749" s="4"/>
      <c r="S749" s="4"/>
      <c r="T749" s="4"/>
      <c r="U749" s="8"/>
      <c r="V749" s="4"/>
      <c r="W749" s="4"/>
      <c r="X749" s="4"/>
      <c r="Y749" s="4"/>
      <c r="Z749" s="4"/>
      <c r="AA749" s="5"/>
      <c r="AB749" s="5"/>
      <c r="AC749" s="5"/>
      <c r="AD749" s="5"/>
      <c r="AE749" s="5"/>
    </row>
    <row r="750">
      <c r="A750" s="14" t="s">
        <v>118</v>
      </c>
      <c r="B750" s="19">
        <v>44236.50329861111</v>
      </c>
      <c r="C750" s="4">
        <v>49831.0</v>
      </c>
      <c r="D750" s="4" t="s">
        <v>119</v>
      </c>
      <c r="E750" s="4">
        <v>9.19140600963E11</v>
      </c>
      <c r="F750" s="4">
        <v>11830.0</v>
      </c>
      <c r="G750" s="4"/>
      <c r="H750" s="4" t="s">
        <v>64</v>
      </c>
      <c r="I750" s="4"/>
      <c r="J750" s="4" t="s">
        <v>65</v>
      </c>
      <c r="K750" s="4">
        <v>299.0</v>
      </c>
      <c r="L750" s="4"/>
      <c r="M750" s="4">
        <v>299.0</v>
      </c>
      <c r="N750" s="4" t="s">
        <v>67</v>
      </c>
      <c r="O750" s="4" t="b">
        <v>0</v>
      </c>
      <c r="P750" s="4" t="s">
        <v>68</v>
      </c>
      <c r="Q750" s="4" t="s">
        <v>69</v>
      </c>
      <c r="R750" s="4"/>
      <c r="S750" s="4"/>
      <c r="T750" s="4"/>
      <c r="U750" s="7"/>
      <c r="V750" s="4"/>
      <c r="W750" s="4"/>
      <c r="X750" s="4"/>
      <c r="Y750" s="4"/>
      <c r="Z750" s="4"/>
      <c r="AA750" s="5"/>
      <c r="AB750" s="5"/>
      <c r="AC750" s="5"/>
      <c r="AD750" s="5"/>
      <c r="AE750" s="5"/>
    </row>
    <row r="751">
      <c r="A751" s="14" t="s">
        <v>1355</v>
      </c>
      <c r="B751" s="19">
        <v>44303.308657407404</v>
      </c>
      <c r="C751" s="4">
        <v>49877.0</v>
      </c>
      <c r="D751" s="4" t="s">
        <v>1356</v>
      </c>
      <c r="E751" s="4">
        <v>9.19538546796E11</v>
      </c>
      <c r="F751" s="4" t="s">
        <v>83</v>
      </c>
      <c r="G751" s="4"/>
      <c r="H751" s="4" t="s">
        <v>280</v>
      </c>
      <c r="I751" s="4"/>
      <c r="J751" s="4" t="s">
        <v>85</v>
      </c>
      <c r="K751" s="4">
        <v>99.0</v>
      </c>
      <c r="L751" s="4"/>
      <c r="M751" s="4">
        <v>99.0</v>
      </c>
      <c r="N751" s="4" t="s">
        <v>67</v>
      </c>
      <c r="O751" s="4" t="b">
        <v>0</v>
      </c>
      <c r="P751" s="4" t="s">
        <v>68</v>
      </c>
      <c r="Q751" s="4" t="s">
        <v>69</v>
      </c>
      <c r="R751" s="4"/>
      <c r="S751" s="4"/>
      <c r="T751" s="4"/>
      <c r="U751" s="7"/>
      <c r="V751" s="4"/>
      <c r="W751" s="4"/>
      <c r="X751" s="4"/>
      <c r="Y751" s="4"/>
      <c r="Z751" s="4"/>
      <c r="AA751" s="5"/>
      <c r="AB751" s="5"/>
      <c r="AC751" s="5"/>
      <c r="AD751" s="5"/>
      <c r="AE751" s="5"/>
    </row>
    <row r="752">
      <c r="A752" s="14" t="s">
        <v>463</v>
      </c>
      <c r="B752" s="19">
        <v>44303.310162037036</v>
      </c>
      <c r="C752" s="4">
        <v>49992.0</v>
      </c>
      <c r="D752" s="4" t="s">
        <v>464</v>
      </c>
      <c r="E752" s="4">
        <v>9.19888898656E11</v>
      </c>
      <c r="F752" s="4">
        <v>17442.0</v>
      </c>
      <c r="G752" s="4"/>
      <c r="H752" s="4" t="s">
        <v>435</v>
      </c>
      <c r="I752" s="4"/>
      <c r="J752" s="4" t="s">
        <v>149</v>
      </c>
      <c r="K752" s="4">
        <v>99.0</v>
      </c>
      <c r="L752" s="4"/>
      <c r="M752" s="4">
        <v>99.0</v>
      </c>
      <c r="N752" s="4" t="s">
        <v>67</v>
      </c>
      <c r="O752" s="4" t="b">
        <v>0</v>
      </c>
      <c r="P752" s="4" t="s">
        <v>68</v>
      </c>
      <c r="Q752" s="4" t="s">
        <v>69</v>
      </c>
      <c r="R752" s="4"/>
      <c r="S752" s="4"/>
      <c r="T752" s="4"/>
      <c r="U752" s="7"/>
      <c r="V752" s="4"/>
      <c r="W752" s="4"/>
      <c r="X752" s="4"/>
      <c r="Y752" s="4"/>
      <c r="Z752" s="4"/>
      <c r="AA752" s="5"/>
      <c r="AB752" s="5"/>
      <c r="AC752" s="5"/>
      <c r="AD752" s="5"/>
      <c r="AE752" s="5"/>
    </row>
    <row r="753">
      <c r="A753" s="14" t="s">
        <v>661</v>
      </c>
      <c r="B753" s="19">
        <v>44303.40982638889</v>
      </c>
      <c r="C753" s="4">
        <v>49907.0</v>
      </c>
      <c r="D753" s="4" t="s">
        <v>662</v>
      </c>
      <c r="E753" s="4">
        <v>9.19490164044E11</v>
      </c>
      <c r="F753" s="4">
        <v>17020.0</v>
      </c>
      <c r="G753" s="4"/>
      <c r="H753" s="4" t="s">
        <v>587</v>
      </c>
      <c r="I753" s="4"/>
      <c r="J753" s="4" t="s">
        <v>149</v>
      </c>
      <c r="K753" s="4">
        <v>99.0</v>
      </c>
      <c r="L753" s="4"/>
      <c r="M753" s="4">
        <v>99.0</v>
      </c>
      <c r="N753" s="4" t="s">
        <v>67</v>
      </c>
      <c r="O753" s="4" t="b">
        <v>0</v>
      </c>
      <c r="P753" s="4" t="s">
        <v>68</v>
      </c>
      <c r="Q753" s="4" t="s">
        <v>69</v>
      </c>
      <c r="R753" s="4"/>
      <c r="S753" s="4"/>
      <c r="T753" s="4"/>
      <c r="U753" s="7"/>
      <c r="V753" s="4"/>
      <c r="W753" s="4"/>
      <c r="X753" s="4"/>
      <c r="Y753" s="4"/>
      <c r="Z753" s="4"/>
      <c r="AA753" s="5"/>
      <c r="AB753" s="5"/>
      <c r="AC753" s="5"/>
      <c r="AD753" s="5"/>
      <c r="AE753" s="5"/>
    </row>
    <row r="754">
      <c r="A754" s="14" t="s">
        <v>1361</v>
      </c>
      <c r="B754" s="19">
        <v>44303.43782407408</v>
      </c>
      <c r="C754" s="4">
        <v>49833.0</v>
      </c>
      <c r="D754" s="4" t="s">
        <v>1362</v>
      </c>
      <c r="E754" s="4">
        <v>9.19967497775E11</v>
      </c>
      <c r="F754" s="4">
        <v>17131.0</v>
      </c>
      <c r="G754" s="4"/>
      <c r="H754" s="4" t="s">
        <v>184</v>
      </c>
      <c r="I754" s="4"/>
      <c r="J754" s="4" t="s">
        <v>85</v>
      </c>
      <c r="K754" s="4">
        <v>299.0</v>
      </c>
      <c r="L754" s="4"/>
      <c r="M754" s="4">
        <v>299.0</v>
      </c>
      <c r="N754" s="4" t="s">
        <v>67</v>
      </c>
      <c r="O754" s="4" t="b">
        <v>0</v>
      </c>
      <c r="P754" s="4" t="s">
        <v>74</v>
      </c>
      <c r="Q754" s="4" t="s">
        <v>69</v>
      </c>
      <c r="R754" s="4"/>
      <c r="S754" s="4"/>
      <c r="T754" s="4"/>
      <c r="U754" s="8"/>
      <c r="V754" s="4"/>
      <c r="W754" s="4"/>
      <c r="X754" s="4"/>
      <c r="Y754" s="4"/>
      <c r="Z754" s="4"/>
      <c r="AA754" s="5"/>
      <c r="AB754" s="5"/>
      <c r="AC754" s="5"/>
      <c r="AD754" s="5"/>
      <c r="AE754" s="5"/>
    </row>
    <row r="755">
      <c r="A755" s="14" t="s">
        <v>649</v>
      </c>
      <c r="B755" s="19">
        <v>44303.43854166667</v>
      </c>
      <c r="C755" s="4">
        <v>49907.0</v>
      </c>
      <c r="D755" s="4" t="s">
        <v>650</v>
      </c>
      <c r="E755" s="4">
        <v>9.18884224657E11</v>
      </c>
      <c r="F755" s="4">
        <v>17019.0</v>
      </c>
      <c r="G755" s="4"/>
      <c r="H755" s="4" t="s">
        <v>587</v>
      </c>
      <c r="I755" s="4"/>
      <c r="J755" s="4" t="s">
        <v>85</v>
      </c>
      <c r="K755" s="4">
        <v>199.0</v>
      </c>
      <c r="L755" s="4"/>
      <c r="M755" s="4">
        <v>199.0</v>
      </c>
      <c r="N755" s="4" t="s">
        <v>67</v>
      </c>
      <c r="O755" s="4" t="b">
        <v>0</v>
      </c>
      <c r="P755" s="4" t="s">
        <v>68</v>
      </c>
      <c r="Q755" s="4" t="s">
        <v>69</v>
      </c>
      <c r="R755" s="4"/>
      <c r="S755" s="4"/>
      <c r="T755" s="4"/>
      <c r="U755" s="7"/>
      <c r="V755" s="4"/>
      <c r="W755" s="4"/>
      <c r="X755" s="4"/>
      <c r="Y755" s="4"/>
      <c r="Z755" s="4"/>
      <c r="AA755" s="5"/>
      <c r="AB755" s="5"/>
      <c r="AC755" s="5"/>
      <c r="AD755" s="5"/>
      <c r="AE755" s="5"/>
    </row>
    <row r="756">
      <c r="A756" s="14" t="s">
        <v>1375</v>
      </c>
      <c r="B756" s="19">
        <v>44303.446238425924</v>
      </c>
      <c r="C756" s="4">
        <v>49993.0</v>
      </c>
      <c r="D756" s="4" t="s">
        <v>1376</v>
      </c>
      <c r="E756" s="4">
        <v>9.18950279316E11</v>
      </c>
      <c r="F756" s="4">
        <v>16943.0</v>
      </c>
      <c r="G756" s="4"/>
      <c r="H756" s="4" t="s">
        <v>1104</v>
      </c>
      <c r="I756" s="4"/>
      <c r="J756" s="4" t="s">
        <v>149</v>
      </c>
      <c r="K756" s="4">
        <v>99.0</v>
      </c>
      <c r="L756" s="4"/>
      <c r="M756" s="4">
        <v>99.0</v>
      </c>
      <c r="N756" s="4" t="s">
        <v>67</v>
      </c>
      <c r="O756" s="4" t="b">
        <v>0</v>
      </c>
      <c r="P756" s="4" t="s">
        <v>68</v>
      </c>
      <c r="Q756" s="4" t="s">
        <v>69</v>
      </c>
      <c r="R756" s="4"/>
      <c r="S756" s="4"/>
      <c r="T756" s="4"/>
      <c r="U756" s="7"/>
      <c r="V756" s="4"/>
      <c r="W756" s="4"/>
      <c r="X756" s="4"/>
      <c r="Y756" s="4"/>
      <c r="Z756" s="4"/>
      <c r="AA756" s="5"/>
      <c r="AB756" s="5"/>
      <c r="AC756" s="5"/>
      <c r="AD756" s="5"/>
      <c r="AE756" s="5"/>
    </row>
    <row r="757">
      <c r="A757" s="14" t="s">
        <v>1381</v>
      </c>
      <c r="B757" s="19">
        <v>44303.451157407406</v>
      </c>
      <c r="C757" s="4">
        <v>49844.0</v>
      </c>
      <c r="D757" s="4" t="s">
        <v>1382</v>
      </c>
      <c r="E757" s="4">
        <v>9.17987015683E11</v>
      </c>
      <c r="F757" s="4">
        <v>17017.0</v>
      </c>
      <c r="G757" s="4"/>
      <c r="H757" s="4" t="s">
        <v>1174</v>
      </c>
      <c r="I757" s="4"/>
      <c r="J757" s="4" t="s">
        <v>149</v>
      </c>
      <c r="K757" s="4">
        <v>99.0</v>
      </c>
      <c r="L757" s="4"/>
      <c r="M757" s="4">
        <v>99.0</v>
      </c>
      <c r="N757" s="4" t="s">
        <v>67</v>
      </c>
      <c r="O757" s="4" t="b">
        <v>0</v>
      </c>
      <c r="P757" s="4" t="s">
        <v>68</v>
      </c>
      <c r="Q757" s="4" t="s">
        <v>69</v>
      </c>
      <c r="R757" s="4"/>
      <c r="S757" s="4"/>
      <c r="T757" s="4"/>
      <c r="U757" s="7"/>
      <c r="V757" s="4"/>
      <c r="W757" s="4"/>
      <c r="X757" s="4"/>
      <c r="Y757" s="4"/>
      <c r="Z757" s="4"/>
      <c r="AA757" s="5"/>
      <c r="AB757" s="5"/>
      <c r="AC757" s="5"/>
      <c r="AD757" s="5"/>
      <c r="AE757" s="5"/>
    </row>
    <row r="758">
      <c r="A758" s="14" t="s">
        <v>1680</v>
      </c>
      <c r="B758" s="19">
        <v>44302.399560185186</v>
      </c>
      <c r="C758" s="4">
        <v>49813.0</v>
      </c>
      <c r="D758" s="4" t="s">
        <v>1681</v>
      </c>
      <c r="E758" s="4">
        <v>9.18130146021E11</v>
      </c>
      <c r="F758" s="4">
        <v>16911.0</v>
      </c>
      <c r="G758" s="4"/>
      <c r="H758" s="4" t="s">
        <v>1592</v>
      </c>
      <c r="I758" s="4"/>
      <c r="J758" s="4" t="s">
        <v>149</v>
      </c>
      <c r="K758" s="4">
        <v>149.0</v>
      </c>
      <c r="L758" s="4"/>
      <c r="M758" s="4">
        <v>149.0</v>
      </c>
      <c r="N758" s="4" t="s">
        <v>67</v>
      </c>
      <c r="O758" s="4" t="b">
        <v>0</v>
      </c>
      <c r="P758" s="4" t="s">
        <v>74</v>
      </c>
      <c r="Q758" s="4" t="s">
        <v>69</v>
      </c>
      <c r="R758" s="4"/>
      <c r="S758" s="4"/>
      <c r="T758" s="4"/>
      <c r="U758" s="7"/>
      <c r="V758" s="4"/>
      <c r="W758" s="4"/>
      <c r="X758" s="4"/>
      <c r="Y758" s="4"/>
      <c r="Z758" s="4"/>
      <c r="AA758" s="5"/>
      <c r="AB758" s="5"/>
      <c r="AC758" s="5"/>
      <c r="AD758" s="5"/>
      <c r="AE758" s="5"/>
    </row>
    <row r="759">
      <c r="A759" s="14" t="s">
        <v>1369</v>
      </c>
      <c r="B759" s="19">
        <v>44303.459872685184</v>
      </c>
      <c r="C759" s="4">
        <v>49877.0</v>
      </c>
      <c r="D759" s="4" t="s">
        <v>1370</v>
      </c>
      <c r="E759" s="4">
        <v>9.1942989268E11</v>
      </c>
      <c r="F759" s="4" t="s">
        <v>83</v>
      </c>
      <c r="G759" s="4"/>
      <c r="H759" s="4" t="s">
        <v>280</v>
      </c>
      <c r="I759" s="4"/>
      <c r="J759" s="4" t="s">
        <v>85</v>
      </c>
      <c r="K759" s="4">
        <v>99.0</v>
      </c>
      <c r="L759" s="4"/>
      <c r="M759" s="4">
        <v>99.0</v>
      </c>
      <c r="N759" s="4" t="s">
        <v>67</v>
      </c>
      <c r="O759" s="4" t="b">
        <v>0</v>
      </c>
      <c r="P759" s="4" t="s">
        <v>68</v>
      </c>
      <c r="Q759" s="4" t="s">
        <v>69</v>
      </c>
      <c r="R759" s="4"/>
      <c r="S759" s="4"/>
      <c r="T759" s="4"/>
      <c r="U759" s="7"/>
      <c r="V759" s="4"/>
      <c r="W759" s="4"/>
      <c r="X759" s="4"/>
      <c r="Y759" s="4"/>
      <c r="Z759" s="4"/>
      <c r="AA759" s="5"/>
      <c r="AB759" s="5"/>
      <c r="AC759" s="5"/>
      <c r="AD759" s="5"/>
      <c r="AE759" s="5"/>
    </row>
    <row r="760">
      <c r="A760" s="14" t="s">
        <v>1373</v>
      </c>
      <c r="B760" s="19">
        <v>44303.48217592593</v>
      </c>
      <c r="C760" s="4">
        <v>49997.0</v>
      </c>
      <c r="D760" s="4" t="s">
        <v>1374</v>
      </c>
      <c r="E760" s="4">
        <v>9.19962545496E11</v>
      </c>
      <c r="F760" s="4" t="s">
        <v>83</v>
      </c>
      <c r="G760" s="4"/>
      <c r="H760" s="4" t="s">
        <v>1059</v>
      </c>
      <c r="I760" s="4"/>
      <c r="J760" s="4" t="s">
        <v>85</v>
      </c>
      <c r="K760" s="4">
        <v>199.0</v>
      </c>
      <c r="L760" s="4"/>
      <c r="M760" s="4">
        <v>199.0</v>
      </c>
      <c r="N760" s="4" t="s">
        <v>67</v>
      </c>
      <c r="O760" s="4" t="b">
        <v>0</v>
      </c>
      <c r="P760" s="4" t="s">
        <v>74</v>
      </c>
      <c r="Q760" s="4" t="s">
        <v>69</v>
      </c>
      <c r="R760" s="4"/>
      <c r="S760" s="4"/>
      <c r="T760" s="4"/>
      <c r="U760" s="7"/>
      <c r="V760" s="4"/>
      <c r="W760" s="4"/>
      <c r="X760" s="4"/>
      <c r="Y760" s="4"/>
      <c r="Z760" s="4"/>
      <c r="AA760" s="5"/>
      <c r="AB760" s="5"/>
      <c r="AC760" s="5"/>
      <c r="AD760" s="5"/>
      <c r="AE760" s="5"/>
    </row>
    <row r="761">
      <c r="A761" s="14" t="s">
        <v>1371</v>
      </c>
      <c r="B761" s="19">
        <v>44303.47252314815</v>
      </c>
      <c r="C761" s="4">
        <v>49997.0</v>
      </c>
      <c r="D761" s="4" t="s">
        <v>1372</v>
      </c>
      <c r="E761" s="4">
        <v>9.18810558698E11</v>
      </c>
      <c r="F761" s="4">
        <v>16949.0</v>
      </c>
      <c r="G761" s="4"/>
      <c r="H761" s="4" t="s">
        <v>1059</v>
      </c>
      <c r="I761" s="4"/>
      <c r="J761" s="4" t="s">
        <v>149</v>
      </c>
      <c r="K761" s="4">
        <v>99.0</v>
      </c>
      <c r="L761" s="4"/>
      <c r="M761" s="4">
        <v>99.0</v>
      </c>
      <c r="N761" s="4" t="s">
        <v>67</v>
      </c>
      <c r="O761" s="4" t="b">
        <v>0</v>
      </c>
      <c r="P761" s="4" t="s">
        <v>151</v>
      </c>
      <c r="Q761" s="4" t="s">
        <v>69</v>
      </c>
      <c r="R761" s="4"/>
      <c r="S761" s="4"/>
      <c r="T761" s="4"/>
      <c r="U761" s="7"/>
      <c r="V761" s="4"/>
      <c r="W761" s="4"/>
      <c r="X761" s="4"/>
      <c r="Y761" s="4"/>
      <c r="Z761" s="4"/>
      <c r="AA761" s="5"/>
      <c r="AB761" s="5"/>
      <c r="AC761" s="5"/>
      <c r="AD761" s="5"/>
      <c r="AE761" s="5"/>
    </row>
    <row r="762">
      <c r="A762" s="14" t="s">
        <v>787</v>
      </c>
      <c r="B762" s="19">
        <v>44237.79421296297</v>
      </c>
      <c r="C762" s="4">
        <v>49831.0</v>
      </c>
      <c r="D762" s="4" t="s">
        <v>788</v>
      </c>
      <c r="E762" s="4">
        <v>9.18810555506E11</v>
      </c>
      <c r="F762" s="4">
        <v>11999.0</v>
      </c>
      <c r="G762" s="4"/>
      <c r="H762" s="4" t="s">
        <v>137</v>
      </c>
      <c r="I762" s="4"/>
      <c r="J762" s="4" t="s">
        <v>149</v>
      </c>
      <c r="K762" s="4">
        <v>99.0</v>
      </c>
      <c r="L762" s="4"/>
      <c r="M762" s="4">
        <v>99.0</v>
      </c>
      <c r="N762" s="4" t="s">
        <v>67</v>
      </c>
      <c r="O762" s="4" t="b">
        <v>0</v>
      </c>
      <c r="P762" s="4" t="s">
        <v>68</v>
      </c>
      <c r="Q762" s="4" t="s">
        <v>69</v>
      </c>
      <c r="R762" s="4"/>
      <c r="S762" s="4"/>
      <c r="T762" s="4"/>
      <c r="U762" s="7"/>
      <c r="V762" s="4"/>
      <c r="W762" s="4"/>
      <c r="X762" s="4"/>
      <c r="Y762" s="4"/>
      <c r="Z762" s="4"/>
      <c r="AA762" s="5"/>
      <c r="AB762" s="5"/>
      <c r="AC762" s="5"/>
      <c r="AD762" s="5"/>
      <c r="AE762" s="5"/>
    </row>
    <row r="763">
      <c r="A763" s="14" t="s">
        <v>789</v>
      </c>
      <c r="B763" s="19">
        <v>44237.79591435185</v>
      </c>
      <c r="C763" s="4">
        <v>49831.0</v>
      </c>
      <c r="D763" s="4" t="s">
        <v>788</v>
      </c>
      <c r="E763" s="4">
        <v>9.18810555506E11</v>
      </c>
      <c r="F763" s="4">
        <v>11999.0</v>
      </c>
      <c r="G763" s="4"/>
      <c r="H763" s="4" t="s">
        <v>137</v>
      </c>
      <c r="I763" s="4"/>
      <c r="J763" s="4" t="s">
        <v>149</v>
      </c>
      <c r="K763" s="4">
        <v>99.0</v>
      </c>
      <c r="L763" s="4"/>
      <c r="M763" s="4">
        <v>99.0</v>
      </c>
      <c r="N763" s="4" t="s">
        <v>67</v>
      </c>
      <c r="O763" s="4" t="b">
        <v>0</v>
      </c>
      <c r="P763" s="4" t="s">
        <v>68</v>
      </c>
      <c r="Q763" s="4" t="s">
        <v>69</v>
      </c>
      <c r="R763" s="4"/>
      <c r="S763" s="4"/>
      <c r="T763" s="4"/>
      <c r="U763" s="7"/>
      <c r="V763" s="4"/>
      <c r="W763" s="4"/>
      <c r="X763" s="4"/>
      <c r="Y763" s="4"/>
      <c r="Z763" s="4"/>
      <c r="AA763" s="5"/>
      <c r="AB763" s="5"/>
      <c r="AC763" s="5"/>
      <c r="AD763" s="5"/>
      <c r="AE763" s="5"/>
    </row>
    <row r="764">
      <c r="A764" s="14" t="s">
        <v>1290</v>
      </c>
      <c r="B764" s="19">
        <v>44302.46076388889</v>
      </c>
      <c r="C764" s="4">
        <v>49844.0</v>
      </c>
      <c r="D764" s="4" t="s">
        <v>1291</v>
      </c>
      <c r="E764" s="4">
        <v>9.19780514598E11</v>
      </c>
      <c r="F764" s="4">
        <v>16913.0</v>
      </c>
      <c r="G764" s="4"/>
      <c r="H764" s="4" t="s">
        <v>885</v>
      </c>
      <c r="I764" s="4"/>
      <c r="J764" s="4" t="s">
        <v>85</v>
      </c>
      <c r="K764" s="4">
        <v>199.0</v>
      </c>
      <c r="L764" s="4"/>
      <c r="M764" s="4">
        <v>199.0</v>
      </c>
      <c r="N764" s="4" t="s">
        <v>67</v>
      </c>
      <c r="O764" s="4" t="b">
        <v>0</v>
      </c>
      <c r="P764" s="4" t="s">
        <v>68</v>
      </c>
      <c r="Q764" s="4" t="s">
        <v>69</v>
      </c>
      <c r="R764" s="4"/>
      <c r="S764" s="4"/>
      <c r="T764" s="4"/>
      <c r="U764" s="8"/>
      <c r="V764" s="4"/>
      <c r="W764" s="4"/>
      <c r="X764" s="4"/>
      <c r="Y764" s="4"/>
      <c r="Z764" s="4"/>
      <c r="AA764" s="5"/>
      <c r="AB764" s="5"/>
      <c r="AC764" s="5"/>
      <c r="AD764" s="5"/>
      <c r="AE764" s="5"/>
    </row>
    <row r="765">
      <c r="A765" s="14" t="s">
        <v>212</v>
      </c>
      <c r="B765" s="19">
        <v>44302.467824074076</v>
      </c>
      <c r="C765" s="4">
        <v>49991.0</v>
      </c>
      <c r="D765" s="4" t="s">
        <v>213</v>
      </c>
      <c r="E765" s="4">
        <v>9.17276016442E11</v>
      </c>
      <c r="F765" s="4">
        <v>16929.0</v>
      </c>
      <c r="G765" s="4"/>
      <c r="H765" s="4" t="s">
        <v>148</v>
      </c>
      <c r="I765" s="4"/>
      <c r="J765" s="4" t="s">
        <v>85</v>
      </c>
      <c r="K765" s="4">
        <v>199.0</v>
      </c>
      <c r="L765" s="4"/>
      <c r="M765" s="4">
        <v>199.0</v>
      </c>
      <c r="N765" s="4" t="s">
        <v>67</v>
      </c>
      <c r="O765" s="4" t="b">
        <v>0</v>
      </c>
      <c r="P765" s="4" t="s">
        <v>97</v>
      </c>
      <c r="Q765" s="4" t="s">
        <v>69</v>
      </c>
      <c r="R765" s="4"/>
      <c r="S765" s="4"/>
      <c r="T765" s="4"/>
      <c r="U765" s="7"/>
      <c r="V765" s="4"/>
      <c r="W765" s="4"/>
      <c r="X765" s="4"/>
      <c r="Y765" s="4"/>
      <c r="Z765" s="4"/>
      <c r="AA765" s="5"/>
      <c r="AB765" s="5"/>
      <c r="AC765" s="5"/>
      <c r="AD765" s="5"/>
      <c r="AE765" s="5"/>
    </row>
    <row r="766">
      <c r="A766" s="14" t="s">
        <v>1385</v>
      </c>
      <c r="B766" s="19">
        <v>44303.537152777775</v>
      </c>
      <c r="C766" s="4">
        <v>49958.0</v>
      </c>
      <c r="D766" s="4" t="s">
        <v>1386</v>
      </c>
      <c r="E766" s="4">
        <v>9.18851642293E11</v>
      </c>
      <c r="F766" s="4" t="s">
        <v>83</v>
      </c>
      <c r="G766" s="4"/>
      <c r="H766" s="4" t="s">
        <v>858</v>
      </c>
      <c r="I766" s="4"/>
      <c r="J766" s="4" t="s">
        <v>149</v>
      </c>
      <c r="K766" s="4">
        <v>99.0</v>
      </c>
      <c r="L766" s="4"/>
      <c r="M766" s="4">
        <v>99.0</v>
      </c>
      <c r="N766" s="4" t="s">
        <v>67</v>
      </c>
      <c r="O766" s="4" t="b">
        <v>0</v>
      </c>
      <c r="P766" s="4" t="s">
        <v>151</v>
      </c>
      <c r="Q766" s="4" t="s">
        <v>69</v>
      </c>
      <c r="R766" s="4"/>
      <c r="S766" s="4"/>
      <c r="T766" s="4"/>
      <c r="U766" s="7"/>
      <c r="V766" s="4"/>
      <c r="W766" s="4"/>
      <c r="X766" s="4"/>
      <c r="Y766" s="4"/>
      <c r="Z766" s="4"/>
      <c r="AA766" s="5"/>
      <c r="AB766" s="5"/>
      <c r="AC766" s="5"/>
      <c r="AD766" s="5"/>
      <c r="AE766" s="5"/>
    </row>
    <row r="767">
      <c r="A767" s="14" t="s">
        <v>1377</v>
      </c>
      <c r="B767" s="19">
        <v>44303.53803240741</v>
      </c>
      <c r="C767" s="4">
        <v>49877.0</v>
      </c>
      <c r="D767" s="4" t="s">
        <v>1378</v>
      </c>
      <c r="E767" s="4">
        <v>9.17093358228E11</v>
      </c>
      <c r="F767" s="4" t="s">
        <v>83</v>
      </c>
      <c r="G767" s="4"/>
      <c r="H767" s="4" t="s">
        <v>280</v>
      </c>
      <c r="I767" s="4"/>
      <c r="J767" s="4" t="s">
        <v>85</v>
      </c>
      <c r="K767" s="4">
        <v>99.0</v>
      </c>
      <c r="L767" s="4"/>
      <c r="M767" s="4">
        <v>99.0</v>
      </c>
      <c r="N767" s="4" t="s">
        <v>67</v>
      </c>
      <c r="O767" s="4" t="b">
        <v>0</v>
      </c>
      <c r="P767" s="4" t="s">
        <v>68</v>
      </c>
      <c r="Q767" s="4" t="s">
        <v>69</v>
      </c>
      <c r="R767" s="4"/>
      <c r="S767" s="4"/>
      <c r="T767" s="4"/>
      <c r="U767" s="7"/>
      <c r="V767" s="4"/>
      <c r="W767" s="4"/>
      <c r="X767" s="4"/>
      <c r="Y767" s="4"/>
      <c r="Z767" s="4"/>
      <c r="AA767" s="5"/>
      <c r="AB767" s="5"/>
      <c r="AC767" s="5"/>
      <c r="AD767" s="5"/>
      <c r="AE767" s="5"/>
    </row>
    <row r="768">
      <c r="A768" s="14" t="s">
        <v>1294</v>
      </c>
      <c r="B768" s="19">
        <v>44302.484826388885</v>
      </c>
      <c r="C768" s="4">
        <v>49997.0</v>
      </c>
      <c r="D768" s="4" t="s">
        <v>1295</v>
      </c>
      <c r="E768" s="4">
        <v>9.18879400441E11</v>
      </c>
      <c r="F768" s="4">
        <v>16979.0</v>
      </c>
      <c r="G768" s="4"/>
      <c r="H768" s="4" t="s">
        <v>1059</v>
      </c>
      <c r="I768" s="4"/>
      <c r="J768" s="4" t="s">
        <v>149</v>
      </c>
      <c r="K768" s="4">
        <v>99.0</v>
      </c>
      <c r="L768" s="4"/>
      <c r="M768" s="4">
        <v>99.0</v>
      </c>
      <c r="N768" s="4" t="s">
        <v>67</v>
      </c>
      <c r="O768" s="4" t="b">
        <v>0</v>
      </c>
      <c r="P768" s="4" t="s">
        <v>68</v>
      </c>
      <c r="Q768" s="4" t="s">
        <v>69</v>
      </c>
      <c r="R768" s="4"/>
      <c r="S768" s="4"/>
      <c r="T768" s="4"/>
      <c r="U768" s="7"/>
      <c r="V768" s="4"/>
      <c r="W768" s="4"/>
      <c r="X768" s="4"/>
      <c r="Y768" s="4"/>
      <c r="Z768" s="4"/>
      <c r="AA768" s="5"/>
      <c r="AB768" s="5"/>
      <c r="AC768" s="5"/>
      <c r="AD768" s="5"/>
      <c r="AE768" s="5"/>
    </row>
    <row r="769">
      <c r="A769" s="14" t="s">
        <v>1296</v>
      </c>
      <c r="B769" s="19">
        <v>44302.486759259256</v>
      </c>
      <c r="C769" s="4">
        <v>49833.0</v>
      </c>
      <c r="D769" s="4" t="s">
        <v>1297</v>
      </c>
      <c r="E769" s="4">
        <v>9.16304489336E11</v>
      </c>
      <c r="F769" s="4">
        <v>17100.0</v>
      </c>
      <c r="G769" s="4"/>
      <c r="H769" s="4" t="s">
        <v>184</v>
      </c>
      <c r="I769" s="4"/>
      <c r="J769" s="4" t="s">
        <v>77</v>
      </c>
      <c r="K769" s="4">
        <v>499.0</v>
      </c>
      <c r="L769" s="4"/>
      <c r="M769" s="4">
        <v>499.0</v>
      </c>
      <c r="N769" s="4" t="s">
        <v>67</v>
      </c>
      <c r="O769" s="4" t="b">
        <v>0</v>
      </c>
      <c r="P769" s="4" t="s">
        <v>68</v>
      </c>
      <c r="Q769" s="4" t="s">
        <v>69</v>
      </c>
      <c r="R769" s="4"/>
      <c r="S769" s="4"/>
      <c r="T769" s="4"/>
      <c r="U769" s="7"/>
      <c r="V769" s="4"/>
      <c r="W769" s="4"/>
      <c r="X769" s="4"/>
      <c r="Y769" s="4"/>
      <c r="Z769" s="4"/>
      <c r="AA769" s="5"/>
      <c r="AB769" s="5"/>
      <c r="AC769" s="5"/>
      <c r="AD769" s="5"/>
      <c r="AE769" s="5"/>
    </row>
    <row r="770">
      <c r="A770" s="14" t="s">
        <v>1379</v>
      </c>
      <c r="B770" s="19">
        <v>44303.56554398148</v>
      </c>
      <c r="C770" s="4">
        <v>49834.0</v>
      </c>
      <c r="D770" s="4" t="s">
        <v>1380</v>
      </c>
      <c r="E770" s="4">
        <v>4.8663785985E10</v>
      </c>
      <c r="F770" s="4">
        <v>17056.0</v>
      </c>
      <c r="G770" s="4"/>
      <c r="H770" s="4" t="s">
        <v>76</v>
      </c>
      <c r="I770" s="4"/>
      <c r="J770" s="4" t="s">
        <v>77</v>
      </c>
      <c r="K770" s="4">
        <v>349.0</v>
      </c>
      <c r="L770" s="4"/>
      <c r="M770" s="4">
        <v>349.0</v>
      </c>
      <c r="N770" s="4" t="s">
        <v>67</v>
      </c>
      <c r="O770" s="4" t="b">
        <v>0</v>
      </c>
      <c r="P770" s="4" t="s">
        <v>97</v>
      </c>
      <c r="Q770" s="4" t="s">
        <v>69</v>
      </c>
      <c r="R770" s="4"/>
      <c r="S770" s="4"/>
      <c r="T770" s="4"/>
      <c r="U770" s="7"/>
      <c r="V770" s="4"/>
      <c r="W770" s="4"/>
      <c r="X770" s="4"/>
      <c r="Y770" s="4"/>
      <c r="Z770" s="4"/>
      <c r="AA770" s="5"/>
      <c r="AB770" s="5"/>
      <c r="AC770" s="5"/>
      <c r="AD770" s="5"/>
      <c r="AE770" s="5"/>
    </row>
    <row r="771">
      <c r="A771" s="14" t="s">
        <v>633</v>
      </c>
      <c r="B771" s="19">
        <v>44302.49130787037</v>
      </c>
      <c r="C771" s="4">
        <v>49907.0</v>
      </c>
      <c r="D771" s="4" t="s">
        <v>634</v>
      </c>
      <c r="E771" s="4">
        <v>9.16263101907E11</v>
      </c>
      <c r="F771" s="4">
        <v>16995.0</v>
      </c>
      <c r="G771" s="4"/>
      <c r="H771" s="4" t="s">
        <v>587</v>
      </c>
      <c r="I771" s="4"/>
      <c r="J771" s="4" t="s">
        <v>85</v>
      </c>
      <c r="K771" s="4">
        <v>199.0</v>
      </c>
      <c r="L771" s="4"/>
      <c r="M771" s="4">
        <v>199.0</v>
      </c>
      <c r="N771" s="4" t="s">
        <v>67</v>
      </c>
      <c r="O771" s="4" t="b">
        <v>0</v>
      </c>
      <c r="P771" s="4" t="s">
        <v>68</v>
      </c>
      <c r="Q771" s="4" t="s">
        <v>69</v>
      </c>
      <c r="R771" s="4"/>
      <c r="S771" s="4"/>
      <c r="T771" s="4"/>
      <c r="U771" s="7"/>
      <c r="V771" s="4"/>
      <c r="W771" s="4"/>
      <c r="X771" s="4"/>
      <c r="Y771" s="4"/>
      <c r="Z771" s="4"/>
      <c r="AA771" s="5"/>
      <c r="AB771" s="5"/>
      <c r="AC771" s="5"/>
      <c r="AD771" s="5"/>
      <c r="AE771" s="5"/>
    </row>
    <row r="772">
      <c r="A772" s="14" t="s">
        <v>1309</v>
      </c>
      <c r="B772" s="19">
        <v>44302.52203703704</v>
      </c>
      <c r="C772" s="4">
        <v>49948.0</v>
      </c>
      <c r="D772" s="4" t="s">
        <v>1310</v>
      </c>
      <c r="E772" s="4">
        <v>9.1854199026E11</v>
      </c>
      <c r="F772" s="4">
        <v>16917.0</v>
      </c>
      <c r="G772" s="4"/>
      <c r="H772" s="4" t="s">
        <v>791</v>
      </c>
      <c r="I772" s="4"/>
      <c r="J772" s="4" t="s">
        <v>149</v>
      </c>
      <c r="K772" s="4">
        <v>99.0</v>
      </c>
      <c r="L772" s="4"/>
      <c r="M772" s="4">
        <v>99.0</v>
      </c>
      <c r="N772" s="4" t="s">
        <v>67</v>
      </c>
      <c r="O772" s="4" t="b">
        <v>0</v>
      </c>
      <c r="P772" s="4" t="s">
        <v>151</v>
      </c>
      <c r="Q772" s="4" t="s">
        <v>69</v>
      </c>
      <c r="R772" s="4"/>
      <c r="S772" s="4"/>
      <c r="T772" s="4"/>
      <c r="U772" s="7"/>
      <c r="V772" s="4"/>
      <c r="W772" s="4"/>
      <c r="X772" s="4"/>
      <c r="Y772" s="4"/>
      <c r="Z772" s="4"/>
      <c r="AA772" s="5"/>
      <c r="AB772" s="5"/>
      <c r="AC772" s="5"/>
      <c r="AD772" s="5"/>
      <c r="AE772" s="5"/>
    </row>
    <row r="773">
      <c r="A773" s="14" t="s">
        <v>1304</v>
      </c>
      <c r="B773" s="19">
        <v>44302.54210648148</v>
      </c>
      <c r="C773" s="4">
        <v>49833.0</v>
      </c>
      <c r="D773" s="4" t="s">
        <v>1305</v>
      </c>
      <c r="E773" s="4">
        <v>9.17980048067E11</v>
      </c>
      <c r="F773" s="4">
        <v>17101.0</v>
      </c>
      <c r="G773" s="4"/>
      <c r="H773" s="4" t="s">
        <v>184</v>
      </c>
      <c r="I773" s="4"/>
      <c r="J773" s="4" t="s">
        <v>77</v>
      </c>
      <c r="K773" s="4">
        <v>499.0</v>
      </c>
      <c r="L773" s="4"/>
      <c r="M773" s="4">
        <v>499.0</v>
      </c>
      <c r="N773" s="4" t="s">
        <v>67</v>
      </c>
      <c r="O773" s="4" t="b">
        <v>0</v>
      </c>
      <c r="P773" s="4" t="s">
        <v>68</v>
      </c>
      <c r="Q773" s="4" t="s">
        <v>69</v>
      </c>
      <c r="R773" s="4"/>
      <c r="S773" s="4"/>
      <c r="T773" s="4"/>
      <c r="U773" s="7"/>
      <c r="V773" s="4"/>
      <c r="W773" s="4"/>
      <c r="X773" s="4"/>
      <c r="Y773" s="4"/>
      <c r="Z773" s="4"/>
      <c r="AA773" s="5"/>
      <c r="AB773" s="5"/>
      <c r="AC773" s="5"/>
      <c r="AD773" s="5"/>
      <c r="AE773" s="5"/>
    </row>
    <row r="774">
      <c r="A774" s="14" t="s">
        <v>1682</v>
      </c>
      <c r="B774" s="19">
        <v>44302.546331018515</v>
      </c>
      <c r="C774" s="4">
        <v>49813.0</v>
      </c>
      <c r="D774" s="4" t="s">
        <v>1683</v>
      </c>
      <c r="E774" s="4">
        <v>9.19920052086E11</v>
      </c>
      <c r="F774" s="4">
        <v>16960.0</v>
      </c>
      <c r="G774" s="4"/>
      <c r="H774" s="4" t="s">
        <v>1592</v>
      </c>
      <c r="I774" s="4"/>
      <c r="J774" s="4" t="s">
        <v>85</v>
      </c>
      <c r="K774" s="4">
        <v>299.0</v>
      </c>
      <c r="L774" s="4"/>
      <c r="M774" s="4">
        <v>299.0</v>
      </c>
      <c r="N774" s="4" t="s">
        <v>67</v>
      </c>
      <c r="O774" s="4" t="b">
        <v>0</v>
      </c>
      <c r="P774" s="4" t="s">
        <v>97</v>
      </c>
      <c r="Q774" s="4" t="s">
        <v>69</v>
      </c>
      <c r="R774" s="4"/>
      <c r="S774" s="4"/>
      <c r="T774" s="4"/>
      <c r="U774" s="7"/>
      <c r="V774" s="4"/>
      <c r="W774" s="4"/>
      <c r="X774" s="4"/>
      <c r="Y774" s="4"/>
      <c r="Z774" s="4"/>
      <c r="AA774" s="5"/>
      <c r="AB774" s="5"/>
      <c r="AC774" s="5"/>
      <c r="AD774" s="5"/>
      <c r="AE774" s="5"/>
    </row>
    <row r="775">
      <c r="A775" s="14" t="s">
        <v>242</v>
      </c>
      <c r="B775" s="19">
        <v>44302.53265046296</v>
      </c>
      <c r="C775" s="4">
        <v>49991.0</v>
      </c>
      <c r="D775" s="4" t="s">
        <v>243</v>
      </c>
      <c r="E775" s="4">
        <v>9.19890168744E11</v>
      </c>
      <c r="F775" s="4" t="s">
        <v>83</v>
      </c>
      <c r="G775" s="4"/>
      <c r="H775" s="4" t="s">
        <v>148</v>
      </c>
      <c r="I775" s="4"/>
      <c r="J775" s="4" t="s">
        <v>149</v>
      </c>
      <c r="K775" s="4">
        <v>99.0</v>
      </c>
      <c r="L775" s="4"/>
      <c r="M775" s="4">
        <v>99.0</v>
      </c>
      <c r="N775" s="4" t="s">
        <v>67</v>
      </c>
      <c r="O775" s="4" t="b">
        <v>0</v>
      </c>
      <c r="P775" s="4" t="s">
        <v>68</v>
      </c>
      <c r="Q775" s="4" t="s">
        <v>69</v>
      </c>
      <c r="R775" s="4"/>
      <c r="S775" s="4"/>
      <c r="T775" s="4"/>
      <c r="U775" s="7"/>
      <c r="V775" s="4"/>
      <c r="W775" s="4"/>
      <c r="X775" s="4"/>
      <c r="Y775" s="4"/>
      <c r="Z775" s="4"/>
      <c r="AA775" s="5"/>
      <c r="AB775" s="5"/>
      <c r="AC775" s="5"/>
      <c r="AD775" s="5"/>
      <c r="AE775" s="5"/>
    </row>
    <row r="776">
      <c r="A776" s="14" t="s">
        <v>2134</v>
      </c>
      <c r="B776" s="19">
        <v>44302.55153935185</v>
      </c>
      <c r="C776" s="4">
        <v>49978.0</v>
      </c>
      <c r="D776" s="4" t="s">
        <v>2136</v>
      </c>
      <c r="E776" s="4">
        <v>9.16283721911E11</v>
      </c>
      <c r="F776" s="4">
        <v>16925.0</v>
      </c>
      <c r="G776" s="4"/>
      <c r="H776" s="4" t="s">
        <v>2135</v>
      </c>
      <c r="I776" s="4"/>
      <c r="J776" s="4" t="s">
        <v>77</v>
      </c>
      <c r="K776" s="4">
        <v>119.0</v>
      </c>
      <c r="L776" s="4"/>
      <c r="M776" s="4">
        <v>119.0</v>
      </c>
      <c r="N776" s="4" t="s">
        <v>67</v>
      </c>
      <c r="O776" s="4" t="b">
        <v>0</v>
      </c>
      <c r="P776" s="4" t="s">
        <v>68</v>
      </c>
      <c r="Q776" s="4" t="s">
        <v>69</v>
      </c>
      <c r="R776" s="4"/>
      <c r="S776" s="4"/>
      <c r="T776" s="4"/>
      <c r="U776" s="8"/>
      <c r="V776" s="4"/>
      <c r="W776" s="4"/>
      <c r="X776" s="4"/>
      <c r="Y776" s="4"/>
      <c r="Z776" s="4"/>
      <c r="AA776" s="5"/>
      <c r="AB776" s="5"/>
      <c r="AC776" s="5"/>
      <c r="AD776" s="5"/>
      <c r="AE776" s="5"/>
    </row>
    <row r="777">
      <c r="A777" s="14" t="s">
        <v>1686</v>
      </c>
      <c r="B777" s="19">
        <v>44302.568240740744</v>
      </c>
      <c r="C777" s="4">
        <v>49813.0</v>
      </c>
      <c r="D777" s="4" t="s">
        <v>1687</v>
      </c>
      <c r="E777" s="4">
        <v>9.18850267427E11</v>
      </c>
      <c r="F777" s="4">
        <v>16910.0</v>
      </c>
      <c r="G777" s="4"/>
      <c r="H777" s="4" t="s">
        <v>1592</v>
      </c>
      <c r="I777" s="4"/>
      <c r="J777" s="4" t="s">
        <v>149</v>
      </c>
      <c r="K777" s="4">
        <v>149.0</v>
      </c>
      <c r="L777" s="4"/>
      <c r="M777" s="4">
        <v>149.0</v>
      </c>
      <c r="N777" s="4" t="s">
        <v>67</v>
      </c>
      <c r="O777" s="4" t="b">
        <v>0</v>
      </c>
      <c r="P777" s="4" t="s">
        <v>68</v>
      </c>
      <c r="Q777" s="4" t="s">
        <v>69</v>
      </c>
      <c r="R777" s="4"/>
      <c r="S777" s="4"/>
      <c r="T777" s="4"/>
      <c r="U777" s="7"/>
      <c r="V777" s="4"/>
      <c r="W777" s="4"/>
      <c r="X777" s="4"/>
      <c r="Y777" s="4"/>
      <c r="Z777" s="4"/>
      <c r="AA777" s="5"/>
      <c r="AB777" s="5"/>
      <c r="AC777" s="5"/>
      <c r="AD777" s="5"/>
      <c r="AE777" s="5"/>
    </row>
    <row r="778">
      <c r="A778" s="14" t="s">
        <v>1704</v>
      </c>
      <c r="B778" s="19">
        <v>44302.59585648148</v>
      </c>
      <c r="C778" s="4">
        <v>49813.0</v>
      </c>
      <c r="D778" s="4" t="s">
        <v>1705</v>
      </c>
      <c r="E778" s="4">
        <v>9.19920020911E11</v>
      </c>
      <c r="F778" s="4">
        <v>16920.0</v>
      </c>
      <c r="G778" s="4"/>
      <c r="H778" s="4" t="s">
        <v>1592</v>
      </c>
      <c r="I778" s="4"/>
      <c r="J778" s="4" t="s">
        <v>149</v>
      </c>
      <c r="K778" s="4">
        <v>149.0</v>
      </c>
      <c r="L778" s="4"/>
      <c r="M778" s="4">
        <v>149.0</v>
      </c>
      <c r="N778" s="4" t="s">
        <v>67</v>
      </c>
      <c r="O778" s="4" t="b">
        <v>0</v>
      </c>
      <c r="P778" s="4" t="s">
        <v>68</v>
      </c>
      <c r="Q778" s="4" t="s">
        <v>69</v>
      </c>
      <c r="R778" s="4"/>
      <c r="S778" s="4"/>
      <c r="T778" s="4"/>
      <c r="U778" s="7"/>
      <c r="V778" s="4"/>
      <c r="W778" s="4"/>
      <c r="X778" s="4"/>
      <c r="Y778" s="4"/>
      <c r="Z778" s="4"/>
      <c r="AA778" s="5"/>
      <c r="AB778" s="5"/>
      <c r="AC778" s="5"/>
      <c r="AD778" s="5"/>
      <c r="AE778" s="5"/>
    </row>
    <row r="779">
      <c r="A779" s="14" t="s">
        <v>1313</v>
      </c>
      <c r="B779" s="19">
        <v>44302.59923611111</v>
      </c>
      <c r="C779" s="4">
        <v>49997.0</v>
      </c>
      <c r="D779" s="4" t="s">
        <v>1314</v>
      </c>
      <c r="E779" s="4">
        <v>9.19893038506E11</v>
      </c>
      <c r="F779" s="4">
        <v>16935.0</v>
      </c>
      <c r="G779" s="4"/>
      <c r="H779" s="4" t="s">
        <v>1059</v>
      </c>
      <c r="I779" s="4"/>
      <c r="J779" s="4" t="s">
        <v>149</v>
      </c>
      <c r="K779" s="4">
        <v>99.0</v>
      </c>
      <c r="L779" s="4"/>
      <c r="M779" s="4">
        <v>99.0</v>
      </c>
      <c r="N779" s="4" t="s">
        <v>67</v>
      </c>
      <c r="O779" s="4" t="b">
        <v>0</v>
      </c>
      <c r="P779" s="4" t="s">
        <v>68</v>
      </c>
      <c r="Q779" s="4" t="s">
        <v>69</v>
      </c>
      <c r="R779" s="4"/>
      <c r="S779" s="4"/>
      <c r="T779" s="4"/>
      <c r="U779" s="7"/>
      <c r="V779" s="4"/>
      <c r="W779" s="4"/>
      <c r="X779" s="4"/>
      <c r="Y779" s="4"/>
      <c r="Z779" s="4"/>
      <c r="AA779" s="5"/>
      <c r="AB779" s="5"/>
      <c r="AC779" s="5"/>
      <c r="AD779" s="5"/>
      <c r="AE779" s="5"/>
    </row>
    <row r="780">
      <c r="A780" s="14" t="s">
        <v>296</v>
      </c>
      <c r="B780" s="19">
        <v>44302.631516203706</v>
      </c>
      <c r="C780" s="4">
        <v>49991.0</v>
      </c>
      <c r="D780" s="4" t="s">
        <v>297</v>
      </c>
      <c r="E780" s="4">
        <v>9.19866723714E11</v>
      </c>
      <c r="F780" s="4">
        <v>17028.0</v>
      </c>
      <c r="G780" s="4"/>
      <c r="H780" s="4" t="s">
        <v>148</v>
      </c>
      <c r="I780" s="4"/>
      <c r="J780" s="4" t="s">
        <v>149</v>
      </c>
      <c r="K780" s="4">
        <v>99.0</v>
      </c>
      <c r="L780" s="4"/>
      <c r="M780" s="4">
        <v>99.0</v>
      </c>
      <c r="N780" s="4" t="s">
        <v>67</v>
      </c>
      <c r="O780" s="4" t="b">
        <v>0</v>
      </c>
      <c r="P780" s="4" t="s">
        <v>68</v>
      </c>
      <c r="Q780" s="4" t="s">
        <v>69</v>
      </c>
      <c r="R780" s="4"/>
      <c r="S780" s="4"/>
      <c r="T780" s="4"/>
      <c r="U780" s="7"/>
      <c r="V780" s="4"/>
      <c r="W780" s="4"/>
      <c r="X780" s="4"/>
      <c r="Y780" s="4"/>
      <c r="Z780" s="4"/>
      <c r="AA780" s="5"/>
      <c r="AB780" s="5"/>
      <c r="AC780" s="5"/>
      <c r="AD780" s="5"/>
      <c r="AE780" s="5"/>
    </row>
    <row r="781">
      <c r="A781" s="14" t="s">
        <v>1708</v>
      </c>
      <c r="B781" s="19">
        <v>44303.676666666666</v>
      </c>
      <c r="C781" s="4">
        <v>49813.0</v>
      </c>
      <c r="D781" s="4" t="s">
        <v>1709</v>
      </c>
      <c r="E781" s="4">
        <v>9.1983315201E11</v>
      </c>
      <c r="F781" s="4">
        <v>17051.0</v>
      </c>
      <c r="G781" s="4"/>
      <c r="H781" s="4" t="s">
        <v>1592</v>
      </c>
      <c r="I781" s="4"/>
      <c r="J781" s="4" t="s">
        <v>85</v>
      </c>
      <c r="K781" s="4">
        <v>299.0</v>
      </c>
      <c r="L781" s="4"/>
      <c r="M781" s="4">
        <v>299.0</v>
      </c>
      <c r="N781" s="4" t="s">
        <v>67</v>
      </c>
      <c r="O781" s="4" t="b">
        <v>0</v>
      </c>
      <c r="P781" s="4" t="s">
        <v>97</v>
      </c>
      <c r="Q781" s="4" t="s">
        <v>69</v>
      </c>
      <c r="R781" s="4"/>
      <c r="S781" s="4"/>
      <c r="T781" s="4"/>
      <c r="U781" s="7"/>
      <c r="V781" s="4"/>
      <c r="W781" s="4"/>
      <c r="X781" s="4"/>
      <c r="Y781" s="4"/>
      <c r="Z781" s="4"/>
      <c r="AA781" s="5"/>
      <c r="AB781" s="5"/>
      <c r="AC781" s="5"/>
      <c r="AD781" s="5"/>
      <c r="AE781" s="5"/>
    </row>
    <row r="782">
      <c r="A782" s="14" t="s">
        <v>2216</v>
      </c>
      <c r="B782" s="19">
        <v>44302.637025462966</v>
      </c>
      <c r="C782" s="4">
        <v>49854.0</v>
      </c>
      <c r="D782" s="4" t="s">
        <v>2174</v>
      </c>
      <c r="E782" s="4">
        <v>9.19326969984E11</v>
      </c>
      <c r="F782" s="4">
        <v>3000.0</v>
      </c>
      <c r="G782" s="4"/>
      <c r="H782" s="4" t="s">
        <v>2161</v>
      </c>
      <c r="I782" s="4"/>
      <c r="J782" s="4" t="s">
        <v>85</v>
      </c>
      <c r="K782" s="4">
        <v>599.0</v>
      </c>
      <c r="L782" s="4"/>
      <c r="M782" s="4">
        <v>599.0</v>
      </c>
      <c r="N782" s="4" t="s">
        <v>67</v>
      </c>
      <c r="O782" s="4" t="b">
        <v>0</v>
      </c>
      <c r="P782" s="4" t="s">
        <v>74</v>
      </c>
      <c r="Q782" s="4" t="s">
        <v>69</v>
      </c>
      <c r="R782" s="4"/>
      <c r="S782" s="4"/>
      <c r="T782" s="4"/>
      <c r="U782" s="7"/>
      <c r="V782" s="4"/>
      <c r="W782" s="4"/>
      <c r="X782" s="4"/>
      <c r="Y782" s="4"/>
      <c r="Z782" s="4"/>
      <c r="AA782" s="5"/>
      <c r="AB782" s="5"/>
      <c r="AC782" s="5"/>
      <c r="AD782" s="5"/>
      <c r="AE782" s="5"/>
    </row>
    <row r="783">
      <c r="A783" s="14" t="s">
        <v>1389</v>
      </c>
      <c r="B783" s="19">
        <v>44303.70130787037</v>
      </c>
      <c r="C783" s="4">
        <v>49958.0</v>
      </c>
      <c r="D783" s="4" t="s">
        <v>1390</v>
      </c>
      <c r="E783" s="4">
        <v>9.17893587275E11</v>
      </c>
      <c r="F783" s="4">
        <v>17520.0</v>
      </c>
      <c r="G783" s="4"/>
      <c r="H783" s="4" t="s">
        <v>858</v>
      </c>
      <c r="I783" s="4"/>
      <c r="J783" s="4" t="s">
        <v>149</v>
      </c>
      <c r="K783" s="4">
        <v>99.0</v>
      </c>
      <c r="L783" s="4"/>
      <c r="M783" s="4">
        <v>99.0</v>
      </c>
      <c r="N783" s="4" t="s">
        <v>67</v>
      </c>
      <c r="O783" s="4" t="b">
        <v>0</v>
      </c>
      <c r="P783" s="4" t="s">
        <v>74</v>
      </c>
      <c r="Q783" s="4" t="s">
        <v>69</v>
      </c>
      <c r="R783" s="4"/>
      <c r="S783" s="4"/>
      <c r="T783" s="4"/>
      <c r="U783" s="7"/>
      <c r="V783" s="4"/>
      <c r="W783" s="4"/>
      <c r="X783" s="4"/>
      <c r="Y783" s="4"/>
      <c r="Z783" s="4"/>
      <c r="AA783" s="5"/>
      <c r="AB783" s="5"/>
      <c r="AC783" s="5"/>
      <c r="AD783" s="5"/>
      <c r="AE783" s="5"/>
    </row>
    <row r="784">
      <c r="A784" s="14" t="s">
        <v>1319</v>
      </c>
      <c r="B784" s="19">
        <v>44302.67251157408</v>
      </c>
      <c r="C784" s="4">
        <v>50036.0</v>
      </c>
      <c r="D784" s="4" t="s">
        <v>1321</v>
      </c>
      <c r="E784" s="4">
        <v>9.19953110524E11</v>
      </c>
      <c r="F784" s="4">
        <v>16923.0</v>
      </c>
      <c r="G784" s="4"/>
      <c r="H784" s="4" t="s">
        <v>1320</v>
      </c>
      <c r="I784" s="4"/>
      <c r="J784" s="4" t="s">
        <v>149</v>
      </c>
      <c r="K784" s="4">
        <v>149.0</v>
      </c>
      <c r="L784" s="4"/>
      <c r="M784" s="4">
        <v>149.0</v>
      </c>
      <c r="N784" s="4" t="s">
        <v>67</v>
      </c>
      <c r="O784" s="4" t="b">
        <v>0</v>
      </c>
      <c r="P784" s="4" t="s">
        <v>74</v>
      </c>
      <c r="Q784" s="4" t="s">
        <v>69</v>
      </c>
      <c r="R784" s="4"/>
      <c r="S784" s="4"/>
      <c r="T784" s="4"/>
      <c r="U784" s="7"/>
      <c r="V784" s="4"/>
      <c r="W784" s="4"/>
      <c r="X784" s="4"/>
      <c r="Y784" s="4"/>
      <c r="Z784" s="4"/>
      <c r="AA784" s="5"/>
      <c r="AB784" s="5"/>
      <c r="AC784" s="5"/>
      <c r="AD784" s="5"/>
      <c r="AE784" s="5"/>
    </row>
    <row r="785">
      <c r="A785" s="14" t="s">
        <v>1322</v>
      </c>
      <c r="B785" s="19">
        <v>44302.68466435185</v>
      </c>
      <c r="C785" s="4">
        <v>49994.0</v>
      </c>
      <c r="D785" s="4" t="s">
        <v>1323</v>
      </c>
      <c r="E785" s="4">
        <v>9.17077803146E11</v>
      </c>
      <c r="F785" s="4">
        <v>16945.0</v>
      </c>
      <c r="G785" s="4"/>
      <c r="H785" s="4" t="s">
        <v>1264</v>
      </c>
      <c r="I785" s="4"/>
      <c r="J785" s="4" t="s">
        <v>77</v>
      </c>
      <c r="K785" s="4">
        <v>349.0</v>
      </c>
      <c r="L785" s="4"/>
      <c r="M785" s="4">
        <v>349.0</v>
      </c>
      <c r="N785" s="4" t="s">
        <v>67</v>
      </c>
      <c r="O785" s="4" t="b">
        <v>0</v>
      </c>
      <c r="P785" s="4" t="s">
        <v>68</v>
      </c>
      <c r="Q785" s="4" t="s">
        <v>69</v>
      </c>
      <c r="R785" s="4"/>
      <c r="S785" s="4"/>
      <c r="T785" s="4"/>
      <c r="U785" s="7"/>
      <c r="V785" s="4"/>
      <c r="W785" s="4"/>
      <c r="X785" s="4"/>
      <c r="Y785" s="4"/>
      <c r="Z785" s="4"/>
      <c r="AA785" s="5"/>
      <c r="AB785" s="5"/>
      <c r="AC785" s="5"/>
      <c r="AD785" s="5"/>
      <c r="AE785" s="5"/>
    </row>
    <row r="786">
      <c r="A786" s="14" t="s">
        <v>1387</v>
      </c>
      <c r="B786" s="19">
        <v>44303.745833333334</v>
      </c>
      <c r="C786" s="4">
        <v>49833.0</v>
      </c>
      <c r="D786" s="4" t="s">
        <v>1388</v>
      </c>
      <c r="E786" s="4">
        <v>9.18921085181E11</v>
      </c>
      <c r="F786" s="4">
        <v>17107.0</v>
      </c>
      <c r="G786" s="4"/>
      <c r="H786" s="4" t="s">
        <v>184</v>
      </c>
      <c r="I786" s="4"/>
      <c r="J786" s="4" t="s">
        <v>85</v>
      </c>
      <c r="K786" s="4">
        <v>299.0</v>
      </c>
      <c r="L786" s="4"/>
      <c r="M786" s="4">
        <v>299.0</v>
      </c>
      <c r="N786" s="4" t="s">
        <v>67</v>
      </c>
      <c r="O786" s="4" t="b">
        <v>0</v>
      </c>
      <c r="P786" s="4" t="s">
        <v>151</v>
      </c>
      <c r="Q786" s="4" t="s">
        <v>69</v>
      </c>
      <c r="R786" s="4"/>
      <c r="S786" s="4"/>
      <c r="T786" s="4"/>
      <c r="U786" s="7"/>
      <c r="V786" s="4"/>
      <c r="W786" s="4"/>
      <c r="X786" s="4"/>
      <c r="Y786" s="4"/>
      <c r="Z786" s="4"/>
      <c r="AA786" s="5"/>
      <c r="AB786" s="5"/>
      <c r="AC786" s="5"/>
      <c r="AD786" s="5"/>
      <c r="AE786" s="5"/>
    </row>
    <row r="787">
      <c r="A787" s="14" t="s">
        <v>1401</v>
      </c>
      <c r="B787" s="19">
        <v>44303.76579861111</v>
      </c>
      <c r="C787" s="4">
        <v>49948.0</v>
      </c>
      <c r="D787" s="4" t="s">
        <v>1402</v>
      </c>
      <c r="E787" s="4">
        <v>9.19961633236E11</v>
      </c>
      <c r="F787" s="4" t="s">
        <v>83</v>
      </c>
      <c r="G787" s="4"/>
      <c r="H787" s="4" t="s">
        <v>791</v>
      </c>
      <c r="I787" s="4"/>
      <c r="J787" s="4" t="s">
        <v>149</v>
      </c>
      <c r="K787" s="4">
        <v>99.0</v>
      </c>
      <c r="L787" s="4"/>
      <c r="M787" s="4">
        <v>99.0</v>
      </c>
      <c r="N787" s="4" t="s">
        <v>67</v>
      </c>
      <c r="O787" s="4" t="b">
        <v>0</v>
      </c>
      <c r="P787" s="4" t="s">
        <v>68</v>
      </c>
      <c r="Q787" s="4" t="s">
        <v>69</v>
      </c>
      <c r="R787" s="4"/>
      <c r="S787" s="4"/>
      <c r="T787" s="4"/>
      <c r="U787" s="7"/>
      <c r="V787" s="4"/>
      <c r="W787" s="4"/>
      <c r="X787" s="4"/>
      <c r="Y787" s="4"/>
      <c r="Z787" s="4"/>
      <c r="AA787" s="5"/>
      <c r="AB787" s="5"/>
      <c r="AC787" s="5"/>
      <c r="AD787" s="5"/>
      <c r="AE787" s="5"/>
    </row>
    <row r="788">
      <c r="A788" s="14" t="s">
        <v>1324</v>
      </c>
      <c r="B788" s="19">
        <v>44302.709398148145</v>
      </c>
      <c r="C788" s="4">
        <v>50036.0</v>
      </c>
      <c r="D788" s="4" t="s">
        <v>1325</v>
      </c>
      <c r="E788" s="4">
        <v>9.19966478345E11</v>
      </c>
      <c r="F788" s="4">
        <v>16924.0</v>
      </c>
      <c r="G788" s="4"/>
      <c r="H788" s="4" t="s">
        <v>1320</v>
      </c>
      <c r="I788" s="4"/>
      <c r="J788" s="4" t="s">
        <v>149</v>
      </c>
      <c r="K788" s="4">
        <v>149.0</v>
      </c>
      <c r="L788" s="4"/>
      <c r="M788" s="4">
        <v>149.0</v>
      </c>
      <c r="N788" s="4" t="s">
        <v>67</v>
      </c>
      <c r="O788" s="4" t="b">
        <v>0</v>
      </c>
      <c r="P788" s="4" t="s">
        <v>68</v>
      </c>
      <c r="Q788" s="4" t="s">
        <v>69</v>
      </c>
      <c r="R788" s="4"/>
      <c r="S788" s="4"/>
      <c r="T788" s="4"/>
      <c r="U788" s="7"/>
      <c r="V788" s="4"/>
      <c r="W788" s="4"/>
      <c r="X788" s="4"/>
      <c r="Y788" s="4"/>
      <c r="Z788" s="4"/>
      <c r="AA788" s="5"/>
      <c r="AB788" s="5"/>
      <c r="AC788" s="5"/>
      <c r="AD788" s="5"/>
      <c r="AE788" s="5"/>
    </row>
    <row r="789">
      <c r="A789" s="14" t="s">
        <v>1391</v>
      </c>
      <c r="B789" s="19">
        <v>44303.79425925926</v>
      </c>
      <c r="C789" s="4">
        <v>49877.0</v>
      </c>
      <c r="D789" s="4" t="s">
        <v>1392</v>
      </c>
      <c r="E789" s="4">
        <v>9.18433978157E11</v>
      </c>
      <c r="F789" s="4">
        <v>17499.0</v>
      </c>
      <c r="G789" s="4"/>
      <c r="H789" s="4" t="s">
        <v>280</v>
      </c>
      <c r="I789" s="4"/>
      <c r="J789" s="4" t="s">
        <v>85</v>
      </c>
      <c r="K789" s="4">
        <v>99.0</v>
      </c>
      <c r="L789" s="4"/>
      <c r="M789" s="4">
        <v>99.0</v>
      </c>
      <c r="N789" s="4" t="s">
        <v>67</v>
      </c>
      <c r="O789" s="4" t="b">
        <v>0</v>
      </c>
      <c r="P789" s="4" t="s">
        <v>68</v>
      </c>
      <c r="Q789" s="4" t="s">
        <v>69</v>
      </c>
      <c r="R789" s="4"/>
      <c r="S789" s="4"/>
      <c r="T789" s="4"/>
      <c r="U789" s="7"/>
      <c r="V789" s="4"/>
      <c r="W789" s="4"/>
      <c r="X789" s="4"/>
      <c r="Y789" s="4"/>
      <c r="Z789" s="4"/>
      <c r="AA789" s="5"/>
      <c r="AB789" s="5"/>
      <c r="AC789" s="5"/>
      <c r="AD789" s="5"/>
      <c r="AE789" s="5"/>
    </row>
    <row r="790">
      <c r="A790" s="14" t="s">
        <v>1393</v>
      </c>
      <c r="B790" s="19">
        <v>44303.796122685184</v>
      </c>
      <c r="C790" s="4">
        <v>49877.0</v>
      </c>
      <c r="D790" s="4" t="s">
        <v>1394</v>
      </c>
      <c r="E790" s="4">
        <v>9.19860822515E11</v>
      </c>
      <c r="F790" s="4" t="s">
        <v>83</v>
      </c>
      <c r="G790" s="4"/>
      <c r="H790" s="4" t="s">
        <v>280</v>
      </c>
      <c r="I790" s="4"/>
      <c r="J790" s="4" t="s">
        <v>85</v>
      </c>
      <c r="K790" s="4">
        <v>99.0</v>
      </c>
      <c r="L790" s="4"/>
      <c r="M790" s="4">
        <v>99.0</v>
      </c>
      <c r="N790" s="4" t="s">
        <v>67</v>
      </c>
      <c r="O790" s="4" t="b">
        <v>0</v>
      </c>
      <c r="P790" s="4" t="s">
        <v>74</v>
      </c>
      <c r="Q790" s="4" t="s">
        <v>69</v>
      </c>
      <c r="R790" s="4"/>
      <c r="S790" s="4"/>
      <c r="T790" s="4"/>
      <c r="U790" s="7"/>
      <c r="V790" s="4"/>
      <c r="W790" s="4"/>
      <c r="X790" s="4"/>
      <c r="Y790" s="4"/>
      <c r="Z790" s="4"/>
      <c r="AA790" s="5"/>
      <c r="AB790" s="5"/>
      <c r="AC790" s="5"/>
      <c r="AD790" s="5"/>
      <c r="AE790" s="5"/>
    </row>
    <row r="791">
      <c r="A791" s="14" t="s">
        <v>1395</v>
      </c>
      <c r="B791" s="19">
        <v>44303.82618055555</v>
      </c>
      <c r="C791" s="4">
        <v>49993.0</v>
      </c>
      <c r="D791" s="4" t="s">
        <v>1396</v>
      </c>
      <c r="E791" s="4">
        <v>9.1845286201E11</v>
      </c>
      <c r="F791" s="4" t="s">
        <v>83</v>
      </c>
      <c r="G791" s="4"/>
      <c r="H791" s="4" t="s">
        <v>1104</v>
      </c>
      <c r="I791" s="4"/>
      <c r="J791" s="4" t="s">
        <v>85</v>
      </c>
      <c r="K791" s="4">
        <v>199.0</v>
      </c>
      <c r="L791" s="4"/>
      <c r="M791" s="4">
        <v>199.0</v>
      </c>
      <c r="N791" s="4" t="s">
        <v>67</v>
      </c>
      <c r="O791" s="4" t="b">
        <v>0</v>
      </c>
      <c r="P791" s="4" t="s">
        <v>68</v>
      </c>
      <c r="Q791" s="4" t="s">
        <v>69</v>
      </c>
      <c r="R791" s="4"/>
      <c r="S791" s="4"/>
      <c r="T791" s="4"/>
      <c r="U791" s="7"/>
      <c r="V791" s="4"/>
      <c r="W791" s="4"/>
      <c r="X791" s="4"/>
      <c r="Y791" s="4"/>
      <c r="Z791" s="4"/>
      <c r="AA791" s="5"/>
      <c r="AB791" s="5"/>
      <c r="AC791" s="5"/>
      <c r="AD791" s="5"/>
      <c r="AE791" s="5"/>
    </row>
    <row r="792">
      <c r="A792" s="14" t="s">
        <v>1397</v>
      </c>
      <c r="B792" s="19">
        <v>44303.870162037034</v>
      </c>
      <c r="C792" s="4">
        <v>49844.0</v>
      </c>
      <c r="D792" s="4" t="s">
        <v>1398</v>
      </c>
      <c r="E792" s="4">
        <v>9.19010025455E11</v>
      </c>
      <c r="F792" s="4">
        <v>17411.0</v>
      </c>
      <c r="G792" s="4"/>
      <c r="H792" s="4" t="s">
        <v>885</v>
      </c>
      <c r="I792" s="4"/>
      <c r="J792" s="4" t="s">
        <v>85</v>
      </c>
      <c r="K792" s="4">
        <v>199.0</v>
      </c>
      <c r="L792" s="4"/>
      <c r="M792" s="4">
        <v>199.0</v>
      </c>
      <c r="N792" s="4" t="s">
        <v>67</v>
      </c>
      <c r="O792" s="4" t="b">
        <v>0</v>
      </c>
      <c r="P792" s="4" t="s">
        <v>97</v>
      </c>
      <c r="Q792" s="4" t="s">
        <v>69</v>
      </c>
      <c r="R792" s="4"/>
      <c r="S792" s="4"/>
      <c r="T792" s="4"/>
      <c r="U792" s="7"/>
      <c r="V792" s="4"/>
      <c r="W792" s="4"/>
      <c r="X792" s="4"/>
      <c r="Y792" s="4"/>
      <c r="Z792" s="4"/>
      <c r="AA792" s="5"/>
      <c r="AB792" s="5"/>
      <c r="AC792" s="5"/>
      <c r="AD792" s="5"/>
      <c r="AE792" s="5"/>
    </row>
    <row r="793">
      <c r="A793" s="14" t="s">
        <v>1399</v>
      </c>
      <c r="B793" s="19">
        <v>44303.90912037037</v>
      </c>
      <c r="C793" s="4">
        <v>49997.0</v>
      </c>
      <c r="D793" s="4" t="s">
        <v>1400</v>
      </c>
      <c r="E793" s="4">
        <v>9.17982620256E11</v>
      </c>
      <c r="F793" s="4">
        <v>16965.0</v>
      </c>
      <c r="G793" s="4"/>
      <c r="H793" s="4" t="s">
        <v>1059</v>
      </c>
      <c r="I793" s="4"/>
      <c r="J793" s="4" t="s">
        <v>149</v>
      </c>
      <c r="K793" s="4">
        <v>99.0</v>
      </c>
      <c r="L793" s="4"/>
      <c r="M793" s="4">
        <v>99.0</v>
      </c>
      <c r="N793" s="4" t="s">
        <v>67</v>
      </c>
      <c r="O793" s="4" t="b">
        <v>0</v>
      </c>
      <c r="P793" s="4" t="s">
        <v>68</v>
      </c>
      <c r="Q793" s="4" t="s">
        <v>69</v>
      </c>
      <c r="R793" s="4"/>
      <c r="S793" s="4"/>
      <c r="T793" s="4"/>
      <c r="U793" s="7"/>
      <c r="V793" s="4"/>
      <c r="W793" s="4"/>
      <c r="X793" s="4"/>
      <c r="Y793" s="4"/>
      <c r="Z793" s="4"/>
      <c r="AA793" s="5"/>
      <c r="AB793" s="5"/>
      <c r="AC793" s="5"/>
      <c r="AD793" s="5"/>
      <c r="AE793" s="5"/>
    </row>
    <row r="794">
      <c r="A794" s="14" t="s">
        <v>1403</v>
      </c>
      <c r="B794" s="19">
        <v>44303.94966435185</v>
      </c>
      <c r="C794" s="4">
        <v>49994.0</v>
      </c>
      <c r="D794" s="4" t="s">
        <v>1404</v>
      </c>
      <c r="E794" s="4">
        <v>9.19766460862E11</v>
      </c>
      <c r="F794" s="4">
        <v>16984.0</v>
      </c>
      <c r="G794" s="4"/>
      <c r="H794" s="4" t="s">
        <v>1264</v>
      </c>
      <c r="I794" s="4"/>
      <c r="J794" s="4" t="s">
        <v>149</v>
      </c>
      <c r="K794" s="4">
        <v>99.0</v>
      </c>
      <c r="L794" s="4"/>
      <c r="M794" s="4">
        <v>99.0</v>
      </c>
      <c r="N794" s="4" t="s">
        <v>67</v>
      </c>
      <c r="O794" s="4" t="b">
        <v>0</v>
      </c>
      <c r="P794" s="4" t="s">
        <v>68</v>
      </c>
      <c r="Q794" s="4" t="s">
        <v>69</v>
      </c>
      <c r="R794" s="4"/>
      <c r="S794" s="4"/>
      <c r="T794" s="4"/>
      <c r="U794" s="7"/>
      <c r="V794" s="4"/>
      <c r="W794" s="4"/>
      <c r="X794" s="4"/>
      <c r="Y794" s="4"/>
      <c r="Z794" s="4"/>
      <c r="AA794" s="5"/>
      <c r="AB794" s="5"/>
      <c r="AC794" s="5"/>
      <c r="AD794" s="5"/>
      <c r="AE794" s="5"/>
    </row>
    <row r="795">
      <c r="A795" s="14" t="s">
        <v>1718</v>
      </c>
      <c r="B795" s="19">
        <v>44304.06364583333</v>
      </c>
      <c r="C795" s="4">
        <v>49813.0</v>
      </c>
      <c r="D795" s="4" t="s">
        <v>1719</v>
      </c>
      <c r="E795" s="4">
        <v>9.1968171234E11</v>
      </c>
      <c r="F795" s="4">
        <v>17155.0</v>
      </c>
      <c r="G795" s="4"/>
      <c r="H795" s="4" t="s">
        <v>1592</v>
      </c>
      <c r="I795" s="4"/>
      <c r="J795" s="4" t="s">
        <v>149</v>
      </c>
      <c r="K795" s="4">
        <v>149.0</v>
      </c>
      <c r="L795" s="4"/>
      <c r="M795" s="4">
        <v>149.0</v>
      </c>
      <c r="N795" s="4" t="s">
        <v>67</v>
      </c>
      <c r="O795" s="4" t="b">
        <v>0</v>
      </c>
      <c r="P795" s="4" t="s">
        <v>97</v>
      </c>
      <c r="Q795" s="4" t="s">
        <v>69</v>
      </c>
      <c r="R795" s="4"/>
      <c r="S795" s="4"/>
      <c r="T795" s="4"/>
      <c r="U795" s="7"/>
      <c r="V795" s="4"/>
      <c r="W795" s="4"/>
      <c r="X795" s="4"/>
      <c r="Y795" s="4"/>
      <c r="Z795" s="4"/>
      <c r="AA795" s="5"/>
      <c r="AB795" s="5"/>
      <c r="AC795" s="5"/>
      <c r="AD795" s="5"/>
      <c r="AE795" s="5"/>
    </row>
    <row r="796">
      <c r="A796" s="14" t="s">
        <v>1405</v>
      </c>
      <c r="B796" s="19">
        <v>44304.200266203705</v>
      </c>
      <c r="C796" s="4">
        <v>49877.0</v>
      </c>
      <c r="D796" s="4" t="s">
        <v>1406</v>
      </c>
      <c r="E796" s="4">
        <v>9.17013765713E11</v>
      </c>
      <c r="F796" s="4" t="s">
        <v>83</v>
      </c>
      <c r="G796" s="4"/>
      <c r="H796" s="4" t="s">
        <v>280</v>
      </c>
      <c r="I796" s="4"/>
      <c r="J796" s="4" t="s">
        <v>85</v>
      </c>
      <c r="K796" s="4">
        <v>99.0</v>
      </c>
      <c r="L796" s="4"/>
      <c r="M796" s="4">
        <v>99.0</v>
      </c>
      <c r="N796" s="4" t="s">
        <v>67</v>
      </c>
      <c r="O796" s="4" t="b">
        <v>0</v>
      </c>
      <c r="P796" s="4" t="s">
        <v>68</v>
      </c>
      <c r="Q796" s="4" t="s">
        <v>69</v>
      </c>
      <c r="R796" s="4"/>
      <c r="S796" s="4"/>
      <c r="T796" s="4"/>
      <c r="U796" s="7"/>
      <c r="V796" s="4"/>
      <c r="W796" s="4"/>
      <c r="X796" s="4"/>
      <c r="Y796" s="4"/>
      <c r="Z796" s="4"/>
      <c r="AA796" s="5"/>
      <c r="AB796" s="5"/>
      <c r="AC796" s="5"/>
      <c r="AD796" s="5"/>
      <c r="AE796" s="5"/>
    </row>
    <row r="797">
      <c r="A797" s="14" t="s">
        <v>1473</v>
      </c>
      <c r="B797" s="19">
        <v>44305.33671296296</v>
      </c>
      <c r="C797" s="4">
        <v>49993.0</v>
      </c>
      <c r="D797" s="4" t="s">
        <v>1474</v>
      </c>
      <c r="E797" s="4">
        <v>9.19403305439E11</v>
      </c>
      <c r="F797" s="4">
        <v>16990.0</v>
      </c>
      <c r="G797" s="4"/>
      <c r="H797" s="4" t="s">
        <v>1104</v>
      </c>
      <c r="I797" s="4"/>
      <c r="J797" s="4" t="s">
        <v>149</v>
      </c>
      <c r="K797" s="4">
        <v>99.0</v>
      </c>
      <c r="L797" s="4"/>
      <c r="M797" s="4">
        <v>99.0</v>
      </c>
      <c r="N797" s="4" t="s">
        <v>67</v>
      </c>
      <c r="O797" s="4" t="b">
        <v>0</v>
      </c>
      <c r="P797" s="4" t="s">
        <v>97</v>
      </c>
      <c r="Q797" s="4" t="s">
        <v>69</v>
      </c>
      <c r="R797" s="4"/>
      <c r="S797" s="4"/>
      <c r="T797" s="4"/>
      <c r="U797" s="7"/>
      <c r="V797" s="4"/>
      <c r="W797" s="4"/>
      <c r="X797" s="4"/>
      <c r="Y797" s="4"/>
      <c r="Z797" s="4"/>
      <c r="AA797" s="5"/>
      <c r="AB797" s="5"/>
      <c r="AC797" s="5"/>
      <c r="AD797" s="5"/>
      <c r="AE797" s="5"/>
    </row>
    <row r="798">
      <c r="A798" s="14" t="s">
        <v>1407</v>
      </c>
      <c r="B798" s="19">
        <v>44304.31487268519</v>
      </c>
      <c r="C798" s="4">
        <v>49997.0</v>
      </c>
      <c r="D798" s="4" t="s">
        <v>1408</v>
      </c>
      <c r="E798" s="4">
        <v>9.19576875504E11</v>
      </c>
      <c r="F798" s="4">
        <v>16967.0</v>
      </c>
      <c r="G798" s="4"/>
      <c r="H798" s="4" t="s">
        <v>1059</v>
      </c>
      <c r="I798" s="4"/>
      <c r="J798" s="4" t="s">
        <v>149</v>
      </c>
      <c r="K798" s="4">
        <v>99.0</v>
      </c>
      <c r="L798" s="4"/>
      <c r="M798" s="4">
        <v>99.0</v>
      </c>
      <c r="N798" s="4" t="s">
        <v>67</v>
      </c>
      <c r="O798" s="4" t="b">
        <v>0</v>
      </c>
      <c r="P798" s="4" t="s">
        <v>68</v>
      </c>
      <c r="Q798" s="4" t="s">
        <v>69</v>
      </c>
      <c r="R798" s="4"/>
      <c r="S798" s="4"/>
      <c r="T798" s="4"/>
      <c r="U798" s="7"/>
      <c r="V798" s="4"/>
      <c r="W798" s="4"/>
      <c r="X798" s="4"/>
      <c r="Y798" s="4"/>
      <c r="Z798" s="4"/>
      <c r="AA798" s="5"/>
      <c r="AB798" s="5"/>
      <c r="AC798" s="5"/>
      <c r="AD798" s="5"/>
      <c r="AE798" s="5"/>
    </row>
    <row r="799">
      <c r="A799" s="14" t="s">
        <v>1475</v>
      </c>
      <c r="B799" s="19">
        <v>44305.37657407407</v>
      </c>
      <c r="C799" s="4">
        <v>50009.0</v>
      </c>
      <c r="D799" s="4" t="s">
        <v>1477</v>
      </c>
      <c r="E799" s="4">
        <v>9.19466468842E11</v>
      </c>
      <c r="F799" s="4" t="s">
        <v>83</v>
      </c>
      <c r="G799" s="4"/>
      <c r="H799" s="4" t="s">
        <v>1476</v>
      </c>
      <c r="I799" s="4"/>
      <c r="J799" s="4" t="s">
        <v>149</v>
      </c>
      <c r="K799" s="4">
        <v>99.0</v>
      </c>
      <c r="L799" s="4"/>
      <c r="M799" s="4">
        <v>99.0</v>
      </c>
      <c r="N799" s="4" t="s">
        <v>67</v>
      </c>
      <c r="O799" s="4" t="b">
        <v>0</v>
      </c>
      <c r="P799" s="4" t="s">
        <v>97</v>
      </c>
      <c r="Q799" s="4" t="s">
        <v>69</v>
      </c>
      <c r="R799" s="4"/>
      <c r="S799" s="4"/>
      <c r="T799" s="4"/>
      <c r="U799" s="7"/>
      <c r="V799" s="4"/>
      <c r="W799" s="4"/>
      <c r="X799" s="4"/>
      <c r="Y799" s="4"/>
      <c r="Z799" s="4"/>
      <c r="AA799" s="5"/>
      <c r="AB799" s="5"/>
      <c r="AC799" s="5"/>
      <c r="AD799" s="5"/>
      <c r="AE799" s="5"/>
    </row>
    <row r="800">
      <c r="A800" s="14" t="s">
        <v>1478</v>
      </c>
      <c r="B800" s="19">
        <v>44305.37820601852</v>
      </c>
      <c r="C800" s="4">
        <v>49833.0</v>
      </c>
      <c r="D800" s="4" t="s">
        <v>1479</v>
      </c>
      <c r="E800" s="4">
        <v>9.19380829018E11</v>
      </c>
      <c r="F800" s="4">
        <v>17105.0</v>
      </c>
      <c r="G800" s="4"/>
      <c r="H800" s="4" t="s">
        <v>184</v>
      </c>
      <c r="I800" s="4"/>
      <c r="J800" s="4" t="s">
        <v>149</v>
      </c>
      <c r="K800" s="4">
        <v>199.0</v>
      </c>
      <c r="L800" s="4"/>
      <c r="M800" s="4">
        <v>199.0</v>
      </c>
      <c r="N800" s="4" t="s">
        <v>67</v>
      </c>
      <c r="O800" s="4" t="b">
        <v>0</v>
      </c>
      <c r="P800" s="4" t="s">
        <v>74</v>
      </c>
      <c r="Q800" s="4" t="s">
        <v>69</v>
      </c>
      <c r="R800" s="4"/>
      <c r="S800" s="4"/>
      <c r="T800" s="4"/>
      <c r="U800" s="8"/>
      <c r="V800" s="4"/>
      <c r="W800" s="4"/>
      <c r="X800" s="4"/>
      <c r="Y800" s="4"/>
      <c r="Z800" s="4"/>
      <c r="AA800" s="5"/>
      <c r="AB800" s="5"/>
      <c r="AC800" s="5"/>
      <c r="AD800" s="5"/>
      <c r="AE800" s="5"/>
    </row>
    <row r="801">
      <c r="A801" s="14" t="s">
        <v>1411</v>
      </c>
      <c r="B801" s="19">
        <v>44304.31825231481</v>
      </c>
      <c r="C801" s="4">
        <v>49993.0</v>
      </c>
      <c r="D801" s="4" t="s">
        <v>1412</v>
      </c>
      <c r="E801" s="4">
        <v>9.19445284191E11</v>
      </c>
      <c r="F801" s="4">
        <v>16956.0</v>
      </c>
      <c r="G801" s="4"/>
      <c r="H801" s="4" t="s">
        <v>1104</v>
      </c>
      <c r="I801" s="4"/>
      <c r="J801" s="4" t="s">
        <v>149</v>
      </c>
      <c r="K801" s="4">
        <v>99.0</v>
      </c>
      <c r="L801" s="4"/>
      <c r="M801" s="4">
        <v>99.0</v>
      </c>
      <c r="N801" s="4" t="s">
        <v>67</v>
      </c>
      <c r="O801" s="4" t="b">
        <v>0</v>
      </c>
      <c r="P801" s="4" t="s">
        <v>97</v>
      </c>
      <c r="Q801" s="4" t="s">
        <v>69</v>
      </c>
      <c r="R801" s="4"/>
      <c r="S801" s="4"/>
      <c r="T801" s="4"/>
      <c r="U801" s="7"/>
      <c r="V801" s="4"/>
      <c r="W801" s="4"/>
      <c r="X801" s="4"/>
      <c r="Y801" s="4"/>
      <c r="Z801" s="4"/>
      <c r="AA801" s="5"/>
      <c r="AB801" s="5"/>
      <c r="AC801" s="5"/>
      <c r="AD801" s="5"/>
      <c r="AE801" s="5"/>
    </row>
    <row r="802">
      <c r="A802" s="14" t="s">
        <v>1480</v>
      </c>
      <c r="B802" s="19">
        <v>44305.384791666664</v>
      </c>
      <c r="C802" s="4">
        <v>50009.0</v>
      </c>
      <c r="D802" s="4" t="s">
        <v>1481</v>
      </c>
      <c r="E802" s="4">
        <v>9.19689153344E11</v>
      </c>
      <c r="F802" s="4">
        <v>17037.0</v>
      </c>
      <c r="G802" s="4"/>
      <c r="H802" s="4" t="s">
        <v>1476</v>
      </c>
      <c r="I802" s="4"/>
      <c r="J802" s="4" t="s">
        <v>149</v>
      </c>
      <c r="K802" s="4">
        <v>99.0</v>
      </c>
      <c r="L802" s="4"/>
      <c r="M802" s="4">
        <v>99.0</v>
      </c>
      <c r="N802" s="4" t="s">
        <v>67</v>
      </c>
      <c r="O802" s="4" t="b">
        <v>0</v>
      </c>
      <c r="P802" s="4" t="s">
        <v>74</v>
      </c>
      <c r="Q802" s="4" t="s">
        <v>69</v>
      </c>
      <c r="R802" s="4"/>
      <c r="S802" s="4"/>
      <c r="T802" s="4"/>
      <c r="U802" s="7"/>
      <c r="V802" s="4"/>
      <c r="W802" s="4"/>
      <c r="X802" s="4"/>
      <c r="Y802" s="4"/>
      <c r="Z802" s="4"/>
      <c r="AA802" s="5"/>
      <c r="AB802" s="5"/>
      <c r="AC802" s="5"/>
      <c r="AD802" s="5"/>
      <c r="AE802" s="5"/>
    </row>
    <row r="803">
      <c r="A803" s="14" t="s">
        <v>2223</v>
      </c>
      <c r="B803" s="19">
        <v>44305.40875</v>
      </c>
      <c r="C803" s="4">
        <v>49854.0</v>
      </c>
      <c r="D803" s="4" t="s">
        <v>2224</v>
      </c>
      <c r="E803" s="4">
        <v>9.1976877304E11</v>
      </c>
      <c r="F803" s="4">
        <v>17978.0</v>
      </c>
      <c r="G803" s="4"/>
      <c r="H803" s="4" t="s">
        <v>2161</v>
      </c>
      <c r="I803" s="4"/>
      <c r="J803" s="4" t="s">
        <v>85</v>
      </c>
      <c r="K803" s="4">
        <v>599.0</v>
      </c>
      <c r="L803" s="4"/>
      <c r="M803" s="4">
        <v>599.0</v>
      </c>
      <c r="N803" s="4" t="s">
        <v>67</v>
      </c>
      <c r="O803" s="4" t="b">
        <v>0</v>
      </c>
      <c r="P803" s="4" t="s">
        <v>68</v>
      </c>
      <c r="Q803" s="4" t="s">
        <v>69</v>
      </c>
      <c r="R803" s="4"/>
      <c r="S803" s="4"/>
      <c r="T803" s="4"/>
      <c r="U803" s="7"/>
      <c r="V803" s="4"/>
      <c r="W803" s="4"/>
      <c r="X803" s="4"/>
      <c r="Y803" s="4"/>
      <c r="Z803" s="4"/>
      <c r="AA803" s="5"/>
      <c r="AB803" s="5"/>
      <c r="AC803" s="5"/>
      <c r="AD803" s="5"/>
      <c r="AE803" s="5"/>
    </row>
    <row r="804">
      <c r="A804" s="14" t="s">
        <v>1484</v>
      </c>
      <c r="B804" s="19">
        <v>44305.44354166667</v>
      </c>
      <c r="C804" s="4">
        <v>49997.0</v>
      </c>
      <c r="D804" s="4" t="s">
        <v>1485</v>
      </c>
      <c r="E804" s="4">
        <v>9.18115014019E11</v>
      </c>
      <c r="F804" s="4">
        <v>17007.0</v>
      </c>
      <c r="G804" s="4"/>
      <c r="H804" s="4" t="s">
        <v>1059</v>
      </c>
      <c r="I804" s="4"/>
      <c r="J804" s="4" t="s">
        <v>149</v>
      </c>
      <c r="K804" s="4">
        <v>99.0</v>
      </c>
      <c r="L804" s="4"/>
      <c r="M804" s="4">
        <v>99.0</v>
      </c>
      <c r="N804" s="4" t="s">
        <v>67</v>
      </c>
      <c r="O804" s="4" t="b">
        <v>0</v>
      </c>
      <c r="P804" s="4" t="s">
        <v>68</v>
      </c>
      <c r="Q804" s="4" t="s">
        <v>69</v>
      </c>
      <c r="R804" s="4"/>
      <c r="S804" s="4"/>
      <c r="T804" s="4"/>
      <c r="U804" s="7"/>
      <c r="V804" s="4"/>
      <c r="W804" s="4"/>
      <c r="X804" s="4"/>
      <c r="Y804" s="4"/>
      <c r="Z804" s="4"/>
      <c r="AA804" s="5"/>
      <c r="AB804" s="5"/>
      <c r="AC804" s="5"/>
      <c r="AD804" s="5"/>
      <c r="AE804" s="5"/>
    </row>
    <row r="805">
      <c r="A805" s="14" t="s">
        <v>1488</v>
      </c>
      <c r="B805" s="19">
        <v>44305.47111111111</v>
      </c>
      <c r="C805" s="4">
        <v>50009.0</v>
      </c>
      <c r="D805" s="4" t="s">
        <v>1489</v>
      </c>
      <c r="E805" s="4">
        <v>9.19891376825E11</v>
      </c>
      <c r="F805" s="4">
        <v>17068.0</v>
      </c>
      <c r="G805" s="4"/>
      <c r="H805" s="4" t="s">
        <v>1476</v>
      </c>
      <c r="I805" s="4"/>
      <c r="J805" s="4" t="s">
        <v>149</v>
      </c>
      <c r="K805" s="4">
        <v>99.0</v>
      </c>
      <c r="L805" s="4"/>
      <c r="M805" s="4">
        <v>99.0</v>
      </c>
      <c r="N805" s="4" t="s">
        <v>67</v>
      </c>
      <c r="O805" s="4" t="b">
        <v>0</v>
      </c>
      <c r="P805" s="4" t="s">
        <v>68</v>
      </c>
      <c r="Q805" s="4" t="s">
        <v>69</v>
      </c>
      <c r="R805" s="4"/>
      <c r="S805" s="4"/>
      <c r="T805" s="4"/>
      <c r="U805" s="7"/>
      <c r="V805" s="4"/>
      <c r="W805" s="4"/>
      <c r="X805" s="4"/>
      <c r="Y805" s="4"/>
      <c r="Z805" s="4"/>
      <c r="AA805" s="5"/>
      <c r="AB805" s="5"/>
      <c r="AC805" s="5"/>
      <c r="AD805" s="5"/>
      <c r="AE805" s="5"/>
    </row>
    <row r="806">
      <c r="A806" s="14" t="s">
        <v>1486</v>
      </c>
      <c r="B806" s="19">
        <v>44305.469513888886</v>
      </c>
      <c r="C806" s="4">
        <v>50009.0</v>
      </c>
      <c r="D806" s="4" t="s">
        <v>1487</v>
      </c>
      <c r="E806" s="4">
        <v>9.19811256232E11</v>
      </c>
      <c r="F806" s="4">
        <v>17067.0</v>
      </c>
      <c r="G806" s="4"/>
      <c r="H806" s="4" t="s">
        <v>1476</v>
      </c>
      <c r="I806" s="4"/>
      <c r="J806" s="4" t="s">
        <v>149</v>
      </c>
      <c r="K806" s="4">
        <v>99.0</v>
      </c>
      <c r="L806" s="4"/>
      <c r="M806" s="4">
        <v>99.0</v>
      </c>
      <c r="N806" s="4" t="s">
        <v>67</v>
      </c>
      <c r="O806" s="4" t="b">
        <v>0</v>
      </c>
      <c r="P806" s="4" t="s">
        <v>68</v>
      </c>
      <c r="Q806" s="4" t="s">
        <v>69</v>
      </c>
      <c r="R806" s="4"/>
      <c r="S806" s="4"/>
      <c r="T806" s="4"/>
      <c r="U806" s="7"/>
      <c r="V806" s="4"/>
      <c r="W806" s="4"/>
      <c r="X806" s="4"/>
      <c r="Y806" s="4"/>
      <c r="Z806" s="4"/>
      <c r="AA806" s="5"/>
      <c r="AB806" s="5"/>
      <c r="AC806" s="5"/>
      <c r="AD806" s="5"/>
      <c r="AE806" s="5"/>
    </row>
    <row r="807">
      <c r="A807" s="14" t="s">
        <v>1415</v>
      </c>
      <c r="B807" s="19">
        <v>44304.4321412037</v>
      </c>
      <c r="C807" s="4">
        <v>49833.0</v>
      </c>
      <c r="D807" s="4" t="s">
        <v>1416</v>
      </c>
      <c r="E807" s="4">
        <v>9.18690188062E11</v>
      </c>
      <c r="F807" s="4" t="s">
        <v>83</v>
      </c>
      <c r="G807" s="4"/>
      <c r="H807" s="4" t="s">
        <v>184</v>
      </c>
      <c r="I807" s="4"/>
      <c r="J807" s="4" t="s">
        <v>149</v>
      </c>
      <c r="K807" s="4">
        <v>199.0</v>
      </c>
      <c r="L807" s="4"/>
      <c r="M807" s="4">
        <v>199.0</v>
      </c>
      <c r="N807" s="4" t="s">
        <v>67</v>
      </c>
      <c r="O807" s="4" t="b">
        <v>0</v>
      </c>
      <c r="P807" s="4" t="s">
        <v>68</v>
      </c>
      <c r="Q807" s="4" t="s">
        <v>69</v>
      </c>
      <c r="R807" s="4"/>
      <c r="S807" s="4"/>
      <c r="T807" s="4"/>
      <c r="U807" s="7"/>
      <c r="V807" s="4"/>
      <c r="W807" s="4"/>
      <c r="X807" s="4"/>
      <c r="Y807" s="4"/>
      <c r="Z807" s="4"/>
      <c r="AA807" s="5"/>
      <c r="AB807" s="5"/>
      <c r="AC807" s="5"/>
      <c r="AD807" s="5"/>
      <c r="AE807" s="5"/>
    </row>
    <row r="808">
      <c r="A808" s="14" t="s">
        <v>1413</v>
      </c>
      <c r="B808" s="19">
        <v>44304.438425925924</v>
      </c>
      <c r="C808" s="4">
        <v>49997.0</v>
      </c>
      <c r="D808" s="4" t="s">
        <v>1414</v>
      </c>
      <c r="E808" s="4">
        <v>9.19630355579E11</v>
      </c>
      <c r="F808" s="4">
        <v>16966.0</v>
      </c>
      <c r="G808" s="4"/>
      <c r="H808" s="4" t="s">
        <v>1059</v>
      </c>
      <c r="I808" s="4"/>
      <c r="J808" s="4" t="s">
        <v>149</v>
      </c>
      <c r="K808" s="4">
        <v>99.0</v>
      </c>
      <c r="L808" s="4"/>
      <c r="M808" s="4">
        <v>99.0</v>
      </c>
      <c r="N808" s="4" t="s">
        <v>67</v>
      </c>
      <c r="O808" s="4" t="b">
        <v>0</v>
      </c>
      <c r="P808" s="4" t="s">
        <v>151</v>
      </c>
      <c r="Q808" s="4" t="s">
        <v>69</v>
      </c>
      <c r="R808" s="4"/>
      <c r="S808" s="4"/>
      <c r="T808" s="4"/>
      <c r="U808" s="7"/>
      <c r="V808" s="4"/>
      <c r="W808" s="4"/>
      <c r="X808" s="4"/>
      <c r="Y808" s="4"/>
      <c r="Z808" s="4"/>
      <c r="AA808" s="5"/>
      <c r="AB808" s="5"/>
      <c r="AC808" s="5"/>
      <c r="AD808" s="5"/>
      <c r="AE808" s="5"/>
    </row>
    <row r="809">
      <c r="A809" s="14" t="s">
        <v>1490</v>
      </c>
      <c r="B809" s="19">
        <v>44305.55837962963</v>
      </c>
      <c r="C809" s="4">
        <v>49993.0</v>
      </c>
      <c r="D809" s="4" t="s">
        <v>1491</v>
      </c>
      <c r="E809" s="4">
        <v>9.1875611997E11</v>
      </c>
      <c r="F809" s="4">
        <v>16997.0</v>
      </c>
      <c r="G809" s="4"/>
      <c r="H809" s="4" t="s">
        <v>1104</v>
      </c>
      <c r="I809" s="4"/>
      <c r="J809" s="4" t="s">
        <v>149</v>
      </c>
      <c r="K809" s="4">
        <v>99.0</v>
      </c>
      <c r="L809" s="4"/>
      <c r="M809" s="4">
        <v>99.0</v>
      </c>
      <c r="N809" s="4" t="s">
        <v>67</v>
      </c>
      <c r="O809" s="4" t="b">
        <v>0</v>
      </c>
      <c r="P809" s="4" t="s">
        <v>68</v>
      </c>
      <c r="Q809" s="4" t="s">
        <v>69</v>
      </c>
      <c r="R809" s="4"/>
      <c r="S809" s="4"/>
      <c r="T809" s="4"/>
      <c r="U809" s="7"/>
      <c r="V809" s="4"/>
      <c r="W809" s="4"/>
      <c r="X809" s="4"/>
      <c r="Y809" s="4"/>
      <c r="Z809" s="4"/>
      <c r="AA809" s="5"/>
      <c r="AB809" s="5"/>
      <c r="AC809" s="5"/>
      <c r="AD809" s="5"/>
      <c r="AE809" s="5"/>
    </row>
    <row r="810">
      <c r="A810" s="14" t="s">
        <v>1421</v>
      </c>
      <c r="B810" s="19">
        <v>44304.50068287037</v>
      </c>
      <c r="C810" s="4">
        <v>49833.0</v>
      </c>
      <c r="D810" s="4" t="s">
        <v>1422</v>
      </c>
      <c r="E810" s="4">
        <v>9.19511866026E11</v>
      </c>
      <c r="F810" s="4">
        <v>17099.0</v>
      </c>
      <c r="G810" s="4"/>
      <c r="H810" s="4" t="s">
        <v>184</v>
      </c>
      <c r="I810" s="4"/>
      <c r="J810" s="4" t="s">
        <v>149</v>
      </c>
      <c r="K810" s="4">
        <v>199.0</v>
      </c>
      <c r="L810" s="4"/>
      <c r="M810" s="4">
        <v>199.0</v>
      </c>
      <c r="N810" s="4" t="s">
        <v>67</v>
      </c>
      <c r="O810" s="4" t="b">
        <v>0</v>
      </c>
      <c r="P810" s="4" t="s">
        <v>68</v>
      </c>
      <c r="Q810" s="4" t="s">
        <v>69</v>
      </c>
      <c r="R810" s="4"/>
      <c r="S810" s="4"/>
      <c r="T810" s="4"/>
      <c r="U810" s="8"/>
      <c r="V810" s="4"/>
      <c r="W810" s="4"/>
      <c r="X810" s="4"/>
      <c r="Y810" s="4"/>
      <c r="Z810" s="4"/>
      <c r="AA810" s="5"/>
      <c r="AB810" s="5"/>
      <c r="AC810" s="5"/>
      <c r="AD810" s="5"/>
      <c r="AE810" s="5"/>
    </row>
    <row r="811">
      <c r="A811" s="14" t="s">
        <v>1417</v>
      </c>
      <c r="B811" s="19">
        <v>44304.5412037037</v>
      </c>
      <c r="C811" s="4">
        <v>49844.0</v>
      </c>
      <c r="D811" s="4" t="s">
        <v>1418</v>
      </c>
      <c r="E811" s="4">
        <v>9.19462249196E11</v>
      </c>
      <c r="F811" s="4">
        <v>17062.0</v>
      </c>
      <c r="G811" s="4"/>
      <c r="H811" s="4" t="s">
        <v>885</v>
      </c>
      <c r="I811" s="4"/>
      <c r="J811" s="4" t="s">
        <v>77</v>
      </c>
      <c r="K811" s="4">
        <v>349.0</v>
      </c>
      <c r="L811" s="4"/>
      <c r="M811" s="4">
        <v>349.0</v>
      </c>
      <c r="N811" s="4" t="s">
        <v>67</v>
      </c>
      <c r="O811" s="4" t="b">
        <v>0</v>
      </c>
      <c r="P811" s="4" t="s">
        <v>97</v>
      </c>
      <c r="Q811" s="4" t="s">
        <v>69</v>
      </c>
      <c r="R811" s="4"/>
      <c r="S811" s="4"/>
      <c r="T811" s="4"/>
      <c r="U811" s="7"/>
      <c r="V811" s="4"/>
      <c r="W811" s="4"/>
      <c r="X811" s="4"/>
      <c r="Y811" s="4"/>
      <c r="Z811" s="4"/>
      <c r="AA811" s="5"/>
      <c r="AB811" s="5"/>
      <c r="AC811" s="5"/>
      <c r="AD811" s="5"/>
      <c r="AE811" s="5"/>
    </row>
    <row r="812">
      <c r="A812" s="14" t="s">
        <v>1419</v>
      </c>
      <c r="B812" s="19">
        <v>44304.54701388889</v>
      </c>
      <c r="C812" s="4">
        <v>49877.0</v>
      </c>
      <c r="D812" s="4" t="s">
        <v>1420</v>
      </c>
      <c r="E812" s="4">
        <v>9.18826684731E11</v>
      </c>
      <c r="F812" s="4" t="s">
        <v>83</v>
      </c>
      <c r="G812" s="4"/>
      <c r="H812" s="4" t="s">
        <v>280</v>
      </c>
      <c r="I812" s="4"/>
      <c r="J812" s="4" t="s">
        <v>85</v>
      </c>
      <c r="K812" s="4">
        <v>99.0</v>
      </c>
      <c r="L812" s="4"/>
      <c r="M812" s="4">
        <v>99.0</v>
      </c>
      <c r="N812" s="4" t="s">
        <v>67</v>
      </c>
      <c r="O812" s="4" t="b">
        <v>0</v>
      </c>
      <c r="P812" s="4" t="s">
        <v>68</v>
      </c>
      <c r="Q812" s="4" t="s">
        <v>69</v>
      </c>
      <c r="R812" s="4"/>
      <c r="S812" s="4"/>
      <c r="T812" s="4"/>
      <c r="U812" s="7"/>
      <c r="V812" s="4"/>
      <c r="W812" s="4"/>
      <c r="X812" s="4"/>
      <c r="Y812" s="4"/>
      <c r="Z812" s="4"/>
      <c r="AA812" s="5"/>
      <c r="AB812" s="5"/>
      <c r="AC812" s="5"/>
      <c r="AD812" s="5"/>
      <c r="AE812" s="5"/>
    </row>
    <row r="813">
      <c r="A813" s="14" t="s">
        <v>1423</v>
      </c>
      <c r="B813" s="19">
        <v>44304.55435185185</v>
      </c>
      <c r="C813" s="4">
        <v>49834.0</v>
      </c>
      <c r="D813" s="4" t="s">
        <v>1424</v>
      </c>
      <c r="E813" s="4">
        <v>9.18368429782E11</v>
      </c>
      <c r="F813" s="4">
        <v>17044.0</v>
      </c>
      <c r="G813" s="4"/>
      <c r="H813" s="4" t="s">
        <v>960</v>
      </c>
      <c r="I813" s="4"/>
      <c r="J813" s="4" t="s">
        <v>149</v>
      </c>
      <c r="K813" s="4">
        <v>99.0</v>
      </c>
      <c r="L813" s="4"/>
      <c r="M813" s="4">
        <v>99.0</v>
      </c>
      <c r="N813" s="4" t="s">
        <v>67</v>
      </c>
      <c r="O813" s="4" t="b">
        <v>0</v>
      </c>
      <c r="P813" s="4" t="s">
        <v>68</v>
      </c>
      <c r="Q813" s="4" t="s">
        <v>69</v>
      </c>
      <c r="R813" s="4"/>
      <c r="S813" s="4"/>
      <c r="T813" s="4"/>
      <c r="U813" s="7"/>
      <c r="V813" s="4"/>
      <c r="W813" s="4"/>
      <c r="X813" s="4"/>
      <c r="Y813" s="4"/>
      <c r="Z813" s="4"/>
      <c r="AA813" s="5"/>
      <c r="AB813" s="5"/>
      <c r="AC813" s="5"/>
      <c r="AD813" s="5"/>
      <c r="AE813" s="5"/>
    </row>
    <row r="814">
      <c r="A814" s="14" t="s">
        <v>475</v>
      </c>
      <c r="B814" s="19">
        <v>44304.56542824074</v>
      </c>
      <c r="C814" s="4">
        <v>49992.0</v>
      </c>
      <c r="D814" s="4" t="s">
        <v>476</v>
      </c>
      <c r="E814" s="4">
        <v>9.18770799352E11</v>
      </c>
      <c r="F814" s="4">
        <v>16989.0</v>
      </c>
      <c r="G814" s="4"/>
      <c r="H814" s="4" t="s">
        <v>435</v>
      </c>
      <c r="I814" s="4"/>
      <c r="J814" s="4" t="s">
        <v>149</v>
      </c>
      <c r="K814" s="4">
        <v>99.0</v>
      </c>
      <c r="L814" s="4"/>
      <c r="M814" s="4">
        <v>99.0</v>
      </c>
      <c r="N814" s="4" t="s">
        <v>67</v>
      </c>
      <c r="O814" s="4" t="b">
        <v>0</v>
      </c>
      <c r="P814" s="4" t="s">
        <v>68</v>
      </c>
      <c r="Q814" s="4" t="s">
        <v>69</v>
      </c>
      <c r="R814" s="4"/>
      <c r="S814" s="4"/>
      <c r="T814" s="4"/>
      <c r="U814" s="7"/>
      <c r="V814" s="4"/>
      <c r="W814" s="4"/>
      <c r="X814" s="4"/>
      <c r="Y814" s="4"/>
      <c r="Z814" s="4"/>
      <c r="AA814" s="5"/>
      <c r="AB814" s="5"/>
      <c r="AC814" s="5"/>
      <c r="AD814" s="5"/>
      <c r="AE814" s="5"/>
    </row>
    <row r="815">
      <c r="A815" s="14" t="s">
        <v>1429</v>
      </c>
      <c r="B815" s="19">
        <v>44304.588692129626</v>
      </c>
      <c r="C815" s="4">
        <v>49844.0</v>
      </c>
      <c r="D815" s="4" t="s">
        <v>1430</v>
      </c>
      <c r="E815" s="4">
        <v>9.19513582157E11</v>
      </c>
      <c r="F815" s="4">
        <v>17015.0</v>
      </c>
      <c r="G815" s="4"/>
      <c r="H815" s="4" t="s">
        <v>1174</v>
      </c>
      <c r="I815" s="4"/>
      <c r="J815" s="4" t="s">
        <v>149</v>
      </c>
      <c r="K815" s="4">
        <v>99.0</v>
      </c>
      <c r="L815" s="4"/>
      <c r="M815" s="4">
        <v>99.0</v>
      </c>
      <c r="N815" s="4" t="s">
        <v>67</v>
      </c>
      <c r="O815" s="4" t="b">
        <v>0</v>
      </c>
      <c r="P815" s="4" t="s">
        <v>68</v>
      </c>
      <c r="Q815" s="4" t="s">
        <v>69</v>
      </c>
      <c r="R815" s="4"/>
      <c r="S815" s="4"/>
      <c r="T815" s="4"/>
      <c r="U815" s="7"/>
      <c r="V815" s="4"/>
      <c r="W815" s="4"/>
      <c r="X815" s="4"/>
      <c r="Y815" s="4"/>
      <c r="Z815" s="4"/>
      <c r="AA815" s="5"/>
      <c r="AB815" s="5"/>
      <c r="AC815" s="5"/>
      <c r="AD815" s="5"/>
      <c r="AE815" s="5"/>
    </row>
    <row r="816">
      <c r="A816" s="14" t="s">
        <v>1492</v>
      </c>
      <c r="B816" s="19">
        <v>44305.63334490741</v>
      </c>
      <c r="C816" s="4">
        <v>49834.0</v>
      </c>
      <c r="D816" s="4" t="s">
        <v>1493</v>
      </c>
      <c r="E816" s="4">
        <v>9.18591068412E11</v>
      </c>
      <c r="F816" s="4">
        <v>17048.0</v>
      </c>
      <c r="G816" s="4"/>
      <c r="H816" s="4" t="s">
        <v>960</v>
      </c>
      <c r="I816" s="4"/>
      <c r="J816" s="4" t="s">
        <v>149</v>
      </c>
      <c r="K816" s="4">
        <v>99.0</v>
      </c>
      <c r="L816" s="4"/>
      <c r="M816" s="4">
        <v>99.0</v>
      </c>
      <c r="N816" s="4" t="s">
        <v>67</v>
      </c>
      <c r="O816" s="4" t="b">
        <v>0</v>
      </c>
      <c r="P816" s="4" t="s">
        <v>68</v>
      </c>
      <c r="Q816" s="4" t="s">
        <v>69</v>
      </c>
      <c r="R816" s="4"/>
      <c r="S816" s="4"/>
      <c r="T816" s="4"/>
      <c r="U816" s="7"/>
      <c r="V816" s="4"/>
      <c r="W816" s="4"/>
      <c r="X816" s="4"/>
      <c r="Y816" s="4"/>
      <c r="Z816" s="4"/>
      <c r="AA816" s="5"/>
      <c r="AB816" s="5"/>
      <c r="AC816" s="5"/>
      <c r="AD816" s="5"/>
      <c r="AE816" s="5"/>
    </row>
    <row r="817">
      <c r="A817" s="14" t="s">
        <v>1737</v>
      </c>
      <c r="B817" s="19">
        <v>44304.574212962965</v>
      </c>
      <c r="C817" s="4">
        <v>49813.0</v>
      </c>
      <c r="D817" s="4" t="s">
        <v>1738</v>
      </c>
      <c r="E817" s="4">
        <v>9.18130990703E11</v>
      </c>
      <c r="F817" s="4">
        <v>17203.0</v>
      </c>
      <c r="G817" s="4"/>
      <c r="H817" s="4" t="s">
        <v>1592</v>
      </c>
      <c r="I817" s="4"/>
      <c r="J817" s="4" t="s">
        <v>85</v>
      </c>
      <c r="K817" s="4">
        <v>299.0</v>
      </c>
      <c r="L817" s="4"/>
      <c r="M817" s="4">
        <v>299.0</v>
      </c>
      <c r="N817" s="4" t="s">
        <v>67</v>
      </c>
      <c r="O817" s="4" t="b">
        <v>0</v>
      </c>
      <c r="P817" s="4" t="s">
        <v>68</v>
      </c>
      <c r="Q817" s="4" t="s">
        <v>69</v>
      </c>
      <c r="R817" s="4"/>
      <c r="S817" s="4"/>
      <c r="T817" s="4"/>
      <c r="U817" s="7"/>
      <c r="V817" s="4"/>
      <c r="W817" s="4"/>
      <c r="X817" s="4"/>
      <c r="Y817" s="4"/>
      <c r="Z817" s="4"/>
      <c r="AA817" s="5"/>
      <c r="AB817" s="5"/>
      <c r="AC817" s="5"/>
      <c r="AD817" s="5"/>
      <c r="AE817" s="5"/>
    </row>
    <row r="818">
      <c r="A818" s="14" t="s">
        <v>1431</v>
      </c>
      <c r="B818" s="19">
        <v>44304.59204861111</v>
      </c>
      <c r="C818" s="4">
        <v>49844.0</v>
      </c>
      <c r="D818" s="4" t="s">
        <v>1432</v>
      </c>
      <c r="E818" s="4">
        <v>9.18709614054E11</v>
      </c>
      <c r="F818" s="4" t="s">
        <v>83</v>
      </c>
      <c r="G818" s="4"/>
      <c r="H818" s="4" t="s">
        <v>1174</v>
      </c>
      <c r="I818" s="4"/>
      <c r="J818" s="4" t="s">
        <v>149</v>
      </c>
      <c r="K818" s="4">
        <v>99.0</v>
      </c>
      <c r="L818" s="4"/>
      <c r="M818" s="4">
        <v>99.0</v>
      </c>
      <c r="N818" s="4" t="s">
        <v>67</v>
      </c>
      <c r="O818" s="4" t="b">
        <v>0</v>
      </c>
      <c r="P818" s="4" t="s">
        <v>68</v>
      </c>
      <c r="Q818" s="4" t="s">
        <v>69</v>
      </c>
      <c r="R818" s="4"/>
      <c r="S818" s="4"/>
      <c r="T818" s="4"/>
      <c r="U818" s="8"/>
      <c r="V818" s="4"/>
      <c r="W818" s="4"/>
      <c r="X818" s="4"/>
      <c r="Y818" s="4"/>
      <c r="Z818" s="4"/>
      <c r="AA818" s="5"/>
      <c r="AB818" s="5"/>
      <c r="AC818" s="5"/>
      <c r="AD818" s="5"/>
      <c r="AE818" s="5"/>
    </row>
    <row r="819">
      <c r="A819" s="14" t="s">
        <v>1494</v>
      </c>
      <c r="B819" s="19">
        <v>44305.66431712963</v>
      </c>
      <c r="C819" s="4">
        <v>49844.0</v>
      </c>
      <c r="D819" s="4" t="s">
        <v>1495</v>
      </c>
      <c r="E819" s="4">
        <v>9.1882703087E11</v>
      </c>
      <c r="F819" s="4">
        <v>17025.0</v>
      </c>
      <c r="G819" s="4"/>
      <c r="H819" s="4" t="s">
        <v>1174</v>
      </c>
      <c r="I819" s="4"/>
      <c r="J819" s="4" t="s">
        <v>149</v>
      </c>
      <c r="K819" s="4">
        <v>99.0</v>
      </c>
      <c r="L819" s="4"/>
      <c r="M819" s="4">
        <v>99.0</v>
      </c>
      <c r="N819" s="4" t="s">
        <v>67</v>
      </c>
      <c r="O819" s="4" t="b">
        <v>0</v>
      </c>
      <c r="P819" s="4" t="s">
        <v>97</v>
      </c>
      <c r="Q819" s="4" t="s">
        <v>69</v>
      </c>
      <c r="R819" s="4"/>
      <c r="S819" s="4"/>
      <c r="T819" s="4"/>
      <c r="U819" s="7"/>
      <c r="V819" s="4"/>
      <c r="W819" s="4"/>
      <c r="X819" s="4"/>
      <c r="Y819" s="4"/>
      <c r="Z819" s="4"/>
      <c r="AA819" s="5"/>
      <c r="AB819" s="5"/>
      <c r="AC819" s="5"/>
      <c r="AD819" s="5"/>
      <c r="AE819" s="5"/>
    </row>
    <row r="820">
      <c r="A820" s="14" t="s">
        <v>1496</v>
      </c>
      <c r="B820" s="19">
        <v>44305.69752314815</v>
      </c>
      <c r="C820" s="4">
        <v>49997.0</v>
      </c>
      <c r="D820" s="4" t="s">
        <v>1497</v>
      </c>
      <c r="E820" s="4">
        <v>9.19860865423E11</v>
      </c>
      <c r="F820" s="4">
        <v>17004.0</v>
      </c>
      <c r="G820" s="4"/>
      <c r="H820" s="4" t="s">
        <v>1059</v>
      </c>
      <c r="I820" s="4"/>
      <c r="J820" s="4" t="s">
        <v>149</v>
      </c>
      <c r="K820" s="4">
        <v>99.0</v>
      </c>
      <c r="L820" s="4"/>
      <c r="M820" s="4">
        <v>99.0</v>
      </c>
      <c r="N820" s="4" t="s">
        <v>67</v>
      </c>
      <c r="O820" s="4" t="b">
        <v>0</v>
      </c>
      <c r="P820" s="4" t="s">
        <v>68</v>
      </c>
      <c r="Q820" s="4" t="s">
        <v>69</v>
      </c>
      <c r="R820" s="4"/>
      <c r="S820" s="4"/>
      <c r="T820" s="4"/>
      <c r="U820" s="7"/>
      <c r="V820" s="4"/>
      <c r="W820" s="4"/>
      <c r="X820" s="4"/>
      <c r="Y820" s="4"/>
      <c r="Z820" s="4"/>
      <c r="AA820" s="5"/>
      <c r="AB820" s="5"/>
      <c r="AC820" s="5"/>
      <c r="AD820" s="5"/>
      <c r="AE820" s="5"/>
    </row>
    <row r="821">
      <c r="A821" s="14" t="s">
        <v>1513</v>
      </c>
      <c r="B821" s="19">
        <v>44304.63820601852</v>
      </c>
      <c r="C821" s="4">
        <v>49859.0</v>
      </c>
      <c r="D821" s="4" t="s">
        <v>1514</v>
      </c>
      <c r="E821" s="4">
        <v>9.19061800676E11</v>
      </c>
      <c r="F821" s="4" t="s">
        <v>83</v>
      </c>
      <c r="G821" s="4"/>
      <c r="H821" s="4" t="s">
        <v>1507</v>
      </c>
      <c r="I821" s="4"/>
      <c r="J821" s="4" t="s">
        <v>149</v>
      </c>
      <c r="K821" s="4">
        <v>99.0</v>
      </c>
      <c r="L821" s="4"/>
      <c r="M821" s="4">
        <v>99.0</v>
      </c>
      <c r="N821" s="4" t="s">
        <v>67</v>
      </c>
      <c r="O821" s="4" t="b">
        <v>0</v>
      </c>
      <c r="P821" s="4" t="s">
        <v>68</v>
      </c>
      <c r="Q821" s="4" t="s">
        <v>69</v>
      </c>
      <c r="R821" s="4"/>
      <c r="S821" s="4"/>
      <c r="T821" s="4"/>
      <c r="U821" s="7"/>
      <c r="V821" s="4"/>
      <c r="W821" s="4"/>
      <c r="X821" s="4"/>
      <c r="Y821" s="4"/>
      <c r="Z821" s="4"/>
      <c r="AA821" s="5"/>
      <c r="AB821" s="5"/>
      <c r="AC821" s="5"/>
      <c r="AD821" s="5"/>
      <c r="AE821" s="5"/>
    </row>
    <row r="822">
      <c r="A822" s="14" t="s">
        <v>1761</v>
      </c>
      <c r="B822" s="19">
        <v>44305.74673611111</v>
      </c>
      <c r="C822" s="4">
        <v>49813.0</v>
      </c>
      <c r="D822" s="4" t="s">
        <v>1762</v>
      </c>
      <c r="E822" s="4">
        <v>9.19717076654E11</v>
      </c>
      <c r="F822" s="4">
        <v>17142.0</v>
      </c>
      <c r="G822" s="4"/>
      <c r="H822" s="4" t="s">
        <v>1592</v>
      </c>
      <c r="I822" s="4"/>
      <c r="J822" s="4" t="s">
        <v>85</v>
      </c>
      <c r="K822" s="4">
        <v>299.0</v>
      </c>
      <c r="L822" s="4"/>
      <c r="M822" s="4">
        <v>299.0</v>
      </c>
      <c r="N822" s="4" t="s">
        <v>67</v>
      </c>
      <c r="O822" s="4" t="b">
        <v>0</v>
      </c>
      <c r="P822" s="4" t="s">
        <v>151</v>
      </c>
      <c r="Q822" s="4" t="s">
        <v>69</v>
      </c>
      <c r="R822" s="4"/>
      <c r="S822" s="4"/>
      <c r="T822" s="4"/>
      <c r="U822" s="8"/>
      <c r="V822" s="4"/>
      <c r="W822" s="4"/>
      <c r="X822" s="4"/>
      <c r="Y822" s="4"/>
      <c r="Z822" s="4"/>
      <c r="AA822" s="5"/>
      <c r="AB822" s="5"/>
      <c r="AC822" s="5"/>
      <c r="AD822" s="5"/>
      <c r="AE822" s="5"/>
    </row>
    <row r="823">
      <c r="A823" s="14" t="s">
        <v>1500</v>
      </c>
      <c r="B823" s="19">
        <v>44305.74936342592</v>
      </c>
      <c r="C823" s="4">
        <v>49833.0</v>
      </c>
      <c r="D823" s="4" t="s">
        <v>1501</v>
      </c>
      <c r="E823" s="4">
        <v>9.19790745616E11</v>
      </c>
      <c r="F823" s="4">
        <v>17453.0</v>
      </c>
      <c r="G823" s="4"/>
      <c r="H823" s="4" t="s">
        <v>184</v>
      </c>
      <c r="I823" s="4"/>
      <c r="J823" s="4" t="s">
        <v>85</v>
      </c>
      <c r="K823" s="4">
        <v>299.0</v>
      </c>
      <c r="L823" s="4"/>
      <c r="M823" s="4">
        <v>299.0</v>
      </c>
      <c r="N823" s="4" t="s">
        <v>67</v>
      </c>
      <c r="O823" s="4" t="b">
        <v>0</v>
      </c>
      <c r="P823" s="4" t="s">
        <v>97</v>
      </c>
      <c r="Q823" s="4" t="s">
        <v>69</v>
      </c>
      <c r="R823" s="4"/>
      <c r="S823" s="4"/>
      <c r="T823" s="4"/>
      <c r="U823" s="7"/>
      <c r="V823" s="4"/>
      <c r="W823" s="4"/>
      <c r="X823" s="4"/>
      <c r="Y823" s="4"/>
      <c r="Z823" s="4"/>
      <c r="AA823" s="5"/>
      <c r="AB823" s="5"/>
      <c r="AC823" s="5"/>
      <c r="AD823" s="5"/>
      <c r="AE823" s="5"/>
    </row>
    <row r="824">
      <c r="A824" s="14" t="s">
        <v>1502</v>
      </c>
      <c r="B824" s="19">
        <v>44305.77292824074</v>
      </c>
      <c r="C824" s="4">
        <v>49877.0</v>
      </c>
      <c r="D824" s="4" t="s">
        <v>1503</v>
      </c>
      <c r="E824" s="4">
        <v>9.19619661368E11</v>
      </c>
      <c r="F824" s="4">
        <v>17431.0</v>
      </c>
      <c r="G824" s="4"/>
      <c r="H824" s="4" t="s">
        <v>280</v>
      </c>
      <c r="I824" s="4"/>
      <c r="J824" s="4" t="s">
        <v>85</v>
      </c>
      <c r="K824" s="4">
        <v>99.0</v>
      </c>
      <c r="L824" s="4"/>
      <c r="M824" s="4">
        <v>99.0</v>
      </c>
      <c r="N824" s="4" t="s">
        <v>67</v>
      </c>
      <c r="O824" s="4" t="b">
        <v>0</v>
      </c>
      <c r="P824" s="4" t="s">
        <v>97</v>
      </c>
      <c r="Q824" s="4" t="s">
        <v>69</v>
      </c>
      <c r="R824" s="4"/>
      <c r="S824" s="4"/>
      <c r="T824" s="4"/>
      <c r="U824" s="7"/>
      <c r="V824" s="4"/>
      <c r="W824" s="4"/>
      <c r="X824" s="4"/>
      <c r="Y824" s="4"/>
      <c r="Z824" s="4"/>
      <c r="AA824" s="5"/>
      <c r="AB824" s="5"/>
      <c r="AC824" s="5"/>
      <c r="AD824" s="5"/>
      <c r="AE824" s="5"/>
    </row>
    <row r="825">
      <c r="A825" s="14" t="s">
        <v>1769</v>
      </c>
      <c r="B825" s="19">
        <v>44305.78034722222</v>
      </c>
      <c r="C825" s="4">
        <v>49813.0</v>
      </c>
      <c r="D825" s="4" t="s">
        <v>1770</v>
      </c>
      <c r="E825" s="4">
        <v>9.19819748033E11</v>
      </c>
      <c r="F825" s="4" t="s">
        <v>83</v>
      </c>
      <c r="G825" s="4"/>
      <c r="H825" s="4" t="s">
        <v>1592</v>
      </c>
      <c r="I825" s="4"/>
      <c r="J825" s="4" t="s">
        <v>77</v>
      </c>
      <c r="K825" s="4">
        <v>499.0</v>
      </c>
      <c r="L825" s="4"/>
      <c r="M825" s="4">
        <v>499.0</v>
      </c>
      <c r="N825" s="4" t="s">
        <v>67</v>
      </c>
      <c r="O825" s="4" t="b">
        <v>0</v>
      </c>
      <c r="P825" s="4" t="s">
        <v>74</v>
      </c>
      <c r="Q825" s="4" t="s">
        <v>69</v>
      </c>
      <c r="R825" s="4"/>
      <c r="S825" s="4"/>
      <c r="T825" s="4"/>
      <c r="U825" s="7"/>
      <c r="V825" s="4"/>
      <c r="W825" s="4"/>
      <c r="X825" s="4"/>
      <c r="Y825" s="4"/>
      <c r="Z825" s="4"/>
      <c r="AA825" s="5"/>
      <c r="AB825" s="5"/>
      <c r="AC825" s="5"/>
      <c r="AD825" s="5"/>
      <c r="AE825" s="5"/>
    </row>
    <row r="826">
      <c r="A826" s="14" t="s">
        <v>2137</v>
      </c>
      <c r="B826" s="19">
        <v>44304.752650462964</v>
      </c>
      <c r="C826" s="4">
        <v>49978.0</v>
      </c>
      <c r="D826" s="4" t="s">
        <v>2138</v>
      </c>
      <c r="E826" s="4">
        <v>9.19990526789E11</v>
      </c>
      <c r="F826" s="4">
        <v>17132.0</v>
      </c>
      <c r="G826" s="4"/>
      <c r="H826" s="4" t="s">
        <v>2135</v>
      </c>
      <c r="I826" s="4"/>
      <c r="J826" s="4" t="s">
        <v>77</v>
      </c>
      <c r="K826" s="4">
        <v>119.0</v>
      </c>
      <c r="L826" s="4"/>
      <c r="M826" s="4">
        <v>119.0</v>
      </c>
      <c r="N826" s="4" t="s">
        <v>67</v>
      </c>
      <c r="O826" s="4" t="b">
        <v>0</v>
      </c>
      <c r="P826" s="4" t="s">
        <v>97</v>
      </c>
      <c r="Q826" s="4" t="s">
        <v>69</v>
      </c>
      <c r="R826" s="4"/>
      <c r="S826" s="4"/>
      <c r="T826" s="4"/>
      <c r="U826" s="7"/>
      <c r="V826" s="4"/>
      <c r="W826" s="4"/>
      <c r="X826" s="4"/>
      <c r="Y826" s="4"/>
      <c r="Z826" s="4"/>
      <c r="AA826" s="5"/>
      <c r="AB826" s="5"/>
      <c r="AC826" s="5"/>
      <c r="AD826" s="5"/>
      <c r="AE826" s="5"/>
    </row>
    <row r="827">
      <c r="A827" s="14" t="s">
        <v>1435</v>
      </c>
      <c r="B827" s="19">
        <v>44304.75886574074</v>
      </c>
      <c r="C827" s="4">
        <v>50048.0</v>
      </c>
      <c r="D827" s="4" t="s">
        <v>1438</v>
      </c>
      <c r="E827" s="4">
        <v>9.19819828305E11</v>
      </c>
      <c r="F827" s="4">
        <v>17148.0</v>
      </c>
      <c r="G827" s="4"/>
      <c r="H827" s="4" t="s">
        <v>1436</v>
      </c>
      <c r="I827" s="4"/>
      <c r="J827" s="4" t="s">
        <v>1437</v>
      </c>
      <c r="K827" s="4">
        <v>149.0</v>
      </c>
      <c r="L827" s="4"/>
      <c r="M827" s="4">
        <v>149.0</v>
      </c>
      <c r="N827" s="4" t="s">
        <v>67</v>
      </c>
      <c r="O827" s="4" t="b">
        <v>0</v>
      </c>
      <c r="P827" s="4" t="s">
        <v>74</v>
      </c>
      <c r="Q827" s="4" t="s">
        <v>69</v>
      </c>
      <c r="R827" s="4"/>
      <c r="S827" s="4"/>
      <c r="T827" s="4"/>
      <c r="U827" s="7"/>
      <c r="V827" s="4"/>
      <c r="W827" s="4"/>
      <c r="X827" s="4"/>
      <c r="Y827" s="4"/>
      <c r="Z827" s="4"/>
      <c r="AA827" s="5"/>
      <c r="AB827" s="5"/>
      <c r="AC827" s="5"/>
      <c r="AD827" s="5"/>
      <c r="AE827" s="5"/>
    </row>
    <row r="828">
      <c r="A828" s="14" t="s">
        <v>1451</v>
      </c>
      <c r="B828" s="19">
        <v>44304.75996527778</v>
      </c>
      <c r="C828" s="4">
        <v>49834.0</v>
      </c>
      <c r="D828" s="4" t="s">
        <v>1452</v>
      </c>
      <c r="E828" s="4">
        <v>9.19903999288E11</v>
      </c>
      <c r="F828" s="4">
        <v>17033.0</v>
      </c>
      <c r="G828" s="4"/>
      <c r="H828" s="4" t="s">
        <v>960</v>
      </c>
      <c r="I828" s="4"/>
      <c r="J828" s="4" t="s">
        <v>149</v>
      </c>
      <c r="K828" s="4">
        <v>99.0</v>
      </c>
      <c r="L828" s="4"/>
      <c r="M828" s="4">
        <v>99.0</v>
      </c>
      <c r="N828" s="4" t="s">
        <v>67</v>
      </c>
      <c r="O828" s="4" t="b">
        <v>0</v>
      </c>
      <c r="P828" s="4" t="s">
        <v>97</v>
      </c>
      <c r="Q828" s="4" t="s">
        <v>69</v>
      </c>
      <c r="R828" s="4"/>
      <c r="S828" s="4"/>
      <c r="T828" s="4"/>
      <c r="U828" s="7"/>
      <c r="V828" s="4"/>
      <c r="W828" s="4"/>
      <c r="X828" s="4"/>
      <c r="Y828" s="4"/>
      <c r="Z828" s="4"/>
      <c r="AA828" s="5"/>
      <c r="AB828" s="5"/>
      <c r="AC828" s="5"/>
      <c r="AD828" s="5"/>
      <c r="AE828" s="5"/>
    </row>
    <row r="829">
      <c r="A829" s="14" t="s">
        <v>1441</v>
      </c>
      <c r="B829" s="19">
        <v>44304.760567129626</v>
      </c>
      <c r="C829" s="4">
        <v>50048.0</v>
      </c>
      <c r="D829" s="4" t="s">
        <v>1443</v>
      </c>
      <c r="E829" s="4">
        <v>9.19920385077E11</v>
      </c>
      <c r="F829" s="4">
        <v>17140.0</v>
      </c>
      <c r="G829" s="4"/>
      <c r="H829" s="4" t="s">
        <v>1436</v>
      </c>
      <c r="I829" s="4"/>
      <c r="J829" s="4" t="s">
        <v>1442</v>
      </c>
      <c r="K829" s="4">
        <v>299.0</v>
      </c>
      <c r="L829" s="4"/>
      <c r="M829" s="4">
        <v>299.0</v>
      </c>
      <c r="N829" s="4" t="s">
        <v>67</v>
      </c>
      <c r="O829" s="4" t="b">
        <v>0</v>
      </c>
      <c r="P829" s="4" t="s">
        <v>97</v>
      </c>
      <c r="Q829" s="4" t="s">
        <v>69</v>
      </c>
      <c r="R829" s="4"/>
      <c r="S829" s="4"/>
      <c r="T829" s="4"/>
      <c r="U829" s="8"/>
      <c r="V829" s="4"/>
      <c r="W829" s="4"/>
      <c r="X829" s="4"/>
      <c r="Y829" s="4"/>
      <c r="Z829" s="4"/>
      <c r="AA829" s="5"/>
      <c r="AB829" s="5"/>
      <c r="AC829" s="5"/>
      <c r="AD829" s="5"/>
      <c r="AE829" s="5"/>
    </row>
    <row r="830">
      <c r="A830" s="14" t="s">
        <v>304</v>
      </c>
      <c r="B830" s="19">
        <v>44305.820706018516</v>
      </c>
      <c r="C830" s="4">
        <v>49991.0</v>
      </c>
      <c r="D830" s="4" t="s">
        <v>305</v>
      </c>
      <c r="E830" s="4">
        <v>9.18825193669E11</v>
      </c>
      <c r="F830" s="4">
        <v>17027.0</v>
      </c>
      <c r="G830" s="4"/>
      <c r="H830" s="4" t="s">
        <v>148</v>
      </c>
      <c r="I830" s="4"/>
      <c r="J830" s="4" t="s">
        <v>149</v>
      </c>
      <c r="K830" s="4">
        <v>99.0</v>
      </c>
      <c r="L830" s="4"/>
      <c r="M830" s="4">
        <v>99.0</v>
      </c>
      <c r="N830" s="4" t="s">
        <v>67</v>
      </c>
      <c r="O830" s="4" t="b">
        <v>0</v>
      </c>
      <c r="P830" s="4" t="s">
        <v>68</v>
      </c>
      <c r="Q830" s="4" t="s">
        <v>69</v>
      </c>
      <c r="R830" s="4"/>
      <c r="S830" s="4"/>
      <c r="T830" s="4"/>
      <c r="U830" s="7"/>
      <c r="V830" s="4"/>
      <c r="W830" s="4"/>
      <c r="X830" s="4"/>
      <c r="Y830" s="4"/>
      <c r="Z830" s="4"/>
      <c r="AA830" s="5"/>
      <c r="AB830" s="5"/>
      <c r="AC830" s="5"/>
      <c r="AD830" s="5"/>
      <c r="AE830" s="5"/>
    </row>
    <row r="831">
      <c r="A831" s="14" t="s">
        <v>1777</v>
      </c>
      <c r="B831" s="19">
        <v>44305.82289351852</v>
      </c>
      <c r="C831" s="4">
        <v>49813.0</v>
      </c>
      <c r="D831" s="4" t="s">
        <v>1778</v>
      </c>
      <c r="E831" s="4">
        <v>9.19970298214E11</v>
      </c>
      <c r="F831" s="4">
        <v>17046.0</v>
      </c>
      <c r="G831" s="4"/>
      <c r="H831" s="4" t="s">
        <v>1592</v>
      </c>
      <c r="I831" s="4"/>
      <c r="J831" s="4" t="s">
        <v>149</v>
      </c>
      <c r="K831" s="4">
        <v>149.0</v>
      </c>
      <c r="L831" s="4"/>
      <c r="M831" s="4">
        <v>149.0</v>
      </c>
      <c r="N831" s="4" t="s">
        <v>67</v>
      </c>
      <c r="O831" s="4" t="b">
        <v>0</v>
      </c>
      <c r="P831" s="4" t="s">
        <v>97</v>
      </c>
      <c r="Q831" s="4" t="s">
        <v>69</v>
      </c>
      <c r="R831" s="4"/>
      <c r="S831" s="4"/>
      <c r="T831" s="4"/>
      <c r="U831" s="8"/>
      <c r="V831" s="4"/>
      <c r="W831" s="4"/>
      <c r="X831" s="4"/>
      <c r="Y831" s="4"/>
      <c r="Z831" s="4"/>
      <c r="AA831" s="5"/>
      <c r="AB831" s="5"/>
      <c r="AC831" s="5"/>
      <c r="AD831" s="5"/>
      <c r="AE831" s="5"/>
    </row>
    <row r="832">
      <c r="A832" s="14" t="s">
        <v>481</v>
      </c>
      <c r="B832" s="19">
        <v>44305.827048611114</v>
      </c>
      <c r="C832" s="4">
        <v>49992.0</v>
      </c>
      <c r="D832" s="4" t="s">
        <v>482</v>
      </c>
      <c r="E832" s="4">
        <v>9.19833685223E11</v>
      </c>
      <c r="F832" s="4">
        <v>17005.0</v>
      </c>
      <c r="G832" s="4"/>
      <c r="H832" s="4" t="s">
        <v>435</v>
      </c>
      <c r="I832" s="4"/>
      <c r="J832" s="4" t="s">
        <v>149</v>
      </c>
      <c r="K832" s="4">
        <v>99.0</v>
      </c>
      <c r="L832" s="4"/>
      <c r="M832" s="4">
        <v>99.0</v>
      </c>
      <c r="N832" s="4" t="s">
        <v>67</v>
      </c>
      <c r="O832" s="4" t="b">
        <v>0</v>
      </c>
      <c r="P832" s="4" t="s">
        <v>68</v>
      </c>
      <c r="Q832" s="4" t="s">
        <v>69</v>
      </c>
      <c r="R832" s="4"/>
      <c r="S832" s="4"/>
      <c r="T832" s="4"/>
      <c r="U832" s="7"/>
      <c r="V832" s="4"/>
      <c r="W832" s="4"/>
      <c r="X832" s="4"/>
      <c r="Y832" s="4"/>
      <c r="Z832" s="4"/>
      <c r="AA832" s="5"/>
      <c r="AB832" s="5"/>
      <c r="AC832" s="5"/>
      <c r="AD832" s="5"/>
      <c r="AE832" s="5"/>
    </row>
    <row r="833">
      <c r="A833" s="14" t="s">
        <v>1444</v>
      </c>
      <c r="B833" s="19">
        <v>44304.79355324074</v>
      </c>
      <c r="C833" s="4">
        <v>50048.0</v>
      </c>
      <c r="D833" s="4" t="s">
        <v>1445</v>
      </c>
      <c r="E833" s="4">
        <v>9.19892516514E11</v>
      </c>
      <c r="F833" s="4">
        <v>17144.0</v>
      </c>
      <c r="G833" s="4"/>
      <c r="H833" s="4" t="s">
        <v>1436</v>
      </c>
      <c r="I833" s="4"/>
      <c r="J833" s="4" t="s">
        <v>1442</v>
      </c>
      <c r="K833" s="4">
        <v>299.0</v>
      </c>
      <c r="L833" s="4"/>
      <c r="M833" s="4">
        <v>299.0</v>
      </c>
      <c r="N833" s="4" t="s">
        <v>67</v>
      </c>
      <c r="O833" s="4" t="b">
        <v>0</v>
      </c>
      <c r="P833" s="4" t="s">
        <v>68</v>
      </c>
      <c r="Q833" s="4" t="s">
        <v>69</v>
      </c>
      <c r="R833" s="4"/>
      <c r="S833" s="4"/>
      <c r="T833" s="4"/>
      <c r="U833" s="7"/>
      <c r="V833" s="4"/>
      <c r="W833" s="4"/>
      <c r="X833" s="4"/>
      <c r="Y833" s="4"/>
      <c r="Z833" s="4"/>
      <c r="AA833" s="5"/>
      <c r="AB833" s="5"/>
      <c r="AC833" s="5"/>
      <c r="AD833" s="5"/>
      <c r="AE833" s="5"/>
    </row>
    <row r="834">
      <c r="A834" s="14" t="s">
        <v>2143</v>
      </c>
      <c r="B834" s="19">
        <v>44304.79686342592</v>
      </c>
      <c r="C834" s="4">
        <v>49978.0</v>
      </c>
      <c r="D834" s="4" t="s">
        <v>2144</v>
      </c>
      <c r="E834" s="4">
        <v>9.19990099257E11</v>
      </c>
      <c r="F834" s="4">
        <v>16994.0</v>
      </c>
      <c r="G834" s="4"/>
      <c r="H834" s="4" t="s">
        <v>2135</v>
      </c>
      <c r="I834" s="4"/>
      <c r="J834" s="4" t="s">
        <v>77</v>
      </c>
      <c r="K834" s="4">
        <v>119.0</v>
      </c>
      <c r="L834" s="4"/>
      <c r="M834" s="4">
        <v>119.0</v>
      </c>
      <c r="N834" s="4" t="s">
        <v>67</v>
      </c>
      <c r="O834" s="4" t="b">
        <v>0</v>
      </c>
      <c r="P834" s="4" t="s">
        <v>68</v>
      </c>
      <c r="Q834" s="4" t="s">
        <v>69</v>
      </c>
      <c r="R834" s="4"/>
      <c r="S834" s="4"/>
      <c r="T834" s="4"/>
      <c r="U834" s="7"/>
      <c r="V834" s="4"/>
      <c r="W834" s="4"/>
      <c r="X834" s="4"/>
      <c r="Y834" s="4"/>
      <c r="Z834" s="4"/>
      <c r="AA834" s="5"/>
      <c r="AB834" s="5"/>
      <c r="AC834" s="5"/>
      <c r="AD834" s="5"/>
      <c r="AE834" s="5"/>
    </row>
    <row r="835">
      <c r="A835" s="14" t="s">
        <v>1449</v>
      </c>
      <c r="B835" s="19">
        <v>44304.80347222222</v>
      </c>
      <c r="C835" s="4">
        <v>49859.0</v>
      </c>
      <c r="D835" s="4" t="s">
        <v>1450</v>
      </c>
      <c r="E835" s="4">
        <v>9.18919193484E11</v>
      </c>
      <c r="F835" s="4" t="s">
        <v>83</v>
      </c>
      <c r="G835" s="4"/>
      <c r="H835" s="4" t="s">
        <v>1133</v>
      </c>
      <c r="I835" s="4"/>
      <c r="J835" s="4" t="s">
        <v>85</v>
      </c>
      <c r="K835" s="4">
        <v>199.0</v>
      </c>
      <c r="L835" s="4"/>
      <c r="M835" s="4">
        <v>199.0</v>
      </c>
      <c r="N835" s="4" t="s">
        <v>67</v>
      </c>
      <c r="O835" s="4" t="b">
        <v>0</v>
      </c>
      <c r="P835" s="4" t="s">
        <v>74</v>
      </c>
      <c r="Q835" s="4" t="s">
        <v>69</v>
      </c>
      <c r="R835" s="4"/>
      <c r="S835" s="4"/>
      <c r="T835" s="4"/>
      <c r="U835" s="7"/>
      <c r="V835" s="4"/>
      <c r="W835" s="4"/>
      <c r="X835" s="4"/>
      <c r="Y835" s="4"/>
      <c r="Z835" s="4"/>
      <c r="AA835" s="5"/>
      <c r="AB835" s="5"/>
      <c r="AC835" s="5"/>
      <c r="AD835" s="5"/>
      <c r="AE835" s="5"/>
    </row>
    <row r="836">
      <c r="A836" s="14" t="s">
        <v>1791</v>
      </c>
      <c r="B836" s="19">
        <v>44305.883101851854</v>
      </c>
      <c r="C836" s="4">
        <v>49813.0</v>
      </c>
      <c r="D836" s="4" t="s">
        <v>1792</v>
      </c>
      <c r="E836" s="4">
        <v>9.19711351917E11</v>
      </c>
      <c r="F836" s="4">
        <v>17124.0</v>
      </c>
      <c r="G836" s="4"/>
      <c r="H836" s="4" t="s">
        <v>1592</v>
      </c>
      <c r="I836" s="4"/>
      <c r="J836" s="4" t="s">
        <v>149</v>
      </c>
      <c r="K836" s="4">
        <v>149.0</v>
      </c>
      <c r="L836" s="4"/>
      <c r="M836" s="4">
        <v>149.0</v>
      </c>
      <c r="N836" s="4" t="s">
        <v>67</v>
      </c>
      <c r="O836" s="4" t="b">
        <v>0</v>
      </c>
      <c r="P836" s="4" t="s">
        <v>74</v>
      </c>
      <c r="Q836" s="4" t="s">
        <v>69</v>
      </c>
      <c r="R836" s="4"/>
      <c r="S836" s="4"/>
      <c r="T836" s="4"/>
      <c r="U836" s="8"/>
      <c r="V836" s="4"/>
      <c r="W836" s="4"/>
      <c r="X836" s="4"/>
      <c r="Y836" s="4"/>
      <c r="Z836" s="4"/>
      <c r="AA836" s="5"/>
      <c r="AB836" s="5"/>
      <c r="AC836" s="5"/>
      <c r="AD836" s="5"/>
      <c r="AE836" s="5"/>
    </row>
    <row r="837">
      <c r="A837" s="14" t="s">
        <v>1515</v>
      </c>
      <c r="B837" s="19">
        <v>44305.883101851854</v>
      </c>
      <c r="C837" s="4">
        <v>49996.0</v>
      </c>
      <c r="D837" s="4" t="s">
        <v>1517</v>
      </c>
      <c r="E837" s="4">
        <v>9.1991682343E11</v>
      </c>
      <c r="F837" s="4">
        <v>4142.0</v>
      </c>
      <c r="G837" s="4"/>
      <c r="H837" s="4" t="s">
        <v>1516</v>
      </c>
      <c r="I837" s="4"/>
      <c r="J837" s="4" t="s">
        <v>149</v>
      </c>
      <c r="K837" s="4">
        <v>99.0</v>
      </c>
      <c r="L837" s="4"/>
      <c r="M837" s="4">
        <v>99.0</v>
      </c>
      <c r="N837" s="4" t="s">
        <v>67</v>
      </c>
      <c r="O837" s="4" t="b">
        <v>0</v>
      </c>
      <c r="P837" s="4" t="s">
        <v>68</v>
      </c>
      <c r="Q837" s="4" t="s">
        <v>69</v>
      </c>
      <c r="R837" s="4"/>
      <c r="S837" s="4"/>
      <c r="T837" s="4"/>
      <c r="U837" s="7"/>
      <c r="V837" s="4"/>
      <c r="W837" s="4"/>
      <c r="X837" s="4"/>
      <c r="Y837" s="4"/>
      <c r="Z837" s="4"/>
      <c r="AA837" s="5"/>
      <c r="AB837" s="5"/>
      <c r="AC837" s="5"/>
      <c r="AD837" s="5"/>
      <c r="AE837" s="5"/>
    </row>
    <row r="838">
      <c r="A838" s="14" t="s">
        <v>1518</v>
      </c>
      <c r="B838" s="19">
        <v>44305.88449074074</v>
      </c>
      <c r="C838" s="4">
        <v>50009.0</v>
      </c>
      <c r="D838" s="4" t="s">
        <v>1519</v>
      </c>
      <c r="E838" s="4">
        <v>9.17277999955E11</v>
      </c>
      <c r="F838" s="4">
        <v>17030.0</v>
      </c>
      <c r="G838" s="4"/>
      <c r="H838" s="4" t="s">
        <v>1476</v>
      </c>
      <c r="I838" s="4"/>
      <c r="J838" s="4" t="s">
        <v>149</v>
      </c>
      <c r="K838" s="4">
        <v>99.0</v>
      </c>
      <c r="L838" s="4"/>
      <c r="M838" s="4">
        <v>99.0</v>
      </c>
      <c r="N838" s="4" t="s">
        <v>67</v>
      </c>
      <c r="O838" s="4" t="b">
        <v>0</v>
      </c>
      <c r="P838" s="4" t="s">
        <v>68</v>
      </c>
      <c r="Q838" s="4" t="s">
        <v>69</v>
      </c>
      <c r="R838" s="4"/>
      <c r="S838" s="4"/>
      <c r="T838" s="4"/>
      <c r="U838" s="7"/>
      <c r="V838" s="4"/>
      <c r="W838" s="4"/>
      <c r="X838" s="4"/>
      <c r="Y838" s="4"/>
      <c r="Z838" s="4"/>
      <c r="AA838" s="5"/>
      <c r="AB838" s="5"/>
      <c r="AC838" s="5"/>
      <c r="AD838" s="5"/>
      <c r="AE838" s="5"/>
    </row>
    <row r="839">
      <c r="A839" s="14" t="s">
        <v>1520</v>
      </c>
      <c r="B839" s="19">
        <v>44305.88928240741</v>
      </c>
      <c r="C839" s="4">
        <v>49834.0</v>
      </c>
      <c r="D839" s="4" t="s">
        <v>1521</v>
      </c>
      <c r="E839" s="4">
        <v>9.19611902719E11</v>
      </c>
      <c r="F839" s="4">
        <v>17041.0</v>
      </c>
      <c r="G839" s="4"/>
      <c r="H839" s="4" t="s">
        <v>76</v>
      </c>
      <c r="I839" s="4"/>
      <c r="J839" s="4" t="s">
        <v>85</v>
      </c>
      <c r="K839" s="4">
        <v>199.0</v>
      </c>
      <c r="L839" s="4"/>
      <c r="M839" s="4">
        <v>199.0</v>
      </c>
      <c r="N839" s="4" t="s">
        <v>67</v>
      </c>
      <c r="O839" s="4" t="b">
        <v>0</v>
      </c>
      <c r="P839" s="4" t="s">
        <v>68</v>
      </c>
      <c r="Q839" s="4" t="s">
        <v>69</v>
      </c>
      <c r="R839" s="4"/>
      <c r="S839" s="4"/>
      <c r="T839" s="4"/>
      <c r="U839" s="7"/>
      <c r="V839" s="4"/>
      <c r="W839" s="4"/>
      <c r="X839" s="4"/>
      <c r="Y839" s="4"/>
      <c r="Z839" s="4"/>
      <c r="AA839" s="5"/>
      <c r="AB839" s="5"/>
      <c r="AC839" s="5"/>
      <c r="AD839" s="5"/>
      <c r="AE839" s="5"/>
    </row>
    <row r="840">
      <c r="A840" s="14" t="s">
        <v>1522</v>
      </c>
      <c r="B840" s="19">
        <v>44305.89231481482</v>
      </c>
      <c r="C840" s="4">
        <v>50036.0</v>
      </c>
      <c r="D840" s="4" t="s">
        <v>1523</v>
      </c>
      <c r="E840" s="4">
        <v>9.19873180625E11</v>
      </c>
      <c r="F840" s="4">
        <v>17011.0</v>
      </c>
      <c r="G840" s="4"/>
      <c r="H840" s="4" t="s">
        <v>1320</v>
      </c>
      <c r="I840" s="4"/>
      <c r="J840" s="4" t="s">
        <v>149</v>
      </c>
      <c r="K840" s="4">
        <v>149.0</v>
      </c>
      <c r="L840" s="4"/>
      <c r="M840" s="4">
        <v>149.0</v>
      </c>
      <c r="N840" s="4" t="s">
        <v>67</v>
      </c>
      <c r="O840" s="4" t="b">
        <v>0</v>
      </c>
      <c r="P840" s="4" t="s">
        <v>68</v>
      </c>
      <c r="Q840" s="4" t="s">
        <v>69</v>
      </c>
      <c r="R840" s="4"/>
      <c r="S840" s="4"/>
      <c r="T840" s="4"/>
      <c r="U840" s="7"/>
      <c r="V840" s="4"/>
      <c r="W840" s="4"/>
      <c r="X840" s="4"/>
      <c r="Y840" s="4"/>
      <c r="Z840" s="4"/>
      <c r="AA840" s="5"/>
      <c r="AB840" s="5"/>
      <c r="AC840" s="5"/>
      <c r="AD840" s="5"/>
      <c r="AE840" s="5"/>
    </row>
    <row r="841">
      <c r="A841" s="14" t="s">
        <v>477</v>
      </c>
      <c r="B841" s="19">
        <v>44304.83982638889</v>
      </c>
      <c r="C841" s="4">
        <v>49992.0</v>
      </c>
      <c r="D841" s="4" t="s">
        <v>478</v>
      </c>
      <c r="E841" s="4">
        <v>9.18848496869E11</v>
      </c>
      <c r="F841" s="4">
        <v>16982.0</v>
      </c>
      <c r="G841" s="4"/>
      <c r="H841" s="4" t="s">
        <v>435</v>
      </c>
      <c r="I841" s="4"/>
      <c r="J841" s="4" t="s">
        <v>149</v>
      </c>
      <c r="K841" s="4">
        <v>99.0</v>
      </c>
      <c r="L841" s="4"/>
      <c r="M841" s="4">
        <v>99.0</v>
      </c>
      <c r="N841" s="4" t="s">
        <v>67</v>
      </c>
      <c r="O841" s="4" t="b">
        <v>0</v>
      </c>
      <c r="P841" s="4" t="s">
        <v>68</v>
      </c>
      <c r="Q841" s="4" t="s">
        <v>69</v>
      </c>
      <c r="R841" s="4"/>
      <c r="S841" s="4"/>
      <c r="T841" s="4"/>
      <c r="U841" s="7"/>
      <c r="V841" s="4"/>
      <c r="W841" s="4"/>
      <c r="X841" s="4"/>
      <c r="Y841" s="4"/>
      <c r="Z841" s="4"/>
      <c r="AA841" s="5"/>
      <c r="AB841" s="5"/>
      <c r="AC841" s="5"/>
      <c r="AD841" s="5"/>
      <c r="AE841" s="5"/>
    </row>
    <row r="842">
      <c r="A842" s="14" t="s">
        <v>1524</v>
      </c>
      <c r="B842" s="19">
        <v>44305.9062962963</v>
      </c>
      <c r="C842" s="4">
        <v>50036.0</v>
      </c>
      <c r="D842" s="4" t="s">
        <v>1525</v>
      </c>
      <c r="E842" s="4">
        <v>9.19815577304E11</v>
      </c>
      <c r="F842" s="4">
        <v>17013.0</v>
      </c>
      <c r="G842" s="4"/>
      <c r="H842" s="4" t="s">
        <v>1320</v>
      </c>
      <c r="I842" s="4"/>
      <c r="J842" s="4" t="s">
        <v>149</v>
      </c>
      <c r="K842" s="4">
        <v>149.0</v>
      </c>
      <c r="L842" s="4"/>
      <c r="M842" s="4">
        <v>149.0</v>
      </c>
      <c r="N842" s="4" t="s">
        <v>67</v>
      </c>
      <c r="O842" s="4" t="b">
        <v>0</v>
      </c>
      <c r="P842" s="4" t="s">
        <v>74</v>
      </c>
      <c r="Q842" s="4" t="s">
        <v>69</v>
      </c>
      <c r="R842" s="4"/>
      <c r="S842" s="4"/>
      <c r="T842" s="4"/>
      <c r="U842" s="7"/>
      <c r="V842" s="4"/>
      <c r="W842" s="4"/>
      <c r="X842" s="4"/>
      <c r="Y842" s="4"/>
      <c r="Z842" s="4"/>
      <c r="AA842" s="5"/>
      <c r="AB842" s="5"/>
      <c r="AC842" s="5"/>
      <c r="AD842" s="5"/>
      <c r="AE842" s="5"/>
    </row>
    <row r="843">
      <c r="A843" s="14" t="s">
        <v>1455</v>
      </c>
      <c r="B843" s="19">
        <v>44304.86497685185</v>
      </c>
      <c r="C843" s="4">
        <v>49997.0</v>
      </c>
      <c r="D843" s="4" t="s">
        <v>1456</v>
      </c>
      <c r="E843" s="4">
        <v>9.19819733909E11</v>
      </c>
      <c r="F843" s="4" t="s">
        <v>83</v>
      </c>
      <c r="G843" s="4"/>
      <c r="H843" s="4" t="s">
        <v>1059</v>
      </c>
      <c r="I843" s="4"/>
      <c r="J843" s="4" t="s">
        <v>149</v>
      </c>
      <c r="K843" s="4">
        <v>99.0</v>
      </c>
      <c r="L843" s="4"/>
      <c r="M843" s="4">
        <v>99.0</v>
      </c>
      <c r="N843" s="4" t="s">
        <v>67</v>
      </c>
      <c r="O843" s="4" t="b">
        <v>0</v>
      </c>
      <c r="P843" s="4" t="s">
        <v>68</v>
      </c>
      <c r="Q843" s="4" t="s">
        <v>69</v>
      </c>
      <c r="R843" s="4"/>
      <c r="S843" s="4"/>
      <c r="T843" s="4"/>
      <c r="U843" s="7"/>
      <c r="V843" s="4"/>
      <c r="W843" s="4"/>
      <c r="X843" s="4"/>
      <c r="Y843" s="4"/>
      <c r="Z843" s="4"/>
      <c r="AA843" s="5"/>
      <c r="AB843" s="5"/>
      <c r="AC843" s="5"/>
      <c r="AD843" s="5"/>
      <c r="AE843" s="5"/>
    </row>
    <row r="844">
      <c r="A844" s="14" t="s">
        <v>1526</v>
      </c>
      <c r="B844" s="19">
        <v>44305.92633101852</v>
      </c>
      <c r="C844" s="4">
        <v>49993.0</v>
      </c>
      <c r="D844" s="4" t="s">
        <v>1527</v>
      </c>
      <c r="E844" s="4">
        <v>9.17870309702E11</v>
      </c>
      <c r="F844" s="4">
        <v>17023.0</v>
      </c>
      <c r="G844" s="4"/>
      <c r="H844" s="4" t="s">
        <v>1104</v>
      </c>
      <c r="I844" s="4"/>
      <c r="J844" s="4" t="s">
        <v>77</v>
      </c>
      <c r="K844" s="4">
        <v>349.0</v>
      </c>
      <c r="L844" s="4"/>
      <c r="M844" s="4">
        <v>349.0</v>
      </c>
      <c r="N844" s="4" t="s">
        <v>67</v>
      </c>
      <c r="O844" s="4" t="b">
        <v>0</v>
      </c>
      <c r="P844" s="4" t="s">
        <v>68</v>
      </c>
      <c r="Q844" s="4" t="s">
        <v>69</v>
      </c>
      <c r="R844" s="4"/>
      <c r="S844" s="4"/>
      <c r="T844" s="4"/>
      <c r="U844" s="7"/>
      <c r="V844" s="4"/>
      <c r="W844" s="4"/>
      <c r="X844" s="4"/>
      <c r="Y844" s="4"/>
      <c r="Z844" s="4"/>
      <c r="AA844" s="5"/>
      <c r="AB844" s="5"/>
      <c r="AC844" s="5"/>
      <c r="AD844" s="5"/>
      <c r="AE844" s="5"/>
    </row>
    <row r="845">
      <c r="A845" s="14" t="s">
        <v>1751</v>
      </c>
      <c r="B845" s="19">
        <v>44304.85461805556</v>
      </c>
      <c r="C845" s="4">
        <v>49813.0</v>
      </c>
      <c r="D845" s="4" t="s">
        <v>1752</v>
      </c>
      <c r="E845" s="4">
        <v>9.19867016953E11</v>
      </c>
      <c r="F845" s="4">
        <v>16993.0</v>
      </c>
      <c r="G845" s="4"/>
      <c r="H845" s="4" t="s">
        <v>1592</v>
      </c>
      <c r="I845" s="4"/>
      <c r="J845" s="4" t="s">
        <v>85</v>
      </c>
      <c r="K845" s="4">
        <v>299.0</v>
      </c>
      <c r="L845" s="4"/>
      <c r="M845" s="4">
        <v>299.0</v>
      </c>
      <c r="N845" s="4" t="s">
        <v>67</v>
      </c>
      <c r="O845" s="4" t="b">
        <v>0</v>
      </c>
      <c r="P845" s="4" t="s">
        <v>68</v>
      </c>
      <c r="Q845" s="4" t="s">
        <v>69</v>
      </c>
      <c r="R845" s="4"/>
      <c r="S845" s="4"/>
      <c r="T845" s="4"/>
      <c r="U845" s="7"/>
      <c r="V845" s="4"/>
      <c r="W845" s="4"/>
      <c r="X845" s="4"/>
      <c r="Y845" s="4"/>
      <c r="Z845" s="4"/>
      <c r="AA845" s="5"/>
      <c r="AB845" s="5"/>
      <c r="AC845" s="5"/>
      <c r="AD845" s="5"/>
      <c r="AE845" s="5"/>
    </row>
    <row r="846">
      <c r="A846" s="14" t="s">
        <v>487</v>
      </c>
      <c r="B846" s="19">
        <v>44305.94001157407</v>
      </c>
      <c r="C846" s="4">
        <v>49992.0</v>
      </c>
      <c r="D846" s="4" t="s">
        <v>488</v>
      </c>
      <c r="E846" s="4">
        <v>9.19819519293E11</v>
      </c>
      <c r="F846" s="4">
        <v>17035.0</v>
      </c>
      <c r="G846" s="4"/>
      <c r="H846" s="4" t="s">
        <v>435</v>
      </c>
      <c r="I846" s="4"/>
      <c r="J846" s="4" t="s">
        <v>149</v>
      </c>
      <c r="K846" s="4">
        <v>99.0</v>
      </c>
      <c r="L846" s="4"/>
      <c r="M846" s="4">
        <v>99.0</v>
      </c>
      <c r="N846" s="4" t="s">
        <v>67</v>
      </c>
      <c r="O846" s="4" t="b">
        <v>0</v>
      </c>
      <c r="P846" s="4" t="s">
        <v>68</v>
      </c>
      <c r="Q846" s="4" t="s">
        <v>69</v>
      </c>
      <c r="R846" s="4"/>
      <c r="S846" s="4"/>
      <c r="T846" s="4"/>
      <c r="U846" s="7"/>
      <c r="V846" s="4"/>
      <c r="W846" s="4"/>
      <c r="X846" s="4"/>
      <c r="Y846" s="4"/>
      <c r="Z846" s="4"/>
      <c r="AA846" s="5"/>
      <c r="AB846" s="5"/>
      <c r="AC846" s="5"/>
      <c r="AD846" s="5"/>
      <c r="AE846" s="5"/>
    </row>
    <row r="847">
      <c r="A847" s="14" t="s">
        <v>479</v>
      </c>
      <c r="B847" s="19">
        <v>44304.90611111111</v>
      </c>
      <c r="C847" s="4">
        <v>49992.0</v>
      </c>
      <c r="D847" s="4" t="s">
        <v>480</v>
      </c>
      <c r="E847" s="4">
        <v>9.19898067985E11</v>
      </c>
      <c r="F847" s="4">
        <v>16998.0</v>
      </c>
      <c r="G847" s="4"/>
      <c r="H847" s="4" t="s">
        <v>435</v>
      </c>
      <c r="I847" s="4"/>
      <c r="J847" s="4" t="s">
        <v>149</v>
      </c>
      <c r="K847" s="4">
        <v>99.0</v>
      </c>
      <c r="L847" s="4"/>
      <c r="M847" s="4">
        <v>99.0</v>
      </c>
      <c r="N847" s="4" t="s">
        <v>67</v>
      </c>
      <c r="O847" s="4" t="b">
        <v>0</v>
      </c>
      <c r="P847" s="4" t="s">
        <v>74</v>
      </c>
      <c r="Q847" s="4" t="s">
        <v>69</v>
      </c>
      <c r="R847" s="4"/>
      <c r="S847" s="4"/>
      <c r="T847" s="4"/>
      <c r="U847" s="7"/>
      <c r="V847" s="4"/>
      <c r="W847" s="4"/>
      <c r="X847" s="4"/>
      <c r="Y847" s="4"/>
      <c r="Z847" s="4"/>
      <c r="AA847" s="5"/>
      <c r="AB847" s="5"/>
      <c r="AC847" s="5"/>
      <c r="AD847" s="5"/>
      <c r="AE847" s="5"/>
    </row>
    <row r="848">
      <c r="A848" s="14" t="s">
        <v>2004</v>
      </c>
      <c r="B848" s="19">
        <v>44305.97898148148</v>
      </c>
      <c r="C848" s="4">
        <v>49995.0</v>
      </c>
      <c r="D848" s="4" t="s">
        <v>2006</v>
      </c>
      <c r="E848" s="4">
        <v>9.18779295213E11</v>
      </c>
      <c r="F848" s="4">
        <v>17032.0</v>
      </c>
      <c r="G848" s="4"/>
      <c r="H848" s="4" t="s">
        <v>2005</v>
      </c>
      <c r="I848" s="4"/>
      <c r="J848" s="4" t="s">
        <v>149</v>
      </c>
      <c r="K848" s="4">
        <v>99.0</v>
      </c>
      <c r="L848" s="4"/>
      <c r="M848" s="4">
        <v>99.0</v>
      </c>
      <c r="N848" s="4" t="s">
        <v>67</v>
      </c>
      <c r="O848" s="4" t="b">
        <v>0</v>
      </c>
      <c r="P848" s="4" t="s">
        <v>68</v>
      </c>
      <c r="Q848" s="4" t="s">
        <v>69</v>
      </c>
      <c r="R848" s="4"/>
      <c r="S848" s="4"/>
      <c r="T848" s="4"/>
      <c r="U848" s="7"/>
      <c r="V848" s="4"/>
      <c r="W848" s="4"/>
      <c r="X848" s="4"/>
      <c r="Y848" s="4"/>
      <c r="Z848" s="4"/>
      <c r="AA848" s="5"/>
      <c r="AB848" s="5"/>
      <c r="AC848" s="5"/>
      <c r="AD848" s="5"/>
      <c r="AE848" s="5"/>
    </row>
    <row r="849">
      <c r="A849" s="14" t="s">
        <v>1532</v>
      </c>
      <c r="B849" s="19">
        <v>44306.00457175926</v>
      </c>
      <c r="C849" s="4">
        <v>49993.0</v>
      </c>
      <c r="D849" s="4" t="s">
        <v>1533</v>
      </c>
      <c r="E849" s="4">
        <v>9.19372692442E11</v>
      </c>
      <c r="F849" s="4">
        <v>17014.0</v>
      </c>
      <c r="G849" s="4"/>
      <c r="H849" s="4" t="s">
        <v>1104</v>
      </c>
      <c r="I849" s="4"/>
      <c r="J849" s="4" t="s">
        <v>149</v>
      </c>
      <c r="K849" s="4">
        <v>99.0</v>
      </c>
      <c r="L849" s="4"/>
      <c r="M849" s="4">
        <v>99.0</v>
      </c>
      <c r="N849" s="4" t="s">
        <v>67</v>
      </c>
      <c r="O849" s="4" t="b">
        <v>0</v>
      </c>
      <c r="P849" s="4" t="s">
        <v>68</v>
      </c>
      <c r="Q849" s="4" t="s">
        <v>69</v>
      </c>
      <c r="R849" s="4"/>
      <c r="S849" s="4"/>
      <c r="T849" s="4"/>
      <c r="U849" s="7"/>
      <c r="V849" s="4"/>
      <c r="W849" s="4"/>
      <c r="X849" s="4"/>
      <c r="Y849" s="4"/>
      <c r="Z849" s="4"/>
      <c r="AA849" s="5"/>
      <c r="AB849" s="5"/>
      <c r="AC849" s="5"/>
      <c r="AD849" s="5"/>
      <c r="AE849" s="5"/>
    </row>
    <row r="850">
      <c r="A850" s="14" t="s">
        <v>1759</v>
      </c>
      <c r="B850" s="19">
        <v>44304.94917824074</v>
      </c>
      <c r="C850" s="4">
        <v>49813.0</v>
      </c>
      <c r="D850" s="4" t="s">
        <v>1760</v>
      </c>
      <c r="E850" s="4">
        <v>9.19619828227E11</v>
      </c>
      <c r="F850" s="4">
        <v>16991.0</v>
      </c>
      <c r="G850" s="4"/>
      <c r="H850" s="4" t="s">
        <v>1592</v>
      </c>
      <c r="I850" s="4"/>
      <c r="J850" s="4" t="s">
        <v>149</v>
      </c>
      <c r="K850" s="4">
        <v>149.0</v>
      </c>
      <c r="L850" s="4"/>
      <c r="M850" s="4">
        <v>149.0</v>
      </c>
      <c r="N850" s="4" t="s">
        <v>67</v>
      </c>
      <c r="O850" s="4" t="b">
        <v>0</v>
      </c>
      <c r="P850" s="4" t="s">
        <v>97</v>
      </c>
      <c r="Q850" s="4" t="s">
        <v>69</v>
      </c>
      <c r="R850" s="4"/>
      <c r="S850" s="4"/>
      <c r="T850" s="4"/>
      <c r="U850" s="7"/>
      <c r="V850" s="4"/>
      <c r="W850" s="4"/>
      <c r="X850" s="4"/>
      <c r="Y850" s="4"/>
      <c r="Z850" s="4"/>
      <c r="AA850" s="5"/>
      <c r="AB850" s="5"/>
      <c r="AC850" s="5"/>
      <c r="AD850" s="5"/>
      <c r="AE850" s="5"/>
    </row>
    <row r="851">
      <c r="A851" s="14" t="s">
        <v>1459</v>
      </c>
      <c r="B851" s="19">
        <v>44304.93696759259</v>
      </c>
      <c r="C851" s="4">
        <v>49833.0</v>
      </c>
      <c r="D851" s="4" t="s">
        <v>1460</v>
      </c>
      <c r="E851" s="4">
        <v>9.18973640081E11</v>
      </c>
      <c r="F851" s="4">
        <v>17112.0</v>
      </c>
      <c r="G851" s="4"/>
      <c r="H851" s="4" t="s">
        <v>184</v>
      </c>
      <c r="I851" s="4"/>
      <c r="J851" s="4" t="s">
        <v>77</v>
      </c>
      <c r="K851" s="4">
        <v>499.0</v>
      </c>
      <c r="L851" s="4"/>
      <c r="M851" s="4">
        <v>499.0</v>
      </c>
      <c r="N851" s="4" t="s">
        <v>67</v>
      </c>
      <c r="O851" s="4" t="b">
        <v>0</v>
      </c>
      <c r="P851" s="4" t="s">
        <v>97</v>
      </c>
      <c r="Q851" s="4" t="s">
        <v>69</v>
      </c>
      <c r="R851" s="4"/>
      <c r="S851" s="4"/>
      <c r="T851" s="4"/>
      <c r="U851" s="8"/>
      <c r="V851" s="4"/>
      <c r="W851" s="4"/>
      <c r="X851" s="4"/>
      <c r="Y851" s="4"/>
      <c r="Z851" s="4"/>
      <c r="AA851" s="5"/>
      <c r="AB851" s="5"/>
      <c r="AC851" s="5"/>
      <c r="AD851" s="5"/>
      <c r="AE851" s="5"/>
    </row>
    <row r="852">
      <c r="A852" s="14" t="s">
        <v>298</v>
      </c>
      <c r="B852" s="19">
        <v>44304.97100694444</v>
      </c>
      <c r="C852" s="4">
        <v>49991.0</v>
      </c>
      <c r="D852" s="4" t="s">
        <v>299</v>
      </c>
      <c r="E852" s="4">
        <v>9.19118031434E11</v>
      </c>
      <c r="F852" s="4">
        <v>16958.0</v>
      </c>
      <c r="G852" s="4"/>
      <c r="H852" s="4" t="s">
        <v>148</v>
      </c>
      <c r="I852" s="4"/>
      <c r="J852" s="4" t="s">
        <v>77</v>
      </c>
      <c r="K852" s="4">
        <v>349.0</v>
      </c>
      <c r="L852" s="4"/>
      <c r="M852" s="4">
        <v>349.0</v>
      </c>
      <c r="N852" s="4" t="s">
        <v>67</v>
      </c>
      <c r="O852" s="4" t="b">
        <v>0</v>
      </c>
      <c r="P852" s="4" t="s">
        <v>68</v>
      </c>
      <c r="Q852" s="4" t="s">
        <v>69</v>
      </c>
      <c r="R852" s="4"/>
      <c r="S852" s="4"/>
      <c r="T852" s="4"/>
      <c r="U852" s="7"/>
      <c r="V852" s="4"/>
      <c r="W852" s="4"/>
      <c r="X852" s="4"/>
      <c r="Y852" s="4"/>
      <c r="Z852" s="4"/>
      <c r="AA852" s="5"/>
      <c r="AB852" s="5"/>
      <c r="AC852" s="5"/>
      <c r="AD852" s="5"/>
      <c r="AE852" s="5"/>
    </row>
    <row r="853">
      <c r="A853" s="14" t="s">
        <v>1534</v>
      </c>
      <c r="B853" s="19">
        <v>44306.05243055556</v>
      </c>
      <c r="C853" s="4">
        <v>49993.0</v>
      </c>
      <c r="D853" s="4" t="s">
        <v>1535</v>
      </c>
      <c r="E853" s="4">
        <v>9.18793497096E11</v>
      </c>
      <c r="F853" s="4">
        <v>17016.0</v>
      </c>
      <c r="G853" s="4"/>
      <c r="H853" s="4" t="s">
        <v>1104</v>
      </c>
      <c r="I853" s="4"/>
      <c r="J853" s="4" t="s">
        <v>149</v>
      </c>
      <c r="K853" s="4">
        <v>99.0</v>
      </c>
      <c r="L853" s="4"/>
      <c r="M853" s="4">
        <v>99.0</v>
      </c>
      <c r="N853" s="4" t="s">
        <v>67</v>
      </c>
      <c r="O853" s="4" t="b">
        <v>0</v>
      </c>
      <c r="P853" s="4" t="s">
        <v>68</v>
      </c>
      <c r="Q853" s="4" t="s">
        <v>69</v>
      </c>
      <c r="R853" s="4"/>
      <c r="S853" s="4"/>
      <c r="T853" s="4"/>
      <c r="U853" s="7"/>
      <c r="V853" s="4"/>
      <c r="W853" s="4"/>
      <c r="X853" s="4"/>
      <c r="Y853" s="4"/>
      <c r="Z853" s="4"/>
      <c r="AA853" s="5"/>
      <c r="AB853" s="5"/>
      <c r="AC853" s="5"/>
      <c r="AD853" s="5"/>
      <c r="AE853" s="5"/>
    </row>
    <row r="854">
      <c r="A854" s="14" t="s">
        <v>1536</v>
      </c>
      <c r="B854" s="19">
        <v>44306.11314814815</v>
      </c>
      <c r="C854" s="4">
        <v>49997.0</v>
      </c>
      <c r="D854" s="4" t="s">
        <v>1537</v>
      </c>
      <c r="E854" s="4">
        <v>9.19038757257E11</v>
      </c>
      <c r="F854" s="4" t="s">
        <v>83</v>
      </c>
      <c r="G854" s="4"/>
      <c r="H854" s="4" t="s">
        <v>1059</v>
      </c>
      <c r="I854" s="4"/>
      <c r="J854" s="4" t="s">
        <v>149</v>
      </c>
      <c r="K854" s="4">
        <v>99.0</v>
      </c>
      <c r="L854" s="4"/>
      <c r="M854" s="4">
        <v>99.0</v>
      </c>
      <c r="N854" s="4" t="s">
        <v>67</v>
      </c>
      <c r="O854" s="4" t="b">
        <v>0</v>
      </c>
      <c r="P854" s="4" t="s">
        <v>68</v>
      </c>
      <c r="Q854" s="4" t="s">
        <v>69</v>
      </c>
      <c r="R854" s="4"/>
      <c r="S854" s="4"/>
      <c r="T854" s="4"/>
      <c r="U854" s="7"/>
      <c r="V854" s="4"/>
      <c r="W854" s="4"/>
      <c r="X854" s="4"/>
      <c r="Y854" s="4"/>
      <c r="Z854" s="4"/>
      <c r="AA854" s="5"/>
      <c r="AB854" s="5"/>
      <c r="AC854" s="5"/>
      <c r="AD854" s="5"/>
      <c r="AE854" s="5"/>
    </row>
    <row r="855">
      <c r="A855" s="14" t="s">
        <v>1528</v>
      </c>
      <c r="B855" s="19">
        <v>44305.10863425926</v>
      </c>
      <c r="C855" s="4">
        <v>49859.0</v>
      </c>
      <c r="D855" s="4" t="s">
        <v>1529</v>
      </c>
      <c r="E855" s="4">
        <v>9.18369290188E11</v>
      </c>
      <c r="F855" s="4" t="s">
        <v>83</v>
      </c>
      <c r="G855" s="4"/>
      <c r="H855" s="4" t="s">
        <v>1507</v>
      </c>
      <c r="I855" s="4"/>
      <c r="J855" s="4" t="s">
        <v>149</v>
      </c>
      <c r="K855" s="4">
        <v>99.0</v>
      </c>
      <c r="L855" s="4"/>
      <c r="M855" s="4">
        <v>99.0</v>
      </c>
      <c r="N855" s="4" t="s">
        <v>67</v>
      </c>
      <c r="O855" s="4" t="b">
        <v>0</v>
      </c>
      <c r="P855" s="4" t="s">
        <v>68</v>
      </c>
      <c r="Q855" s="4" t="s">
        <v>69</v>
      </c>
      <c r="R855" s="4"/>
      <c r="S855" s="4"/>
      <c r="T855" s="4"/>
      <c r="U855" s="8"/>
      <c r="V855" s="4"/>
      <c r="W855" s="4"/>
      <c r="X855" s="4"/>
      <c r="Y855" s="4"/>
      <c r="Z855" s="4"/>
      <c r="AA855" s="5"/>
      <c r="AB855" s="5"/>
      <c r="AC855" s="5"/>
      <c r="AD855" s="5"/>
      <c r="AE855" s="5"/>
    </row>
    <row r="856">
      <c r="A856" s="14" t="s">
        <v>1467</v>
      </c>
      <c r="B856" s="19">
        <v>44305.09690972222</v>
      </c>
      <c r="C856" s="4">
        <v>49859.0</v>
      </c>
      <c r="D856" s="4" t="s">
        <v>1468</v>
      </c>
      <c r="E856" s="4">
        <v>9.19407111148E11</v>
      </c>
      <c r="F856" s="4" t="s">
        <v>83</v>
      </c>
      <c r="G856" s="4"/>
      <c r="H856" s="4" t="s">
        <v>1133</v>
      </c>
      <c r="I856" s="4"/>
      <c r="J856" s="4" t="s">
        <v>85</v>
      </c>
      <c r="K856" s="4">
        <v>199.0</v>
      </c>
      <c r="L856" s="4"/>
      <c r="M856" s="4">
        <v>199.0</v>
      </c>
      <c r="N856" s="4" t="s">
        <v>67</v>
      </c>
      <c r="O856" s="4" t="b">
        <v>0</v>
      </c>
      <c r="P856" s="4" t="s">
        <v>68</v>
      </c>
      <c r="Q856" s="4" t="s">
        <v>69</v>
      </c>
      <c r="R856" s="4"/>
      <c r="S856" s="4"/>
      <c r="T856" s="4"/>
      <c r="U856" s="7"/>
      <c r="V856" s="4"/>
      <c r="W856" s="4"/>
      <c r="X856" s="4"/>
      <c r="Y856" s="4"/>
      <c r="Z856" s="4"/>
      <c r="AA856" s="5"/>
      <c r="AB856" s="5"/>
      <c r="AC856" s="5"/>
      <c r="AD856" s="5"/>
      <c r="AE856" s="5"/>
    </row>
    <row r="857">
      <c r="A857" s="14" t="s">
        <v>1471</v>
      </c>
      <c r="B857" s="19">
        <v>44305.14638888889</v>
      </c>
      <c r="C857" s="4">
        <v>49877.0</v>
      </c>
      <c r="D857" s="4" t="s">
        <v>1472</v>
      </c>
      <c r="E857" s="4">
        <v>9.16395965986E11</v>
      </c>
      <c r="F857" s="4">
        <v>17127.0</v>
      </c>
      <c r="G857" s="4"/>
      <c r="H857" s="4" t="s">
        <v>280</v>
      </c>
      <c r="I857" s="4"/>
      <c r="J857" s="4" t="s">
        <v>85</v>
      </c>
      <c r="K857" s="4">
        <v>99.0</v>
      </c>
      <c r="L857" s="4"/>
      <c r="M857" s="4">
        <v>99.0</v>
      </c>
      <c r="N857" s="4" t="s">
        <v>67</v>
      </c>
      <c r="O857" s="4" t="b">
        <v>0</v>
      </c>
      <c r="P857" s="4" t="s">
        <v>68</v>
      </c>
      <c r="Q857" s="4" t="s">
        <v>69</v>
      </c>
      <c r="R857" s="4"/>
      <c r="S857" s="4"/>
      <c r="T857" s="4"/>
      <c r="U857" s="7"/>
      <c r="V857" s="4"/>
      <c r="W857" s="4"/>
      <c r="X857" s="4"/>
      <c r="Y857" s="4"/>
      <c r="Z857" s="4"/>
      <c r="AA857" s="5"/>
      <c r="AB857" s="5"/>
      <c r="AC857" s="5"/>
      <c r="AD857" s="5"/>
      <c r="AE857" s="5"/>
    </row>
    <row r="858">
      <c r="A858" s="14" t="s">
        <v>1538</v>
      </c>
      <c r="B858" s="19">
        <v>44306.2512037037</v>
      </c>
      <c r="C858" s="4">
        <v>50009.0</v>
      </c>
      <c r="D858" s="4" t="s">
        <v>1540</v>
      </c>
      <c r="E858" s="4">
        <v>9.16360728523E11</v>
      </c>
      <c r="F858" s="4">
        <v>17097.0</v>
      </c>
      <c r="G858" s="4"/>
      <c r="H858" s="4" t="s">
        <v>1539</v>
      </c>
      <c r="I858" s="4"/>
      <c r="J858" s="4" t="s">
        <v>77</v>
      </c>
      <c r="K858" s="4">
        <v>349.0</v>
      </c>
      <c r="L858" s="4"/>
      <c r="M858" s="4">
        <v>349.0</v>
      </c>
      <c r="N858" s="4" t="s">
        <v>67</v>
      </c>
      <c r="O858" s="4" t="b">
        <v>0</v>
      </c>
      <c r="P858" s="4" t="s">
        <v>74</v>
      </c>
      <c r="Q858" s="4" t="s">
        <v>69</v>
      </c>
      <c r="R858" s="4"/>
      <c r="S858" s="4"/>
      <c r="T858" s="4"/>
      <c r="U858" s="8"/>
      <c r="V858" s="4"/>
      <c r="W858" s="4"/>
      <c r="X858" s="4"/>
      <c r="Y858" s="4"/>
      <c r="Z858" s="4"/>
      <c r="AA858" s="5"/>
      <c r="AB858" s="5"/>
      <c r="AC858" s="5"/>
      <c r="AD858" s="5"/>
      <c r="AE858" s="5"/>
    </row>
    <row r="859">
      <c r="A859" s="14" t="s">
        <v>489</v>
      </c>
      <c r="B859" s="19">
        <v>44306.274513888886</v>
      </c>
      <c r="C859" s="4">
        <v>49992.0</v>
      </c>
      <c r="D859" s="4" t="s">
        <v>490</v>
      </c>
      <c r="E859" s="4">
        <v>9.1983908066E11</v>
      </c>
      <c r="F859" s="4">
        <v>17055.0</v>
      </c>
      <c r="G859" s="4"/>
      <c r="H859" s="4" t="s">
        <v>435</v>
      </c>
      <c r="I859" s="4"/>
      <c r="J859" s="4" t="s">
        <v>149</v>
      </c>
      <c r="K859" s="4">
        <v>99.0</v>
      </c>
      <c r="L859" s="4"/>
      <c r="M859" s="4">
        <v>99.0</v>
      </c>
      <c r="N859" s="4" t="s">
        <v>67</v>
      </c>
      <c r="O859" s="4" t="b">
        <v>0</v>
      </c>
      <c r="P859" s="4" t="s">
        <v>68</v>
      </c>
      <c r="Q859" s="4" t="s">
        <v>69</v>
      </c>
      <c r="R859" s="4"/>
      <c r="S859" s="4"/>
      <c r="T859" s="4"/>
      <c r="U859" s="7"/>
      <c r="V859" s="4"/>
      <c r="W859" s="4"/>
      <c r="X859" s="4"/>
      <c r="Y859" s="4"/>
      <c r="Z859" s="4"/>
      <c r="AA859" s="5"/>
      <c r="AB859" s="5"/>
      <c r="AC859" s="5"/>
      <c r="AD859" s="5"/>
      <c r="AE859" s="5"/>
    </row>
    <row r="860">
      <c r="A860" s="14" t="s">
        <v>1543</v>
      </c>
      <c r="B860" s="19">
        <v>44306.27501157407</v>
      </c>
      <c r="C860" s="4">
        <v>49844.0</v>
      </c>
      <c r="D860" s="4" t="s">
        <v>1544</v>
      </c>
      <c r="E860" s="4">
        <v>9.1821929617E11</v>
      </c>
      <c r="F860" s="4">
        <v>17039.0</v>
      </c>
      <c r="G860" s="4"/>
      <c r="H860" s="4" t="s">
        <v>1174</v>
      </c>
      <c r="I860" s="4"/>
      <c r="J860" s="4" t="s">
        <v>149</v>
      </c>
      <c r="K860" s="4">
        <v>99.0</v>
      </c>
      <c r="L860" s="4"/>
      <c r="M860" s="4">
        <v>99.0</v>
      </c>
      <c r="N860" s="4" t="s">
        <v>67</v>
      </c>
      <c r="O860" s="4" t="b">
        <v>0</v>
      </c>
      <c r="P860" s="4" t="s">
        <v>151</v>
      </c>
      <c r="Q860" s="4" t="s">
        <v>69</v>
      </c>
      <c r="R860" s="4"/>
      <c r="S860" s="4"/>
      <c r="T860" s="4"/>
      <c r="U860" s="8"/>
      <c r="V860" s="4"/>
      <c r="W860" s="4"/>
      <c r="X860" s="4"/>
      <c r="Y860" s="4"/>
      <c r="Z860" s="4"/>
      <c r="AA860" s="5"/>
      <c r="AB860" s="5"/>
      <c r="AC860" s="5"/>
      <c r="AD860" s="5"/>
      <c r="AE860" s="5"/>
    </row>
    <row r="861">
      <c r="A861" s="14" t="s">
        <v>2227</v>
      </c>
      <c r="B861" s="19">
        <v>44306.33550925926</v>
      </c>
      <c r="C861" s="4">
        <v>49854.0</v>
      </c>
      <c r="D861" s="4" t="s">
        <v>2228</v>
      </c>
      <c r="E861" s="4">
        <v>9.19704013777E11</v>
      </c>
      <c r="F861" s="4">
        <v>17884.0</v>
      </c>
      <c r="G861" s="4"/>
      <c r="H861" s="4" t="s">
        <v>2161</v>
      </c>
      <c r="I861" s="4"/>
      <c r="J861" s="4" t="s">
        <v>85</v>
      </c>
      <c r="K861" s="4">
        <v>599.0</v>
      </c>
      <c r="L861" s="4"/>
      <c r="M861" s="4">
        <v>599.0</v>
      </c>
      <c r="N861" s="4" t="s">
        <v>67</v>
      </c>
      <c r="O861" s="4" t="b">
        <v>0</v>
      </c>
      <c r="P861" s="4" t="s">
        <v>68</v>
      </c>
      <c r="Q861" s="4" t="s">
        <v>69</v>
      </c>
      <c r="R861" s="4"/>
      <c r="S861" s="4"/>
      <c r="T861" s="4"/>
      <c r="U861" s="7"/>
      <c r="V861" s="4"/>
      <c r="W861" s="4"/>
      <c r="X861" s="4"/>
      <c r="Y861" s="4"/>
      <c r="Z861" s="4"/>
      <c r="AA861" s="5"/>
      <c r="AB861" s="5"/>
      <c r="AC861" s="5"/>
      <c r="AD861" s="5"/>
      <c r="AE861" s="5"/>
    </row>
    <row r="862">
      <c r="A862" s="14" t="s">
        <v>1547</v>
      </c>
      <c r="B862" s="19">
        <v>44306.46166666667</v>
      </c>
      <c r="C862" s="4">
        <v>49997.0</v>
      </c>
      <c r="D862" s="4" t="s">
        <v>1548</v>
      </c>
      <c r="E862" s="4">
        <v>9.19489565053E11</v>
      </c>
      <c r="F862" s="4">
        <v>14222.0</v>
      </c>
      <c r="G862" s="4"/>
      <c r="H862" s="4" t="s">
        <v>1059</v>
      </c>
      <c r="I862" s="4"/>
      <c r="J862" s="4" t="s">
        <v>149</v>
      </c>
      <c r="K862" s="4">
        <v>99.0</v>
      </c>
      <c r="L862" s="4"/>
      <c r="M862" s="4">
        <v>99.0</v>
      </c>
      <c r="N862" s="4" t="s">
        <v>67</v>
      </c>
      <c r="O862" s="4" t="b">
        <v>0</v>
      </c>
      <c r="P862" s="4" t="s">
        <v>151</v>
      </c>
      <c r="Q862" s="4" t="s">
        <v>69</v>
      </c>
      <c r="R862" s="4"/>
      <c r="S862" s="4"/>
      <c r="T862" s="4"/>
      <c r="U862" s="7"/>
      <c r="V862" s="4"/>
      <c r="W862" s="4"/>
      <c r="X862" s="4"/>
      <c r="Y862" s="4"/>
      <c r="Z862" s="4"/>
      <c r="AA862" s="5"/>
      <c r="AB862" s="5"/>
      <c r="AC862" s="5"/>
      <c r="AD862" s="5"/>
      <c r="AE862" s="5"/>
    </row>
    <row r="863">
      <c r="A863" s="14" t="s">
        <v>1530</v>
      </c>
      <c r="B863" s="19">
        <v>44306.4703125</v>
      </c>
      <c r="C863" s="4">
        <v>49859.0</v>
      </c>
      <c r="D863" s="4" t="s">
        <v>1531</v>
      </c>
      <c r="E863" s="4">
        <v>9.17602770938E11</v>
      </c>
      <c r="F863" s="4" t="s">
        <v>83</v>
      </c>
      <c r="G863" s="4"/>
      <c r="H863" s="4" t="s">
        <v>1507</v>
      </c>
      <c r="I863" s="4"/>
      <c r="J863" s="4" t="s">
        <v>149</v>
      </c>
      <c r="K863" s="4">
        <v>99.0</v>
      </c>
      <c r="L863" s="4"/>
      <c r="M863" s="4">
        <v>99.0</v>
      </c>
      <c r="N863" s="4" t="s">
        <v>67</v>
      </c>
      <c r="O863" s="4" t="b">
        <v>0</v>
      </c>
      <c r="P863" s="4" t="s">
        <v>74</v>
      </c>
      <c r="Q863" s="4" t="s">
        <v>69</v>
      </c>
      <c r="R863" s="4"/>
      <c r="S863" s="4"/>
      <c r="T863" s="4"/>
      <c r="U863" s="7"/>
      <c r="V863" s="4"/>
      <c r="W863" s="4"/>
      <c r="X863" s="4"/>
      <c r="Y863" s="4"/>
      <c r="Z863" s="4"/>
      <c r="AA863" s="5"/>
      <c r="AB863" s="5"/>
      <c r="AC863" s="5"/>
      <c r="AD863" s="5"/>
      <c r="AE863" s="5"/>
    </row>
    <row r="864">
      <c r="A864" s="14" t="s">
        <v>1551</v>
      </c>
      <c r="B864" s="19">
        <v>44306.478425925925</v>
      </c>
      <c r="C864" s="4">
        <v>50036.0</v>
      </c>
      <c r="D864" s="4" t="s">
        <v>1552</v>
      </c>
      <c r="E864" s="4">
        <v>9.19810522399E11</v>
      </c>
      <c r="F864" s="4">
        <v>17265.0</v>
      </c>
      <c r="G864" s="4"/>
      <c r="H864" s="4" t="s">
        <v>1320</v>
      </c>
      <c r="I864" s="4"/>
      <c r="J864" s="4" t="s">
        <v>85</v>
      </c>
      <c r="K864" s="4">
        <v>299.0</v>
      </c>
      <c r="L864" s="4"/>
      <c r="M864" s="4">
        <v>299.0</v>
      </c>
      <c r="N864" s="4" t="s">
        <v>67</v>
      </c>
      <c r="O864" s="4" t="b">
        <v>0</v>
      </c>
      <c r="P864" s="4" t="s">
        <v>74</v>
      </c>
      <c r="Q864" s="4" t="s">
        <v>69</v>
      </c>
      <c r="R864" s="4"/>
      <c r="S864" s="4"/>
      <c r="T864" s="4"/>
      <c r="U864" s="8"/>
      <c r="V864" s="4"/>
      <c r="W864" s="4"/>
      <c r="X864" s="4"/>
      <c r="Y864" s="4"/>
      <c r="Z864" s="4"/>
      <c r="AA864" s="5"/>
      <c r="AB864" s="5"/>
      <c r="AC864" s="5"/>
      <c r="AD864" s="5"/>
      <c r="AE864" s="5"/>
    </row>
    <row r="865">
      <c r="A865" s="14" t="s">
        <v>2242</v>
      </c>
      <c r="B865" s="19">
        <v>44306.47991898148</v>
      </c>
      <c r="C865" s="4">
        <v>49854.0</v>
      </c>
      <c r="D865" s="4" t="s">
        <v>2243</v>
      </c>
      <c r="E865" s="4">
        <v>9.18529478929E11</v>
      </c>
      <c r="F865" s="4">
        <v>17762.0</v>
      </c>
      <c r="G865" s="4"/>
      <c r="H865" s="4" t="s">
        <v>2161</v>
      </c>
      <c r="I865" s="4"/>
      <c r="J865" s="4" t="s">
        <v>85</v>
      </c>
      <c r="K865" s="4">
        <v>599.0</v>
      </c>
      <c r="L865" s="4"/>
      <c r="M865" s="4">
        <v>599.0</v>
      </c>
      <c r="N865" s="4" t="s">
        <v>67</v>
      </c>
      <c r="O865" s="4" t="b">
        <v>0</v>
      </c>
      <c r="P865" s="4" t="s">
        <v>68</v>
      </c>
      <c r="Q865" s="4" t="s">
        <v>69</v>
      </c>
      <c r="R865" s="4"/>
      <c r="S865" s="4"/>
      <c r="T865" s="4"/>
      <c r="U865" s="7"/>
      <c r="V865" s="4"/>
      <c r="W865" s="4"/>
      <c r="X865" s="4"/>
      <c r="Y865" s="4"/>
      <c r="Z865" s="4"/>
      <c r="AA865" s="5"/>
      <c r="AB865" s="5"/>
      <c r="AC865" s="5"/>
      <c r="AD865" s="5"/>
      <c r="AE865" s="5"/>
    </row>
    <row r="866">
      <c r="A866" s="14" t="s">
        <v>1795</v>
      </c>
      <c r="B866" s="19">
        <v>44306.50950231482</v>
      </c>
      <c r="C866" s="4">
        <v>49813.0</v>
      </c>
      <c r="D866" s="4" t="s">
        <v>1796</v>
      </c>
      <c r="E866" s="4">
        <v>9.19555999998E11</v>
      </c>
      <c r="F866" s="4">
        <v>17021.0</v>
      </c>
      <c r="G866" s="4"/>
      <c r="H866" s="4" t="s">
        <v>1592</v>
      </c>
      <c r="I866" s="4"/>
      <c r="J866" s="4" t="s">
        <v>85</v>
      </c>
      <c r="K866" s="4">
        <v>299.0</v>
      </c>
      <c r="L866" s="4"/>
      <c r="M866" s="4">
        <v>299.0</v>
      </c>
      <c r="N866" s="4" t="s">
        <v>67</v>
      </c>
      <c r="O866" s="4" t="b">
        <v>0</v>
      </c>
      <c r="P866" s="4" t="s">
        <v>74</v>
      </c>
      <c r="Q866" s="4" t="s">
        <v>69</v>
      </c>
      <c r="R866" s="4"/>
      <c r="S866" s="4"/>
      <c r="T866" s="4"/>
      <c r="U866" s="7"/>
      <c r="V866" s="4"/>
      <c r="W866" s="4"/>
      <c r="X866" s="4"/>
      <c r="Y866" s="4"/>
      <c r="Z866" s="4"/>
      <c r="AA866" s="5"/>
      <c r="AB866" s="5"/>
      <c r="AC866" s="5"/>
      <c r="AD866" s="5"/>
      <c r="AE866" s="5"/>
    </row>
    <row r="867">
      <c r="A867" s="14" t="s">
        <v>1559</v>
      </c>
      <c r="B867" s="19">
        <v>44306.52137731481</v>
      </c>
      <c r="C867" s="4">
        <v>49877.0</v>
      </c>
      <c r="D867" s="4" t="s">
        <v>1560</v>
      </c>
      <c r="E867" s="4">
        <v>9.19337500982E11</v>
      </c>
      <c r="F867" s="4">
        <v>17064.0</v>
      </c>
      <c r="G867" s="4"/>
      <c r="H867" s="4" t="s">
        <v>280</v>
      </c>
      <c r="I867" s="4"/>
      <c r="J867" s="4" t="s">
        <v>85</v>
      </c>
      <c r="K867" s="4">
        <v>99.0</v>
      </c>
      <c r="L867" s="4"/>
      <c r="M867" s="4">
        <v>99.0</v>
      </c>
      <c r="N867" s="4" t="s">
        <v>67</v>
      </c>
      <c r="O867" s="4" t="b">
        <v>0</v>
      </c>
      <c r="P867" s="4" t="s">
        <v>97</v>
      </c>
      <c r="Q867" s="4" t="s">
        <v>69</v>
      </c>
      <c r="R867" s="4"/>
      <c r="S867" s="4"/>
      <c r="T867" s="4"/>
      <c r="U867" s="8"/>
      <c r="V867" s="4"/>
      <c r="W867" s="4"/>
      <c r="X867" s="4"/>
      <c r="Y867" s="4"/>
      <c r="Z867" s="4"/>
      <c r="AA867" s="5"/>
      <c r="AB867" s="5"/>
      <c r="AC867" s="5"/>
      <c r="AD867" s="5"/>
      <c r="AE867" s="5"/>
    </row>
    <row r="868">
      <c r="A868" s="14" t="s">
        <v>1557</v>
      </c>
      <c r="B868" s="19">
        <v>44306.52112268518</v>
      </c>
      <c r="C868" s="4">
        <v>49993.0</v>
      </c>
      <c r="D868" s="4" t="s">
        <v>1558</v>
      </c>
      <c r="E868" s="4">
        <v>9.19916468292E11</v>
      </c>
      <c r="F868" s="4">
        <v>17026.0</v>
      </c>
      <c r="G868" s="4"/>
      <c r="H868" s="4" t="s">
        <v>1104</v>
      </c>
      <c r="I868" s="4"/>
      <c r="J868" s="4" t="s">
        <v>149</v>
      </c>
      <c r="K868" s="4">
        <v>99.0</v>
      </c>
      <c r="L868" s="4"/>
      <c r="M868" s="4">
        <v>99.0</v>
      </c>
      <c r="N868" s="4" t="s">
        <v>67</v>
      </c>
      <c r="O868" s="4" t="b">
        <v>0</v>
      </c>
      <c r="P868" s="4" t="s">
        <v>97</v>
      </c>
      <c r="Q868" s="4" t="s">
        <v>69</v>
      </c>
      <c r="R868" s="4"/>
      <c r="S868" s="4"/>
      <c r="T868" s="4"/>
      <c r="U868" s="7"/>
      <c r="V868" s="4"/>
      <c r="W868" s="4"/>
      <c r="X868" s="4"/>
      <c r="Y868" s="4"/>
      <c r="Z868" s="4"/>
      <c r="AA868" s="5"/>
      <c r="AB868" s="5"/>
      <c r="AC868" s="5"/>
      <c r="AD868" s="5"/>
      <c r="AE868" s="5"/>
    </row>
    <row r="869">
      <c r="A869" s="14" t="s">
        <v>1561</v>
      </c>
      <c r="B869" s="19">
        <v>44306.53826388889</v>
      </c>
      <c r="C869" s="4">
        <v>49997.0</v>
      </c>
      <c r="D869" s="4" t="s">
        <v>1562</v>
      </c>
      <c r="E869" s="4">
        <v>9.19654992285E11</v>
      </c>
      <c r="F869" s="4">
        <v>17082.0</v>
      </c>
      <c r="G869" s="4"/>
      <c r="H869" s="4" t="s">
        <v>1059</v>
      </c>
      <c r="I869" s="4"/>
      <c r="J869" s="4" t="s">
        <v>77</v>
      </c>
      <c r="K869" s="4">
        <v>349.0</v>
      </c>
      <c r="L869" s="4"/>
      <c r="M869" s="4">
        <v>349.0</v>
      </c>
      <c r="N869" s="4" t="s">
        <v>67</v>
      </c>
      <c r="O869" s="4" t="b">
        <v>0</v>
      </c>
      <c r="P869" s="4" t="s">
        <v>68</v>
      </c>
      <c r="Q869" s="4" t="s">
        <v>69</v>
      </c>
      <c r="R869" s="4"/>
      <c r="S869" s="4"/>
      <c r="T869" s="4"/>
      <c r="U869" s="7"/>
      <c r="V869" s="4"/>
      <c r="W869" s="4"/>
      <c r="X869" s="4"/>
      <c r="Y869" s="4"/>
      <c r="Z869" s="4"/>
      <c r="AA869" s="5"/>
      <c r="AB869" s="5"/>
      <c r="AC869" s="5"/>
      <c r="AD869" s="5"/>
      <c r="AE869" s="5"/>
    </row>
    <row r="870">
      <c r="A870" s="14" t="s">
        <v>1803</v>
      </c>
      <c r="B870" s="19">
        <v>44306.57175925926</v>
      </c>
      <c r="C870" s="4">
        <v>49813.0</v>
      </c>
      <c r="D870" s="4" t="s">
        <v>1804</v>
      </c>
      <c r="E870" s="4">
        <v>9.19871634858E11</v>
      </c>
      <c r="F870" s="4" t="s">
        <v>83</v>
      </c>
      <c r="G870" s="4"/>
      <c r="H870" s="4" t="s">
        <v>1592</v>
      </c>
      <c r="I870" s="4"/>
      <c r="J870" s="4" t="s">
        <v>149</v>
      </c>
      <c r="K870" s="4">
        <v>149.0</v>
      </c>
      <c r="L870" s="4"/>
      <c r="M870" s="4">
        <v>149.0</v>
      </c>
      <c r="N870" s="4" t="s">
        <v>67</v>
      </c>
      <c r="O870" s="4" t="b">
        <v>0</v>
      </c>
      <c r="P870" s="4" t="s">
        <v>151</v>
      </c>
      <c r="Q870" s="4" t="s">
        <v>69</v>
      </c>
      <c r="R870" s="4"/>
      <c r="S870" s="4"/>
      <c r="T870" s="4"/>
      <c r="U870" s="8"/>
      <c r="V870" s="4"/>
      <c r="W870" s="4"/>
      <c r="X870" s="4"/>
      <c r="Y870" s="4"/>
      <c r="Z870" s="4"/>
      <c r="AA870" s="5"/>
      <c r="AB870" s="5"/>
      <c r="AC870" s="5"/>
      <c r="AD870" s="5"/>
      <c r="AE870" s="5"/>
    </row>
    <row r="871">
      <c r="A871" s="14" t="s">
        <v>1565</v>
      </c>
      <c r="B871" s="19">
        <v>44306.57277777778</v>
      </c>
      <c r="C871" s="4">
        <v>49833.0</v>
      </c>
      <c r="D871" s="4" t="s">
        <v>1566</v>
      </c>
      <c r="E871" s="4">
        <v>9.18505811837E11</v>
      </c>
      <c r="F871" s="4">
        <v>17114.0</v>
      </c>
      <c r="G871" s="4"/>
      <c r="H871" s="4" t="s">
        <v>184</v>
      </c>
      <c r="I871" s="4"/>
      <c r="J871" s="4" t="s">
        <v>85</v>
      </c>
      <c r="K871" s="4">
        <v>299.0</v>
      </c>
      <c r="L871" s="4"/>
      <c r="M871" s="4">
        <v>299.0</v>
      </c>
      <c r="N871" s="4" t="s">
        <v>67</v>
      </c>
      <c r="O871" s="4" t="b">
        <v>0</v>
      </c>
      <c r="P871" s="4" t="s">
        <v>151</v>
      </c>
      <c r="Q871" s="4" t="s">
        <v>69</v>
      </c>
      <c r="R871" s="4"/>
      <c r="S871" s="4"/>
      <c r="T871" s="4"/>
      <c r="U871" s="7"/>
      <c r="V871" s="4"/>
      <c r="W871" s="4"/>
      <c r="X871" s="4"/>
      <c r="Y871" s="4"/>
      <c r="Z871" s="4"/>
      <c r="AA871" s="5"/>
      <c r="AB871" s="5"/>
      <c r="AC871" s="5"/>
      <c r="AD871" s="5"/>
      <c r="AE871" s="5"/>
    </row>
    <row r="872">
      <c r="A872" s="14" t="s">
        <v>1567</v>
      </c>
      <c r="B872" s="19">
        <v>44306.57822916667</v>
      </c>
      <c r="C872" s="4">
        <v>50048.0</v>
      </c>
      <c r="D872" s="4" t="s">
        <v>1568</v>
      </c>
      <c r="E872" s="4">
        <v>9.19769938077E11</v>
      </c>
      <c r="F872" s="4">
        <v>17375.0</v>
      </c>
      <c r="G872" s="4"/>
      <c r="H872" s="4" t="s">
        <v>1436</v>
      </c>
      <c r="I872" s="4"/>
      <c r="J872" s="4" t="s">
        <v>1442</v>
      </c>
      <c r="K872" s="4">
        <v>299.0</v>
      </c>
      <c r="L872" s="4"/>
      <c r="M872" s="4">
        <v>299.0</v>
      </c>
      <c r="N872" s="4" t="s">
        <v>67</v>
      </c>
      <c r="O872" s="4" t="b">
        <v>0</v>
      </c>
      <c r="P872" s="4" t="s">
        <v>74</v>
      </c>
      <c r="Q872" s="4" t="s">
        <v>69</v>
      </c>
      <c r="R872" s="4"/>
      <c r="S872" s="4"/>
      <c r="T872" s="4"/>
      <c r="U872" s="7"/>
      <c r="V872" s="4"/>
      <c r="W872" s="4"/>
      <c r="X872" s="4"/>
      <c r="Y872" s="4"/>
      <c r="Z872" s="4"/>
      <c r="AA872" s="5"/>
      <c r="AB872" s="5"/>
      <c r="AC872" s="5"/>
      <c r="AD872" s="5"/>
      <c r="AE872" s="5"/>
    </row>
    <row r="873">
      <c r="A873" s="14" t="s">
        <v>1569</v>
      </c>
      <c r="B873" s="19">
        <v>44306.59743055556</v>
      </c>
      <c r="C873" s="4">
        <v>49834.0</v>
      </c>
      <c r="D873" s="4" t="s">
        <v>1570</v>
      </c>
      <c r="E873" s="4">
        <v>9.19110725205E11</v>
      </c>
      <c r="F873" s="4">
        <v>17045.0</v>
      </c>
      <c r="G873" s="4"/>
      <c r="H873" s="4" t="s">
        <v>960</v>
      </c>
      <c r="I873" s="4"/>
      <c r="J873" s="4" t="s">
        <v>149</v>
      </c>
      <c r="K873" s="4">
        <v>99.0</v>
      </c>
      <c r="L873" s="4"/>
      <c r="M873" s="4">
        <v>99.0</v>
      </c>
      <c r="N873" s="4" t="s">
        <v>67</v>
      </c>
      <c r="O873" s="4" t="b">
        <v>0</v>
      </c>
      <c r="P873" s="4" t="s">
        <v>68</v>
      </c>
      <c r="Q873" s="4" t="s">
        <v>69</v>
      </c>
      <c r="R873" s="4"/>
      <c r="S873" s="4"/>
      <c r="T873" s="4"/>
      <c r="U873" s="7"/>
      <c r="V873" s="4"/>
      <c r="W873" s="4"/>
      <c r="X873" s="4"/>
      <c r="Y873" s="4"/>
      <c r="Z873" s="4"/>
      <c r="AA873" s="5"/>
      <c r="AB873" s="5"/>
      <c r="AC873" s="5"/>
      <c r="AD873" s="5"/>
      <c r="AE873" s="5"/>
    </row>
    <row r="874">
      <c r="A874" s="14" t="s">
        <v>1575</v>
      </c>
      <c r="B874" s="19">
        <v>44306.653865740744</v>
      </c>
      <c r="C874" s="4">
        <v>49958.0</v>
      </c>
      <c r="D874" s="4" t="s">
        <v>1576</v>
      </c>
      <c r="E874" s="4">
        <v>9.18800195227E11</v>
      </c>
      <c r="F874" s="4" t="s">
        <v>83</v>
      </c>
      <c r="G874" s="4"/>
      <c r="H874" s="4" t="s">
        <v>858</v>
      </c>
      <c r="I874" s="4"/>
      <c r="J874" s="4" t="s">
        <v>149</v>
      </c>
      <c r="K874" s="4">
        <v>99.0</v>
      </c>
      <c r="L874" s="4"/>
      <c r="M874" s="4">
        <v>99.0</v>
      </c>
      <c r="N874" s="4" t="s">
        <v>67</v>
      </c>
      <c r="O874" s="4" t="b">
        <v>0</v>
      </c>
      <c r="P874" s="4" t="s">
        <v>68</v>
      </c>
      <c r="Q874" s="4" t="s">
        <v>69</v>
      </c>
      <c r="R874" s="4"/>
      <c r="S874" s="4"/>
      <c r="T874" s="4"/>
      <c r="U874" s="7"/>
      <c r="V874" s="4"/>
      <c r="W874" s="4"/>
      <c r="X874" s="4"/>
      <c r="Y874" s="4"/>
      <c r="Z874" s="4"/>
      <c r="AA874" s="5"/>
      <c r="AB874" s="5"/>
      <c r="AC874" s="5"/>
      <c r="AD874" s="5"/>
      <c r="AE874" s="5"/>
    </row>
    <row r="875">
      <c r="A875" s="14" t="s">
        <v>1571</v>
      </c>
      <c r="B875" s="19">
        <v>44306.63815972222</v>
      </c>
      <c r="C875" s="4">
        <v>49833.0</v>
      </c>
      <c r="D875" s="4" t="s">
        <v>1572</v>
      </c>
      <c r="E875" s="4">
        <v>9.17358827186E11</v>
      </c>
      <c r="F875" s="4">
        <v>17119.0</v>
      </c>
      <c r="G875" s="4"/>
      <c r="H875" s="4" t="s">
        <v>184</v>
      </c>
      <c r="I875" s="4"/>
      <c r="J875" s="4" t="s">
        <v>85</v>
      </c>
      <c r="K875" s="4">
        <v>299.0</v>
      </c>
      <c r="L875" s="4"/>
      <c r="M875" s="4">
        <v>299.0</v>
      </c>
      <c r="N875" s="4" t="s">
        <v>67</v>
      </c>
      <c r="O875" s="4" t="b">
        <v>0</v>
      </c>
      <c r="P875" s="4" t="s">
        <v>74</v>
      </c>
      <c r="Q875" s="4" t="s">
        <v>69</v>
      </c>
      <c r="R875" s="4"/>
      <c r="S875" s="4"/>
      <c r="T875" s="4"/>
      <c r="U875" s="8"/>
      <c r="V875" s="4"/>
      <c r="W875" s="4"/>
      <c r="X875" s="4"/>
      <c r="Y875" s="4"/>
      <c r="Z875" s="4"/>
      <c r="AA875" s="5"/>
      <c r="AB875" s="5"/>
      <c r="AC875" s="5"/>
      <c r="AD875" s="5"/>
      <c r="AE875" s="5"/>
    </row>
    <row r="876">
      <c r="A876" s="14" t="s">
        <v>1573</v>
      </c>
      <c r="B876" s="19">
        <v>44306.64061342592</v>
      </c>
      <c r="C876" s="4">
        <v>49844.0</v>
      </c>
      <c r="D876" s="4" t="s">
        <v>1574</v>
      </c>
      <c r="E876" s="4">
        <v>9.19413669776E11</v>
      </c>
      <c r="F876" s="4">
        <v>17031.0</v>
      </c>
      <c r="G876" s="4"/>
      <c r="H876" s="4" t="s">
        <v>885</v>
      </c>
      <c r="I876" s="4"/>
      <c r="J876" s="4" t="s">
        <v>77</v>
      </c>
      <c r="K876" s="4">
        <v>349.0</v>
      </c>
      <c r="L876" s="4"/>
      <c r="M876" s="4">
        <v>349.0</v>
      </c>
      <c r="N876" s="4" t="s">
        <v>67</v>
      </c>
      <c r="O876" s="4" t="b">
        <v>0</v>
      </c>
      <c r="P876" s="4" t="s">
        <v>151</v>
      </c>
      <c r="Q876" s="4" t="s">
        <v>69</v>
      </c>
      <c r="R876" s="4"/>
      <c r="S876" s="4"/>
      <c r="T876" s="4"/>
      <c r="U876" s="7"/>
      <c r="V876" s="4"/>
      <c r="W876" s="4"/>
      <c r="X876" s="4"/>
      <c r="Y876" s="4"/>
      <c r="Z876" s="4"/>
      <c r="AA876" s="5"/>
      <c r="AB876" s="5"/>
      <c r="AC876" s="5"/>
      <c r="AD876" s="5"/>
      <c r="AE876" s="5"/>
    </row>
    <row r="877">
      <c r="A877" s="14" t="s">
        <v>1577</v>
      </c>
      <c r="B877" s="19">
        <v>44306.712546296294</v>
      </c>
      <c r="C877" s="4">
        <v>49958.0</v>
      </c>
      <c r="D877" s="4" t="s">
        <v>1578</v>
      </c>
      <c r="E877" s="4">
        <v>9.19769147859E11</v>
      </c>
      <c r="F877" s="4">
        <v>17234.0</v>
      </c>
      <c r="G877" s="4"/>
      <c r="H877" s="4" t="s">
        <v>858</v>
      </c>
      <c r="I877" s="4"/>
      <c r="J877" s="4" t="s">
        <v>85</v>
      </c>
      <c r="K877" s="4">
        <v>199.0</v>
      </c>
      <c r="L877" s="4"/>
      <c r="M877" s="4">
        <v>199.0</v>
      </c>
      <c r="N877" s="4" t="s">
        <v>67</v>
      </c>
      <c r="O877" s="4" t="b">
        <v>0</v>
      </c>
      <c r="P877" s="4" t="s">
        <v>74</v>
      </c>
      <c r="Q877" s="4" t="s">
        <v>69</v>
      </c>
      <c r="R877" s="4"/>
      <c r="S877" s="4"/>
      <c r="T877" s="4"/>
      <c r="U877" s="7"/>
      <c r="V877" s="4"/>
      <c r="W877" s="4"/>
      <c r="X877" s="4"/>
      <c r="Y877" s="4"/>
      <c r="Z877" s="4"/>
      <c r="AA877" s="5"/>
      <c r="AB877" s="5"/>
      <c r="AC877" s="5"/>
      <c r="AD877" s="5"/>
      <c r="AE877" s="5"/>
    </row>
    <row r="878">
      <c r="A878" s="14" t="s">
        <v>665</v>
      </c>
      <c r="B878" s="19">
        <v>44307.77643518519</v>
      </c>
      <c r="C878" s="4">
        <v>49907.0</v>
      </c>
      <c r="D878" s="4" t="s">
        <v>666</v>
      </c>
      <c r="E878" s="4">
        <v>9.17892575336E11</v>
      </c>
      <c r="F878" s="4" t="s">
        <v>83</v>
      </c>
      <c r="G878" s="4"/>
      <c r="H878" s="4" t="s">
        <v>587</v>
      </c>
      <c r="I878" s="4"/>
      <c r="J878" s="4" t="s">
        <v>85</v>
      </c>
      <c r="K878" s="4">
        <v>199.0</v>
      </c>
      <c r="L878" s="4"/>
      <c r="M878" s="4">
        <v>199.0</v>
      </c>
      <c r="N878" s="4" t="s">
        <v>67</v>
      </c>
      <c r="O878" s="4" t="b">
        <v>0</v>
      </c>
      <c r="P878" s="4" t="s">
        <v>68</v>
      </c>
      <c r="Q878" s="4" t="s">
        <v>69</v>
      </c>
      <c r="R878" s="4"/>
      <c r="S878" s="4"/>
      <c r="T878" s="4"/>
      <c r="U878" s="7"/>
      <c r="V878" s="4"/>
      <c r="W878" s="4"/>
      <c r="X878" s="4"/>
      <c r="Y878" s="4"/>
      <c r="Z878" s="4"/>
      <c r="AA878" s="5"/>
      <c r="AB878" s="5"/>
      <c r="AC878" s="5"/>
      <c r="AD878" s="5"/>
      <c r="AE878" s="5"/>
    </row>
    <row r="879">
      <c r="A879" s="14" t="s">
        <v>1579</v>
      </c>
      <c r="B879" s="19">
        <v>44306.74988425926</v>
      </c>
      <c r="C879" s="4">
        <v>49994.0</v>
      </c>
      <c r="D879" s="4" t="s">
        <v>1580</v>
      </c>
      <c r="E879" s="4">
        <v>9.18850838382E11</v>
      </c>
      <c r="F879" s="4">
        <v>17034.0</v>
      </c>
      <c r="G879" s="4"/>
      <c r="H879" s="4" t="s">
        <v>1264</v>
      </c>
      <c r="I879" s="4"/>
      <c r="J879" s="4" t="s">
        <v>77</v>
      </c>
      <c r="K879" s="4">
        <v>349.0</v>
      </c>
      <c r="L879" s="4"/>
      <c r="M879" s="4">
        <v>349.0</v>
      </c>
      <c r="N879" s="4" t="s">
        <v>67</v>
      </c>
      <c r="O879" s="4" t="b">
        <v>0</v>
      </c>
      <c r="P879" s="4" t="s">
        <v>97</v>
      </c>
      <c r="Q879" s="4" t="s">
        <v>69</v>
      </c>
      <c r="R879" s="4"/>
      <c r="S879" s="4"/>
      <c r="T879" s="4"/>
      <c r="U879" s="8"/>
      <c r="V879" s="4"/>
      <c r="W879" s="4"/>
      <c r="X879" s="4"/>
      <c r="Y879" s="4"/>
      <c r="Z879" s="4"/>
      <c r="AA879" s="5"/>
      <c r="AB879" s="5"/>
      <c r="AC879" s="5"/>
      <c r="AD879" s="5"/>
      <c r="AE879" s="5"/>
    </row>
    <row r="880">
      <c r="A880" s="14" t="s">
        <v>1581</v>
      </c>
      <c r="B880" s="19">
        <v>44306.75068287037</v>
      </c>
      <c r="C880" s="4">
        <v>50048.0</v>
      </c>
      <c r="D880" s="4" t="s">
        <v>1583</v>
      </c>
      <c r="E880" s="4">
        <v>9.19833538989E11</v>
      </c>
      <c r="F880" s="4">
        <v>17141.0</v>
      </c>
      <c r="G880" s="4"/>
      <c r="H880" s="4" t="s">
        <v>1582</v>
      </c>
      <c r="I880" s="4"/>
      <c r="J880" s="4" t="s">
        <v>77</v>
      </c>
      <c r="K880" s="4">
        <v>599.0</v>
      </c>
      <c r="L880" s="4"/>
      <c r="M880" s="4">
        <v>599.0</v>
      </c>
      <c r="N880" s="4" t="s">
        <v>67</v>
      </c>
      <c r="O880" s="4" t="b">
        <v>0</v>
      </c>
      <c r="P880" s="4" t="s">
        <v>68</v>
      </c>
      <c r="Q880" s="4" t="s">
        <v>69</v>
      </c>
      <c r="R880" s="4"/>
      <c r="S880" s="4"/>
      <c r="T880" s="4"/>
      <c r="U880" s="8"/>
      <c r="V880" s="4"/>
      <c r="W880" s="4"/>
      <c r="X880" s="4"/>
      <c r="Y880" s="4"/>
      <c r="Z880" s="4"/>
      <c r="AA880" s="5"/>
      <c r="AB880" s="5"/>
      <c r="AC880" s="5"/>
      <c r="AD880" s="5"/>
      <c r="AE880" s="5"/>
    </row>
    <row r="881">
      <c r="A881" s="14" t="s">
        <v>1658</v>
      </c>
      <c r="B881" s="19">
        <v>44307.812048611115</v>
      </c>
      <c r="C881" s="4">
        <v>49833.0</v>
      </c>
      <c r="D881" s="4" t="s">
        <v>1659</v>
      </c>
      <c r="E881" s="4">
        <v>9.16206785647E11</v>
      </c>
      <c r="F881" s="4" t="s">
        <v>83</v>
      </c>
      <c r="G881" s="4"/>
      <c r="H881" s="4" t="s">
        <v>184</v>
      </c>
      <c r="I881" s="4"/>
      <c r="J881" s="4" t="s">
        <v>85</v>
      </c>
      <c r="K881" s="4">
        <v>299.0</v>
      </c>
      <c r="L881" s="4"/>
      <c r="M881" s="4">
        <v>299.0</v>
      </c>
      <c r="N881" s="4" t="s">
        <v>67</v>
      </c>
      <c r="O881" s="4" t="b">
        <v>0</v>
      </c>
      <c r="P881" s="4" t="s">
        <v>68</v>
      </c>
      <c r="Q881" s="4" t="s">
        <v>69</v>
      </c>
      <c r="R881" s="4"/>
      <c r="S881" s="4"/>
      <c r="T881" s="4"/>
      <c r="U881" s="7"/>
      <c r="V881" s="4"/>
      <c r="W881" s="4"/>
      <c r="X881" s="4"/>
      <c r="Y881" s="4"/>
      <c r="Z881" s="4"/>
      <c r="AA881" s="5"/>
      <c r="AB881" s="5"/>
      <c r="AC881" s="5"/>
      <c r="AD881" s="5"/>
      <c r="AE881" s="5"/>
    </row>
    <row r="882">
      <c r="A882" s="14" t="s">
        <v>1660</v>
      </c>
      <c r="B882" s="19">
        <v>44307.82251157407</v>
      </c>
      <c r="C882" s="4">
        <v>49833.0</v>
      </c>
      <c r="D882" s="4" t="s">
        <v>1661</v>
      </c>
      <c r="E882" s="4">
        <v>9.19176680291E11</v>
      </c>
      <c r="F882" s="4">
        <v>17314.0</v>
      </c>
      <c r="G882" s="4"/>
      <c r="H882" s="4" t="s">
        <v>184</v>
      </c>
      <c r="I882" s="4"/>
      <c r="J882" s="4" t="s">
        <v>85</v>
      </c>
      <c r="K882" s="4">
        <v>299.0</v>
      </c>
      <c r="L882" s="4"/>
      <c r="M882" s="4">
        <v>299.0</v>
      </c>
      <c r="N882" s="4" t="s">
        <v>67</v>
      </c>
      <c r="O882" s="4" t="b">
        <v>0</v>
      </c>
      <c r="P882" s="4" t="s">
        <v>151</v>
      </c>
      <c r="Q882" s="4" t="s">
        <v>69</v>
      </c>
      <c r="R882" s="4"/>
      <c r="S882" s="4"/>
      <c r="T882" s="4"/>
      <c r="U882" s="7"/>
      <c r="V882" s="4"/>
      <c r="W882" s="4"/>
      <c r="X882" s="4"/>
      <c r="Y882" s="4"/>
      <c r="Z882" s="4"/>
      <c r="AA882" s="5"/>
      <c r="AB882" s="5"/>
      <c r="AC882" s="5"/>
      <c r="AD882" s="5"/>
      <c r="AE882" s="5"/>
    </row>
    <row r="883">
      <c r="A883" s="14" t="s">
        <v>2250</v>
      </c>
      <c r="B883" s="19">
        <v>44306.78028935185</v>
      </c>
      <c r="C883" s="4">
        <v>49854.0</v>
      </c>
      <c r="D883" s="4" t="s">
        <v>2251</v>
      </c>
      <c r="E883" s="4">
        <v>9.19701275378E11</v>
      </c>
      <c r="F883" s="4">
        <v>17036.0</v>
      </c>
      <c r="G883" s="4"/>
      <c r="H883" s="4" t="s">
        <v>2161</v>
      </c>
      <c r="I883" s="4"/>
      <c r="J883" s="4" t="s">
        <v>85</v>
      </c>
      <c r="K883" s="4">
        <v>599.0</v>
      </c>
      <c r="L883" s="4"/>
      <c r="M883" s="4">
        <v>599.0</v>
      </c>
      <c r="N883" s="4" t="s">
        <v>67</v>
      </c>
      <c r="O883" s="4" t="b">
        <v>0</v>
      </c>
      <c r="P883" s="4" t="s">
        <v>68</v>
      </c>
      <c r="Q883" s="4" t="s">
        <v>69</v>
      </c>
      <c r="R883" s="4"/>
      <c r="S883" s="4"/>
      <c r="T883" s="4"/>
      <c r="U883" s="7"/>
      <c r="V883" s="4"/>
      <c r="W883" s="4"/>
      <c r="X883" s="4"/>
      <c r="Y883" s="4"/>
      <c r="Z883" s="4"/>
      <c r="AA883" s="5"/>
      <c r="AB883" s="5"/>
      <c r="AC883" s="5"/>
      <c r="AD883" s="5"/>
      <c r="AE883" s="5"/>
    </row>
    <row r="884">
      <c r="A884" s="14" t="s">
        <v>1662</v>
      </c>
      <c r="B884" s="19">
        <v>44307.840729166666</v>
      </c>
      <c r="C884" s="4">
        <v>49834.0</v>
      </c>
      <c r="D884" s="4" t="s">
        <v>1663</v>
      </c>
      <c r="E884" s="4">
        <v>9.19836164487E11</v>
      </c>
      <c r="F884" s="4">
        <v>17088.0</v>
      </c>
      <c r="G884" s="4"/>
      <c r="H884" s="4" t="s">
        <v>76</v>
      </c>
      <c r="I884" s="4"/>
      <c r="J884" s="4" t="s">
        <v>77</v>
      </c>
      <c r="K884" s="4">
        <v>349.0</v>
      </c>
      <c r="L884" s="4"/>
      <c r="M884" s="4">
        <v>349.0</v>
      </c>
      <c r="N884" s="4" t="s">
        <v>67</v>
      </c>
      <c r="O884" s="4" t="b">
        <v>0</v>
      </c>
      <c r="P884" s="4" t="s">
        <v>68</v>
      </c>
      <c r="Q884" s="4" t="s">
        <v>69</v>
      </c>
      <c r="R884" s="4"/>
      <c r="S884" s="4"/>
      <c r="T884" s="4"/>
      <c r="U884" s="7"/>
      <c r="V884" s="4"/>
      <c r="W884" s="4"/>
      <c r="X884" s="4"/>
      <c r="Y884" s="4"/>
      <c r="Z884" s="4"/>
      <c r="AA884" s="5"/>
      <c r="AB884" s="5"/>
      <c r="AC884" s="5"/>
      <c r="AD884" s="5"/>
      <c r="AE884" s="5"/>
    </row>
    <row r="885">
      <c r="A885" s="14" t="s">
        <v>2007</v>
      </c>
      <c r="B885" s="19">
        <v>44306.792858796296</v>
      </c>
      <c r="C885" s="4">
        <v>49995.0</v>
      </c>
      <c r="D885" s="4" t="s">
        <v>2008</v>
      </c>
      <c r="E885" s="4">
        <v>9.16364067328E11</v>
      </c>
      <c r="F885" s="4">
        <v>17038.0</v>
      </c>
      <c r="G885" s="4"/>
      <c r="H885" s="4" t="s">
        <v>2005</v>
      </c>
      <c r="I885" s="4"/>
      <c r="J885" s="4" t="s">
        <v>149</v>
      </c>
      <c r="K885" s="4">
        <v>99.0</v>
      </c>
      <c r="L885" s="4"/>
      <c r="M885" s="4">
        <v>99.0</v>
      </c>
      <c r="N885" s="4" t="s">
        <v>67</v>
      </c>
      <c r="O885" s="4" t="b">
        <v>0</v>
      </c>
      <c r="P885" s="4" t="s">
        <v>68</v>
      </c>
      <c r="Q885" s="4" t="s">
        <v>69</v>
      </c>
      <c r="R885" s="4"/>
      <c r="S885" s="4"/>
      <c r="T885" s="4"/>
      <c r="U885" s="8"/>
      <c r="V885" s="4"/>
      <c r="W885" s="4"/>
      <c r="X885" s="4"/>
      <c r="Y885" s="4"/>
      <c r="Z885" s="4"/>
      <c r="AA885" s="5"/>
      <c r="AB885" s="5"/>
      <c r="AC885" s="5"/>
      <c r="AD885" s="5"/>
      <c r="AE885" s="5"/>
    </row>
    <row r="886">
      <c r="A886" s="14" t="s">
        <v>1664</v>
      </c>
      <c r="B886" s="19">
        <v>44307.85959490741</v>
      </c>
      <c r="C886" s="4">
        <v>50009.0</v>
      </c>
      <c r="D886" s="4" t="s">
        <v>1665</v>
      </c>
      <c r="E886" s="4">
        <v>9.17718926285E11</v>
      </c>
      <c r="F886" s="4">
        <v>17117.0</v>
      </c>
      <c r="G886" s="4"/>
      <c r="H886" s="4" t="s">
        <v>1476</v>
      </c>
      <c r="I886" s="4"/>
      <c r="J886" s="4" t="s">
        <v>149</v>
      </c>
      <c r="K886" s="4">
        <v>99.0</v>
      </c>
      <c r="L886" s="4"/>
      <c r="M886" s="4">
        <v>99.0</v>
      </c>
      <c r="N886" s="4" t="s">
        <v>67</v>
      </c>
      <c r="O886" s="4" t="b">
        <v>0</v>
      </c>
      <c r="P886" s="4" t="s">
        <v>68</v>
      </c>
      <c r="Q886" s="4" t="s">
        <v>69</v>
      </c>
      <c r="R886" s="4"/>
      <c r="S886" s="4"/>
      <c r="T886" s="4"/>
      <c r="U886" s="7"/>
      <c r="V886" s="4"/>
      <c r="W886" s="4"/>
      <c r="X886" s="4"/>
      <c r="Y886" s="4"/>
      <c r="Z886" s="4"/>
      <c r="AA886" s="5"/>
      <c r="AB886" s="5"/>
      <c r="AC886" s="5"/>
      <c r="AD886" s="5"/>
      <c r="AE886" s="5"/>
    </row>
    <row r="887">
      <c r="A887" s="14" t="s">
        <v>1670</v>
      </c>
      <c r="B887" s="19">
        <v>44307.87721064815</v>
      </c>
      <c r="C887" s="4">
        <v>49948.0</v>
      </c>
      <c r="D887" s="4" t="s">
        <v>1671</v>
      </c>
      <c r="E887" s="4">
        <v>9.19846468484E11</v>
      </c>
      <c r="F887" s="4">
        <v>17089.0</v>
      </c>
      <c r="G887" s="4"/>
      <c r="H887" s="4" t="s">
        <v>1025</v>
      </c>
      <c r="I887" s="4"/>
      <c r="J887" s="4" t="s">
        <v>85</v>
      </c>
      <c r="K887" s="4">
        <v>199.0</v>
      </c>
      <c r="L887" s="4"/>
      <c r="M887" s="4">
        <v>199.0</v>
      </c>
      <c r="N887" s="4" t="s">
        <v>67</v>
      </c>
      <c r="O887" s="4" t="b">
        <v>0</v>
      </c>
      <c r="P887" s="4" t="s">
        <v>68</v>
      </c>
      <c r="Q887" s="4" t="s">
        <v>69</v>
      </c>
      <c r="R887" s="4"/>
      <c r="S887" s="4"/>
      <c r="T887" s="4"/>
      <c r="U887" s="7"/>
      <c r="V887" s="4"/>
      <c r="W887" s="4"/>
      <c r="X887" s="4"/>
      <c r="Y887" s="4"/>
      <c r="Z887" s="4"/>
      <c r="AA887" s="5"/>
      <c r="AB887" s="5"/>
      <c r="AC887" s="5"/>
      <c r="AD887" s="5"/>
      <c r="AE887" s="5"/>
    </row>
    <row r="888">
      <c r="A888" s="14" t="s">
        <v>1672</v>
      </c>
      <c r="B888" s="19">
        <v>44307.88245370371</v>
      </c>
      <c r="C888" s="4">
        <v>49877.0</v>
      </c>
      <c r="D888" s="4" t="s">
        <v>1673</v>
      </c>
      <c r="E888" s="4">
        <v>9.19599667937E11</v>
      </c>
      <c r="F888" s="4">
        <v>17091.0</v>
      </c>
      <c r="G888" s="4"/>
      <c r="H888" s="4" t="s">
        <v>280</v>
      </c>
      <c r="I888" s="4"/>
      <c r="J888" s="4" t="s">
        <v>85</v>
      </c>
      <c r="K888" s="4">
        <v>99.0</v>
      </c>
      <c r="L888" s="4"/>
      <c r="M888" s="4">
        <v>99.0</v>
      </c>
      <c r="N888" s="4" t="s">
        <v>67</v>
      </c>
      <c r="O888" s="4" t="b">
        <v>0</v>
      </c>
      <c r="P888" s="4" t="s">
        <v>68</v>
      </c>
      <c r="Q888" s="4" t="s">
        <v>69</v>
      </c>
      <c r="R888" s="4"/>
      <c r="S888" s="4"/>
      <c r="T888" s="4"/>
      <c r="U888" s="7"/>
      <c r="V888" s="4"/>
      <c r="W888" s="4"/>
      <c r="X888" s="4"/>
      <c r="Y888" s="4"/>
      <c r="Z888" s="4"/>
      <c r="AA888" s="5"/>
      <c r="AB888" s="5"/>
      <c r="AC888" s="5"/>
      <c r="AD888" s="5"/>
      <c r="AE888" s="5"/>
    </row>
    <row r="889">
      <c r="A889" s="14" t="s">
        <v>1589</v>
      </c>
      <c r="B889" s="19">
        <v>44306.82928240741</v>
      </c>
      <c r="C889" s="4">
        <v>49833.0</v>
      </c>
      <c r="D889" s="4" t="s">
        <v>1590</v>
      </c>
      <c r="E889" s="4">
        <v>9.18238550858E11</v>
      </c>
      <c r="F889" s="4">
        <v>17120.0</v>
      </c>
      <c r="G889" s="4"/>
      <c r="H889" s="4" t="s">
        <v>184</v>
      </c>
      <c r="I889" s="4"/>
      <c r="J889" s="4" t="s">
        <v>149</v>
      </c>
      <c r="K889" s="4">
        <v>199.0</v>
      </c>
      <c r="L889" s="4"/>
      <c r="M889" s="4">
        <v>199.0</v>
      </c>
      <c r="N889" s="4" t="s">
        <v>67</v>
      </c>
      <c r="O889" s="4" t="b">
        <v>0</v>
      </c>
      <c r="P889" s="4" t="s">
        <v>68</v>
      </c>
      <c r="Q889" s="4" t="s">
        <v>69</v>
      </c>
      <c r="R889" s="4"/>
      <c r="S889" s="4"/>
      <c r="T889" s="4"/>
      <c r="U889" s="7"/>
      <c r="V889" s="4"/>
      <c r="W889" s="4"/>
      <c r="X889" s="4"/>
      <c r="Y889" s="4"/>
      <c r="Z889" s="4"/>
      <c r="AA889" s="5"/>
      <c r="AB889" s="5"/>
      <c r="AC889" s="5"/>
      <c r="AD889" s="5"/>
      <c r="AE889" s="5"/>
    </row>
    <row r="890">
      <c r="A890" s="14" t="s">
        <v>1674</v>
      </c>
      <c r="B890" s="19">
        <v>44307.89010416667</v>
      </c>
      <c r="C890" s="4">
        <v>49834.0</v>
      </c>
      <c r="D890" s="4" t="s">
        <v>1675</v>
      </c>
      <c r="E890" s="4">
        <v>9.1877736462E11</v>
      </c>
      <c r="F890" s="4">
        <v>17094.0</v>
      </c>
      <c r="G890" s="4"/>
      <c r="H890" s="4" t="s">
        <v>960</v>
      </c>
      <c r="I890" s="4"/>
      <c r="J890" s="4" t="s">
        <v>149</v>
      </c>
      <c r="K890" s="4">
        <v>99.0</v>
      </c>
      <c r="L890" s="4"/>
      <c r="M890" s="4">
        <v>99.0</v>
      </c>
      <c r="N890" s="4" t="s">
        <v>67</v>
      </c>
      <c r="O890" s="4" t="b">
        <v>0</v>
      </c>
      <c r="P890" s="4" t="s">
        <v>74</v>
      </c>
      <c r="Q890" s="4" t="s">
        <v>69</v>
      </c>
      <c r="R890" s="4"/>
      <c r="S890" s="4"/>
      <c r="T890" s="4"/>
      <c r="U890" s="8"/>
      <c r="V890" s="4"/>
      <c r="W890" s="4"/>
      <c r="X890" s="4"/>
      <c r="Y890" s="4"/>
      <c r="Z890" s="4"/>
      <c r="AA890" s="5"/>
      <c r="AB890" s="5"/>
      <c r="AC890" s="5"/>
      <c r="AD890" s="5"/>
      <c r="AE890" s="5"/>
    </row>
    <row r="891">
      <c r="A891" s="14" t="s">
        <v>2252</v>
      </c>
      <c r="B891" s="19">
        <v>44306.8312037037</v>
      </c>
      <c r="C891" s="4">
        <v>49854.0</v>
      </c>
      <c r="D891" s="4" t="s">
        <v>2253</v>
      </c>
      <c r="E891" s="4">
        <v>9.19164258717E11</v>
      </c>
      <c r="F891" s="4">
        <v>17760.0</v>
      </c>
      <c r="G891" s="4"/>
      <c r="H891" s="4" t="s">
        <v>2161</v>
      </c>
      <c r="I891" s="4"/>
      <c r="J891" s="4" t="s">
        <v>85</v>
      </c>
      <c r="K891" s="4">
        <v>599.0</v>
      </c>
      <c r="L891" s="4"/>
      <c r="M891" s="4">
        <v>599.0</v>
      </c>
      <c r="N891" s="4" t="s">
        <v>67</v>
      </c>
      <c r="O891" s="4" t="b">
        <v>0</v>
      </c>
      <c r="P891" s="4" t="s">
        <v>68</v>
      </c>
      <c r="Q891" s="4" t="s">
        <v>69</v>
      </c>
      <c r="R891" s="4"/>
      <c r="S891" s="4"/>
      <c r="T891" s="4"/>
      <c r="U891" s="7"/>
      <c r="V891" s="4"/>
      <c r="W891" s="4"/>
      <c r="X891" s="4"/>
      <c r="Y891" s="4"/>
      <c r="Z891" s="4"/>
      <c r="AA891" s="5"/>
      <c r="AB891" s="5"/>
      <c r="AC891" s="5"/>
      <c r="AD891" s="5"/>
      <c r="AE891" s="5"/>
    </row>
    <row r="892">
      <c r="A892" s="14" t="s">
        <v>316</v>
      </c>
      <c r="B892" s="19">
        <v>44307.874085648145</v>
      </c>
      <c r="C892" s="4">
        <v>49991.0</v>
      </c>
      <c r="D892" s="4" t="s">
        <v>317</v>
      </c>
      <c r="E892" s="4">
        <v>9.19439290785E11</v>
      </c>
      <c r="F892" s="4">
        <v>17093.0</v>
      </c>
      <c r="G892" s="4"/>
      <c r="H892" s="4" t="s">
        <v>148</v>
      </c>
      <c r="I892" s="4"/>
      <c r="J892" s="4" t="s">
        <v>77</v>
      </c>
      <c r="K892" s="4">
        <v>349.0</v>
      </c>
      <c r="L892" s="4"/>
      <c r="M892" s="4">
        <v>349.0</v>
      </c>
      <c r="N892" s="4" t="s">
        <v>67</v>
      </c>
      <c r="O892" s="4" t="b">
        <v>0</v>
      </c>
      <c r="P892" s="4" t="s">
        <v>97</v>
      </c>
      <c r="Q892" s="4" t="s">
        <v>69</v>
      </c>
      <c r="R892" s="4"/>
      <c r="S892" s="4"/>
      <c r="T892" s="4"/>
      <c r="U892" s="7"/>
      <c r="V892" s="4"/>
      <c r="W892" s="4"/>
      <c r="X892" s="4"/>
      <c r="Y892" s="4"/>
      <c r="Z892" s="4"/>
      <c r="AA892" s="5"/>
      <c r="AB892" s="5"/>
      <c r="AC892" s="5"/>
      <c r="AD892" s="5"/>
      <c r="AE892" s="5"/>
    </row>
    <row r="893">
      <c r="A893" s="14" t="s">
        <v>1668</v>
      </c>
      <c r="B893" s="19">
        <v>44307.87417824074</v>
      </c>
      <c r="C893" s="4">
        <v>49997.0</v>
      </c>
      <c r="D893" s="4" t="s">
        <v>1669</v>
      </c>
      <c r="E893" s="4">
        <v>9.19527031113E11</v>
      </c>
      <c r="F893" s="4">
        <v>17146.0</v>
      </c>
      <c r="G893" s="4"/>
      <c r="H893" s="4" t="s">
        <v>1059</v>
      </c>
      <c r="I893" s="4"/>
      <c r="J893" s="4" t="s">
        <v>149</v>
      </c>
      <c r="K893" s="4">
        <v>99.0</v>
      </c>
      <c r="L893" s="4"/>
      <c r="M893" s="4">
        <v>99.0</v>
      </c>
      <c r="N893" s="4" t="s">
        <v>67</v>
      </c>
      <c r="O893" s="4" t="b">
        <v>0</v>
      </c>
      <c r="P893" s="4" t="s">
        <v>97</v>
      </c>
      <c r="Q893" s="4" t="s">
        <v>69</v>
      </c>
      <c r="R893" s="4"/>
      <c r="S893" s="4"/>
      <c r="T893" s="4"/>
      <c r="U893" s="7"/>
      <c r="V893" s="4"/>
      <c r="W893" s="4"/>
      <c r="X893" s="4"/>
      <c r="Y893" s="4"/>
      <c r="Z893" s="4"/>
      <c r="AA893" s="5"/>
      <c r="AB893" s="5"/>
      <c r="AC893" s="5"/>
      <c r="AD893" s="5"/>
      <c r="AE893" s="5"/>
    </row>
    <row r="894">
      <c r="A894" s="14" t="s">
        <v>2254</v>
      </c>
      <c r="B894" s="19">
        <v>44306.83789351852</v>
      </c>
      <c r="C894" s="4">
        <v>49854.0</v>
      </c>
      <c r="D894" s="4" t="s">
        <v>2255</v>
      </c>
      <c r="E894" s="4">
        <v>9.18447396003E11</v>
      </c>
      <c r="F894" s="4">
        <v>17877.0</v>
      </c>
      <c r="G894" s="4"/>
      <c r="H894" s="4" t="s">
        <v>2161</v>
      </c>
      <c r="I894" s="4"/>
      <c r="J894" s="4" t="s">
        <v>85</v>
      </c>
      <c r="K894" s="4">
        <v>599.0</v>
      </c>
      <c r="L894" s="4"/>
      <c r="M894" s="4">
        <v>599.0</v>
      </c>
      <c r="N894" s="4" t="s">
        <v>67</v>
      </c>
      <c r="O894" s="4" t="b">
        <v>0</v>
      </c>
      <c r="P894" s="4" t="s">
        <v>68</v>
      </c>
      <c r="Q894" s="4" t="s">
        <v>69</v>
      </c>
      <c r="R894" s="4"/>
      <c r="S894" s="4"/>
      <c r="T894" s="4"/>
      <c r="U894" s="7"/>
      <c r="V894" s="4"/>
      <c r="W894" s="4"/>
      <c r="X894" s="4"/>
      <c r="Y894" s="4"/>
      <c r="Z894" s="4"/>
      <c r="AA894" s="5"/>
      <c r="AB894" s="5"/>
      <c r="AC894" s="5"/>
      <c r="AD894" s="5"/>
      <c r="AE894" s="5"/>
    </row>
    <row r="895">
      <c r="A895" s="14" t="s">
        <v>1813</v>
      </c>
      <c r="B895" s="19">
        <v>44306.84203703704</v>
      </c>
      <c r="C895" s="4">
        <v>49813.0</v>
      </c>
      <c r="D895" s="4" t="s">
        <v>1814</v>
      </c>
      <c r="E895" s="4">
        <v>9.19819674613E11</v>
      </c>
      <c r="F895" s="4">
        <v>17073.0</v>
      </c>
      <c r="G895" s="4"/>
      <c r="H895" s="4" t="s">
        <v>1592</v>
      </c>
      <c r="I895" s="4"/>
      <c r="J895" s="4" t="s">
        <v>77</v>
      </c>
      <c r="K895" s="4">
        <v>499.0</v>
      </c>
      <c r="L895" s="4"/>
      <c r="M895" s="4">
        <v>499.0</v>
      </c>
      <c r="N895" s="4" t="s">
        <v>67</v>
      </c>
      <c r="O895" s="4" t="b">
        <v>0</v>
      </c>
      <c r="P895" s="4" t="s">
        <v>68</v>
      </c>
      <c r="Q895" s="4" t="s">
        <v>69</v>
      </c>
      <c r="R895" s="4"/>
      <c r="S895" s="4"/>
      <c r="T895" s="4"/>
      <c r="U895" s="8"/>
      <c r="V895" s="4"/>
      <c r="W895" s="4"/>
      <c r="X895" s="4"/>
      <c r="Y895" s="4"/>
      <c r="Z895" s="4"/>
      <c r="AA895" s="5"/>
      <c r="AB895" s="5"/>
      <c r="AC895" s="5"/>
      <c r="AD895" s="5"/>
      <c r="AE895" s="5"/>
    </row>
    <row r="896">
      <c r="A896" s="14" t="s">
        <v>663</v>
      </c>
      <c r="B896" s="19">
        <v>44306.86219907407</v>
      </c>
      <c r="C896" s="4">
        <v>49907.0</v>
      </c>
      <c r="D896" s="4" t="s">
        <v>664</v>
      </c>
      <c r="E896" s="4">
        <v>9.19448970157E11</v>
      </c>
      <c r="F896" s="4">
        <v>17357.0</v>
      </c>
      <c r="G896" s="4"/>
      <c r="H896" s="4" t="s">
        <v>587</v>
      </c>
      <c r="I896" s="4"/>
      <c r="J896" s="4" t="s">
        <v>85</v>
      </c>
      <c r="K896" s="4">
        <v>199.0</v>
      </c>
      <c r="L896" s="4"/>
      <c r="M896" s="4">
        <v>199.0</v>
      </c>
      <c r="N896" s="4" t="s">
        <v>67</v>
      </c>
      <c r="O896" s="4" t="b">
        <v>0</v>
      </c>
      <c r="P896" s="4" t="s">
        <v>151</v>
      </c>
      <c r="Q896" s="4" t="s">
        <v>69</v>
      </c>
      <c r="R896" s="4"/>
      <c r="S896" s="4"/>
      <c r="T896" s="4"/>
      <c r="U896" s="7"/>
      <c r="V896" s="4"/>
      <c r="W896" s="4"/>
      <c r="X896" s="4"/>
      <c r="Y896" s="4"/>
      <c r="Z896" s="4"/>
      <c r="AA896" s="5"/>
      <c r="AB896" s="5"/>
      <c r="AC896" s="5"/>
      <c r="AD896" s="5"/>
      <c r="AE896" s="5"/>
    </row>
    <row r="897">
      <c r="A897" s="14" t="s">
        <v>1600</v>
      </c>
      <c r="B897" s="19">
        <v>44306.87525462963</v>
      </c>
      <c r="C897" s="4">
        <v>50048.0</v>
      </c>
      <c r="D897" s="4" t="s">
        <v>1601</v>
      </c>
      <c r="E897" s="4">
        <v>9.18828299503E11</v>
      </c>
      <c r="F897" s="4">
        <v>17167.0</v>
      </c>
      <c r="G897" s="4"/>
      <c r="H897" s="4" t="s">
        <v>1436</v>
      </c>
      <c r="I897" s="4"/>
      <c r="J897" s="4" t="s">
        <v>1437</v>
      </c>
      <c r="K897" s="4">
        <v>149.0</v>
      </c>
      <c r="L897" s="4"/>
      <c r="M897" s="4">
        <v>149.0</v>
      </c>
      <c r="N897" s="4" t="s">
        <v>67</v>
      </c>
      <c r="O897" s="4" t="b">
        <v>0</v>
      </c>
      <c r="P897" s="4" t="s">
        <v>68</v>
      </c>
      <c r="Q897" s="4" t="s">
        <v>69</v>
      </c>
      <c r="R897" s="4"/>
      <c r="S897" s="4"/>
      <c r="T897" s="4"/>
      <c r="U897" s="7"/>
      <c r="V897" s="4"/>
      <c r="W897" s="4"/>
      <c r="X897" s="4"/>
      <c r="Y897" s="4"/>
      <c r="Z897" s="4"/>
      <c r="AA897" s="5"/>
      <c r="AB897" s="5"/>
      <c r="AC897" s="5"/>
      <c r="AD897" s="5"/>
      <c r="AE897" s="5"/>
    </row>
    <row r="898">
      <c r="A898" s="14" t="s">
        <v>1676</v>
      </c>
      <c r="B898" s="19">
        <v>44307.936423611114</v>
      </c>
      <c r="C898" s="4">
        <v>49877.0</v>
      </c>
      <c r="D898" s="4" t="s">
        <v>1677</v>
      </c>
      <c r="E898" s="4">
        <v>9.18555853336E11</v>
      </c>
      <c r="F898" s="4" t="s">
        <v>83</v>
      </c>
      <c r="G898" s="4"/>
      <c r="H898" s="4" t="s">
        <v>280</v>
      </c>
      <c r="I898" s="4"/>
      <c r="J898" s="4" t="s">
        <v>85</v>
      </c>
      <c r="K898" s="4">
        <v>99.0</v>
      </c>
      <c r="L898" s="4"/>
      <c r="M898" s="4">
        <v>99.0</v>
      </c>
      <c r="N898" s="4" t="s">
        <v>67</v>
      </c>
      <c r="O898" s="4" t="b">
        <v>0</v>
      </c>
      <c r="P898" s="4" t="s">
        <v>68</v>
      </c>
      <c r="Q898" s="4" t="s">
        <v>69</v>
      </c>
      <c r="R898" s="4"/>
      <c r="S898" s="4"/>
      <c r="T898" s="4"/>
      <c r="U898" s="7"/>
      <c r="V898" s="4"/>
      <c r="W898" s="4"/>
      <c r="X898" s="4"/>
      <c r="Y898" s="4"/>
      <c r="Z898" s="4"/>
      <c r="AA898" s="5"/>
      <c r="AB898" s="5"/>
      <c r="AC898" s="5"/>
      <c r="AD898" s="5"/>
      <c r="AE898" s="5"/>
    </row>
    <row r="899">
      <c r="A899" s="14" t="s">
        <v>2017</v>
      </c>
      <c r="B899" s="19">
        <v>44306.87938657407</v>
      </c>
      <c r="C899" s="4">
        <v>49995.0</v>
      </c>
      <c r="D899" s="4" t="s">
        <v>2018</v>
      </c>
      <c r="E899" s="4">
        <v>9.18544923253E11</v>
      </c>
      <c r="F899" s="4">
        <v>17072.0</v>
      </c>
      <c r="G899" s="4"/>
      <c r="H899" s="4" t="s">
        <v>2005</v>
      </c>
      <c r="I899" s="4"/>
      <c r="J899" s="4" t="s">
        <v>149</v>
      </c>
      <c r="K899" s="4">
        <v>99.0</v>
      </c>
      <c r="L899" s="4"/>
      <c r="M899" s="4">
        <v>99.0</v>
      </c>
      <c r="N899" s="4" t="s">
        <v>67</v>
      </c>
      <c r="O899" s="4" t="b">
        <v>0</v>
      </c>
      <c r="P899" s="4" t="s">
        <v>68</v>
      </c>
      <c r="Q899" s="4" t="s">
        <v>69</v>
      </c>
      <c r="R899" s="4"/>
      <c r="S899" s="4"/>
      <c r="T899" s="4"/>
      <c r="U899" s="7"/>
      <c r="V899" s="4"/>
      <c r="W899" s="4"/>
      <c r="X899" s="4"/>
      <c r="Y899" s="4"/>
      <c r="Z899" s="4"/>
      <c r="AA899" s="5"/>
      <c r="AB899" s="5"/>
      <c r="AC899" s="5"/>
      <c r="AD899" s="5"/>
      <c r="AE899" s="5"/>
    </row>
    <row r="900">
      <c r="A900" s="14" t="s">
        <v>1604</v>
      </c>
      <c r="B900" s="19">
        <v>44306.90280092593</v>
      </c>
      <c r="C900" s="4">
        <v>50048.0</v>
      </c>
      <c r="D900" s="4" t="s">
        <v>1605</v>
      </c>
      <c r="E900" s="4">
        <v>9.19820167851E11</v>
      </c>
      <c r="F900" s="4">
        <v>17139.0</v>
      </c>
      <c r="G900" s="4"/>
      <c r="H900" s="4" t="s">
        <v>1436</v>
      </c>
      <c r="I900" s="4"/>
      <c r="J900" s="4" t="s">
        <v>1437</v>
      </c>
      <c r="K900" s="4">
        <v>149.0</v>
      </c>
      <c r="L900" s="4"/>
      <c r="M900" s="4">
        <v>149.0</v>
      </c>
      <c r="N900" s="4" t="s">
        <v>67</v>
      </c>
      <c r="O900" s="4" t="b">
        <v>0</v>
      </c>
      <c r="P900" s="4" t="s">
        <v>68</v>
      </c>
      <c r="Q900" s="4" t="s">
        <v>69</v>
      </c>
      <c r="R900" s="4"/>
      <c r="S900" s="4"/>
      <c r="T900" s="4"/>
      <c r="U900" s="7"/>
      <c r="V900" s="4"/>
      <c r="W900" s="4"/>
      <c r="X900" s="4"/>
      <c r="Y900" s="4"/>
      <c r="Z900" s="4"/>
      <c r="AA900" s="5"/>
      <c r="AB900" s="5"/>
      <c r="AC900" s="5"/>
      <c r="AD900" s="5"/>
      <c r="AE900" s="5"/>
    </row>
    <row r="901">
      <c r="A901" s="14" t="s">
        <v>1606</v>
      </c>
      <c r="B901" s="19">
        <v>44306.903645833336</v>
      </c>
      <c r="C901" s="4">
        <v>49994.0</v>
      </c>
      <c r="D901" s="4" t="s">
        <v>1607</v>
      </c>
      <c r="E901" s="4">
        <v>9.19811238689E11</v>
      </c>
      <c r="F901" s="4">
        <v>17047.0</v>
      </c>
      <c r="G901" s="4"/>
      <c r="H901" s="4" t="s">
        <v>1264</v>
      </c>
      <c r="I901" s="4"/>
      <c r="J901" s="4" t="s">
        <v>85</v>
      </c>
      <c r="K901" s="4">
        <v>199.0</v>
      </c>
      <c r="L901" s="4"/>
      <c r="M901" s="4">
        <v>199.0</v>
      </c>
      <c r="N901" s="4" t="s">
        <v>67</v>
      </c>
      <c r="O901" s="4" t="b">
        <v>0</v>
      </c>
      <c r="P901" s="4" t="s">
        <v>68</v>
      </c>
      <c r="Q901" s="4" t="s">
        <v>69</v>
      </c>
      <c r="R901" s="4"/>
      <c r="S901" s="4"/>
      <c r="T901" s="4"/>
      <c r="U901" s="7"/>
      <c r="V901" s="4"/>
      <c r="W901" s="4"/>
      <c r="X901" s="4"/>
      <c r="Y901" s="4"/>
      <c r="Z901" s="4"/>
      <c r="AA901" s="5"/>
      <c r="AB901" s="5"/>
      <c r="AC901" s="5"/>
      <c r="AD901" s="5"/>
      <c r="AE901" s="5"/>
    </row>
    <row r="902">
      <c r="A902" s="14" t="s">
        <v>2043</v>
      </c>
      <c r="B902" s="19">
        <v>44307.95018518518</v>
      </c>
      <c r="C902" s="4">
        <v>49995.0</v>
      </c>
      <c r="D902" s="4" t="s">
        <v>2044</v>
      </c>
      <c r="E902" s="4">
        <v>9.1816980832E11</v>
      </c>
      <c r="F902" s="4">
        <v>17162.0</v>
      </c>
      <c r="G902" s="4"/>
      <c r="H902" s="4" t="s">
        <v>2005</v>
      </c>
      <c r="I902" s="4"/>
      <c r="J902" s="4" t="s">
        <v>149</v>
      </c>
      <c r="K902" s="4">
        <v>99.0</v>
      </c>
      <c r="L902" s="4"/>
      <c r="M902" s="4">
        <v>99.0</v>
      </c>
      <c r="N902" s="4" t="s">
        <v>67</v>
      </c>
      <c r="O902" s="4" t="b">
        <v>0</v>
      </c>
      <c r="P902" s="4" t="s">
        <v>74</v>
      </c>
      <c r="Q902" s="4" t="s">
        <v>69</v>
      </c>
      <c r="R902" s="4"/>
      <c r="S902" s="4"/>
      <c r="T902" s="4"/>
      <c r="U902" s="7"/>
      <c r="V902" s="4"/>
      <c r="W902" s="4"/>
      <c r="X902" s="4"/>
      <c r="Y902" s="4"/>
      <c r="Z902" s="4"/>
      <c r="AA902" s="5"/>
      <c r="AB902" s="5"/>
      <c r="AC902" s="5"/>
      <c r="AD902" s="5"/>
      <c r="AE902" s="5"/>
    </row>
    <row r="903">
      <c r="A903" s="14" t="s">
        <v>328</v>
      </c>
      <c r="B903" s="19">
        <v>44307.97005787037</v>
      </c>
      <c r="C903" s="4">
        <v>49991.0</v>
      </c>
      <c r="D903" s="4" t="s">
        <v>329</v>
      </c>
      <c r="E903" s="4">
        <v>9.18492928227E11</v>
      </c>
      <c r="F903" s="4">
        <v>17103.0</v>
      </c>
      <c r="G903" s="4"/>
      <c r="H903" s="4" t="s">
        <v>148</v>
      </c>
      <c r="I903" s="4"/>
      <c r="J903" s="4" t="s">
        <v>149</v>
      </c>
      <c r="K903" s="4">
        <v>99.0</v>
      </c>
      <c r="L903" s="4"/>
      <c r="M903" s="4">
        <v>99.0</v>
      </c>
      <c r="N903" s="4" t="s">
        <v>67</v>
      </c>
      <c r="O903" s="4" t="b">
        <v>0</v>
      </c>
      <c r="P903" s="4" t="s">
        <v>151</v>
      </c>
      <c r="Q903" s="4" t="s">
        <v>69</v>
      </c>
      <c r="R903" s="4"/>
      <c r="S903" s="4"/>
      <c r="T903" s="4"/>
      <c r="U903" s="7"/>
      <c r="V903" s="4"/>
      <c r="W903" s="4"/>
      <c r="X903" s="4"/>
      <c r="Y903" s="4"/>
      <c r="Z903" s="4"/>
      <c r="AA903" s="5"/>
      <c r="AB903" s="5"/>
      <c r="AC903" s="5"/>
      <c r="AD903" s="5"/>
      <c r="AE903" s="5"/>
    </row>
    <row r="904">
      <c r="A904" s="14" t="s">
        <v>2256</v>
      </c>
      <c r="B904" s="19">
        <v>44306.91991898148</v>
      </c>
      <c r="C904" s="4">
        <v>49854.0</v>
      </c>
      <c r="D904" s="4" t="s">
        <v>2257</v>
      </c>
      <c r="E904" s="4">
        <v>9.19766223901E11</v>
      </c>
      <c r="F904" s="4">
        <v>17975.0</v>
      </c>
      <c r="G904" s="4"/>
      <c r="H904" s="4" t="s">
        <v>2161</v>
      </c>
      <c r="I904" s="4"/>
      <c r="J904" s="4" t="s">
        <v>85</v>
      </c>
      <c r="K904" s="4">
        <v>599.0</v>
      </c>
      <c r="L904" s="4"/>
      <c r="M904" s="4">
        <v>599.0</v>
      </c>
      <c r="N904" s="4" t="s">
        <v>67</v>
      </c>
      <c r="O904" s="4" t="b">
        <v>0</v>
      </c>
      <c r="P904" s="4" t="s">
        <v>74</v>
      </c>
      <c r="Q904" s="4" t="s">
        <v>69</v>
      </c>
      <c r="R904" s="4"/>
      <c r="S904" s="4"/>
      <c r="T904" s="4"/>
      <c r="U904" s="7"/>
      <c r="V904" s="4"/>
      <c r="W904" s="4"/>
      <c r="X904" s="4"/>
      <c r="Y904" s="4"/>
      <c r="Z904" s="4"/>
      <c r="AA904" s="5"/>
      <c r="AB904" s="5"/>
      <c r="AC904" s="5"/>
      <c r="AD904" s="5"/>
      <c r="AE904" s="5"/>
    </row>
    <row r="905">
      <c r="A905" s="14" t="s">
        <v>2045</v>
      </c>
      <c r="B905" s="19">
        <v>44307.983449074076</v>
      </c>
      <c r="C905" s="4">
        <v>49995.0</v>
      </c>
      <c r="D905" s="4" t="s">
        <v>2046</v>
      </c>
      <c r="E905" s="4">
        <v>9.18328602026E11</v>
      </c>
      <c r="F905" s="4" t="s">
        <v>83</v>
      </c>
      <c r="G905" s="4"/>
      <c r="H905" s="4" t="s">
        <v>2005</v>
      </c>
      <c r="I905" s="4"/>
      <c r="J905" s="4" t="s">
        <v>149</v>
      </c>
      <c r="K905" s="4">
        <v>99.0</v>
      </c>
      <c r="L905" s="4"/>
      <c r="M905" s="4">
        <v>99.0</v>
      </c>
      <c r="N905" s="4" t="s">
        <v>67</v>
      </c>
      <c r="O905" s="4" t="b">
        <v>0</v>
      </c>
      <c r="P905" s="4" t="s">
        <v>68</v>
      </c>
      <c r="Q905" s="4" t="s">
        <v>69</v>
      </c>
      <c r="R905" s="4"/>
      <c r="S905" s="4"/>
      <c r="T905" s="4"/>
      <c r="U905" s="7"/>
      <c r="V905" s="4"/>
      <c r="W905" s="4"/>
      <c r="X905" s="4"/>
      <c r="Y905" s="4"/>
      <c r="Z905" s="4"/>
      <c r="AA905" s="5"/>
      <c r="AB905" s="5"/>
      <c r="AC905" s="5"/>
      <c r="AD905" s="5"/>
      <c r="AE905" s="5"/>
    </row>
    <row r="906">
      <c r="A906" s="14" t="s">
        <v>1684</v>
      </c>
      <c r="B906" s="19">
        <v>44308.00436342593</v>
      </c>
      <c r="C906" s="4">
        <v>49877.0</v>
      </c>
      <c r="D906" s="4" t="s">
        <v>1685</v>
      </c>
      <c r="E906" s="4">
        <v>9.19483360077E11</v>
      </c>
      <c r="F906" s="4">
        <v>17106.0</v>
      </c>
      <c r="G906" s="4"/>
      <c r="H906" s="4" t="s">
        <v>280</v>
      </c>
      <c r="I906" s="4"/>
      <c r="J906" s="4" t="s">
        <v>85</v>
      </c>
      <c r="K906" s="4">
        <v>99.0</v>
      </c>
      <c r="L906" s="4"/>
      <c r="M906" s="4">
        <v>99.0</v>
      </c>
      <c r="N906" s="4" t="s">
        <v>67</v>
      </c>
      <c r="O906" s="4" t="b">
        <v>0</v>
      </c>
      <c r="P906" s="4" t="s">
        <v>74</v>
      </c>
      <c r="Q906" s="4" t="s">
        <v>69</v>
      </c>
      <c r="R906" s="4"/>
      <c r="S906" s="4"/>
      <c r="T906" s="4"/>
      <c r="U906" s="7"/>
      <c r="V906" s="4"/>
      <c r="W906" s="4"/>
      <c r="X906" s="4"/>
      <c r="Y906" s="4"/>
      <c r="Z906" s="4"/>
      <c r="AA906" s="5"/>
      <c r="AB906" s="5"/>
      <c r="AC906" s="5"/>
      <c r="AD906" s="5"/>
      <c r="AE906" s="5"/>
    </row>
    <row r="907">
      <c r="A907" s="14" t="s">
        <v>1823</v>
      </c>
      <c r="B907" s="19">
        <v>44308.020324074074</v>
      </c>
      <c r="C907" s="4">
        <v>49813.0</v>
      </c>
      <c r="D907" s="4" t="s">
        <v>1824</v>
      </c>
      <c r="E907" s="4">
        <v>9.19945466644E11</v>
      </c>
      <c r="F907" s="4">
        <v>17385.0</v>
      </c>
      <c r="G907" s="4"/>
      <c r="H907" s="4" t="s">
        <v>1592</v>
      </c>
      <c r="I907" s="4"/>
      <c r="J907" s="4" t="s">
        <v>85</v>
      </c>
      <c r="K907" s="4">
        <v>299.0</v>
      </c>
      <c r="L907" s="4"/>
      <c r="M907" s="4">
        <v>299.0</v>
      </c>
      <c r="N907" s="4" t="s">
        <v>67</v>
      </c>
      <c r="O907" s="4" t="b">
        <v>0</v>
      </c>
      <c r="P907" s="4" t="s">
        <v>68</v>
      </c>
      <c r="Q907" s="4" t="s">
        <v>69</v>
      </c>
      <c r="R907" s="4"/>
      <c r="S907" s="4"/>
      <c r="T907" s="4"/>
      <c r="U907" s="7"/>
      <c r="V907" s="4"/>
      <c r="W907" s="4"/>
      <c r="X907" s="4"/>
      <c r="Y907" s="4"/>
      <c r="Z907" s="4"/>
      <c r="AA907" s="5"/>
      <c r="AB907" s="5"/>
      <c r="AC907" s="5"/>
      <c r="AD907" s="5"/>
      <c r="AE907" s="5"/>
    </row>
    <row r="908">
      <c r="A908" s="14" t="s">
        <v>491</v>
      </c>
      <c r="B908" s="19">
        <v>44306.998136574075</v>
      </c>
      <c r="C908" s="4">
        <v>49992.0</v>
      </c>
      <c r="D908" s="4" t="s">
        <v>492</v>
      </c>
      <c r="E908" s="4">
        <v>9.18848253731E11</v>
      </c>
      <c r="F908" s="4">
        <v>17052.0</v>
      </c>
      <c r="G908" s="4"/>
      <c r="H908" s="4" t="s">
        <v>435</v>
      </c>
      <c r="I908" s="4"/>
      <c r="J908" s="4" t="s">
        <v>149</v>
      </c>
      <c r="K908" s="4">
        <v>99.0</v>
      </c>
      <c r="L908" s="4"/>
      <c r="M908" s="4">
        <v>99.0</v>
      </c>
      <c r="N908" s="4" t="s">
        <v>67</v>
      </c>
      <c r="O908" s="4" t="b">
        <v>0</v>
      </c>
      <c r="P908" s="4" t="s">
        <v>68</v>
      </c>
      <c r="Q908" s="4" t="s">
        <v>69</v>
      </c>
      <c r="R908" s="4"/>
      <c r="S908" s="4"/>
      <c r="T908" s="4"/>
      <c r="U908" s="7"/>
      <c r="V908" s="4"/>
      <c r="W908" s="4"/>
      <c r="X908" s="4"/>
      <c r="Y908" s="4"/>
      <c r="Z908" s="4"/>
      <c r="AA908" s="5"/>
      <c r="AB908" s="5"/>
      <c r="AC908" s="5"/>
      <c r="AD908" s="5"/>
      <c r="AE908" s="5"/>
    </row>
    <row r="909">
      <c r="A909" s="14" t="s">
        <v>509</v>
      </c>
      <c r="B909" s="19">
        <v>44307.016377314816</v>
      </c>
      <c r="C909" s="4">
        <v>49992.0</v>
      </c>
      <c r="D909" s="4" t="s">
        <v>510</v>
      </c>
      <c r="E909" s="4">
        <v>9.19501244707E11</v>
      </c>
      <c r="F909" s="4">
        <v>17053.0</v>
      </c>
      <c r="G909" s="4"/>
      <c r="H909" s="4" t="s">
        <v>435</v>
      </c>
      <c r="I909" s="4"/>
      <c r="J909" s="4" t="s">
        <v>149</v>
      </c>
      <c r="K909" s="4">
        <v>99.0</v>
      </c>
      <c r="L909" s="4"/>
      <c r="M909" s="4">
        <v>99.0</v>
      </c>
      <c r="N909" s="4" t="s">
        <v>67</v>
      </c>
      <c r="O909" s="4" t="b">
        <v>0</v>
      </c>
      <c r="P909" s="4" t="s">
        <v>68</v>
      </c>
      <c r="Q909" s="4" t="s">
        <v>69</v>
      </c>
      <c r="R909" s="4"/>
      <c r="S909" s="4"/>
      <c r="T909" s="4"/>
      <c r="U909" s="7"/>
      <c r="V909" s="4"/>
      <c r="W909" s="4"/>
      <c r="X909" s="4"/>
      <c r="Y909" s="4"/>
      <c r="Z909" s="4"/>
      <c r="AA909" s="5"/>
      <c r="AB909" s="5"/>
      <c r="AC909" s="5"/>
      <c r="AD909" s="5"/>
      <c r="AE909" s="5"/>
    </row>
    <row r="910">
      <c r="A910" s="14" t="s">
        <v>1815</v>
      </c>
      <c r="B910" s="19">
        <v>44307.14375</v>
      </c>
      <c r="C910" s="4">
        <v>49813.0</v>
      </c>
      <c r="D910" s="4" t="s">
        <v>1816</v>
      </c>
      <c r="E910" s="4">
        <v>9.18884404436E11</v>
      </c>
      <c r="F910" s="4">
        <v>17054.0</v>
      </c>
      <c r="G910" s="4"/>
      <c r="H910" s="4" t="s">
        <v>1592</v>
      </c>
      <c r="I910" s="4"/>
      <c r="J910" s="4" t="s">
        <v>149</v>
      </c>
      <c r="K910" s="4">
        <v>149.0</v>
      </c>
      <c r="L910" s="4"/>
      <c r="M910" s="4">
        <v>149.0</v>
      </c>
      <c r="N910" s="4" t="s">
        <v>67</v>
      </c>
      <c r="O910" s="4" t="b">
        <v>0</v>
      </c>
      <c r="P910" s="4" t="s">
        <v>68</v>
      </c>
      <c r="Q910" s="4" t="s">
        <v>69</v>
      </c>
      <c r="R910" s="4"/>
      <c r="S910" s="4"/>
      <c r="T910" s="4"/>
      <c r="U910" s="8"/>
      <c r="V910" s="4"/>
      <c r="W910" s="4"/>
      <c r="X910" s="4"/>
      <c r="Y910" s="4"/>
      <c r="Z910" s="4"/>
      <c r="AA910" s="5"/>
      <c r="AB910" s="5"/>
      <c r="AC910" s="5"/>
      <c r="AD910" s="5"/>
      <c r="AE910" s="5"/>
    </row>
    <row r="911">
      <c r="A911" s="14" t="s">
        <v>1688</v>
      </c>
      <c r="B911" s="19">
        <v>44308.245775462965</v>
      </c>
      <c r="C911" s="4">
        <v>49834.0</v>
      </c>
      <c r="D911" s="4" t="s">
        <v>1689</v>
      </c>
      <c r="E911" s="4">
        <v>9.19999025369E11</v>
      </c>
      <c r="F911" s="4">
        <v>17111.0</v>
      </c>
      <c r="G911" s="4"/>
      <c r="H911" s="4" t="s">
        <v>960</v>
      </c>
      <c r="I911" s="4"/>
      <c r="J911" s="4" t="s">
        <v>149</v>
      </c>
      <c r="K911" s="4">
        <v>99.0</v>
      </c>
      <c r="L911" s="4"/>
      <c r="M911" s="4">
        <v>99.0</v>
      </c>
      <c r="N911" s="4" t="s">
        <v>67</v>
      </c>
      <c r="O911" s="4" t="b">
        <v>0</v>
      </c>
      <c r="P911" s="4" t="s">
        <v>68</v>
      </c>
      <c r="Q911" s="4" t="s">
        <v>69</v>
      </c>
      <c r="R911" s="4"/>
      <c r="S911" s="4"/>
      <c r="T911" s="4"/>
      <c r="U911" s="7"/>
      <c r="V911" s="4"/>
      <c r="W911" s="4"/>
      <c r="X911" s="4"/>
      <c r="Y911" s="4"/>
      <c r="Z911" s="4"/>
      <c r="AA911" s="5"/>
      <c r="AB911" s="5"/>
      <c r="AC911" s="5"/>
      <c r="AD911" s="5"/>
      <c r="AE911" s="5"/>
    </row>
    <row r="912">
      <c r="A912" s="14" t="s">
        <v>2266</v>
      </c>
      <c r="B912" s="19">
        <v>44308.30349537037</v>
      </c>
      <c r="C912" s="4">
        <v>49854.0</v>
      </c>
      <c r="D912" s="4" t="s">
        <v>2267</v>
      </c>
      <c r="E912" s="4">
        <v>9.19419145471E11</v>
      </c>
      <c r="F912" s="4">
        <v>17115.0</v>
      </c>
      <c r="G912" s="4"/>
      <c r="H912" s="4" t="s">
        <v>2161</v>
      </c>
      <c r="I912" s="4"/>
      <c r="J912" s="4" t="s">
        <v>85</v>
      </c>
      <c r="K912" s="4">
        <v>599.0</v>
      </c>
      <c r="L912" s="4"/>
      <c r="M912" s="4">
        <v>599.0</v>
      </c>
      <c r="N912" s="4" t="s">
        <v>67</v>
      </c>
      <c r="O912" s="4" t="b">
        <v>0</v>
      </c>
      <c r="P912" s="4" t="s">
        <v>74</v>
      </c>
      <c r="Q912" s="4" t="s">
        <v>69</v>
      </c>
      <c r="R912" s="4"/>
      <c r="S912" s="4"/>
      <c r="T912" s="4"/>
      <c r="U912" s="7"/>
      <c r="V912" s="4"/>
      <c r="W912" s="4"/>
      <c r="X912" s="4"/>
      <c r="Y912" s="4"/>
      <c r="Z912" s="4"/>
      <c r="AA912" s="5"/>
      <c r="AB912" s="5"/>
      <c r="AC912" s="5"/>
      <c r="AD912" s="5"/>
      <c r="AE912" s="5"/>
    </row>
    <row r="913">
      <c r="A913" s="14" t="s">
        <v>1692</v>
      </c>
      <c r="B913" s="19">
        <v>44308.307337962964</v>
      </c>
      <c r="C913" s="4">
        <v>50009.0</v>
      </c>
      <c r="D913" s="4" t="s">
        <v>1693</v>
      </c>
      <c r="E913" s="4">
        <v>9.176880053E11</v>
      </c>
      <c r="F913" s="4">
        <v>17113.0</v>
      </c>
      <c r="G913" s="4"/>
      <c r="H913" s="4" t="s">
        <v>1476</v>
      </c>
      <c r="I913" s="4"/>
      <c r="J913" s="4" t="s">
        <v>149</v>
      </c>
      <c r="K913" s="4">
        <v>99.0</v>
      </c>
      <c r="L913" s="4"/>
      <c r="M913" s="4">
        <v>99.0</v>
      </c>
      <c r="N913" s="4" t="s">
        <v>67</v>
      </c>
      <c r="O913" s="4" t="b">
        <v>0</v>
      </c>
      <c r="P913" s="4" t="s">
        <v>68</v>
      </c>
      <c r="Q913" s="4" t="s">
        <v>69</v>
      </c>
      <c r="R913" s="4"/>
      <c r="S913" s="4"/>
      <c r="T913" s="4"/>
      <c r="U913" s="7"/>
      <c r="V913" s="4"/>
      <c r="W913" s="4"/>
      <c r="X913" s="4"/>
      <c r="Y913" s="4"/>
      <c r="Z913" s="4"/>
      <c r="AA913" s="5"/>
      <c r="AB913" s="5"/>
      <c r="AC913" s="5"/>
      <c r="AD913" s="5"/>
      <c r="AE913" s="5"/>
    </row>
    <row r="914">
      <c r="A914" s="14" t="s">
        <v>1694</v>
      </c>
      <c r="B914" s="19">
        <v>44308.389502314814</v>
      </c>
      <c r="C914" s="4">
        <v>49834.0</v>
      </c>
      <c r="D914" s="4" t="s">
        <v>1695</v>
      </c>
      <c r="E914" s="4">
        <v>9.17000080952E11</v>
      </c>
      <c r="F914" s="4">
        <v>17118.0</v>
      </c>
      <c r="G914" s="4"/>
      <c r="H914" s="4" t="s">
        <v>960</v>
      </c>
      <c r="I914" s="4"/>
      <c r="J914" s="4" t="s">
        <v>149</v>
      </c>
      <c r="K914" s="4">
        <v>99.0</v>
      </c>
      <c r="L914" s="4"/>
      <c r="M914" s="4">
        <v>99.0</v>
      </c>
      <c r="N914" s="4" t="s">
        <v>67</v>
      </c>
      <c r="O914" s="4" t="b">
        <v>0</v>
      </c>
      <c r="P914" s="4" t="s">
        <v>97</v>
      </c>
      <c r="Q914" s="4" t="s">
        <v>69</v>
      </c>
      <c r="R914" s="4"/>
      <c r="S914" s="4"/>
      <c r="T914" s="4"/>
      <c r="U914" s="7"/>
      <c r="V914" s="4"/>
      <c r="W914" s="4"/>
      <c r="X914" s="4"/>
      <c r="Y914" s="4"/>
      <c r="Z914" s="4"/>
      <c r="AA914" s="5"/>
      <c r="AB914" s="5"/>
      <c r="AC914" s="5"/>
      <c r="AD914" s="5"/>
      <c r="AE914" s="5"/>
    </row>
    <row r="915">
      <c r="A915" s="14" t="s">
        <v>1696</v>
      </c>
      <c r="B915" s="19">
        <v>44308.40783564815</v>
      </c>
      <c r="C915" s="4">
        <v>49833.0</v>
      </c>
      <c r="D915" s="4" t="s">
        <v>1697</v>
      </c>
      <c r="E915" s="4">
        <v>9.17892423455E11</v>
      </c>
      <c r="F915" s="4" t="s">
        <v>83</v>
      </c>
      <c r="G915" s="4"/>
      <c r="H915" s="4" t="s">
        <v>184</v>
      </c>
      <c r="I915" s="4"/>
      <c r="J915" s="4" t="s">
        <v>149</v>
      </c>
      <c r="K915" s="4">
        <v>199.0</v>
      </c>
      <c r="L915" s="4"/>
      <c r="M915" s="4">
        <v>199.0</v>
      </c>
      <c r="N915" s="4" t="s">
        <v>67</v>
      </c>
      <c r="O915" s="4" t="b">
        <v>0</v>
      </c>
      <c r="P915" s="4" t="s">
        <v>68</v>
      </c>
      <c r="Q915" s="4" t="s">
        <v>69</v>
      </c>
      <c r="R915" s="4"/>
      <c r="S915" s="4"/>
      <c r="T915" s="4"/>
      <c r="U915" s="7"/>
      <c r="V915" s="4"/>
      <c r="W915" s="4"/>
      <c r="X915" s="4"/>
      <c r="Y915" s="4"/>
      <c r="Z915" s="4"/>
      <c r="AA915" s="5"/>
      <c r="AB915" s="5"/>
      <c r="AC915" s="5"/>
      <c r="AD915" s="5"/>
      <c r="AE915" s="5"/>
    </row>
    <row r="916">
      <c r="A916" s="14" t="s">
        <v>1698</v>
      </c>
      <c r="B916" s="19">
        <v>44308.41984953704</v>
      </c>
      <c r="C916" s="4">
        <v>49948.0</v>
      </c>
      <c r="D916" s="4" t="s">
        <v>1699</v>
      </c>
      <c r="E916" s="4">
        <v>9.19422350592E11</v>
      </c>
      <c r="F916" s="4">
        <v>17122.0</v>
      </c>
      <c r="G916" s="4"/>
      <c r="H916" s="4" t="s">
        <v>791</v>
      </c>
      <c r="I916" s="4"/>
      <c r="J916" s="4" t="s">
        <v>149</v>
      </c>
      <c r="K916" s="4">
        <v>99.0</v>
      </c>
      <c r="L916" s="4"/>
      <c r="M916" s="4">
        <v>99.0</v>
      </c>
      <c r="N916" s="4" t="s">
        <v>67</v>
      </c>
      <c r="O916" s="4" t="b">
        <v>0</v>
      </c>
      <c r="P916" s="4" t="s">
        <v>68</v>
      </c>
      <c r="Q916" s="4" t="s">
        <v>69</v>
      </c>
      <c r="R916" s="4"/>
      <c r="S916" s="4"/>
      <c r="T916" s="4"/>
      <c r="U916" s="7"/>
      <c r="V916" s="4"/>
      <c r="W916" s="4"/>
      <c r="X916" s="4"/>
      <c r="Y916" s="4"/>
      <c r="Z916" s="4"/>
      <c r="AA916" s="5"/>
      <c r="AB916" s="5"/>
      <c r="AC916" s="5"/>
      <c r="AD916" s="5"/>
      <c r="AE916" s="5"/>
    </row>
    <row r="917">
      <c r="A917" s="14" t="s">
        <v>1618</v>
      </c>
      <c r="B917" s="19">
        <v>44307.396875</v>
      </c>
      <c r="C917" s="4">
        <v>50036.0</v>
      </c>
      <c r="D917" s="4" t="s">
        <v>1619</v>
      </c>
      <c r="E917" s="4">
        <v>9.19810009977E11</v>
      </c>
      <c r="F917" s="4">
        <v>17209.0</v>
      </c>
      <c r="G917" s="4"/>
      <c r="H917" s="4" t="s">
        <v>1320</v>
      </c>
      <c r="I917" s="4"/>
      <c r="J917" s="4" t="s">
        <v>77</v>
      </c>
      <c r="K917" s="4">
        <v>599.0</v>
      </c>
      <c r="L917" s="4"/>
      <c r="M917" s="4">
        <v>599.0</v>
      </c>
      <c r="N917" s="4" t="s">
        <v>67</v>
      </c>
      <c r="O917" s="4" t="b">
        <v>0</v>
      </c>
      <c r="P917" s="4" t="s">
        <v>74</v>
      </c>
      <c r="Q917" s="4" t="s">
        <v>69</v>
      </c>
      <c r="R917" s="4"/>
      <c r="S917" s="4"/>
      <c r="T917" s="4"/>
      <c r="U917" s="8"/>
      <c r="V917" s="4"/>
      <c r="W917" s="4"/>
      <c r="X917" s="4"/>
      <c r="Y917" s="4"/>
      <c r="Z917" s="4"/>
      <c r="AA917" s="5"/>
      <c r="AB917" s="5"/>
      <c r="AC917" s="5"/>
      <c r="AD917" s="5"/>
      <c r="AE917" s="5"/>
    </row>
    <row r="918">
      <c r="A918" s="14" t="s">
        <v>511</v>
      </c>
      <c r="B918" s="19">
        <v>44307.37982638889</v>
      </c>
      <c r="C918" s="4">
        <v>49992.0</v>
      </c>
      <c r="D918" s="4" t="s">
        <v>512</v>
      </c>
      <c r="E918" s="4">
        <v>9.18296330673E11</v>
      </c>
      <c r="F918" s="4">
        <v>17057.0</v>
      </c>
      <c r="G918" s="4"/>
      <c r="H918" s="4" t="s">
        <v>435</v>
      </c>
      <c r="I918" s="4"/>
      <c r="J918" s="4" t="s">
        <v>149</v>
      </c>
      <c r="K918" s="4">
        <v>99.0</v>
      </c>
      <c r="L918" s="4"/>
      <c r="M918" s="4">
        <v>99.0</v>
      </c>
      <c r="N918" s="4" t="s">
        <v>67</v>
      </c>
      <c r="O918" s="4" t="b">
        <v>0</v>
      </c>
      <c r="P918" s="4" t="s">
        <v>68</v>
      </c>
      <c r="Q918" s="4" t="s">
        <v>69</v>
      </c>
      <c r="R918" s="4"/>
      <c r="S918" s="4"/>
      <c r="T918" s="4"/>
      <c r="U918" s="8"/>
      <c r="V918" s="4"/>
      <c r="W918" s="4"/>
      <c r="X918" s="4"/>
      <c r="Y918" s="4"/>
      <c r="Z918" s="4"/>
      <c r="AA918" s="5"/>
      <c r="AB918" s="5"/>
      <c r="AC918" s="5"/>
      <c r="AD918" s="5"/>
      <c r="AE918" s="5"/>
    </row>
    <row r="919">
      <c r="A919" s="14" t="s">
        <v>1700</v>
      </c>
      <c r="B919" s="19">
        <v>44308.4575462963</v>
      </c>
      <c r="C919" s="4">
        <v>50009.0</v>
      </c>
      <c r="D919" s="4" t="s">
        <v>1701</v>
      </c>
      <c r="E919" s="4">
        <v>9.19032882618E11</v>
      </c>
      <c r="F919" s="4" t="s">
        <v>83</v>
      </c>
      <c r="G919" s="4"/>
      <c r="H919" s="4" t="s">
        <v>1476</v>
      </c>
      <c r="I919" s="4"/>
      <c r="J919" s="4" t="s">
        <v>149</v>
      </c>
      <c r="K919" s="4">
        <v>99.0</v>
      </c>
      <c r="L919" s="4"/>
      <c r="M919" s="4">
        <v>99.0</v>
      </c>
      <c r="N919" s="4" t="s">
        <v>67</v>
      </c>
      <c r="O919" s="4" t="b">
        <v>0</v>
      </c>
      <c r="P919" s="4" t="s">
        <v>97</v>
      </c>
      <c r="Q919" s="4" t="s">
        <v>69</v>
      </c>
      <c r="R919" s="4"/>
      <c r="S919" s="4"/>
      <c r="T919" s="4"/>
      <c r="U919" s="7"/>
      <c r="V919" s="4"/>
      <c r="W919" s="4"/>
      <c r="X919" s="4"/>
      <c r="Y919" s="4"/>
      <c r="Z919" s="4"/>
      <c r="AA919" s="5"/>
      <c r="AB919" s="5"/>
      <c r="AC919" s="5"/>
      <c r="AD919" s="5"/>
      <c r="AE919" s="5"/>
    </row>
    <row r="920">
      <c r="A920" s="14" t="s">
        <v>1702</v>
      </c>
      <c r="B920" s="19">
        <v>44308.46592592593</v>
      </c>
      <c r="C920" s="4">
        <v>50009.0</v>
      </c>
      <c r="D920" s="4" t="s">
        <v>1703</v>
      </c>
      <c r="E920" s="4">
        <v>9.19828143243E11</v>
      </c>
      <c r="F920" s="4">
        <v>17123.0</v>
      </c>
      <c r="G920" s="4"/>
      <c r="H920" s="4" t="s">
        <v>1476</v>
      </c>
      <c r="I920" s="4"/>
      <c r="J920" s="4" t="s">
        <v>149</v>
      </c>
      <c r="K920" s="4">
        <v>99.0</v>
      </c>
      <c r="L920" s="4"/>
      <c r="M920" s="4">
        <v>99.0</v>
      </c>
      <c r="N920" s="4" t="s">
        <v>67</v>
      </c>
      <c r="O920" s="4" t="b">
        <v>0</v>
      </c>
      <c r="P920" s="4" t="s">
        <v>74</v>
      </c>
      <c r="Q920" s="4" t="s">
        <v>69</v>
      </c>
      <c r="R920" s="4"/>
      <c r="S920" s="4"/>
      <c r="T920" s="4"/>
      <c r="U920" s="7"/>
      <c r="V920" s="4"/>
      <c r="W920" s="4"/>
      <c r="X920" s="4"/>
      <c r="Y920" s="4"/>
      <c r="Z920" s="4"/>
      <c r="AA920" s="5"/>
      <c r="AB920" s="5"/>
      <c r="AC920" s="5"/>
      <c r="AD920" s="5"/>
      <c r="AE920" s="5"/>
    </row>
    <row r="921">
      <c r="A921" s="14" t="s">
        <v>1620</v>
      </c>
      <c r="B921" s="19">
        <v>44307.41229166667</v>
      </c>
      <c r="C921" s="4">
        <v>50036.0</v>
      </c>
      <c r="D921" s="4" t="s">
        <v>1621</v>
      </c>
      <c r="E921" s="4">
        <v>9.19619066559E11</v>
      </c>
      <c r="F921" s="4">
        <v>17058.0</v>
      </c>
      <c r="G921" s="4"/>
      <c r="H921" s="4" t="s">
        <v>1320</v>
      </c>
      <c r="I921" s="4"/>
      <c r="J921" s="4" t="s">
        <v>149</v>
      </c>
      <c r="K921" s="4">
        <v>149.0</v>
      </c>
      <c r="L921" s="4"/>
      <c r="M921" s="4">
        <v>149.0</v>
      </c>
      <c r="N921" s="4" t="s">
        <v>67</v>
      </c>
      <c r="O921" s="4" t="b">
        <v>0</v>
      </c>
      <c r="P921" s="4" t="s">
        <v>68</v>
      </c>
      <c r="Q921" s="4" t="s">
        <v>69</v>
      </c>
      <c r="R921" s="4"/>
      <c r="S921" s="4"/>
      <c r="T921" s="4"/>
      <c r="U921" s="7"/>
      <c r="V921" s="4"/>
      <c r="W921" s="4"/>
      <c r="X921" s="4"/>
      <c r="Y921" s="4"/>
      <c r="Z921" s="4"/>
      <c r="AA921" s="5"/>
      <c r="AB921" s="5"/>
      <c r="AC921" s="5"/>
      <c r="AD921" s="5"/>
      <c r="AE921" s="5"/>
    </row>
    <row r="922">
      <c r="A922" s="14" t="s">
        <v>1622</v>
      </c>
      <c r="B922" s="19">
        <v>44307.43800925926</v>
      </c>
      <c r="C922" s="4">
        <v>50036.0</v>
      </c>
      <c r="D922" s="4" t="s">
        <v>1623</v>
      </c>
      <c r="E922" s="4">
        <v>9.19899993279E11</v>
      </c>
      <c r="F922" s="4">
        <v>17266.0</v>
      </c>
      <c r="G922" s="4"/>
      <c r="H922" s="4" t="s">
        <v>1320</v>
      </c>
      <c r="I922" s="4"/>
      <c r="J922" s="4" t="s">
        <v>149</v>
      </c>
      <c r="K922" s="4">
        <v>149.0</v>
      </c>
      <c r="L922" s="4"/>
      <c r="M922" s="4">
        <v>149.0</v>
      </c>
      <c r="N922" s="4" t="s">
        <v>67</v>
      </c>
      <c r="O922" s="4" t="b">
        <v>0</v>
      </c>
      <c r="P922" s="4" t="s">
        <v>74</v>
      </c>
      <c r="Q922" s="4" t="s">
        <v>69</v>
      </c>
      <c r="R922" s="4"/>
      <c r="S922" s="4"/>
      <c r="T922" s="4"/>
      <c r="U922" s="7"/>
      <c r="V922" s="4"/>
      <c r="W922" s="4"/>
      <c r="X922" s="4"/>
      <c r="Y922" s="4"/>
      <c r="Z922" s="4"/>
      <c r="AA922" s="5"/>
      <c r="AB922" s="5"/>
      <c r="AC922" s="5"/>
      <c r="AD922" s="5"/>
      <c r="AE922" s="5"/>
    </row>
    <row r="923">
      <c r="A923" s="14" t="s">
        <v>1624</v>
      </c>
      <c r="B923" s="19">
        <v>44307.44737268519</v>
      </c>
      <c r="C923" s="4">
        <v>49833.0</v>
      </c>
      <c r="D923" s="4" t="s">
        <v>1625</v>
      </c>
      <c r="E923" s="4">
        <v>9.19910661215E11</v>
      </c>
      <c r="F923" s="4">
        <v>17061.0</v>
      </c>
      <c r="G923" s="4"/>
      <c r="H923" s="4" t="s">
        <v>184</v>
      </c>
      <c r="I923" s="4"/>
      <c r="J923" s="4" t="s">
        <v>149</v>
      </c>
      <c r="K923" s="4">
        <v>199.0</v>
      </c>
      <c r="L923" s="4"/>
      <c r="M923" s="4">
        <v>199.0</v>
      </c>
      <c r="N923" s="4" t="s">
        <v>67</v>
      </c>
      <c r="O923" s="4" t="b">
        <v>0</v>
      </c>
      <c r="P923" s="4" t="s">
        <v>68</v>
      </c>
      <c r="Q923" s="4" t="s">
        <v>69</v>
      </c>
      <c r="R923" s="4"/>
      <c r="S923" s="4"/>
      <c r="T923" s="4"/>
      <c r="U923" s="8"/>
      <c r="V923" s="4"/>
      <c r="W923" s="4"/>
      <c r="X923" s="4"/>
      <c r="Y923" s="4"/>
      <c r="Z923" s="4"/>
      <c r="AA923" s="5"/>
      <c r="AB923" s="5"/>
      <c r="AC923" s="5"/>
      <c r="AD923" s="5"/>
      <c r="AE923" s="5"/>
    </row>
    <row r="924">
      <c r="A924" s="14" t="s">
        <v>1628</v>
      </c>
      <c r="B924" s="19">
        <v>44307.472280092596</v>
      </c>
      <c r="C924" s="4">
        <v>50036.0</v>
      </c>
      <c r="D924" s="4" t="s">
        <v>1629</v>
      </c>
      <c r="E924" s="4">
        <v>9.18369142854E11</v>
      </c>
      <c r="F924" s="4">
        <v>17242.0</v>
      </c>
      <c r="G924" s="4"/>
      <c r="H924" s="4" t="s">
        <v>1320</v>
      </c>
      <c r="I924" s="4"/>
      <c r="J924" s="4" t="s">
        <v>149</v>
      </c>
      <c r="K924" s="4">
        <v>149.0</v>
      </c>
      <c r="L924" s="4"/>
      <c r="M924" s="4">
        <v>149.0</v>
      </c>
      <c r="N924" s="4" t="s">
        <v>67</v>
      </c>
      <c r="O924" s="4" t="b">
        <v>0</v>
      </c>
      <c r="P924" s="4" t="s">
        <v>68</v>
      </c>
      <c r="Q924" s="4" t="s">
        <v>69</v>
      </c>
      <c r="R924" s="4"/>
      <c r="S924" s="4"/>
      <c r="T924" s="4"/>
      <c r="U924" s="8"/>
      <c r="V924" s="4"/>
      <c r="W924" s="4"/>
      <c r="X924" s="4"/>
      <c r="Y924" s="4"/>
      <c r="Z924" s="4"/>
      <c r="AA924" s="5"/>
      <c r="AB924" s="5"/>
      <c r="AC924" s="5"/>
      <c r="AD924" s="5"/>
      <c r="AE924" s="5"/>
    </row>
    <row r="925">
      <c r="A925" s="14" t="s">
        <v>1626</v>
      </c>
      <c r="B925" s="19">
        <v>44307.46288194445</v>
      </c>
      <c r="C925" s="4">
        <v>50036.0</v>
      </c>
      <c r="D925" s="4" t="s">
        <v>1627</v>
      </c>
      <c r="E925" s="4">
        <v>9.19004601048E11</v>
      </c>
      <c r="F925" s="4">
        <v>17149.0</v>
      </c>
      <c r="G925" s="4"/>
      <c r="H925" s="4" t="s">
        <v>1320</v>
      </c>
      <c r="I925" s="4"/>
      <c r="J925" s="4" t="s">
        <v>85</v>
      </c>
      <c r="K925" s="4">
        <v>299.0</v>
      </c>
      <c r="L925" s="4"/>
      <c r="M925" s="4">
        <v>299.0</v>
      </c>
      <c r="N925" s="4" t="s">
        <v>67</v>
      </c>
      <c r="O925" s="4" t="b">
        <v>0</v>
      </c>
      <c r="P925" s="4" t="s">
        <v>74</v>
      </c>
      <c r="Q925" s="4" t="s">
        <v>69</v>
      </c>
      <c r="R925" s="4"/>
      <c r="S925" s="4"/>
      <c r="T925" s="4"/>
      <c r="U925" s="7"/>
      <c r="V925" s="4"/>
      <c r="W925" s="4"/>
      <c r="X925" s="4"/>
      <c r="Y925" s="4"/>
      <c r="Z925" s="4"/>
      <c r="AA925" s="5"/>
      <c r="AB925" s="5"/>
      <c r="AC925" s="5"/>
      <c r="AD925" s="5"/>
      <c r="AE925" s="5"/>
    </row>
    <row r="926">
      <c r="A926" s="14" t="s">
        <v>1630</v>
      </c>
      <c r="B926" s="19">
        <v>44307.48388888889</v>
      </c>
      <c r="C926" s="4">
        <v>50036.0</v>
      </c>
      <c r="D926" s="4" t="s">
        <v>1631</v>
      </c>
      <c r="E926" s="4">
        <v>9.19611907348E11</v>
      </c>
      <c r="F926" s="4">
        <v>17153.0</v>
      </c>
      <c r="G926" s="4"/>
      <c r="H926" s="4" t="s">
        <v>1320</v>
      </c>
      <c r="I926" s="4"/>
      <c r="J926" s="4" t="s">
        <v>149</v>
      </c>
      <c r="K926" s="4">
        <v>149.0</v>
      </c>
      <c r="L926" s="4"/>
      <c r="M926" s="4">
        <v>149.0</v>
      </c>
      <c r="N926" s="4" t="s">
        <v>67</v>
      </c>
      <c r="O926" s="4" t="b">
        <v>0</v>
      </c>
      <c r="P926" s="4" t="s">
        <v>74</v>
      </c>
      <c r="Q926" s="4" t="s">
        <v>69</v>
      </c>
      <c r="R926" s="4"/>
      <c r="S926" s="4"/>
      <c r="T926" s="4"/>
      <c r="U926" s="7"/>
      <c r="V926" s="4"/>
      <c r="W926" s="4"/>
      <c r="X926" s="4"/>
      <c r="Y926" s="4"/>
      <c r="Z926" s="4"/>
      <c r="AA926" s="5"/>
      <c r="AB926" s="5"/>
      <c r="AC926" s="5"/>
      <c r="AD926" s="5"/>
      <c r="AE926" s="5"/>
    </row>
    <row r="927">
      <c r="A927" s="14" t="s">
        <v>521</v>
      </c>
      <c r="B927" s="19">
        <v>44308.555497685185</v>
      </c>
      <c r="C927" s="4">
        <v>49992.0</v>
      </c>
      <c r="D927" s="4" t="s">
        <v>522</v>
      </c>
      <c r="E927" s="4">
        <v>9.17992428426E11</v>
      </c>
      <c r="F927" s="4" t="s">
        <v>83</v>
      </c>
      <c r="G927" s="4"/>
      <c r="H927" s="4" t="s">
        <v>435</v>
      </c>
      <c r="I927" s="4"/>
      <c r="J927" s="4" t="s">
        <v>149</v>
      </c>
      <c r="K927" s="4">
        <v>99.0</v>
      </c>
      <c r="L927" s="4"/>
      <c r="M927" s="4">
        <v>99.0</v>
      </c>
      <c r="N927" s="4" t="s">
        <v>67</v>
      </c>
      <c r="O927" s="4" t="b">
        <v>0</v>
      </c>
      <c r="P927" s="4" t="s">
        <v>151</v>
      </c>
      <c r="Q927" s="4" t="s">
        <v>69</v>
      </c>
      <c r="R927" s="4"/>
      <c r="S927" s="4"/>
      <c r="T927" s="4"/>
      <c r="U927" s="8"/>
      <c r="V927" s="4"/>
      <c r="W927" s="4"/>
      <c r="X927" s="4"/>
      <c r="Y927" s="4"/>
      <c r="Z927" s="4"/>
      <c r="AA927" s="5"/>
      <c r="AB927" s="5"/>
      <c r="AC927" s="5"/>
      <c r="AD927" s="5"/>
      <c r="AE927" s="5"/>
    </row>
    <row r="928">
      <c r="A928" s="14" t="s">
        <v>1632</v>
      </c>
      <c r="B928" s="19">
        <v>44307.49733796297</v>
      </c>
      <c r="C928" s="4">
        <v>49844.0</v>
      </c>
      <c r="D928" s="4" t="s">
        <v>1633</v>
      </c>
      <c r="E928" s="4">
        <v>9.18077081384E11</v>
      </c>
      <c r="F928" s="4">
        <v>17409.0</v>
      </c>
      <c r="G928" s="4"/>
      <c r="H928" s="4" t="s">
        <v>885</v>
      </c>
      <c r="I928" s="4"/>
      <c r="J928" s="4" t="s">
        <v>85</v>
      </c>
      <c r="K928" s="4">
        <v>199.0</v>
      </c>
      <c r="L928" s="4"/>
      <c r="M928" s="4">
        <v>199.0</v>
      </c>
      <c r="N928" s="4" t="s">
        <v>67</v>
      </c>
      <c r="O928" s="4" t="b">
        <v>0</v>
      </c>
      <c r="P928" s="4" t="s">
        <v>68</v>
      </c>
      <c r="Q928" s="4" t="s">
        <v>69</v>
      </c>
      <c r="R928" s="4"/>
      <c r="S928" s="4"/>
      <c r="T928" s="4"/>
      <c r="U928" s="7"/>
      <c r="V928" s="4"/>
      <c r="W928" s="4"/>
      <c r="X928" s="4"/>
      <c r="Y928" s="4"/>
      <c r="Z928" s="4"/>
      <c r="AA928" s="5"/>
      <c r="AB928" s="5"/>
      <c r="AC928" s="5"/>
      <c r="AD928" s="5"/>
      <c r="AE928" s="5"/>
    </row>
    <row r="929">
      <c r="A929" s="14" t="s">
        <v>1634</v>
      </c>
      <c r="B929" s="19">
        <v>44307.51766203704</v>
      </c>
      <c r="C929" s="4">
        <v>50036.0</v>
      </c>
      <c r="D929" s="4" t="s">
        <v>1635</v>
      </c>
      <c r="E929" s="4">
        <v>9.19880537357E11</v>
      </c>
      <c r="F929" s="4">
        <v>17245.0</v>
      </c>
      <c r="G929" s="4"/>
      <c r="H929" s="4" t="s">
        <v>1320</v>
      </c>
      <c r="I929" s="4"/>
      <c r="J929" s="4" t="s">
        <v>149</v>
      </c>
      <c r="K929" s="4">
        <v>149.0</v>
      </c>
      <c r="L929" s="4"/>
      <c r="M929" s="4">
        <v>149.0</v>
      </c>
      <c r="N929" s="4" t="s">
        <v>67</v>
      </c>
      <c r="O929" s="4" t="b">
        <v>0</v>
      </c>
      <c r="P929" s="4" t="s">
        <v>74</v>
      </c>
      <c r="Q929" s="4" t="s">
        <v>69</v>
      </c>
      <c r="R929" s="4"/>
      <c r="S929" s="4"/>
      <c r="T929" s="4"/>
      <c r="U929" s="7"/>
      <c r="V929" s="4"/>
      <c r="W929" s="4"/>
      <c r="X929" s="4"/>
      <c r="Y929" s="4"/>
      <c r="Z929" s="4"/>
      <c r="AA929" s="5"/>
      <c r="AB929" s="5"/>
      <c r="AC929" s="5"/>
      <c r="AD929" s="5"/>
      <c r="AE929" s="5"/>
    </row>
    <row r="930">
      <c r="A930" s="14" t="s">
        <v>1706</v>
      </c>
      <c r="B930" s="19">
        <v>44308.565046296295</v>
      </c>
      <c r="C930" s="4">
        <v>50048.0</v>
      </c>
      <c r="D930" s="4" t="s">
        <v>1707</v>
      </c>
      <c r="E930" s="4">
        <v>9.18655080738E11</v>
      </c>
      <c r="F930" s="4">
        <v>17425.0</v>
      </c>
      <c r="G930" s="4"/>
      <c r="H930" s="4" t="s">
        <v>1436</v>
      </c>
      <c r="I930" s="4"/>
      <c r="J930" s="4" t="s">
        <v>1437</v>
      </c>
      <c r="K930" s="4">
        <v>149.0</v>
      </c>
      <c r="L930" s="4"/>
      <c r="M930" s="4">
        <v>149.0</v>
      </c>
      <c r="N930" s="4" t="s">
        <v>67</v>
      </c>
      <c r="O930" s="4" t="b">
        <v>0</v>
      </c>
      <c r="P930" s="4" t="s">
        <v>68</v>
      </c>
      <c r="Q930" s="4" t="s">
        <v>69</v>
      </c>
      <c r="R930" s="4"/>
      <c r="S930" s="4"/>
      <c r="T930" s="4"/>
      <c r="U930" s="7"/>
      <c r="V930" s="4"/>
      <c r="W930" s="4"/>
      <c r="X930" s="4"/>
      <c r="Y930" s="4"/>
      <c r="Z930" s="4"/>
      <c r="AA930" s="5"/>
      <c r="AB930" s="5"/>
      <c r="AC930" s="5"/>
      <c r="AD930" s="5"/>
      <c r="AE930" s="5"/>
    </row>
    <row r="931">
      <c r="A931" s="14" t="s">
        <v>1835</v>
      </c>
      <c r="B931" s="19">
        <v>44308.58293981481</v>
      </c>
      <c r="C931" s="4">
        <v>49813.0</v>
      </c>
      <c r="D931" s="4" t="s">
        <v>1836</v>
      </c>
      <c r="E931" s="4">
        <v>9.19920395854E11</v>
      </c>
      <c r="F931" s="4">
        <v>17133.0</v>
      </c>
      <c r="G931" s="4"/>
      <c r="H931" s="4" t="s">
        <v>1592</v>
      </c>
      <c r="I931" s="4"/>
      <c r="J931" s="4" t="s">
        <v>149</v>
      </c>
      <c r="K931" s="4">
        <v>149.0</v>
      </c>
      <c r="L931" s="4"/>
      <c r="M931" s="4">
        <v>149.0</v>
      </c>
      <c r="N931" s="4" t="s">
        <v>67</v>
      </c>
      <c r="O931" s="4" t="b">
        <v>0</v>
      </c>
      <c r="P931" s="4" t="s">
        <v>97</v>
      </c>
      <c r="Q931" s="4" t="s">
        <v>69</v>
      </c>
      <c r="R931" s="4"/>
      <c r="S931" s="4"/>
      <c r="T931" s="4"/>
      <c r="U931" s="7"/>
      <c r="V931" s="4"/>
      <c r="W931" s="4"/>
      <c r="X931" s="4"/>
      <c r="Y931" s="4"/>
      <c r="Z931" s="4"/>
      <c r="AA931" s="5"/>
      <c r="AB931" s="5"/>
      <c r="AC931" s="5"/>
      <c r="AD931" s="5"/>
      <c r="AE931" s="5"/>
    </row>
    <row r="932">
      <c r="A932" s="14" t="s">
        <v>1710</v>
      </c>
      <c r="B932" s="19">
        <v>44308.591412037036</v>
      </c>
      <c r="C932" s="4">
        <v>50036.0</v>
      </c>
      <c r="D932" s="4" t="s">
        <v>1711</v>
      </c>
      <c r="E932" s="4">
        <v>9.17303444877E11</v>
      </c>
      <c r="F932" s="4">
        <v>17150.0</v>
      </c>
      <c r="G932" s="4"/>
      <c r="H932" s="4" t="s">
        <v>1320</v>
      </c>
      <c r="I932" s="4"/>
      <c r="J932" s="4" t="s">
        <v>77</v>
      </c>
      <c r="K932" s="4">
        <v>599.0</v>
      </c>
      <c r="L932" s="4"/>
      <c r="M932" s="4">
        <v>599.0</v>
      </c>
      <c r="N932" s="4" t="s">
        <v>67</v>
      </c>
      <c r="O932" s="4" t="b">
        <v>0</v>
      </c>
      <c r="P932" s="4" t="s">
        <v>97</v>
      </c>
      <c r="Q932" s="4" t="s">
        <v>69</v>
      </c>
      <c r="R932" s="4"/>
      <c r="S932" s="4"/>
      <c r="T932" s="4"/>
      <c r="U932" s="7"/>
      <c r="V932" s="4"/>
      <c r="W932" s="4"/>
      <c r="X932" s="4"/>
      <c r="Y932" s="4"/>
      <c r="Z932" s="4"/>
      <c r="AA932" s="5"/>
      <c r="AB932" s="5"/>
      <c r="AC932" s="5"/>
      <c r="AD932" s="5"/>
      <c r="AE932" s="5"/>
    </row>
    <row r="933">
      <c r="A933" s="14" t="s">
        <v>1712</v>
      </c>
      <c r="B933" s="19">
        <v>44308.5934375</v>
      </c>
      <c r="C933" s="4">
        <v>50048.0</v>
      </c>
      <c r="D933" s="4" t="s">
        <v>1713</v>
      </c>
      <c r="E933" s="4">
        <v>9.19970244333E11</v>
      </c>
      <c r="F933" s="4" t="s">
        <v>83</v>
      </c>
      <c r="G933" s="4"/>
      <c r="H933" s="4" t="s">
        <v>1436</v>
      </c>
      <c r="I933" s="4"/>
      <c r="J933" s="4" t="s">
        <v>1437</v>
      </c>
      <c r="K933" s="4">
        <v>149.0</v>
      </c>
      <c r="L933" s="4"/>
      <c r="M933" s="4">
        <v>149.0</v>
      </c>
      <c r="N933" s="4" t="s">
        <v>67</v>
      </c>
      <c r="O933" s="4" t="b">
        <v>0</v>
      </c>
      <c r="P933" s="4" t="s">
        <v>74</v>
      </c>
      <c r="Q933" s="4" t="s">
        <v>69</v>
      </c>
      <c r="R933" s="4"/>
      <c r="S933" s="4"/>
      <c r="T933" s="4"/>
      <c r="U933" s="7"/>
      <c r="V933" s="4"/>
      <c r="W933" s="4"/>
      <c r="X933" s="4"/>
      <c r="Y933" s="4"/>
      <c r="Z933" s="4"/>
      <c r="AA933" s="5"/>
      <c r="AB933" s="5"/>
      <c r="AC933" s="5"/>
      <c r="AD933" s="5"/>
      <c r="AE933" s="5"/>
    </row>
    <row r="934">
      <c r="A934" s="14" t="s">
        <v>1636</v>
      </c>
      <c r="B934" s="19">
        <v>44307.53653935185</v>
      </c>
      <c r="C934" s="4">
        <v>49877.0</v>
      </c>
      <c r="D934" s="4" t="s">
        <v>1637</v>
      </c>
      <c r="E934" s="4">
        <v>9.19906944569E11</v>
      </c>
      <c r="F934" s="4">
        <v>17065.0</v>
      </c>
      <c r="G934" s="4"/>
      <c r="H934" s="4" t="s">
        <v>280</v>
      </c>
      <c r="I934" s="4"/>
      <c r="J934" s="4" t="s">
        <v>85</v>
      </c>
      <c r="K934" s="4">
        <v>99.0</v>
      </c>
      <c r="L934" s="4"/>
      <c r="M934" s="4">
        <v>99.0</v>
      </c>
      <c r="N934" s="4" t="s">
        <v>67</v>
      </c>
      <c r="O934" s="4" t="b">
        <v>0</v>
      </c>
      <c r="P934" s="4" t="s">
        <v>74</v>
      </c>
      <c r="Q934" s="4" t="s">
        <v>69</v>
      </c>
      <c r="R934" s="4"/>
      <c r="S934" s="4"/>
      <c r="T934" s="4"/>
      <c r="U934" s="8"/>
      <c r="V934" s="4"/>
      <c r="W934" s="4"/>
      <c r="X934" s="4"/>
      <c r="Y934" s="4"/>
      <c r="Z934" s="4"/>
      <c r="AA934" s="5"/>
      <c r="AB934" s="5"/>
      <c r="AC934" s="5"/>
      <c r="AD934" s="5"/>
      <c r="AE934" s="5"/>
    </row>
    <row r="935">
      <c r="A935" s="14" t="s">
        <v>1638</v>
      </c>
      <c r="B935" s="19">
        <v>44307.54677083333</v>
      </c>
      <c r="C935" s="4">
        <v>50036.0</v>
      </c>
      <c r="D935" s="4" t="s">
        <v>1639</v>
      </c>
      <c r="E935" s="4">
        <v>9.19962028061E11</v>
      </c>
      <c r="F935" s="4">
        <v>17154.0</v>
      </c>
      <c r="G935" s="4"/>
      <c r="H935" s="4" t="s">
        <v>1320</v>
      </c>
      <c r="I935" s="4"/>
      <c r="J935" s="4" t="s">
        <v>77</v>
      </c>
      <c r="K935" s="4">
        <v>599.0</v>
      </c>
      <c r="L935" s="4"/>
      <c r="M935" s="4">
        <v>599.0</v>
      </c>
      <c r="N935" s="4" t="s">
        <v>67</v>
      </c>
      <c r="O935" s="4" t="b">
        <v>0</v>
      </c>
      <c r="P935" s="4" t="s">
        <v>97</v>
      </c>
      <c r="Q935" s="4" t="s">
        <v>69</v>
      </c>
      <c r="R935" s="4"/>
      <c r="S935" s="4"/>
      <c r="T935" s="4"/>
      <c r="U935" s="7"/>
      <c r="V935" s="4"/>
      <c r="W935" s="4"/>
      <c r="X935" s="4"/>
      <c r="Y935" s="4"/>
      <c r="Z935" s="4"/>
      <c r="AA935" s="5"/>
      <c r="AB935" s="5"/>
      <c r="AC935" s="5"/>
      <c r="AD935" s="5"/>
      <c r="AE935" s="5"/>
    </row>
    <row r="936">
      <c r="A936" s="14" t="s">
        <v>1714</v>
      </c>
      <c r="B936" s="19">
        <v>44308.64925925926</v>
      </c>
      <c r="C936" s="4">
        <v>50048.0</v>
      </c>
      <c r="D936" s="4" t="s">
        <v>1715</v>
      </c>
      <c r="E936" s="4">
        <v>9.17697772999E11</v>
      </c>
      <c r="F936" s="4">
        <v>17151.0</v>
      </c>
      <c r="G936" s="4"/>
      <c r="H936" s="4" t="s">
        <v>1436</v>
      </c>
      <c r="I936" s="4"/>
      <c r="J936" s="4" t="s">
        <v>1437</v>
      </c>
      <c r="K936" s="4">
        <v>149.0</v>
      </c>
      <c r="L936" s="4"/>
      <c r="M936" s="4">
        <v>149.0</v>
      </c>
      <c r="N936" s="4" t="s">
        <v>67</v>
      </c>
      <c r="O936" s="4" t="b">
        <v>0</v>
      </c>
      <c r="P936" s="4" t="s">
        <v>74</v>
      </c>
      <c r="Q936" s="4" t="s">
        <v>69</v>
      </c>
      <c r="R936" s="4"/>
      <c r="S936" s="4"/>
      <c r="T936" s="4"/>
      <c r="U936" s="7"/>
      <c r="V936" s="4"/>
      <c r="W936" s="4"/>
      <c r="X936" s="4"/>
      <c r="Y936" s="4"/>
      <c r="Z936" s="4"/>
      <c r="AA936" s="5"/>
      <c r="AB936" s="5"/>
      <c r="AC936" s="5"/>
      <c r="AD936" s="5"/>
      <c r="AE936" s="5"/>
    </row>
    <row r="937">
      <c r="A937" s="14" t="s">
        <v>515</v>
      </c>
      <c r="B937" s="19">
        <v>44307.61188657407</v>
      </c>
      <c r="C937" s="4">
        <v>49992.0</v>
      </c>
      <c r="D937" s="4" t="s">
        <v>516</v>
      </c>
      <c r="E937" s="4">
        <v>9.19910618845E11</v>
      </c>
      <c r="F937" s="4">
        <v>17074.0</v>
      </c>
      <c r="G937" s="4"/>
      <c r="H937" s="4" t="s">
        <v>435</v>
      </c>
      <c r="I937" s="4"/>
      <c r="J937" s="4" t="s">
        <v>85</v>
      </c>
      <c r="K937" s="4">
        <v>199.0</v>
      </c>
      <c r="L937" s="4"/>
      <c r="M937" s="4">
        <v>199.0</v>
      </c>
      <c r="N937" s="4" t="s">
        <v>67</v>
      </c>
      <c r="O937" s="4" t="b">
        <v>0</v>
      </c>
      <c r="P937" s="4" t="s">
        <v>68</v>
      </c>
      <c r="Q937" s="4" t="s">
        <v>69</v>
      </c>
      <c r="R937" s="4"/>
      <c r="S937" s="4"/>
      <c r="T937" s="4"/>
      <c r="U937" s="7"/>
      <c r="V937" s="4"/>
      <c r="W937" s="4"/>
      <c r="X937" s="4"/>
      <c r="Y937" s="4"/>
      <c r="Z937" s="4"/>
      <c r="AA937" s="5"/>
      <c r="AB937" s="5"/>
      <c r="AC937" s="5"/>
      <c r="AD937" s="5"/>
      <c r="AE937" s="5"/>
    </row>
    <row r="938">
      <c r="A938" s="14" t="s">
        <v>1819</v>
      </c>
      <c r="B938" s="19">
        <v>44307.633356481485</v>
      </c>
      <c r="C938" s="4">
        <v>49813.0</v>
      </c>
      <c r="D938" s="4" t="s">
        <v>1820</v>
      </c>
      <c r="E938" s="4">
        <v>9.18830865246E11</v>
      </c>
      <c r="F938" s="4">
        <v>17076.0</v>
      </c>
      <c r="G938" s="4"/>
      <c r="H938" s="4" t="s">
        <v>1592</v>
      </c>
      <c r="I938" s="4"/>
      <c r="J938" s="4" t="s">
        <v>149</v>
      </c>
      <c r="K938" s="4">
        <v>149.0</v>
      </c>
      <c r="L938" s="4"/>
      <c r="M938" s="4">
        <v>149.0</v>
      </c>
      <c r="N938" s="4" t="s">
        <v>67</v>
      </c>
      <c r="O938" s="4" t="b">
        <v>0</v>
      </c>
      <c r="P938" s="4" t="s">
        <v>68</v>
      </c>
      <c r="Q938" s="4" t="s">
        <v>69</v>
      </c>
      <c r="R938" s="4"/>
      <c r="S938" s="4"/>
      <c r="T938" s="4"/>
      <c r="U938" s="7"/>
      <c r="V938" s="4"/>
      <c r="W938" s="4"/>
      <c r="X938" s="4"/>
      <c r="Y938" s="4"/>
      <c r="Z938" s="4"/>
      <c r="AA938" s="5"/>
      <c r="AB938" s="5"/>
      <c r="AC938" s="5"/>
      <c r="AD938" s="5"/>
      <c r="AE938" s="5"/>
    </row>
    <row r="939">
      <c r="A939" s="14" t="s">
        <v>1716</v>
      </c>
      <c r="B939" s="19">
        <v>44308.67736111111</v>
      </c>
      <c r="C939" s="4">
        <v>49833.0</v>
      </c>
      <c r="D939" s="4" t="s">
        <v>1717</v>
      </c>
      <c r="E939" s="4">
        <v>9.19676592917E11</v>
      </c>
      <c r="F939" s="4">
        <v>17134.0</v>
      </c>
      <c r="G939" s="4"/>
      <c r="H939" s="4" t="s">
        <v>184</v>
      </c>
      <c r="I939" s="4"/>
      <c r="J939" s="4" t="s">
        <v>149</v>
      </c>
      <c r="K939" s="4">
        <v>199.0</v>
      </c>
      <c r="L939" s="4"/>
      <c r="M939" s="4">
        <v>199.0</v>
      </c>
      <c r="N939" s="4" t="s">
        <v>67</v>
      </c>
      <c r="O939" s="4" t="b">
        <v>0</v>
      </c>
      <c r="P939" s="4" t="s">
        <v>151</v>
      </c>
      <c r="Q939" s="4" t="s">
        <v>69</v>
      </c>
      <c r="R939" s="4"/>
      <c r="S939" s="4"/>
      <c r="T939" s="4"/>
      <c r="U939" s="7"/>
      <c r="V939" s="4"/>
      <c r="W939" s="4"/>
      <c r="X939" s="4"/>
      <c r="Y939" s="4"/>
      <c r="Z939" s="4"/>
      <c r="AA939" s="5"/>
      <c r="AB939" s="5"/>
      <c r="AC939" s="5"/>
      <c r="AD939" s="5"/>
      <c r="AE939" s="5"/>
    </row>
    <row r="940">
      <c r="A940" s="14" t="s">
        <v>1644</v>
      </c>
      <c r="B940" s="19">
        <v>44307.61800925926</v>
      </c>
      <c r="C940" s="4">
        <v>49994.0</v>
      </c>
      <c r="D940" s="4" t="s">
        <v>1645</v>
      </c>
      <c r="E940" s="4">
        <v>9.19552537534E11</v>
      </c>
      <c r="F940" s="4">
        <v>17075.0</v>
      </c>
      <c r="G940" s="4"/>
      <c r="H940" s="4" t="s">
        <v>1264</v>
      </c>
      <c r="I940" s="4"/>
      <c r="J940" s="4" t="s">
        <v>149</v>
      </c>
      <c r="K940" s="4">
        <v>99.0</v>
      </c>
      <c r="L940" s="4"/>
      <c r="M940" s="4">
        <v>99.0</v>
      </c>
      <c r="N940" s="4" t="s">
        <v>67</v>
      </c>
      <c r="O940" s="4" t="b">
        <v>0</v>
      </c>
      <c r="P940" s="4" t="s">
        <v>68</v>
      </c>
      <c r="Q940" s="4" t="s">
        <v>69</v>
      </c>
      <c r="R940" s="4"/>
      <c r="S940" s="4"/>
      <c r="T940" s="4"/>
      <c r="U940" s="8"/>
      <c r="V940" s="4"/>
      <c r="W940" s="4"/>
      <c r="X940" s="4"/>
      <c r="Y940" s="4"/>
      <c r="Z940" s="4"/>
      <c r="AA940" s="5"/>
      <c r="AB940" s="5"/>
      <c r="AC940" s="5"/>
      <c r="AD940" s="5"/>
      <c r="AE940" s="5"/>
    </row>
    <row r="941">
      <c r="A941" s="14" t="s">
        <v>2047</v>
      </c>
      <c r="B941" s="19">
        <v>44308.695069444446</v>
      </c>
      <c r="C941" s="4">
        <v>49995.0</v>
      </c>
      <c r="D941" s="4" t="s">
        <v>2048</v>
      </c>
      <c r="E941" s="4">
        <v>9.19832373156E11</v>
      </c>
      <c r="F941" s="4" t="s">
        <v>83</v>
      </c>
      <c r="G941" s="4"/>
      <c r="H941" s="4" t="s">
        <v>2005</v>
      </c>
      <c r="I941" s="4"/>
      <c r="J941" s="4" t="s">
        <v>149</v>
      </c>
      <c r="K941" s="4">
        <v>99.0</v>
      </c>
      <c r="L941" s="4"/>
      <c r="M941" s="4">
        <v>99.0</v>
      </c>
      <c r="N941" s="4" t="s">
        <v>67</v>
      </c>
      <c r="O941" s="4" t="b">
        <v>0</v>
      </c>
      <c r="P941" s="4" t="s">
        <v>68</v>
      </c>
      <c r="Q941" s="4" t="s">
        <v>69</v>
      </c>
      <c r="R941" s="4"/>
      <c r="S941" s="4"/>
      <c r="T941" s="4"/>
      <c r="U941" s="7"/>
      <c r="V941" s="4"/>
      <c r="W941" s="4"/>
      <c r="X941" s="4"/>
      <c r="Y941" s="4"/>
      <c r="Z941" s="4"/>
      <c r="AA941" s="5"/>
      <c r="AB941" s="5"/>
      <c r="AC941" s="5"/>
      <c r="AD941" s="5"/>
      <c r="AE941" s="5"/>
    </row>
    <row r="942">
      <c r="A942" s="14" t="s">
        <v>1646</v>
      </c>
      <c r="B942" s="19">
        <v>44307.62155092593</v>
      </c>
      <c r="C942" s="4">
        <v>49833.0</v>
      </c>
      <c r="D942" s="4" t="s">
        <v>1647</v>
      </c>
      <c r="E942" s="4">
        <v>9.1907600124E11</v>
      </c>
      <c r="F942" s="4" t="s">
        <v>83</v>
      </c>
      <c r="G942" s="4"/>
      <c r="H942" s="4" t="s">
        <v>184</v>
      </c>
      <c r="I942" s="4"/>
      <c r="J942" s="4" t="s">
        <v>149</v>
      </c>
      <c r="K942" s="4">
        <v>199.0</v>
      </c>
      <c r="L942" s="4"/>
      <c r="M942" s="4">
        <v>199.0</v>
      </c>
      <c r="N942" s="4" t="s">
        <v>67</v>
      </c>
      <c r="O942" s="4" t="b">
        <v>0</v>
      </c>
      <c r="P942" s="4" t="s">
        <v>97</v>
      </c>
      <c r="Q942" s="4" t="s">
        <v>69</v>
      </c>
      <c r="R942" s="4"/>
      <c r="S942" s="4"/>
      <c r="T942" s="4"/>
      <c r="U942" s="7"/>
      <c r="V942" s="4"/>
      <c r="W942" s="4"/>
      <c r="X942" s="4"/>
      <c r="Y942" s="4"/>
      <c r="Z942" s="4"/>
      <c r="AA942" s="5"/>
      <c r="AB942" s="5"/>
      <c r="AC942" s="5"/>
      <c r="AD942" s="5"/>
      <c r="AE942" s="5"/>
    </row>
    <row r="943">
      <c r="A943" s="14" t="s">
        <v>1720</v>
      </c>
      <c r="B943" s="19">
        <v>44308.73894675926</v>
      </c>
      <c r="C943" s="4">
        <v>49833.0</v>
      </c>
      <c r="D943" s="4" t="s">
        <v>1721</v>
      </c>
      <c r="E943" s="4">
        <v>9.1901037932E11</v>
      </c>
      <c r="F943" s="4">
        <v>17135.0</v>
      </c>
      <c r="G943" s="4"/>
      <c r="H943" s="4" t="s">
        <v>184</v>
      </c>
      <c r="I943" s="4"/>
      <c r="J943" s="4" t="s">
        <v>149</v>
      </c>
      <c r="K943" s="4">
        <v>199.0</v>
      </c>
      <c r="L943" s="4"/>
      <c r="M943" s="4">
        <v>199.0</v>
      </c>
      <c r="N943" s="4" t="s">
        <v>67</v>
      </c>
      <c r="O943" s="4" t="b">
        <v>0</v>
      </c>
      <c r="P943" s="4" t="s">
        <v>68</v>
      </c>
      <c r="Q943" s="4" t="s">
        <v>69</v>
      </c>
      <c r="R943" s="4"/>
      <c r="S943" s="4"/>
      <c r="T943" s="4"/>
      <c r="U943" s="7"/>
      <c r="V943" s="4"/>
      <c r="W943" s="4"/>
      <c r="X943" s="4"/>
      <c r="Y943" s="4"/>
      <c r="Z943" s="4"/>
      <c r="AA943" s="5"/>
      <c r="AB943" s="5"/>
      <c r="AC943" s="5"/>
      <c r="AD943" s="5"/>
      <c r="AE943" s="5"/>
    </row>
    <row r="944">
      <c r="A944" s="14" t="s">
        <v>1650</v>
      </c>
      <c r="B944" s="19">
        <v>44307.66274305555</v>
      </c>
      <c r="C944" s="4">
        <v>49834.0</v>
      </c>
      <c r="D944" s="4" t="s">
        <v>1651</v>
      </c>
      <c r="E944" s="4">
        <v>9.18369522168E11</v>
      </c>
      <c r="F944" s="4">
        <v>17077.0</v>
      </c>
      <c r="G944" s="4"/>
      <c r="H944" s="4" t="s">
        <v>960</v>
      </c>
      <c r="I944" s="4"/>
      <c r="J944" s="4" t="s">
        <v>149</v>
      </c>
      <c r="K944" s="4">
        <v>99.0</v>
      </c>
      <c r="L944" s="4"/>
      <c r="M944" s="4">
        <v>99.0</v>
      </c>
      <c r="N944" s="4" t="s">
        <v>67</v>
      </c>
      <c r="O944" s="4" t="b">
        <v>0</v>
      </c>
      <c r="P944" s="4" t="s">
        <v>97</v>
      </c>
      <c r="Q944" s="4" t="s">
        <v>69</v>
      </c>
      <c r="R944" s="4"/>
      <c r="S944" s="4"/>
      <c r="T944" s="4"/>
      <c r="U944" s="7"/>
      <c r="V944" s="4"/>
      <c r="W944" s="4"/>
      <c r="X944" s="4"/>
      <c r="Y944" s="4"/>
      <c r="Z944" s="4"/>
      <c r="AA944" s="5"/>
      <c r="AB944" s="5"/>
      <c r="AC944" s="5"/>
      <c r="AD944" s="5"/>
      <c r="AE944" s="5"/>
    </row>
    <row r="945">
      <c r="A945" s="14" t="s">
        <v>2023</v>
      </c>
      <c r="B945" s="19">
        <v>44307.69740740741</v>
      </c>
      <c r="C945" s="4">
        <v>49995.0</v>
      </c>
      <c r="D945" s="4" t="s">
        <v>2024</v>
      </c>
      <c r="E945" s="4">
        <v>9.19653788188E11</v>
      </c>
      <c r="F945" s="4">
        <v>17079.0</v>
      </c>
      <c r="G945" s="4"/>
      <c r="H945" s="4" t="s">
        <v>2005</v>
      </c>
      <c r="I945" s="4"/>
      <c r="J945" s="4" t="s">
        <v>1442</v>
      </c>
      <c r="K945" s="4">
        <v>199.0</v>
      </c>
      <c r="L945" s="4"/>
      <c r="M945" s="4">
        <v>199.0</v>
      </c>
      <c r="N945" s="4" t="s">
        <v>67</v>
      </c>
      <c r="O945" s="4" t="b">
        <v>0</v>
      </c>
      <c r="P945" s="4" t="s">
        <v>68</v>
      </c>
      <c r="Q945" s="4" t="s">
        <v>69</v>
      </c>
      <c r="R945" s="4"/>
      <c r="S945" s="4"/>
      <c r="T945" s="4"/>
      <c r="U945" s="7"/>
      <c r="V945" s="4"/>
      <c r="W945" s="4"/>
      <c r="X945" s="4"/>
      <c r="Y945" s="4"/>
      <c r="Z945" s="4"/>
      <c r="AA945" s="5"/>
      <c r="AB945" s="5"/>
      <c r="AC945" s="5"/>
      <c r="AD945" s="5"/>
      <c r="AE945" s="5"/>
    </row>
    <row r="946">
      <c r="A946" s="14" t="s">
        <v>1724</v>
      </c>
      <c r="B946" s="19">
        <v>44308.787465277775</v>
      </c>
      <c r="C946" s="4">
        <v>49993.0</v>
      </c>
      <c r="D946" s="4" t="s">
        <v>1725</v>
      </c>
      <c r="E946" s="4">
        <v>9.18452844348E11</v>
      </c>
      <c r="F946" s="4" t="s">
        <v>83</v>
      </c>
      <c r="G946" s="4"/>
      <c r="H946" s="4" t="s">
        <v>1104</v>
      </c>
      <c r="I946" s="4"/>
      <c r="J946" s="4" t="s">
        <v>149</v>
      </c>
      <c r="K946" s="4">
        <v>199.0</v>
      </c>
      <c r="L946" s="4"/>
      <c r="M946" s="4">
        <v>199.0</v>
      </c>
      <c r="N946" s="4" t="s">
        <v>67</v>
      </c>
      <c r="O946" s="4" t="b">
        <v>0</v>
      </c>
      <c r="P946" s="4" t="s">
        <v>74</v>
      </c>
      <c r="Q946" s="4" t="s">
        <v>69</v>
      </c>
      <c r="R946" s="4"/>
      <c r="S946" s="4"/>
      <c r="T946" s="4"/>
      <c r="U946" s="7"/>
      <c r="V946" s="4"/>
      <c r="W946" s="4"/>
      <c r="X946" s="4"/>
      <c r="Y946" s="4"/>
      <c r="Z946" s="4"/>
      <c r="AA946" s="5"/>
      <c r="AB946" s="5"/>
      <c r="AC946" s="5"/>
      <c r="AD946" s="5"/>
      <c r="AE946" s="5"/>
    </row>
    <row r="947">
      <c r="A947" s="14" t="s">
        <v>1722</v>
      </c>
      <c r="B947" s="19">
        <v>44308.771145833336</v>
      </c>
      <c r="C947" s="4">
        <v>49997.0</v>
      </c>
      <c r="D947" s="4" t="s">
        <v>1723</v>
      </c>
      <c r="E947" s="4">
        <v>9.16289013189E11</v>
      </c>
      <c r="F947" s="4">
        <v>17180.0</v>
      </c>
      <c r="G947" s="4"/>
      <c r="H947" s="4" t="s">
        <v>1059</v>
      </c>
      <c r="I947" s="4"/>
      <c r="J947" s="4" t="s">
        <v>149</v>
      </c>
      <c r="K947" s="4">
        <v>99.0</v>
      </c>
      <c r="L947" s="4"/>
      <c r="M947" s="4">
        <v>99.0</v>
      </c>
      <c r="N947" s="4" t="s">
        <v>67</v>
      </c>
      <c r="O947" s="4" t="b">
        <v>0</v>
      </c>
      <c r="P947" s="4" t="s">
        <v>74</v>
      </c>
      <c r="Q947" s="4" t="s">
        <v>69</v>
      </c>
      <c r="R947" s="4"/>
      <c r="S947" s="4"/>
      <c r="T947" s="4"/>
      <c r="U947" s="7"/>
      <c r="V947" s="4"/>
      <c r="W947" s="4"/>
      <c r="X947" s="4"/>
      <c r="Y947" s="4"/>
      <c r="Z947" s="4"/>
      <c r="AA947" s="5"/>
      <c r="AB947" s="5"/>
      <c r="AC947" s="5"/>
      <c r="AD947" s="5"/>
      <c r="AE947" s="5"/>
    </row>
    <row r="948">
      <c r="A948" s="14" t="s">
        <v>1654</v>
      </c>
      <c r="B948" s="19">
        <v>44307.73701388889</v>
      </c>
      <c r="C948" s="4">
        <v>49997.0</v>
      </c>
      <c r="D948" s="4" t="s">
        <v>1655</v>
      </c>
      <c r="E948" s="4">
        <v>9.18887837198E11</v>
      </c>
      <c r="F948" s="4">
        <v>17473.0</v>
      </c>
      <c r="G948" s="4"/>
      <c r="H948" s="4" t="s">
        <v>1059</v>
      </c>
      <c r="I948" s="4"/>
      <c r="J948" s="4" t="s">
        <v>149</v>
      </c>
      <c r="K948" s="4">
        <v>99.0</v>
      </c>
      <c r="L948" s="4"/>
      <c r="M948" s="4">
        <v>99.0</v>
      </c>
      <c r="N948" s="4" t="s">
        <v>67</v>
      </c>
      <c r="O948" s="4" t="b">
        <v>0</v>
      </c>
      <c r="P948" s="4" t="s">
        <v>68</v>
      </c>
      <c r="Q948" s="4" t="s">
        <v>69</v>
      </c>
      <c r="R948" s="4"/>
      <c r="S948" s="4"/>
      <c r="T948" s="4"/>
      <c r="U948" s="7"/>
      <c r="V948" s="4"/>
      <c r="W948" s="4"/>
      <c r="X948" s="4"/>
      <c r="Y948" s="4"/>
      <c r="Z948" s="4"/>
      <c r="AA948" s="5"/>
      <c r="AB948" s="5"/>
      <c r="AC948" s="5"/>
      <c r="AD948" s="5"/>
      <c r="AE948" s="5"/>
    </row>
    <row r="949">
      <c r="A949" s="14" t="s">
        <v>1729</v>
      </c>
      <c r="B949" s="19">
        <v>44308.81851851852</v>
      </c>
      <c r="C949" s="4">
        <v>49997.0</v>
      </c>
      <c r="D949" s="4" t="s">
        <v>1730</v>
      </c>
      <c r="E949" s="4">
        <v>9.19997428605E11</v>
      </c>
      <c r="F949" s="4">
        <v>17241.0</v>
      </c>
      <c r="G949" s="4"/>
      <c r="H949" s="4" t="s">
        <v>1059</v>
      </c>
      <c r="I949" s="4"/>
      <c r="J949" s="4" t="s">
        <v>149</v>
      </c>
      <c r="K949" s="4">
        <v>99.0</v>
      </c>
      <c r="L949" s="4"/>
      <c r="M949" s="4">
        <v>99.0</v>
      </c>
      <c r="N949" s="4" t="s">
        <v>67</v>
      </c>
      <c r="O949" s="4" t="b">
        <v>0</v>
      </c>
      <c r="P949" s="4" t="s">
        <v>68</v>
      </c>
      <c r="Q949" s="4" t="s">
        <v>69</v>
      </c>
      <c r="R949" s="4"/>
      <c r="S949" s="4"/>
      <c r="T949" s="4"/>
      <c r="U949" s="7"/>
      <c r="V949" s="4"/>
      <c r="W949" s="4"/>
      <c r="X949" s="4"/>
      <c r="Y949" s="4"/>
      <c r="Z949" s="4"/>
      <c r="AA949" s="5"/>
      <c r="AB949" s="5"/>
      <c r="AC949" s="5"/>
      <c r="AD949" s="5"/>
      <c r="AE949" s="5"/>
    </row>
    <row r="950">
      <c r="A950" s="14" t="s">
        <v>1726</v>
      </c>
      <c r="B950" s="19">
        <v>44308.805393518516</v>
      </c>
      <c r="C950" s="4">
        <v>50033.0</v>
      </c>
      <c r="D950" s="4" t="s">
        <v>1728</v>
      </c>
      <c r="E950" s="4">
        <v>9.179814479E11</v>
      </c>
      <c r="F950" s="4">
        <v>17188.0</v>
      </c>
      <c r="G950" s="4"/>
      <c r="H950" s="4" t="s">
        <v>1727</v>
      </c>
      <c r="I950" s="4"/>
      <c r="J950" s="4" t="s">
        <v>1442</v>
      </c>
      <c r="K950" s="4">
        <v>199.0</v>
      </c>
      <c r="L950" s="4"/>
      <c r="M950" s="4">
        <v>199.0</v>
      </c>
      <c r="N950" s="4" t="s">
        <v>67</v>
      </c>
      <c r="O950" s="4" t="b">
        <v>0</v>
      </c>
      <c r="P950" s="4" t="s">
        <v>68</v>
      </c>
      <c r="Q950" s="4" t="s">
        <v>69</v>
      </c>
      <c r="R950" s="4"/>
      <c r="S950" s="4"/>
      <c r="T950" s="4"/>
      <c r="U950" s="7"/>
      <c r="V950" s="4"/>
      <c r="W950" s="4"/>
      <c r="X950" s="4"/>
      <c r="Y950" s="4"/>
      <c r="Z950" s="4"/>
      <c r="AA950" s="5"/>
      <c r="AB950" s="5"/>
      <c r="AC950" s="5"/>
      <c r="AD950" s="5"/>
      <c r="AE950" s="5"/>
    </row>
    <row r="951">
      <c r="A951" s="14" t="s">
        <v>1731</v>
      </c>
      <c r="B951" s="19">
        <v>44308.828680555554</v>
      </c>
      <c r="C951" s="4">
        <v>50048.0</v>
      </c>
      <c r="D951" s="4" t="s">
        <v>1732</v>
      </c>
      <c r="E951" s="4">
        <v>9.19820988059E11</v>
      </c>
      <c r="F951" s="4">
        <v>17172.0</v>
      </c>
      <c r="G951" s="4"/>
      <c r="H951" s="4" t="s">
        <v>1582</v>
      </c>
      <c r="I951" s="4"/>
      <c r="J951" s="4" t="s">
        <v>77</v>
      </c>
      <c r="K951" s="4">
        <v>599.0</v>
      </c>
      <c r="L951" s="4"/>
      <c r="M951" s="4">
        <v>599.0</v>
      </c>
      <c r="N951" s="4" t="s">
        <v>67</v>
      </c>
      <c r="O951" s="4" t="b">
        <v>0</v>
      </c>
      <c r="P951" s="4" t="s">
        <v>68</v>
      </c>
      <c r="Q951" s="4" t="s">
        <v>69</v>
      </c>
      <c r="R951" s="4"/>
      <c r="S951" s="4"/>
      <c r="T951" s="4"/>
      <c r="U951" s="7"/>
      <c r="V951" s="4"/>
      <c r="W951" s="4"/>
      <c r="X951" s="4"/>
      <c r="Y951" s="4"/>
      <c r="Z951" s="4"/>
      <c r="AA951" s="5"/>
      <c r="AB951" s="5"/>
      <c r="AC951" s="5"/>
      <c r="AD951" s="5"/>
      <c r="AE951" s="5"/>
    </row>
    <row r="952">
      <c r="A952" s="14" t="s">
        <v>1733</v>
      </c>
      <c r="B952" s="19">
        <v>44308.83524305555</v>
      </c>
      <c r="C952" s="4">
        <v>50048.0</v>
      </c>
      <c r="D952" s="4" t="s">
        <v>1734</v>
      </c>
      <c r="E952" s="4">
        <v>9.18655796266E11</v>
      </c>
      <c r="F952" s="4" t="s">
        <v>83</v>
      </c>
      <c r="G952" s="4"/>
      <c r="H952" s="4" t="s">
        <v>1436</v>
      </c>
      <c r="I952" s="4"/>
      <c r="J952" s="4" t="s">
        <v>1442</v>
      </c>
      <c r="K952" s="4">
        <v>299.0</v>
      </c>
      <c r="L952" s="4"/>
      <c r="M952" s="4">
        <v>299.0</v>
      </c>
      <c r="N952" s="4" t="s">
        <v>67</v>
      </c>
      <c r="O952" s="4" t="b">
        <v>0</v>
      </c>
      <c r="P952" s="4" t="s">
        <v>68</v>
      </c>
      <c r="Q952" s="4" t="s">
        <v>69</v>
      </c>
      <c r="R952" s="4"/>
      <c r="S952" s="4"/>
      <c r="T952" s="4"/>
      <c r="U952" s="7"/>
      <c r="V952" s="4"/>
      <c r="W952" s="4"/>
      <c r="X952" s="4"/>
      <c r="Y952" s="4"/>
      <c r="Z952" s="4"/>
      <c r="AA952" s="5"/>
      <c r="AB952" s="5"/>
      <c r="AC952" s="5"/>
      <c r="AD952" s="5"/>
      <c r="AE952" s="5"/>
    </row>
    <row r="953">
      <c r="A953" s="14" t="s">
        <v>1735</v>
      </c>
      <c r="B953" s="19">
        <v>44308.844513888886</v>
      </c>
      <c r="C953" s="4">
        <v>50048.0</v>
      </c>
      <c r="D953" s="4" t="s">
        <v>1736</v>
      </c>
      <c r="E953" s="4">
        <v>9.18655848297E11</v>
      </c>
      <c r="F953" s="4">
        <v>17147.0</v>
      </c>
      <c r="G953" s="4"/>
      <c r="H953" s="4" t="s">
        <v>1436</v>
      </c>
      <c r="I953" s="4"/>
      <c r="J953" s="4" t="s">
        <v>1437</v>
      </c>
      <c r="K953" s="4">
        <v>149.0</v>
      </c>
      <c r="L953" s="4"/>
      <c r="M953" s="4">
        <v>149.0</v>
      </c>
      <c r="N953" s="4" t="s">
        <v>67</v>
      </c>
      <c r="O953" s="4" t="b">
        <v>0</v>
      </c>
      <c r="P953" s="4" t="s">
        <v>97</v>
      </c>
      <c r="Q953" s="4" t="s">
        <v>69</v>
      </c>
      <c r="R953" s="4"/>
      <c r="S953" s="4"/>
      <c r="T953" s="4"/>
      <c r="U953" s="7"/>
      <c r="V953" s="4"/>
      <c r="W953" s="4"/>
      <c r="X953" s="4"/>
      <c r="Y953" s="4"/>
      <c r="Z953" s="4"/>
      <c r="AA953" s="5"/>
      <c r="AB953" s="5"/>
      <c r="AC953" s="5"/>
      <c r="AD953" s="5"/>
      <c r="AE953" s="5"/>
    </row>
    <row r="954">
      <c r="A954" s="14" t="s">
        <v>2272</v>
      </c>
      <c r="B954" s="19">
        <v>44308.861921296295</v>
      </c>
      <c r="C954" s="4">
        <v>49854.0</v>
      </c>
      <c r="D954" s="4" t="s">
        <v>2273</v>
      </c>
      <c r="E954" s="4">
        <v>9.18872040017E11</v>
      </c>
      <c r="F954" s="4">
        <v>17143.0</v>
      </c>
      <c r="G954" s="4"/>
      <c r="H954" s="4" t="s">
        <v>2161</v>
      </c>
      <c r="I954" s="4"/>
      <c r="J954" s="4" t="s">
        <v>85</v>
      </c>
      <c r="K954" s="4">
        <v>599.0</v>
      </c>
      <c r="L954" s="4"/>
      <c r="M954" s="4">
        <v>599.0</v>
      </c>
      <c r="N954" s="4" t="s">
        <v>67</v>
      </c>
      <c r="O954" s="4" t="b">
        <v>0</v>
      </c>
      <c r="P954" s="4" t="s">
        <v>97</v>
      </c>
      <c r="Q954" s="4" t="s">
        <v>69</v>
      </c>
      <c r="R954" s="4"/>
      <c r="S954" s="4"/>
      <c r="T954" s="4"/>
      <c r="U954" s="7"/>
      <c r="V954" s="4"/>
      <c r="W954" s="4"/>
      <c r="X954" s="4"/>
      <c r="Y954" s="4"/>
      <c r="Z954" s="4"/>
      <c r="AA954" s="5"/>
      <c r="AB954" s="5"/>
      <c r="AC954" s="5"/>
      <c r="AD954" s="5"/>
      <c r="AE954" s="5"/>
    </row>
    <row r="955">
      <c r="A955" s="14" t="s">
        <v>1739</v>
      </c>
      <c r="B955" s="19">
        <v>44308.869409722225</v>
      </c>
      <c r="C955" s="4">
        <v>49844.0</v>
      </c>
      <c r="D955" s="4" t="s">
        <v>1740</v>
      </c>
      <c r="E955" s="4">
        <v>9.19790044031E11</v>
      </c>
      <c r="F955" s="4">
        <v>17173.0</v>
      </c>
      <c r="G955" s="4"/>
      <c r="H955" s="4" t="s">
        <v>885</v>
      </c>
      <c r="I955" s="4"/>
      <c r="J955" s="4" t="s">
        <v>85</v>
      </c>
      <c r="K955" s="4">
        <v>199.0</v>
      </c>
      <c r="L955" s="4"/>
      <c r="M955" s="4">
        <v>199.0</v>
      </c>
      <c r="N955" s="4" t="s">
        <v>67</v>
      </c>
      <c r="O955" s="4" t="b">
        <v>0</v>
      </c>
      <c r="P955" s="4" t="s">
        <v>74</v>
      </c>
      <c r="Q955" s="4" t="s">
        <v>69</v>
      </c>
      <c r="R955" s="4"/>
      <c r="S955" s="4"/>
      <c r="T955" s="4"/>
      <c r="U955" s="7"/>
      <c r="V955" s="4"/>
      <c r="W955" s="4"/>
      <c r="X955" s="4"/>
      <c r="Y955" s="4"/>
      <c r="Z955" s="4"/>
      <c r="AA955" s="5"/>
      <c r="AB955" s="5"/>
      <c r="AC955" s="5"/>
      <c r="AD955" s="5"/>
      <c r="AE955" s="5"/>
    </row>
    <row r="956">
      <c r="A956" s="14" t="s">
        <v>1741</v>
      </c>
      <c r="B956" s="19">
        <v>44308.94111111111</v>
      </c>
      <c r="C956" s="4">
        <v>50048.0</v>
      </c>
      <c r="D956" s="4" t="s">
        <v>1742</v>
      </c>
      <c r="E956" s="4">
        <v>9.1773879026E11</v>
      </c>
      <c r="F956" s="4">
        <v>17166.0</v>
      </c>
      <c r="G956" s="4"/>
      <c r="H956" s="4" t="s">
        <v>1436</v>
      </c>
      <c r="I956" s="4"/>
      <c r="J956" s="4" t="s">
        <v>1437</v>
      </c>
      <c r="K956" s="4">
        <v>149.0</v>
      </c>
      <c r="L956" s="4"/>
      <c r="M956" s="4">
        <v>149.0</v>
      </c>
      <c r="N956" s="4" t="s">
        <v>67</v>
      </c>
      <c r="O956" s="4" t="b">
        <v>0</v>
      </c>
      <c r="P956" s="4" t="s">
        <v>151</v>
      </c>
      <c r="Q956" s="4" t="s">
        <v>69</v>
      </c>
      <c r="R956" s="4"/>
      <c r="S956" s="4"/>
      <c r="T956" s="4"/>
      <c r="U956" s="7"/>
      <c r="V956" s="4"/>
      <c r="W956" s="4"/>
      <c r="X956" s="4"/>
      <c r="Y956" s="4"/>
      <c r="Z956" s="4"/>
      <c r="AA956" s="5"/>
      <c r="AB956" s="5"/>
      <c r="AC956" s="5"/>
      <c r="AD956" s="5"/>
      <c r="AE956" s="5"/>
    </row>
    <row r="957">
      <c r="A957" s="14" t="s">
        <v>1743</v>
      </c>
      <c r="B957" s="19">
        <v>44308.965682870374</v>
      </c>
      <c r="C957" s="4">
        <v>50033.0</v>
      </c>
      <c r="D957" s="4" t="s">
        <v>1744</v>
      </c>
      <c r="E957" s="4">
        <v>9.19952262937E11</v>
      </c>
      <c r="F957" s="4">
        <v>17179.0</v>
      </c>
      <c r="G957" s="4"/>
      <c r="H957" s="4" t="s">
        <v>1727</v>
      </c>
      <c r="I957" s="4"/>
      <c r="J957" s="4" t="s">
        <v>1437</v>
      </c>
      <c r="K957" s="4">
        <v>99.0</v>
      </c>
      <c r="L957" s="4"/>
      <c r="M957" s="4">
        <v>99.0</v>
      </c>
      <c r="N957" s="4" t="s">
        <v>67</v>
      </c>
      <c r="O957" s="4" t="b">
        <v>0</v>
      </c>
      <c r="P957" s="4" t="s">
        <v>74</v>
      </c>
      <c r="Q957" s="4" t="s">
        <v>69</v>
      </c>
      <c r="R957" s="4"/>
      <c r="S957" s="4"/>
      <c r="T957" s="4"/>
      <c r="U957" s="7"/>
      <c r="V957" s="4"/>
      <c r="W957" s="4"/>
      <c r="X957" s="4"/>
      <c r="Y957" s="4"/>
      <c r="Z957" s="4"/>
      <c r="AA957" s="5"/>
      <c r="AB957" s="5"/>
      <c r="AC957" s="5"/>
      <c r="AD957" s="5"/>
      <c r="AE957" s="5"/>
    </row>
    <row r="958">
      <c r="A958" s="14" t="s">
        <v>1745</v>
      </c>
      <c r="B958" s="19">
        <v>44309.024375</v>
      </c>
      <c r="C958" s="4">
        <v>49834.0</v>
      </c>
      <c r="D958" s="4" t="s">
        <v>1746</v>
      </c>
      <c r="E958" s="4">
        <v>9.19209952589E11</v>
      </c>
      <c r="F958" s="4">
        <v>17229.0</v>
      </c>
      <c r="G958" s="4"/>
      <c r="H958" s="4" t="s">
        <v>76</v>
      </c>
      <c r="I958" s="4"/>
      <c r="J958" s="4" t="s">
        <v>85</v>
      </c>
      <c r="K958" s="4">
        <v>199.0</v>
      </c>
      <c r="L958" s="4"/>
      <c r="M958" s="4">
        <v>199.0</v>
      </c>
      <c r="N958" s="4" t="s">
        <v>67</v>
      </c>
      <c r="O958" s="4" t="b">
        <v>0</v>
      </c>
      <c r="P958" s="4" t="s">
        <v>151</v>
      </c>
      <c r="Q958" s="4" t="s">
        <v>69</v>
      </c>
      <c r="R958" s="4"/>
      <c r="S958" s="4"/>
      <c r="T958" s="4"/>
      <c r="U958" s="7"/>
      <c r="V958" s="4"/>
      <c r="W958" s="4"/>
      <c r="X958" s="4"/>
      <c r="Y958" s="4"/>
      <c r="Z958" s="4"/>
      <c r="AA958" s="5"/>
      <c r="AB958" s="5"/>
      <c r="AC958" s="5"/>
      <c r="AD958" s="5"/>
      <c r="AE958" s="5"/>
    </row>
    <row r="959">
      <c r="A959" s="14" t="s">
        <v>1747</v>
      </c>
      <c r="B959" s="19">
        <v>44309.10015046296</v>
      </c>
      <c r="C959" s="4">
        <v>49834.0</v>
      </c>
      <c r="D959" s="4" t="s">
        <v>1748</v>
      </c>
      <c r="E959" s="4">
        <v>9.18074878937E11</v>
      </c>
      <c r="F959" s="4">
        <v>17152.0</v>
      </c>
      <c r="G959" s="4"/>
      <c r="H959" s="4" t="s">
        <v>76</v>
      </c>
      <c r="I959" s="4"/>
      <c r="J959" s="4" t="s">
        <v>77</v>
      </c>
      <c r="K959" s="4">
        <v>349.0</v>
      </c>
      <c r="L959" s="4"/>
      <c r="M959" s="4">
        <v>349.0</v>
      </c>
      <c r="N959" s="4" t="s">
        <v>67</v>
      </c>
      <c r="O959" s="4" t="b">
        <v>0</v>
      </c>
      <c r="P959" s="4" t="s">
        <v>74</v>
      </c>
      <c r="Q959" s="4" t="s">
        <v>69</v>
      </c>
      <c r="R959" s="4"/>
      <c r="S959" s="4"/>
      <c r="T959" s="4"/>
      <c r="U959" s="7"/>
      <c r="V959" s="4"/>
      <c r="W959" s="4"/>
      <c r="X959" s="4"/>
      <c r="Y959" s="4"/>
      <c r="Z959" s="4"/>
      <c r="AA959" s="5"/>
      <c r="AB959" s="5"/>
      <c r="AC959" s="5"/>
      <c r="AD959" s="5"/>
      <c r="AE959" s="5"/>
    </row>
    <row r="960">
      <c r="A960" s="14" t="s">
        <v>1871</v>
      </c>
      <c r="B960" s="19">
        <v>44310.36651620371</v>
      </c>
      <c r="C960" s="4">
        <v>49813.0</v>
      </c>
      <c r="D960" s="4" t="s">
        <v>1872</v>
      </c>
      <c r="E960" s="4">
        <v>9.17875438308E11</v>
      </c>
      <c r="F960" s="4">
        <v>17215.0</v>
      </c>
      <c r="G960" s="4"/>
      <c r="H960" s="4" t="s">
        <v>1592</v>
      </c>
      <c r="I960" s="4"/>
      <c r="J960" s="4" t="s">
        <v>77</v>
      </c>
      <c r="K960" s="4">
        <v>799.0</v>
      </c>
      <c r="L960" s="4"/>
      <c r="M960" s="4">
        <v>799.0</v>
      </c>
      <c r="N960" s="4" t="s">
        <v>67</v>
      </c>
      <c r="O960" s="4" t="b">
        <v>0</v>
      </c>
      <c r="P960" s="4" t="s">
        <v>68</v>
      </c>
      <c r="Q960" s="4" t="s">
        <v>69</v>
      </c>
      <c r="R960" s="4"/>
      <c r="S960" s="4"/>
      <c r="T960" s="4"/>
      <c r="U960" s="8"/>
      <c r="V960" s="4"/>
      <c r="W960" s="4"/>
      <c r="X960" s="4"/>
      <c r="Y960" s="4"/>
      <c r="Z960" s="4"/>
      <c r="AA960" s="5"/>
      <c r="AB960" s="5"/>
      <c r="AC960" s="5"/>
      <c r="AD960" s="5"/>
      <c r="AE960" s="5"/>
    </row>
    <row r="961">
      <c r="A961" s="14" t="s">
        <v>1851</v>
      </c>
      <c r="B961" s="19">
        <v>44310.3734837963</v>
      </c>
      <c r="C961" s="4">
        <v>49958.0</v>
      </c>
      <c r="D961" s="4" t="s">
        <v>1852</v>
      </c>
      <c r="E961" s="4">
        <v>9.19769935791E11</v>
      </c>
      <c r="F961" s="4">
        <v>17486.0</v>
      </c>
      <c r="G961" s="4"/>
      <c r="H961" s="4" t="s">
        <v>858</v>
      </c>
      <c r="I961" s="4"/>
      <c r="J961" s="4" t="s">
        <v>77</v>
      </c>
      <c r="K961" s="4">
        <v>349.0</v>
      </c>
      <c r="L961" s="4"/>
      <c r="M961" s="4">
        <v>349.0</v>
      </c>
      <c r="N961" s="4" t="s">
        <v>67</v>
      </c>
      <c r="O961" s="4" t="b">
        <v>0</v>
      </c>
      <c r="P961" s="4" t="s">
        <v>68</v>
      </c>
      <c r="Q961" s="4" t="s">
        <v>69</v>
      </c>
      <c r="R961" s="4"/>
      <c r="S961" s="4"/>
      <c r="T961" s="4"/>
      <c r="U961" s="7"/>
      <c r="V961" s="4"/>
      <c r="W961" s="4"/>
      <c r="X961" s="4"/>
      <c r="Y961" s="4"/>
      <c r="Z961" s="4"/>
      <c r="AA961" s="5"/>
      <c r="AB961" s="5"/>
      <c r="AC961" s="5"/>
      <c r="AD961" s="5"/>
      <c r="AE961" s="5"/>
    </row>
    <row r="962">
      <c r="A962" s="14" t="s">
        <v>1853</v>
      </c>
      <c r="B962" s="19">
        <v>44310.38248842592</v>
      </c>
      <c r="C962" s="4">
        <v>49993.0</v>
      </c>
      <c r="D962" s="4" t="s">
        <v>1854</v>
      </c>
      <c r="E962" s="4">
        <v>9.19910337913E11</v>
      </c>
      <c r="F962" s="4">
        <v>17235.0</v>
      </c>
      <c r="G962" s="4"/>
      <c r="H962" s="4" t="s">
        <v>1104</v>
      </c>
      <c r="I962" s="4"/>
      <c r="J962" s="4" t="s">
        <v>149</v>
      </c>
      <c r="K962" s="4">
        <v>199.0</v>
      </c>
      <c r="L962" s="4"/>
      <c r="M962" s="4">
        <v>199.0</v>
      </c>
      <c r="N962" s="4" t="s">
        <v>67</v>
      </c>
      <c r="O962" s="4" t="b">
        <v>0</v>
      </c>
      <c r="P962" s="4" t="s">
        <v>74</v>
      </c>
      <c r="Q962" s="4" t="s">
        <v>69</v>
      </c>
      <c r="R962" s="4"/>
      <c r="S962" s="4"/>
      <c r="T962" s="4"/>
      <c r="U962" s="7"/>
      <c r="V962" s="4"/>
      <c r="W962" s="4"/>
      <c r="X962" s="4"/>
      <c r="Y962" s="4"/>
      <c r="Z962" s="4"/>
      <c r="AA962" s="5"/>
      <c r="AB962" s="5"/>
      <c r="AC962" s="5"/>
      <c r="AD962" s="5"/>
      <c r="AE962" s="5"/>
    </row>
    <row r="963">
      <c r="A963" s="14" t="s">
        <v>1855</v>
      </c>
      <c r="B963" s="19">
        <v>44310.38758101852</v>
      </c>
      <c r="C963" s="4">
        <v>49994.0</v>
      </c>
      <c r="D963" s="4" t="s">
        <v>1856</v>
      </c>
      <c r="E963" s="4">
        <v>9.19850508944E11</v>
      </c>
      <c r="F963" s="4">
        <v>17231.0</v>
      </c>
      <c r="G963" s="4"/>
      <c r="H963" s="4" t="s">
        <v>1264</v>
      </c>
      <c r="I963" s="4"/>
      <c r="J963" s="4" t="s">
        <v>149</v>
      </c>
      <c r="K963" s="4">
        <v>99.0</v>
      </c>
      <c r="L963" s="4"/>
      <c r="M963" s="4">
        <v>99.0</v>
      </c>
      <c r="N963" s="4" t="s">
        <v>67</v>
      </c>
      <c r="O963" s="4" t="b">
        <v>0</v>
      </c>
      <c r="P963" s="4" t="s">
        <v>68</v>
      </c>
      <c r="Q963" s="4" t="s">
        <v>69</v>
      </c>
      <c r="R963" s="4"/>
      <c r="S963" s="4"/>
      <c r="T963" s="4"/>
      <c r="U963" s="8"/>
      <c r="V963" s="4"/>
      <c r="W963" s="4"/>
      <c r="X963" s="4"/>
      <c r="Y963" s="4"/>
      <c r="Z963" s="4"/>
      <c r="AA963" s="5"/>
      <c r="AB963" s="5"/>
      <c r="AC963" s="5"/>
      <c r="AD963" s="5"/>
      <c r="AE963" s="5"/>
    </row>
    <row r="964">
      <c r="A964" s="14" t="s">
        <v>1749</v>
      </c>
      <c r="B964" s="19">
        <v>44309.33537037037</v>
      </c>
      <c r="C964" s="4">
        <v>50048.0</v>
      </c>
      <c r="D964" s="4" t="s">
        <v>1750</v>
      </c>
      <c r="E964" s="4">
        <v>9.19820162865E11</v>
      </c>
      <c r="F964" s="4">
        <v>17163.0</v>
      </c>
      <c r="G964" s="4"/>
      <c r="H964" s="4" t="s">
        <v>1436</v>
      </c>
      <c r="I964" s="4"/>
      <c r="J964" s="4" t="s">
        <v>1437</v>
      </c>
      <c r="K964" s="4">
        <v>149.0</v>
      </c>
      <c r="L964" s="4"/>
      <c r="M964" s="4">
        <v>149.0</v>
      </c>
      <c r="N964" s="4" t="s">
        <v>67</v>
      </c>
      <c r="O964" s="4" t="b">
        <v>0</v>
      </c>
      <c r="P964" s="4" t="s">
        <v>68</v>
      </c>
      <c r="Q964" s="4" t="s">
        <v>69</v>
      </c>
      <c r="R964" s="4"/>
      <c r="S964" s="4"/>
      <c r="T964" s="4"/>
      <c r="U964" s="7"/>
      <c r="V964" s="4"/>
      <c r="W964" s="4"/>
      <c r="X964" s="4"/>
      <c r="Y964" s="4"/>
      <c r="Z964" s="4"/>
      <c r="AA964" s="5"/>
      <c r="AB964" s="5"/>
      <c r="AC964" s="5"/>
      <c r="AD964" s="5"/>
      <c r="AE964" s="5"/>
    </row>
    <row r="965">
      <c r="A965" s="14" t="s">
        <v>1857</v>
      </c>
      <c r="B965" s="19">
        <v>44310.41844907407</v>
      </c>
      <c r="C965" s="4">
        <v>50009.0</v>
      </c>
      <c r="D965" s="4" t="s">
        <v>1858</v>
      </c>
      <c r="E965" s="4">
        <v>9.19947720403E11</v>
      </c>
      <c r="F965" s="4">
        <v>17217.0</v>
      </c>
      <c r="G965" s="4"/>
      <c r="H965" s="4" t="s">
        <v>1476</v>
      </c>
      <c r="I965" s="4"/>
      <c r="J965" s="4" t="s">
        <v>149</v>
      </c>
      <c r="K965" s="4">
        <v>99.0</v>
      </c>
      <c r="L965" s="4"/>
      <c r="M965" s="4">
        <v>99.0</v>
      </c>
      <c r="N965" s="4" t="s">
        <v>67</v>
      </c>
      <c r="O965" s="4" t="b">
        <v>0</v>
      </c>
      <c r="P965" s="4" t="s">
        <v>68</v>
      </c>
      <c r="Q965" s="4" t="s">
        <v>69</v>
      </c>
      <c r="R965" s="4"/>
      <c r="S965" s="4"/>
      <c r="T965" s="4"/>
      <c r="U965" s="7"/>
      <c r="V965" s="4"/>
      <c r="W965" s="4"/>
      <c r="X965" s="4"/>
      <c r="Y965" s="4"/>
      <c r="Z965" s="4"/>
      <c r="AA965" s="5"/>
      <c r="AB965" s="5"/>
      <c r="AC965" s="5"/>
      <c r="AD965" s="5"/>
      <c r="AE965" s="5"/>
    </row>
    <row r="966">
      <c r="A966" s="14" t="s">
        <v>2051</v>
      </c>
      <c r="B966" s="19">
        <v>44309.392384259256</v>
      </c>
      <c r="C966" s="4">
        <v>49995.0</v>
      </c>
      <c r="D966" s="4" t="s">
        <v>2052</v>
      </c>
      <c r="E966" s="4">
        <v>9.18447005151E11</v>
      </c>
      <c r="F966" s="4">
        <v>17156.0</v>
      </c>
      <c r="G966" s="4"/>
      <c r="H966" s="4" t="s">
        <v>2005</v>
      </c>
      <c r="I966" s="4"/>
      <c r="J966" s="4" t="s">
        <v>149</v>
      </c>
      <c r="K966" s="4">
        <v>99.0</v>
      </c>
      <c r="L966" s="4"/>
      <c r="M966" s="4">
        <v>99.0</v>
      </c>
      <c r="N966" s="4" t="s">
        <v>67</v>
      </c>
      <c r="O966" s="4" t="b">
        <v>0</v>
      </c>
      <c r="P966" s="4" t="s">
        <v>97</v>
      </c>
      <c r="Q966" s="4" t="s">
        <v>69</v>
      </c>
      <c r="R966" s="4"/>
      <c r="S966" s="4"/>
      <c r="T966" s="4"/>
      <c r="U966" s="7"/>
      <c r="V966" s="4"/>
      <c r="W966" s="4"/>
      <c r="X966" s="4"/>
      <c r="Y966" s="4"/>
      <c r="Z966" s="4"/>
      <c r="AA966" s="5"/>
      <c r="AB966" s="5"/>
      <c r="AC966" s="5"/>
      <c r="AD966" s="5"/>
      <c r="AE966" s="5"/>
    </row>
    <row r="967">
      <c r="A967" s="14" t="s">
        <v>1755</v>
      </c>
      <c r="B967" s="19">
        <v>44309.42675925926</v>
      </c>
      <c r="C967" s="4">
        <v>49833.0</v>
      </c>
      <c r="D967" s="4" t="s">
        <v>1756</v>
      </c>
      <c r="E967" s="4">
        <v>9.18104959619E11</v>
      </c>
      <c r="F967" s="4">
        <v>17160.0</v>
      </c>
      <c r="G967" s="4"/>
      <c r="H967" s="4" t="s">
        <v>184</v>
      </c>
      <c r="I967" s="4"/>
      <c r="J967" s="4" t="s">
        <v>77</v>
      </c>
      <c r="K967" s="4">
        <v>499.0</v>
      </c>
      <c r="L967" s="4"/>
      <c r="M967" s="4">
        <v>499.0</v>
      </c>
      <c r="N967" s="4" t="s">
        <v>67</v>
      </c>
      <c r="O967" s="4" t="b">
        <v>0</v>
      </c>
      <c r="P967" s="4" t="s">
        <v>74</v>
      </c>
      <c r="Q967" s="4" t="s">
        <v>69</v>
      </c>
      <c r="R967" s="4"/>
      <c r="S967" s="4"/>
      <c r="T967" s="4"/>
      <c r="U967" s="7"/>
      <c r="V967" s="4"/>
      <c r="W967" s="4"/>
      <c r="X967" s="4"/>
      <c r="Y967" s="4"/>
      <c r="Z967" s="4"/>
      <c r="AA967" s="5"/>
      <c r="AB967" s="5"/>
      <c r="AC967" s="5"/>
      <c r="AD967" s="5"/>
      <c r="AE967" s="5"/>
    </row>
    <row r="968">
      <c r="A968" s="14" t="s">
        <v>2068</v>
      </c>
      <c r="B968" s="19">
        <v>44310.493125</v>
      </c>
      <c r="C968" s="4">
        <v>49995.0</v>
      </c>
      <c r="D968" s="4" t="s">
        <v>2069</v>
      </c>
      <c r="E968" s="4">
        <v>9.18605726235E11</v>
      </c>
      <c r="F968" s="4">
        <v>17233.0</v>
      </c>
      <c r="G968" s="4"/>
      <c r="H968" s="4" t="s">
        <v>2005</v>
      </c>
      <c r="I968" s="4"/>
      <c r="J968" s="4" t="s">
        <v>1442</v>
      </c>
      <c r="K968" s="4">
        <v>199.0</v>
      </c>
      <c r="L968" s="4"/>
      <c r="M968" s="4">
        <v>199.0</v>
      </c>
      <c r="N968" s="4" t="s">
        <v>67</v>
      </c>
      <c r="O968" s="4" t="b">
        <v>0</v>
      </c>
      <c r="P968" s="4" t="s">
        <v>68</v>
      </c>
      <c r="Q968" s="4" t="s">
        <v>69</v>
      </c>
      <c r="R968" s="4"/>
      <c r="S968" s="4"/>
      <c r="T968" s="4"/>
      <c r="U968" s="7"/>
      <c r="V968" s="4"/>
      <c r="W968" s="4"/>
      <c r="X968" s="4"/>
      <c r="Y968" s="4"/>
      <c r="Z968" s="4"/>
      <c r="AA968" s="5"/>
      <c r="AB968" s="5"/>
      <c r="AC968" s="5"/>
      <c r="AD968" s="5"/>
      <c r="AE968" s="5"/>
    </row>
    <row r="969">
      <c r="A969" s="14" t="s">
        <v>1753</v>
      </c>
      <c r="B969" s="19">
        <v>44309.41916666667</v>
      </c>
      <c r="C969" s="4">
        <v>49833.0</v>
      </c>
      <c r="D969" s="4" t="s">
        <v>1754</v>
      </c>
      <c r="E969" s="4">
        <v>9.18879569863E11</v>
      </c>
      <c r="F969" s="4">
        <v>17157.0</v>
      </c>
      <c r="G969" s="4"/>
      <c r="H969" s="4" t="s">
        <v>184</v>
      </c>
      <c r="I969" s="4"/>
      <c r="J969" s="4" t="s">
        <v>149</v>
      </c>
      <c r="K969" s="4">
        <v>199.0</v>
      </c>
      <c r="L969" s="4"/>
      <c r="M969" s="4">
        <v>199.0</v>
      </c>
      <c r="N969" s="4" t="s">
        <v>67</v>
      </c>
      <c r="O969" s="4" t="b">
        <v>0</v>
      </c>
      <c r="P969" s="4" t="s">
        <v>74</v>
      </c>
      <c r="Q969" s="4" t="s">
        <v>69</v>
      </c>
      <c r="R969" s="4"/>
      <c r="S969" s="4"/>
      <c r="T969" s="4"/>
      <c r="U969" s="7"/>
      <c r="V969" s="4"/>
      <c r="W969" s="4"/>
      <c r="X969" s="4"/>
      <c r="Y969" s="4"/>
      <c r="Z969" s="4"/>
      <c r="AA969" s="5"/>
      <c r="AB969" s="5"/>
      <c r="AC969" s="5"/>
      <c r="AD969" s="5"/>
      <c r="AE969" s="5"/>
    </row>
    <row r="970">
      <c r="A970" s="14" t="s">
        <v>1757</v>
      </c>
      <c r="B970" s="19">
        <v>44309.43916666666</v>
      </c>
      <c r="C970" s="4">
        <v>49997.0</v>
      </c>
      <c r="D970" s="4" t="s">
        <v>1758</v>
      </c>
      <c r="E970" s="4">
        <v>9.19967826565E11</v>
      </c>
      <c r="F970" s="4">
        <v>17177.0</v>
      </c>
      <c r="G970" s="4"/>
      <c r="H970" s="4" t="s">
        <v>1059</v>
      </c>
      <c r="I970" s="4"/>
      <c r="J970" s="4" t="s">
        <v>149</v>
      </c>
      <c r="K970" s="4">
        <v>99.0</v>
      </c>
      <c r="L970" s="4"/>
      <c r="M970" s="4">
        <v>99.0</v>
      </c>
      <c r="N970" s="4" t="s">
        <v>67</v>
      </c>
      <c r="O970" s="4" t="b">
        <v>0</v>
      </c>
      <c r="P970" s="4" t="s">
        <v>68</v>
      </c>
      <c r="Q970" s="4" t="s">
        <v>69</v>
      </c>
      <c r="R970" s="4"/>
      <c r="S970" s="4"/>
      <c r="T970" s="4"/>
      <c r="U970" s="8"/>
      <c r="V970" s="4"/>
      <c r="W970" s="4"/>
      <c r="X970" s="4"/>
      <c r="Y970" s="4"/>
      <c r="Z970" s="4"/>
      <c r="AA970" s="5"/>
      <c r="AB970" s="5"/>
      <c r="AC970" s="5"/>
      <c r="AD970" s="5"/>
      <c r="AE970" s="5"/>
    </row>
    <row r="971">
      <c r="A971" s="14" t="s">
        <v>1861</v>
      </c>
      <c r="B971" s="19">
        <v>44310.507997685185</v>
      </c>
      <c r="C971" s="4">
        <v>49996.0</v>
      </c>
      <c r="D971" s="4" t="s">
        <v>1862</v>
      </c>
      <c r="E971" s="4">
        <v>9.19946371347E11</v>
      </c>
      <c r="F971" s="4">
        <v>17240.0</v>
      </c>
      <c r="G971" s="4"/>
      <c r="H971" s="4" t="s">
        <v>1516</v>
      </c>
      <c r="I971" s="4"/>
      <c r="J971" s="4" t="s">
        <v>77</v>
      </c>
      <c r="K971" s="4">
        <v>349.0</v>
      </c>
      <c r="L971" s="4"/>
      <c r="M971" s="4">
        <v>349.0</v>
      </c>
      <c r="N971" s="4" t="s">
        <v>67</v>
      </c>
      <c r="O971" s="4" t="b">
        <v>0</v>
      </c>
      <c r="P971" s="4" t="s">
        <v>97</v>
      </c>
      <c r="Q971" s="4" t="s">
        <v>69</v>
      </c>
      <c r="R971" s="4"/>
      <c r="S971" s="4"/>
      <c r="T971" s="4"/>
      <c r="U971" s="7"/>
      <c r="V971" s="4"/>
      <c r="W971" s="4"/>
      <c r="X971" s="4"/>
      <c r="Y971" s="4"/>
      <c r="Z971" s="4"/>
      <c r="AA971" s="5"/>
      <c r="AB971" s="5"/>
      <c r="AC971" s="5"/>
      <c r="AD971" s="5"/>
      <c r="AE971" s="5"/>
    </row>
    <row r="972">
      <c r="A972" s="14" t="s">
        <v>334</v>
      </c>
      <c r="B972" s="19">
        <v>44309.45039351852</v>
      </c>
      <c r="C972" s="4">
        <v>49991.0</v>
      </c>
      <c r="D972" s="4" t="s">
        <v>335</v>
      </c>
      <c r="E972" s="4">
        <v>9.19945082581E11</v>
      </c>
      <c r="F972" s="4" t="s">
        <v>83</v>
      </c>
      <c r="G972" s="4"/>
      <c r="H972" s="4" t="s">
        <v>148</v>
      </c>
      <c r="I972" s="4"/>
      <c r="J972" s="4" t="s">
        <v>77</v>
      </c>
      <c r="K972" s="4">
        <v>349.0</v>
      </c>
      <c r="L972" s="4"/>
      <c r="M972" s="4">
        <v>349.0</v>
      </c>
      <c r="N972" s="4" t="s">
        <v>67</v>
      </c>
      <c r="O972" s="4" t="b">
        <v>0</v>
      </c>
      <c r="P972" s="4" t="s">
        <v>74</v>
      </c>
      <c r="Q972" s="4" t="s">
        <v>69</v>
      </c>
      <c r="R972" s="4"/>
      <c r="S972" s="4"/>
      <c r="T972" s="4"/>
      <c r="U972" s="7"/>
      <c r="V972" s="4"/>
      <c r="W972" s="4"/>
      <c r="X972" s="4"/>
      <c r="Y972" s="4"/>
      <c r="Z972" s="4"/>
      <c r="AA972" s="5"/>
      <c r="AB972" s="5"/>
      <c r="AC972" s="5"/>
      <c r="AD972" s="5"/>
      <c r="AE972" s="5"/>
    </row>
    <row r="973">
      <c r="A973" s="14" t="s">
        <v>2072</v>
      </c>
      <c r="B973" s="19">
        <v>44310.510347222225</v>
      </c>
      <c r="C973" s="4">
        <v>49995.0</v>
      </c>
      <c r="D973" s="4" t="s">
        <v>2073</v>
      </c>
      <c r="E973" s="4">
        <v>9.17208126977E11</v>
      </c>
      <c r="F973" s="4">
        <v>17345.0</v>
      </c>
      <c r="G973" s="4"/>
      <c r="H973" s="4" t="s">
        <v>2005</v>
      </c>
      <c r="I973" s="4"/>
      <c r="J973" s="4" t="s">
        <v>149</v>
      </c>
      <c r="K973" s="4">
        <v>99.0</v>
      </c>
      <c r="L973" s="4"/>
      <c r="M973" s="4">
        <v>99.0</v>
      </c>
      <c r="N973" s="4" t="s">
        <v>67</v>
      </c>
      <c r="O973" s="4" t="b">
        <v>0</v>
      </c>
      <c r="P973" s="4" t="s">
        <v>68</v>
      </c>
      <c r="Q973" s="4" t="s">
        <v>69</v>
      </c>
      <c r="R973" s="4"/>
      <c r="S973" s="4"/>
      <c r="T973" s="4"/>
      <c r="U973" s="7"/>
      <c r="V973" s="4"/>
      <c r="W973" s="4"/>
      <c r="X973" s="4"/>
      <c r="Y973" s="4"/>
      <c r="Z973" s="4"/>
      <c r="AA973" s="5"/>
      <c r="AB973" s="5"/>
      <c r="AC973" s="5"/>
      <c r="AD973" s="5"/>
      <c r="AE973" s="5"/>
    </row>
    <row r="974">
      <c r="A974" s="14" t="s">
        <v>1541</v>
      </c>
      <c r="B974" s="19">
        <v>44309.46807870371</v>
      </c>
      <c r="C974" s="4">
        <v>49859.0</v>
      </c>
      <c r="D974" s="4" t="s">
        <v>1542</v>
      </c>
      <c r="E974" s="4">
        <v>9.18002040324E11</v>
      </c>
      <c r="F974" s="4">
        <v>17169.0</v>
      </c>
      <c r="G974" s="4"/>
      <c r="H974" s="4" t="s">
        <v>1507</v>
      </c>
      <c r="I974" s="4"/>
      <c r="J974" s="4" t="s">
        <v>149</v>
      </c>
      <c r="K974" s="4">
        <v>99.0</v>
      </c>
      <c r="L974" s="4"/>
      <c r="M974" s="4">
        <v>99.0</v>
      </c>
      <c r="N974" s="4" t="s">
        <v>67</v>
      </c>
      <c r="O974" s="4" t="b">
        <v>0</v>
      </c>
      <c r="P974" s="4" t="s">
        <v>68</v>
      </c>
      <c r="Q974" s="4" t="s">
        <v>69</v>
      </c>
      <c r="R974" s="4"/>
      <c r="S974" s="4"/>
      <c r="T974" s="4"/>
      <c r="U974" s="7"/>
      <c r="V974" s="4"/>
      <c r="W974" s="4"/>
      <c r="X974" s="4"/>
      <c r="Y974" s="4"/>
      <c r="Z974" s="4"/>
      <c r="AA974" s="5"/>
      <c r="AB974" s="5"/>
      <c r="AC974" s="5"/>
      <c r="AD974" s="5"/>
      <c r="AE974" s="5"/>
    </row>
    <row r="975">
      <c r="A975" s="14" t="s">
        <v>1865</v>
      </c>
      <c r="B975" s="19">
        <v>44310.519282407404</v>
      </c>
      <c r="C975" s="4">
        <v>49833.0</v>
      </c>
      <c r="D975" s="4" t="s">
        <v>1866</v>
      </c>
      <c r="E975" s="4">
        <v>9.19503380918E11</v>
      </c>
      <c r="F975" s="4">
        <v>17224.0</v>
      </c>
      <c r="G975" s="4"/>
      <c r="H975" s="4" t="s">
        <v>184</v>
      </c>
      <c r="I975" s="4"/>
      <c r="J975" s="4" t="s">
        <v>85</v>
      </c>
      <c r="K975" s="4">
        <v>299.0</v>
      </c>
      <c r="L975" s="4"/>
      <c r="M975" s="4">
        <v>299.0</v>
      </c>
      <c r="N975" s="4" t="s">
        <v>67</v>
      </c>
      <c r="O975" s="4" t="b">
        <v>0</v>
      </c>
      <c r="P975" s="4" t="s">
        <v>151</v>
      </c>
      <c r="Q975" s="4" t="s">
        <v>69</v>
      </c>
      <c r="R975" s="4"/>
      <c r="S975" s="4"/>
      <c r="T975" s="4"/>
      <c r="U975" s="7"/>
      <c r="V975" s="4"/>
      <c r="W975" s="4"/>
      <c r="X975" s="4"/>
      <c r="Y975" s="4"/>
      <c r="Z975" s="4"/>
      <c r="AA975" s="5"/>
      <c r="AB975" s="5"/>
      <c r="AC975" s="5"/>
      <c r="AD975" s="5"/>
      <c r="AE975" s="5"/>
    </row>
    <row r="976">
      <c r="A976" s="14" t="s">
        <v>1457</v>
      </c>
      <c r="B976" s="19">
        <v>44310.54503472222</v>
      </c>
      <c r="C976" s="4">
        <v>50031.0</v>
      </c>
      <c r="D976" s="4" t="s">
        <v>1458</v>
      </c>
      <c r="E976" s="4">
        <v>9.19321885E11</v>
      </c>
      <c r="F976" s="4">
        <v>17227.0</v>
      </c>
      <c r="G976" s="4"/>
      <c r="H976" s="4" t="s">
        <v>1447</v>
      </c>
      <c r="I976" s="4"/>
      <c r="J976" s="4" t="s">
        <v>1437</v>
      </c>
      <c r="K976" s="4">
        <v>99.0</v>
      </c>
      <c r="L976" s="4"/>
      <c r="M976" s="4">
        <v>99.0</v>
      </c>
      <c r="N976" s="4" t="s">
        <v>67</v>
      </c>
      <c r="O976" s="4" t="b">
        <v>0</v>
      </c>
      <c r="P976" s="4" t="s">
        <v>68</v>
      </c>
      <c r="Q976" s="4" t="s">
        <v>69</v>
      </c>
      <c r="R976" s="4"/>
      <c r="S976" s="4"/>
      <c r="T976" s="4"/>
      <c r="U976" s="7"/>
      <c r="V976" s="4"/>
      <c r="W976" s="4"/>
      <c r="X976" s="4"/>
      <c r="Y976" s="4"/>
      <c r="Z976" s="4"/>
      <c r="AA976" s="5"/>
      <c r="AB976" s="5"/>
      <c r="AC976" s="5"/>
      <c r="AD976" s="5"/>
      <c r="AE976" s="5"/>
    </row>
    <row r="977">
      <c r="A977" s="14" t="s">
        <v>1763</v>
      </c>
      <c r="B977" s="19">
        <v>44309.488958333335</v>
      </c>
      <c r="C977" s="4">
        <v>49833.0</v>
      </c>
      <c r="D977" s="4" t="s">
        <v>1764</v>
      </c>
      <c r="E977" s="4">
        <v>9.18118867422E11</v>
      </c>
      <c r="F977" s="4">
        <v>17170.0</v>
      </c>
      <c r="G977" s="4"/>
      <c r="H977" s="4" t="s">
        <v>184</v>
      </c>
      <c r="I977" s="4"/>
      <c r="J977" s="4" t="s">
        <v>85</v>
      </c>
      <c r="K977" s="4">
        <v>299.0</v>
      </c>
      <c r="L977" s="4"/>
      <c r="M977" s="4">
        <v>299.0</v>
      </c>
      <c r="N977" s="4" t="s">
        <v>67</v>
      </c>
      <c r="O977" s="4" t="b">
        <v>0</v>
      </c>
      <c r="P977" s="4" t="s">
        <v>74</v>
      </c>
      <c r="Q977" s="4" t="s">
        <v>69</v>
      </c>
      <c r="R977" s="4"/>
      <c r="S977" s="4"/>
      <c r="T977" s="4"/>
      <c r="U977" s="7"/>
      <c r="V977" s="4"/>
      <c r="W977" s="4"/>
      <c r="X977" s="4"/>
      <c r="Y977" s="4"/>
      <c r="Z977" s="4"/>
      <c r="AA977" s="5"/>
      <c r="AB977" s="5"/>
      <c r="AC977" s="5"/>
      <c r="AD977" s="5"/>
      <c r="AE977" s="5"/>
    </row>
    <row r="978">
      <c r="A978" s="14" t="s">
        <v>1765</v>
      </c>
      <c r="B978" s="19">
        <v>44309.49351851852</v>
      </c>
      <c r="C978" s="4">
        <v>49834.0</v>
      </c>
      <c r="D978" s="4" t="s">
        <v>1766</v>
      </c>
      <c r="E978" s="4">
        <v>9.19804001369E11</v>
      </c>
      <c r="F978" s="4">
        <v>17171.0</v>
      </c>
      <c r="G978" s="4"/>
      <c r="H978" s="4" t="s">
        <v>960</v>
      </c>
      <c r="I978" s="4"/>
      <c r="J978" s="4" t="s">
        <v>149</v>
      </c>
      <c r="K978" s="4">
        <v>99.0</v>
      </c>
      <c r="L978" s="4"/>
      <c r="M978" s="4">
        <v>99.0</v>
      </c>
      <c r="N978" s="4" t="s">
        <v>67</v>
      </c>
      <c r="O978" s="4" t="b">
        <v>0</v>
      </c>
      <c r="P978" s="4" t="s">
        <v>68</v>
      </c>
      <c r="Q978" s="4" t="s">
        <v>69</v>
      </c>
      <c r="R978" s="4"/>
      <c r="S978" s="4"/>
      <c r="T978" s="4"/>
      <c r="U978" s="7"/>
      <c r="V978" s="4"/>
      <c r="W978" s="4"/>
      <c r="X978" s="4"/>
      <c r="Y978" s="4"/>
      <c r="Z978" s="4"/>
      <c r="AA978" s="5"/>
      <c r="AB978" s="5"/>
      <c r="AC978" s="5"/>
      <c r="AD978" s="5"/>
      <c r="AE978" s="5"/>
    </row>
    <row r="979">
      <c r="A979" s="14" t="s">
        <v>1869</v>
      </c>
      <c r="B979" s="19">
        <v>44310.58741898148</v>
      </c>
      <c r="C979" s="4">
        <v>49958.0</v>
      </c>
      <c r="D979" s="4" t="s">
        <v>1870</v>
      </c>
      <c r="E979" s="4">
        <v>9.19811885722E11</v>
      </c>
      <c r="F979" s="4">
        <v>17232.0</v>
      </c>
      <c r="G979" s="4"/>
      <c r="H979" s="4" t="s">
        <v>858</v>
      </c>
      <c r="I979" s="4"/>
      <c r="J979" s="4" t="s">
        <v>77</v>
      </c>
      <c r="K979" s="4">
        <v>349.0</v>
      </c>
      <c r="L979" s="4"/>
      <c r="M979" s="4">
        <v>349.0</v>
      </c>
      <c r="N979" s="4" t="s">
        <v>67</v>
      </c>
      <c r="O979" s="4" t="b">
        <v>0</v>
      </c>
      <c r="P979" s="4" t="s">
        <v>68</v>
      </c>
      <c r="Q979" s="4" t="s">
        <v>69</v>
      </c>
      <c r="R979" s="4"/>
      <c r="S979" s="4"/>
      <c r="T979" s="4"/>
      <c r="U979" s="7"/>
      <c r="V979" s="4"/>
      <c r="W979" s="4"/>
      <c r="X979" s="4"/>
      <c r="Y979" s="4"/>
      <c r="Z979" s="4"/>
      <c r="AA979" s="5"/>
      <c r="AB979" s="5"/>
      <c r="AC979" s="5"/>
      <c r="AD979" s="5"/>
      <c r="AE979" s="5"/>
    </row>
    <row r="980">
      <c r="A980" s="14" t="s">
        <v>1771</v>
      </c>
      <c r="B980" s="19">
        <v>44309.55030092593</v>
      </c>
      <c r="C980" s="4">
        <v>49993.0</v>
      </c>
      <c r="D980" s="4" t="s">
        <v>1772</v>
      </c>
      <c r="E980" s="4">
        <v>9.19999036398E11</v>
      </c>
      <c r="F980" s="4">
        <v>17230.0</v>
      </c>
      <c r="G980" s="4"/>
      <c r="H980" s="4" t="s">
        <v>1104</v>
      </c>
      <c r="I980" s="4"/>
      <c r="J980" s="4" t="s">
        <v>149</v>
      </c>
      <c r="K980" s="4">
        <v>199.0</v>
      </c>
      <c r="L980" s="4"/>
      <c r="M980" s="4">
        <v>199.0</v>
      </c>
      <c r="N980" s="4" t="s">
        <v>67</v>
      </c>
      <c r="O980" s="4" t="b">
        <v>0</v>
      </c>
      <c r="P980" s="4" t="s">
        <v>68</v>
      </c>
      <c r="Q980" s="4" t="s">
        <v>69</v>
      </c>
      <c r="R980" s="4"/>
      <c r="S980" s="4"/>
      <c r="T980" s="4"/>
      <c r="U980" s="7"/>
      <c r="V980" s="4"/>
      <c r="W980" s="4"/>
      <c r="X980" s="4"/>
      <c r="Y980" s="4"/>
      <c r="Z980" s="4"/>
      <c r="AA980" s="5"/>
      <c r="AB980" s="5"/>
      <c r="AC980" s="5"/>
      <c r="AD980" s="5"/>
      <c r="AE980" s="5"/>
    </row>
    <row r="981">
      <c r="A981" s="14" t="s">
        <v>1767</v>
      </c>
      <c r="B981" s="19">
        <v>44309.53472222222</v>
      </c>
      <c r="C981" s="4">
        <v>50036.0</v>
      </c>
      <c r="D981" s="4" t="s">
        <v>1768</v>
      </c>
      <c r="E981" s="4">
        <v>9.17738435E11</v>
      </c>
      <c r="F981" s="4">
        <v>17195.0</v>
      </c>
      <c r="G981" s="4"/>
      <c r="H981" s="4" t="s">
        <v>1320</v>
      </c>
      <c r="I981" s="4"/>
      <c r="J981" s="4" t="s">
        <v>85</v>
      </c>
      <c r="K981" s="4">
        <v>299.0</v>
      </c>
      <c r="L981" s="4"/>
      <c r="M981" s="4">
        <v>299.0</v>
      </c>
      <c r="N981" s="4" t="s">
        <v>67</v>
      </c>
      <c r="O981" s="4" t="b">
        <v>0</v>
      </c>
      <c r="P981" s="4" t="s">
        <v>68</v>
      </c>
      <c r="Q981" s="4" t="s">
        <v>69</v>
      </c>
      <c r="R981" s="4"/>
      <c r="S981" s="4"/>
      <c r="T981" s="4"/>
      <c r="U981" s="7"/>
      <c r="V981" s="4"/>
      <c r="W981" s="4"/>
      <c r="X981" s="4"/>
      <c r="Y981" s="4"/>
      <c r="Z981" s="4"/>
      <c r="AA981" s="5"/>
      <c r="AB981" s="5"/>
      <c r="AC981" s="5"/>
      <c r="AD981" s="5"/>
      <c r="AE981" s="5"/>
    </row>
    <row r="982">
      <c r="A982" s="14" t="s">
        <v>1837</v>
      </c>
      <c r="B982" s="19">
        <v>44309.542708333334</v>
      </c>
      <c r="C982" s="4">
        <v>49813.0</v>
      </c>
      <c r="D982" s="4" t="s">
        <v>1838</v>
      </c>
      <c r="E982" s="4">
        <v>9.19582397824E11</v>
      </c>
      <c r="F982" s="4" t="s">
        <v>83</v>
      </c>
      <c r="G982" s="4"/>
      <c r="H982" s="4" t="s">
        <v>1592</v>
      </c>
      <c r="I982" s="4"/>
      <c r="J982" s="4" t="s">
        <v>85</v>
      </c>
      <c r="K982" s="4">
        <v>299.0</v>
      </c>
      <c r="L982" s="4"/>
      <c r="M982" s="4">
        <v>299.0</v>
      </c>
      <c r="N982" s="4" t="s">
        <v>67</v>
      </c>
      <c r="O982" s="4" t="b">
        <v>0</v>
      </c>
      <c r="P982" s="4" t="s">
        <v>68</v>
      </c>
      <c r="Q982" s="4" t="s">
        <v>69</v>
      </c>
      <c r="R982" s="4"/>
      <c r="S982" s="4"/>
      <c r="T982" s="4"/>
      <c r="U982" s="7"/>
      <c r="V982" s="4"/>
      <c r="W982" s="4"/>
      <c r="X982" s="4"/>
      <c r="Y982" s="4"/>
      <c r="Z982" s="4"/>
      <c r="AA982" s="5"/>
      <c r="AB982" s="5"/>
      <c r="AC982" s="5"/>
      <c r="AD982" s="5"/>
      <c r="AE982" s="5"/>
    </row>
    <row r="983">
      <c r="A983" s="14" t="s">
        <v>1773</v>
      </c>
      <c r="B983" s="19">
        <v>44309.57671296296</v>
      </c>
      <c r="C983" s="4">
        <v>50009.0</v>
      </c>
      <c r="D983" s="4" t="s">
        <v>1774</v>
      </c>
      <c r="E983" s="4">
        <v>9.194228474E11</v>
      </c>
      <c r="F983" s="4">
        <v>17175.0</v>
      </c>
      <c r="G983" s="4"/>
      <c r="H983" s="4" t="s">
        <v>1539</v>
      </c>
      <c r="I983" s="4"/>
      <c r="J983" s="4" t="s">
        <v>77</v>
      </c>
      <c r="K983" s="4">
        <v>349.0</v>
      </c>
      <c r="L983" s="4"/>
      <c r="M983" s="4">
        <v>349.0</v>
      </c>
      <c r="N983" s="4" t="s">
        <v>67</v>
      </c>
      <c r="O983" s="4" t="b">
        <v>0</v>
      </c>
      <c r="P983" s="4" t="s">
        <v>68</v>
      </c>
      <c r="Q983" s="4" t="s">
        <v>69</v>
      </c>
      <c r="R983" s="4"/>
      <c r="S983" s="4"/>
      <c r="T983" s="4"/>
      <c r="U983" s="7"/>
      <c r="V983" s="4"/>
      <c r="W983" s="4"/>
      <c r="X983" s="4"/>
      <c r="Y983" s="4"/>
      <c r="Z983" s="4"/>
      <c r="AA983" s="5"/>
      <c r="AB983" s="5"/>
      <c r="AC983" s="5"/>
      <c r="AD983" s="5"/>
      <c r="AE983" s="5"/>
    </row>
    <row r="984">
      <c r="A984" s="14" t="s">
        <v>1775</v>
      </c>
      <c r="B984" s="19">
        <v>44309.57996527778</v>
      </c>
      <c r="C984" s="4">
        <v>49997.0</v>
      </c>
      <c r="D984" s="4" t="s">
        <v>1776</v>
      </c>
      <c r="E984" s="4">
        <v>9.17506839281E11</v>
      </c>
      <c r="F984" s="4">
        <v>17176.0</v>
      </c>
      <c r="G984" s="4"/>
      <c r="H984" s="4" t="s">
        <v>1059</v>
      </c>
      <c r="I984" s="4"/>
      <c r="J984" s="4" t="s">
        <v>149</v>
      </c>
      <c r="K984" s="4">
        <v>99.0</v>
      </c>
      <c r="L984" s="4"/>
      <c r="M984" s="4">
        <v>99.0</v>
      </c>
      <c r="N984" s="4" t="s">
        <v>67</v>
      </c>
      <c r="O984" s="4" t="b">
        <v>0</v>
      </c>
      <c r="P984" s="4" t="s">
        <v>74</v>
      </c>
      <c r="Q984" s="4" t="s">
        <v>69</v>
      </c>
      <c r="R984" s="4"/>
      <c r="S984" s="4"/>
      <c r="T984" s="4"/>
      <c r="U984" s="7"/>
      <c r="V984" s="4"/>
      <c r="W984" s="4"/>
      <c r="X984" s="4"/>
      <c r="Y984" s="4"/>
      <c r="Z984" s="4"/>
      <c r="AA984" s="5"/>
      <c r="AB984" s="5"/>
      <c r="AC984" s="5"/>
      <c r="AD984" s="5"/>
      <c r="AE984" s="5"/>
    </row>
    <row r="985">
      <c r="A985" s="14" t="s">
        <v>1887</v>
      </c>
      <c r="B985" s="19">
        <v>44310.64454861111</v>
      </c>
      <c r="C985" s="4">
        <v>49813.0</v>
      </c>
      <c r="D985" s="4" t="s">
        <v>1888</v>
      </c>
      <c r="E985" s="4">
        <v>9.19820903058E11</v>
      </c>
      <c r="F985" s="4">
        <v>17268.0</v>
      </c>
      <c r="G985" s="4"/>
      <c r="H985" s="4" t="s">
        <v>1592</v>
      </c>
      <c r="I985" s="4"/>
      <c r="J985" s="4" t="s">
        <v>149</v>
      </c>
      <c r="K985" s="4">
        <v>299.0</v>
      </c>
      <c r="L985" s="4"/>
      <c r="M985" s="4">
        <v>299.0</v>
      </c>
      <c r="N985" s="4" t="s">
        <v>67</v>
      </c>
      <c r="O985" s="4" t="b">
        <v>0</v>
      </c>
      <c r="P985" s="4" t="s">
        <v>68</v>
      </c>
      <c r="Q985" s="4" t="s">
        <v>69</v>
      </c>
      <c r="R985" s="4"/>
      <c r="S985" s="4"/>
      <c r="T985" s="4"/>
      <c r="U985" s="7"/>
      <c r="V985" s="4"/>
      <c r="W985" s="4"/>
      <c r="X985" s="4"/>
      <c r="Y985" s="4"/>
      <c r="Z985" s="4"/>
      <c r="AA985" s="5"/>
      <c r="AB985" s="5"/>
      <c r="AC985" s="5"/>
      <c r="AD985" s="5"/>
      <c r="AE985" s="5"/>
    </row>
    <row r="986">
      <c r="A986" s="14" t="s">
        <v>1873</v>
      </c>
      <c r="B986" s="19">
        <v>44310.646875</v>
      </c>
      <c r="C986" s="4">
        <v>49997.0</v>
      </c>
      <c r="D986" s="4" t="s">
        <v>1874</v>
      </c>
      <c r="E986" s="4">
        <v>9.19579795121E11</v>
      </c>
      <c r="F986" s="4">
        <v>17243.0</v>
      </c>
      <c r="G986" s="4"/>
      <c r="H986" s="4" t="s">
        <v>1059</v>
      </c>
      <c r="I986" s="4"/>
      <c r="J986" s="4" t="s">
        <v>149</v>
      </c>
      <c r="K986" s="4">
        <v>99.0</v>
      </c>
      <c r="L986" s="4"/>
      <c r="M986" s="4">
        <v>99.0</v>
      </c>
      <c r="N986" s="4" t="s">
        <v>67</v>
      </c>
      <c r="O986" s="4" t="b">
        <v>0</v>
      </c>
      <c r="P986" s="4" t="s">
        <v>68</v>
      </c>
      <c r="Q986" s="4" t="s">
        <v>69</v>
      </c>
      <c r="R986" s="4"/>
      <c r="S986" s="4"/>
      <c r="T986" s="4"/>
      <c r="U986" s="7"/>
      <c r="V986" s="4"/>
      <c r="W986" s="4"/>
      <c r="X986" s="4"/>
      <c r="Y986" s="4"/>
      <c r="Z986" s="4"/>
      <c r="AA986" s="5"/>
      <c r="AB986" s="5"/>
      <c r="AC986" s="5"/>
      <c r="AD986" s="5"/>
      <c r="AE986" s="5"/>
    </row>
    <row r="987">
      <c r="A987" s="14" t="s">
        <v>2145</v>
      </c>
      <c r="B987" s="19">
        <v>44309.60748842593</v>
      </c>
      <c r="C987" s="4">
        <v>49978.0</v>
      </c>
      <c r="D987" s="4" t="s">
        <v>2146</v>
      </c>
      <c r="E987" s="4">
        <v>9.19953486498E11</v>
      </c>
      <c r="F987" s="4">
        <v>17194.0</v>
      </c>
      <c r="G987" s="4"/>
      <c r="H987" s="4" t="s">
        <v>2135</v>
      </c>
      <c r="I987" s="4"/>
      <c r="J987" s="4" t="s">
        <v>77</v>
      </c>
      <c r="K987" s="4">
        <v>119.0</v>
      </c>
      <c r="L987" s="4"/>
      <c r="M987" s="4">
        <v>119.0</v>
      </c>
      <c r="N987" s="4" t="s">
        <v>67</v>
      </c>
      <c r="O987" s="4" t="b">
        <v>0</v>
      </c>
      <c r="P987" s="4" t="s">
        <v>68</v>
      </c>
      <c r="Q987" s="4" t="s">
        <v>69</v>
      </c>
      <c r="R987" s="4"/>
      <c r="S987" s="4"/>
      <c r="T987" s="4"/>
      <c r="U987" s="7"/>
      <c r="V987" s="4"/>
      <c r="W987" s="4"/>
      <c r="X987" s="4"/>
      <c r="Y987" s="4"/>
      <c r="Z987" s="4"/>
      <c r="AA987" s="5"/>
      <c r="AB987" s="5"/>
      <c r="AC987" s="5"/>
      <c r="AD987" s="5"/>
      <c r="AE987" s="5"/>
    </row>
    <row r="988">
      <c r="A988" s="14" t="s">
        <v>1779</v>
      </c>
      <c r="B988" s="19">
        <v>44309.63177083333</v>
      </c>
      <c r="C988" s="4">
        <v>49993.0</v>
      </c>
      <c r="D988" s="4" t="s">
        <v>1780</v>
      </c>
      <c r="E988" s="4">
        <v>9.17710892457E11</v>
      </c>
      <c r="F988" s="4">
        <v>17198.0</v>
      </c>
      <c r="G988" s="4"/>
      <c r="H988" s="4" t="s">
        <v>1104</v>
      </c>
      <c r="I988" s="4"/>
      <c r="J988" s="4" t="s">
        <v>149</v>
      </c>
      <c r="K988" s="4">
        <v>199.0</v>
      </c>
      <c r="L988" s="4"/>
      <c r="M988" s="4">
        <v>199.0</v>
      </c>
      <c r="N988" s="4" t="s">
        <v>67</v>
      </c>
      <c r="O988" s="4" t="b">
        <v>0</v>
      </c>
      <c r="P988" s="4" t="s">
        <v>97</v>
      </c>
      <c r="Q988" s="4" t="s">
        <v>69</v>
      </c>
      <c r="R988" s="4"/>
      <c r="S988" s="4"/>
      <c r="T988" s="4"/>
      <c r="U988" s="7"/>
      <c r="V988" s="4"/>
      <c r="W988" s="4"/>
      <c r="X988" s="4"/>
      <c r="Y988" s="4"/>
      <c r="Z988" s="4"/>
      <c r="AA988" s="5"/>
      <c r="AB988" s="5"/>
      <c r="AC988" s="5"/>
      <c r="AD988" s="5"/>
      <c r="AE988" s="5"/>
    </row>
    <row r="989">
      <c r="A989" s="14" t="s">
        <v>1781</v>
      </c>
      <c r="B989" s="19">
        <v>44309.63230324074</v>
      </c>
      <c r="C989" s="4">
        <v>49834.0</v>
      </c>
      <c r="D989" s="4" t="s">
        <v>1782</v>
      </c>
      <c r="E989" s="4">
        <v>9.19922107E11</v>
      </c>
      <c r="F989" s="4">
        <v>17183.0</v>
      </c>
      <c r="G989" s="4"/>
      <c r="H989" s="4" t="s">
        <v>960</v>
      </c>
      <c r="I989" s="4"/>
      <c r="J989" s="4" t="s">
        <v>149</v>
      </c>
      <c r="K989" s="4">
        <v>99.0</v>
      </c>
      <c r="L989" s="4"/>
      <c r="M989" s="4">
        <v>99.0</v>
      </c>
      <c r="N989" s="4" t="s">
        <v>67</v>
      </c>
      <c r="O989" s="4" t="b">
        <v>0</v>
      </c>
      <c r="P989" s="4" t="s">
        <v>97</v>
      </c>
      <c r="Q989" s="4" t="s">
        <v>69</v>
      </c>
      <c r="R989" s="4"/>
      <c r="S989" s="4"/>
      <c r="T989" s="4"/>
      <c r="U989" s="7"/>
      <c r="V989" s="4"/>
      <c r="W989" s="4"/>
      <c r="X989" s="4"/>
      <c r="Y989" s="4"/>
      <c r="Z989" s="4"/>
      <c r="AA989" s="5"/>
      <c r="AB989" s="5"/>
      <c r="AC989" s="5"/>
      <c r="AD989" s="5"/>
      <c r="AE989" s="5"/>
    </row>
    <row r="990">
      <c r="A990" s="14" t="s">
        <v>1875</v>
      </c>
      <c r="B990" s="19">
        <v>44310.67668981481</v>
      </c>
      <c r="C990" s="4">
        <v>50036.0</v>
      </c>
      <c r="D990" s="4" t="s">
        <v>1876</v>
      </c>
      <c r="E990" s="4">
        <v>9.19654240109E11</v>
      </c>
      <c r="F990" s="4">
        <v>17237.0</v>
      </c>
      <c r="G990" s="4"/>
      <c r="H990" s="4" t="s">
        <v>1320</v>
      </c>
      <c r="I990" s="4"/>
      <c r="J990" s="4" t="s">
        <v>149</v>
      </c>
      <c r="K990" s="4">
        <v>149.0</v>
      </c>
      <c r="L990" s="4"/>
      <c r="M990" s="4">
        <v>149.0</v>
      </c>
      <c r="N990" s="4" t="s">
        <v>67</v>
      </c>
      <c r="O990" s="4" t="b">
        <v>0</v>
      </c>
      <c r="P990" s="4" t="s">
        <v>97</v>
      </c>
      <c r="Q990" s="4" t="s">
        <v>69</v>
      </c>
      <c r="R990" s="4"/>
      <c r="S990" s="4"/>
      <c r="T990" s="4"/>
      <c r="U990" s="7"/>
      <c r="V990" s="4"/>
      <c r="W990" s="4"/>
      <c r="X990" s="4"/>
      <c r="Y990" s="4"/>
      <c r="Z990" s="4"/>
      <c r="AA990" s="5"/>
      <c r="AB990" s="5"/>
      <c r="AC990" s="5"/>
      <c r="AD990" s="5"/>
      <c r="AE990" s="5"/>
    </row>
    <row r="991">
      <c r="A991" s="14" t="s">
        <v>1783</v>
      </c>
      <c r="B991" s="19">
        <v>44309.65526620371</v>
      </c>
      <c r="C991" s="4">
        <v>49994.0</v>
      </c>
      <c r="D991" s="4" t="s">
        <v>1784</v>
      </c>
      <c r="E991" s="4">
        <v>9.190226244E11</v>
      </c>
      <c r="F991" s="4">
        <v>17185.0</v>
      </c>
      <c r="G991" s="4"/>
      <c r="H991" s="4" t="s">
        <v>1264</v>
      </c>
      <c r="I991" s="4"/>
      <c r="J991" s="4" t="s">
        <v>77</v>
      </c>
      <c r="K991" s="4">
        <v>349.0</v>
      </c>
      <c r="L991" s="4"/>
      <c r="M991" s="4">
        <v>349.0</v>
      </c>
      <c r="N991" s="4" t="s">
        <v>67</v>
      </c>
      <c r="O991" s="4" t="b">
        <v>0</v>
      </c>
      <c r="P991" s="4" t="s">
        <v>74</v>
      </c>
      <c r="Q991" s="4" t="s">
        <v>69</v>
      </c>
      <c r="R991" s="4"/>
      <c r="S991" s="4"/>
      <c r="T991" s="4"/>
      <c r="U991" s="7"/>
      <c r="V991" s="4"/>
      <c r="W991" s="4"/>
      <c r="X991" s="4"/>
      <c r="Y991" s="4"/>
      <c r="Z991" s="4"/>
      <c r="AA991" s="5"/>
      <c r="AB991" s="5"/>
      <c r="AC991" s="5"/>
      <c r="AD991" s="5"/>
      <c r="AE991" s="5"/>
    </row>
    <row r="992">
      <c r="A992" s="14" t="s">
        <v>1881</v>
      </c>
      <c r="B992" s="19">
        <v>44310.73825231481</v>
      </c>
      <c r="C992" s="4">
        <v>49834.0</v>
      </c>
      <c r="D992" s="4" t="s">
        <v>1882</v>
      </c>
      <c r="E992" s="4">
        <v>9.1986044448E11</v>
      </c>
      <c r="F992" s="4">
        <v>17239.0</v>
      </c>
      <c r="G992" s="4"/>
      <c r="H992" s="4" t="s">
        <v>76</v>
      </c>
      <c r="I992" s="4"/>
      <c r="J992" s="4" t="s">
        <v>77</v>
      </c>
      <c r="K992" s="4">
        <v>349.0</v>
      </c>
      <c r="L992" s="4"/>
      <c r="M992" s="4">
        <v>349.0</v>
      </c>
      <c r="N992" s="4" t="s">
        <v>67</v>
      </c>
      <c r="O992" s="4" t="b">
        <v>0</v>
      </c>
      <c r="P992" s="4" t="s">
        <v>68</v>
      </c>
      <c r="Q992" s="4" t="s">
        <v>69</v>
      </c>
      <c r="R992" s="4"/>
      <c r="S992" s="4"/>
      <c r="T992" s="4"/>
      <c r="U992" s="8"/>
      <c r="V992" s="4"/>
      <c r="W992" s="4"/>
      <c r="X992" s="4"/>
      <c r="Y992" s="4"/>
      <c r="Z992" s="4"/>
      <c r="AA992" s="5"/>
      <c r="AB992" s="5"/>
      <c r="AC992" s="5"/>
      <c r="AD992" s="5"/>
      <c r="AE992" s="5"/>
    </row>
    <row r="993">
      <c r="A993" s="14" t="s">
        <v>1877</v>
      </c>
      <c r="B993" s="19">
        <v>44310.72119212963</v>
      </c>
      <c r="C993" s="4">
        <v>49996.0</v>
      </c>
      <c r="D993" s="4" t="s">
        <v>1878</v>
      </c>
      <c r="E993" s="4">
        <v>9.19763358291E11</v>
      </c>
      <c r="F993" s="4">
        <v>17248.0</v>
      </c>
      <c r="G993" s="4"/>
      <c r="H993" s="4" t="s">
        <v>1516</v>
      </c>
      <c r="I993" s="4"/>
      <c r="J993" s="4" t="s">
        <v>149</v>
      </c>
      <c r="K993" s="4">
        <v>99.0</v>
      </c>
      <c r="L993" s="4"/>
      <c r="M993" s="4">
        <v>99.0</v>
      </c>
      <c r="N993" s="4" t="s">
        <v>67</v>
      </c>
      <c r="O993" s="4" t="b">
        <v>0</v>
      </c>
      <c r="P993" s="4" t="s">
        <v>74</v>
      </c>
      <c r="Q993" s="4" t="s">
        <v>69</v>
      </c>
      <c r="R993" s="4"/>
      <c r="S993" s="4"/>
      <c r="T993" s="4"/>
      <c r="U993" s="7"/>
      <c r="V993" s="4"/>
      <c r="W993" s="4"/>
      <c r="X993" s="4"/>
      <c r="Y993" s="4"/>
      <c r="Z993" s="4"/>
      <c r="AA993" s="5"/>
      <c r="AB993" s="5"/>
      <c r="AC993" s="5"/>
      <c r="AD993" s="5"/>
      <c r="AE993" s="5"/>
    </row>
    <row r="994">
      <c r="A994" s="14" t="s">
        <v>1787</v>
      </c>
      <c r="B994" s="19">
        <v>44309.67863425926</v>
      </c>
      <c r="C994" s="4">
        <v>49833.0</v>
      </c>
      <c r="D994" s="4" t="s">
        <v>1788</v>
      </c>
      <c r="E994" s="4">
        <v>9.18077580221E11</v>
      </c>
      <c r="F994" s="4">
        <v>17186.0</v>
      </c>
      <c r="G994" s="4"/>
      <c r="H994" s="4" t="s">
        <v>184</v>
      </c>
      <c r="I994" s="4"/>
      <c r="J994" s="4" t="s">
        <v>149</v>
      </c>
      <c r="K994" s="4">
        <v>199.0</v>
      </c>
      <c r="L994" s="4"/>
      <c r="M994" s="4">
        <v>199.0</v>
      </c>
      <c r="N994" s="4" t="s">
        <v>67</v>
      </c>
      <c r="O994" s="4" t="b">
        <v>0</v>
      </c>
      <c r="P994" s="4" t="s">
        <v>151</v>
      </c>
      <c r="Q994" s="4" t="s">
        <v>69</v>
      </c>
      <c r="R994" s="4"/>
      <c r="S994" s="4"/>
      <c r="T994" s="4"/>
      <c r="U994" s="8"/>
      <c r="V994" s="4"/>
      <c r="W994" s="4"/>
      <c r="X994" s="4"/>
      <c r="Y994" s="4"/>
      <c r="Z994" s="4"/>
      <c r="AA994" s="5"/>
      <c r="AB994" s="5"/>
      <c r="AC994" s="5"/>
      <c r="AD994" s="5"/>
      <c r="AE994" s="5"/>
    </row>
    <row r="995">
      <c r="A995" s="14" t="s">
        <v>1785</v>
      </c>
      <c r="B995" s="19">
        <v>44309.662986111114</v>
      </c>
      <c r="C995" s="4">
        <v>50048.0</v>
      </c>
      <c r="D995" s="4" t="s">
        <v>1786</v>
      </c>
      <c r="E995" s="4">
        <v>9.19321444763E11</v>
      </c>
      <c r="F995" s="4">
        <v>17197.0</v>
      </c>
      <c r="G995" s="4"/>
      <c r="H995" s="4" t="s">
        <v>1436</v>
      </c>
      <c r="I995" s="4"/>
      <c r="J995" s="4" t="s">
        <v>1437</v>
      </c>
      <c r="K995" s="4">
        <v>149.0</v>
      </c>
      <c r="L995" s="4"/>
      <c r="M995" s="4">
        <v>149.0</v>
      </c>
      <c r="N995" s="4" t="s">
        <v>67</v>
      </c>
      <c r="O995" s="4" t="b">
        <v>0</v>
      </c>
      <c r="P995" s="4" t="s">
        <v>74</v>
      </c>
      <c r="Q995" s="4" t="s">
        <v>69</v>
      </c>
      <c r="R995" s="4"/>
      <c r="S995" s="4"/>
      <c r="T995" s="4"/>
      <c r="U995" s="7"/>
      <c r="V995" s="4"/>
      <c r="W995" s="4"/>
      <c r="X995" s="4"/>
      <c r="Y995" s="4"/>
      <c r="Z995" s="4"/>
      <c r="AA995" s="5"/>
      <c r="AB995" s="5"/>
      <c r="AC995" s="5"/>
      <c r="AD995" s="5"/>
      <c r="AE995" s="5"/>
    </row>
    <row r="996">
      <c r="A996" s="14" t="s">
        <v>1879</v>
      </c>
      <c r="B996" s="19">
        <v>44310.72900462963</v>
      </c>
      <c r="C996" s="4">
        <v>49833.0</v>
      </c>
      <c r="D996" s="4" t="s">
        <v>1880</v>
      </c>
      <c r="E996" s="4">
        <v>9.18286930083E11</v>
      </c>
      <c r="F996" s="4">
        <v>17238.0</v>
      </c>
      <c r="G996" s="4"/>
      <c r="H996" s="4" t="s">
        <v>184</v>
      </c>
      <c r="I996" s="4"/>
      <c r="J996" s="4" t="s">
        <v>85</v>
      </c>
      <c r="K996" s="4">
        <v>299.0</v>
      </c>
      <c r="L996" s="4"/>
      <c r="M996" s="4">
        <v>299.0</v>
      </c>
      <c r="N996" s="4" t="s">
        <v>67</v>
      </c>
      <c r="O996" s="4" t="b">
        <v>0</v>
      </c>
      <c r="P996" s="4" t="s">
        <v>68</v>
      </c>
      <c r="Q996" s="4" t="s">
        <v>69</v>
      </c>
      <c r="R996" s="4"/>
      <c r="S996" s="4"/>
      <c r="T996" s="4"/>
      <c r="U996" s="7"/>
      <c r="V996" s="4"/>
      <c r="W996" s="4"/>
      <c r="X996" s="4"/>
      <c r="Y996" s="4"/>
      <c r="Z996" s="4"/>
      <c r="AA996" s="5"/>
      <c r="AB996" s="5"/>
      <c r="AC996" s="5"/>
      <c r="AD996" s="5"/>
      <c r="AE996" s="5"/>
    </row>
    <row r="997">
      <c r="A997" s="14" t="s">
        <v>1789</v>
      </c>
      <c r="B997" s="19">
        <v>44309.68952546296</v>
      </c>
      <c r="C997" s="4">
        <v>49958.0</v>
      </c>
      <c r="D997" s="4" t="s">
        <v>1790</v>
      </c>
      <c r="E997" s="4">
        <v>9.18169103781E11</v>
      </c>
      <c r="F997" s="4">
        <v>17187.0</v>
      </c>
      <c r="G997" s="4"/>
      <c r="H997" s="4" t="s">
        <v>858</v>
      </c>
      <c r="I997" s="4"/>
      <c r="J997" s="4" t="s">
        <v>85</v>
      </c>
      <c r="K997" s="4">
        <v>199.0</v>
      </c>
      <c r="L997" s="4"/>
      <c r="M997" s="4">
        <v>199.0</v>
      </c>
      <c r="N997" s="4" t="s">
        <v>67</v>
      </c>
      <c r="O997" s="4" t="b">
        <v>0</v>
      </c>
      <c r="P997" s="4" t="s">
        <v>68</v>
      </c>
      <c r="Q997" s="4" t="s">
        <v>69</v>
      </c>
      <c r="R997" s="4"/>
      <c r="S997" s="4"/>
      <c r="T997" s="4"/>
      <c r="U997" s="7"/>
      <c r="V997" s="4"/>
      <c r="W997" s="4"/>
      <c r="X997" s="4"/>
      <c r="Y997" s="4"/>
      <c r="Z997" s="4"/>
      <c r="AA997" s="5"/>
      <c r="AB997" s="5"/>
      <c r="AC997" s="5"/>
      <c r="AD997" s="5"/>
      <c r="AE997" s="5"/>
    </row>
    <row r="998">
      <c r="A998" s="14" t="s">
        <v>1883</v>
      </c>
      <c r="B998" s="19">
        <v>44310.75115740741</v>
      </c>
      <c r="C998" s="4">
        <v>50009.0</v>
      </c>
      <c r="D998" s="4" t="s">
        <v>1884</v>
      </c>
      <c r="E998" s="4">
        <v>9.19980004875E11</v>
      </c>
      <c r="F998" s="4">
        <v>17244.0</v>
      </c>
      <c r="G998" s="4"/>
      <c r="H998" s="4" t="s">
        <v>1476</v>
      </c>
      <c r="I998" s="4"/>
      <c r="J998" s="4" t="s">
        <v>149</v>
      </c>
      <c r="K998" s="4">
        <v>99.0</v>
      </c>
      <c r="L998" s="4"/>
      <c r="M998" s="4">
        <v>99.0</v>
      </c>
      <c r="N998" s="4" t="s">
        <v>67</v>
      </c>
      <c r="O998" s="4" t="b">
        <v>0</v>
      </c>
      <c r="P998" s="4" t="s">
        <v>151</v>
      </c>
      <c r="Q998" s="4" t="s">
        <v>69</v>
      </c>
      <c r="R998" s="4"/>
      <c r="S998" s="4"/>
      <c r="T998" s="4"/>
      <c r="U998" s="7"/>
      <c r="V998" s="4"/>
      <c r="W998" s="4"/>
      <c r="X998" s="4"/>
      <c r="Y998" s="4"/>
      <c r="Z998" s="4"/>
      <c r="AA998" s="5"/>
      <c r="AB998" s="5"/>
      <c r="AC998" s="5"/>
      <c r="AD998" s="5"/>
      <c r="AE998" s="5"/>
    </row>
    <row r="999">
      <c r="A999" s="14" t="s">
        <v>1885</v>
      </c>
      <c r="B999" s="19">
        <v>44310.771319444444</v>
      </c>
      <c r="C999" s="4">
        <v>49996.0</v>
      </c>
      <c r="D999" s="4" t="s">
        <v>1886</v>
      </c>
      <c r="E999" s="4">
        <v>9.1981966579E11</v>
      </c>
      <c r="F999" s="4">
        <v>17253.0</v>
      </c>
      <c r="G999" s="4"/>
      <c r="H999" s="4" t="s">
        <v>1516</v>
      </c>
      <c r="I999" s="4"/>
      <c r="J999" s="4" t="s">
        <v>149</v>
      </c>
      <c r="K999" s="4">
        <v>99.0</v>
      </c>
      <c r="L999" s="4"/>
      <c r="M999" s="4">
        <v>99.0</v>
      </c>
      <c r="N999" s="4" t="s">
        <v>67</v>
      </c>
      <c r="O999" s="4" t="b">
        <v>0</v>
      </c>
      <c r="P999" s="4" t="s">
        <v>68</v>
      </c>
      <c r="Q999" s="4" t="s">
        <v>69</v>
      </c>
      <c r="R999" s="4"/>
      <c r="S999" s="4"/>
      <c r="T999" s="4"/>
      <c r="U999" s="7"/>
      <c r="V999" s="4"/>
      <c r="W999" s="4"/>
      <c r="X999" s="4"/>
      <c r="Y999" s="4"/>
      <c r="Z999" s="4"/>
      <c r="AA999" s="5"/>
      <c r="AB999" s="5"/>
      <c r="AC999" s="5"/>
      <c r="AD999" s="5"/>
      <c r="AE999" s="5"/>
    </row>
    <row r="1000">
      <c r="A1000" s="14" t="s">
        <v>1461</v>
      </c>
      <c r="B1000" s="19">
        <v>44310.77307870371</v>
      </c>
      <c r="C1000" s="4">
        <v>50031.0</v>
      </c>
      <c r="D1000" s="4" t="s">
        <v>1462</v>
      </c>
      <c r="E1000" s="4">
        <v>9.18056044708E11</v>
      </c>
      <c r="F1000" s="4">
        <v>17247.0</v>
      </c>
      <c r="G1000" s="4"/>
      <c r="H1000" s="4" t="s">
        <v>1447</v>
      </c>
      <c r="I1000" s="4"/>
      <c r="J1000" s="4" t="s">
        <v>1437</v>
      </c>
      <c r="K1000" s="4">
        <v>99.0</v>
      </c>
      <c r="L1000" s="4"/>
      <c r="M1000" s="4">
        <v>99.0</v>
      </c>
      <c r="N1000" s="4" t="s">
        <v>67</v>
      </c>
      <c r="O1000" s="4" t="b">
        <v>0</v>
      </c>
      <c r="P1000" s="4" t="s">
        <v>97</v>
      </c>
      <c r="Q1000" s="4" t="s">
        <v>69</v>
      </c>
      <c r="R1000" s="4"/>
      <c r="S1000" s="4"/>
      <c r="T1000" s="4"/>
      <c r="U1000" s="7"/>
      <c r="V1000" s="4"/>
      <c r="W1000" s="4"/>
      <c r="X1000" s="4"/>
      <c r="Y1000" s="4"/>
      <c r="Z1000" s="4"/>
      <c r="AA1000" s="5"/>
      <c r="AB1000" s="5"/>
      <c r="AC1000" s="5"/>
      <c r="AD1000" s="5"/>
      <c r="AE1000" s="5"/>
    </row>
    <row r="1001">
      <c r="A1001" s="14" t="s">
        <v>1793</v>
      </c>
      <c r="B1001" s="19">
        <v>44309.7159837963</v>
      </c>
      <c r="C1001" s="4">
        <v>49994.0</v>
      </c>
      <c r="D1001" s="4" t="s">
        <v>1794</v>
      </c>
      <c r="E1001" s="4">
        <v>9.17008656041E11</v>
      </c>
      <c r="F1001" s="4">
        <v>17192.0</v>
      </c>
      <c r="G1001" s="4"/>
      <c r="H1001" s="4" t="s">
        <v>1264</v>
      </c>
      <c r="I1001" s="4"/>
      <c r="J1001" s="4" t="s">
        <v>149</v>
      </c>
      <c r="K1001" s="4">
        <v>99.0</v>
      </c>
      <c r="L1001" s="4"/>
      <c r="M1001" s="4">
        <v>99.0</v>
      </c>
      <c r="N1001" s="4" t="s">
        <v>67</v>
      </c>
      <c r="O1001" s="4" t="b">
        <v>0</v>
      </c>
      <c r="P1001" s="4" t="s">
        <v>68</v>
      </c>
      <c r="Q1001" s="4" t="s">
        <v>69</v>
      </c>
      <c r="R1001" s="4"/>
      <c r="S1001" s="4"/>
      <c r="T1001" s="4"/>
      <c r="U1001" s="7"/>
      <c r="V1001" s="4"/>
      <c r="W1001" s="4"/>
      <c r="X1001" s="4"/>
      <c r="Y1001" s="4"/>
      <c r="Z1001" s="4"/>
      <c r="AA1001" s="5"/>
      <c r="AB1001" s="5"/>
      <c r="AC1001" s="5"/>
      <c r="AD1001" s="5"/>
      <c r="AE1001" s="5"/>
    </row>
    <row r="1002">
      <c r="A1002" s="14" t="s">
        <v>336</v>
      </c>
      <c r="B1002" s="19">
        <v>44309.717835648145</v>
      </c>
      <c r="C1002" s="4">
        <v>49991.0</v>
      </c>
      <c r="D1002" s="4" t="s">
        <v>337</v>
      </c>
      <c r="E1002" s="4">
        <v>9.19723456245E11</v>
      </c>
      <c r="F1002" s="4">
        <v>17190.0</v>
      </c>
      <c r="G1002" s="4"/>
      <c r="H1002" s="4" t="s">
        <v>148</v>
      </c>
      <c r="I1002" s="4"/>
      <c r="J1002" s="4" t="s">
        <v>149</v>
      </c>
      <c r="K1002" s="4">
        <v>99.0</v>
      </c>
      <c r="L1002" s="4"/>
      <c r="M1002" s="4">
        <v>99.0</v>
      </c>
      <c r="N1002" s="4" t="s">
        <v>67</v>
      </c>
      <c r="O1002" s="4" t="b">
        <v>0</v>
      </c>
      <c r="P1002" s="4" t="s">
        <v>68</v>
      </c>
      <c r="Q1002" s="4" t="s">
        <v>69</v>
      </c>
      <c r="R1002" s="4"/>
      <c r="S1002" s="4"/>
      <c r="T1002" s="4"/>
      <c r="U1002" s="7"/>
      <c r="V1002" s="4"/>
      <c r="W1002" s="4"/>
      <c r="X1002" s="4"/>
      <c r="Y1002" s="4"/>
      <c r="Z1002" s="4"/>
      <c r="AA1002" s="5"/>
      <c r="AB1002" s="5"/>
      <c r="AC1002" s="5"/>
      <c r="AD1002" s="5"/>
      <c r="AE1002" s="5"/>
    </row>
    <row r="1003">
      <c r="A1003" s="14" t="s">
        <v>1839</v>
      </c>
      <c r="B1003" s="19">
        <v>44309.70788194444</v>
      </c>
      <c r="C1003" s="4">
        <v>49813.0</v>
      </c>
      <c r="D1003" s="4" t="s">
        <v>1840</v>
      </c>
      <c r="E1003" s="4">
        <v>9.19870255235E11</v>
      </c>
      <c r="F1003" s="4">
        <v>17189.0</v>
      </c>
      <c r="G1003" s="4"/>
      <c r="H1003" s="4" t="s">
        <v>1592</v>
      </c>
      <c r="I1003" s="4"/>
      <c r="J1003" s="4" t="s">
        <v>77</v>
      </c>
      <c r="K1003" s="4">
        <v>499.0</v>
      </c>
      <c r="L1003" s="4"/>
      <c r="M1003" s="4">
        <v>499.0</v>
      </c>
      <c r="N1003" s="4" t="s">
        <v>67</v>
      </c>
      <c r="O1003" s="4" t="b">
        <v>0</v>
      </c>
      <c r="P1003" s="4" t="s">
        <v>74</v>
      </c>
      <c r="Q1003" s="4" t="s">
        <v>69</v>
      </c>
      <c r="R1003" s="4"/>
      <c r="S1003" s="4"/>
      <c r="T1003" s="4"/>
      <c r="U1003" s="7"/>
      <c r="V1003" s="4"/>
      <c r="W1003" s="4"/>
      <c r="X1003" s="4"/>
      <c r="Y1003" s="4"/>
      <c r="Z1003" s="4"/>
      <c r="AA1003" s="5"/>
      <c r="AB1003" s="5"/>
      <c r="AC1003" s="5"/>
      <c r="AD1003" s="5"/>
      <c r="AE1003" s="5"/>
    </row>
    <row r="1004">
      <c r="A1004" s="14" t="s">
        <v>1797</v>
      </c>
      <c r="B1004" s="19">
        <v>44309.726875</v>
      </c>
      <c r="C1004" s="4">
        <v>49996.0</v>
      </c>
      <c r="D1004" s="4" t="s">
        <v>1798</v>
      </c>
      <c r="E1004" s="4">
        <v>9.19967869244E11</v>
      </c>
      <c r="F1004" s="4" t="s">
        <v>83</v>
      </c>
      <c r="G1004" s="4"/>
      <c r="H1004" s="4" t="s">
        <v>1516</v>
      </c>
      <c r="I1004" s="4"/>
      <c r="J1004" s="4" t="s">
        <v>149</v>
      </c>
      <c r="K1004" s="4">
        <v>99.0</v>
      </c>
      <c r="L1004" s="4"/>
      <c r="M1004" s="4">
        <v>99.0</v>
      </c>
      <c r="N1004" s="4" t="s">
        <v>67</v>
      </c>
      <c r="O1004" s="4" t="b">
        <v>0</v>
      </c>
      <c r="P1004" s="4" t="s">
        <v>97</v>
      </c>
      <c r="Q1004" s="4" t="s">
        <v>69</v>
      </c>
      <c r="R1004" s="4"/>
      <c r="S1004" s="4"/>
      <c r="T1004" s="4"/>
      <c r="U1004" s="7"/>
      <c r="V1004" s="4"/>
      <c r="W1004" s="4"/>
      <c r="X1004" s="4"/>
      <c r="Y1004" s="4"/>
      <c r="Z1004" s="4"/>
      <c r="AA1004" s="5"/>
      <c r="AB1004" s="5"/>
      <c r="AC1004" s="5"/>
      <c r="AD1004" s="5"/>
      <c r="AE1004" s="5"/>
    </row>
    <row r="1005">
      <c r="A1005" s="14" t="s">
        <v>1799</v>
      </c>
      <c r="B1005" s="19">
        <v>44309.75318287037</v>
      </c>
      <c r="C1005" s="4">
        <v>50036.0</v>
      </c>
      <c r="D1005" s="4" t="s">
        <v>1800</v>
      </c>
      <c r="E1005" s="4">
        <v>9.19622220462E11</v>
      </c>
      <c r="F1005" s="4">
        <v>17221.0</v>
      </c>
      <c r="G1005" s="4"/>
      <c r="H1005" s="4" t="s">
        <v>1320</v>
      </c>
      <c r="I1005" s="4"/>
      <c r="J1005" s="4" t="s">
        <v>149</v>
      </c>
      <c r="K1005" s="4">
        <v>149.0</v>
      </c>
      <c r="L1005" s="4"/>
      <c r="M1005" s="4">
        <v>149.0</v>
      </c>
      <c r="N1005" s="4" t="s">
        <v>67</v>
      </c>
      <c r="O1005" s="4" t="b">
        <v>0</v>
      </c>
      <c r="P1005" s="4" t="s">
        <v>151</v>
      </c>
      <c r="Q1005" s="4" t="s">
        <v>69</v>
      </c>
      <c r="R1005" s="4"/>
      <c r="S1005" s="4"/>
      <c r="T1005" s="4"/>
      <c r="U1005" s="7"/>
      <c r="V1005" s="4"/>
      <c r="W1005" s="4"/>
      <c r="X1005" s="4"/>
      <c r="Y1005" s="4"/>
      <c r="Z1005" s="4"/>
      <c r="AA1005" s="5"/>
      <c r="AB1005" s="5"/>
      <c r="AC1005" s="5"/>
      <c r="AD1005" s="5"/>
      <c r="AE1005" s="5"/>
    </row>
    <row r="1006">
      <c r="A1006" s="14" t="s">
        <v>1889</v>
      </c>
      <c r="B1006" s="19">
        <v>44310.801041666666</v>
      </c>
      <c r="C1006" s="4">
        <v>49844.0</v>
      </c>
      <c r="D1006" s="4" t="s">
        <v>1890</v>
      </c>
      <c r="E1006" s="4">
        <v>9.19916134854E11</v>
      </c>
      <c r="F1006" s="4">
        <v>12778.0</v>
      </c>
      <c r="G1006" s="4"/>
      <c r="H1006" s="4" t="s">
        <v>885</v>
      </c>
      <c r="I1006" s="4"/>
      <c r="J1006" s="4" t="s">
        <v>85</v>
      </c>
      <c r="K1006" s="4">
        <v>199.0</v>
      </c>
      <c r="L1006" s="4"/>
      <c r="M1006" s="4">
        <v>199.0</v>
      </c>
      <c r="N1006" s="4" t="s">
        <v>67</v>
      </c>
      <c r="O1006" s="4" t="b">
        <v>0</v>
      </c>
      <c r="P1006" s="4" t="s">
        <v>151</v>
      </c>
      <c r="Q1006" s="4" t="s">
        <v>69</v>
      </c>
      <c r="R1006" s="4"/>
      <c r="S1006" s="4"/>
      <c r="T1006" s="4"/>
      <c r="U1006" s="7"/>
      <c r="V1006" s="4"/>
      <c r="W1006" s="4"/>
      <c r="X1006" s="4"/>
      <c r="Y1006" s="4"/>
      <c r="Z1006" s="4"/>
      <c r="AA1006" s="5"/>
      <c r="AB1006" s="5"/>
      <c r="AC1006" s="5"/>
      <c r="AD1006" s="5"/>
      <c r="AE1006" s="5"/>
    </row>
    <row r="1007">
      <c r="A1007" s="14" t="s">
        <v>2074</v>
      </c>
      <c r="B1007" s="19">
        <v>44310.82226851852</v>
      </c>
      <c r="C1007" s="4">
        <v>49995.0</v>
      </c>
      <c r="D1007" s="4" t="s">
        <v>2075</v>
      </c>
      <c r="E1007" s="4">
        <v>9.18130226858E11</v>
      </c>
      <c r="F1007" s="4">
        <v>17249.0</v>
      </c>
      <c r="G1007" s="4"/>
      <c r="H1007" s="4" t="s">
        <v>2005</v>
      </c>
      <c r="I1007" s="4"/>
      <c r="J1007" s="4" t="s">
        <v>149</v>
      </c>
      <c r="K1007" s="4">
        <v>99.0</v>
      </c>
      <c r="L1007" s="4"/>
      <c r="M1007" s="4">
        <v>99.0</v>
      </c>
      <c r="N1007" s="4" t="s">
        <v>67</v>
      </c>
      <c r="O1007" s="4" t="b">
        <v>0</v>
      </c>
      <c r="P1007" s="4" t="s">
        <v>68</v>
      </c>
      <c r="Q1007" s="4" t="s">
        <v>69</v>
      </c>
      <c r="R1007" s="4"/>
      <c r="S1007" s="4"/>
      <c r="T1007" s="4"/>
      <c r="U1007" s="7"/>
      <c r="V1007" s="4"/>
      <c r="W1007" s="4"/>
      <c r="X1007" s="4"/>
      <c r="Y1007" s="4"/>
      <c r="Z1007" s="4"/>
      <c r="AA1007" s="5"/>
      <c r="AB1007" s="5"/>
      <c r="AC1007" s="5"/>
      <c r="AD1007" s="5"/>
      <c r="AE1007" s="5"/>
    </row>
    <row r="1008">
      <c r="A1008" s="14" t="s">
        <v>1893</v>
      </c>
      <c r="B1008" s="19">
        <v>44310.82356481482</v>
      </c>
      <c r="C1008" s="4">
        <v>49834.0</v>
      </c>
      <c r="D1008" s="4" t="s">
        <v>1894</v>
      </c>
      <c r="E1008" s="4">
        <v>9.19717873679E11</v>
      </c>
      <c r="F1008" s="4" t="s">
        <v>83</v>
      </c>
      <c r="G1008" s="4"/>
      <c r="H1008" s="4" t="s">
        <v>960</v>
      </c>
      <c r="I1008" s="4"/>
      <c r="J1008" s="4" t="s">
        <v>149</v>
      </c>
      <c r="K1008" s="4">
        <v>99.0</v>
      </c>
      <c r="L1008" s="4"/>
      <c r="M1008" s="4">
        <v>99.0</v>
      </c>
      <c r="N1008" s="4" t="s">
        <v>67</v>
      </c>
      <c r="O1008" s="4" t="b">
        <v>0</v>
      </c>
      <c r="P1008" s="4" t="s">
        <v>68</v>
      </c>
      <c r="Q1008" s="4" t="s">
        <v>69</v>
      </c>
      <c r="R1008" s="4"/>
      <c r="S1008" s="4"/>
      <c r="T1008" s="4"/>
      <c r="U1008" s="7"/>
      <c r="V1008" s="4"/>
      <c r="W1008" s="4"/>
      <c r="X1008" s="4"/>
      <c r="Y1008" s="4"/>
      <c r="Z1008" s="4"/>
      <c r="AA1008" s="5"/>
      <c r="AB1008" s="5"/>
      <c r="AC1008" s="5"/>
      <c r="AD1008" s="5"/>
      <c r="AE1008" s="5"/>
    </row>
    <row r="1009">
      <c r="A1009" s="14" t="s">
        <v>1899</v>
      </c>
      <c r="B1009" s="19">
        <v>44310.854409722226</v>
      </c>
      <c r="C1009" s="4">
        <v>50009.0</v>
      </c>
      <c r="D1009" s="4" t="s">
        <v>1900</v>
      </c>
      <c r="E1009" s="4">
        <v>9.18700450509E11</v>
      </c>
      <c r="F1009" s="4" t="s">
        <v>83</v>
      </c>
      <c r="G1009" s="4"/>
      <c r="H1009" s="4" t="s">
        <v>1476</v>
      </c>
      <c r="I1009" s="4"/>
      <c r="J1009" s="4" t="s">
        <v>149</v>
      </c>
      <c r="K1009" s="4">
        <v>99.0</v>
      </c>
      <c r="L1009" s="4"/>
      <c r="M1009" s="4">
        <v>99.0</v>
      </c>
      <c r="N1009" s="4" t="s">
        <v>67</v>
      </c>
      <c r="O1009" s="4" t="b">
        <v>0</v>
      </c>
      <c r="P1009" s="4" t="s">
        <v>68</v>
      </c>
      <c r="Q1009" s="4" t="s">
        <v>69</v>
      </c>
      <c r="R1009" s="4"/>
      <c r="S1009" s="4"/>
      <c r="T1009" s="4"/>
      <c r="U1009" s="8"/>
      <c r="V1009" s="4"/>
      <c r="W1009" s="4"/>
      <c r="X1009" s="4"/>
      <c r="Y1009" s="4"/>
      <c r="Z1009" s="4"/>
      <c r="AA1009" s="5"/>
      <c r="AB1009" s="5"/>
      <c r="AC1009" s="5"/>
      <c r="AD1009" s="5"/>
      <c r="AE1009" s="5"/>
    </row>
    <row r="1010">
      <c r="A1010" s="14" t="s">
        <v>1801</v>
      </c>
      <c r="B1010" s="19">
        <v>44309.784363425926</v>
      </c>
      <c r="C1010" s="4">
        <v>49844.0</v>
      </c>
      <c r="D1010" s="4" t="s">
        <v>1802</v>
      </c>
      <c r="E1010" s="4">
        <v>9.19833923325E11</v>
      </c>
      <c r="F1010" s="4">
        <v>17413.0</v>
      </c>
      <c r="G1010" s="4"/>
      <c r="H1010" s="4" t="s">
        <v>885</v>
      </c>
      <c r="I1010" s="4"/>
      <c r="J1010" s="4" t="s">
        <v>85</v>
      </c>
      <c r="K1010" s="4">
        <v>199.0</v>
      </c>
      <c r="L1010" s="4"/>
      <c r="M1010" s="4">
        <v>199.0</v>
      </c>
      <c r="N1010" s="4" t="s">
        <v>67</v>
      </c>
      <c r="O1010" s="4" t="b">
        <v>0</v>
      </c>
      <c r="P1010" s="4" t="s">
        <v>74</v>
      </c>
      <c r="Q1010" s="4" t="s">
        <v>69</v>
      </c>
      <c r="R1010" s="4"/>
      <c r="S1010" s="4"/>
      <c r="T1010" s="4"/>
      <c r="U1010" s="8"/>
      <c r="V1010" s="4"/>
      <c r="W1010" s="4"/>
      <c r="X1010" s="4"/>
      <c r="Y1010" s="4"/>
      <c r="Z1010" s="4"/>
      <c r="AA1010" s="5"/>
      <c r="AB1010" s="5"/>
      <c r="AC1010" s="5"/>
      <c r="AD1010" s="5"/>
      <c r="AE1010" s="5"/>
    </row>
    <row r="1011">
      <c r="A1011" s="14" t="s">
        <v>1845</v>
      </c>
      <c r="B1011" s="19">
        <v>44309.78575231481</v>
      </c>
      <c r="C1011" s="4">
        <v>49813.0</v>
      </c>
      <c r="D1011" s="4" t="s">
        <v>1846</v>
      </c>
      <c r="E1011" s="4">
        <v>9.18789894694E11</v>
      </c>
      <c r="F1011" s="4">
        <v>17219.0</v>
      </c>
      <c r="G1011" s="4"/>
      <c r="H1011" s="4" t="s">
        <v>1592</v>
      </c>
      <c r="I1011" s="4"/>
      <c r="J1011" s="4" t="s">
        <v>77</v>
      </c>
      <c r="K1011" s="4">
        <v>499.0</v>
      </c>
      <c r="L1011" s="4"/>
      <c r="M1011" s="4">
        <v>499.0</v>
      </c>
      <c r="N1011" s="4" t="s">
        <v>67</v>
      </c>
      <c r="O1011" s="4" t="b">
        <v>0</v>
      </c>
      <c r="P1011" s="4" t="s">
        <v>68</v>
      </c>
      <c r="Q1011" s="4" t="s">
        <v>69</v>
      </c>
      <c r="R1011" s="4"/>
      <c r="S1011" s="4"/>
      <c r="T1011" s="4"/>
      <c r="U1011" s="7"/>
      <c r="V1011" s="4"/>
      <c r="W1011" s="4"/>
      <c r="X1011" s="4"/>
      <c r="Y1011" s="4"/>
      <c r="Z1011" s="4"/>
      <c r="AA1011" s="5"/>
      <c r="AB1011" s="5"/>
      <c r="AC1011" s="5"/>
      <c r="AD1011" s="5"/>
      <c r="AE1011" s="5"/>
    </row>
    <row r="1012">
      <c r="A1012" s="14" t="s">
        <v>1901</v>
      </c>
      <c r="B1012" s="19">
        <v>44310.86576388889</v>
      </c>
      <c r="C1012" s="4">
        <v>49833.0</v>
      </c>
      <c r="D1012" s="4" t="s">
        <v>1902</v>
      </c>
      <c r="E1012" s="4">
        <v>9.19373166526E11</v>
      </c>
      <c r="F1012" s="4">
        <v>17250.0</v>
      </c>
      <c r="G1012" s="4"/>
      <c r="H1012" s="4" t="s">
        <v>184</v>
      </c>
      <c r="I1012" s="4"/>
      <c r="J1012" s="4" t="s">
        <v>77</v>
      </c>
      <c r="K1012" s="4">
        <v>499.0</v>
      </c>
      <c r="L1012" s="4"/>
      <c r="M1012" s="4">
        <v>499.0</v>
      </c>
      <c r="N1012" s="4" t="s">
        <v>67</v>
      </c>
      <c r="O1012" s="4" t="b">
        <v>0</v>
      </c>
      <c r="P1012" s="4" t="s">
        <v>68</v>
      </c>
      <c r="Q1012" s="4" t="s">
        <v>69</v>
      </c>
      <c r="R1012" s="4"/>
      <c r="S1012" s="4"/>
      <c r="T1012" s="4"/>
      <c r="U1012" s="7"/>
      <c r="V1012" s="4"/>
      <c r="W1012" s="4"/>
      <c r="X1012" s="4"/>
      <c r="Y1012" s="4"/>
      <c r="Z1012" s="4"/>
      <c r="AA1012" s="5"/>
      <c r="AB1012" s="5"/>
      <c r="AC1012" s="5"/>
      <c r="AD1012" s="5"/>
      <c r="AE1012" s="5"/>
    </row>
    <row r="1013">
      <c r="A1013" s="14" t="s">
        <v>1805</v>
      </c>
      <c r="B1013" s="19">
        <v>44309.818506944444</v>
      </c>
      <c r="C1013" s="4">
        <v>50048.0</v>
      </c>
      <c r="D1013" s="4" t="s">
        <v>1806</v>
      </c>
      <c r="E1013" s="4">
        <v>9.19167677843E11</v>
      </c>
      <c r="F1013" s="4">
        <v>17426.0</v>
      </c>
      <c r="G1013" s="4"/>
      <c r="H1013" s="4" t="s">
        <v>1436</v>
      </c>
      <c r="I1013" s="4"/>
      <c r="J1013" s="4" t="s">
        <v>1437</v>
      </c>
      <c r="K1013" s="4">
        <v>149.0</v>
      </c>
      <c r="L1013" s="4"/>
      <c r="M1013" s="4">
        <v>149.0</v>
      </c>
      <c r="N1013" s="4" t="s">
        <v>67</v>
      </c>
      <c r="O1013" s="4" t="b">
        <v>0</v>
      </c>
      <c r="P1013" s="4" t="s">
        <v>68</v>
      </c>
      <c r="Q1013" s="4" t="s">
        <v>69</v>
      </c>
      <c r="R1013" s="4"/>
      <c r="S1013" s="4"/>
      <c r="T1013" s="4"/>
      <c r="U1013" s="8"/>
      <c r="V1013" s="4"/>
      <c r="W1013" s="4"/>
      <c r="X1013" s="4"/>
      <c r="Y1013" s="4"/>
      <c r="Z1013" s="4"/>
      <c r="AA1013" s="5"/>
      <c r="AB1013" s="5"/>
      <c r="AC1013" s="5"/>
      <c r="AD1013" s="5"/>
      <c r="AE1013" s="5"/>
    </row>
    <row r="1014">
      <c r="A1014" s="14" t="s">
        <v>1807</v>
      </c>
      <c r="B1014" s="19">
        <v>44309.819768518515</v>
      </c>
      <c r="C1014" s="4">
        <v>49997.0</v>
      </c>
      <c r="D1014" s="4" t="s">
        <v>1808</v>
      </c>
      <c r="E1014" s="4">
        <v>9.18564000084E11</v>
      </c>
      <c r="F1014" s="4">
        <v>17286.0</v>
      </c>
      <c r="G1014" s="4"/>
      <c r="H1014" s="4" t="s">
        <v>1059</v>
      </c>
      <c r="I1014" s="4"/>
      <c r="J1014" s="4" t="s">
        <v>149</v>
      </c>
      <c r="K1014" s="4">
        <v>99.0</v>
      </c>
      <c r="L1014" s="4"/>
      <c r="M1014" s="4">
        <v>99.0</v>
      </c>
      <c r="N1014" s="4" t="s">
        <v>67</v>
      </c>
      <c r="O1014" s="4" t="b">
        <v>0</v>
      </c>
      <c r="P1014" s="4" t="s">
        <v>97</v>
      </c>
      <c r="Q1014" s="4" t="s">
        <v>69</v>
      </c>
      <c r="R1014" s="4"/>
      <c r="S1014" s="4"/>
      <c r="T1014" s="4"/>
      <c r="U1014" s="8"/>
      <c r="V1014" s="4"/>
      <c r="W1014" s="4"/>
      <c r="X1014" s="4"/>
      <c r="Y1014" s="4"/>
      <c r="Z1014" s="4"/>
      <c r="AA1014" s="5"/>
      <c r="AB1014" s="5"/>
      <c r="AC1014" s="5"/>
      <c r="AD1014" s="5"/>
      <c r="AE1014" s="5"/>
    </row>
    <row r="1015">
      <c r="A1015" s="14" t="s">
        <v>1811</v>
      </c>
      <c r="B1015" s="19">
        <v>44309.8371875</v>
      </c>
      <c r="C1015" s="4">
        <v>49997.0</v>
      </c>
      <c r="D1015" s="4" t="s">
        <v>1812</v>
      </c>
      <c r="E1015" s="4">
        <v>9.19997043918E11</v>
      </c>
      <c r="F1015" s="4">
        <v>17257.0</v>
      </c>
      <c r="G1015" s="4"/>
      <c r="H1015" s="4" t="s">
        <v>1059</v>
      </c>
      <c r="I1015" s="4"/>
      <c r="J1015" s="4" t="s">
        <v>149</v>
      </c>
      <c r="K1015" s="4">
        <v>99.0</v>
      </c>
      <c r="L1015" s="4"/>
      <c r="M1015" s="4">
        <v>99.0</v>
      </c>
      <c r="N1015" s="4" t="s">
        <v>67</v>
      </c>
      <c r="O1015" s="4" t="b">
        <v>0</v>
      </c>
      <c r="P1015" s="4" t="s">
        <v>68</v>
      </c>
      <c r="Q1015" s="4" t="s">
        <v>69</v>
      </c>
      <c r="R1015" s="4"/>
      <c r="S1015" s="4"/>
      <c r="T1015" s="4"/>
      <c r="U1015" s="7"/>
      <c r="V1015" s="4"/>
      <c r="W1015" s="4"/>
      <c r="X1015" s="4"/>
      <c r="Y1015" s="4"/>
      <c r="Z1015" s="4"/>
      <c r="AA1015" s="5"/>
      <c r="AB1015" s="5"/>
      <c r="AC1015" s="5"/>
      <c r="AD1015" s="5"/>
      <c r="AE1015" s="5"/>
    </row>
    <row r="1016">
      <c r="A1016" s="14" t="s">
        <v>1809</v>
      </c>
      <c r="B1016" s="19">
        <v>44309.82313657407</v>
      </c>
      <c r="C1016" s="4">
        <v>50009.0</v>
      </c>
      <c r="D1016" s="4" t="s">
        <v>1810</v>
      </c>
      <c r="E1016" s="4">
        <v>9.19990603501E11</v>
      </c>
      <c r="F1016" s="4" t="s">
        <v>83</v>
      </c>
      <c r="G1016" s="4"/>
      <c r="H1016" s="4" t="s">
        <v>1476</v>
      </c>
      <c r="I1016" s="4"/>
      <c r="J1016" s="4" t="s">
        <v>149</v>
      </c>
      <c r="K1016" s="4">
        <v>99.0</v>
      </c>
      <c r="L1016" s="4"/>
      <c r="M1016" s="4">
        <v>99.0</v>
      </c>
      <c r="N1016" s="4" t="s">
        <v>67</v>
      </c>
      <c r="O1016" s="4" t="b">
        <v>0</v>
      </c>
      <c r="P1016" s="4" t="s">
        <v>97</v>
      </c>
      <c r="Q1016" s="4" t="s">
        <v>69</v>
      </c>
      <c r="R1016" s="4"/>
      <c r="S1016" s="4"/>
      <c r="T1016" s="4"/>
      <c r="U1016" s="7"/>
      <c r="V1016" s="4"/>
      <c r="W1016" s="4"/>
      <c r="X1016" s="4"/>
      <c r="Y1016" s="4"/>
      <c r="Z1016" s="4"/>
      <c r="AA1016" s="5"/>
      <c r="AB1016" s="5"/>
      <c r="AC1016" s="5"/>
      <c r="AD1016" s="5"/>
      <c r="AE1016" s="5"/>
    </row>
    <row r="1017">
      <c r="A1017" s="14" t="s">
        <v>350</v>
      </c>
      <c r="B1017" s="19">
        <v>44310.901400462964</v>
      </c>
      <c r="C1017" s="4">
        <v>49991.0</v>
      </c>
      <c r="D1017" s="4" t="s">
        <v>351</v>
      </c>
      <c r="E1017" s="4">
        <v>9.19086362091E11</v>
      </c>
      <c r="F1017" s="4">
        <v>17254.0</v>
      </c>
      <c r="G1017" s="4"/>
      <c r="H1017" s="4" t="s">
        <v>148</v>
      </c>
      <c r="I1017" s="4"/>
      <c r="J1017" s="4" t="s">
        <v>77</v>
      </c>
      <c r="K1017" s="4">
        <v>349.0</v>
      </c>
      <c r="L1017" s="4"/>
      <c r="M1017" s="4">
        <v>349.0</v>
      </c>
      <c r="N1017" s="4" t="s">
        <v>67</v>
      </c>
      <c r="O1017" s="4" t="b">
        <v>0</v>
      </c>
      <c r="P1017" s="4" t="s">
        <v>74</v>
      </c>
      <c r="Q1017" s="4" t="s">
        <v>69</v>
      </c>
      <c r="R1017" s="4"/>
      <c r="S1017" s="4"/>
      <c r="T1017" s="4"/>
      <c r="U1017" s="7"/>
      <c r="V1017" s="4"/>
      <c r="W1017" s="4"/>
      <c r="X1017" s="4"/>
      <c r="Y1017" s="4"/>
      <c r="Z1017" s="4"/>
      <c r="AA1017" s="5"/>
      <c r="AB1017" s="5"/>
      <c r="AC1017" s="5"/>
      <c r="AD1017" s="5"/>
      <c r="AE1017" s="5"/>
    </row>
    <row r="1018">
      <c r="A1018" s="14" t="s">
        <v>1849</v>
      </c>
      <c r="B1018" s="19">
        <v>44309.844618055555</v>
      </c>
      <c r="C1018" s="4">
        <v>49813.0</v>
      </c>
      <c r="D1018" s="4" t="s">
        <v>1850</v>
      </c>
      <c r="E1018" s="4">
        <v>9.19654914415E11</v>
      </c>
      <c r="F1018" s="4">
        <v>17200.0</v>
      </c>
      <c r="G1018" s="4"/>
      <c r="H1018" s="4" t="s">
        <v>1592</v>
      </c>
      <c r="I1018" s="4"/>
      <c r="J1018" s="4" t="s">
        <v>85</v>
      </c>
      <c r="K1018" s="4">
        <v>499.0</v>
      </c>
      <c r="L1018" s="4"/>
      <c r="M1018" s="4">
        <v>499.0</v>
      </c>
      <c r="N1018" s="4" t="s">
        <v>67</v>
      </c>
      <c r="O1018" s="4" t="b">
        <v>0</v>
      </c>
      <c r="P1018" s="4" t="s">
        <v>74</v>
      </c>
      <c r="Q1018" s="4" t="s">
        <v>69</v>
      </c>
      <c r="R1018" s="4"/>
      <c r="S1018" s="4"/>
      <c r="T1018" s="4"/>
      <c r="U1018" s="8"/>
      <c r="V1018" s="4"/>
      <c r="W1018" s="4"/>
      <c r="X1018" s="4"/>
      <c r="Y1018" s="4"/>
      <c r="Z1018" s="4"/>
      <c r="AA1018" s="5"/>
      <c r="AB1018" s="5"/>
      <c r="AC1018" s="5"/>
      <c r="AD1018" s="5"/>
      <c r="AE1018" s="5"/>
    </row>
    <row r="1019">
      <c r="A1019" s="14" t="s">
        <v>352</v>
      </c>
      <c r="B1019" s="19">
        <v>44310.90712962963</v>
      </c>
      <c r="C1019" s="4">
        <v>49991.0</v>
      </c>
      <c r="D1019" s="4" t="s">
        <v>351</v>
      </c>
      <c r="E1019" s="4">
        <v>9.19086362091E11</v>
      </c>
      <c r="F1019" s="4">
        <v>17254.0</v>
      </c>
      <c r="G1019" s="4"/>
      <c r="H1019" s="4" t="s">
        <v>148</v>
      </c>
      <c r="I1019" s="4"/>
      <c r="J1019" s="4" t="s">
        <v>85</v>
      </c>
      <c r="K1019" s="4">
        <v>199.0</v>
      </c>
      <c r="L1019" s="4"/>
      <c r="M1019" s="4">
        <v>199.0</v>
      </c>
      <c r="N1019" s="4" t="s">
        <v>67</v>
      </c>
      <c r="O1019" s="4" t="b">
        <v>0</v>
      </c>
      <c r="P1019" s="4" t="s">
        <v>74</v>
      </c>
      <c r="Q1019" s="4" t="s">
        <v>69</v>
      </c>
      <c r="R1019" s="4"/>
      <c r="S1019" s="4"/>
      <c r="T1019" s="4"/>
      <c r="U1019" s="7"/>
      <c r="V1019" s="4"/>
      <c r="W1019" s="4"/>
      <c r="X1019" s="4"/>
      <c r="Y1019" s="4"/>
      <c r="Z1019" s="4"/>
      <c r="AA1019" s="5"/>
      <c r="AB1019" s="5"/>
      <c r="AC1019" s="5"/>
      <c r="AD1019" s="5"/>
      <c r="AE1019" s="5"/>
    </row>
    <row r="1020">
      <c r="A1020" s="14" t="s">
        <v>1859</v>
      </c>
      <c r="B1020" s="19">
        <v>44309.849490740744</v>
      </c>
      <c r="C1020" s="4">
        <v>49813.0</v>
      </c>
      <c r="D1020" s="4" t="s">
        <v>1860</v>
      </c>
      <c r="E1020" s="4">
        <v>9.19654492313E11</v>
      </c>
      <c r="F1020" s="4">
        <v>17199.0</v>
      </c>
      <c r="G1020" s="4"/>
      <c r="H1020" s="4" t="s">
        <v>1592</v>
      </c>
      <c r="I1020" s="4"/>
      <c r="J1020" s="4" t="s">
        <v>149</v>
      </c>
      <c r="K1020" s="4">
        <v>299.0</v>
      </c>
      <c r="L1020" s="4"/>
      <c r="M1020" s="4">
        <v>299.0</v>
      </c>
      <c r="N1020" s="4" t="s">
        <v>67</v>
      </c>
      <c r="O1020" s="4" t="b">
        <v>0</v>
      </c>
      <c r="P1020" s="4" t="s">
        <v>68</v>
      </c>
      <c r="Q1020" s="4" t="s">
        <v>69</v>
      </c>
      <c r="R1020" s="4"/>
      <c r="S1020" s="4"/>
      <c r="T1020" s="4"/>
      <c r="U1020" s="7"/>
      <c r="V1020" s="4"/>
      <c r="W1020" s="4"/>
      <c r="X1020" s="4"/>
      <c r="Y1020" s="4"/>
      <c r="Z1020" s="4"/>
      <c r="AA1020" s="5"/>
      <c r="AB1020" s="5"/>
      <c r="AC1020" s="5"/>
      <c r="AD1020" s="5"/>
      <c r="AE1020" s="5"/>
    </row>
    <row r="1021">
      <c r="A1021" s="14" t="s">
        <v>1817</v>
      </c>
      <c r="B1021" s="19">
        <v>44309.85653935185</v>
      </c>
      <c r="C1021" s="4">
        <v>50009.0</v>
      </c>
      <c r="D1021" s="4" t="s">
        <v>1818</v>
      </c>
      <c r="E1021" s="4">
        <v>9.18287037016E11</v>
      </c>
      <c r="F1021" s="4">
        <v>17446.0</v>
      </c>
      <c r="G1021" s="4"/>
      <c r="H1021" s="4" t="s">
        <v>1476</v>
      </c>
      <c r="I1021" s="4"/>
      <c r="J1021" s="4" t="s">
        <v>149</v>
      </c>
      <c r="K1021" s="4">
        <v>99.0</v>
      </c>
      <c r="L1021" s="4"/>
      <c r="M1021" s="4">
        <v>99.0</v>
      </c>
      <c r="N1021" s="4" t="s">
        <v>67</v>
      </c>
      <c r="O1021" s="4" t="b">
        <v>0</v>
      </c>
      <c r="P1021" s="4" t="s">
        <v>68</v>
      </c>
      <c r="Q1021" s="4" t="s">
        <v>69</v>
      </c>
      <c r="R1021" s="4"/>
      <c r="S1021" s="4"/>
      <c r="T1021" s="4"/>
      <c r="U1021" s="7"/>
      <c r="V1021" s="4"/>
      <c r="W1021" s="4"/>
      <c r="X1021" s="4"/>
      <c r="Y1021" s="4"/>
      <c r="Z1021" s="4"/>
      <c r="AA1021" s="5"/>
      <c r="AB1021" s="5"/>
      <c r="AC1021" s="5"/>
      <c r="AD1021" s="5"/>
      <c r="AE1021" s="5"/>
    </row>
    <row r="1022">
      <c r="A1022" s="14" t="s">
        <v>344</v>
      </c>
      <c r="B1022" s="19">
        <v>44309.85689814815</v>
      </c>
      <c r="C1022" s="4">
        <v>49991.0</v>
      </c>
      <c r="D1022" s="4" t="s">
        <v>345</v>
      </c>
      <c r="E1022" s="4">
        <v>9.18823090634E11</v>
      </c>
      <c r="F1022" s="4">
        <v>17202.0</v>
      </c>
      <c r="G1022" s="4"/>
      <c r="H1022" s="4" t="s">
        <v>148</v>
      </c>
      <c r="I1022" s="4"/>
      <c r="J1022" s="4" t="s">
        <v>149</v>
      </c>
      <c r="K1022" s="4">
        <v>99.0</v>
      </c>
      <c r="L1022" s="4"/>
      <c r="M1022" s="4">
        <v>99.0</v>
      </c>
      <c r="N1022" s="4" t="s">
        <v>67</v>
      </c>
      <c r="O1022" s="4" t="b">
        <v>0</v>
      </c>
      <c r="P1022" s="4" t="s">
        <v>68</v>
      </c>
      <c r="Q1022" s="4" t="s">
        <v>69</v>
      </c>
      <c r="R1022" s="4"/>
      <c r="S1022" s="4"/>
      <c r="T1022" s="4"/>
      <c r="U1022" s="7"/>
      <c r="V1022" s="4"/>
      <c r="W1022" s="4"/>
      <c r="X1022" s="4"/>
      <c r="Y1022" s="4"/>
      <c r="Z1022" s="4"/>
      <c r="AA1022" s="5"/>
      <c r="AB1022" s="5"/>
      <c r="AC1022" s="5"/>
      <c r="AD1022" s="5"/>
      <c r="AE1022" s="5"/>
    </row>
    <row r="1023">
      <c r="A1023" s="14" t="s">
        <v>1821</v>
      </c>
      <c r="B1023" s="19">
        <v>44309.860763888886</v>
      </c>
      <c r="C1023" s="4">
        <v>49997.0</v>
      </c>
      <c r="D1023" s="4" t="s">
        <v>1822</v>
      </c>
      <c r="E1023" s="4">
        <v>9.18452872241E11</v>
      </c>
      <c r="F1023" s="4" t="s">
        <v>83</v>
      </c>
      <c r="G1023" s="4"/>
      <c r="H1023" s="4" t="s">
        <v>1059</v>
      </c>
      <c r="I1023" s="4"/>
      <c r="J1023" s="4" t="s">
        <v>77</v>
      </c>
      <c r="K1023" s="4">
        <v>349.0</v>
      </c>
      <c r="L1023" s="4"/>
      <c r="M1023" s="4">
        <v>349.0</v>
      </c>
      <c r="N1023" s="4" t="s">
        <v>67</v>
      </c>
      <c r="O1023" s="4" t="b">
        <v>0</v>
      </c>
      <c r="P1023" s="4" t="s">
        <v>74</v>
      </c>
      <c r="Q1023" s="4" t="s">
        <v>69</v>
      </c>
      <c r="R1023" s="4"/>
      <c r="S1023" s="4"/>
      <c r="T1023" s="4"/>
      <c r="U1023" s="8"/>
      <c r="V1023" s="4"/>
      <c r="W1023" s="4"/>
      <c r="X1023" s="4"/>
      <c r="Y1023" s="4"/>
      <c r="Z1023" s="4"/>
      <c r="AA1023" s="5"/>
      <c r="AB1023" s="5"/>
      <c r="AC1023" s="5"/>
      <c r="AD1023" s="5"/>
      <c r="AE1023" s="5"/>
    </row>
    <row r="1024">
      <c r="A1024" s="14" t="s">
        <v>1863</v>
      </c>
      <c r="B1024" s="19">
        <v>44309.88266203704</v>
      </c>
      <c r="C1024" s="4">
        <v>49813.0</v>
      </c>
      <c r="D1024" s="4" t="s">
        <v>1864</v>
      </c>
      <c r="E1024" s="4">
        <v>9.19328077756E11</v>
      </c>
      <c r="F1024" s="4">
        <v>17204.0</v>
      </c>
      <c r="G1024" s="4"/>
      <c r="H1024" s="4" t="s">
        <v>1592</v>
      </c>
      <c r="I1024" s="4"/>
      <c r="J1024" s="4" t="s">
        <v>85</v>
      </c>
      <c r="K1024" s="4">
        <v>499.0</v>
      </c>
      <c r="L1024" s="4"/>
      <c r="M1024" s="4">
        <v>499.0</v>
      </c>
      <c r="N1024" s="4" t="s">
        <v>67</v>
      </c>
      <c r="O1024" s="4" t="b">
        <v>0</v>
      </c>
      <c r="P1024" s="4" t="s">
        <v>68</v>
      </c>
      <c r="Q1024" s="4" t="s">
        <v>69</v>
      </c>
      <c r="R1024" s="4"/>
      <c r="S1024" s="4"/>
      <c r="T1024" s="4"/>
      <c r="U1024" s="7"/>
      <c r="V1024" s="4"/>
      <c r="W1024" s="4"/>
      <c r="X1024" s="4"/>
      <c r="Y1024" s="4"/>
      <c r="Z1024" s="4"/>
      <c r="AA1024" s="5"/>
      <c r="AB1024" s="5"/>
      <c r="AC1024" s="5"/>
      <c r="AD1024" s="5"/>
      <c r="AE1024" s="5"/>
    </row>
    <row r="1025">
      <c r="A1025" s="14" t="s">
        <v>2078</v>
      </c>
      <c r="B1025" s="19">
        <v>44310.92638888889</v>
      </c>
      <c r="C1025" s="4">
        <v>49995.0</v>
      </c>
      <c r="D1025" s="4" t="s">
        <v>2079</v>
      </c>
      <c r="E1025" s="4">
        <v>9.18169492656E11</v>
      </c>
      <c r="F1025" s="4" t="s">
        <v>83</v>
      </c>
      <c r="G1025" s="4"/>
      <c r="H1025" s="4" t="s">
        <v>2005</v>
      </c>
      <c r="I1025" s="4"/>
      <c r="J1025" s="4" t="s">
        <v>149</v>
      </c>
      <c r="K1025" s="4">
        <v>99.0</v>
      </c>
      <c r="L1025" s="4"/>
      <c r="M1025" s="4">
        <v>99.0</v>
      </c>
      <c r="N1025" s="4" t="s">
        <v>67</v>
      </c>
      <c r="O1025" s="4" t="b">
        <v>0</v>
      </c>
      <c r="P1025" s="4" t="s">
        <v>68</v>
      </c>
      <c r="Q1025" s="4" t="s">
        <v>69</v>
      </c>
      <c r="R1025" s="4"/>
      <c r="S1025" s="4"/>
      <c r="T1025" s="4"/>
      <c r="U1025" s="7"/>
      <c r="V1025" s="4"/>
      <c r="W1025" s="4"/>
      <c r="X1025" s="4"/>
      <c r="Y1025" s="4"/>
      <c r="Z1025" s="4"/>
      <c r="AA1025" s="5"/>
      <c r="AB1025" s="5"/>
      <c r="AC1025" s="5"/>
      <c r="AD1025" s="5"/>
      <c r="AE1025" s="5"/>
    </row>
    <row r="1026">
      <c r="A1026" s="14" t="s">
        <v>1825</v>
      </c>
      <c r="B1026" s="19">
        <v>44309.88615740741</v>
      </c>
      <c r="C1026" s="4">
        <v>49958.0</v>
      </c>
      <c r="D1026" s="4" t="s">
        <v>1826</v>
      </c>
      <c r="E1026" s="4">
        <v>9.19302306376E11</v>
      </c>
      <c r="F1026" s="4">
        <v>17461.0</v>
      </c>
      <c r="G1026" s="4"/>
      <c r="H1026" s="4" t="s">
        <v>858</v>
      </c>
      <c r="I1026" s="4"/>
      <c r="J1026" s="4" t="s">
        <v>85</v>
      </c>
      <c r="K1026" s="4">
        <v>199.0</v>
      </c>
      <c r="L1026" s="4"/>
      <c r="M1026" s="4">
        <v>199.0</v>
      </c>
      <c r="N1026" s="4" t="s">
        <v>67</v>
      </c>
      <c r="O1026" s="4" t="b">
        <v>0</v>
      </c>
      <c r="P1026" s="4" t="s">
        <v>68</v>
      </c>
      <c r="Q1026" s="4" t="s">
        <v>69</v>
      </c>
      <c r="R1026" s="4"/>
      <c r="S1026" s="4"/>
      <c r="T1026" s="4"/>
      <c r="U1026" s="8"/>
      <c r="V1026" s="4"/>
      <c r="W1026" s="4"/>
      <c r="X1026" s="4"/>
      <c r="Y1026" s="4"/>
      <c r="Z1026" s="4"/>
      <c r="AA1026" s="5"/>
      <c r="AB1026" s="5"/>
      <c r="AC1026" s="5"/>
      <c r="AD1026" s="5"/>
      <c r="AE1026" s="5"/>
    </row>
    <row r="1027">
      <c r="A1027" s="14" t="s">
        <v>1827</v>
      </c>
      <c r="B1027" s="19">
        <v>44309.8878125</v>
      </c>
      <c r="C1027" s="4">
        <v>50033.0</v>
      </c>
      <c r="D1027" s="4" t="s">
        <v>1828</v>
      </c>
      <c r="E1027" s="4">
        <v>9.19035163393E11</v>
      </c>
      <c r="F1027" s="4">
        <v>17216.0</v>
      </c>
      <c r="G1027" s="4"/>
      <c r="H1027" s="4" t="s">
        <v>1727</v>
      </c>
      <c r="I1027" s="4"/>
      <c r="J1027" s="4" t="s">
        <v>77</v>
      </c>
      <c r="K1027" s="4">
        <v>349.0</v>
      </c>
      <c r="L1027" s="4"/>
      <c r="M1027" s="4">
        <v>349.0</v>
      </c>
      <c r="N1027" s="4" t="s">
        <v>67</v>
      </c>
      <c r="O1027" s="4" t="b">
        <v>0</v>
      </c>
      <c r="P1027" s="4" t="s">
        <v>68</v>
      </c>
      <c r="Q1027" s="4" t="s">
        <v>69</v>
      </c>
      <c r="R1027" s="4"/>
      <c r="S1027" s="4"/>
      <c r="T1027" s="4"/>
      <c r="U1027" s="7"/>
      <c r="V1027" s="4"/>
      <c r="W1027" s="4"/>
      <c r="X1027" s="4"/>
      <c r="Y1027" s="4"/>
      <c r="Z1027" s="4"/>
      <c r="AA1027" s="5"/>
      <c r="AB1027" s="5"/>
      <c r="AC1027" s="5"/>
      <c r="AD1027" s="5"/>
      <c r="AE1027" s="5"/>
    </row>
    <row r="1028">
      <c r="A1028" s="14" t="s">
        <v>1829</v>
      </c>
      <c r="B1028" s="19">
        <v>44309.90164351852</v>
      </c>
      <c r="C1028" s="4">
        <v>49833.0</v>
      </c>
      <c r="D1028" s="4" t="s">
        <v>1830</v>
      </c>
      <c r="E1028" s="4">
        <v>9.19769288349E11</v>
      </c>
      <c r="F1028" s="4">
        <v>17205.0</v>
      </c>
      <c r="G1028" s="4"/>
      <c r="H1028" s="4" t="s">
        <v>184</v>
      </c>
      <c r="I1028" s="4"/>
      <c r="J1028" s="4" t="s">
        <v>149</v>
      </c>
      <c r="K1028" s="4">
        <v>199.0</v>
      </c>
      <c r="L1028" s="4"/>
      <c r="M1028" s="4">
        <v>199.0</v>
      </c>
      <c r="N1028" s="4" t="s">
        <v>67</v>
      </c>
      <c r="O1028" s="4" t="b">
        <v>0</v>
      </c>
      <c r="P1028" s="4" t="s">
        <v>74</v>
      </c>
      <c r="Q1028" s="4" t="s">
        <v>69</v>
      </c>
      <c r="R1028" s="4"/>
      <c r="S1028" s="4"/>
      <c r="T1028" s="4"/>
      <c r="U1028" s="7"/>
      <c r="V1028" s="4"/>
      <c r="W1028" s="4"/>
      <c r="X1028" s="4"/>
      <c r="Y1028" s="4"/>
      <c r="Z1028" s="4"/>
      <c r="AA1028" s="5"/>
      <c r="AB1028" s="5"/>
      <c r="AC1028" s="5"/>
      <c r="AD1028" s="5"/>
      <c r="AE1028" s="5"/>
    </row>
    <row r="1029">
      <c r="A1029" s="14" t="s">
        <v>1831</v>
      </c>
      <c r="B1029" s="19">
        <v>44309.932916666665</v>
      </c>
      <c r="C1029" s="4">
        <v>49833.0</v>
      </c>
      <c r="D1029" s="4" t="s">
        <v>1832</v>
      </c>
      <c r="E1029" s="4">
        <v>9.16395848433E11</v>
      </c>
      <c r="F1029" s="4" t="s">
        <v>83</v>
      </c>
      <c r="G1029" s="4"/>
      <c r="H1029" s="4" t="s">
        <v>184</v>
      </c>
      <c r="I1029" s="4"/>
      <c r="J1029" s="4" t="s">
        <v>77</v>
      </c>
      <c r="K1029" s="4">
        <v>499.0</v>
      </c>
      <c r="L1029" s="4"/>
      <c r="M1029" s="4">
        <v>499.0</v>
      </c>
      <c r="N1029" s="4" t="s">
        <v>67</v>
      </c>
      <c r="O1029" s="4" t="b">
        <v>0</v>
      </c>
      <c r="P1029" s="4" t="s">
        <v>151</v>
      </c>
      <c r="Q1029" s="4" t="s">
        <v>69</v>
      </c>
      <c r="R1029" s="4"/>
      <c r="S1029" s="4"/>
      <c r="T1029" s="4"/>
      <c r="U1029" s="7"/>
      <c r="V1029" s="4"/>
      <c r="W1029" s="4"/>
      <c r="X1029" s="4"/>
      <c r="Y1029" s="4"/>
      <c r="Z1029" s="4"/>
      <c r="AA1029" s="5"/>
      <c r="AB1029" s="5"/>
      <c r="AC1029" s="5"/>
      <c r="AD1029" s="5"/>
      <c r="AE1029" s="5"/>
    </row>
    <row r="1030">
      <c r="A1030" s="14" t="s">
        <v>1833</v>
      </c>
      <c r="B1030" s="19">
        <v>44309.95927083334</v>
      </c>
      <c r="C1030" s="4">
        <v>49997.0</v>
      </c>
      <c r="D1030" s="4" t="s">
        <v>1834</v>
      </c>
      <c r="E1030" s="4">
        <v>9.19884803252E11</v>
      </c>
      <c r="F1030" s="4" t="s">
        <v>83</v>
      </c>
      <c r="G1030" s="4"/>
      <c r="H1030" s="4" t="s">
        <v>1059</v>
      </c>
      <c r="I1030" s="4"/>
      <c r="J1030" s="4" t="s">
        <v>149</v>
      </c>
      <c r="K1030" s="4">
        <v>99.0</v>
      </c>
      <c r="L1030" s="4"/>
      <c r="M1030" s="4">
        <v>99.0</v>
      </c>
      <c r="N1030" s="4" t="s">
        <v>67</v>
      </c>
      <c r="O1030" s="4" t="b">
        <v>0</v>
      </c>
      <c r="P1030" s="4" t="s">
        <v>97</v>
      </c>
      <c r="Q1030" s="4" t="s">
        <v>69</v>
      </c>
      <c r="R1030" s="4"/>
      <c r="S1030" s="4"/>
      <c r="T1030" s="4"/>
      <c r="U1030" s="7"/>
      <c r="V1030" s="4"/>
      <c r="W1030" s="4"/>
      <c r="X1030" s="4"/>
      <c r="Y1030" s="4"/>
      <c r="Z1030" s="4"/>
      <c r="AA1030" s="5"/>
      <c r="AB1030" s="5"/>
      <c r="AC1030" s="5"/>
      <c r="AD1030" s="5"/>
      <c r="AE1030" s="5"/>
    </row>
    <row r="1031">
      <c r="A1031" s="14" t="s">
        <v>1909</v>
      </c>
      <c r="B1031" s="19">
        <v>44311.01142361111</v>
      </c>
      <c r="C1031" s="4">
        <v>50033.0</v>
      </c>
      <c r="D1031" s="4" t="s">
        <v>1910</v>
      </c>
      <c r="E1031" s="4">
        <v>9.19731120535E11</v>
      </c>
      <c r="F1031" s="4">
        <v>17364.0</v>
      </c>
      <c r="G1031" s="4"/>
      <c r="H1031" s="4" t="s">
        <v>1727</v>
      </c>
      <c r="I1031" s="4"/>
      <c r="J1031" s="4" t="s">
        <v>1437</v>
      </c>
      <c r="K1031" s="4">
        <v>99.0</v>
      </c>
      <c r="L1031" s="4"/>
      <c r="M1031" s="4">
        <v>99.0</v>
      </c>
      <c r="N1031" s="4" t="s">
        <v>67</v>
      </c>
      <c r="O1031" s="4" t="b">
        <v>0</v>
      </c>
      <c r="P1031" s="4" t="s">
        <v>68</v>
      </c>
      <c r="Q1031" s="4" t="s">
        <v>69</v>
      </c>
      <c r="R1031" s="4"/>
      <c r="S1031" s="4"/>
      <c r="T1031" s="4"/>
      <c r="U1031" s="7"/>
      <c r="V1031" s="4"/>
      <c r="W1031" s="4"/>
      <c r="X1031" s="4"/>
      <c r="Y1031" s="4"/>
      <c r="Z1031" s="4"/>
      <c r="AA1031" s="5"/>
      <c r="AB1031" s="5"/>
      <c r="AC1031" s="5"/>
      <c r="AD1031" s="5"/>
      <c r="AE1031" s="5"/>
    </row>
    <row r="1032">
      <c r="A1032" s="14" t="s">
        <v>2064</v>
      </c>
      <c r="B1032" s="19">
        <v>44309.99664351852</v>
      </c>
      <c r="C1032" s="4">
        <v>49995.0</v>
      </c>
      <c r="D1032" s="4" t="s">
        <v>2065</v>
      </c>
      <c r="E1032" s="4">
        <v>9.19920669448E11</v>
      </c>
      <c r="F1032" s="4">
        <v>17226.0</v>
      </c>
      <c r="G1032" s="4"/>
      <c r="H1032" s="4" t="s">
        <v>2005</v>
      </c>
      <c r="I1032" s="4"/>
      <c r="J1032" s="4" t="s">
        <v>149</v>
      </c>
      <c r="K1032" s="4">
        <v>99.0</v>
      </c>
      <c r="L1032" s="4"/>
      <c r="M1032" s="4">
        <v>99.0</v>
      </c>
      <c r="N1032" s="4" t="s">
        <v>67</v>
      </c>
      <c r="O1032" s="4" t="b">
        <v>0</v>
      </c>
      <c r="P1032" s="4" t="s">
        <v>68</v>
      </c>
      <c r="Q1032" s="4" t="s">
        <v>69</v>
      </c>
      <c r="R1032" s="4"/>
      <c r="S1032" s="4"/>
      <c r="T1032" s="4"/>
      <c r="U1032" s="8"/>
      <c r="V1032" s="4"/>
      <c r="W1032" s="4"/>
      <c r="X1032" s="4"/>
      <c r="Y1032" s="4"/>
      <c r="Z1032" s="4"/>
      <c r="AA1032" s="5"/>
      <c r="AB1032" s="5"/>
      <c r="AC1032" s="5"/>
      <c r="AD1032" s="5"/>
      <c r="AE1032" s="5"/>
    </row>
    <row r="1033">
      <c r="A1033" s="14" t="s">
        <v>1911</v>
      </c>
      <c r="B1033" s="19">
        <v>44311.04248842593</v>
      </c>
      <c r="C1033" s="4">
        <v>49834.0</v>
      </c>
      <c r="D1033" s="4" t="s">
        <v>1912</v>
      </c>
      <c r="E1033" s="4">
        <v>9.1981165092E11</v>
      </c>
      <c r="F1033" s="4">
        <v>17256.0</v>
      </c>
      <c r="G1033" s="4"/>
      <c r="H1033" s="4" t="s">
        <v>960</v>
      </c>
      <c r="I1033" s="4"/>
      <c r="J1033" s="4" t="s">
        <v>149</v>
      </c>
      <c r="K1033" s="4">
        <v>99.0</v>
      </c>
      <c r="L1033" s="4"/>
      <c r="M1033" s="4">
        <v>99.0</v>
      </c>
      <c r="N1033" s="4" t="s">
        <v>67</v>
      </c>
      <c r="O1033" s="4" t="b">
        <v>0</v>
      </c>
      <c r="P1033" s="4" t="s">
        <v>68</v>
      </c>
      <c r="Q1033" s="4" t="s">
        <v>69</v>
      </c>
      <c r="R1033" s="4"/>
      <c r="S1033" s="4"/>
      <c r="T1033" s="4"/>
      <c r="U1033" s="7"/>
      <c r="V1033" s="4"/>
      <c r="W1033" s="4"/>
      <c r="X1033" s="4"/>
      <c r="Y1033" s="4"/>
      <c r="Z1033" s="4"/>
      <c r="AA1033" s="5"/>
      <c r="AB1033" s="5"/>
      <c r="AC1033" s="5"/>
      <c r="AD1033" s="5"/>
      <c r="AE1033" s="5"/>
    </row>
    <row r="1034">
      <c r="A1034" s="14" t="s">
        <v>1913</v>
      </c>
      <c r="B1034" s="19">
        <v>44311.06103009259</v>
      </c>
      <c r="C1034" s="4">
        <v>49997.0</v>
      </c>
      <c r="D1034" s="4" t="s">
        <v>1914</v>
      </c>
      <c r="E1034" s="4">
        <v>9.19826525285E11</v>
      </c>
      <c r="F1034" s="4" t="s">
        <v>83</v>
      </c>
      <c r="G1034" s="4"/>
      <c r="H1034" s="4" t="s">
        <v>1059</v>
      </c>
      <c r="I1034" s="4"/>
      <c r="J1034" s="4" t="s">
        <v>149</v>
      </c>
      <c r="K1034" s="4">
        <v>99.0</v>
      </c>
      <c r="L1034" s="4"/>
      <c r="M1034" s="4">
        <v>99.0</v>
      </c>
      <c r="N1034" s="4" t="s">
        <v>67</v>
      </c>
      <c r="O1034" s="4" t="b">
        <v>0</v>
      </c>
      <c r="P1034" s="4" t="s">
        <v>68</v>
      </c>
      <c r="Q1034" s="4" t="s">
        <v>69</v>
      </c>
      <c r="R1034" s="4"/>
      <c r="S1034" s="4"/>
      <c r="T1034" s="4"/>
      <c r="U1034" s="8"/>
      <c r="V1034" s="4"/>
      <c r="W1034" s="4"/>
      <c r="X1034" s="4"/>
      <c r="Y1034" s="4"/>
      <c r="Z1034" s="4"/>
      <c r="AA1034" s="5"/>
      <c r="AB1034" s="5"/>
      <c r="AC1034" s="5"/>
      <c r="AD1034" s="5"/>
      <c r="AE1034" s="5"/>
    </row>
    <row r="1035">
      <c r="A1035" s="14" t="s">
        <v>1446</v>
      </c>
      <c r="B1035" s="19">
        <v>44310.00224537037</v>
      </c>
      <c r="C1035" s="4">
        <v>50031.0</v>
      </c>
      <c r="D1035" s="4" t="s">
        <v>1448</v>
      </c>
      <c r="E1035" s="4">
        <v>9.19769200933E11</v>
      </c>
      <c r="F1035" s="4">
        <v>17210.0</v>
      </c>
      <c r="G1035" s="4"/>
      <c r="H1035" s="4" t="s">
        <v>1447</v>
      </c>
      <c r="I1035" s="4"/>
      <c r="J1035" s="4" t="s">
        <v>77</v>
      </c>
      <c r="K1035" s="4">
        <v>349.0</v>
      </c>
      <c r="L1035" s="4"/>
      <c r="M1035" s="4">
        <v>349.0</v>
      </c>
      <c r="N1035" s="4" t="s">
        <v>67</v>
      </c>
      <c r="O1035" s="4" t="b">
        <v>0</v>
      </c>
      <c r="P1035" s="4" t="s">
        <v>68</v>
      </c>
      <c r="Q1035" s="4" t="s">
        <v>69</v>
      </c>
      <c r="R1035" s="4"/>
      <c r="S1035" s="4"/>
      <c r="T1035" s="4"/>
      <c r="U1035" s="7"/>
      <c r="V1035" s="4"/>
      <c r="W1035" s="4"/>
      <c r="X1035" s="4"/>
      <c r="Y1035" s="4"/>
      <c r="Z1035" s="4"/>
      <c r="AA1035" s="5"/>
      <c r="AB1035" s="5"/>
      <c r="AC1035" s="5"/>
      <c r="AD1035" s="5"/>
      <c r="AE1035" s="5"/>
    </row>
    <row r="1036">
      <c r="A1036" s="14" t="s">
        <v>1453</v>
      </c>
      <c r="B1036" s="19">
        <v>44310.00879629629</v>
      </c>
      <c r="C1036" s="4">
        <v>50031.0</v>
      </c>
      <c r="D1036" s="4" t="s">
        <v>1454</v>
      </c>
      <c r="E1036" s="4">
        <v>9.19819161181E11</v>
      </c>
      <c r="F1036" s="4">
        <v>17251.0</v>
      </c>
      <c r="G1036" s="4"/>
      <c r="H1036" s="4" t="s">
        <v>1447</v>
      </c>
      <c r="I1036" s="4"/>
      <c r="J1036" s="4" t="s">
        <v>1437</v>
      </c>
      <c r="K1036" s="4">
        <v>99.0</v>
      </c>
      <c r="L1036" s="4"/>
      <c r="M1036" s="4">
        <v>99.0</v>
      </c>
      <c r="N1036" s="4" t="s">
        <v>67</v>
      </c>
      <c r="O1036" s="4" t="b">
        <v>0</v>
      </c>
      <c r="P1036" s="4" t="s">
        <v>74</v>
      </c>
      <c r="Q1036" s="4" t="s">
        <v>69</v>
      </c>
      <c r="R1036" s="4"/>
      <c r="S1036" s="4"/>
      <c r="T1036" s="4"/>
      <c r="U1036" s="7"/>
      <c r="V1036" s="4"/>
      <c r="W1036" s="4"/>
      <c r="X1036" s="4"/>
      <c r="Y1036" s="4"/>
      <c r="Z1036" s="4"/>
      <c r="AA1036" s="5"/>
      <c r="AB1036" s="5"/>
      <c r="AC1036" s="5"/>
      <c r="AD1036" s="5"/>
      <c r="AE1036" s="5"/>
    </row>
    <row r="1037">
      <c r="A1037" s="14" t="s">
        <v>1841</v>
      </c>
      <c r="B1037" s="19">
        <v>44310.0140625</v>
      </c>
      <c r="C1037" s="4">
        <v>50048.0</v>
      </c>
      <c r="D1037" s="4" t="s">
        <v>1842</v>
      </c>
      <c r="E1037" s="4">
        <v>9.19967838851E11</v>
      </c>
      <c r="F1037" s="4">
        <v>17954.0</v>
      </c>
      <c r="G1037" s="4"/>
      <c r="H1037" s="4" t="s">
        <v>1436</v>
      </c>
      <c r="I1037" s="4"/>
      <c r="J1037" s="4" t="s">
        <v>1442</v>
      </c>
      <c r="K1037" s="4">
        <v>299.0</v>
      </c>
      <c r="L1037" s="4"/>
      <c r="M1037" s="4">
        <v>299.0</v>
      </c>
      <c r="N1037" s="4" t="s">
        <v>67</v>
      </c>
      <c r="O1037" s="4" t="b">
        <v>0</v>
      </c>
      <c r="P1037" s="4" t="s">
        <v>74</v>
      </c>
      <c r="Q1037" s="4" t="s">
        <v>69</v>
      </c>
      <c r="R1037" s="4"/>
      <c r="S1037" s="4"/>
      <c r="T1037" s="4"/>
      <c r="U1037" s="7"/>
      <c r="V1037" s="4"/>
      <c r="W1037" s="4"/>
      <c r="X1037" s="4"/>
      <c r="Y1037" s="4"/>
      <c r="Z1037" s="4"/>
      <c r="AA1037" s="5"/>
      <c r="AB1037" s="5"/>
      <c r="AC1037" s="5"/>
      <c r="AD1037" s="5"/>
      <c r="AE1037" s="5"/>
    </row>
    <row r="1038">
      <c r="A1038" s="14" t="s">
        <v>1847</v>
      </c>
      <c r="B1038" s="19">
        <v>44310.0428125</v>
      </c>
      <c r="C1038" s="4">
        <v>50009.0</v>
      </c>
      <c r="D1038" s="4" t="s">
        <v>1848</v>
      </c>
      <c r="E1038" s="4">
        <v>9.18870586732E11</v>
      </c>
      <c r="F1038" s="4">
        <v>17212.0</v>
      </c>
      <c r="G1038" s="4"/>
      <c r="H1038" s="4" t="s">
        <v>1476</v>
      </c>
      <c r="I1038" s="4"/>
      <c r="J1038" s="4" t="s">
        <v>149</v>
      </c>
      <c r="K1038" s="4">
        <v>99.0</v>
      </c>
      <c r="L1038" s="4"/>
      <c r="M1038" s="4">
        <v>99.0</v>
      </c>
      <c r="N1038" s="4" t="s">
        <v>67</v>
      </c>
      <c r="O1038" s="4" t="b">
        <v>0</v>
      </c>
      <c r="P1038" s="4" t="s">
        <v>151</v>
      </c>
      <c r="Q1038" s="4" t="s">
        <v>69</v>
      </c>
      <c r="R1038" s="4"/>
      <c r="S1038" s="4"/>
      <c r="T1038" s="4"/>
      <c r="U1038" s="7"/>
      <c r="V1038" s="4"/>
      <c r="W1038" s="4"/>
      <c r="X1038" s="4"/>
      <c r="Y1038" s="4"/>
      <c r="Z1038" s="4"/>
      <c r="AA1038" s="5"/>
      <c r="AB1038" s="5"/>
      <c r="AC1038" s="5"/>
      <c r="AD1038" s="5"/>
      <c r="AE1038" s="5"/>
    </row>
    <row r="1039">
      <c r="A1039" s="14" t="s">
        <v>1915</v>
      </c>
      <c r="B1039" s="19">
        <v>44311.104849537034</v>
      </c>
      <c r="C1039" s="4">
        <v>49833.0</v>
      </c>
      <c r="D1039" s="4" t="s">
        <v>1916</v>
      </c>
      <c r="E1039" s="4">
        <v>9.19818040861E11</v>
      </c>
      <c r="F1039" s="4">
        <v>17259.0</v>
      </c>
      <c r="G1039" s="4"/>
      <c r="H1039" s="4" t="s">
        <v>184</v>
      </c>
      <c r="I1039" s="4"/>
      <c r="J1039" s="4" t="s">
        <v>85</v>
      </c>
      <c r="K1039" s="4">
        <v>299.0</v>
      </c>
      <c r="L1039" s="4"/>
      <c r="M1039" s="4">
        <v>299.0</v>
      </c>
      <c r="N1039" s="4" t="s">
        <v>67</v>
      </c>
      <c r="O1039" s="4" t="b">
        <v>0</v>
      </c>
      <c r="P1039" s="4" t="s">
        <v>74</v>
      </c>
      <c r="Q1039" s="4" t="s">
        <v>69</v>
      </c>
      <c r="R1039" s="4"/>
      <c r="S1039" s="4"/>
      <c r="T1039" s="4"/>
      <c r="U1039" s="7"/>
      <c r="V1039" s="4"/>
      <c r="W1039" s="4"/>
      <c r="X1039" s="4"/>
      <c r="Y1039" s="4"/>
      <c r="Z1039" s="4"/>
      <c r="AA1039" s="5"/>
      <c r="AB1039" s="5"/>
      <c r="AC1039" s="5"/>
      <c r="AD1039" s="5"/>
      <c r="AE1039" s="5"/>
    </row>
    <row r="1040">
      <c r="A1040" s="14" t="s">
        <v>1843</v>
      </c>
      <c r="B1040" s="19">
        <v>44310.030324074076</v>
      </c>
      <c r="C1040" s="4">
        <v>50048.0</v>
      </c>
      <c r="D1040" s="4" t="s">
        <v>1844</v>
      </c>
      <c r="E1040" s="4">
        <v>9.19320673184E11</v>
      </c>
      <c r="F1040" s="4">
        <v>17454.0</v>
      </c>
      <c r="G1040" s="4"/>
      <c r="H1040" s="4" t="s">
        <v>1436</v>
      </c>
      <c r="I1040" s="4"/>
      <c r="J1040" s="4" t="s">
        <v>1442</v>
      </c>
      <c r="K1040" s="4">
        <v>299.0</v>
      </c>
      <c r="L1040" s="4"/>
      <c r="M1040" s="4">
        <v>299.0</v>
      </c>
      <c r="N1040" s="4" t="s">
        <v>67</v>
      </c>
      <c r="O1040" s="4" t="b">
        <v>0</v>
      </c>
      <c r="P1040" s="4" t="s">
        <v>68</v>
      </c>
      <c r="Q1040" s="4" t="s">
        <v>69</v>
      </c>
      <c r="R1040" s="4"/>
      <c r="S1040" s="4"/>
      <c r="T1040" s="4"/>
      <c r="U1040" s="8"/>
      <c r="V1040" s="4"/>
      <c r="W1040" s="4"/>
      <c r="X1040" s="4"/>
      <c r="Y1040" s="4"/>
      <c r="Z1040" s="4"/>
      <c r="AA1040" s="5"/>
      <c r="AB1040" s="5"/>
      <c r="AC1040" s="5"/>
      <c r="AD1040" s="5"/>
      <c r="AE1040" s="5"/>
    </row>
    <row r="1041">
      <c r="A1041" s="14" t="s">
        <v>359</v>
      </c>
      <c r="B1041" s="19">
        <v>44311.1075462963</v>
      </c>
      <c r="C1041" s="4">
        <v>49991.0</v>
      </c>
      <c r="D1041" s="4" t="s">
        <v>360</v>
      </c>
      <c r="E1041" s="4">
        <v>9.18383989475E11</v>
      </c>
      <c r="F1041" s="4">
        <v>17258.0</v>
      </c>
      <c r="G1041" s="4"/>
      <c r="H1041" s="4" t="s">
        <v>148</v>
      </c>
      <c r="I1041" s="4"/>
      <c r="J1041" s="4" t="s">
        <v>149</v>
      </c>
      <c r="K1041" s="4">
        <v>99.0</v>
      </c>
      <c r="L1041" s="4"/>
      <c r="M1041" s="4">
        <v>99.0</v>
      </c>
      <c r="N1041" s="4" t="s">
        <v>67</v>
      </c>
      <c r="O1041" s="4" t="b">
        <v>0</v>
      </c>
      <c r="P1041" s="4" t="s">
        <v>68</v>
      </c>
      <c r="Q1041" s="4" t="s">
        <v>69</v>
      </c>
      <c r="R1041" s="4"/>
      <c r="S1041" s="4"/>
      <c r="T1041" s="4"/>
      <c r="U1041" s="7"/>
      <c r="V1041" s="4"/>
      <c r="W1041" s="4"/>
      <c r="X1041" s="4"/>
      <c r="Y1041" s="4"/>
      <c r="Z1041" s="4"/>
      <c r="AA1041" s="5"/>
      <c r="AB1041" s="5"/>
      <c r="AC1041" s="5"/>
      <c r="AD1041" s="5"/>
      <c r="AE1041" s="5"/>
    </row>
    <row r="1042">
      <c r="A1042" s="14" t="s">
        <v>1867</v>
      </c>
      <c r="B1042" s="19">
        <v>44310.0346412037</v>
      </c>
      <c r="C1042" s="4">
        <v>49813.0</v>
      </c>
      <c r="D1042" s="4" t="s">
        <v>1868</v>
      </c>
      <c r="E1042" s="4">
        <v>9.19819472243E11</v>
      </c>
      <c r="F1042" s="4">
        <v>17211.0</v>
      </c>
      <c r="G1042" s="4"/>
      <c r="H1042" s="4" t="s">
        <v>1592</v>
      </c>
      <c r="I1042" s="4"/>
      <c r="J1042" s="4" t="s">
        <v>149</v>
      </c>
      <c r="K1042" s="4">
        <v>299.0</v>
      </c>
      <c r="L1042" s="4"/>
      <c r="M1042" s="4">
        <v>299.0</v>
      </c>
      <c r="N1042" s="4" t="s">
        <v>67</v>
      </c>
      <c r="O1042" s="4" t="b">
        <v>0</v>
      </c>
      <c r="P1042" s="4" t="s">
        <v>74</v>
      </c>
      <c r="Q1042" s="4" t="s">
        <v>69</v>
      </c>
      <c r="R1042" s="4"/>
      <c r="S1042" s="4"/>
      <c r="T1042" s="4"/>
      <c r="U1042" s="7"/>
      <c r="V1042" s="4"/>
      <c r="W1042" s="4"/>
      <c r="X1042" s="4"/>
      <c r="Y1042" s="4"/>
      <c r="Z1042" s="4"/>
      <c r="AA1042" s="5"/>
      <c r="AB1042" s="5"/>
      <c r="AC1042" s="5"/>
      <c r="AD1042" s="5"/>
      <c r="AE1042" s="5"/>
    </row>
    <row r="1043">
      <c r="A1043" s="14" t="s">
        <v>1919</v>
      </c>
      <c r="B1043" s="19">
        <v>44311.13255787037</v>
      </c>
      <c r="C1043" s="4">
        <v>50009.0</v>
      </c>
      <c r="D1043" s="4" t="s">
        <v>1920</v>
      </c>
      <c r="E1043" s="4">
        <v>9.19819991208E11</v>
      </c>
      <c r="F1043" s="4">
        <v>17260.0</v>
      </c>
      <c r="G1043" s="4"/>
      <c r="H1043" s="4" t="s">
        <v>1476</v>
      </c>
      <c r="I1043" s="4"/>
      <c r="J1043" s="4" t="s">
        <v>149</v>
      </c>
      <c r="K1043" s="4">
        <v>99.0</v>
      </c>
      <c r="L1043" s="4"/>
      <c r="M1043" s="4">
        <v>99.0</v>
      </c>
      <c r="N1043" s="4" t="s">
        <v>67</v>
      </c>
      <c r="O1043" s="4" t="b">
        <v>0</v>
      </c>
      <c r="P1043" s="4" t="s">
        <v>97</v>
      </c>
      <c r="Q1043" s="4" t="s">
        <v>69</v>
      </c>
      <c r="R1043" s="4"/>
      <c r="S1043" s="4"/>
      <c r="T1043" s="4"/>
      <c r="U1043" s="7"/>
      <c r="V1043" s="4"/>
      <c r="W1043" s="4"/>
      <c r="X1043" s="4"/>
      <c r="Y1043" s="4"/>
      <c r="Z1043" s="4"/>
      <c r="AA1043" s="5"/>
      <c r="AB1043" s="5"/>
      <c r="AC1043" s="5"/>
      <c r="AD1043" s="5"/>
      <c r="AE1043" s="5"/>
    </row>
    <row r="1044">
      <c r="A1044" s="14" t="s">
        <v>1891</v>
      </c>
      <c r="B1044" s="19">
        <v>44311.26671296296</v>
      </c>
      <c r="C1044" s="4">
        <v>49813.0</v>
      </c>
      <c r="D1044" s="4" t="s">
        <v>1892</v>
      </c>
      <c r="E1044" s="4">
        <v>9.178992233E11</v>
      </c>
      <c r="F1044" s="4" t="s">
        <v>83</v>
      </c>
      <c r="G1044" s="4"/>
      <c r="H1044" s="4" t="s">
        <v>1592</v>
      </c>
      <c r="I1044" s="4"/>
      <c r="J1044" s="4" t="s">
        <v>77</v>
      </c>
      <c r="K1044" s="4">
        <v>799.0</v>
      </c>
      <c r="L1044" s="4"/>
      <c r="M1044" s="4">
        <v>799.0</v>
      </c>
      <c r="N1044" s="4" t="s">
        <v>67</v>
      </c>
      <c r="O1044" s="4" t="b">
        <v>0</v>
      </c>
      <c r="P1044" s="4" t="s">
        <v>68</v>
      </c>
      <c r="Q1044" s="4" t="s">
        <v>69</v>
      </c>
      <c r="R1044" s="4"/>
      <c r="S1044" s="4"/>
      <c r="T1044" s="4"/>
      <c r="U1044" s="7"/>
      <c r="V1044" s="4"/>
      <c r="W1044" s="4"/>
      <c r="X1044" s="4"/>
      <c r="Y1044" s="4"/>
      <c r="Z1044" s="4"/>
      <c r="AA1044" s="5"/>
      <c r="AB1044" s="5"/>
      <c r="AC1044" s="5"/>
      <c r="AD1044" s="5"/>
      <c r="AE1044" s="5"/>
    </row>
    <row r="1045">
      <c r="A1045" s="14" t="s">
        <v>1925</v>
      </c>
      <c r="B1045" s="19">
        <v>44311.342199074075</v>
      </c>
      <c r="C1045" s="4">
        <v>49833.0</v>
      </c>
      <c r="D1045" s="4" t="s">
        <v>1926</v>
      </c>
      <c r="E1045" s="4">
        <v>9.19810392887E11</v>
      </c>
      <c r="F1045" s="4" t="s">
        <v>83</v>
      </c>
      <c r="G1045" s="4"/>
      <c r="H1045" s="4" t="s">
        <v>184</v>
      </c>
      <c r="I1045" s="4"/>
      <c r="J1045" s="4" t="s">
        <v>85</v>
      </c>
      <c r="K1045" s="4">
        <v>299.0</v>
      </c>
      <c r="L1045" s="4"/>
      <c r="M1045" s="4">
        <v>299.0</v>
      </c>
      <c r="N1045" s="4" t="s">
        <v>67</v>
      </c>
      <c r="O1045" s="4" t="b">
        <v>0</v>
      </c>
      <c r="P1045" s="4" t="s">
        <v>74</v>
      </c>
      <c r="Q1045" s="4" t="s">
        <v>69</v>
      </c>
      <c r="R1045" s="4"/>
      <c r="S1045" s="4"/>
      <c r="T1045" s="4"/>
      <c r="U1045" s="7"/>
      <c r="V1045" s="4"/>
      <c r="W1045" s="4"/>
      <c r="X1045" s="4"/>
      <c r="Y1045" s="4"/>
      <c r="Z1045" s="4"/>
      <c r="AA1045" s="5"/>
      <c r="AB1045" s="5"/>
      <c r="AC1045" s="5"/>
      <c r="AD1045" s="5"/>
      <c r="AE1045" s="5"/>
    </row>
    <row r="1046">
      <c r="A1046" s="14" t="s">
        <v>1923</v>
      </c>
      <c r="B1046" s="19">
        <v>44311.32634259259</v>
      </c>
      <c r="C1046" s="4">
        <v>49834.0</v>
      </c>
      <c r="D1046" s="4" t="s">
        <v>1924</v>
      </c>
      <c r="E1046" s="4">
        <v>9.19923124431E11</v>
      </c>
      <c r="F1046" s="4">
        <v>17264.0</v>
      </c>
      <c r="G1046" s="4"/>
      <c r="H1046" s="4" t="s">
        <v>960</v>
      </c>
      <c r="I1046" s="4"/>
      <c r="J1046" s="4" t="s">
        <v>149</v>
      </c>
      <c r="K1046" s="4">
        <v>99.0</v>
      </c>
      <c r="L1046" s="4"/>
      <c r="M1046" s="4">
        <v>99.0</v>
      </c>
      <c r="N1046" s="4" t="s">
        <v>67</v>
      </c>
      <c r="O1046" s="4" t="b">
        <v>0</v>
      </c>
      <c r="P1046" s="4" t="s">
        <v>68</v>
      </c>
      <c r="Q1046" s="4" t="s">
        <v>69</v>
      </c>
      <c r="R1046" s="4"/>
      <c r="S1046" s="4"/>
      <c r="T1046" s="4"/>
      <c r="U1046" s="8"/>
      <c r="V1046" s="4"/>
      <c r="W1046" s="4"/>
      <c r="X1046" s="4"/>
      <c r="Y1046" s="4"/>
      <c r="Z1046" s="4"/>
      <c r="AA1046" s="5"/>
      <c r="AB1046" s="5"/>
      <c r="AC1046" s="5"/>
      <c r="AD1046" s="5"/>
      <c r="AE1046" s="5"/>
    </row>
    <row r="1047">
      <c r="A1047" s="14" t="s">
        <v>1929</v>
      </c>
      <c r="B1047" s="19">
        <v>44311.384409722225</v>
      </c>
      <c r="C1047" s="4">
        <v>49958.0</v>
      </c>
      <c r="D1047" s="4" t="s">
        <v>1930</v>
      </c>
      <c r="E1047" s="4">
        <v>9.18015270025E11</v>
      </c>
      <c r="F1047" s="4" t="s">
        <v>83</v>
      </c>
      <c r="G1047" s="4"/>
      <c r="H1047" s="4" t="s">
        <v>858</v>
      </c>
      <c r="I1047" s="4"/>
      <c r="J1047" s="4" t="s">
        <v>85</v>
      </c>
      <c r="K1047" s="4">
        <v>199.0</v>
      </c>
      <c r="L1047" s="4"/>
      <c r="M1047" s="4">
        <v>199.0</v>
      </c>
      <c r="N1047" s="4" t="s">
        <v>67</v>
      </c>
      <c r="O1047" s="4" t="b">
        <v>0</v>
      </c>
      <c r="P1047" s="4" t="s">
        <v>68</v>
      </c>
      <c r="Q1047" s="4" t="s">
        <v>69</v>
      </c>
      <c r="R1047" s="4"/>
      <c r="S1047" s="4"/>
      <c r="T1047" s="4"/>
      <c r="U1047" s="7"/>
      <c r="V1047" s="4"/>
      <c r="W1047" s="4"/>
      <c r="X1047" s="4"/>
      <c r="Y1047" s="4"/>
      <c r="Z1047" s="4"/>
      <c r="AA1047" s="5"/>
      <c r="AB1047" s="5"/>
      <c r="AC1047" s="5"/>
      <c r="AD1047" s="5"/>
      <c r="AE1047" s="5"/>
    </row>
    <row r="1048">
      <c r="A1048" s="14" t="s">
        <v>1545</v>
      </c>
      <c r="B1048" s="19">
        <v>44311.369942129626</v>
      </c>
      <c r="C1048" s="4">
        <v>49859.0</v>
      </c>
      <c r="D1048" s="4" t="s">
        <v>1546</v>
      </c>
      <c r="E1048" s="4">
        <v>9.19011281209E11</v>
      </c>
      <c r="F1048" s="4" t="s">
        <v>83</v>
      </c>
      <c r="G1048" s="4"/>
      <c r="H1048" s="4" t="s">
        <v>1507</v>
      </c>
      <c r="I1048" s="4"/>
      <c r="J1048" s="4" t="s">
        <v>149</v>
      </c>
      <c r="K1048" s="4">
        <v>99.0</v>
      </c>
      <c r="L1048" s="4"/>
      <c r="M1048" s="4">
        <v>99.0</v>
      </c>
      <c r="N1048" s="4" t="s">
        <v>67</v>
      </c>
      <c r="O1048" s="4" t="b">
        <v>0</v>
      </c>
      <c r="P1048" s="4" t="s">
        <v>68</v>
      </c>
      <c r="Q1048" s="4" t="s">
        <v>69</v>
      </c>
      <c r="R1048" s="4"/>
      <c r="S1048" s="4"/>
      <c r="T1048" s="4"/>
      <c r="U1048" s="7"/>
      <c r="V1048" s="4"/>
      <c r="W1048" s="4"/>
      <c r="X1048" s="4"/>
      <c r="Y1048" s="4"/>
      <c r="Z1048" s="4"/>
      <c r="AA1048" s="5"/>
      <c r="AB1048" s="5"/>
      <c r="AC1048" s="5"/>
      <c r="AD1048" s="5"/>
      <c r="AE1048" s="5"/>
    </row>
    <row r="1049">
      <c r="A1049" s="14" t="s">
        <v>1931</v>
      </c>
      <c r="B1049" s="19">
        <v>44311.389710648145</v>
      </c>
      <c r="C1049" s="4">
        <v>50041.0</v>
      </c>
      <c r="D1049" s="4" t="s">
        <v>1933</v>
      </c>
      <c r="E1049" s="4">
        <v>9.19330251056E11</v>
      </c>
      <c r="F1049" s="4">
        <v>18298.0</v>
      </c>
      <c r="G1049" s="4"/>
      <c r="H1049" s="4" t="s">
        <v>1932</v>
      </c>
      <c r="I1049" s="4"/>
      <c r="J1049" s="4" t="s">
        <v>77</v>
      </c>
      <c r="K1049" s="4">
        <v>349.0</v>
      </c>
      <c r="L1049" s="4"/>
      <c r="M1049" s="4">
        <v>349.0</v>
      </c>
      <c r="N1049" s="4" t="s">
        <v>67</v>
      </c>
      <c r="O1049" s="4" t="b">
        <v>0</v>
      </c>
      <c r="P1049" s="4" t="s">
        <v>97</v>
      </c>
      <c r="Q1049" s="4" t="s">
        <v>69</v>
      </c>
      <c r="R1049" s="4"/>
      <c r="S1049" s="4"/>
      <c r="T1049" s="4"/>
      <c r="U1049" s="7"/>
      <c r="V1049" s="4"/>
      <c r="W1049" s="4"/>
      <c r="X1049" s="4"/>
      <c r="Y1049" s="4"/>
      <c r="Z1049" s="4"/>
      <c r="AA1049" s="5"/>
      <c r="AB1049" s="5"/>
      <c r="AC1049" s="5"/>
      <c r="AD1049" s="5"/>
      <c r="AE1049" s="5"/>
    </row>
    <row r="1050">
      <c r="A1050" s="14" t="s">
        <v>1934</v>
      </c>
      <c r="B1050" s="19">
        <v>44311.401412037034</v>
      </c>
      <c r="C1050" s="4">
        <v>49993.0</v>
      </c>
      <c r="D1050" s="4" t="s">
        <v>1935</v>
      </c>
      <c r="E1050" s="4">
        <v>9.19849184779E11</v>
      </c>
      <c r="F1050" s="4">
        <v>17377.0</v>
      </c>
      <c r="G1050" s="4"/>
      <c r="H1050" s="4" t="s">
        <v>1104</v>
      </c>
      <c r="I1050" s="4"/>
      <c r="J1050" s="4" t="s">
        <v>149</v>
      </c>
      <c r="K1050" s="4">
        <v>199.0</v>
      </c>
      <c r="L1050" s="4"/>
      <c r="M1050" s="4">
        <v>199.0</v>
      </c>
      <c r="N1050" s="4" t="s">
        <v>67</v>
      </c>
      <c r="O1050" s="4" t="b">
        <v>0</v>
      </c>
      <c r="P1050" s="4" t="s">
        <v>68</v>
      </c>
      <c r="Q1050" s="4" t="s">
        <v>69</v>
      </c>
      <c r="R1050" s="4"/>
      <c r="S1050" s="4"/>
      <c r="T1050" s="4"/>
      <c r="U1050" s="8"/>
      <c r="V1050" s="4"/>
      <c r="W1050" s="4"/>
      <c r="X1050" s="4"/>
      <c r="Y1050" s="4"/>
      <c r="Z1050" s="4"/>
      <c r="AA1050" s="5"/>
      <c r="AB1050" s="5"/>
      <c r="AC1050" s="5"/>
      <c r="AD1050" s="5"/>
      <c r="AE1050" s="5"/>
    </row>
    <row r="1051">
      <c r="A1051" s="14" t="s">
        <v>1936</v>
      </c>
      <c r="B1051" s="19">
        <v>44311.40831018519</v>
      </c>
      <c r="C1051" s="4">
        <v>50048.0</v>
      </c>
      <c r="D1051" s="4" t="s">
        <v>1503</v>
      </c>
      <c r="E1051" s="4">
        <v>9.19619661368E11</v>
      </c>
      <c r="F1051" s="4">
        <v>17431.0</v>
      </c>
      <c r="G1051" s="4"/>
      <c r="H1051" s="4" t="s">
        <v>1436</v>
      </c>
      <c r="I1051" s="4"/>
      <c r="J1051" s="4" t="s">
        <v>1442</v>
      </c>
      <c r="K1051" s="4">
        <v>299.0</v>
      </c>
      <c r="L1051" s="4"/>
      <c r="M1051" s="4">
        <v>299.0</v>
      </c>
      <c r="N1051" s="4" t="s">
        <v>67</v>
      </c>
      <c r="O1051" s="4" t="b">
        <v>0</v>
      </c>
      <c r="P1051" s="4" t="s">
        <v>97</v>
      </c>
      <c r="Q1051" s="4" t="s">
        <v>69</v>
      </c>
      <c r="R1051" s="4"/>
      <c r="S1051" s="4"/>
      <c r="T1051" s="4"/>
      <c r="U1051" s="7"/>
      <c r="V1051" s="4"/>
      <c r="W1051" s="4"/>
      <c r="X1051" s="4"/>
      <c r="Y1051" s="4"/>
      <c r="Z1051" s="4"/>
      <c r="AA1051" s="5"/>
      <c r="AB1051" s="5"/>
      <c r="AC1051" s="5"/>
      <c r="AD1051" s="5"/>
      <c r="AE1051" s="5"/>
    </row>
    <row r="1052">
      <c r="A1052" s="14" t="s">
        <v>1937</v>
      </c>
      <c r="B1052" s="19">
        <v>44311.48347222222</v>
      </c>
      <c r="C1052" s="4">
        <v>49994.0</v>
      </c>
      <c r="D1052" s="4" t="s">
        <v>1938</v>
      </c>
      <c r="E1052" s="4">
        <v>9.19846718931E11</v>
      </c>
      <c r="F1052" s="4">
        <v>17269.0</v>
      </c>
      <c r="G1052" s="4"/>
      <c r="H1052" s="4" t="s">
        <v>1264</v>
      </c>
      <c r="I1052" s="4"/>
      <c r="J1052" s="4" t="s">
        <v>85</v>
      </c>
      <c r="K1052" s="4">
        <v>199.0</v>
      </c>
      <c r="L1052" s="4"/>
      <c r="M1052" s="4">
        <v>199.0</v>
      </c>
      <c r="N1052" s="4" t="s">
        <v>67</v>
      </c>
      <c r="O1052" s="4" t="b">
        <v>0</v>
      </c>
      <c r="P1052" s="4" t="s">
        <v>68</v>
      </c>
      <c r="Q1052" s="4" t="s">
        <v>69</v>
      </c>
      <c r="R1052" s="4"/>
      <c r="S1052" s="4"/>
      <c r="T1052" s="4"/>
      <c r="U1052" s="7"/>
      <c r="V1052" s="4"/>
      <c r="W1052" s="4"/>
      <c r="X1052" s="4"/>
      <c r="Y1052" s="4"/>
      <c r="Z1052" s="4"/>
      <c r="AA1052" s="5"/>
      <c r="AB1052" s="5"/>
      <c r="AC1052" s="5"/>
      <c r="AD1052" s="5"/>
      <c r="AE1052" s="5"/>
    </row>
    <row r="1053">
      <c r="A1053" s="14" t="s">
        <v>1943</v>
      </c>
      <c r="B1053" s="19">
        <v>44311.50564814815</v>
      </c>
      <c r="C1053" s="4">
        <v>50009.0</v>
      </c>
      <c r="D1053" s="4" t="s">
        <v>1944</v>
      </c>
      <c r="E1053" s="4">
        <v>9.17057628124E11</v>
      </c>
      <c r="F1053" s="4">
        <v>17271.0</v>
      </c>
      <c r="G1053" s="4"/>
      <c r="H1053" s="4" t="s">
        <v>1476</v>
      </c>
      <c r="I1053" s="4"/>
      <c r="J1053" s="4" t="s">
        <v>149</v>
      </c>
      <c r="K1053" s="4">
        <v>99.0</v>
      </c>
      <c r="L1053" s="4"/>
      <c r="M1053" s="4">
        <v>99.0</v>
      </c>
      <c r="N1053" s="4" t="s">
        <v>67</v>
      </c>
      <c r="O1053" s="4" t="b">
        <v>0</v>
      </c>
      <c r="P1053" s="4" t="s">
        <v>68</v>
      </c>
      <c r="Q1053" s="4" t="s">
        <v>69</v>
      </c>
      <c r="R1053" s="4"/>
      <c r="S1053" s="4"/>
      <c r="T1053" s="4"/>
      <c r="U1053" s="7"/>
      <c r="V1053" s="4"/>
      <c r="W1053" s="4"/>
      <c r="X1053" s="4"/>
      <c r="Y1053" s="4"/>
      <c r="Z1053" s="4"/>
      <c r="AA1053" s="5"/>
      <c r="AB1053" s="5"/>
      <c r="AC1053" s="5"/>
      <c r="AD1053" s="5"/>
      <c r="AE1053" s="5"/>
    </row>
    <row r="1054">
      <c r="A1054" s="14" t="s">
        <v>1939</v>
      </c>
      <c r="B1054" s="19">
        <v>44311.49018518518</v>
      </c>
      <c r="C1054" s="4">
        <v>49997.0</v>
      </c>
      <c r="D1054" s="4" t="s">
        <v>1940</v>
      </c>
      <c r="E1054" s="4">
        <v>9.196864909E11</v>
      </c>
      <c r="F1054" s="4">
        <v>18317.0</v>
      </c>
      <c r="G1054" s="4"/>
      <c r="H1054" s="4" t="s">
        <v>1059</v>
      </c>
      <c r="I1054" s="4"/>
      <c r="J1054" s="4" t="s">
        <v>149</v>
      </c>
      <c r="K1054" s="4">
        <v>99.0</v>
      </c>
      <c r="L1054" s="4"/>
      <c r="M1054" s="4">
        <v>99.0</v>
      </c>
      <c r="N1054" s="4" t="s">
        <v>67</v>
      </c>
      <c r="O1054" s="4" t="b">
        <v>0</v>
      </c>
      <c r="P1054" s="4" t="s">
        <v>151</v>
      </c>
      <c r="Q1054" s="4" t="s">
        <v>69</v>
      </c>
      <c r="R1054" s="4"/>
      <c r="S1054" s="4"/>
      <c r="T1054" s="4"/>
      <c r="U1054" s="7"/>
      <c r="V1054" s="4"/>
      <c r="W1054" s="4"/>
      <c r="X1054" s="4"/>
      <c r="Y1054" s="4"/>
      <c r="Z1054" s="4"/>
      <c r="AA1054" s="5"/>
      <c r="AB1054" s="5"/>
      <c r="AC1054" s="5"/>
      <c r="AD1054" s="5"/>
      <c r="AE1054" s="5"/>
    </row>
    <row r="1055">
      <c r="A1055" s="14" t="s">
        <v>2080</v>
      </c>
      <c r="B1055" s="19">
        <v>44311.492951388886</v>
      </c>
      <c r="C1055" s="4">
        <v>49995.0</v>
      </c>
      <c r="D1055" s="4" t="s">
        <v>2081</v>
      </c>
      <c r="E1055" s="4">
        <v>9.19967795459E11</v>
      </c>
      <c r="F1055" s="4">
        <v>17270.0</v>
      </c>
      <c r="G1055" s="4"/>
      <c r="H1055" s="4" t="s">
        <v>2005</v>
      </c>
      <c r="I1055" s="4"/>
      <c r="J1055" s="4" t="s">
        <v>149</v>
      </c>
      <c r="K1055" s="4">
        <v>99.0</v>
      </c>
      <c r="L1055" s="4"/>
      <c r="M1055" s="4">
        <v>99.0</v>
      </c>
      <c r="N1055" s="4" t="s">
        <v>67</v>
      </c>
      <c r="O1055" s="4" t="b">
        <v>0</v>
      </c>
      <c r="P1055" s="4" t="s">
        <v>68</v>
      </c>
      <c r="Q1055" s="4" t="s">
        <v>69</v>
      </c>
      <c r="R1055" s="4"/>
      <c r="S1055" s="4"/>
      <c r="T1055" s="4"/>
      <c r="U1055" s="7"/>
      <c r="V1055" s="4"/>
      <c r="W1055" s="4"/>
      <c r="X1055" s="4"/>
      <c r="Y1055" s="4"/>
      <c r="Z1055" s="4"/>
      <c r="AA1055" s="5"/>
      <c r="AB1055" s="5"/>
      <c r="AC1055" s="5"/>
      <c r="AD1055" s="5"/>
      <c r="AE1055" s="5"/>
    </row>
    <row r="1056">
      <c r="A1056" s="14" t="s">
        <v>1945</v>
      </c>
      <c r="B1056" s="19">
        <v>44311.512083333335</v>
      </c>
      <c r="C1056" s="4">
        <v>50009.0</v>
      </c>
      <c r="D1056" s="4" t="s">
        <v>1946</v>
      </c>
      <c r="E1056" s="4">
        <v>9.19538067567E11</v>
      </c>
      <c r="F1056" s="4">
        <v>17272.0</v>
      </c>
      <c r="G1056" s="4"/>
      <c r="H1056" s="4" t="s">
        <v>1539</v>
      </c>
      <c r="I1056" s="4"/>
      <c r="J1056" s="4" t="s">
        <v>77</v>
      </c>
      <c r="K1056" s="4">
        <v>349.0</v>
      </c>
      <c r="L1056" s="4"/>
      <c r="M1056" s="4">
        <v>349.0</v>
      </c>
      <c r="N1056" s="4" t="s">
        <v>67</v>
      </c>
      <c r="O1056" s="4" t="b">
        <v>0</v>
      </c>
      <c r="P1056" s="4" t="s">
        <v>68</v>
      </c>
      <c r="Q1056" s="4" t="s">
        <v>69</v>
      </c>
      <c r="R1056" s="4"/>
      <c r="S1056" s="4"/>
      <c r="T1056" s="4"/>
      <c r="U1056" s="7"/>
      <c r="V1056" s="4"/>
      <c r="W1056" s="4"/>
      <c r="X1056" s="4"/>
      <c r="Y1056" s="4"/>
      <c r="Z1056" s="4"/>
      <c r="AA1056" s="5"/>
      <c r="AB1056" s="5"/>
      <c r="AC1056" s="5"/>
      <c r="AD1056" s="5"/>
      <c r="AE1056" s="5"/>
    </row>
    <row r="1057">
      <c r="A1057" s="14" t="s">
        <v>1947</v>
      </c>
      <c r="B1057" s="19">
        <v>44311.51528935185</v>
      </c>
      <c r="C1057" s="4">
        <v>49834.0</v>
      </c>
      <c r="D1057" s="4" t="s">
        <v>1948</v>
      </c>
      <c r="E1057" s="4">
        <v>9.19741960742E11</v>
      </c>
      <c r="F1057" s="4">
        <v>17273.0</v>
      </c>
      <c r="G1057" s="4"/>
      <c r="H1057" s="4" t="s">
        <v>76</v>
      </c>
      <c r="I1057" s="4"/>
      <c r="J1057" s="4" t="s">
        <v>77</v>
      </c>
      <c r="K1057" s="4">
        <v>349.0</v>
      </c>
      <c r="L1057" s="4"/>
      <c r="M1057" s="4">
        <v>349.0</v>
      </c>
      <c r="N1057" s="4" t="s">
        <v>67</v>
      </c>
      <c r="O1057" s="4" t="b">
        <v>0</v>
      </c>
      <c r="P1057" s="4" t="s">
        <v>68</v>
      </c>
      <c r="Q1057" s="4" t="s">
        <v>69</v>
      </c>
      <c r="R1057" s="4"/>
      <c r="S1057" s="4"/>
      <c r="T1057" s="4"/>
      <c r="U1057" s="7"/>
      <c r="V1057" s="4"/>
      <c r="W1057" s="4"/>
      <c r="X1057" s="4"/>
      <c r="Y1057" s="4"/>
      <c r="Z1057" s="4"/>
      <c r="AA1057" s="5"/>
      <c r="AB1057" s="5"/>
      <c r="AC1057" s="5"/>
      <c r="AD1057" s="5"/>
      <c r="AE1057" s="5"/>
    </row>
    <row r="1058">
      <c r="A1058" s="14" t="s">
        <v>1949</v>
      </c>
      <c r="B1058" s="19">
        <v>44311.519907407404</v>
      </c>
      <c r="C1058" s="4">
        <v>50009.0</v>
      </c>
      <c r="D1058" s="4" t="s">
        <v>1950</v>
      </c>
      <c r="E1058" s="4">
        <v>9.18010111347E11</v>
      </c>
      <c r="F1058" s="4">
        <v>17274.0</v>
      </c>
      <c r="G1058" s="4"/>
      <c r="H1058" s="4" t="s">
        <v>1476</v>
      </c>
      <c r="I1058" s="4"/>
      <c r="J1058" s="4" t="s">
        <v>149</v>
      </c>
      <c r="K1058" s="4">
        <v>99.0</v>
      </c>
      <c r="L1058" s="4"/>
      <c r="M1058" s="4">
        <v>99.0</v>
      </c>
      <c r="N1058" s="4" t="s">
        <v>67</v>
      </c>
      <c r="O1058" s="4" t="b">
        <v>0</v>
      </c>
      <c r="P1058" s="4" t="s">
        <v>68</v>
      </c>
      <c r="Q1058" s="4" t="s">
        <v>69</v>
      </c>
      <c r="R1058" s="4"/>
      <c r="S1058" s="4"/>
      <c r="T1058" s="4"/>
      <c r="U1058" s="7"/>
      <c r="V1058" s="4"/>
      <c r="W1058" s="4"/>
      <c r="X1058" s="4"/>
      <c r="Y1058" s="4"/>
      <c r="Z1058" s="4"/>
      <c r="AA1058" s="5"/>
      <c r="AB1058" s="5"/>
      <c r="AC1058" s="5"/>
      <c r="AD1058" s="5"/>
      <c r="AE1058" s="5"/>
    </row>
    <row r="1059">
      <c r="A1059" s="14" t="s">
        <v>1951</v>
      </c>
      <c r="B1059" s="19">
        <v>44311.56056712963</v>
      </c>
      <c r="C1059" s="4">
        <v>50009.0</v>
      </c>
      <c r="D1059" s="4" t="s">
        <v>1952</v>
      </c>
      <c r="E1059" s="4">
        <v>9.19890863676E11</v>
      </c>
      <c r="F1059" s="4">
        <v>17451.0</v>
      </c>
      <c r="G1059" s="4"/>
      <c r="H1059" s="4" t="s">
        <v>1476</v>
      </c>
      <c r="I1059" s="4"/>
      <c r="J1059" s="4" t="s">
        <v>149</v>
      </c>
      <c r="K1059" s="4">
        <v>99.0</v>
      </c>
      <c r="L1059" s="4"/>
      <c r="M1059" s="4">
        <v>99.0</v>
      </c>
      <c r="N1059" s="4" t="s">
        <v>67</v>
      </c>
      <c r="O1059" s="4" t="b">
        <v>0</v>
      </c>
      <c r="P1059" s="4" t="s">
        <v>68</v>
      </c>
      <c r="Q1059" s="4" t="s">
        <v>69</v>
      </c>
      <c r="R1059" s="4"/>
      <c r="S1059" s="4"/>
      <c r="T1059" s="4"/>
      <c r="U1059" s="7"/>
      <c r="V1059" s="4"/>
      <c r="W1059" s="4"/>
      <c r="X1059" s="4"/>
      <c r="Y1059" s="4"/>
      <c r="Z1059" s="4"/>
      <c r="AA1059" s="5"/>
      <c r="AB1059" s="5"/>
      <c r="AC1059" s="5"/>
      <c r="AD1059" s="5"/>
      <c r="AE1059" s="5"/>
    </row>
    <row r="1060">
      <c r="A1060" s="14" t="s">
        <v>1953</v>
      </c>
      <c r="B1060" s="19">
        <v>44311.56148148148</v>
      </c>
      <c r="C1060" s="4">
        <v>49834.0</v>
      </c>
      <c r="D1060" s="4" t="s">
        <v>1954</v>
      </c>
      <c r="E1060" s="4">
        <v>9.19986046184E11</v>
      </c>
      <c r="F1060" s="4">
        <v>17277.0</v>
      </c>
      <c r="G1060" s="4"/>
      <c r="H1060" s="4" t="s">
        <v>76</v>
      </c>
      <c r="I1060" s="4"/>
      <c r="J1060" s="4" t="s">
        <v>85</v>
      </c>
      <c r="K1060" s="4">
        <v>199.0</v>
      </c>
      <c r="L1060" s="4"/>
      <c r="M1060" s="4">
        <v>199.0</v>
      </c>
      <c r="N1060" s="4" t="s">
        <v>67</v>
      </c>
      <c r="O1060" s="4" t="b">
        <v>0</v>
      </c>
      <c r="P1060" s="4" t="s">
        <v>68</v>
      </c>
      <c r="Q1060" s="4" t="s">
        <v>69</v>
      </c>
      <c r="R1060" s="4"/>
      <c r="S1060" s="4"/>
      <c r="T1060" s="4"/>
      <c r="U1060" s="8"/>
      <c r="V1060" s="4"/>
      <c r="W1060" s="4"/>
      <c r="X1060" s="4"/>
      <c r="Y1060" s="4"/>
      <c r="Z1060" s="4"/>
      <c r="AA1060" s="5"/>
      <c r="AB1060" s="5"/>
      <c r="AC1060" s="5"/>
      <c r="AD1060" s="5"/>
      <c r="AE1060" s="5"/>
    </row>
    <row r="1061">
      <c r="A1061" s="14" t="s">
        <v>1955</v>
      </c>
      <c r="B1061" s="19">
        <v>44311.563680555555</v>
      </c>
      <c r="C1061" s="4">
        <v>50023.0</v>
      </c>
      <c r="D1061" s="4" t="s">
        <v>1957</v>
      </c>
      <c r="E1061" s="4">
        <v>9.18393933787E11</v>
      </c>
      <c r="F1061" s="4" t="s">
        <v>83</v>
      </c>
      <c r="G1061" s="4"/>
      <c r="H1061" s="4" t="s">
        <v>1956</v>
      </c>
      <c r="I1061" s="4"/>
      <c r="J1061" s="4" t="s">
        <v>1437</v>
      </c>
      <c r="K1061" s="4">
        <v>99.0</v>
      </c>
      <c r="L1061" s="4"/>
      <c r="M1061" s="4">
        <v>99.0</v>
      </c>
      <c r="N1061" s="4" t="s">
        <v>67</v>
      </c>
      <c r="O1061" s="4" t="b">
        <v>0</v>
      </c>
      <c r="P1061" s="4" t="s">
        <v>151</v>
      </c>
      <c r="Q1061" s="4" t="s">
        <v>69</v>
      </c>
      <c r="R1061" s="4"/>
      <c r="S1061" s="4"/>
      <c r="T1061" s="4"/>
      <c r="U1061" s="7"/>
      <c r="V1061" s="4"/>
      <c r="W1061" s="4"/>
      <c r="X1061" s="4"/>
      <c r="Y1061" s="4"/>
      <c r="Z1061" s="4"/>
      <c r="AA1061" s="5"/>
      <c r="AB1061" s="5"/>
      <c r="AC1061" s="5"/>
      <c r="AD1061" s="5"/>
      <c r="AE1061" s="5"/>
    </row>
    <row r="1062">
      <c r="A1062" s="14" t="s">
        <v>1958</v>
      </c>
      <c r="B1062" s="19">
        <v>44311.59431712963</v>
      </c>
      <c r="C1062" s="4">
        <v>50040.0</v>
      </c>
      <c r="D1062" s="4" t="s">
        <v>1960</v>
      </c>
      <c r="E1062" s="4">
        <v>9.19897822881E11</v>
      </c>
      <c r="F1062" s="4" t="s">
        <v>83</v>
      </c>
      <c r="G1062" s="4"/>
      <c r="H1062" s="4" t="s">
        <v>1959</v>
      </c>
      <c r="I1062" s="4"/>
      <c r="J1062" s="4" t="s">
        <v>77</v>
      </c>
      <c r="K1062" s="4">
        <v>349.0</v>
      </c>
      <c r="L1062" s="4"/>
      <c r="M1062" s="4">
        <v>349.0</v>
      </c>
      <c r="N1062" s="4" t="s">
        <v>67</v>
      </c>
      <c r="O1062" s="4" t="b">
        <v>0</v>
      </c>
      <c r="P1062" s="4" t="s">
        <v>68</v>
      </c>
      <c r="Q1062" s="4" t="s">
        <v>69</v>
      </c>
      <c r="R1062" s="4"/>
      <c r="S1062" s="4"/>
      <c r="T1062" s="4"/>
      <c r="U1062" s="7"/>
      <c r="V1062" s="4"/>
      <c r="W1062" s="4"/>
      <c r="X1062" s="4"/>
      <c r="Y1062" s="4"/>
      <c r="Z1062" s="4"/>
      <c r="AA1062" s="5"/>
      <c r="AB1062" s="5"/>
      <c r="AC1062" s="5"/>
      <c r="AD1062" s="5"/>
      <c r="AE1062" s="5"/>
    </row>
    <row r="1063">
      <c r="A1063" s="14" t="s">
        <v>1965</v>
      </c>
      <c r="B1063" s="19">
        <v>44311.638645833336</v>
      </c>
      <c r="C1063" s="4">
        <v>50041.0</v>
      </c>
      <c r="D1063" s="4" t="s">
        <v>1966</v>
      </c>
      <c r="E1063" s="4">
        <v>9.19873171765E11</v>
      </c>
      <c r="F1063" s="4" t="s">
        <v>83</v>
      </c>
      <c r="G1063" s="4"/>
      <c r="H1063" s="4" t="s">
        <v>1932</v>
      </c>
      <c r="I1063" s="4"/>
      <c r="J1063" s="4" t="s">
        <v>1437</v>
      </c>
      <c r="K1063" s="4">
        <v>99.0</v>
      </c>
      <c r="L1063" s="4"/>
      <c r="M1063" s="4">
        <v>99.0</v>
      </c>
      <c r="N1063" s="4" t="s">
        <v>67</v>
      </c>
      <c r="O1063" s="4" t="b">
        <v>0</v>
      </c>
      <c r="P1063" s="4" t="s">
        <v>68</v>
      </c>
      <c r="Q1063" s="4" t="s">
        <v>69</v>
      </c>
      <c r="R1063" s="4"/>
      <c r="S1063" s="4"/>
      <c r="T1063" s="4"/>
      <c r="U1063" s="7"/>
      <c r="V1063" s="4"/>
      <c r="W1063" s="4"/>
      <c r="X1063" s="4"/>
      <c r="Y1063" s="4"/>
      <c r="Z1063" s="4"/>
      <c r="AA1063" s="5"/>
      <c r="AB1063" s="5"/>
      <c r="AC1063" s="5"/>
      <c r="AD1063" s="5"/>
      <c r="AE1063" s="5"/>
    </row>
    <row r="1064">
      <c r="A1064" s="14" t="s">
        <v>1961</v>
      </c>
      <c r="B1064" s="19">
        <v>44311.63842592593</v>
      </c>
      <c r="C1064" s="4">
        <v>49833.0</v>
      </c>
      <c r="D1064" s="4" t="s">
        <v>1962</v>
      </c>
      <c r="E1064" s="4">
        <v>9.19908206585E11</v>
      </c>
      <c r="F1064" s="4">
        <v>17296.0</v>
      </c>
      <c r="G1064" s="4"/>
      <c r="H1064" s="4" t="s">
        <v>184</v>
      </c>
      <c r="I1064" s="4"/>
      <c r="J1064" s="4" t="s">
        <v>77</v>
      </c>
      <c r="K1064" s="4">
        <v>499.0</v>
      </c>
      <c r="L1064" s="4"/>
      <c r="M1064" s="4">
        <v>499.0</v>
      </c>
      <c r="N1064" s="4" t="s">
        <v>67</v>
      </c>
      <c r="O1064" s="4" t="b">
        <v>0</v>
      </c>
      <c r="P1064" s="4" t="s">
        <v>74</v>
      </c>
      <c r="Q1064" s="4" t="s">
        <v>69</v>
      </c>
      <c r="R1064" s="4"/>
      <c r="S1064" s="4"/>
      <c r="T1064" s="4"/>
      <c r="U1064" s="7"/>
      <c r="V1064" s="4"/>
      <c r="W1064" s="4"/>
      <c r="X1064" s="4"/>
      <c r="Y1064" s="4"/>
      <c r="Z1064" s="4"/>
      <c r="AA1064" s="5"/>
      <c r="AB1064" s="5"/>
      <c r="AC1064" s="5"/>
      <c r="AD1064" s="5"/>
      <c r="AE1064" s="5"/>
    </row>
    <row r="1065">
      <c r="A1065" s="14" t="s">
        <v>1963</v>
      </c>
      <c r="B1065" s="19">
        <v>44311.63857638889</v>
      </c>
      <c r="C1065" s="4">
        <v>50009.0</v>
      </c>
      <c r="D1065" s="4" t="s">
        <v>1964</v>
      </c>
      <c r="E1065" s="4">
        <v>9.17338017112E11</v>
      </c>
      <c r="F1065" s="4" t="s">
        <v>83</v>
      </c>
      <c r="G1065" s="4"/>
      <c r="H1065" s="4" t="s">
        <v>1476</v>
      </c>
      <c r="I1065" s="4"/>
      <c r="J1065" s="4" t="s">
        <v>149</v>
      </c>
      <c r="K1065" s="4">
        <v>99.0</v>
      </c>
      <c r="L1065" s="4"/>
      <c r="M1065" s="4">
        <v>99.0</v>
      </c>
      <c r="N1065" s="4" t="s">
        <v>67</v>
      </c>
      <c r="O1065" s="4" t="b">
        <v>0</v>
      </c>
      <c r="P1065" s="4" t="s">
        <v>74</v>
      </c>
      <c r="Q1065" s="4" t="s">
        <v>69</v>
      </c>
      <c r="R1065" s="4"/>
      <c r="S1065" s="4"/>
      <c r="T1065" s="4"/>
      <c r="U1065" s="7"/>
      <c r="V1065" s="4"/>
      <c r="W1065" s="4"/>
      <c r="X1065" s="4"/>
      <c r="Y1065" s="4"/>
      <c r="Z1065" s="4"/>
      <c r="AA1065" s="5"/>
      <c r="AB1065" s="5"/>
      <c r="AC1065" s="5"/>
      <c r="AD1065" s="5"/>
      <c r="AE1065" s="5"/>
    </row>
    <row r="1066">
      <c r="A1066" s="14" t="s">
        <v>1895</v>
      </c>
      <c r="B1066" s="19">
        <v>44311.646631944444</v>
      </c>
      <c r="C1066" s="4">
        <v>49813.0</v>
      </c>
      <c r="D1066" s="4" t="s">
        <v>1896</v>
      </c>
      <c r="E1066" s="4">
        <v>9.19840210315E11</v>
      </c>
      <c r="F1066" s="4" t="s">
        <v>83</v>
      </c>
      <c r="G1066" s="4"/>
      <c r="H1066" s="4" t="s">
        <v>1592</v>
      </c>
      <c r="I1066" s="4"/>
      <c r="J1066" s="4" t="s">
        <v>149</v>
      </c>
      <c r="K1066" s="4">
        <v>299.0</v>
      </c>
      <c r="L1066" s="4"/>
      <c r="M1066" s="4">
        <v>299.0</v>
      </c>
      <c r="N1066" s="4" t="s">
        <v>67</v>
      </c>
      <c r="O1066" s="4" t="b">
        <v>0</v>
      </c>
      <c r="P1066" s="4" t="s">
        <v>97</v>
      </c>
      <c r="Q1066" s="4" t="s">
        <v>69</v>
      </c>
      <c r="R1066" s="4"/>
      <c r="S1066" s="4"/>
      <c r="T1066" s="4"/>
      <c r="U1066" s="7"/>
      <c r="V1066" s="4"/>
      <c r="W1066" s="4"/>
      <c r="X1066" s="4"/>
      <c r="Y1066" s="4"/>
      <c r="Z1066" s="4"/>
      <c r="AA1066" s="5"/>
      <c r="AB1066" s="5"/>
      <c r="AC1066" s="5"/>
      <c r="AD1066" s="5"/>
      <c r="AE1066" s="5"/>
    </row>
    <row r="1067">
      <c r="A1067" s="14" t="s">
        <v>1969</v>
      </c>
      <c r="B1067" s="19">
        <v>44311.671111111114</v>
      </c>
      <c r="C1067" s="4">
        <v>50033.0</v>
      </c>
      <c r="D1067" s="4" t="s">
        <v>1970</v>
      </c>
      <c r="E1067" s="4">
        <v>9.17795230506E11</v>
      </c>
      <c r="F1067" s="4">
        <v>17278.0</v>
      </c>
      <c r="G1067" s="4"/>
      <c r="H1067" s="4" t="s">
        <v>1727</v>
      </c>
      <c r="I1067" s="4"/>
      <c r="J1067" s="4" t="s">
        <v>1437</v>
      </c>
      <c r="K1067" s="4">
        <v>99.0</v>
      </c>
      <c r="L1067" s="4"/>
      <c r="M1067" s="4">
        <v>99.0</v>
      </c>
      <c r="N1067" s="4" t="s">
        <v>67</v>
      </c>
      <c r="O1067" s="4" t="b">
        <v>0</v>
      </c>
      <c r="P1067" s="4" t="s">
        <v>68</v>
      </c>
      <c r="Q1067" s="4" t="s">
        <v>69</v>
      </c>
      <c r="R1067" s="4"/>
      <c r="S1067" s="4"/>
      <c r="T1067" s="4"/>
      <c r="U1067" s="7"/>
      <c r="V1067" s="4"/>
      <c r="W1067" s="4"/>
      <c r="X1067" s="4"/>
      <c r="Y1067" s="4"/>
      <c r="Z1067" s="4"/>
      <c r="AA1067" s="5"/>
      <c r="AB1067" s="5"/>
      <c r="AC1067" s="5"/>
      <c r="AD1067" s="5"/>
      <c r="AE1067" s="5"/>
    </row>
    <row r="1068">
      <c r="A1068" s="14" t="s">
        <v>1897</v>
      </c>
      <c r="B1068" s="19">
        <v>44311.709178240744</v>
      </c>
      <c r="C1068" s="4">
        <v>49813.0</v>
      </c>
      <c r="D1068" s="4" t="s">
        <v>1898</v>
      </c>
      <c r="E1068" s="4">
        <v>9.19766712546E11</v>
      </c>
      <c r="F1068" s="4">
        <v>17287.0</v>
      </c>
      <c r="G1068" s="4"/>
      <c r="H1068" s="4" t="s">
        <v>1592</v>
      </c>
      <c r="I1068" s="4"/>
      <c r="J1068" s="4" t="s">
        <v>149</v>
      </c>
      <c r="K1068" s="4">
        <v>299.0</v>
      </c>
      <c r="L1068" s="4"/>
      <c r="M1068" s="4">
        <v>299.0</v>
      </c>
      <c r="N1068" s="4" t="s">
        <v>67</v>
      </c>
      <c r="O1068" s="4" t="b">
        <v>0</v>
      </c>
      <c r="P1068" s="4" t="s">
        <v>97</v>
      </c>
      <c r="Q1068" s="4" t="s">
        <v>69</v>
      </c>
      <c r="R1068" s="4"/>
      <c r="S1068" s="4"/>
      <c r="T1068" s="4"/>
      <c r="U1068" s="7"/>
      <c r="V1068" s="4"/>
      <c r="W1068" s="4"/>
      <c r="X1068" s="4"/>
      <c r="Y1068" s="4"/>
      <c r="Z1068" s="4"/>
      <c r="AA1068" s="5"/>
      <c r="AB1068" s="5"/>
      <c r="AC1068" s="5"/>
      <c r="AD1068" s="5"/>
      <c r="AE1068" s="5"/>
    </row>
    <row r="1069">
      <c r="A1069" s="14" t="s">
        <v>1971</v>
      </c>
      <c r="B1069" s="19">
        <v>44311.70008101852</v>
      </c>
      <c r="C1069" s="4">
        <v>50009.0</v>
      </c>
      <c r="D1069" s="4" t="s">
        <v>1972</v>
      </c>
      <c r="E1069" s="4">
        <v>9.1917347007E11</v>
      </c>
      <c r="F1069" s="4">
        <v>17279.0</v>
      </c>
      <c r="G1069" s="4"/>
      <c r="H1069" s="4" t="s">
        <v>1476</v>
      </c>
      <c r="I1069" s="4"/>
      <c r="J1069" s="4" t="s">
        <v>149</v>
      </c>
      <c r="K1069" s="4">
        <v>99.0</v>
      </c>
      <c r="L1069" s="4"/>
      <c r="M1069" s="4">
        <v>99.0</v>
      </c>
      <c r="N1069" s="4" t="s">
        <v>67</v>
      </c>
      <c r="O1069" s="4" t="b">
        <v>0</v>
      </c>
      <c r="P1069" s="4" t="s">
        <v>74</v>
      </c>
      <c r="Q1069" s="4" t="s">
        <v>69</v>
      </c>
      <c r="R1069" s="4"/>
      <c r="S1069" s="4"/>
      <c r="T1069" s="4"/>
      <c r="U1069" s="7"/>
      <c r="V1069" s="4"/>
      <c r="W1069" s="4"/>
      <c r="X1069" s="4"/>
      <c r="Y1069" s="4"/>
      <c r="Z1069" s="4"/>
      <c r="AA1069" s="5"/>
      <c r="AB1069" s="5"/>
      <c r="AC1069" s="5"/>
      <c r="AD1069" s="5"/>
      <c r="AE1069" s="5"/>
    </row>
    <row r="1070">
      <c r="A1070" s="14" t="s">
        <v>1975</v>
      </c>
      <c r="B1070" s="19">
        <v>44311.73122685185</v>
      </c>
      <c r="C1070" s="4">
        <v>49994.0</v>
      </c>
      <c r="D1070" s="4" t="s">
        <v>1483</v>
      </c>
      <c r="E1070" s="4">
        <v>9.19873012133E11</v>
      </c>
      <c r="F1070" s="4">
        <v>17369.0</v>
      </c>
      <c r="G1070" s="4"/>
      <c r="H1070" s="4" t="s">
        <v>1264</v>
      </c>
      <c r="I1070" s="4"/>
      <c r="J1070" s="4" t="s">
        <v>149</v>
      </c>
      <c r="K1070" s="4">
        <v>99.0</v>
      </c>
      <c r="L1070" s="4"/>
      <c r="M1070" s="4">
        <v>99.0</v>
      </c>
      <c r="N1070" s="4" t="s">
        <v>67</v>
      </c>
      <c r="O1070" s="4" t="b">
        <v>0</v>
      </c>
      <c r="P1070" s="4" t="s">
        <v>151</v>
      </c>
      <c r="Q1070" s="4" t="s">
        <v>69</v>
      </c>
      <c r="R1070" s="4"/>
      <c r="S1070" s="4"/>
      <c r="T1070" s="4"/>
      <c r="U1070" s="8"/>
      <c r="V1070" s="4"/>
      <c r="W1070" s="4"/>
      <c r="X1070" s="4"/>
      <c r="Y1070" s="4"/>
      <c r="Z1070" s="4"/>
      <c r="AA1070" s="5"/>
      <c r="AB1070" s="5"/>
      <c r="AC1070" s="5"/>
      <c r="AD1070" s="5"/>
      <c r="AE1070" s="5"/>
    </row>
    <row r="1071">
      <c r="A1071" s="14" t="s">
        <v>1978</v>
      </c>
      <c r="B1071" s="19">
        <v>44311.7915162037</v>
      </c>
      <c r="C1071" s="4">
        <v>50030.0</v>
      </c>
      <c r="D1071" s="4" t="s">
        <v>1980</v>
      </c>
      <c r="E1071" s="4">
        <v>9.18884294553E11</v>
      </c>
      <c r="F1071" s="4">
        <v>17395.0</v>
      </c>
      <c r="G1071" s="4"/>
      <c r="H1071" s="4" t="s">
        <v>1979</v>
      </c>
      <c r="I1071" s="4"/>
      <c r="J1071" s="4" t="s">
        <v>1442</v>
      </c>
      <c r="K1071" s="4">
        <v>199.0</v>
      </c>
      <c r="L1071" s="4"/>
      <c r="M1071" s="4">
        <v>199.0</v>
      </c>
      <c r="N1071" s="4" t="s">
        <v>67</v>
      </c>
      <c r="O1071" s="4" t="b">
        <v>0</v>
      </c>
      <c r="P1071" s="4" t="s">
        <v>68</v>
      </c>
      <c r="Q1071" s="4" t="s">
        <v>69</v>
      </c>
      <c r="R1071" s="4"/>
      <c r="S1071" s="4"/>
      <c r="T1071" s="4"/>
      <c r="U1071" s="8"/>
      <c r="V1071" s="4"/>
      <c r="W1071" s="4"/>
      <c r="X1071" s="4"/>
      <c r="Y1071" s="4"/>
      <c r="Z1071" s="4"/>
      <c r="AA1071" s="5"/>
      <c r="AB1071" s="5"/>
      <c r="AC1071" s="5"/>
      <c r="AD1071" s="5"/>
      <c r="AE1071" s="5"/>
    </row>
    <row r="1072">
      <c r="A1072" s="14" t="s">
        <v>1981</v>
      </c>
      <c r="B1072" s="19">
        <v>44311.80028935185</v>
      </c>
      <c r="C1072" s="4">
        <v>50032.0</v>
      </c>
      <c r="D1072" s="4" t="s">
        <v>1983</v>
      </c>
      <c r="E1072" s="4">
        <v>9.19712769928E11</v>
      </c>
      <c r="F1072" s="4">
        <v>17283.0</v>
      </c>
      <c r="G1072" s="4"/>
      <c r="H1072" s="4" t="s">
        <v>1982</v>
      </c>
      <c r="I1072" s="4"/>
      <c r="J1072" s="4" t="s">
        <v>77</v>
      </c>
      <c r="K1072" s="4">
        <v>349.0</v>
      </c>
      <c r="L1072" s="4"/>
      <c r="M1072" s="4">
        <v>349.0</v>
      </c>
      <c r="N1072" s="4" t="s">
        <v>67</v>
      </c>
      <c r="O1072" s="4" t="b">
        <v>0</v>
      </c>
      <c r="P1072" s="4" t="s">
        <v>68</v>
      </c>
      <c r="Q1072" s="4" t="s">
        <v>69</v>
      </c>
      <c r="R1072" s="4"/>
      <c r="S1072" s="4"/>
      <c r="T1072" s="4"/>
      <c r="U1072" s="7"/>
      <c r="V1072" s="4"/>
      <c r="W1072" s="4"/>
      <c r="X1072" s="4"/>
      <c r="Y1072" s="4"/>
      <c r="Z1072" s="4"/>
      <c r="AA1072" s="5"/>
      <c r="AB1072" s="5"/>
      <c r="AC1072" s="5"/>
      <c r="AD1072" s="5"/>
      <c r="AE1072" s="5"/>
    </row>
    <row r="1073">
      <c r="A1073" s="14" t="s">
        <v>1984</v>
      </c>
      <c r="B1073" s="19">
        <v>44311.80258101852</v>
      </c>
      <c r="C1073" s="4">
        <v>50023.0</v>
      </c>
      <c r="D1073" s="4" t="s">
        <v>1985</v>
      </c>
      <c r="E1073" s="4">
        <v>9.17529875084E11</v>
      </c>
      <c r="F1073" s="4">
        <v>17365.0</v>
      </c>
      <c r="G1073" s="4"/>
      <c r="H1073" s="4" t="s">
        <v>1956</v>
      </c>
      <c r="I1073" s="4"/>
      <c r="J1073" s="4" t="s">
        <v>1437</v>
      </c>
      <c r="K1073" s="4">
        <v>99.0</v>
      </c>
      <c r="L1073" s="4"/>
      <c r="M1073" s="4">
        <v>99.0</v>
      </c>
      <c r="N1073" s="4" t="s">
        <v>67</v>
      </c>
      <c r="O1073" s="4" t="b">
        <v>0</v>
      </c>
      <c r="P1073" s="4" t="s">
        <v>74</v>
      </c>
      <c r="Q1073" s="4" t="s">
        <v>69</v>
      </c>
      <c r="R1073" s="4"/>
      <c r="S1073" s="4"/>
      <c r="T1073" s="4"/>
      <c r="U1073" s="8"/>
      <c r="V1073" s="4"/>
      <c r="W1073" s="4"/>
      <c r="X1073" s="4"/>
      <c r="Y1073" s="4"/>
      <c r="Z1073" s="4"/>
      <c r="AA1073" s="5"/>
      <c r="AB1073" s="5"/>
      <c r="AC1073" s="5"/>
      <c r="AD1073" s="5"/>
      <c r="AE1073" s="5"/>
    </row>
    <row r="1074">
      <c r="A1074" s="14" t="s">
        <v>1976</v>
      </c>
      <c r="B1074" s="19">
        <v>44311.78872685185</v>
      </c>
      <c r="C1074" s="4">
        <v>50040.0</v>
      </c>
      <c r="D1074" s="4" t="s">
        <v>1977</v>
      </c>
      <c r="E1074" s="4">
        <v>9.19811935933E11</v>
      </c>
      <c r="F1074" s="4">
        <v>17318.0</v>
      </c>
      <c r="G1074" s="4"/>
      <c r="H1074" s="4" t="s">
        <v>1959</v>
      </c>
      <c r="I1074" s="4"/>
      <c r="J1074" s="4" t="s">
        <v>1437</v>
      </c>
      <c r="K1074" s="4">
        <v>99.0</v>
      </c>
      <c r="L1074" s="4"/>
      <c r="M1074" s="4">
        <v>99.0</v>
      </c>
      <c r="N1074" s="4" t="s">
        <v>67</v>
      </c>
      <c r="O1074" s="4" t="b">
        <v>0</v>
      </c>
      <c r="P1074" s="4" t="s">
        <v>97</v>
      </c>
      <c r="Q1074" s="4" t="s">
        <v>69</v>
      </c>
      <c r="R1074" s="4"/>
      <c r="S1074" s="4"/>
      <c r="T1074" s="4"/>
      <c r="U1074" s="7"/>
      <c r="V1074" s="4"/>
      <c r="W1074" s="4"/>
      <c r="X1074" s="4"/>
      <c r="Y1074" s="4"/>
      <c r="Z1074" s="4"/>
      <c r="AA1074" s="5"/>
      <c r="AB1074" s="5"/>
      <c r="AC1074" s="5"/>
      <c r="AD1074" s="5"/>
      <c r="AE1074" s="5"/>
    </row>
    <row r="1075">
      <c r="A1075" s="14" t="s">
        <v>1986</v>
      </c>
      <c r="B1075" s="19">
        <v>44311.81402777778</v>
      </c>
      <c r="C1075" s="4">
        <v>50048.0</v>
      </c>
      <c r="D1075" s="4" t="s">
        <v>1987</v>
      </c>
      <c r="E1075" s="4">
        <v>9.1981989689E11</v>
      </c>
      <c r="F1075" s="4">
        <v>17428.0</v>
      </c>
      <c r="G1075" s="4"/>
      <c r="H1075" s="4" t="s">
        <v>1436</v>
      </c>
      <c r="I1075" s="4"/>
      <c r="J1075" s="4" t="s">
        <v>1437</v>
      </c>
      <c r="K1075" s="4">
        <v>149.0</v>
      </c>
      <c r="L1075" s="4"/>
      <c r="M1075" s="4">
        <v>149.0</v>
      </c>
      <c r="N1075" s="4" t="s">
        <v>67</v>
      </c>
      <c r="O1075" s="4" t="b">
        <v>0</v>
      </c>
      <c r="P1075" s="4" t="s">
        <v>68</v>
      </c>
      <c r="Q1075" s="4" t="s">
        <v>69</v>
      </c>
      <c r="R1075" s="4"/>
      <c r="S1075" s="4"/>
      <c r="T1075" s="4"/>
      <c r="U1075" s="7"/>
      <c r="V1075" s="4"/>
      <c r="W1075" s="4"/>
      <c r="X1075" s="4"/>
      <c r="Y1075" s="4"/>
      <c r="Z1075" s="4"/>
      <c r="AA1075" s="5"/>
      <c r="AB1075" s="5"/>
      <c r="AC1075" s="5"/>
      <c r="AD1075" s="5"/>
      <c r="AE1075" s="5"/>
    </row>
    <row r="1076">
      <c r="A1076" s="14" t="s">
        <v>2088</v>
      </c>
      <c r="B1076" s="19">
        <v>44312.901504629626</v>
      </c>
      <c r="C1076" s="4">
        <v>50048.0</v>
      </c>
      <c r="D1076" s="4" t="s">
        <v>2089</v>
      </c>
      <c r="E1076" s="4">
        <v>9.19004275198E11</v>
      </c>
      <c r="F1076" s="4">
        <v>17957.0</v>
      </c>
      <c r="G1076" s="4"/>
      <c r="H1076" s="4" t="s">
        <v>1436</v>
      </c>
      <c r="I1076" s="4"/>
      <c r="J1076" s="4" t="s">
        <v>1437</v>
      </c>
      <c r="K1076" s="4">
        <v>149.0</v>
      </c>
      <c r="L1076" s="4"/>
      <c r="M1076" s="4">
        <v>149.0</v>
      </c>
      <c r="N1076" s="4" t="s">
        <v>67</v>
      </c>
      <c r="O1076" s="4" t="b">
        <v>0</v>
      </c>
      <c r="P1076" s="4" t="s">
        <v>68</v>
      </c>
      <c r="Q1076" s="4" t="s">
        <v>69</v>
      </c>
      <c r="R1076" s="4"/>
      <c r="S1076" s="4"/>
      <c r="T1076" s="4"/>
      <c r="U1076" s="7"/>
      <c r="V1076" s="4"/>
      <c r="W1076" s="4"/>
      <c r="X1076" s="4"/>
      <c r="Y1076" s="4"/>
      <c r="Z1076" s="4"/>
      <c r="AA1076" s="5"/>
      <c r="AB1076" s="5"/>
      <c r="AC1076" s="5"/>
      <c r="AD1076" s="5"/>
      <c r="AE1076" s="5"/>
    </row>
    <row r="1077">
      <c r="A1077" s="14" t="s">
        <v>2278</v>
      </c>
      <c r="B1077" s="19">
        <v>44312.90509259259</v>
      </c>
      <c r="C1077" s="4">
        <v>49854.0</v>
      </c>
      <c r="D1077" s="4" t="s">
        <v>2279</v>
      </c>
      <c r="E1077" s="4">
        <v>9.19819333766E11</v>
      </c>
      <c r="F1077" s="4">
        <v>17763.0</v>
      </c>
      <c r="G1077" s="4"/>
      <c r="H1077" s="4" t="s">
        <v>2161</v>
      </c>
      <c r="I1077" s="4"/>
      <c r="J1077" s="4" t="s">
        <v>85</v>
      </c>
      <c r="K1077" s="4">
        <v>599.0</v>
      </c>
      <c r="L1077" s="4"/>
      <c r="M1077" s="4">
        <v>599.0</v>
      </c>
      <c r="N1077" s="4" t="s">
        <v>67</v>
      </c>
      <c r="O1077" s="4" t="b">
        <v>0</v>
      </c>
      <c r="P1077" s="4" t="s">
        <v>74</v>
      </c>
      <c r="Q1077" s="4" t="s">
        <v>69</v>
      </c>
      <c r="R1077" s="4"/>
      <c r="S1077" s="4"/>
      <c r="T1077" s="4"/>
      <c r="U1077" s="7"/>
      <c r="V1077" s="4"/>
      <c r="W1077" s="4"/>
      <c r="X1077" s="4"/>
      <c r="Y1077" s="4"/>
      <c r="Z1077" s="4"/>
      <c r="AA1077" s="5"/>
      <c r="AB1077" s="5"/>
      <c r="AC1077" s="5"/>
      <c r="AD1077" s="5"/>
      <c r="AE1077" s="5"/>
    </row>
    <row r="1078">
      <c r="A1078" s="14" t="s">
        <v>2092</v>
      </c>
      <c r="B1078" s="19">
        <v>44312.91048611111</v>
      </c>
      <c r="C1078" s="4">
        <v>49833.0</v>
      </c>
      <c r="D1078" s="4" t="s">
        <v>2093</v>
      </c>
      <c r="E1078" s="4">
        <v>9.19958444338E11</v>
      </c>
      <c r="F1078" s="4">
        <v>17329.0</v>
      </c>
      <c r="G1078" s="4"/>
      <c r="H1078" s="4" t="s">
        <v>184</v>
      </c>
      <c r="I1078" s="4"/>
      <c r="J1078" s="4" t="s">
        <v>85</v>
      </c>
      <c r="K1078" s="4">
        <v>299.0</v>
      </c>
      <c r="L1078" s="4"/>
      <c r="M1078" s="4">
        <v>299.0</v>
      </c>
      <c r="N1078" s="4" t="s">
        <v>67</v>
      </c>
      <c r="O1078" s="4" t="b">
        <v>0</v>
      </c>
      <c r="P1078" s="4" t="s">
        <v>74</v>
      </c>
      <c r="Q1078" s="4" t="s">
        <v>69</v>
      </c>
      <c r="R1078" s="4"/>
      <c r="S1078" s="4"/>
      <c r="T1078" s="4"/>
      <c r="U1078" s="7"/>
      <c r="V1078" s="4"/>
      <c r="W1078" s="4"/>
      <c r="X1078" s="4"/>
      <c r="Y1078" s="4"/>
      <c r="Z1078" s="4"/>
      <c r="AA1078" s="5"/>
      <c r="AB1078" s="5"/>
      <c r="AC1078" s="5"/>
      <c r="AD1078" s="5"/>
      <c r="AE1078" s="5"/>
    </row>
    <row r="1079">
      <c r="A1079" s="14" t="s">
        <v>2094</v>
      </c>
      <c r="B1079" s="19">
        <v>44312.91540509259</v>
      </c>
      <c r="C1079" s="4">
        <v>49958.0</v>
      </c>
      <c r="D1079" s="4" t="s">
        <v>2095</v>
      </c>
      <c r="E1079" s="4">
        <v>9.18885690792E11</v>
      </c>
      <c r="F1079" s="4">
        <v>17328.0</v>
      </c>
      <c r="G1079" s="4"/>
      <c r="H1079" s="4" t="s">
        <v>858</v>
      </c>
      <c r="I1079" s="4"/>
      <c r="J1079" s="4" t="s">
        <v>85</v>
      </c>
      <c r="K1079" s="4">
        <v>199.0</v>
      </c>
      <c r="L1079" s="4"/>
      <c r="M1079" s="4">
        <v>199.0</v>
      </c>
      <c r="N1079" s="4" t="s">
        <v>67</v>
      </c>
      <c r="O1079" s="4" t="b">
        <v>0</v>
      </c>
      <c r="P1079" s="4" t="s">
        <v>68</v>
      </c>
      <c r="Q1079" s="4" t="s">
        <v>69</v>
      </c>
      <c r="R1079" s="4"/>
      <c r="S1079" s="4"/>
      <c r="T1079" s="4"/>
      <c r="U1079" s="7"/>
      <c r="V1079" s="4"/>
      <c r="W1079" s="4"/>
      <c r="X1079" s="4"/>
      <c r="Y1079" s="4"/>
      <c r="Z1079" s="4"/>
      <c r="AA1079" s="5"/>
      <c r="AB1079" s="5"/>
      <c r="AC1079" s="5"/>
      <c r="AD1079" s="5"/>
      <c r="AE1079" s="5"/>
    </row>
    <row r="1080">
      <c r="A1080" s="14" t="s">
        <v>2098</v>
      </c>
      <c r="B1080" s="19">
        <v>44312.93539351852</v>
      </c>
      <c r="C1080" s="4">
        <v>49993.0</v>
      </c>
      <c r="D1080" s="4" t="s">
        <v>2099</v>
      </c>
      <c r="E1080" s="4">
        <v>9.19769682009E11</v>
      </c>
      <c r="F1080" s="4">
        <v>17381.0</v>
      </c>
      <c r="G1080" s="4"/>
      <c r="H1080" s="4" t="s">
        <v>1104</v>
      </c>
      <c r="I1080" s="4"/>
      <c r="J1080" s="4" t="s">
        <v>149</v>
      </c>
      <c r="K1080" s="4">
        <v>199.0</v>
      </c>
      <c r="L1080" s="4"/>
      <c r="M1080" s="4">
        <v>199.0</v>
      </c>
      <c r="N1080" s="4" t="s">
        <v>67</v>
      </c>
      <c r="O1080" s="4" t="b">
        <v>0</v>
      </c>
      <c r="P1080" s="4" t="s">
        <v>68</v>
      </c>
      <c r="Q1080" s="4" t="s">
        <v>69</v>
      </c>
      <c r="R1080" s="4"/>
      <c r="S1080" s="4"/>
      <c r="T1080" s="4"/>
      <c r="U1080" s="7"/>
      <c r="V1080" s="4"/>
      <c r="W1080" s="4"/>
      <c r="X1080" s="4"/>
      <c r="Y1080" s="4"/>
      <c r="Z1080" s="4"/>
      <c r="AA1080" s="5"/>
      <c r="AB1080" s="5"/>
      <c r="AC1080" s="5"/>
      <c r="AD1080" s="5"/>
      <c r="AE1080" s="5"/>
    </row>
    <row r="1081">
      <c r="A1081" s="14" t="s">
        <v>2100</v>
      </c>
      <c r="B1081" s="19">
        <v>44312.93952546296</v>
      </c>
      <c r="C1081" s="4">
        <v>49833.0</v>
      </c>
      <c r="D1081" s="4" t="s">
        <v>2101</v>
      </c>
      <c r="E1081" s="4">
        <v>9.18399070037E11</v>
      </c>
      <c r="F1081" s="4">
        <v>17330.0</v>
      </c>
      <c r="G1081" s="4"/>
      <c r="H1081" s="4" t="s">
        <v>184</v>
      </c>
      <c r="I1081" s="4"/>
      <c r="J1081" s="4" t="s">
        <v>77</v>
      </c>
      <c r="K1081" s="4">
        <v>499.0</v>
      </c>
      <c r="L1081" s="4"/>
      <c r="M1081" s="4">
        <v>499.0</v>
      </c>
      <c r="N1081" s="4" t="s">
        <v>67</v>
      </c>
      <c r="O1081" s="4" t="b">
        <v>0</v>
      </c>
      <c r="P1081" s="4" t="s">
        <v>68</v>
      </c>
      <c r="Q1081" s="4" t="s">
        <v>69</v>
      </c>
      <c r="R1081" s="4"/>
      <c r="S1081" s="4"/>
      <c r="T1081" s="4"/>
      <c r="U1081" s="8"/>
      <c r="V1081" s="4"/>
      <c r="W1081" s="4"/>
      <c r="X1081" s="4"/>
      <c r="Y1081" s="4"/>
      <c r="Z1081" s="4"/>
      <c r="AA1081" s="5"/>
      <c r="AB1081" s="5"/>
      <c r="AC1081" s="5"/>
      <c r="AD1081" s="5"/>
      <c r="AE1081" s="5"/>
    </row>
    <row r="1082">
      <c r="A1082" s="14" t="s">
        <v>2096</v>
      </c>
      <c r="B1082" s="19">
        <v>44312.92582175926</v>
      </c>
      <c r="C1082" s="4">
        <v>49834.0</v>
      </c>
      <c r="D1082" s="4" t="s">
        <v>2097</v>
      </c>
      <c r="E1082" s="4">
        <v>9.19604371966E11</v>
      </c>
      <c r="F1082" s="4" t="s">
        <v>83</v>
      </c>
      <c r="G1082" s="4"/>
      <c r="H1082" s="4" t="s">
        <v>76</v>
      </c>
      <c r="I1082" s="4"/>
      <c r="J1082" s="4" t="s">
        <v>85</v>
      </c>
      <c r="K1082" s="4">
        <v>199.0</v>
      </c>
      <c r="L1082" s="4"/>
      <c r="M1082" s="4">
        <v>199.0</v>
      </c>
      <c r="N1082" s="4" t="s">
        <v>67</v>
      </c>
      <c r="O1082" s="4" t="b">
        <v>0</v>
      </c>
      <c r="P1082" s="4" t="s">
        <v>68</v>
      </c>
      <c r="Q1082" s="4" t="s">
        <v>69</v>
      </c>
      <c r="R1082" s="4"/>
      <c r="S1082" s="4"/>
      <c r="T1082" s="4"/>
      <c r="U1082" s="7"/>
      <c r="V1082" s="4"/>
      <c r="W1082" s="4"/>
      <c r="X1082" s="4"/>
      <c r="Y1082" s="4"/>
      <c r="Z1082" s="4"/>
      <c r="AA1082" s="5"/>
      <c r="AB1082" s="5"/>
      <c r="AC1082" s="5"/>
      <c r="AD1082" s="5"/>
      <c r="AE1082" s="5"/>
    </row>
    <row r="1083">
      <c r="A1083" s="14" t="s">
        <v>1990</v>
      </c>
      <c r="B1083" s="19">
        <v>44311.88511574074</v>
      </c>
      <c r="C1083" s="4">
        <v>50030.0</v>
      </c>
      <c r="D1083" s="4" t="s">
        <v>1991</v>
      </c>
      <c r="E1083" s="4">
        <v>9.1829748172E11</v>
      </c>
      <c r="F1083" s="4" t="s">
        <v>83</v>
      </c>
      <c r="G1083" s="4"/>
      <c r="H1083" s="4" t="s">
        <v>1979</v>
      </c>
      <c r="I1083" s="4"/>
      <c r="J1083" s="4" t="s">
        <v>1437</v>
      </c>
      <c r="K1083" s="4">
        <v>99.0</v>
      </c>
      <c r="L1083" s="4"/>
      <c r="M1083" s="4">
        <v>99.0</v>
      </c>
      <c r="N1083" s="4" t="s">
        <v>67</v>
      </c>
      <c r="O1083" s="4" t="b">
        <v>0</v>
      </c>
      <c r="P1083" s="4" t="s">
        <v>97</v>
      </c>
      <c r="Q1083" s="4" t="s">
        <v>69</v>
      </c>
      <c r="R1083" s="4"/>
      <c r="S1083" s="4"/>
      <c r="T1083" s="4"/>
      <c r="U1083" s="7"/>
      <c r="V1083" s="4"/>
      <c r="W1083" s="4"/>
      <c r="X1083" s="4"/>
      <c r="Y1083" s="4"/>
      <c r="Z1083" s="4"/>
      <c r="AA1083" s="5"/>
      <c r="AB1083" s="5"/>
      <c r="AC1083" s="5"/>
      <c r="AD1083" s="5"/>
      <c r="AE1083" s="5"/>
    </row>
    <row r="1084">
      <c r="A1084" s="14" t="s">
        <v>1988</v>
      </c>
      <c r="B1084" s="19">
        <v>44311.86898148148</v>
      </c>
      <c r="C1084" s="4">
        <v>50040.0</v>
      </c>
      <c r="D1084" s="4" t="s">
        <v>1989</v>
      </c>
      <c r="E1084" s="4">
        <v>9.19571285225E11</v>
      </c>
      <c r="F1084" s="4">
        <v>17354.0</v>
      </c>
      <c r="G1084" s="4"/>
      <c r="H1084" s="4" t="s">
        <v>1959</v>
      </c>
      <c r="I1084" s="4"/>
      <c r="J1084" s="4" t="s">
        <v>1437</v>
      </c>
      <c r="K1084" s="4">
        <v>99.0</v>
      </c>
      <c r="L1084" s="4"/>
      <c r="M1084" s="4">
        <v>99.0</v>
      </c>
      <c r="N1084" s="4" t="s">
        <v>67</v>
      </c>
      <c r="O1084" s="4" t="b">
        <v>0</v>
      </c>
      <c r="P1084" s="4" t="s">
        <v>68</v>
      </c>
      <c r="Q1084" s="4" t="s">
        <v>69</v>
      </c>
      <c r="R1084" s="4"/>
      <c r="S1084" s="4"/>
      <c r="T1084" s="4"/>
      <c r="U1084" s="7"/>
      <c r="V1084" s="4"/>
      <c r="W1084" s="4"/>
      <c r="X1084" s="4"/>
      <c r="Y1084" s="4"/>
      <c r="Z1084" s="4"/>
      <c r="AA1084" s="5"/>
      <c r="AB1084" s="5"/>
      <c r="AC1084" s="5"/>
      <c r="AD1084" s="5"/>
      <c r="AE1084" s="5"/>
    </row>
    <row r="1085">
      <c r="A1085" s="14" t="s">
        <v>2102</v>
      </c>
      <c r="B1085" s="19">
        <v>44312.954201388886</v>
      </c>
      <c r="C1085" s="4">
        <v>49996.0</v>
      </c>
      <c r="D1085" s="4" t="s">
        <v>2103</v>
      </c>
      <c r="E1085" s="4">
        <v>9.19158005114E11</v>
      </c>
      <c r="F1085" s="4">
        <v>17412.0</v>
      </c>
      <c r="G1085" s="4"/>
      <c r="H1085" s="4" t="s">
        <v>1516</v>
      </c>
      <c r="I1085" s="4"/>
      <c r="J1085" s="4" t="s">
        <v>149</v>
      </c>
      <c r="K1085" s="4">
        <v>99.0</v>
      </c>
      <c r="L1085" s="4"/>
      <c r="M1085" s="4">
        <v>99.0</v>
      </c>
      <c r="N1085" s="4" t="s">
        <v>67</v>
      </c>
      <c r="O1085" s="4" t="b">
        <v>0</v>
      </c>
      <c r="P1085" s="4" t="s">
        <v>97</v>
      </c>
      <c r="Q1085" s="4" t="s">
        <v>69</v>
      </c>
      <c r="R1085" s="4"/>
      <c r="S1085" s="4"/>
      <c r="T1085" s="4"/>
      <c r="U1085" s="7"/>
      <c r="V1085" s="4"/>
      <c r="W1085" s="4"/>
      <c r="X1085" s="4"/>
      <c r="Y1085" s="4"/>
      <c r="Z1085" s="4"/>
      <c r="AA1085" s="5"/>
      <c r="AB1085" s="5"/>
      <c r="AC1085" s="5"/>
      <c r="AD1085" s="5"/>
      <c r="AE1085" s="5"/>
    </row>
    <row r="1086">
      <c r="A1086" s="14" t="s">
        <v>2106</v>
      </c>
      <c r="B1086" s="19">
        <v>44312.972708333335</v>
      </c>
      <c r="C1086" s="4">
        <v>50033.0</v>
      </c>
      <c r="D1086" s="4" t="s">
        <v>2107</v>
      </c>
      <c r="E1086" s="4">
        <v>9.19704679734E11</v>
      </c>
      <c r="F1086" s="4">
        <v>17331.0</v>
      </c>
      <c r="G1086" s="4"/>
      <c r="H1086" s="4" t="s">
        <v>1727</v>
      </c>
      <c r="I1086" s="4"/>
      <c r="J1086" s="4" t="s">
        <v>1437</v>
      </c>
      <c r="K1086" s="4">
        <v>99.0</v>
      </c>
      <c r="L1086" s="4"/>
      <c r="M1086" s="4">
        <v>99.0</v>
      </c>
      <c r="N1086" s="4" t="s">
        <v>67</v>
      </c>
      <c r="O1086" s="4" t="b">
        <v>0</v>
      </c>
      <c r="P1086" s="4" t="s">
        <v>68</v>
      </c>
      <c r="Q1086" s="4" t="s">
        <v>69</v>
      </c>
      <c r="R1086" s="4"/>
      <c r="S1086" s="4"/>
      <c r="T1086" s="4"/>
      <c r="U1086" s="7"/>
      <c r="V1086" s="4"/>
      <c r="W1086" s="4"/>
      <c r="X1086" s="4"/>
      <c r="Y1086" s="4"/>
      <c r="Z1086" s="4"/>
      <c r="AA1086" s="5"/>
      <c r="AB1086" s="5"/>
      <c r="AC1086" s="5"/>
      <c r="AD1086" s="5"/>
      <c r="AE1086" s="5"/>
    </row>
    <row r="1087">
      <c r="A1087" s="14" t="s">
        <v>2104</v>
      </c>
      <c r="B1087" s="19">
        <v>44312.95798611111</v>
      </c>
      <c r="C1087" s="4">
        <v>50023.0</v>
      </c>
      <c r="D1087" s="4" t="s">
        <v>2105</v>
      </c>
      <c r="E1087" s="4">
        <v>9.19713513658E11</v>
      </c>
      <c r="F1087" s="4">
        <v>17347.0</v>
      </c>
      <c r="G1087" s="4"/>
      <c r="H1087" s="4" t="s">
        <v>1956</v>
      </c>
      <c r="I1087" s="4"/>
      <c r="J1087" s="4" t="s">
        <v>77</v>
      </c>
      <c r="K1087" s="4">
        <v>349.0</v>
      </c>
      <c r="L1087" s="4"/>
      <c r="M1087" s="4">
        <v>349.0</v>
      </c>
      <c r="N1087" s="4" t="s">
        <v>67</v>
      </c>
      <c r="O1087" s="4" t="b">
        <v>0</v>
      </c>
      <c r="P1087" s="4" t="s">
        <v>68</v>
      </c>
      <c r="Q1087" s="4" t="s">
        <v>69</v>
      </c>
      <c r="R1087" s="4"/>
      <c r="S1087" s="4"/>
      <c r="T1087" s="4"/>
      <c r="U1087" s="7"/>
      <c r="V1087" s="4"/>
      <c r="W1087" s="4"/>
      <c r="X1087" s="4"/>
      <c r="Y1087" s="4"/>
      <c r="Z1087" s="4"/>
      <c r="AA1087" s="5"/>
      <c r="AB1087" s="5"/>
      <c r="AC1087" s="5"/>
      <c r="AD1087" s="5"/>
      <c r="AE1087" s="5"/>
    </row>
    <row r="1088">
      <c r="A1088" s="14" t="s">
        <v>1992</v>
      </c>
      <c r="B1088" s="19">
        <v>44311.93269675926</v>
      </c>
      <c r="C1088" s="4">
        <v>50040.0</v>
      </c>
      <c r="D1088" s="4" t="s">
        <v>1993</v>
      </c>
      <c r="E1088" s="4">
        <v>9.19811695156E11</v>
      </c>
      <c r="F1088" s="4" t="s">
        <v>83</v>
      </c>
      <c r="G1088" s="4"/>
      <c r="H1088" s="4" t="s">
        <v>1959</v>
      </c>
      <c r="I1088" s="4"/>
      <c r="J1088" s="4" t="s">
        <v>1437</v>
      </c>
      <c r="K1088" s="4">
        <v>99.0</v>
      </c>
      <c r="L1088" s="4"/>
      <c r="M1088" s="4">
        <v>99.0</v>
      </c>
      <c r="N1088" s="4" t="s">
        <v>67</v>
      </c>
      <c r="O1088" s="4" t="b">
        <v>0</v>
      </c>
      <c r="P1088" s="4" t="s">
        <v>68</v>
      </c>
      <c r="Q1088" s="4" t="s">
        <v>69</v>
      </c>
      <c r="R1088" s="4"/>
      <c r="S1088" s="4"/>
      <c r="T1088" s="4"/>
      <c r="U1088" s="7"/>
      <c r="V1088" s="4"/>
      <c r="W1088" s="4"/>
      <c r="X1088" s="4"/>
      <c r="Y1088" s="4"/>
      <c r="Z1088" s="4"/>
      <c r="AA1088" s="5"/>
      <c r="AB1088" s="5"/>
      <c r="AC1088" s="5"/>
      <c r="AD1088" s="5"/>
      <c r="AE1088" s="5"/>
    </row>
    <row r="1089">
      <c r="A1089" s="14" t="s">
        <v>1463</v>
      </c>
      <c r="B1089" s="19">
        <v>44311.93446759259</v>
      </c>
      <c r="C1089" s="4">
        <v>50031.0</v>
      </c>
      <c r="D1089" s="4" t="s">
        <v>1464</v>
      </c>
      <c r="E1089" s="4">
        <v>9.1988140146E11</v>
      </c>
      <c r="F1089" s="4">
        <v>17764.0</v>
      </c>
      <c r="G1089" s="4"/>
      <c r="H1089" s="4" t="s">
        <v>1447</v>
      </c>
      <c r="I1089" s="4"/>
      <c r="J1089" s="4" t="s">
        <v>1437</v>
      </c>
      <c r="K1089" s="4">
        <v>99.0</v>
      </c>
      <c r="L1089" s="4"/>
      <c r="M1089" s="4">
        <v>99.0</v>
      </c>
      <c r="N1089" s="4" t="s">
        <v>67</v>
      </c>
      <c r="O1089" s="4" t="b">
        <v>0</v>
      </c>
      <c r="P1089" s="4" t="s">
        <v>151</v>
      </c>
      <c r="Q1089" s="4" t="s">
        <v>69</v>
      </c>
      <c r="R1089" s="4"/>
      <c r="S1089" s="4"/>
      <c r="T1089" s="4"/>
      <c r="U1089" s="7"/>
      <c r="V1089" s="4"/>
      <c r="W1089" s="4"/>
      <c r="X1089" s="4"/>
      <c r="Y1089" s="4"/>
      <c r="Z1089" s="4"/>
      <c r="AA1089" s="5"/>
      <c r="AB1089" s="5"/>
      <c r="AC1089" s="5"/>
      <c r="AD1089" s="5"/>
      <c r="AE1089" s="5"/>
    </row>
    <row r="1090">
      <c r="A1090" s="14" t="s">
        <v>1996</v>
      </c>
      <c r="B1090" s="19">
        <v>44311.93517361111</v>
      </c>
      <c r="C1090" s="4">
        <v>50040.0</v>
      </c>
      <c r="D1090" s="4" t="s">
        <v>1997</v>
      </c>
      <c r="E1090" s="4">
        <v>9.19847298213E11</v>
      </c>
      <c r="F1090" s="4">
        <v>17363.0</v>
      </c>
      <c r="G1090" s="4"/>
      <c r="H1090" s="4" t="s">
        <v>1959</v>
      </c>
      <c r="I1090" s="4"/>
      <c r="J1090" s="4" t="s">
        <v>1442</v>
      </c>
      <c r="K1090" s="4">
        <v>199.0</v>
      </c>
      <c r="L1090" s="4"/>
      <c r="M1090" s="4">
        <v>199.0</v>
      </c>
      <c r="N1090" s="4" t="s">
        <v>67</v>
      </c>
      <c r="O1090" s="4" t="b">
        <v>0</v>
      </c>
      <c r="P1090" s="4" t="s">
        <v>74</v>
      </c>
      <c r="Q1090" s="4" t="s">
        <v>69</v>
      </c>
      <c r="R1090" s="4"/>
      <c r="S1090" s="4"/>
      <c r="T1090" s="4"/>
      <c r="U1090" s="7"/>
      <c r="V1090" s="4"/>
      <c r="W1090" s="4"/>
      <c r="X1090" s="4"/>
      <c r="Y1090" s="4"/>
      <c r="Z1090" s="4"/>
      <c r="AA1090" s="5"/>
      <c r="AB1090" s="5"/>
      <c r="AC1090" s="5"/>
      <c r="AD1090" s="5"/>
      <c r="AE1090" s="5"/>
    </row>
    <row r="1091">
      <c r="A1091" s="14" t="s">
        <v>2000</v>
      </c>
      <c r="B1091" s="19">
        <v>44311.952152777776</v>
      </c>
      <c r="C1091" s="4">
        <v>50041.0</v>
      </c>
      <c r="D1091" s="4" t="s">
        <v>2001</v>
      </c>
      <c r="E1091" s="4">
        <v>9.17304630785E11</v>
      </c>
      <c r="F1091" s="4">
        <v>17464.0</v>
      </c>
      <c r="G1091" s="4"/>
      <c r="H1091" s="4" t="s">
        <v>1932</v>
      </c>
      <c r="I1091" s="4"/>
      <c r="J1091" s="4" t="s">
        <v>1442</v>
      </c>
      <c r="K1091" s="4">
        <v>199.0</v>
      </c>
      <c r="L1091" s="4"/>
      <c r="M1091" s="4">
        <v>199.0</v>
      </c>
      <c r="N1091" s="4" t="s">
        <v>67</v>
      </c>
      <c r="O1091" s="4" t="b">
        <v>0</v>
      </c>
      <c r="P1091" s="4" t="s">
        <v>68</v>
      </c>
      <c r="Q1091" s="4" t="s">
        <v>69</v>
      </c>
      <c r="R1091" s="4"/>
      <c r="S1091" s="4"/>
      <c r="T1091" s="4"/>
      <c r="U1091" s="7"/>
      <c r="V1091" s="4"/>
      <c r="W1091" s="4"/>
      <c r="X1091" s="4"/>
      <c r="Y1091" s="4"/>
      <c r="Z1091" s="4"/>
      <c r="AA1091" s="5"/>
      <c r="AB1091" s="5"/>
      <c r="AC1091" s="5"/>
      <c r="AD1091" s="5"/>
      <c r="AE1091" s="5"/>
    </row>
    <row r="1092">
      <c r="A1092" s="14" t="s">
        <v>1549</v>
      </c>
      <c r="B1092" s="19">
        <v>44311.9356712963</v>
      </c>
      <c r="C1092" s="4">
        <v>49859.0</v>
      </c>
      <c r="D1092" s="4" t="s">
        <v>1550</v>
      </c>
      <c r="E1092" s="4">
        <v>9.18179076682E11</v>
      </c>
      <c r="F1092" s="4">
        <v>17288.0</v>
      </c>
      <c r="G1092" s="4"/>
      <c r="H1092" s="4" t="s">
        <v>1507</v>
      </c>
      <c r="I1092" s="4"/>
      <c r="J1092" s="4" t="s">
        <v>149</v>
      </c>
      <c r="K1092" s="4">
        <v>99.0</v>
      </c>
      <c r="L1092" s="4"/>
      <c r="M1092" s="4">
        <v>99.0</v>
      </c>
      <c r="N1092" s="4" t="s">
        <v>67</v>
      </c>
      <c r="O1092" s="4" t="b">
        <v>0</v>
      </c>
      <c r="P1092" s="4" t="s">
        <v>97</v>
      </c>
      <c r="Q1092" s="4" t="s">
        <v>69</v>
      </c>
      <c r="R1092" s="4"/>
      <c r="S1092" s="4"/>
      <c r="T1092" s="4"/>
      <c r="U1092" s="7"/>
      <c r="V1092" s="4"/>
      <c r="W1092" s="4"/>
      <c r="X1092" s="4"/>
      <c r="Y1092" s="4"/>
      <c r="Z1092" s="4"/>
      <c r="AA1092" s="5"/>
      <c r="AB1092" s="5"/>
      <c r="AC1092" s="5"/>
      <c r="AD1092" s="5"/>
      <c r="AE1092" s="5"/>
    </row>
    <row r="1093">
      <c r="A1093" s="14" t="s">
        <v>1584</v>
      </c>
      <c r="B1093" s="19">
        <v>44313.01976851852</v>
      </c>
      <c r="C1093" s="4">
        <v>50011.0</v>
      </c>
      <c r="D1093" s="4" t="s">
        <v>1586</v>
      </c>
      <c r="E1093" s="4">
        <v>9.1995947111E11</v>
      </c>
      <c r="F1093" s="4" t="s">
        <v>83</v>
      </c>
      <c r="G1093" s="4"/>
      <c r="H1093" s="4" t="s">
        <v>1585</v>
      </c>
      <c r="I1093" s="4"/>
      <c r="J1093" s="4" t="s">
        <v>149</v>
      </c>
      <c r="K1093" s="4">
        <v>99.0</v>
      </c>
      <c r="L1093" s="4"/>
      <c r="M1093" s="4">
        <v>99.0</v>
      </c>
      <c r="N1093" s="4" t="s">
        <v>67</v>
      </c>
      <c r="O1093" s="4" t="b">
        <v>0</v>
      </c>
      <c r="P1093" s="4" t="s">
        <v>68</v>
      </c>
      <c r="Q1093" s="4" t="s">
        <v>69</v>
      </c>
      <c r="R1093" s="4"/>
      <c r="S1093" s="4"/>
      <c r="T1093" s="4"/>
      <c r="U1093" s="8"/>
      <c r="V1093" s="4"/>
      <c r="W1093" s="4"/>
      <c r="X1093" s="4"/>
      <c r="Y1093" s="4"/>
      <c r="Z1093" s="4"/>
      <c r="AA1093" s="5"/>
      <c r="AB1093" s="5"/>
      <c r="AC1093" s="5"/>
      <c r="AD1093" s="5"/>
      <c r="AE1093" s="5"/>
    </row>
    <row r="1094">
      <c r="A1094" s="14" t="s">
        <v>2108</v>
      </c>
      <c r="B1094" s="19">
        <v>44313.0109375</v>
      </c>
      <c r="C1094" s="4">
        <v>50041.0</v>
      </c>
      <c r="D1094" s="4" t="s">
        <v>2109</v>
      </c>
      <c r="E1094" s="4">
        <v>9.19833928818E11</v>
      </c>
      <c r="F1094" s="4">
        <v>17463.0</v>
      </c>
      <c r="G1094" s="4"/>
      <c r="H1094" s="4" t="s">
        <v>1932</v>
      </c>
      <c r="I1094" s="4"/>
      <c r="J1094" s="4" t="s">
        <v>1437</v>
      </c>
      <c r="K1094" s="4">
        <v>99.0</v>
      </c>
      <c r="L1094" s="4"/>
      <c r="M1094" s="4">
        <v>99.0</v>
      </c>
      <c r="N1094" s="4" t="s">
        <v>67</v>
      </c>
      <c r="O1094" s="4" t="b">
        <v>0</v>
      </c>
      <c r="P1094" s="4" t="s">
        <v>68</v>
      </c>
      <c r="Q1094" s="4" t="s">
        <v>69</v>
      </c>
      <c r="R1094" s="4"/>
      <c r="S1094" s="4"/>
      <c r="T1094" s="4"/>
      <c r="U1094" s="7"/>
      <c r="V1094" s="4"/>
      <c r="W1094" s="4"/>
      <c r="X1094" s="4"/>
      <c r="Y1094" s="4"/>
      <c r="Z1094" s="4"/>
      <c r="AA1094" s="5"/>
      <c r="AB1094" s="5"/>
      <c r="AC1094" s="5"/>
      <c r="AD1094" s="5"/>
      <c r="AE1094" s="5"/>
    </row>
    <row r="1095">
      <c r="A1095" s="14" t="s">
        <v>2112</v>
      </c>
      <c r="B1095" s="19">
        <v>44313.04366898148</v>
      </c>
      <c r="C1095" s="4">
        <v>50048.0</v>
      </c>
      <c r="D1095" s="4" t="s">
        <v>2113</v>
      </c>
      <c r="E1095" s="4">
        <v>9.19029747758E11</v>
      </c>
      <c r="F1095" s="4">
        <v>17434.0</v>
      </c>
      <c r="G1095" s="4"/>
      <c r="H1095" s="4" t="s">
        <v>1436</v>
      </c>
      <c r="I1095" s="4"/>
      <c r="J1095" s="4" t="s">
        <v>1442</v>
      </c>
      <c r="K1095" s="4">
        <v>299.0</v>
      </c>
      <c r="L1095" s="4"/>
      <c r="M1095" s="4">
        <v>299.0</v>
      </c>
      <c r="N1095" s="4" t="s">
        <v>67</v>
      </c>
      <c r="O1095" s="4" t="b">
        <v>0</v>
      </c>
      <c r="P1095" s="4" t="s">
        <v>97</v>
      </c>
      <c r="Q1095" s="4" t="s">
        <v>69</v>
      </c>
      <c r="R1095" s="4"/>
      <c r="S1095" s="4"/>
      <c r="T1095" s="4"/>
      <c r="U1095" s="7"/>
      <c r="V1095" s="4"/>
      <c r="W1095" s="4"/>
      <c r="X1095" s="4"/>
      <c r="Y1095" s="4"/>
      <c r="Z1095" s="4"/>
      <c r="AA1095" s="5"/>
      <c r="AB1095" s="5"/>
      <c r="AC1095" s="5"/>
      <c r="AD1095" s="5"/>
      <c r="AE1095" s="5"/>
    </row>
    <row r="1096">
      <c r="A1096" s="14" t="s">
        <v>2114</v>
      </c>
      <c r="B1096" s="19">
        <v>44313.04751157408</v>
      </c>
      <c r="C1096" s="4">
        <v>50041.0</v>
      </c>
      <c r="D1096" s="4" t="s">
        <v>2115</v>
      </c>
      <c r="E1096" s="4">
        <v>9.17709888411E11</v>
      </c>
      <c r="F1096" s="4">
        <v>17466.0</v>
      </c>
      <c r="G1096" s="4"/>
      <c r="H1096" s="4" t="s">
        <v>1932</v>
      </c>
      <c r="I1096" s="4"/>
      <c r="J1096" s="4" t="s">
        <v>1437</v>
      </c>
      <c r="K1096" s="4">
        <v>99.0</v>
      </c>
      <c r="L1096" s="4"/>
      <c r="M1096" s="4">
        <v>99.0</v>
      </c>
      <c r="N1096" s="4" t="s">
        <v>67</v>
      </c>
      <c r="O1096" s="4" t="b">
        <v>0</v>
      </c>
      <c r="P1096" s="4" t="s">
        <v>68</v>
      </c>
      <c r="Q1096" s="4" t="s">
        <v>69</v>
      </c>
      <c r="R1096" s="4"/>
      <c r="S1096" s="4"/>
      <c r="T1096" s="4"/>
      <c r="U1096" s="7"/>
      <c r="V1096" s="4"/>
      <c r="W1096" s="4"/>
      <c r="X1096" s="4"/>
      <c r="Y1096" s="4"/>
      <c r="Z1096" s="4"/>
      <c r="AA1096" s="5"/>
      <c r="AB1096" s="5"/>
      <c r="AC1096" s="5"/>
      <c r="AD1096" s="5"/>
      <c r="AE1096" s="5"/>
    </row>
    <row r="1097">
      <c r="A1097" s="14" t="s">
        <v>2084</v>
      </c>
      <c r="B1097" s="19">
        <v>44312.012824074074</v>
      </c>
      <c r="C1097" s="4">
        <v>49995.0</v>
      </c>
      <c r="D1097" s="4" t="s">
        <v>2085</v>
      </c>
      <c r="E1097" s="4">
        <v>9.19810544661E11</v>
      </c>
      <c r="F1097" s="4">
        <v>17325.0</v>
      </c>
      <c r="G1097" s="4"/>
      <c r="H1097" s="4" t="s">
        <v>2005</v>
      </c>
      <c r="I1097" s="4"/>
      <c r="J1097" s="4" t="s">
        <v>149</v>
      </c>
      <c r="K1097" s="4">
        <v>99.0</v>
      </c>
      <c r="L1097" s="4"/>
      <c r="M1097" s="4">
        <v>99.0</v>
      </c>
      <c r="N1097" s="4" t="s">
        <v>67</v>
      </c>
      <c r="O1097" s="4" t="b">
        <v>0</v>
      </c>
      <c r="P1097" s="4" t="s">
        <v>68</v>
      </c>
      <c r="Q1097" s="4" t="s">
        <v>69</v>
      </c>
      <c r="R1097" s="4"/>
      <c r="S1097" s="4"/>
      <c r="T1097" s="4"/>
      <c r="U1097" s="7"/>
      <c r="V1097" s="4"/>
      <c r="W1097" s="4"/>
      <c r="X1097" s="4"/>
      <c r="Y1097" s="4"/>
      <c r="Z1097" s="4"/>
      <c r="AA1097" s="5"/>
      <c r="AB1097" s="5"/>
      <c r="AC1097" s="5"/>
      <c r="AD1097" s="5"/>
      <c r="AE1097" s="5"/>
    </row>
    <row r="1098">
      <c r="A1098" s="14" t="s">
        <v>1465</v>
      </c>
      <c r="B1098" s="19">
        <v>44312.068460648145</v>
      </c>
      <c r="C1098" s="4">
        <v>50031.0</v>
      </c>
      <c r="D1098" s="4" t="s">
        <v>1466</v>
      </c>
      <c r="E1098" s="4">
        <v>9.19717911157E11</v>
      </c>
      <c r="F1098" s="4">
        <v>17332.0</v>
      </c>
      <c r="G1098" s="4"/>
      <c r="H1098" s="4" t="s">
        <v>1447</v>
      </c>
      <c r="I1098" s="4"/>
      <c r="J1098" s="4" t="s">
        <v>1437</v>
      </c>
      <c r="K1098" s="4">
        <v>99.0</v>
      </c>
      <c r="L1098" s="4"/>
      <c r="M1098" s="4">
        <v>99.0</v>
      </c>
      <c r="N1098" s="4" t="s">
        <v>67</v>
      </c>
      <c r="O1098" s="4" t="b">
        <v>0</v>
      </c>
      <c r="P1098" s="4" t="s">
        <v>97</v>
      </c>
      <c r="Q1098" s="4" t="s">
        <v>69</v>
      </c>
      <c r="R1098" s="4"/>
      <c r="S1098" s="4"/>
      <c r="T1098" s="4"/>
      <c r="U1098" s="8"/>
      <c r="V1098" s="4"/>
      <c r="W1098" s="4"/>
      <c r="X1098" s="4"/>
      <c r="Y1098" s="4"/>
      <c r="Z1098" s="4"/>
      <c r="AA1098" s="5"/>
      <c r="AB1098" s="5"/>
      <c r="AC1098" s="5"/>
      <c r="AD1098" s="5"/>
      <c r="AE1098" s="5"/>
    </row>
    <row r="1099">
      <c r="A1099" s="14" t="s">
        <v>2284</v>
      </c>
      <c r="B1099" s="19">
        <v>44313.30506944445</v>
      </c>
      <c r="C1099" s="4">
        <v>49854.0</v>
      </c>
      <c r="D1099" s="4" t="s">
        <v>2285</v>
      </c>
      <c r="E1099" s="4">
        <v>9.19855521703E11</v>
      </c>
      <c r="F1099" s="4">
        <v>17737.0</v>
      </c>
      <c r="G1099" s="4"/>
      <c r="H1099" s="4" t="s">
        <v>2161</v>
      </c>
      <c r="I1099" s="4"/>
      <c r="J1099" s="4" t="s">
        <v>85</v>
      </c>
      <c r="K1099" s="4">
        <v>599.0</v>
      </c>
      <c r="L1099" s="4"/>
      <c r="M1099" s="4">
        <v>599.0</v>
      </c>
      <c r="N1099" s="4" t="s">
        <v>67</v>
      </c>
      <c r="O1099" s="4" t="b">
        <v>0</v>
      </c>
      <c r="P1099" s="4" t="s">
        <v>97</v>
      </c>
      <c r="Q1099" s="4" t="s">
        <v>69</v>
      </c>
      <c r="R1099" s="4"/>
      <c r="S1099" s="4"/>
      <c r="T1099" s="4"/>
      <c r="U1099" s="7"/>
      <c r="V1099" s="4"/>
      <c r="W1099" s="4"/>
      <c r="X1099" s="4"/>
      <c r="Y1099" s="4"/>
      <c r="Z1099" s="4"/>
      <c r="AA1099" s="5"/>
      <c r="AB1099" s="5"/>
      <c r="AC1099" s="5"/>
      <c r="AD1099" s="5"/>
      <c r="AE1099" s="5"/>
    </row>
    <row r="1100">
      <c r="A1100" s="14" t="s">
        <v>2316</v>
      </c>
      <c r="B1100" s="19">
        <v>44313.30789351852</v>
      </c>
      <c r="C1100" s="4">
        <v>49854.0</v>
      </c>
      <c r="D1100" s="4" t="s">
        <v>2317</v>
      </c>
      <c r="E1100" s="4">
        <v>9.19791147047E11</v>
      </c>
      <c r="F1100" s="4">
        <v>17789.0</v>
      </c>
      <c r="G1100" s="4"/>
      <c r="H1100" s="4" t="s">
        <v>2161</v>
      </c>
      <c r="I1100" s="4"/>
      <c r="J1100" s="4" t="s">
        <v>85</v>
      </c>
      <c r="K1100" s="4">
        <v>599.0</v>
      </c>
      <c r="L1100" s="4"/>
      <c r="M1100" s="4">
        <v>599.0</v>
      </c>
      <c r="N1100" s="4" t="s">
        <v>67</v>
      </c>
      <c r="O1100" s="4" t="b">
        <v>0</v>
      </c>
      <c r="P1100" s="4" t="s">
        <v>68</v>
      </c>
      <c r="Q1100" s="4" t="s">
        <v>69</v>
      </c>
      <c r="R1100" s="4"/>
      <c r="S1100" s="4"/>
      <c r="T1100" s="4"/>
      <c r="U1100" s="7"/>
      <c r="V1100" s="4"/>
      <c r="W1100" s="4"/>
      <c r="X1100" s="4"/>
      <c r="Y1100" s="4"/>
      <c r="Z1100" s="4"/>
      <c r="AA1100" s="5"/>
      <c r="AB1100" s="5"/>
      <c r="AC1100" s="5"/>
      <c r="AD1100" s="5"/>
      <c r="AE1100" s="5"/>
    </row>
    <row r="1101">
      <c r="A1101" s="14" t="s">
        <v>2090</v>
      </c>
      <c r="B1101" s="19">
        <v>44312.258738425924</v>
      </c>
      <c r="C1101" s="4">
        <v>49995.0</v>
      </c>
      <c r="D1101" s="4" t="s">
        <v>2091</v>
      </c>
      <c r="E1101" s="4">
        <v>9.19677394463E11</v>
      </c>
      <c r="F1101" s="4">
        <v>17292.0</v>
      </c>
      <c r="G1101" s="4"/>
      <c r="H1101" s="4" t="s">
        <v>2005</v>
      </c>
      <c r="I1101" s="4"/>
      <c r="J1101" s="4" t="s">
        <v>149</v>
      </c>
      <c r="K1101" s="4">
        <v>99.0</v>
      </c>
      <c r="L1101" s="4"/>
      <c r="M1101" s="4">
        <v>99.0</v>
      </c>
      <c r="N1101" s="4" t="s">
        <v>67</v>
      </c>
      <c r="O1101" s="4" t="b">
        <v>0</v>
      </c>
      <c r="P1101" s="4" t="s">
        <v>151</v>
      </c>
      <c r="Q1101" s="4" t="s">
        <v>69</v>
      </c>
      <c r="R1101" s="4"/>
      <c r="S1101" s="4"/>
      <c r="T1101" s="4"/>
      <c r="U1101" s="7"/>
      <c r="V1101" s="4"/>
      <c r="W1101" s="4"/>
      <c r="X1101" s="4"/>
      <c r="Y1101" s="4"/>
      <c r="Z1101" s="4"/>
      <c r="AA1101" s="5"/>
      <c r="AB1101" s="5"/>
      <c r="AC1101" s="5"/>
      <c r="AD1101" s="5"/>
      <c r="AE1101" s="5"/>
    </row>
    <row r="1102">
      <c r="A1102" s="14" t="s">
        <v>2342</v>
      </c>
      <c r="B1102" s="19">
        <v>44313.33851851852</v>
      </c>
      <c r="C1102" s="4">
        <v>49854.0</v>
      </c>
      <c r="D1102" s="4" t="s">
        <v>2343</v>
      </c>
      <c r="E1102" s="4">
        <v>9.18076913071E11</v>
      </c>
      <c r="F1102" s="4" t="s">
        <v>83</v>
      </c>
      <c r="G1102" s="4"/>
      <c r="H1102" s="4" t="s">
        <v>2161</v>
      </c>
      <c r="I1102" s="4"/>
      <c r="J1102" s="4" t="s">
        <v>85</v>
      </c>
      <c r="K1102" s="4">
        <v>599.0</v>
      </c>
      <c r="L1102" s="4"/>
      <c r="M1102" s="4">
        <v>599.0</v>
      </c>
      <c r="N1102" s="4" t="s">
        <v>67</v>
      </c>
      <c r="O1102" s="4" t="b">
        <v>0</v>
      </c>
      <c r="P1102" s="4" t="s">
        <v>74</v>
      </c>
      <c r="Q1102" s="4" t="s">
        <v>69</v>
      </c>
      <c r="R1102" s="4"/>
      <c r="S1102" s="4"/>
      <c r="T1102" s="4"/>
      <c r="U1102" s="7"/>
      <c r="V1102" s="4"/>
      <c r="W1102" s="4"/>
      <c r="X1102" s="4"/>
      <c r="Y1102" s="4"/>
      <c r="Z1102" s="4"/>
      <c r="AA1102" s="5"/>
      <c r="AB1102" s="5"/>
      <c r="AC1102" s="5"/>
      <c r="AD1102" s="5"/>
      <c r="AE1102" s="5"/>
    </row>
    <row r="1103">
      <c r="A1103" s="14" t="s">
        <v>2009</v>
      </c>
      <c r="B1103" s="19">
        <v>44312.26466435185</v>
      </c>
      <c r="C1103" s="4">
        <v>50009.0</v>
      </c>
      <c r="D1103" s="4" t="s">
        <v>2010</v>
      </c>
      <c r="E1103" s="4">
        <v>9.19902355538E11</v>
      </c>
      <c r="F1103" s="4" t="s">
        <v>83</v>
      </c>
      <c r="G1103" s="4"/>
      <c r="H1103" s="4" t="s">
        <v>1476</v>
      </c>
      <c r="I1103" s="4"/>
      <c r="J1103" s="4" t="s">
        <v>149</v>
      </c>
      <c r="K1103" s="4">
        <v>99.0</v>
      </c>
      <c r="L1103" s="4"/>
      <c r="M1103" s="4">
        <v>99.0</v>
      </c>
      <c r="N1103" s="4" t="s">
        <v>67</v>
      </c>
      <c r="O1103" s="4" t="b">
        <v>0</v>
      </c>
      <c r="P1103" s="4" t="s">
        <v>151</v>
      </c>
      <c r="Q1103" s="4" t="s">
        <v>69</v>
      </c>
      <c r="R1103" s="4"/>
      <c r="S1103" s="4"/>
      <c r="T1103" s="4"/>
      <c r="U1103" s="7"/>
      <c r="V1103" s="4"/>
      <c r="W1103" s="4"/>
      <c r="X1103" s="4"/>
      <c r="Y1103" s="4"/>
      <c r="Z1103" s="4"/>
      <c r="AA1103" s="5"/>
      <c r="AB1103" s="5"/>
      <c r="AC1103" s="5"/>
      <c r="AD1103" s="5"/>
      <c r="AE1103" s="5"/>
    </row>
    <row r="1104">
      <c r="A1104" s="14" t="s">
        <v>2011</v>
      </c>
      <c r="B1104" s="19">
        <v>44312.26625</v>
      </c>
      <c r="C1104" s="4">
        <v>50032.0</v>
      </c>
      <c r="D1104" s="4" t="s">
        <v>2012</v>
      </c>
      <c r="E1104" s="4">
        <v>9.18130808632E11</v>
      </c>
      <c r="F1104" s="4">
        <v>17291.0</v>
      </c>
      <c r="G1104" s="4"/>
      <c r="H1104" s="4" t="s">
        <v>1982</v>
      </c>
      <c r="I1104" s="4"/>
      <c r="J1104" s="4" t="s">
        <v>149</v>
      </c>
      <c r="K1104" s="4">
        <v>99.0</v>
      </c>
      <c r="L1104" s="4"/>
      <c r="M1104" s="4">
        <v>99.0</v>
      </c>
      <c r="N1104" s="4" t="s">
        <v>67</v>
      </c>
      <c r="O1104" s="4" t="b">
        <v>0</v>
      </c>
      <c r="P1104" s="4" t="s">
        <v>97</v>
      </c>
      <c r="Q1104" s="4" t="s">
        <v>69</v>
      </c>
      <c r="R1104" s="4"/>
      <c r="S1104" s="4"/>
      <c r="T1104" s="4"/>
      <c r="U1104" s="7"/>
      <c r="V1104" s="4"/>
      <c r="W1104" s="4"/>
      <c r="X1104" s="4"/>
      <c r="Y1104" s="4"/>
      <c r="Z1104" s="4"/>
      <c r="AA1104" s="5"/>
      <c r="AB1104" s="5"/>
      <c r="AC1104" s="5"/>
      <c r="AD1104" s="5"/>
      <c r="AE1104" s="5"/>
    </row>
    <row r="1105">
      <c r="A1105" s="14" t="s">
        <v>2124</v>
      </c>
      <c r="B1105" s="19">
        <v>44313.34898148148</v>
      </c>
      <c r="C1105" s="4">
        <v>50032.0</v>
      </c>
      <c r="D1105" s="4" t="s">
        <v>2125</v>
      </c>
      <c r="E1105" s="4">
        <v>9.19819650596E11</v>
      </c>
      <c r="F1105" s="4">
        <v>17334.0</v>
      </c>
      <c r="G1105" s="4"/>
      <c r="H1105" s="4" t="s">
        <v>1982</v>
      </c>
      <c r="I1105" s="4"/>
      <c r="J1105" s="4" t="s">
        <v>149</v>
      </c>
      <c r="K1105" s="4">
        <v>99.0</v>
      </c>
      <c r="L1105" s="4"/>
      <c r="M1105" s="4">
        <v>99.0</v>
      </c>
      <c r="N1105" s="4" t="s">
        <v>67</v>
      </c>
      <c r="O1105" s="4" t="b">
        <v>0</v>
      </c>
      <c r="P1105" s="4" t="s">
        <v>151</v>
      </c>
      <c r="Q1105" s="4" t="s">
        <v>69</v>
      </c>
      <c r="R1105" s="4"/>
      <c r="S1105" s="4"/>
      <c r="T1105" s="4"/>
      <c r="U1105" s="7"/>
      <c r="V1105" s="4"/>
      <c r="W1105" s="4"/>
      <c r="X1105" s="4"/>
      <c r="Y1105" s="4"/>
      <c r="Z1105" s="4"/>
      <c r="AA1105" s="5"/>
      <c r="AB1105" s="5"/>
      <c r="AC1105" s="5"/>
      <c r="AD1105" s="5"/>
      <c r="AE1105" s="5"/>
    </row>
    <row r="1106">
      <c r="A1106" s="14" t="s">
        <v>2336</v>
      </c>
      <c r="B1106" s="19">
        <v>44313.333865740744</v>
      </c>
      <c r="C1106" s="4">
        <v>49854.0</v>
      </c>
      <c r="D1106" s="4" t="s">
        <v>2337</v>
      </c>
      <c r="E1106" s="4">
        <v>9.1981171518E11</v>
      </c>
      <c r="F1106" s="4">
        <v>17333.0</v>
      </c>
      <c r="G1106" s="4"/>
      <c r="H1106" s="4" t="s">
        <v>2161</v>
      </c>
      <c r="I1106" s="4"/>
      <c r="J1106" s="4" t="s">
        <v>85</v>
      </c>
      <c r="K1106" s="4">
        <v>599.0</v>
      </c>
      <c r="L1106" s="4"/>
      <c r="M1106" s="4">
        <v>599.0</v>
      </c>
      <c r="N1106" s="4" t="s">
        <v>67</v>
      </c>
      <c r="O1106" s="4" t="b">
        <v>0</v>
      </c>
      <c r="P1106" s="4" t="s">
        <v>68</v>
      </c>
      <c r="Q1106" s="4" t="s">
        <v>69</v>
      </c>
      <c r="R1106" s="4"/>
      <c r="S1106" s="4"/>
      <c r="T1106" s="4"/>
      <c r="U1106" s="7"/>
      <c r="V1106" s="4"/>
      <c r="W1106" s="4"/>
      <c r="X1106" s="4"/>
      <c r="Y1106" s="4"/>
      <c r="Z1106" s="4"/>
      <c r="AA1106" s="5"/>
      <c r="AB1106" s="5"/>
      <c r="AC1106" s="5"/>
      <c r="AD1106" s="5"/>
      <c r="AE1106" s="5"/>
    </row>
    <row r="1107">
      <c r="A1107" s="14" t="s">
        <v>667</v>
      </c>
      <c r="B1107" s="19">
        <v>44313.35172453704</v>
      </c>
      <c r="C1107" s="4">
        <v>49907.0</v>
      </c>
      <c r="D1107" s="4" t="s">
        <v>668</v>
      </c>
      <c r="E1107" s="4">
        <v>9.19948497939E11</v>
      </c>
      <c r="F1107" s="4">
        <v>17335.0</v>
      </c>
      <c r="G1107" s="4"/>
      <c r="H1107" s="4" t="s">
        <v>587</v>
      </c>
      <c r="I1107" s="4"/>
      <c r="J1107" s="4" t="s">
        <v>149</v>
      </c>
      <c r="K1107" s="4">
        <v>99.0</v>
      </c>
      <c r="L1107" s="4"/>
      <c r="M1107" s="4">
        <v>99.0</v>
      </c>
      <c r="N1107" s="4" t="s">
        <v>67</v>
      </c>
      <c r="O1107" s="4" t="b">
        <v>0</v>
      </c>
      <c r="P1107" s="4" t="s">
        <v>74</v>
      </c>
      <c r="Q1107" s="4" t="s">
        <v>69</v>
      </c>
      <c r="R1107" s="4"/>
      <c r="S1107" s="4"/>
      <c r="T1107" s="4"/>
      <c r="U1107" s="7"/>
      <c r="V1107" s="4"/>
      <c r="W1107" s="4"/>
      <c r="X1107" s="4"/>
      <c r="Y1107" s="4"/>
      <c r="Z1107" s="4"/>
      <c r="AA1107" s="5"/>
      <c r="AB1107" s="5"/>
      <c r="AC1107" s="5"/>
      <c r="AD1107" s="5"/>
      <c r="AE1107" s="5"/>
    </row>
    <row r="1108">
      <c r="A1108" s="14" t="s">
        <v>2013</v>
      </c>
      <c r="B1108" s="19">
        <v>44312.27638888889</v>
      </c>
      <c r="C1108" s="4">
        <v>50009.0</v>
      </c>
      <c r="D1108" s="4" t="s">
        <v>2014</v>
      </c>
      <c r="E1108" s="4">
        <v>9.19821642826E11</v>
      </c>
      <c r="F1108" s="4">
        <v>17293.0</v>
      </c>
      <c r="G1108" s="4"/>
      <c r="H1108" s="4" t="s">
        <v>1539</v>
      </c>
      <c r="I1108" s="4"/>
      <c r="J1108" s="4" t="s">
        <v>85</v>
      </c>
      <c r="K1108" s="4">
        <v>199.0</v>
      </c>
      <c r="L1108" s="4"/>
      <c r="M1108" s="4">
        <v>199.0</v>
      </c>
      <c r="N1108" s="4" t="s">
        <v>67</v>
      </c>
      <c r="O1108" s="4" t="b">
        <v>0</v>
      </c>
      <c r="P1108" s="4" t="s">
        <v>97</v>
      </c>
      <c r="Q1108" s="4" t="s">
        <v>69</v>
      </c>
      <c r="R1108" s="4"/>
      <c r="S1108" s="4"/>
      <c r="T1108" s="4"/>
      <c r="U1108" s="7"/>
      <c r="V1108" s="4"/>
      <c r="W1108" s="4"/>
      <c r="X1108" s="4"/>
      <c r="Y1108" s="4"/>
      <c r="Z1108" s="4"/>
      <c r="AA1108" s="5"/>
      <c r="AB1108" s="5"/>
      <c r="AC1108" s="5"/>
      <c r="AD1108" s="5"/>
      <c r="AE1108" s="5"/>
    </row>
    <row r="1109">
      <c r="A1109" s="14" t="s">
        <v>2128</v>
      </c>
      <c r="B1109" s="19">
        <v>44313.357986111114</v>
      </c>
      <c r="C1109" s="4">
        <v>49948.0</v>
      </c>
      <c r="D1109" s="4" t="s">
        <v>2129</v>
      </c>
      <c r="E1109" s="4">
        <v>9.19909216758E11</v>
      </c>
      <c r="F1109" s="4">
        <v>17336.0</v>
      </c>
      <c r="G1109" s="4"/>
      <c r="H1109" s="4" t="s">
        <v>791</v>
      </c>
      <c r="I1109" s="4"/>
      <c r="J1109" s="4" t="s">
        <v>149</v>
      </c>
      <c r="K1109" s="4">
        <v>99.0</v>
      </c>
      <c r="L1109" s="4"/>
      <c r="M1109" s="4">
        <v>99.0</v>
      </c>
      <c r="N1109" s="4" t="s">
        <v>67</v>
      </c>
      <c r="O1109" s="4" t="b">
        <v>0</v>
      </c>
      <c r="P1109" s="4" t="s">
        <v>68</v>
      </c>
      <c r="Q1109" s="4" t="s">
        <v>69</v>
      </c>
      <c r="R1109" s="4"/>
      <c r="S1109" s="4"/>
      <c r="T1109" s="4"/>
      <c r="U1109" s="7"/>
      <c r="V1109" s="4"/>
      <c r="W1109" s="4"/>
      <c r="X1109" s="4"/>
      <c r="Y1109" s="4"/>
      <c r="Z1109" s="4"/>
      <c r="AA1109" s="5"/>
      <c r="AB1109" s="5"/>
      <c r="AC1109" s="5"/>
      <c r="AD1109" s="5"/>
      <c r="AE1109" s="5"/>
    </row>
    <row r="1110">
      <c r="A1110" s="14" t="s">
        <v>2015</v>
      </c>
      <c r="B1110" s="19">
        <v>44312.32067129629</v>
      </c>
      <c r="C1110" s="4">
        <v>49833.0</v>
      </c>
      <c r="D1110" s="4" t="s">
        <v>2016</v>
      </c>
      <c r="E1110" s="4">
        <v>9.1720099855E11</v>
      </c>
      <c r="F1110" s="4" t="s">
        <v>83</v>
      </c>
      <c r="G1110" s="4"/>
      <c r="H1110" s="4" t="s">
        <v>184</v>
      </c>
      <c r="I1110" s="4"/>
      <c r="J1110" s="4" t="s">
        <v>149</v>
      </c>
      <c r="K1110" s="4">
        <v>199.0</v>
      </c>
      <c r="L1110" s="4"/>
      <c r="M1110" s="4">
        <v>199.0</v>
      </c>
      <c r="N1110" s="4" t="s">
        <v>67</v>
      </c>
      <c r="O1110" s="4" t="b">
        <v>0</v>
      </c>
      <c r="P1110" s="4" t="s">
        <v>68</v>
      </c>
      <c r="Q1110" s="4" t="s">
        <v>69</v>
      </c>
      <c r="R1110" s="4"/>
      <c r="S1110" s="4"/>
      <c r="T1110" s="4"/>
      <c r="U1110" s="7"/>
      <c r="V1110" s="4"/>
      <c r="W1110" s="4"/>
      <c r="X1110" s="4"/>
      <c r="Y1110" s="4"/>
      <c r="Z1110" s="4"/>
      <c r="AA1110" s="5"/>
      <c r="AB1110" s="5"/>
      <c r="AC1110" s="5"/>
      <c r="AD1110" s="5"/>
      <c r="AE1110" s="5"/>
    </row>
    <row r="1111">
      <c r="A1111" s="14" t="s">
        <v>1553</v>
      </c>
      <c r="B1111" s="19">
        <v>44312.32915509259</v>
      </c>
      <c r="C1111" s="4">
        <v>49859.0</v>
      </c>
      <c r="D1111" s="4" t="s">
        <v>1554</v>
      </c>
      <c r="E1111" s="4">
        <v>9.18486842111E11</v>
      </c>
      <c r="F1111" s="4">
        <v>17320.0</v>
      </c>
      <c r="G1111" s="4"/>
      <c r="H1111" s="4" t="s">
        <v>1507</v>
      </c>
      <c r="I1111" s="4"/>
      <c r="J1111" s="4" t="s">
        <v>149</v>
      </c>
      <c r="K1111" s="4">
        <v>99.0</v>
      </c>
      <c r="L1111" s="4"/>
      <c r="M1111" s="4">
        <v>99.0</v>
      </c>
      <c r="N1111" s="4" t="s">
        <v>67</v>
      </c>
      <c r="O1111" s="4" t="b">
        <v>0</v>
      </c>
      <c r="P1111" s="4" t="s">
        <v>68</v>
      </c>
      <c r="Q1111" s="4" t="s">
        <v>69</v>
      </c>
      <c r="R1111" s="4"/>
      <c r="S1111" s="4"/>
      <c r="T1111" s="4"/>
      <c r="U1111" s="7"/>
      <c r="V1111" s="4"/>
      <c r="W1111" s="4"/>
      <c r="X1111" s="4"/>
      <c r="Y1111" s="4"/>
      <c r="Z1111" s="4"/>
      <c r="AA1111" s="5"/>
      <c r="AB1111" s="5"/>
      <c r="AC1111" s="5"/>
      <c r="AD1111" s="5"/>
      <c r="AE1111" s="5"/>
    </row>
    <row r="1112">
      <c r="A1112" s="14" t="s">
        <v>2130</v>
      </c>
      <c r="B1112" s="19">
        <v>44313.37248842593</v>
      </c>
      <c r="C1112" s="4">
        <v>49994.0</v>
      </c>
      <c r="D1112" s="4" t="s">
        <v>2131</v>
      </c>
      <c r="E1112" s="4">
        <v>9.19873551453E11</v>
      </c>
      <c r="F1112" s="4">
        <v>17338.0</v>
      </c>
      <c r="G1112" s="4"/>
      <c r="H1112" s="4" t="s">
        <v>1264</v>
      </c>
      <c r="I1112" s="4"/>
      <c r="J1112" s="4" t="s">
        <v>149</v>
      </c>
      <c r="K1112" s="4">
        <v>99.0</v>
      </c>
      <c r="L1112" s="4"/>
      <c r="M1112" s="4">
        <v>99.0</v>
      </c>
      <c r="N1112" s="4" t="s">
        <v>67</v>
      </c>
      <c r="O1112" s="4" t="b">
        <v>0</v>
      </c>
      <c r="P1112" s="4" t="s">
        <v>74</v>
      </c>
      <c r="Q1112" s="4" t="s">
        <v>69</v>
      </c>
      <c r="R1112" s="4"/>
      <c r="S1112" s="4"/>
      <c r="T1112" s="4"/>
      <c r="U1112" s="7"/>
      <c r="V1112" s="4"/>
      <c r="W1112" s="4"/>
      <c r="X1112" s="4"/>
      <c r="Y1112" s="4"/>
      <c r="Z1112" s="4"/>
      <c r="AA1112" s="5"/>
      <c r="AB1112" s="5"/>
      <c r="AC1112" s="5"/>
      <c r="AD1112" s="5"/>
      <c r="AE1112" s="5"/>
    </row>
    <row r="1113">
      <c r="A1113" s="14" t="s">
        <v>2132</v>
      </c>
      <c r="B1113" s="19">
        <v>44313.37744212963</v>
      </c>
      <c r="C1113" s="4">
        <v>50030.0</v>
      </c>
      <c r="D1113" s="4" t="s">
        <v>2133</v>
      </c>
      <c r="E1113" s="4">
        <v>9.18551966699E11</v>
      </c>
      <c r="F1113" s="4" t="s">
        <v>83</v>
      </c>
      <c r="G1113" s="4"/>
      <c r="H1113" s="4" t="s">
        <v>1979</v>
      </c>
      <c r="I1113" s="4"/>
      <c r="J1113" s="4" t="s">
        <v>1437</v>
      </c>
      <c r="K1113" s="4">
        <v>99.0</v>
      </c>
      <c r="L1113" s="4"/>
      <c r="M1113" s="4">
        <v>99.0</v>
      </c>
      <c r="N1113" s="4" t="s">
        <v>67</v>
      </c>
      <c r="O1113" s="4" t="b">
        <v>0</v>
      </c>
      <c r="P1113" s="4" t="s">
        <v>68</v>
      </c>
      <c r="Q1113" s="4" t="s">
        <v>69</v>
      </c>
      <c r="R1113" s="4"/>
      <c r="S1113" s="4"/>
      <c r="T1113" s="4"/>
      <c r="U1113" s="7"/>
      <c r="V1113" s="4"/>
      <c r="W1113" s="4"/>
      <c r="X1113" s="4"/>
      <c r="Y1113" s="4"/>
      <c r="Z1113" s="4"/>
      <c r="AA1113" s="5"/>
      <c r="AB1113" s="5"/>
      <c r="AC1113" s="5"/>
      <c r="AD1113" s="5"/>
      <c r="AE1113" s="5"/>
    </row>
    <row r="1114">
      <c r="A1114" s="14" t="s">
        <v>1439</v>
      </c>
      <c r="B1114" s="19">
        <v>44313.39655092593</v>
      </c>
      <c r="C1114" s="4">
        <v>49835.0</v>
      </c>
      <c r="D1114" s="4" t="s">
        <v>1440</v>
      </c>
      <c r="E1114" s="4">
        <v>9.18866669652E11</v>
      </c>
      <c r="F1114" s="4">
        <v>3912.0</v>
      </c>
      <c r="G1114" s="4"/>
      <c r="H1114" s="4" t="s">
        <v>680</v>
      </c>
      <c r="I1114" s="4"/>
      <c r="J1114" s="4" t="s">
        <v>85</v>
      </c>
      <c r="K1114" s="4">
        <v>99.0</v>
      </c>
      <c r="L1114" s="4"/>
      <c r="M1114" s="4">
        <v>99.0</v>
      </c>
      <c r="N1114" s="4" t="s">
        <v>67</v>
      </c>
      <c r="O1114" s="4" t="b">
        <v>0</v>
      </c>
      <c r="P1114" s="4" t="s">
        <v>74</v>
      </c>
      <c r="Q1114" s="4" t="s">
        <v>69</v>
      </c>
      <c r="R1114" s="4"/>
      <c r="S1114" s="4"/>
      <c r="T1114" s="4"/>
      <c r="U1114" s="8"/>
      <c r="V1114" s="4"/>
      <c r="W1114" s="4"/>
      <c r="X1114" s="4"/>
      <c r="Y1114" s="4"/>
      <c r="Z1114" s="4"/>
      <c r="AA1114" s="5"/>
      <c r="AB1114" s="5"/>
      <c r="AC1114" s="5"/>
      <c r="AD1114" s="5"/>
      <c r="AE1114" s="5"/>
    </row>
    <row r="1115">
      <c r="A1115" s="14" t="s">
        <v>2344</v>
      </c>
      <c r="B1115" s="19">
        <v>44313.39934027778</v>
      </c>
      <c r="C1115" s="4">
        <v>49854.0</v>
      </c>
      <c r="D1115" s="4" t="s">
        <v>2345</v>
      </c>
      <c r="E1115" s="4">
        <v>9.18872252869E11</v>
      </c>
      <c r="F1115" s="4">
        <v>17786.0</v>
      </c>
      <c r="G1115" s="4"/>
      <c r="H1115" s="4" t="s">
        <v>2161</v>
      </c>
      <c r="I1115" s="4"/>
      <c r="J1115" s="4" t="s">
        <v>85</v>
      </c>
      <c r="K1115" s="4">
        <v>599.0</v>
      </c>
      <c r="L1115" s="4"/>
      <c r="M1115" s="4">
        <v>599.0</v>
      </c>
      <c r="N1115" s="4" t="s">
        <v>67</v>
      </c>
      <c r="O1115" s="4" t="b">
        <v>0</v>
      </c>
      <c r="P1115" s="4" t="s">
        <v>68</v>
      </c>
      <c r="Q1115" s="4" t="s">
        <v>69</v>
      </c>
      <c r="R1115" s="4"/>
      <c r="S1115" s="4"/>
      <c r="T1115" s="4"/>
      <c r="U1115" s="7"/>
      <c r="V1115" s="4"/>
      <c r="W1115" s="4"/>
      <c r="X1115" s="4"/>
      <c r="Y1115" s="4"/>
      <c r="Z1115" s="4"/>
      <c r="AA1115" s="5"/>
      <c r="AB1115" s="5"/>
      <c r="AC1115" s="5"/>
      <c r="AD1115" s="5"/>
      <c r="AE1115" s="5"/>
    </row>
    <row r="1116">
      <c r="A1116" s="14" t="s">
        <v>2139</v>
      </c>
      <c r="B1116" s="19">
        <v>44313.39939814815</v>
      </c>
      <c r="C1116" s="4">
        <v>49993.0</v>
      </c>
      <c r="D1116" s="4" t="s">
        <v>2140</v>
      </c>
      <c r="E1116" s="4">
        <v>9.19370277424E11</v>
      </c>
      <c r="F1116" s="4">
        <v>17380.0</v>
      </c>
      <c r="G1116" s="4"/>
      <c r="H1116" s="4" t="s">
        <v>1104</v>
      </c>
      <c r="I1116" s="4"/>
      <c r="J1116" s="4" t="s">
        <v>149</v>
      </c>
      <c r="K1116" s="4">
        <v>199.0</v>
      </c>
      <c r="L1116" s="4"/>
      <c r="M1116" s="4">
        <v>199.0</v>
      </c>
      <c r="N1116" s="4" t="s">
        <v>67</v>
      </c>
      <c r="O1116" s="4" t="b">
        <v>0</v>
      </c>
      <c r="P1116" s="4" t="s">
        <v>68</v>
      </c>
      <c r="Q1116" s="4" t="s">
        <v>69</v>
      </c>
      <c r="R1116" s="4"/>
      <c r="S1116" s="4"/>
      <c r="T1116" s="4"/>
      <c r="U1116" s="7"/>
      <c r="V1116" s="4"/>
      <c r="W1116" s="4"/>
      <c r="X1116" s="4"/>
      <c r="Y1116" s="4"/>
      <c r="Z1116" s="4"/>
      <c r="AA1116" s="5"/>
      <c r="AB1116" s="5"/>
      <c r="AC1116" s="5"/>
      <c r="AD1116" s="5"/>
      <c r="AE1116" s="5"/>
    </row>
    <row r="1117">
      <c r="A1117" s="14" t="s">
        <v>2141</v>
      </c>
      <c r="B1117" s="19">
        <v>44313.40163194444</v>
      </c>
      <c r="C1117" s="4">
        <v>50033.0</v>
      </c>
      <c r="D1117" s="4" t="s">
        <v>2142</v>
      </c>
      <c r="E1117" s="4">
        <v>9.19975535772E11</v>
      </c>
      <c r="F1117" s="4">
        <v>17340.0</v>
      </c>
      <c r="G1117" s="4"/>
      <c r="H1117" s="4" t="s">
        <v>1727</v>
      </c>
      <c r="I1117" s="4"/>
      <c r="J1117" s="4" t="s">
        <v>1442</v>
      </c>
      <c r="K1117" s="4">
        <v>199.0</v>
      </c>
      <c r="L1117" s="4"/>
      <c r="M1117" s="4">
        <v>199.0</v>
      </c>
      <c r="N1117" s="4" t="s">
        <v>67</v>
      </c>
      <c r="O1117" s="4" t="b">
        <v>0</v>
      </c>
      <c r="P1117" s="4" t="s">
        <v>68</v>
      </c>
      <c r="Q1117" s="4" t="s">
        <v>69</v>
      </c>
      <c r="R1117" s="4"/>
      <c r="S1117" s="4"/>
      <c r="T1117" s="4"/>
      <c r="U1117" s="7"/>
      <c r="V1117" s="4"/>
      <c r="W1117" s="4"/>
      <c r="X1117" s="4"/>
      <c r="Y1117" s="4"/>
      <c r="Z1117" s="4"/>
      <c r="AA1117" s="5"/>
      <c r="AB1117" s="5"/>
      <c r="AC1117" s="5"/>
      <c r="AD1117" s="5"/>
      <c r="AE1117" s="5"/>
    </row>
    <row r="1118">
      <c r="A1118" s="14" t="s">
        <v>561</v>
      </c>
      <c r="B1118" s="19">
        <v>44313.41962962963</v>
      </c>
      <c r="C1118" s="4">
        <v>49992.0</v>
      </c>
      <c r="D1118" s="4" t="s">
        <v>562</v>
      </c>
      <c r="E1118" s="4">
        <v>9.17757036009E11</v>
      </c>
      <c r="F1118" s="4">
        <v>17341.0</v>
      </c>
      <c r="G1118" s="4"/>
      <c r="H1118" s="4" t="s">
        <v>435</v>
      </c>
      <c r="I1118" s="4"/>
      <c r="J1118" s="4" t="s">
        <v>77</v>
      </c>
      <c r="K1118" s="4">
        <v>349.0</v>
      </c>
      <c r="L1118" s="4"/>
      <c r="M1118" s="4">
        <v>349.0</v>
      </c>
      <c r="N1118" s="4" t="s">
        <v>67</v>
      </c>
      <c r="O1118" s="4" t="b">
        <v>0</v>
      </c>
      <c r="P1118" s="4" t="s">
        <v>97</v>
      </c>
      <c r="Q1118" s="4" t="s">
        <v>69</v>
      </c>
      <c r="R1118" s="4"/>
      <c r="S1118" s="4"/>
      <c r="T1118" s="4"/>
      <c r="U1118" s="7"/>
      <c r="V1118" s="4"/>
      <c r="W1118" s="4"/>
      <c r="X1118" s="4"/>
      <c r="Y1118" s="4"/>
      <c r="Z1118" s="4"/>
      <c r="AA1118" s="5"/>
      <c r="AB1118" s="5"/>
      <c r="AC1118" s="5"/>
      <c r="AD1118" s="5"/>
      <c r="AE1118" s="5"/>
    </row>
    <row r="1119">
      <c r="A1119" s="14" t="s">
        <v>371</v>
      </c>
      <c r="B1119" s="19">
        <v>44313.42270833333</v>
      </c>
      <c r="C1119" s="4">
        <v>49991.0</v>
      </c>
      <c r="D1119" s="4" t="s">
        <v>372</v>
      </c>
      <c r="E1119" s="4">
        <v>9.19810602654E11</v>
      </c>
      <c r="F1119" s="4">
        <v>17342.0</v>
      </c>
      <c r="G1119" s="4"/>
      <c r="H1119" s="4" t="s">
        <v>148</v>
      </c>
      <c r="I1119" s="4"/>
      <c r="J1119" s="4" t="s">
        <v>77</v>
      </c>
      <c r="K1119" s="4">
        <v>349.0</v>
      </c>
      <c r="L1119" s="4"/>
      <c r="M1119" s="4">
        <v>349.0</v>
      </c>
      <c r="N1119" s="4" t="s">
        <v>67</v>
      </c>
      <c r="O1119" s="4" t="b">
        <v>0</v>
      </c>
      <c r="P1119" s="4" t="s">
        <v>97</v>
      </c>
      <c r="Q1119" s="4" t="s">
        <v>69</v>
      </c>
      <c r="R1119" s="4"/>
      <c r="S1119" s="4"/>
      <c r="T1119" s="4"/>
      <c r="U1119" s="7"/>
      <c r="V1119" s="4"/>
      <c r="W1119" s="4"/>
      <c r="X1119" s="4"/>
      <c r="Y1119" s="4"/>
      <c r="Z1119" s="4"/>
      <c r="AA1119" s="5"/>
      <c r="AB1119" s="5"/>
      <c r="AC1119" s="5"/>
      <c r="AD1119" s="5"/>
      <c r="AE1119" s="5"/>
    </row>
    <row r="1120">
      <c r="A1120" s="14" t="s">
        <v>2147</v>
      </c>
      <c r="B1120" s="19">
        <v>44313.4372337963</v>
      </c>
      <c r="C1120" s="4">
        <v>49958.0</v>
      </c>
      <c r="D1120" s="4" t="s">
        <v>2148</v>
      </c>
      <c r="E1120" s="4">
        <v>9.19284202485E11</v>
      </c>
      <c r="F1120" s="4" t="s">
        <v>83</v>
      </c>
      <c r="G1120" s="4"/>
      <c r="H1120" s="4" t="s">
        <v>858</v>
      </c>
      <c r="I1120" s="4"/>
      <c r="J1120" s="4" t="s">
        <v>85</v>
      </c>
      <c r="K1120" s="4">
        <v>199.0</v>
      </c>
      <c r="L1120" s="4"/>
      <c r="M1120" s="4">
        <v>199.0</v>
      </c>
      <c r="N1120" s="4" t="s">
        <v>67</v>
      </c>
      <c r="O1120" s="4" t="b">
        <v>0</v>
      </c>
      <c r="P1120" s="4" t="s">
        <v>68</v>
      </c>
      <c r="Q1120" s="4" t="s">
        <v>69</v>
      </c>
      <c r="R1120" s="4"/>
      <c r="S1120" s="4"/>
      <c r="T1120" s="4"/>
      <c r="U1120" s="7"/>
      <c r="V1120" s="4"/>
      <c r="W1120" s="4"/>
      <c r="X1120" s="4"/>
      <c r="Y1120" s="4"/>
      <c r="Z1120" s="4"/>
      <c r="AA1120" s="5"/>
      <c r="AB1120" s="5"/>
      <c r="AC1120" s="5"/>
      <c r="AD1120" s="5"/>
      <c r="AE1120" s="5"/>
    </row>
    <row r="1121">
      <c r="A1121" s="14" t="s">
        <v>2019</v>
      </c>
      <c r="B1121" s="19">
        <v>44312.401967592596</v>
      </c>
      <c r="C1121" s="4">
        <v>50041.0</v>
      </c>
      <c r="D1121" s="4" t="s">
        <v>2020</v>
      </c>
      <c r="E1121" s="4">
        <v>9.19820274748E11</v>
      </c>
      <c r="F1121" s="4">
        <v>17468.0</v>
      </c>
      <c r="G1121" s="4"/>
      <c r="H1121" s="4" t="s">
        <v>1932</v>
      </c>
      <c r="I1121" s="4"/>
      <c r="J1121" s="4" t="s">
        <v>1437</v>
      </c>
      <c r="K1121" s="4">
        <v>99.0</v>
      </c>
      <c r="L1121" s="4"/>
      <c r="M1121" s="4">
        <v>99.0</v>
      </c>
      <c r="N1121" s="4" t="s">
        <v>67</v>
      </c>
      <c r="O1121" s="4" t="b">
        <v>0</v>
      </c>
      <c r="P1121" s="4" t="s">
        <v>68</v>
      </c>
      <c r="Q1121" s="4" t="s">
        <v>69</v>
      </c>
      <c r="R1121" s="4"/>
      <c r="S1121" s="4"/>
      <c r="T1121" s="4"/>
      <c r="U1121" s="7"/>
      <c r="V1121" s="4"/>
      <c r="W1121" s="4"/>
      <c r="X1121" s="4"/>
      <c r="Y1121" s="4"/>
      <c r="Z1121" s="4"/>
      <c r="AA1121" s="5"/>
      <c r="AB1121" s="5"/>
      <c r="AC1121" s="5"/>
      <c r="AD1121" s="5"/>
      <c r="AE1121" s="5"/>
    </row>
    <row r="1122">
      <c r="A1122" s="14" t="s">
        <v>671</v>
      </c>
      <c r="B1122" s="19">
        <v>44313.467141203706</v>
      </c>
      <c r="C1122" s="4">
        <v>49907.0</v>
      </c>
      <c r="D1122" s="4" t="s">
        <v>672</v>
      </c>
      <c r="E1122" s="4">
        <v>9.18697828012E11</v>
      </c>
      <c r="F1122" s="4">
        <v>17343.0</v>
      </c>
      <c r="G1122" s="4"/>
      <c r="H1122" s="4" t="s">
        <v>587</v>
      </c>
      <c r="I1122" s="4"/>
      <c r="J1122" s="4" t="s">
        <v>149</v>
      </c>
      <c r="K1122" s="4">
        <v>99.0</v>
      </c>
      <c r="L1122" s="4"/>
      <c r="M1122" s="4">
        <v>99.0</v>
      </c>
      <c r="N1122" s="4" t="s">
        <v>67</v>
      </c>
      <c r="O1122" s="4" t="b">
        <v>0</v>
      </c>
      <c r="P1122" s="4" t="s">
        <v>151</v>
      </c>
      <c r="Q1122" s="4" t="s">
        <v>69</v>
      </c>
      <c r="R1122" s="4"/>
      <c r="S1122" s="4"/>
      <c r="T1122" s="4"/>
      <c r="U1122" s="7"/>
      <c r="V1122" s="4"/>
      <c r="W1122" s="4"/>
      <c r="X1122" s="4"/>
      <c r="Y1122" s="4"/>
      <c r="Z1122" s="4"/>
      <c r="AA1122" s="5"/>
      <c r="AB1122" s="5"/>
      <c r="AC1122" s="5"/>
      <c r="AD1122" s="5"/>
      <c r="AE1122" s="5"/>
    </row>
    <row r="1123">
      <c r="A1123" s="14" t="s">
        <v>2152</v>
      </c>
      <c r="B1123" s="19">
        <v>44313.47006944445</v>
      </c>
      <c r="C1123" s="4">
        <v>49997.0</v>
      </c>
      <c r="D1123" s="4" t="s">
        <v>2153</v>
      </c>
      <c r="E1123" s="4">
        <v>9.17022957079E11</v>
      </c>
      <c r="F1123" s="4">
        <v>17352.0</v>
      </c>
      <c r="G1123" s="4"/>
      <c r="H1123" s="4" t="s">
        <v>1059</v>
      </c>
      <c r="I1123" s="4"/>
      <c r="J1123" s="4" t="s">
        <v>149</v>
      </c>
      <c r="K1123" s="4">
        <v>99.0</v>
      </c>
      <c r="L1123" s="4"/>
      <c r="M1123" s="4">
        <v>99.0</v>
      </c>
      <c r="N1123" s="4" t="s">
        <v>67</v>
      </c>
      <c r="O1123" s="4" t="b">
        <v>0</v>
      </c>
      <c r="P1123" s="4" t="s">
        <v>74</v>
      </c>
      <c r="Q1123" s="4" t="s">
        <v>69</v>
      </c>
      <c r="R1123" s="4"/>
      <c r="S1123" s="4"/>
      <c r="T1123" s="4"/>
      <c r="U1123" s="7"/>
      <c r="V1123" s="4"/>
      <c r="W1123" s="4"/>
      <c r="X1123" s="4"/>
      <c r="Y1123" s="4"/>
      <c r="Z1123" s="4"/>
      <c r="AA1123" s="5"/>
      <c r="AB1123" s="5"/>
      <c r="AC1123" s="5"/>
      <c r="AD1123" s="5"/>
      <c r="AE1123" s="5"/>
    </row>
    <row r="1124">
      <c r="A1124" s="14" t="s">
        <v>1921</v>
      </c>
      <c r="B1124" s="19">
        <v>44313.47655092592</v>
      </c>
      <c r="C1124" s="4">
        <v>49813.0</v>
      </c>
      <c r="D1124" s="4" t="s">
        <v>1922</v>
      </c>
      <c r="E1124" s="4">
        <v>9.19971148717E11</v>
      </c>
      <c r="F1124" s="4">
        <v>17344.0</v>
      </c>
      <c r="G1124" s="4"/>
      <c r="H1124" s="4" t="s">
        <v>1592</v>
      </c>
      <c r="I1124" s="4"/>
      <c r="J1124" s="4" t="s">
        <v>149</v>
      </c>
      <c r="K1124" s="4">
        <v>299.0</v>
      </c>
      <c r="L1124" s="4"/>
      <c r="M1124" s="4">
        <v>299.0</v>
      </c>
      <c r="N1124" s="4" t="s">
        <v>67</v>
      </c>
      <c r="O1124" s="4" t="b">
        <v>0</v>
      </c>
      <c r="P1124" s="4" t="s">
        <v>151</v>
      </c>
      <c r="Q1124" s="4" t="s">
        <v>69</v>
      </c>
      <c r="R1124" s="4"/>
      <c r="S1124" s="4"/>
      <c r="T1124" s="4"/>
      <c r="U1124" s="7"/>
      <c r="V1124" s="4"/>
      <c r="W1124" s="4"/>
      <c r="X1124" s="4"/>
      <c r="Y1124" s="4"/>
      <c r="Z1124" s="4"/>
      <c r="AA1124" s="5"/>
      <c r="AB1124" s="5"/>
      <c r="AC1124" s="5"/>
      <c r="AD1124" s="5"/>
      <c r="AE1124" s="5"/>
    </row>
    <row r="1125">
      <c r="A1125" s="14" t="s">
        <v>2356</v>
      </c>
      <c r="B1125" s="19">
        <v>44313.501296296294</v>
      </c>
      <c r="C1125" s="4">
        <v>49854.0</v>
      </c>
      <c r="D1125" s="4" t="s">
        <v>2357</v>
      </c>
      <c r="E1125" s="4">
        <v>9.17088871551E11</v>
      </c>
      <c r="F1125" s="4" t="s">
        <v>83</v>
      </c>
      <c r="G1125" s="4"/>
      <c r="H1125" s="4" t="s">
        <v>2161</v>
      </c>
      <c r="I1125" s="4"/>
      <c r="J1125" s="4" t="s">
        <v>85</v>
      </c>
      <c r="K1125" s="4">
        <v>599.0</v>
      </c>
      <c r="L1125" s="4"/>
      <c r="M1125" s="4">
        <v>599.0</v>
      </c>
      <c r="N1125" s="4" t="s">
        <v>67</v>
      </c>
      <c r="O1125" s="4" t="b">
        <v>0</v>
      </c>
      <c r="P1125" s="4" t="s">
        <v>68</v>
      </c>
      <c r="Q1125" s="4" t="s">
        <v>69</v>
      </c>
      <c r="R1125" s="4"/>
      <c r="S1125" s="4"/>
      <c r="T1125" s="4"/>
      <c r="U1125" s="7"/>
      <c r="V1125" s="4"/>
      <c r="W1125" s="4"/>
      <c r="X1125" s="4"/>
      <c r="Y1125" s="4"/>
      <c r="Z1125" s="4"/>
      <c r="AA1125" s="5"/>
      <c r="AB1125" s="5"/>
      <c r="AC1125" s="5"/>
      <c r="AD1125" s="5"/>
      <c r="AE1125" s="5"/>
    </row>
    <row r="1126">
      <c r="A1126" s="14" t="s">
        <v>365</v>
      </c>
      <c r="B1126" s="19">
        <v>44312.441712962966</v>
      </c>
      <c r="C1126" s="4">
        <v>49991.0</v>
      </c>
      <c r="D1126" s="4" t="s">
        <v>366</v>
      </c>
      <c r="E1126" s="4">
        <v>9.19711071436E11</v>
      </c>
      <c r="F1126" s="4">
        <v>17300.0</v>
      </c>
      <c r="G1126" s="4"/>
      <c r="H1126" s="4" t="s">
        <v>148</v>
      </c>
      <c r="I1126" s="4"/>
      <c r="J1126" s="4" t="s">
        <v>149</v>
      </c>
      <c r="K1126" s="4">
        <v>99.0</v>
      </c>
      <c r="L1126" s="4"/>
      <c r="M1126" s="4">
        <v>99.0</v>
      </c>
      <c r="N1126" s="4" t="s">
        <v>67</v>
      </c>
      <c r="O1126" s="4" t="b">
        <v>0</v>
      </c>
      <c r="P1126" s="4" t="s">
        <v>68</v>
      </c>
      <c r="Q1126" s="4" t="s">
        <v>69</v>
      </c>
      <c r="R1126" s="4"/>
      <c r="S1126" s="4"/>
      <c r="T1126" s="4"/>
      <c r="U1126" s="7"/>
      <c r="V1126" s="4"/>
      <c r="W1126" s="4"/>
      <c r="X1126" s="4"/>
      <c r="Y1126" s="4"/>
      <c r="Z1126" s="4"/>
      <c r="AA1126" s="5"/>
      <c r="AB1126" s="5"/>
      <c r="AC1126" s="5"/>
      <c r="AD1126" s="5"/>
      <c r="AE1126" s="5"/>
    </row>
    <row r="1127">
      <c r="A1127" s="14" t="s">
        <v>2025</v>
      </c>
      <c r="B1127" s="19">
        <v>44312.442349537036</v>
      </c>
      <c r="C1127" s="4">
        <v>49997.0</v>
      </c>
      <c r="D1127" s="4" t="s">
        <v>2026</v>
      </c>
      <c r="E1127" s="4">
        <v>9.18979543318E11</v>
      </c>
      <c r="F1127" s="4" t="s">
        <v>83</v>
      </c>
      <c r="G1127" s="4"/>
      <c r="H1127" s="4" t="s">
        <v>1059</v>
      </c>
      <c r="I1127" s="4"/>
      <c r="J1127" s="4" t="s">
        <v>149</v>
      </c>
      <c r="K1127" s="4">
        <v>99.0</v>
      </c>
      <c r="L1127" s="4"/>
      <c r="M1127" s="4">
        <v>99.0</v>
      </c>
      <c r="N1127" s="4" t="s">
        <v>67</v>
      </c>
      <c r="O1127" s="4" t="b">
        <v>0</v>
      </c>
      <c r="P1127" s="4" t="s">
        <v>68</v>
      </c>
      <c r="Q1127" s="4" t="s">
        <v>69</v>
      </c>
      <c r="R1127" s="4"/>
      <c r="S1127" s="4"/>
      <c r="T1127" s="4"/>
      <c r="U1127" s="7"/>
      <c r="V1127" s="4"/>
      <c r="W1127" s="4"/>
      <c r="X1127" s="4"/>
      <c r="Y1127" s="4"/>
      <c r="Z1127" s="4"/>
      <c r="AA1127" s="5"/>
      <c r="AB1127" s="5"/>
      <c r="AC1127" s="5"/>
      <c r="AD1127" s="5"/>
      <c r="AE1127" s="5"/>
    </row>
    <row r="1128">
      <c r="A1128" s="14" t="s">
        <v>2156</v>
      </c>
      <c r="B1128" s="19">
        <v>44313.48585648148</v>
      </c>
      <c r="C1128" s="4">
        <v>49997.0</v>
      </c>
      <c r="D1128" s="4" t="s">
        <v>2157</v>
      </c>
      <c r="E1128" s="4">
        <v>9.16387250801E11</v>
      </c>
      <c r="F1128" s="4">
        <v>17356.0</v>
      </c>
      <c r="G1128" s="4"/>
      <c r="H1128" s="4" t="s">
        <v>1059</v>
      </c>
      <c r="I1128" s="4"/>
      <c r="J1128" s="4" t="s">
        <v>149</v>
      </c>
      <c r="K1128" s="4">
        <v>99.0</v>
      </c>
      <c r="L1128" s="4"/>
      <c r="M1128" s="4">
        <v>99.0</v>
      </c>
      <c r="N1128" s="4" t="s">
        <v>67</v>
      </c>
      <c r="O1128" s="4" t="b">
        <v>0</v>
      </c>
      <c r="P1128" s="4" t="s">
        <v>68</v>
      </c>
      <c r="Q1128" s="4" t="s">
        <v>69</v>
      </c>
      <c r="R1128" s="4"/>
      <c r="S1128" s="4"/>
      <c r="T1128" s="4"/>
      <c r="U1128" s="7"/>
      <c r="V1128" s="4"/>
      <c r="W1128" s="4"/>
      <c r="X1128" s="4"/>
      <c r="Y1128" s="4"/>
      <c r="Z1128" s="4"/>
      <c r="AA1128" s="5"/>
      <c r="AB1128" s="5"/>
      <c r="AC1128" s="5"/>
      <c r="AD1128" s="5"/>
      <c r="AE1128" s="5"/>
    </row>
    <row r="1129">
      <c r="A1129" s="14" t="s">
        <v>2158</v>
      </c>
      <c r="B1129" s="19">
        <v>44313.489907407406</v>
      </c>
      <c r="C1129" s="4">
        <v>50030.0</v>
      </c>
      <c r="D1129" s="4" t="s">
        <v>2159</v>
      </c>
      <c r="E1129" s="4">
        <v>9.18927434742E11</v>
      </c>
      <c r="F1129" s="4">
        <v>17368.0</v>
      </c>
      <c r="G1129" s="4"/>
      <c r="H1129" s="4" t="s">
        <v>1979</v>
      </c>
      <c r="I1129" s="4"/>
      <c r="J1129" s="4" t="s">
        <v>1442</v>
      </c>
      <c r="K1129" s="4">
        <v>199.0</v>
      </c>
      <c r="L1129" s="4"/>
      <c r="M1129" s="4">
        <v>199.0</v>
      </c>
      <c r="N1129" s="4" t="s">
        <v>67</v>
      </c>
      <c r="O1129" s="4" t="b">
        <v>0</v>
      </c>
      <c r="P1129" s="4" t="s">
        <v>68</v>
      </c>
      <c r="Q1129" s="4" t="s">
        <v>69</v>
      </c>
      <c r="R1129" s="4"/>
      <c r="S1129" s="4"/>
      <c r="T1129" s="4"/>
      <c r="U1129" s="7"/>
      <c r="V1129" s="4"/>
      <c r="W1129" s="4"/>
      <c r="X1129" s="4"/>
      <c r="Y1129" s="4"/>
      <c r="Z1129" s="4"/>
      <c r="AA1129" s="5"/>
      <c r="AB1129" s="5"/>
      <c r="AC1129" s="5"/>
      <c r="AD1129" s="5"/>
      <c r="AE1129" s="5"/>
    </row>
    <row r="1130">
      <c r="A1130" s="14" t="s">
        <v>2021</v>
      </c>
      <c r="B1130" s="19">
        <v>44312.43263888889</v>
      </c>
      <c r="C1130" s="4">
        <v>49833.0</v>
      </c>
      <c r="D1130" s="4" t="s">
        <v>2022</v>
      </c>
      <c r="E1130" s="4">
        <v>9.18086326732E11</v>
      </c>
      <c r="F1130" s="4">
        <v>17299.0</v>
      </c>
      <c r="G1130" s="4"/>
      <c r="H1130" s="4" t="s">
        <v>184</v>
      </c>
      <c r="I1130" s="4"/>
      <c r="J1130" s="4" t="s">
        <v>85</v>
      </c>
      <c r="K1130" s="4">
        <v>299.0</v>
      </c>
      <c r="L1130" s="4"/>
      <c r="M1130" s="4">
        <v>299.0</v>
      </c>
      <c r="N1130" s="4" t="s">
        <v>67</v>
      </c>
      <c r="O1130" s="4" t="b">
        <v>0</v>
      </c>
      <c r="P1130" s="4" t="s">
        <v>68</v>
      </c>
      <c r="Q1130" s="4" t="s">
        <v>69</v>
      </c>
      <c r="R1130" s="4"/>
      <c r="S1130" s="4"/>
      <c r="T1130" s="4"/>
      <c r="U1130" s="7"/>
      <c r="V1130" s="4"/>
      <c r="W1130" s="4"/>
      <c r="X1130" s="4"/>
      <c r="Y1130" s="4"/>
      <c r="Z1130" s="4"/>
      <c r="AA1130" s="5"/>
      <c r="AB1130" s="5"/>
      <c r="AC1130" s="5"/>
      <c r="AD1130" s="5"/>
      <c r="AE1130" s="5"/>
    </row>
    <row r="1131">
      <c r="A1131" s="14" t="s">
        <v>1587</v>
      </c>
      <c r="B1131" s="19">
        <v>44313.51</v>
      </c>
      <c r="C1131" s="4">
        <v>50011.0</v>
      </c>
      <c r="D1131" s="4" t="s">
        <v>1588</v>
      </c>
      <c r="E1131" s="4">
        <v>9.17640967905E11</v>
      </c>
      <c r="F1131" s="4" t="s">
        <v>83</v>
      </c>
      <c r="G1131" s="4"/>
      <c r="H1131" s="4" t="s">
        <v>1585</v>
      </c>
      <c r="I1131" s="4"/>
      <c r="J1131" s="4" t="s">
        <v>149</v>
      </c>
      <c r="K1131" s="4">
        <v>99.0</v>
      </c>
      <c r="L1131" s="4"/>
      <c r="M1131" s="4">
        <v>99.0</v>
      </c>
      <c r="N1131" s="4" t="s">
        <v>67</v>
      </c>
      <c r="O1131" s="4" t="b">
        <v>0</v>
      </c>
      <c r="P1131" s="4" t="s">
        <v>74</v>
      </c>
      <c r="Q1131" s="4" t="s">
        <v>69</v>
      </c>
      <c r="R1131" s="4"/>
      <c r="S1131" s="4"/>
      <c r="T1131" s="4"/>
      <c r="U1131" s="7"/>
      <c r="V1131" s="4"/>
      <c r="W1131" s="4"/>
      <c r="X1131" s="4"/>
      <c r="Y1131" s="4"/>
      <c r="Z1131" s="4"/>
      <c r="AA1131" s="5"/>
      <c r="AB1131" s="5"/>
      <c r="AC1131" s="5"/>
      <c r="AD1131" s="5"/>
      <c r="AE1131" s="5"/>
    </row>
    <row r="1132">
      <c r="A1132" s="14" t="s">
        <v>2165</v>
      </c>
      <c r="B1132" s="19">
        <v>44313.513657407406</v>
      </c>
      <c r="C1132" s="4">
        <v>49834.0</v>
      </c>
      <c r="D1132" s="4" t="s">
        <v>2166</v>
      </c>
      <c r="E1132" s="4">
        <v>9.1991632644E11</v>
      </c>
      <c r="F1132" s="4">
        <v>17348.0</v>
      </c>
      <c r="G1132" s="4"/>
      <c r="H1132" s="4" t="s">
        <v>76</v>
      </c>
      <c r="I1132" s="4"/>
      <c r="J1132" s="4" t="s">
        <v>77</v>
      </c>
      <c r="K1132" s="4">
        <v>349.0</v>
      </c>
      <c r="L1132" s="4"/>
      <c r="M1132" s="4">
        <v>349.0</v>
      </c>
      <c r="N1132" s="4" t="s">
        <v>67</v>
      </c>
      <c r="O1132" s="4" t="b">
        <v>0</v>
      </c>
      <c r="P1132" s="4" t="s">
        <v>97</v>
      </c>
      <c r="Q1132" s="4" t="s">
        <v>69</v>
      </c>
      <c r="R1132" s="4"/>
      <c r="S1132" s="4"/>
      <c r="T1132" s="4"/>
      <c r="U1132" s="7"/>
      <c r="V1132" s="4"/>
      <c r="W1132" s="4"/>
      <c r="X1132" s="4"/>
      <c r="Y1132" s="4"/>
      <c r="Z1132" s="4"/>
      <c r="AA1132" s="5"/>
      <c r="AB1132" s="5"/>
      <c r="AC1132" s="5"/>
      <c r="AD1132" s="5"/>
      <c r="AE1132" s="5"/>
    </row>
    <row r="1133">
      <c r="A1133" s="14" t="s">
        <v>2167</v>
      </c>
      <c r="B1133" s="19">
        <v>44313.516493055555</v>
      </c>
      <c r="C1133" s="4">
        <v>49834.0</v>
      </c>
      <c r="D1133" s="4" t="s">
        <v>2168</v>
      </c>
      <c r="E1133" s="4">
        <v>9.19999320107E11</v>
      </c>
      <c r="F1133" s="4" t="s">
        <v>83</v>
      </c>
      <c r="G1133" s="4"/>
      <c r="H1133" s="4" t="s">
        <v>960</v>
      </c>
      <c r="I1133" s="4"/>
      <c r="J1133" s="4" t="s">
        <v>149</v>
      </c>
      <c r="K1133" s="4">
        <v>99.0</v>
      </c>
      <c r="L1133" s="4"/>
      <c r="M1133" s="4">
        <v>99.0</v>
      </c>
      <c r="N1133" s="4" t="s">
        <v>67</v>
      </c>
      <c r="O1133" s="4" t="b">
        <v>0</v>
      </c>
      <c r="P1133" s="4" t="s">
        <v>151</v>
      </c>
      <c r="Q1133" s="4" t="s">
        <v>69</v>
      </c>
      <c r="R1133" s="4"/>
      <c r="S1133" s="4"/>
      <c r="T1133" s="4"/>
      <c r="U1133" s="7"/>
      <c r="V1133" s="4"/>
      <c r="W1133" s="4"/>
      <c r="X1133" s="4"/>
      <c r="Y1133" s="4"/>
      <c r="Z1133" s="4"/>
      <c r="AA1133" s="5"/>
      <c r="AB1133" s="5"/>
      <c r="AC1133" s="5"/>
      <c r="AD1133" s="5"/>
      <c r="AE1133" s="5"/>
    </row>
    <row r="1134">
      <c r="A1134" s="14" t="s">
        <v>2367</v>
      </c>
      <c r="B1134" s="19">
        <v>44313.52186342593</v>
      </c>
      <c r="C1134" s="4">
        <v>49854.0</v>
      </c>
      <c r="D1134" s="4" t="s">
        <v>2368</v>
      </c>
      <c r="E1134" s="4">
        <v>9.19820220948E11</v>
      </c>
      <c r="F1134" s="4">
        <v>17951.0</v>
      </c>
      <c r="G1134" s="4"/>
      <c r="H1134" s="4" t="s">
        <v>2161</v>
      </c>
      <c r="I1134" s="4"/>
      <c r="J1134" s="4" t="s">
        <v>85</v>
      </c>
      <c r="K1134" s="4">
        <v>599.0</v>
      </c>
      <c r="L1134" s="4"/>
      <c r="M1134" s="4">
        <v>599.0</v>
      </c>
      <c r="N1134" s="4" t="s">
        <v>67</v>
      </c>
      <c r="O1134" s="4" t="b">
        <v>0</v>
      </c>
      <c r="P1134" s="4" t="s">
        <v>68</v>
      </c>
      <c r="Q1134" s="4" t="s">
        <v>69</v>
      </c>
      <c r="R1134" s="4"/>
      <c r="S1134" s="4"/>
      <c r="T1134" s="4"/>
      <c r="U1134" s="7"/>
      <c r="V1134" s="4"/>
      <c r="W1134" s="4"/>
      <c r="X1134" s="4"/>
      <c r="Y1134" s="4"/>
      <c r="Z1134" s="4"/>
      <c r="AA1134" s="5"/>
      <c r="AB1134" s="5"/>
      <c r="AC1134" s="5"/>
      <c r="AD1134" s="5"/>
      <c r="AE1134" s="5"/>
    </row>
    <row r="1135">
      <c r="A1135" s="14" t="s">
        <v>2171</v>
      </c>
      <c r="B1135" s="19">
        <v>44313.54240740741</v>
      </c>
      <c r="C1135" s="4">
        <v>49996.0</v>
      </c>
      <c r="D1135" s="4" t="s">
        <v>2172</v>
      </c>
      <c r="E1135" s="4">
        <v>9.19867791086E11</v>
      </c>
      <c r="F1135" s="4">
        <v>17416.0</v>
      </c>
      <c r="G1135" s="4"/>
      <c r="H1135" s="4" t="s">
        <v>1516</v>
      </c>
      <c r="I1135" s="4"/>
      <c r="J1135" s="4" t="s">
        <v>77</v>
      </c>
      <c r="K1135" s="4">
        <v>349.0</v>
      </c>
      <c r="L1135" s="4"/>
      <c r="M1135" s="4">
        <v>349.0</v>
      </c>
      <c r="N1135" s="4" t="s">
        <v>67</v>
      </c>
      <c r="O1135" s="4" t="b">
        <v>0</v>
      </c>
      <c r="P1135" s="4" t="s">
        <v>74</v>
      </c>
      <c r="Q1135" s="4" t="s">
        <v>69</v>
      </c>
      <c r="R1135" s="4"/>
      <c r="S1135" s="4"/>
      <c r="T1135" s="4"/>
      <c r="U1135" s="7"/>
      <c r="V1135" s="4"/>
      <c r="W1135" s="4"/>
      <c r="X1135" s="4"/>
      <c r="Y1135" s="4"/>
      <c r="Z1135" s="4"/>
      <c r="AA1135" s="5"/>
      <c r="AB1135" s="5"/>
      <c r="AC1135" s="5"/>
      <c r="AD1135" s="5"/>
      <c r="AE1135" s="5"/>
    </row>
    <row r="1136">
      <c r="A1136" s="14" t="s">
        <v>563</v>
      </c>
      <c r="B1136" s="19">
        <v>44313.54298611111</v>
      </c>
      <c r="C1136" s="4">
        <v>49992.0</v>
      </c>
      <c r="D1136" s="4" t="s">
        <v>564</v>
      </c>
      <c r="E1136" s="4">
        <v>9.19022076763E11</v>
      </c>
      <c r="F1136" s="4">
        <v>17350.0</v>
      </c>
      <c r="G1136" s="4"/>
      <c r="H1136" s="4" t="s">
        <v>435</v>
      </c>
      <c r="I1136" s="4"/>
      <c r="J1136" s="4" t="s">
        <v>149</v>
      </c>
      <c r="K1136" s="4">
        <v>99.0</v>
      </c>
      <c r="L1136" s="4"/>
      <c r="M1136" s="4">
        <v>99.0</v>
      </c>
      <c r="N1136" s="4" t="s">
        <v>67</v>
      </c>
      <c r="O1136" s="4" t="b">
        <v>0</v>
      </c>
      <c r="P1136" s="4" t="s">
        <v>68</v>
      </c>
      <c r="Q1136" s="4" t="s">
        <v>69</v>
      </c>
      <c r="R1136" s="4"/>
      <c r="S1136" s="4"/>
      <c r="T1136" s="4"/>
      <c r="U1136" s="7"/>
      <c r="V1136" s="4"/>
      <c r="W1136" s="4"/>
      <c r="X1136" s="4"/>
      <c r="Y1136" s="4"/>
      <c r="Z1136" s="4"/>
      <c r="AA1136" s="5"/>
      <c r="AB1136" s="5"/>
      <c r="AC1136" s="5"/>
      <c r="AD1136" s="5"/>
      <c r="AE1136" s="5"/>
    </row>
    <row r="1137">
      <c r="A1137" s="14" t="s">
        <v>2175</v>
      </c>
      <c r="B1137" s="19">
        <v>44313.546006944445</v>
      </c>
      <c r="C1137" s="4">
        <v>49993.0</v>
      </c>
      <c r="D1137" s="4" t="s">
        <v>2176</v>
      </c>
      <c r="E1137" s="4">
        <v>9.17980400937E11</v>
      </c>
      <c r="F1137" s="4">
        <v>17397.0</v>
      </c>
      <c r="G1137" s="4"/>
      <c r="H1137" s="4" t="s">
        <v>1104</v>
      </c>
      <c r="I1137" s="4"/>
      <c r="J1137" s="4" t="s">
        <v>149</v>
      </c>
      <c r="K1137" s="4">
        <v>199.0</v>
      </c>
      <c r="L1137" s="4"/>
      <c r="M1137" s="4">
        <v>199.0</v>
      </c>
      <c r="N1137" s="4" t="s">
        <v>67</v>
      </c>
      <c r="O1137" s="4" t="b">
        <v>0</v>
      </c>
      <c r="P1137" s="4" t="s">
        <v>97</v>
      </c>
      <c r="Q1137" s="4" t="s">
        <v>69</v>
      </c>
      <c r="R1137" s="4"/>
      <c r="S1137" s="4"/>
      <c r="T1137" s="4"/>
      <c r="U1137" s="7"/>
      <c r="V1137" s="4"/>
      <c r="W1137" s="4"/>
      <c r="X1137" s="4"/>
      <c r="Y1137" s="4"/>
      <c r="Z1137" s="4"/>
      <c r="AA1137" s="5"/>
      <c r="AB1137" s="5"/>
      <c r="AC1137" s="5"/>
      <c r="AD1137" s="5"/>
      <c r="AE1137" s="5"/>
    </row>
    <row r="1138">
      <c r="A1138" s="14" t="s">
        <v>2029</v>
      </c>
      <c r="B1138" s="19">
        <v>44312.486863425926</v>
      </c>
      <c r="C1138" s="4">
        <v>49994.0</v>
      </c>
      <c r="D1138" s="4" t="s">
        <v>2030</v>
      </c>
      <c r="E1138" s="4">
        <v>9.18239537194E11</v>
      </c>
      <c r="F1138" s="4" t="s">
        <v>83</v>
      </c>
      <c r="G1138" s="4"/>
      <c r="H1138" s="4" t="s">
        <v>1264</v>
      </c>
      <c r="I1138" s="4"/>
      <c r="J1138" s="4" t="s">
        <v>149</v>
      </c>
      <c r="K1138" s="4">
        <v>99.0</v>
      </c>
      <c r="L1138" s="4"/>
      <c r="M1138" s="4">
        <v>99.0</v>
      </c>
      <c r="N1138" s="4" t="s">
        <v>67</v>
      </c>
      <c r="O1138" s="4" t="b">
        <v>0</v>
      </c>
      <c r="P1138" s="4" t="s">
        <v>151</v>
      </c>
      <c r="Q1138" s="4" t="s">
        <v>69</v>
      </c>
      <c r="R1138" s="4"/>
      <c r="S1138" s="4"/>
      <c r="T1138" s="4"/>
      <c r="U1138" s="7"/>
      <c r="V1138" s="4"/>
      <c r="W1138" s="4"/>
      <c r="X1138" s="4"/>
      <c r="Y1138" s="4"/>
      <c r="Z1138" s="4"/>
      <c r="AA1138" s="5"/>
      <c r="AB1138" s="5"/>
      <c r="AC1138" s="5"/>
      <c r="AD1138" s="5"/>
      <c r="AE1138" s="5"/>
    </row>
    <row r="1139">
      <c r="A1139" s="14" t="s">
        <v>2379</v>
      </c>
      <c r="B1139" s="19">
        <v>44313.55386574074</v>
      </c>
      <c r="C1139" s="4">
        <v>49854.0</v>
      </c>
      <c r="D1139" s="4" t="s">
        <v>2380</v>
      </c>
      <c r="E1139" s="4">
        <v>9.19163390973E11</v>
      </c>
      <c r="F1139" s="4">
        <v>17749.0</v>
      </c>
      <c r="G1139" s="4"/>
      <c r="H1139" s="4" t="s">
        <v>2161</v>
      </c>
      <c r="I1139" s="4"/>
      <c r="J1139" s="4" t="s">
        <v>85</v>
      </c>
      <c r="K1139" s="4">
        <v>599.0</v>
      </c>
      <c r="L1139" s="4"/>
      <c r="M1139" s="4">
        <v>599.0</v>
      </c>
      <c r="N1139" s="4" t="s">
        <v>67</v>
      </c>
      <c r="O1139" s="4" t="b">
        <v>0</v>
      </c>
      <c r="P1139" s="4" t="s">
        <v>74</v>
      </c>
      <c r="Q1139" s="4" t="s">
        <v>69</v>
      </c>
      <c r="R1139" s="4"/>
      <c r="S1139" s="4"/>
      <c r="T1139" s="4"/>
      <c r="U1139" s="7"/>
      <c r="V1139" s="4"/>
      <c r="W1139" s="4"/>
      <c r="X1139" s="4"/>
      <c r="Y1139" s="4"/>
      <c r="Z1139" s="4"/>
      <c r="AA1139" s="5"/>
      <c r="AB1139" s="5"/>
      <c r="AC1139" s="5"/>
      <c r="AD1139" s="5"/>
      <c r="AE1139" s="5"/>
    </row>
    <row r="1140">
      <c r="A1140" s="14" t="s">
        <v>2027</v>
      </c>
      <c r="B1140" s="19">
        <v>44312.47961805556</v>
      </c>
      <c r="C1140" s="4">
        <v>50032.0</v>
      </c>
      <c r="D1140" s="4" t="s">
        <v>2028</v>
      </c>
      <c r="E1140" s="4">
        <v>9.1931951126E11</v>
      </c>
      <c r="F1140" s="4">
        <v>17304.0</v>
      </c>
      <c r="G1140" s="4"/>
      <c r="H1140" s="4" t="s">
        <v>1982</v>
      </c>
      <c r="I1140" s="4"/>
      <c r="J1140" s="4" t="s">
        <v>149</v>
      </c>
      <c r="K1140" s="4">
        <v>99.0</v>
      </c>
      <c r="L1140" s="4"/>
      <c r="M1140" s="4">
        <v>99.0</v>
      </c>
      <c r="N1140" s="4" t="s">
        <v>67</v>
      </c>
      <c r="O1140" s="4" t="b">
        <v>0</v>
      </c>
      <c r="P1140" s="4" t="s">
        <v>68</v>
      </c>
      <c r="Q1140" s="4" t="s">
        <v>69</v>
      </c>
      <c r="R1140" s="4"/>
      <c r="S1140" s="4"/>
      <c r="T1140" s="4"/>
      <c r="U1140" s="7"/>
      <c r="V1140" s="4"/>
      <c r="W1140" s="4"/>
      <c r="X1140" s="4"/>
      <c r="Y1140" s="4"/>
      <c r="Z1140" s="4"/>
      <c r="AA1140" s="5"/>
      <c r="AB1140" s="5"/>
      <c r="AC1140" s="5"/>
      <c r="AD1140" s="5"/>
      <c r="AE1140" s="5"/>
    </row>
    <row r="1141">
      <c r="A1141" s="14" t="s">
        <v>2179</v>
      </c>
      <c r="B1141" s="19">
        <v>44313.561840277776</v>
      </c>
      <c r="C1141" s="4">
        <v>49996.0</v>
      </c>
      <c r="D1141" s="4" t="s">
        <v>2180</v>
      </c>
      <c r="E1141" s="4">
        <v>9.1884779628E11</v>
      </c>
      <c r="F1141" s="4">
        <v>17415.0</v>
      </c>
      <c r="G1141" s="4"/>
      <c r="H1141" s="4" t="s">
        <v>1516</v>
      </c>
      <c r="I1141" s="4"/>
      <c r="J1141" s="4" t="s">
        <v>149</v>
      </c>
      <c r="K1141" s="4">
        <v>99.0</v>
      </c>
      <c r="L1141" s="4"/>
      <c r="M1141" s="4">
        <v>99.0</v>
      </c>
      <c r="N1141" s="4" t="s">
        <v>67</v>
      </c>
      <c r="O1141" s="4" t="b">
        <v>0</v>
      </c>
      <c r="P1141" s="4" t="s">
        <v>68</v>
      </c>
      <c r="Q1141" s="4" t="s">
        <v>69</v>
      </c>
      <c r="R1141" s="4"/>
      <c r="S1141" s="4"/>
      <c r="T1141" s="4"/>
      <c r="U1141" s="7"/>
      <c r="V1141" s="4"/>
      <c r="W1141" s="4"/>
      <c r="X1141" s="4"/>
      <c r="Y1141" s="4"/>
      <c r="Z1141" s="4"/>
      <c r="AA1141" s="5"/>
      <c r="AB1141" s="5"/>
      <c r="AC1141" s="5"/>
      <c r="AD1141" s="5"/>
      <c r="AE1141" s="5"/>
    </row>
    <row r="1142">
      <c r="A1142" s="14" t="s">
        <v>2031</v>
      </c>
      <c r="B1142" s="19">
        <v>44312.50381944444</v>
      </c>
      <c r="C1142" s="4">
        <v>50041.0</v>
      </c>
      <c r="D1142" s="4" t="s">
        <v>2032</v>
      </c>
      <c r="E1142" s="4">
        <v>9.19999799252E11</v>
      </c>
      <c r="F1142" s="4" t="s">
        <v>83</v>
      </c>
      <c r="G1142" s="4"/>
      <c r="H1142" s="4" t="s">
        <v>1932</v>
      </c>
      <c r="I1142" s="4"/>
      <c r="J1142" s="4" t="s">
        <v>1437</v>
      </c>
      <c r="K1142" s="4">
        <v>99.0</v>
      </c>
      <c r="L1142" s="4"/>
      <c r="M1142" s="4">
        <v>99.0</v>
      </c>
      <c r="N1142" s="4" t="s">
        <v>67</v>
      </c>
      <c r="O1142" s="4" t="b">
        <v>0</v>
      </c>
      <c r="P1142" s="4" t="s">
        <v>68</v>
      </c>
      <c r="Q1142" s="4" t="s">
        <v>69</v>
      </c>
      <c r="R1142" s="4"/>
      <c r="S1142" s="4"/>
      <c r="T1142" s="4"/>
      <c r="U1142" s="7"/>
      <c r="V1142" s="4"/>
      <c r="W1142" s="4"/>
      <c r="X1142" s="4"/>
      <c r="Y1142" s="4"/>
      <c r="Z1142" s="4"/>
      <c r="AA1142" s="5"/>
      <c r="AB1142" s="5"/>
      <c r="AC1142" s="5"/>
      <c r="AD1142" s="5"/>
      <c r="AE1142" s="5"/>
    </row>
    <row r="1143">
      <c r="A1143" s="14" t="s">
        <v>2183</v>
      </c>
      <c r="B1143" s="19">
        <v>44313.58505787037</v>
      </c>
      <c r="C1143" s="4">
        <v>49833.0</v>
      </c>
      <c r="D1143" s="4" t="s">
        <v>2184</v>
      </c>
      <c r="E1143" s="4">
        <v>9.19680435926E11</v>
      </c>
      <c r="F1143" s="4">
        <v>17351.0</v>
      </c>
      <c r="G1143" s="4"/>
      <c r="H1143" s="4" t="s">
        <v>184</v>
      </c>
      <c r="I1143" s="4"/>
      <c r="J1143" s="4" t="s">
        <v>77</v>
      </c>
      <c r="K1143" s="4">
        <v>499.0</v>
      </c>
      <c r="L1143" s="4"/>
      <c r="M1143" s="4">
        <v>499.0</v>
      </c>
      <c r="N1143" s="4" t="s">
        <v>67</v>
      </c>
      <c r="O1143" s="4" t="b">
        <v>0</v>
      </c>
      <c r="P1143" s="4" t="s">
        <v>68</v>
      </c>
      <c r="Q1143" s="4" t="s">
        <v>69</v>
      </c>
      <c r="R1143" s="4"/>
      <c r="S1143" s="4"/>
      <c r="T1143" s="4"/>
      <c r="U1143" s="7"/>
      <c r="V1143" s="4"/>
      <c r="W1143" s="4"/>
      <c r="X1143" s="4"/>
      <c r="Y1143" s="4"/>
      <c r="Z1143" s="4"/>
      <c r="AA1143" s="5"/>
      <c r="AB1143" s="5"/>
      <c r="AC1143" s="5"/>
      <c r="AD1143" s="5"/>
      <c r="AE1143" s="5"/>
    </row>
    <row r="1144">
      <c r="A1144" s="14" t="s">
        <v>2033</v>
      </c>
      <c r="B1144" s="19">
        <v>44312.50828703704</v>
      </c>
      <c r="C1144" s="4">
        <v>50030.0</v>
      </c>
      <c r="D1144" s="4" t="s">
        <v>2034</v>
      </c>
      <c r="E1144" s="4">
        <v>9.19880870713E11</v>
      </c>
      <c r="F1144" s="4">
        <v>17404.0</v>
      </c>
      <c r="G1144" s="4"/>
      <c r="H1144" s="4" t="s">
        <v>1979</v>
      </c>
      <c r="I1144" s="4"/>
      <c r="J1144" s="4" t="s">
        <v>1442</v>
      </c>
      <c r="K1144" s="4">
        <v>199.0</v>
      </c>
      <c r="L1144" s="4"/>
      <c r="M1144" s="4">
        <v>199.0</v>
      </c>
      <c r="N1144" s="4" t="s">
        <v>67</v>
      </c>
      <c r="O1144" s="4" t="b">
        <v>0</v>
      </c>
      <c r="P1144" s="4" t="s">
        <v>74</v>
      </c>
      <c r="Q1144" s="4" t="s">
        <v>69</v>
      </c>
      <c r="R1144" s="4"/>
      <c r="S1144" s="4"/>
      <c r="T1144" s="4"/>
      <c r="U1144" s="7"/>
      <c r="V1144" s="4"/>
      <c r="W1144" s="4"/>
      <c r="X1144" s="4"/>
      <c r="Y1144" s="4"/>
      <c r="Z1144" s="4"/>
      <c r="AA1144" s="5"/>
      <c r="AB1144" s="5"/>
      <c r="AC1144" s="5"/>
      <c r="AD1144" s="5"/>
      <c r="AE1144" s="5"/>
    </row>
    <row r="1145">
      <c r="A1145" s="14" t="s">
        <v>2035</v>
      </c>
      <c r="B1145" s="19">
        <v>44312.518796296295</v>
      </c>
      <c r="C1145" s="4">
        <v>50009.0</v>
      </c>
      <c r="D1145" s="4" t="s">
        <v>2036</v>
      </c>
      <c r="E1145" s="4">
        <v>9.19665337579E11</v>
      </c>
      <c r="F1145" s="4">
        <v>17301.0</v>
      </c>
      <c r="G1145" s="4"/>
      <c r="H1145" s="4" t="s">
        <v>1539</v>
      </c>
      <c r="I1145" s="4"/>
      <c r="J1145" s="4" t="s">
        <v>77</v>
      </c>
      <c r="K1145" s="4">
        <v>349.0</v>
      </c>
      <c r="L1145" s="4"/>
      <c r="M1145" s="4">
        <v>349.0</v>
      </c>
      <c r="N1145" s="4" t="s">
        <v>67</v>
      </c>
      <c r="O1145" s="4" t="b">
        <v>0</v>
      </c>
      <c r="P1145" s="4" t="s">
        <v>68</v>
      </c>
      <c r="Q1145" s="4" t="s">
        <v>69</v>
      </c>
      <c r="R1145" s="4"/>
      <c r="S1145" s="4"/>
      <c r="T1145" s="4"/>
      <c r="U1145" s="7"/>
      <c r="V1145" s="4"/>
      <c r="W1145" s="4"/>
      <c r="X1145" s="4"/>
      <c r="Y1145" s="4"/>
      <c r="Z1145" s="4"/>
      <c r="AA1145" s="5"/>
      <c r="AB1145" s="5"/>
      <c r="AC1145" s="5"/>
      <c r="AD1145" s="5"/>
      <c r="AE1145" s="5"/>
    </row>
    <row r="1146">
      <c r="A1146" s="14" t="s">
        <v>2181</v>
      </c>
      <c r="B1146" s="19">
        <v>44313.57912037037</v>
      </c>
      <c r="C1146" s="4">
        <v>50030.0</v>
      </c>
      <c r="D1146" s="4" t="s">
        <v>2182</v>
      </c>
      <c r="E1146" s="4">
        <v>9.17746823729E11</v>
      </c>
      <c r="F1146" s="4">
        <v>17373.0</v>
      </c>
      <c r="G1146" s="4"/>
      <c r="H1146" s="4" t="s">
        <v>1979</v>
      </c>
      <c r="I1146" s="4"/>
      <c r="J1146" s="4" t="s">
        <v>1437</v>
      </c>
      <c r="K1146" s="4">
        <v>99.0</v>
      </c>
      <c r="L1146" s="4"/>
      <c r="M1146" s="4">
        <v>99.0</v>
      </c>
      <c r="N1146" s="4" t="s">
        <v>67</v>
      </c>
      <c r="O1146" s="4" t="b">
        <v>0</v>
      </c>
      <c r="P1146" s="4" t="s">
        <v>74</v>
      </c>
      <c r="Q1146" s="4" t="s">
        <v>69</v>
      </c>
      <c r="R1146" s="4"/>
      <c r="S1146" s="4"/>
      <c r="T1146" s="4"/>
      <c r="U1146" s="8"/>
      <c r="V1146" s="4"/>
      <c r="W1146" s="4"/>
      <c r="X1146" s="4"/>
      <c r="Y1146" s="4"/>
      <c r="Z1146" s="4"/>
      <c r="AA1146" s="5"/>
      <c r="AB1146" s="5"/>
      <c r="AC1146" s="5"/>
      <c r="AD1146" s="5"/>
      <c r="AE1146" s="5"/>
    </row>
    <row r="1147">
      <c r="A1147" s="14" t="s">
        <v>2037</v>
      </c>
      <c r="B1147" s="19">
        <v>44312.53936342592</v>
      </c>
      <c r="C1147" s="4">
        <v>50009.0</v>
      </c>
      <c r="D1147" s="4" t="s">
        <v>2038</v>
      </c>
      <c r="E1147" s="4">
        <v>9.19990618578E11</v>
      </c>
      <c r="F1147" s="4">
        <v>17303.0</v>
      </c>
      <c r="G1147" s="4"/>
      <c r="H1147" s="4" t="s">
        <v>1476</v>
      </c>
      <c r="I1147" s="4"/>
      <c r="J1147" s="4" t="s">
        <v>149</v>
      </c>
      <c r="K1147" s="4">
        <v>99.0</v>
      </c>
      <c r="L1147" s="4"/>
      <c r="M1147" s="4">
        <v>99.0</v>
      </c>
      <c r="N1147" s="4" t="s">
        <v>67</v>
      </c>
      <c r="O1147" s="4" t="b">
        <v>0</v>
      </c>
      <c r="P1147" s="4" t="s">
        <v>74</v>
      </c>
      <c r="Q1147" s="4" t="s">
        <v>69</v>
      </c>
      <c r="R1147" s="4"/>
      <c r="S1147" s="4"/>
      <c r="T1147" s="4"/>
      <c r="U1147" s="7"/>
      <c r="V1147" s="4"/>
      <c r="W1147" s="4"/>
      <c r="X1147" s="4"/>
      <c r="Y1147" s="4"/>
      <c r="Z1147" s="4"/>
      <c r="AA1147" s="5"/>
      <c r="AB1147" s="5"/>
      <c r="AC1147" s="5"/>
      <c r="AD1147" s="5"/>
      <c r="AE1147" s="5"/>
    </row>
    <row r="1148">
      <c r="A1148" s="14" t="s">
        <v>2185</v>
      </c>
      <c r="B1148" s="19">
        <v>44313.60327546296</v>
      </c>
      <c r="C1148" s="4">
        <v>50009.0</v>
      </c>
      <c r="D1148" s="4" t="s">
        <v>2186</v>
      </c>
      <c r="E1148" s="4">
        <v>9.19515757319E11</v>
      </c>
      <c r="F1148" s="4">
        <v>17355.0</v>
      </c>
      <c r="G1148" s="4"/>
      <c r="H1148" s="4" t="s">
        <v>1476</v>
      </c>
      <c r="I1148" s="4"/>
      <c r="J1148" s="4" t="s">
        <v>149</v>
      </c>
      <c r="K1148" s="4">
        <v>99.0</v>
      </c>
      <c r="L1148" s="4"/>
      <c r="M1148" s="4">
        <v>99.0</v>
      </c>
      <c r="N1148" s="4" t="s">
        <v>67</v>
      </c>
      <c r="O1148" s="4" t="b">
        <v>0</v>
      </c>
      <c r="P1148" s="4" t="s">
        <v>68</v>
      </c>
      <c r="Q1148" s="4" t="s">
        <v>69</v>
      </c>
      <c r="R1148" s="4"/>
      <c r="S1148" s="4"/>
      <c r="T1148" s="4"/>
      <c r="U1148" s="7"/>
      <c r="V1148" s="4"/>
      <c r="W1148" s="4"/>
      <c r="X1148" s="4"/>
      <c r="Y1148" s="4"/>
      <c r="Z1148" s="4"/>
      <c r="AA1148" s="5"/>
      <c r="AB1148" s="5"/>
      <c r="AC1148" s="5"/>
      <c r="AD1148" s="5"/>
      <c r="AE1148" s="5"/>
    </row>
    <row r="1149">
      <c r="A1149" s="14" t="s">
        <v>2039</v>
      </c>
      <c r="B1149" s="19">
        <v>44312.55351851852</v>
      </c>
      <c r="C1149" s="4">
        <v>49993.0</v>
      </c>
      <c r="D1149" s="4" t="s">
        <v>2040</v>
      </c>
      <c r="E1149" s="4">
        <v>9.18884748127E11</v>
      </c>
      <c r="F1149" s="4">
        <v>17391.0</v>
      </c>
      <c r="G1149" s="4"/>
      <c r="H1149" s="4" t="s">
        <v>1104</v>
      </c>
      <c r="I1149" s="4"/>
      <c r="J1149" s="4" t="s">
        <v>149</v>
      </c>
      <c r="K1149" s="4">
        <v>199.0</v>
      </c>
      <c r="L1149" s="4"/>
      <c r="M1149" s="4">
        <v>199.0</v>
      </c>
      <c r="N1149" s="4" t="s">
        <v>67</v>
      </c>
      <c r="O1149" s="4" t="b">
        <v>0</v>
      </c>
      <c r="P1149" s="4" t="s">
        <v>68</v>
      </c>
      <c r="Q1149" s="4" t="s">
        <v>69</v>
      </c>
      <c r="R1149" s="4"/>
      <c r="S1149" s="4"/>
      <c r="T1149" s="4"/>
      <c r="U1149" s="7"/>
      <c r="V1149" s="4"/>
      <c r="W1149" s="4"/>
      <c r="X1149" s="4"/>
      <c r="Y1149" s="4"/>
      <c r="Z1149" s="4"/>
      <c r="AA1149" s="5"/>
      <c r="AB1149" s="5"/>
      <c r="AC1149" s="5"/>
      <c r="AD1149" s="5"/>
      <c r="AE1149" s="5"/>
    </row>
    <row r="1150">
      <c r="A1150" s="14" t="s">
        <v>2041</v>
      </c>
      <c r="B1150" s="19">
        <v>44312.55739583333</v>
      </c>
      <c r="C1150" s="4">
        <v>50048.0</v>
      </c>
      <c r="D1150" s="4" t="s">
        <v>2042</v>
      </c>
      <c r="E1150" s="4">
        <v>9.19594626273E11</v>
      </c>
      <c r="F1150" s="4">
        <v>17312.0</v>
      </c>
      <c r="G1150" s="4"/>
      <c r="H1150" s="4" t="s">
        <v>1582</v>
      </c>
      <c r="I1150" s="4"/>
      <c r="J1150" s="4" t="s">
        <v>77</v>
      </c>
      <c r="K1150" s="4">
        <v>599.0</v>
      </c>
      <c r="L1150" s="4"/>
      <c r="M1150" s="4">
        <v>599.0</v>
      </c>
      <c r="N1150" s="4" t="s">
        <v>67</v>
      </c>
      <c r="O1150" s="4" t="b">
        <v>0</v>
      </c>
      <c r="P1150" s="4" t="s">
        <v>68</v>
      </c>
      <c r="Q1150" s="4" t="s">
        <v>69</v>
      </c>
      <c r="R1150" s="4"/>
      <c r="S1150" s="4"/>
      <c r="T1150" s="4"/>
      <c r="U1150" s="8"/>
      <c r="V1150" s="4"/>
      <c r="W1150" s="4"/>
      <c r="X1150" s="4"/>
      <c r="Y1150" s="4"/>
      <c r="Z1150" s="4"/>
      <c r="AA1150" s="5"/>
      <c r="AB1150" s="5"/>
      <c r="AC1150" s="5"/>
      <c r="AD1150" s="5"/>
      <c r="AE1150" s="5"/>
    </row>
    <row r="1151">
      <c r="A1151" s="14" t="s">
        <v>369</v>
      </c>
      <c r="B1151" s="19">
        <v>44312.57710648148</v>
      </c>
      <c r="C1151" s="4">
        <v>49991.0</v>
      </c>
      <c r="D1151" s="4" t="s">
        <v>370</v>
      </c>
      <c r="E1151" s="4">
        <v>9.18320313654E11</v>
      </c>
      <c r="F1151" s="4">
        <v>17306.0</v>
      </c>
      <c r="G1151" s="4"/>
      <c r="H1151" s="4" t="s">
        <v>148</v>
      </c>
      <c r="I1151" s="4"/>
      <c r="J1151" s="4" t="s">
        <v>149</v>
      </c>
      <c r="K1151" s="4">
        <v>99.0</v>
      </c>
      <c r="L1151" s="4"/>
      <c r="M1151" s="4">
        <v>99.0</v>
      </c>
      <c r="N1151" s="4" t="s">
        <v>67</v>
      </c>
      <c r="O1151" s="4" t="b">
        <v>0</v>
      </c>
      <c r="P1151" s="4" t="s">
        <v>74</v>
      </c>
      <c r="Q1151" s="4" t="s">
        <v>69</v>
      </c>
      <c r="R1151" s="4"/>
      <c r="S1151" s="4"/>
      <c r="T1151" s="4"/>
      <c r="U1151" s="7"/>
      <c r="V1151" s="4"/>
      <c r="W1151" s="4"/>
      <c r="X1151" s="4"/>
      <c r="Y1151" s="4"/>
      <c r="Z1151" s="4"/>
      <c r="AA1151" s="5"/>
      <c r="AB1151" s="5"/>
      <c r="AC1151" s="5"/>
      <c r="AD1151" s="5"/>
      <c r="AE1151" s="5"/>
    </row>
    <row r="1152">
      <c r="A1152" s="14" t="s">
        <v>1555</v>
      </c>
      <c r="B1152" s="19">
        <v>44312.57954861111</v>
      </c>
      <c r="C1152" s="4">
        <v>49859.0</v>
      </c>
      <c r="D1152" s="4" t="s">
        <v>1556</v>
      </c>
      <c r="E1152" s="4">
        <v>9.19868482044E11</v>
      </c>
      <c r="F1152" s="4">
        <v>17308.0</v>
      </c>
      <c r="G1152" s="4"/>
      <c r="H1152" s="4" t="s">
        <v>1507</v>
      </c>
      <c r="I1152" s="4"/>
      <c r="J1152" s="4" t="s">
        <v>149</v>
      </c>
      <c r="K1152" s="4">
        <v>99.0</v>
      </c>
      <c r="L1152" s="4"/>
      <c r="M1152" s="4">
        <v>99.0</v>
      </c>
      <c r="N1152" s="4" t="s">
        <v>67</v>
      </c>
      <c r="O1152" s="4" t="b">
        <v>0</v>
      </c>
      <c r="P1152" s="4" t="s">
        <v>68</v>
      </c>
      <c r="Q1152" s="4" t="s">
        <v>69</v>
      </c>
      <c r="R1152" s="4"/>
      <c r="S1152" s="4"/>
      <c r="T1152" s="4"/>
      <c r="U1152" s="7"/>
      <c r="V1152" s="4"/>
      <c r="W1152" s="4"/>
      <c r="X1152" s="4"/>
      <c r="Y1152" s="4"/>
      <c r="Z1152" s="4"/>
      <c r="AA1152" s="5"/>
      <c r="AB1152" s="5"/>
      <c r="AC1152" s="5"/>
      <c r="AD1152" s="5"/>
      <c r="AE1152" s="5"/>
    </row>
    <row r="1153">
      <c r="A1153" s="14" t="s">
        <v>535</v>
      </c>
      <c r="B1153" s="19">
        <v>44312.58162037037</v>
      </c>
      <c r="C1153" s="4">
        <v>49992.0</v>
      </c>
      <c r="D1153" s="4" t="s">
        <v>536</v>
      </c>
      <c r="E1153" s="4">
        <v>9.19284953713E11</v>
      </c>
      <c r="F1153" s="4">
        <v>17310.0</v>
      </c>
      <c r="G1153" s="4"/>
      <c r="H1153" s="4" t="s">
        <v>435</v>
      </c>
      <c r="I1153" s="4"/>
      <c r="J1153" s="4" t="s">
        <v>85</v>
      </c>
      <c r="K1153" s="4">
        <v>199.0</v>
      </c>
      <c r="L1153" s="4"/>
      <c r="M1153" s="4">
        <v>199.0</v>
      </c>
      <c r="N1153" s="4" t="s">
        <v>67</v>
      </c>
      <c r="O1153" s="4" t="b">
        <v>0</v>
      </c>
      <c r="P1153" s="4" t="s">
        <v>74</v>
      </c>
      <c r="Q1153" s="4" t="s">
        <v>69</v>
      </c>
      <c r="R1153" s="4"/>
      <c r="S1153" s="4"/>
      <c r="T1153" s="4"/>
      <c r="U1153" s="7"/>
      <c r="V1153" s="4"/>
      <c r="W1153" s="4"/>
      <c r="X1153" s="4"/>
      <c r="Y1153" s="4"/>
      <c r="Z1153" s="4"/>
      <c r="AA1153" s="5"/>
      <c r="AB1153" s="5"/>
      <c r="AC1153" s="5"/>
      <c r="AD1153" s="5"/>
      <c r="AE1153" s="5"/>
    </row>
    <row r="1154">
      <c r="A1154" s="14" t="s">
        <v>2049</v>
      </c>
      <c r="B1154" s="19">
        <v>44312.586180555554</v>
      </c>
      <c r="C1154" s="4">
        <v>49958.0</v>
      </c>
      <c r="D1154" s="4" t="s">
        <v>2050</v>
      </c>
      <c r="E1154" s="4">
        <v>9.19953043936E11</v>
      </c>
      <c r="F1154" s="4" t="s">
        <v>83</v>
      </c>
      <c r="G1154" s="4"/>
      <c r="H1154" s="4" t="s">
        <v>858</v>
      </c>
      <c r="I1154" s="4"/>
      <c r="J1154" s="4" t="s">
        <v>85</v>
      </c>
      <c r="K1154" s="4">
        <v>199.0</v>
      </c>
      <c r="L1154" s="4"/>
      <c r="M1154" s="4">
        <v>199.0</v>
      </c>
      <c r="N1154" s="4" t="s">
        <v>67</v>
      </c>
      <c r="O1154" s="4" t="b">
        <v>0</v>
      </c>
      <c r="P1154" s="4" t="s">
        <v>68</v>
      </c>
      <c r="Q1154" s="4" t="s">
        <v>69</v>
      </c>
      <c r="R1154" s="4"/>
      <c r="S1154" s="4"/>
      <c r="T1154" s="4"/>
      <c r="U1154" s="7"/>
      <c r="V1154" s="4"/>
      <c r="W1154" s="4"/>
      <c r="X1154" s="4"/>
      <c r="Y1154" s="4"/>
      <c r="Z1154" s="4"/>
      <c r="AA1154" s="5"/>
      <c r="AB1154" s="5"/>
      <c r="AC1154" s="5"/>
      <c r="AD1154" s="5"/>
      <c r="AE1154" s="5"/>
    </row>
    <row r="1155">
      <c r="A1155" s="14" t="s">
        <v>2053</v>
      </c>
      <c r="B1155" s="19">
        <v>44312.609826388885</v>
      </c>
      <c r="C1155" s="4">
        <v>49958.0</v>
      </c>
      <c r="D1155" s="4" t="s">
        <v>2054</v>
      </c>
      <c r="E1155" s="4">
        <v>9.18595818525E11</v>
      </c>
      <c r="F1155" s="4">
        <v>17309.0</v>
      </c>
      <c r="G1155" s="4"/>
      <c r="H1155" s="4" t="s">
        <v>858</v>
      </c>
      <c r="I1155" s="4"/>
      <c r="J1155" s="4" t="s">
        <v>85</v>
      </c>
      <c r="K1155" s="4">
        <v>199.0</v>
      </c>
      <c r="L1155" s="4"/>
      <c r="M1155" s="4">
        <v>199.0</v>
      </c>
      <c r="N1155" s="4" t="s">
        <v>67</v>
      </c>
      <c r="O1155" s="4" t="b">
        <v>0</v>
      </c>
      <c r="P1155" s="4" t="s">
        <v>68</v>
      </c>
      <c r="Q1155" s="4" t="s">
        <v>69</v>
      </c>
      <c r="R1155" s="4"/>
      <c r="S1155" s="4"/>
      <c r="T1155" s="4"/>
      <c r="U1155" s="7"/>
      <c r="V1155" s="4"/>
      <c r="W1155" s="4"/>
      <c r="X1155" s="4"/>
      <c r="Y1155" s="4"/>
      <c r="Z1155" s="4"/>
      <c r="AA1155" s="5"/>
      <c r="AB1155" s="5"/>
      <c r="AC1155" s="5"/>
      <c r="AD1155" s="5"/>
      <c r="AE1155" s="5"/>
    </row>
    <row r="1156">
      <c r="A1156" s="14" t="s">
        <v>2187</v>
      </c>
      <c r="B1156" s="19">
        <v>44313.65251157407</v>
      </c>
      <c r="C1156" s="4">
        <v>50041.0</v>
      </c>
      <c r="D1156" s="4" t="s">
        <v>2188</v>
      </c>
      <c r="E1156" s="4">
        <v>9.19966588812E11</v>
      </c>
      <c r="F1156" s="4">
        <v>17552.0</v>
      </c>
      <c r="G1156" s="4"/>
      <c r="H1156" s="4" t="s">
        <v>1932</v>
      </c>
      <c r="I1156" s="4"/>
      <c r="J1156" s="4" t="s">
        <v>77</v>
      </c>
      <c r="K1156" s="4">
        <v>349.0</v>
      </c>
      <c r="L1156" s="4"/>
      <c r="M1156" s="4">
        <v>349.0</v>
      </c>
      <c r="N1156" s="4" t="s">
        <v>67</v>
      </c>
      <c r="O1156" s="4" t="b">
        <v>0</v>
      </c>
      <c r="P1156" s="4" t="s">
        <v>68</v>
      </c>
      <c r="Q1156" s="4" t="s">
        <v>69</v>
      </c>
      <c r="R1156" s="4"/>
      <c r="S1156" s="4"/>
      <c r="T1156" s="4"/>
      <c r="U1156" s="7"/>
      <c r="V1156" s="4"/>
      <c r="W1156" s="4"/>
      <c r="X1156" s="4"/>
      <c r="Y1156" s="4"/>
      <c r="Z1156" s="4"/>
      <c r="AA1156" s="5"/>
      <c r="AB1156" s="5"/>
      <c r="AC1156" s="5"/>
      <c r="AD1156" s="5"/>
      <c r="AE1156" s="5"/>
    </row>
    <row r="1157">
      <c r="A1157" s="14" t="s">
        <v>2055</v>
      </c>
      <c r="B1157" s="19">
        <v>44312.61079861111</v>
      </c>
      <c r="C1157" s="4">
        <v>50030.0</v>
      </c>
      <c r="D1157" s="4" t="s">
        <v>2057</v>
      </c>
      <c r="E1157" s="4">
        <v>9.18118026555E11</v>
      </c>
      <c r="F1157" s="4" t="s">
        <v>83</v>
      </c>
      <c r="G1157" s="4"/>
      <c r="H1157" s="4" t="s">
        <v>1979</v>
      </c>
      <c r="I1157" s="4"/>
      <c r="J1157" s="4" t="s">
        <v>2056</v>
      </c>
      <c r="K1157" s="4">
        <v>349.0</v>
      </c>
      <c r="L1157" s="4"/>
      <c r="M1157" s="4">
        <v>349.0</v>
      </c>
      <c r="N1157" s="4" t="s">
        <v>67</v>
      </c>
      <c r="O1157" s="4" t="b">
        <v>0</v>
      </c>
      <c r="P1157" s="4" t="s">
        <v>151</v>
      </c>
      <c r="Q1157" s="4" t="s">
        <v>69</v>
      </c>
      <c r="R1157" s="4"/>
      <c r="S1157" s="4"/>
      <c r="T1157" s="4"/>
      <c r="U1157" s="7"/>
      <c r="V1157" s="4"/>
      <c r="W1157" s="4"/>
      <c r="X1157" s="4"/>
      <c r="Y1157" s="4"/>
      <c r="Z1157" s="4"/>
      <c r="AA1157" s="5"/>
      <c r="AB1157" s="5"/>
      <c r="AC1157" s="5"/>
      <c r="AD1157" s="5"/>
      <c r="AE1157" s="5"/>
    </row>
    <row r="1158">
      <c r="A1158" s="14" t="s">
        <v>1903</v>
      </c>
      <c r="B1158" s="19">
        <v>44312.5949537037</v>
      </c>
      <c r="C1158" s="4">
        <v>49813.0</v>
      </c>
      <c r="D1158" s="4" t="s">
        <v>1904</v>
      </c>
      <c r="E1158" s="4">
        <v>9.19986777712E11</v>
      </c>
      <c r="F1158" s="4" t="s">
        <v>83</v>
      </c>
      <c r="G1158" s="4"/>
      <c r="H1158" s="4" t="s">
        <v>1592</v>
      </c>
      <c r="I1158" s="4"/>
      <c r="J1158" s="4" t="s">
        <v>149</v>
      </c>
      <c r="K1158" s="4">
        <v>299.0</v>
      </c>
      <c r="L1158" s="4"/>
      <c r="M1158" s="4">
        <v>299.0</v>
      </c>
      <c r="N1158" s="4" t="s">
        <v>67</v>
      </c>
      <c r="O1158" s="4" t="b">
        <v>0</v>
      </c>
      <c r="P1158" s="4" t="s">
        <v>68</v>
      </c>
      <c r="Q1158" s="4" t="s">
        <v>69</v>
      </c>
      <c r="R1158" s="4"/>
      <c r="T1158" s="20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</row>
    <row r="1159">
      <c r="A1159" s="14" t="s">
        <v>2058</v>
      </c>
      <c r="B1159" s="19">
        <v>44312.61342592593</v>
      </c>
      <c r="C1159" s="4">
        <v>49958.0</v>
      </c>
      <c r="D1159" s="4" t="s">
        <v>2059</v>
      </c>
      <c r="E1159" s="4">
        <v>9.17637854372E11</v>
      </c>
      <c r="F1159" s="4" t="s">
        <v>83</v>
      </c>
      <c r="G1159" s="4"/>
      <c r="H1159" s="4" t="s">
        <v>858</v>
      </c>
      <c r="I1159" s="4"/>
      <c r="J1159" s="4" t="s">
        <v>85</v>
      </c>
      <c r="K1159" s="4">
        <v>199.0</v>
      </c>
      <c r="L1159" s="4"/>
      <c r="M1159" s="4">
        <v>199.0</v>
      </c>
      <c r="N1159" s="4" t="s">
        <v>67</v>
      </c>
      <c r="O1159" s="4" t="b">
        <v>0</v>
      </c>
      <c r="P1159" s="4" t="s">
        <v>68</v>
      </c>
      <c r="Q1159" s="4" t="s">
        <v>69</v>
      </c>
      <c r="R1159" s="4"/>
      <c r="T1159" s="20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</row>
    <row r="1160">
      <c r="A1160" s="14" t="s">
        <v>2060</v>
      </c>
      <c r="B1160" s="19">
        <v>44312.61740740741</v>
      </c>
      <c r="C1160" s="4">
        <v>50030.0</v>
      </c>
      <c r="D1160" s="4" t="s">
        <v>2061</v>
      </c>
      <c r="E1160" s="4">
        <v>9.17030536638E11</v>
      </c>
      <c r="F1160" s="4">
        <v>17393.0</v>
      </c>
      <c r="G1160" s="4"/>
      <c r="H1160" s="4" t="s">
        <v>1979</v>
      </c>
      <c r="I1160" s="4"/>
      <c r="J1160" s="4" t="s">
        <v>1442</v>
      </c>
      <c r="K1160" s="4">
        <v>199.0</v>
      </c>
      <c r="L1160" s="4"/>
      <c r="M1160" s="4">
        <v>199.0</v>
      </c>
      <c r="N1160" s="4" t="s">
        <v>67</v>
      </c>
      <c r="O1160" s="4" t="b">
        <v>0</v>
      </c>
      <c r="P1160" s="4" t="s">
        <v>68</v>
      </c>
      <c r="Q1160" s="4" t="s">
        <v>69</v>
      </c>
      <c r="R1160" s="4"/>
      <c r="T1160" s="20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</row>
    <row r="1161">
      <c r="A1161" s="14" t="s">
        <v>2062</v>
      </c>
      <c r="B1161" s="19">
        <v>44312.623148148145</v>
      </c>
      <c r="C1161" s="4">
        <v>49994.0</v>
      </c>
      <c r="D1161" s="4" t="s">
        <v>2063</v>
      </c>
      <c r="E1161" s="4">
        <v>9.199882899E11</v>
      </c>
      <c r="F1161" s="4">
        <v>17311.0</v>
      </c>
      <c r="G1161" s="4"/>
      <c r="H1161" s="4" t="s">
        <v>1264</v>
      </c>
      <c r="I1161" s="4"/>
      <c r="J1161" s="4" t="s">
        <v>149</v>
      </c>
      <c r="K1161" s="4">
        <v>99.0</v>
      </c>
      <c r="L1161" s="4"/>
      <c r="M1161" s="4">
        <v>99.0</v>
      </c>
      <c r="N1161" s="4" t="s">
        <v>67</v>
      </c>
      <c r="O1161" s="4" t="b">
        <v>0</v>
      </c>
      <c r="P1161" s="4" t="s">
        <v>97</v>
      </c>
      <c r="Q1161" s="4" t="s">
        <v>69</v>
      </c>
      <c r="R1161" s="4"/>
      <c r="T1161" s="20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</row>
    <row r="1162">
      <c r="A1162" s="14" t="s">
        <v>2110</v>
      </c>
      <c r="B1162" s="19">
        <v>44312.62443287037</v>
      </c>
      <c r="C1162" s="4">
        <v>49995.0</v>
      </c>
      <c r="D1162" s="4" t="s">
        <v>2111</v>
      </c>
      <c r="E1162" s="4">
        <v>9.19606619902E11</v>
      </c>
      <c r="F1162" s="4">
        <v>17313.0</v>
      </c>
      <c r="G1162" s="4"/>
      <c r="H1162" s="4" t="s">
        <v>2005</v>
      </c>
      <c r="I1162" s="4"/>
      <c r="J1162" s="4" t="s">
        <v>149</v>
      </c>
      <c r="K1162" s="4">
        <v>99.0</v>
      </c>
      <c r="L1162" s="4"/>
      <c r="M1162" s="4">
        <v>99.0</v>
      </c>
      <c r="N1162" s="4" t="s">
        <v>67</v>
      </c>
      <c r="O1162" s="4" t="b">
        <v>0</v>
      </c>
      <c r="P1162" s="4" t="s">
        <v>68</v>
      </c>
      <c r="Q1162" s="4" t="s">
        <v>69</v>
      </c>
      <c r="R1162" s="4"/>
      <c r="T1162" s="20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</row>
    <row r="1163">
      <c r="A1163" s="14" t="s">
        <v>2066</v>
      </c>
      <c r="B1163" s="19">
        <v>44312.62537037037</v>
      </c>
      <c r="C1163" s="4">
        <v>49958.0</v>
      </c>
      <c r="D1163" s="4" t="s">
        <v>2067</v>
      </c>
      <c r="E1163" s="4">
        <v>9.18375978076E11</v>
      </c>
      <c r="F1163" s="4" t="s">
        <v>83</v>
      </c>
      <c r="G1163" s="4"/>
      <c r="H1163" s="4" t="s">
        <v>858</v>
      </c>
      <c r="I1163" s="4"/>
      <c r="J1163" s="4" t="s">
        <v>85</v>
      </c>
      <c r="K1163" s="4">
        <v>199.0</v>
      </c>
      <c r="L1163" s="4"/>
      <c r="M1163" s="4">
        <v>199.0</v>
      </c>
      <c r="N1163" s="4" t="s">
        <v>67</v>
      </c>
      <c r="O1163" s="4" t="b">
        <v>0</v>
      </c>
      <c r="P1163" s="4" t="s">
        <v>68</v>
      </c>
      <c r="Q1163" s="4" t="s">
        <v>69</v>
      </c>
      <c r="R1163" s="4"/>
      <c r="T1163" s="20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</row>
    <row r="1164">
      <c r="A1164" s="14" t="s">
        <v>1927</v>
      </c>
      <c r="B1164" s="19">
        <v>44313.6880787037</v>
      </c>
      <c r="C1164" s="4">
        <v>49813.0</v>
      </c>
      <c r="D1164" s="4" t="s">
        <v>1928</v>
      </c>
      <c r="E1164" s="4">
        <v>9.19820042502E11</v>
      </c>
      <c r="F1164" s="4" t="s">
        <v>83</v>
      </c>
      <c r="G1164" s="4"/>
      <c r="H1164" s="4" t="s">
        <v>1592</v>
      </c>
      <c r="I1164" s="4"/>
      <c r="J1164" s="4" t="s">
        <v>85</v>
      </c>
      <c r="K1164" s="4">
        <v>499.0</v>
      </c>
      <c r="L1164" s="4"/>
      <c r="M1164" s="4">
        <v>499.0</v>
      </c>
      <c r="N1164" s="4" t="s">
        <v>67</v>
      </c>
      <c r="O1164" s="4" t="b">
        <v>0</v>
      </c>
      <c r="P1164" s="4" t="s">
        <v>151</v>
      </c>
      <c r="Q1164" s="4" t="s">
        <v>69</v>
      </c>
      <c r="R1164" s="4"/>
      <c r="T1164" s="20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</row>
    <row r="1165">
      <c r="A1165" s="14" t="s">
        <v>1469</v>
      </c>
      <c r="B1165" s="19">
        <v>44312.65211805556</v>
      </c>
      <c r="C1165" s="4">
        <v>50031.0</v>
      </c>
      <c r="D1165" s="4" t="s">
        <v>1470</v>
      </c>
      <c r="E1165" s="4">
        <v>9.19330424936E11</v>
      </c>
      <c r="F1165" s="4">
        <v>17315.0</v>
      </c>
      <c r="G1165" s="4"/>
      <c r="H1165" s="4" t="s">
        <v>1447</v>
      </c>
      <c r="I1165" s="4"/>
      <c r="J1165" s="4" t="s">
        <v>1442</v>
      </c>
      <c r="K1165" s="4">
        <v>199.0</v>
      </c>
      <c r="L1165" s="4"/>
      <c r="M1165" s="4">
        <v>199.0</v>
      </c>
      <c r="N1165" s="4" t="s">
        <v>67</v>
      </c>
      <c r="O1165" s="4" t="b">
        <v>0</v>
      </c>
      <c r="P1165" s="4" t="s">
        <v>68</v>
      </c>
      <c r="Q1165" s="4" t="s">
        <v>69</v>
      </c>
      <c r="R1165" s="4"/>
      <c r="T1165" s="20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</row>
    <row r="1166">
      <c r="A1166" s="14" t="s">
        <v>2191</v>
      </c>
      <c r="B1166" s="19">
        <v>44313.696921296294</v>
      </c>
      <c r="C1166" s="4">
        <v>50030.0</v>
      </c>
      <c r="D1166" s="4" t="s">
        <v>2192</v>
      </c>
      <c r="E1166" s="4">
        <v>9.19455921324E11</v>
      </c>
      <c r="F1166" s="4" t="s">
        <v>83</v>
      </c>
      <c r="G1166" s="4"/>
      <c r="H1166" s="4" t="s">
        <v>1979</v>
      </c>
      <c r="I1166" s="4"/>
      <c r="J1166" s="4" t="s">
        <v>1437</v>
      </c>
      <c r="K1166" s="4">
        <v>99.0</v>
      </c>
      <c r="L1166" s="4"/>
      <c r="M1166" s="4">
        <v>99.0</v>
      </c>
      <c r="N1166" s="4" t="s">
        <v>67</v>
      </c>
      <c r="O1166" s="4" t="b">
        <v>0</v>
      </c>
      <c r="P1166" s="4" t="s">
        <v>68</v>
      </c>
      <c r="Q1166" s="4" t="s">
        <v>69</v>
      </c>
      <c r="R1166" s="4"/>
      <c r="T1166" s="20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</row>
    <row r="1167">
      <c r="A1167" s="14" t="s">
        <v>2070</v>
      </c>
      <c r="B1167" s="19">
        <v>44312.662453703706</v>
      </c>
      <c r="C1167" s="4">
        <v>50009.0</v>
      </c>
      <c r="D1167" s="4" t="s">
        <v>2071</v>
      </c>
      <c r="E1167" s="4">
        <v>9.19809419832E11</v>
      </c>
      <c r="F1167" s="4" t="s">
        <v>83</v>
      </c>
      <c r="G1167" s="4"/>
      <c r="H1167" s="4" t="s">
        <v>1476</v>
      </c>
      <c r="I1167" s="4"/>
      <c r="J1167" s="4" t="s">
        <v>149</v>
      </c>
      <c r="K1167" s="4">
        <v>99.0</v>
      </c>
      <c r="L1167" s="4"/>
      <c r="M1167" s="4">
        <v>99.0</v>
      </c>
      <c r="N1167" s="4" t="s">
        <v>67</v>
      </c>
      <c r="O1167" s="4" t="b">
        <v>0</v>
      </c>
      <c r="P1167" s="4" t="s">
        <v>68</v>
      </c>
      <c r="Q1167" s="4" t="s">
        <v>69</v>
      </c>
      <c r="R1167" s="4"/>
      <c r="T1167" s="20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</row>
    <row r="1168">
      <c r="A1168" s="14" t="s">
        <v>2200</v>
      </c>
      <c r="B1168" s="19">
        <v>44313.74581018519</v>
      </c>
      <c r="C1168" s="4">
        <v>49994.0</v>
      </c>
      <c r="D1168" s="4" t="s">
        <v>2201</v>
      </c>
      <c r="E1168" s="4">
        <v>9.19448956202E11</v>
      </c>
      <c r="F1168" s="4">
        <v>17488.0</v>
      </c>
      <c r="G1168" s="4"/>
      <c r="H1168" s="4" t="s">
        <v>1264</v>
      </c>
      <c r="I1168" s="4"/>
      <c r="J1168" s="4" t="s">
        <v>77</v>
      </c>
      <c r="K1168" s="4">
        <v>349.0</v>
      </c>
      <c r="L1168" s="4"/>
      <c r="M1168" s="4">
        <v>349.0</v>
      </c>
      <c r="N1168" s="4" t="s">
        <v>67</v>
      </c>
      <c r="O1168" s="4" t="b">
        <v>0</v>
      </c>
      <c r="P1168" s="4" t="s">
        <v>68</v>
      </c>
      <c r="Q1168" s="4" t="s">
        <v>69</v>
      </c>
      <c r="R1168" s="4"/>
      <c r="T1168" s="20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</row>
    <row r="1169">
      <c r="A1169" s="14" t="s">
        <v>1941</v>
      </c>
      <c r="B1169" s="19">
        <v>44313.729375</v>
      </c>
      <c r="C1169" s="4">
        <v>49813.0</v>
      </c>
      <c r="D1169" s="4" t="s">
        <v>1942</v>
      </c>
      <c r="E1169" s="4">
        <v>9.19923478863E11</v>
      </c>
      <c r="F1169" s="4" t="s">
        <v>83</v>
      </c>
      <c r="G1169" s="4"/>
      <c r="H1169" s="4" t="s">
        <v>1592</v>
      </c>
      <c r="I1169" s="4"/>
      <c r="J1169" s="4" t="s">
        <v>149</v>
      </c>
      <c r="K1169" s="4">
        <v>299.0</v>
      </c>
      <c r="L1169" s="4"/>
      <c r="M1169" s="4">
        <v>299.0</v>
      </c>
      <c r="N1169" s="4" t="s">
        <v>67</v>
      </c>
      <c r="O1169" s="4" t="b">
        <v>0</v>
      </c>
      <c r="P1169" s="4" t="s">
        <v>68</v>
      </c>
      <c r="Q1169" s="4" t="s">
        <v>69</v>
      </c>
      <c r="R1169" s="4"/>
      <c r="T1169" s="20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</row>
    <row r="1170">
      <c r="A1170" s="14" t="s">
        <v>1563</v>
      </c>
      <c r="B1170" s="19">
        <v>44313.73296296296</v>
      </c>
      <c r="C1170" s="4">
        <v>49859.0</v>
      </c>
      <c r="D1170" s="4" t="s">
        <v>1564</v>
      </c>
      <c r="E1170" s="4">
        <v>9.1691323368E11</v>
      </c>
      <c r="F1170" s="4">
        <v>17366.0</v>
      </c>
      <c r="G1170" s="4"/>
      <c r="H1170" s="4" t="s">
        <v>1507</v>
      </c>
      <c r="I1170" s="4"/>
      <c r="J1170" s="4" t="s">
        <v>149</v>
      </c>
      <c r="K1170" s="4">
        <v>99.0</v>
      </c>
      <c r="L1170" s="4"/>
      <c r="M1170" s="4">
        <v>99.0</v>
      </c>
      <c r="N1170" s="4" t="s">
        <v>67</v>
      </c>
      <c r="O1170" s="4" t="b">
        <v>0</v>
      </c>
      <c r="P1170" s="4" t="s">
        <v>68</v>
      </c>
      <c r="Q1170" s="4" t="s">
        <v>69</v>
      </c>
      <c r="R1170" s="4"/>
      <c r="T1170" s="20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</row>
    <row r="1171">
      <c r="A1171" s="14" t="s">
        <v>1967</v>
      </c>
      <c r="B1171" s="19">
        <v>44313.753171296295</v>
      </c>
      <c r="C1171" s="4">
        <v>49813.0</v>
      </c>
      <c r="D1171" s="4" t="s">
        <v>1968</v>
      </c>
      <c r="E1171" s="4">
        <v>9.19674711405E11</v>
      </c>
      <c r="F1171" s="4" t="s">
        <v>83</v>
      </c>
      <c r="G1171" s="4"/>
      <c r="H1171" s="4" t="s">
        <v>1592</v>
      </c>
      <c r="I1171" s="4"/>
      <c r="J1171" s="4" t="s">
        <v>77</v>
      </c>
      <c r="K1171" s="4">
        <v>799.0</v>
      </c>
      <c r="L1171" s="4"/>
      <c r="M1171" s="4">
        <v>799.0</v>
      </c>
      <c r="N1171" s="4" t="s">
        <v>67</v>
      </c>
      <c r="O1171" s="4" t="b">
        <v>0</v>
      </c>
      <c r="P1171" s="4" t="s">
        <v>68</v>
      </c>
      <c r="Q1171" s="4" t="s">
        <v>69</v>
      </c>
      <c r="R1171" s="4"/>
      <c r="T1171" s="20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</row>
    <row r="1172">
      <c r="A1172" s="14" t="s">
        <v>2116</v>
      </c>
      <c r="B1172" s="19">
        <v>44312.69663194445</v>
      </c>
      <c r="C1172" s="4">
        <v>49995.0</v>
      </c>
      <c r="D1172" s="4" t="s">
        <v>2117</v>
      </c>
      <c r="E1172" s="4">
        <v>9.185270772E11</v>
      </c>
      <c r="F1172" s="4">
        <v>17316.0</v>
      </c>
      <c r="G1172" s="4"/>
      <c r="H1172" s="4" t="s">
        <v>2005</v>
      </c>
      <c r="I1172" s="4"/>
      <c r="J1172" s="4" t="s">
        <v>149</v>
      </c>
      <c r="K1172" s="4">
        <v>99.0</v>
      </c>
      <c r="L1172" s="4"/>
      <c r="M1172" s="4">
        <v>99.0</v>
      </c>
      <c r="N1172" s="4" t="s">
        <v>67</v>
      </c>
      <c r="O1172" s="4" t="b">
        <v>0</v>
      </c>
      <c r="P1172" s="4" t="s">
        <v>68</v>
      </c>
      <c r="Q1172" s="4" t="s">
        <v>69</v>
      </c>
      <c r="R1172" s="4"/>
      <c r="T1172" s="20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</row>
    <row r="1173">
      <c r="A1173" s="14" t="s">
        <v>2198</v>
      </c>
      <c r="B1173" s="19">
        <v>44313.74207175926</v>
      </c>
      <c r="C1173" s="4">
        <v>50030.0</v>
      </c>
      <c r="D1173" s="4" t="s">
        <v>2199</v>
      </c>
      <c r="E1173" s="4">
        <v>9.19884997315E11</v>
      </c>
      <c r="F1173" s="4">
        <v>17367.0</v>
      </c>
      <c r="G1173" s="4"/>
      <c r="H1173" s="4" t="s">
        <v>1979</v>
      </c>
      <c r="I1173" s="4"/>
      <c r="J1173" s="4" t="s">
        <v>1442</v>
      </c>
      <c r="K1173" s="4">
        <v>199.0</v>
      </c>
      <c r="L1173" s="4"/>
      <c r="M1173" s="4">
        <v>199.0</v>
      </c>
      <c r="N1173" s="4" t="s">
        <v>67</v>
      </c>
      <c r="O1173" s="4" t="b">
        <v>0</v>
      </c>
      <c r="P1173" s="4" t="s">
        <v>97</v>
      </c>
      <c r="Q1173" s="4" t="s">
        <v>69</v>
      </c>
      <c r="R1173" s="4"/>
      <c r="T1173" s="20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</row>
    <row r="1174">
      <c r="A1174" s="14" t="s">
        <v>1905</v>
      </c>
      <c r="B1174" s="19">
        <v>44312.71225694445</v>
      </c>
      <c r="C1174" s="4">
        <v>49813.0</v>
      </c>
      <c r="D1174" s="4" t="s">
        <v>1906</v>
      </c>
      <c r="E1174" s="4">
        <v>9.19717044153E11</v>
      </c>
      <c r="F1174" s="4">
        <v>17317.0</v>
      </c>
      <c r="G1174" s="4"/>
      <c r="H1174" s="4" t="s">
        <v>1592</v>
      </c>
      <c r="I1174" s="4"/>
      <c r="J1174" s="4" t="s">
        <v>149</v>
      </c>
      <c r="K1174" s="4">
        <v>299.0</v>
      </c>
      <c r="L1174" s="4"/>
      <c r="M1174" s="4">
        <v>299.0</v>
      </c>
      <c r="N1174" s="4" t="s">
        <v>67</v>
      </c>
      <c r="O1174" s="4" t="b">
        <v>0</v>
      </c>
      <c r="P1174" s="4" t="s">
        <v>68</v>
      </c>
      <c r="Q1174" s="4" t="s">
        <v>69</v>
      </c>
      <c r="R1174" s="4"/>
      <c r="T1174" s="20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</row>
    <row r="1175">
      <c r="A1175" s="14" t="s">
        <v>2381</v>
      </c>
      <c r="B1175" s="19">
        <v>44313.78939814815</v>
      </c>
      <c r="C1175" s="4">
        <v>49854.0</v>
      </c>
      <c r="D1175" s="4" t="s">
        <v>2382</v>
      </c>
      <c r="E1175" s="4">
        <v>9.17696803173E11</v>
      </c>
      <c r="F1175" s="4">
        <v>17742.0</v>
      </c>
      <c r="G1175" s="4"/>
      <c r="H1175" s="4" t="s">
        <v>2161</v>
      </c>
      <c r="I1175" s="4"/>
      <c r="J1175" s="4" t="s">
        <v>85</v>
      </c>
      <c r="K1175" s="4">
        <v>599.0</v>
      </c>
      <c r="L1175" s="4"/>
      <c r="M1175" s="4">
        <v>599.0</v>
      </c>
      <c r="N1175" s="4" t="s">
        <v>67</v>
      </c>
      <c r="O1175" s="4" t="b">
        <v>0</v>
      </c>
      <c r="P1175" s="4" t="s">
        <v>68</v>
      </c>
      <c r="Q1175" s="4" t="s">
        <v>69</v>
      </c>
      <c r="R1175" s="4"/>
      <c r="T1175" s="20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</row>
    <row r="1176">
      <c r="A1176" s="14" t="s">
        <v>1482</v>
      </c>
      <c r="B1176" s="19">
        <v>44313.7762037037</v>
      </c>
      <c r="C1176" s="4">
        <v>50031.0</v>
      </c>
      <c r="D1176" s="4" t="s">
        <v>1483</v>
      </c>
      <c r="E1176" s="4">
        <v>9.19873012133E11</v>
      </c>
      <c r="F1176" s="4">
        <v>17369.0</v>
      </c>
      <c r="G1176" s="4"/>
      <c r="H1176" s="4" t="s">
        <v>1447</v>
      </c>
      <c r="I1176" s="4"/>
      <c r="J1176" s="4" t="s">
        <v>1437</v>
      </c>
      <c r="K1176" s="4">
        <v>99.0</v>
      </c>
      <c r="L1176" s="4"/>
      <c r="M1176" s="4">
        <v>99.0</v>
      </c>
      <c r="N1176" s="4" t="s">
        <v>67</v>
      </c>
      <c r="O1176" s="4" t="b">
        <v>0</v>
      </c>
      <c r="P1176" s="4" t="s">
        <v>151</v>
      </c>
      <c r="Q1176" s="4" t="s">
        <v>69</v>
      </c>
      <c r="R1176" s="4"/>
      <c r="T1176" s="20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</row>
    <row r="1177">
      <c r="A1177" s="14" t="s">
        <v>2076</v>
      </c>
      <c r="B1177" s="19">
        <v>44312.71923611111</v>
      </c>
      <c r="C1177" s="4">
        <v>50023.0</v>
      </c>
      <c r="D1177" s="4" t="s">
        <v>2077</v>
      </c>
      <c r="E1177" s="4">
        <v>9.17735590105E11</v>
      </c>
      <c r="F1177" s="4">
        <v>17349.0</v>
      </c>
      <c r="G1177" s="4"/>
      <c r="H1177" s="4" t="s">
        <v>1956</v>
      </c>
      <c r="I1177" s="4"/>
      <c r="J1177" s="4" t="s">
        <v>1437</v>
      </c>
      <c r="K1177" s="4">
        <v>99.0</v>
      </c>
      <c r="L1177" s="4"/>
      <c r="M1177" s="4">
        <v>99.0</v>
      </c>
      <c r="N1177" s="4" t="s">
        <v>67</v>
      </c>
      <c r="O1177" s="4" t="b">
        <v>0</v>
      </c>
      <c r="P1177" s="4" t="s">
        <v>151</v>
      </c>
      <c r="Q1177" s="4" t="s">
        <v>69</v>
      </c>
      <c r="R1177" s="4"/>
      <c r="T1177" s="20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</row>
    <row r="1178">
      <c r="A1178" s="14" t="s">
        <v>2206</v>
      </c>
      <c r="B1178" s="19">
        <v>44313.78165509259</v>
      </c>
      <c r="C1178" s="4">
        <v>49958.0</v>
      </c>
      <c r="D1178" s="4" t="s">
        <v>2207</v>
      </c>
      <c r="E1178" s="4">
        <v>9.17600154775E11</v>
      </c>
      <c r="F1178" s="4">
        <v>17372.0</v>
      </c>
      <c r="G1178" s="4"/>
      <c r="H1178" s="4" t="s">
        <v>858</v>
      </c>
      <c r="I1178" s="4"/>
      <c r="J1178" s="4" t="s">
        <v>85</v>
      </c>
      <c r="K1178" s="4">
        <v>199.0</v>
      </c>
      <c r="L1178" s="4"/>
      <c r="M1178" s="4">
        <v>199.0</v>
      </c>
      <c r="N1178" s="4" t="s">
        <v>67</v>
      </c>
      <c r="O1178" s="4" t="b">
        <v>0</v>
      </c>
      <c r="P1178" s="4" t="s">
        <v>74</v>
      </c>
      <c r="Q1178" s="4" t="s">
        <v>69</v>
      </c>
      <c r="R1178" s="4"/>
      <c r="T1178" s="20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</row>
    <row r="1179">
      <c r="A1179" s="14" t="s">
        <v>2082</v>
      </c>
      <c r="B1179" s="19">
        <v>44312.768854166665</v>
      </c>
      <c r="C1179" s="4">
        <v>49834.0</v>
      </c>
      <c r="D1179" s="4" t="s">
        <v>2083</v>
      </c>
      <c r="E1179" s="4">
        <v>9.19890903899E11</v>
      </c>
      <c r="F1179" s="4">
        <v>17321.0</v>
      </c>
      <c r="G1179" s="4"/>
      <c r="H1179" s="4" t="s">
        <v>960</v>
      </c>
      <c r="I1179" s="4"/>
      <c r="J1179" s="4" t="s">
        <v>149</v>
      </c>
      <c r="K1179" s="4">
        <v>99.0</v>
      </c>
      <c r="L1179" s="4"/>
      <c r="M1179" s="4">
        <v>99.0</v>
      </c>
      <c r="N1179" s="4" t="s">
        <v>67</v>
      </c>
      <c r="O1179" s="4" t="b">
        <v>0</v>
      </c>
      <c r="P1179" s="4" t="s">
        <v>97</v>
      </c>
      <c r="Q1179" s="4" t="s">
        <v>69</v>
      </c>
      <c r="R1179" s="4"/>
      <c r="T1179" s="20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</row>
    <row r="1180">
      <c r="A1180" s="14" t="s">
        <v>1907</v>
      </c>
      <c r="B1180" s="19">
        <v>44312.753900462965</v>
      </c>
      <c r="C1180" s="4">
        <v>49813.0</v>
      </c>
      <c r="D1180" s="4" t="s">
        <v>1908</v>
      </c>
      <c r="E1180" s="4">
        <v>9.19167745588E11</v>
      </c>
      <c r="F1180" s="4">
        <v>17319.0</v>
      </c>
      <c r="G1180" s="4"/>
      <c r="H1180" s="4" t="s">
        <v>1592</v>
      </c>
      <c r="I1180" s="4"/>
      <c r="J1180" s="4" t="s">
        <v>149</v>
      </c>
      <c r="K1180" s="4">
        <v>299.0</v>
      </c>
      <c r="L1180" s="4"/>
      <c r="M1180" s="4">
        <v>299.0</v>
      </c>
      <c r="N1180" s="4" t="s">
        <v>67</v>
      </c>
      <c r="O1180" s="4" t="b">
        <v>0</v>
      </c>
      <c r="P1180" s="4" t="s">
        <v>74</v>
      </c>
      <c r="Q1180" s="4" t="s">
        <v>69</v>
      </c>
      <c r="R1180" s="4"/>
      <c r="T1180" s="20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</row>
    <row r="1181">
      <c r="A1181" s="14" t="s">
        <v>1917</v>
      </c>
      <c r="B1181" s="19">
        <v>44312.75523148148</v>
      </c>
      <c r="C1181" s="4">
        <v>49813.0</v>
      </c>
      <c r="D1181" s="4" t="s">
        <v>1918</v>
      </c>
      <c r="E1181" s="4">
        <v>9.17702322996E11</v>
      </c>
      <c r="F1181" s="4">
        <v>17323.0</v>
      </c>
      <c r="G1181" s="4"/>
      <c r="H1181" s="4" t="s">
        <v>1592</v>
      </c>
      <c r="I1181" s="4"/>
      <c r="J1181" s="4" t="s">
        <v>85</v>
      </c>
      <c r="K1181" s="4">
        <v>499.0</v>
      </c>
      <c r="L1181" s="4"/>
      <c r="M1181" s="4">
        <v>499.0</v>
      </c>
      <c r="N1181" s="4" t="s">
        <v>67</v>
      </c>
      <c r="O1181" s="4" t="b">
        <v>0</v>
      </c>
      <c r="P1181" s="4" t="s">
        <v>74</v>
      </c>
      <c r="Q1181" s="4" t="s">
        <v>69</v>
      </c>
      <c r="R1181" s="4"/>
      <c r="T1181" s="20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</row>
    <row r="1182">
      <c r="A1182" s="14" t="s">
        <v>2118</v>
      </c>
      <c r="B1182" s="19">
        <v>44313.83405092593</v>
      </c>
      <c r="C1182" s="4">
        <v>49995.0</v>
      </c>
      <c r="D1182" s="4" t="s">
        <v>2119</v>
      </c>
      <c r="E1182" s="4">
        <v>9.18551823351E11</v>
      </c>
      <c r="F1182" s="4">
        <v>17374.0</v>
      </c>
      <c r="G1182" s="4"/>
      <c r="H1182" s="4" t="s">
        <v>2005</v>
      </c>
      <c r="I1182" s="4"/>
      <c r="J1182" s="4" t="s">
        <v>149</v>
      </c>
      <c r="K1182" s="4">
        <v>99.0</v>
      </c>
      <c r="L1182" s="4"/>
      <c r="M1182" s="4">
        <v>99.0</v>
      </c>
      <c r="N1182" s="4" t="s">
        <v>67</v>
      </c>
      <c r="O1182" s="4" t="b">
        <v>0</v>
      </c>
      <c r="P1182" s="4" t="s">
        <v>68</v>
      </c>
      <c r="Q1182" s="4" t="s">
        <v>69</v>
      </c>
      <c r="R1182" s="4"/>
      <c r="T1182" s="20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</row>
    <row r="1183">
      <c r="A1183" s="14" t="s">
        <v>2212</v>
      </c>
      <c r="B1183" s="19">
        <v>44313.834872685184</v>
      </c>
      <c r="C1183" s="4">
        <v>49833.0</v>
      </c>
      <c r="D1183" s="4" t="s">
        <v>2213</v>
      </c>
      <c r="E1183" s="4">
        <v>9.17647803548E11</v>
      </c>
      <c r="F1183" s="4">
        <v>17376.0</v>
      </c>
      <c r="G1183" s="4"/>
      <c r="H1183" s="4" t="s">
        <v>184</v>
      </c>
      <c r="I1183" s="4"/>
      <c r="J1183" s="4" t="s">
        <v>77</v>
      </c>
      <c r="K1183" s="4">
        <v>499.0</v>
      </c>
      <c r="L1183" s="4"/>
      <c r="M1183" s="4">
        <v>499.0</v>
      </c>
      <c r="N1183" s="4" t="s">
        <v>67</v>
      </c>
      <c r="O1183" s="4" t="b">
        <v>0</v>
      </c>
      <c r="P1183" s="4" t="s">
        <v>68</v>
      </c>
      <c r="Q1183" s="4" t="s">
        <v>69</v>
      </c>
      <c r="R1183" s="4"/>
      <c r="T1183" s="20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</row>
    <row r="1184">
      <c r="A1184" s="14" t="s">
        <v>2214</v>
      </c>
      <c r="B1184" s="19">
        <v>44313.83679398148</v>
      </c>
      <c r="C1184" s="4">
        <v>49993.0</v>
      </c>
      <c r="D1184" s="4" t="s">
        <v>2215</v>
      </c>
      <c r="E1184" s="4">
        <v>9.19354467454E11</v>
      </c>
      <c r="F1184" s="4" t="s">
        <v>83</v>
      </c>
      <c r="G1184" s="4"/>
      <c r="H1184" s="4" t="s">
        <v>1104</v>
      </c>
      <c r="I1184" s="4"/>
      <c r="J1184" s="4" t="s">
        <v>149</v>
      </c>
      <c r="K1184" s="4">
        <v>199.0</v>
      </c>
      <c r="L1184" s="4"/>
      <c r="M1184" s="4">
        <v>199.0</v>
      </c>
      <c r="N1184" s="4" t="s">
        <v>67</v>
      </c>
      <c r="O1184" s="4" t="b">
        <v>0</v>
      </c>
      <c r="P1184" s="4" t="s">
        <v>68</v>
      </c>
      <c r="Q1184" s="4" t="s">
        <v>69</v>
      </c>
      <c r="R1184" s="4"/>
      <c r="T1184" s="20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</row>
    <row r="1185">
      <c r="A1185" s="14" t="s">
        <v>553</v>
      </c>
      <c r="B1185" s="19">
        <v>44312.781909722224</v>
      </c>
      <c r="C1185" s="4">
        <v>49992.0</v>
      </c>
      <c r="D1185" s="4" t="s">
        <v>554</v>
      </c>
      <c r="E1185" s="4">
        <v>9.1789352126E11</v>
      </c>
      <c r="F1185" s="4" t="s">
        <v>83</v>
      </c>
      <c r="G1185" s="4"/>
      <c r="H1185" s="4" t="s">
        <v>435</v>
      </c>
      <c r="I1185" s="4"/>
      <c r="J1185" s="4" t="s">
        <v>149</v>
      </c>
      <c r="K1185" s="4">
        <v>99.0</v>
      </c>
      <c r="L1185" s="4"/>
      <c r="M1185" s="4">
        <v>99.0</v>
      </c>
      <c r="N1185" s="4" t="s">
        <v>67</v>
      </c>
      <c r="O1185" s="4" t="b">
        <v>0</v>
      </c>
      <c r="P1185" s="4" t="s">
        <v>151</v>
      </c>
      <c r="Q1185" s="4" t="s">
        <v>69</v>
      </c>
      <c r="R1185" s="4"/>
      <c r="T1185" s="20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</row>
    <row r="1186">
      <c r="A1186" s="14" t="s">
        <v>2086</v>
      </c>
      <c r="B1186" s="19">
        <v>44312.78990740741</v>
      </c>
      <c r="C1186" s="4">
        <v>49997.0</v>
      </c>
      <c r="D1186" s="4" t="s">
        <v>2087</v>
      </c>
      <c r="E1186" s="4">
        <v>9.19167426562E11</v>
      </c>
      <c r="F1186" s="4">
        <v>17362.0</v>
      </c>
      <c r="G1186" s="4"/>
      <c r="H1186" s="4" t="s">
        <v>1059</v>
      </c>
      <c r="I1186" s="4"/>
      <c r="J1186" s="4" t="s">
        <v>149</v>
      </c>
      <c r="K1186" s="4">
        <v>99.0</v>
      </c>
      <c r="L1186" s="4"/>
      <c r="M1186" s="4">
        <v>99.0</v>
      </c>
      <c r="N1186" s="4" t="s">
        <v>67</v>
      </c>
      <c r="O1186" s="4" t="b">
        <v>0</v>
      </c>
      <c r="P1186" s="4" t="s">
        <v>74</v>
      </c>
      <c r="Q1186" s="4" t="s">
        <v>69</v>
      </c>
      <c r="R1186" s="4"/>
      <c r="T1186" s="20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</row>
    <row r="1187">
      <c r="A1187" s="14" t="s">
        <v>2395</v>
      </c>
      <c r="B1187" s="19">
        <v>44313.852013888885</v>
      </c>
      <c r="C1187" s="4">
        <v>49854.0</v>
      </c>
      <c r="D1187" s="4" t="s">
        <v>2396</v>
      </c>
      <c r="E1187" s="4">
        <v>9.17506056444E11</v>
      </c>
      <c r="F1187" s="4">
        <v>17946.0</v>
      </c>
      <c r="G1187" s="4"/>
      <c r="H1187" s="4" t="s">
        <v>2161</v>
      </c>
      <c r="I1187" s="4"/>
      <c r="J1187" s="4" t="s">
        <v>85</v>
      </c>
      <c r="K1187" s="4">
        <v>599.0</v>
      </c>
      <c r="L1187" s="4"/>
      <c r="M1187" s="4">
        <v>599.0</v>
      </c>
      <c r="N1187" s="4" t="s">
        <v>67</v>
      </c>
      <c r="O1187" s="4" t="b">
        <v>0</v>
      </c>
      <c r="P1187" s="4" t="s">
        <v>68</v>
      </c>
      <c r="Q1187" s="4" t="s">
        <v>69</v>
      </c>
      <c r="R1187" s="4"/>
      <c r="T1187" s="20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</row>
    <row r="1188">
      <c r="A1188" s="14" t="s">
        <v>2217</v>
      </c>
      <c r="B1188" s="19">
        <v>44313.87458333333</v>
      </c>
      <c r="C1188" s="4">
        <v>50030.0</v>
      </c>
      <c r="D1188" s="4" t="s">
        <v>2218</v>
      </c>
      <c r="E1188" s="4">
        <v>9.18879437553E11</v>
      </c>
      <c r="F1188" s="4" t="s">
        <v>83</v>
      </c>
      <c r="G1188" s="4"/>
      <c r="H1188" s="4" t="s">
        <v>1979</v>
      </c>
      <c r="I1188" s="4"/>
      <c r="J1188" s="4" t="s">
        <v>1437</v>
      </c>
      <c r="K1188" s="4">
        <v>99.0</v>
      </c>
      <c r="L1188" s="4"/>
      <c r="M1188" s="4">
        <v>99.0</v>
      </c>
      <c r="N1188" s="4" t="s">
        <v>67</v>
      </c>
      <c r="O1188" s="4" t="b">
        <v>0</v>
      </c>
      <c r="P1188" s="4" t="s">
        <v>97</v>
      </c>
      <c r="Q1188" s="4" t="s">
        <v>69</v>
      </c>
      <c r="R1188" s="4"/>
      <c r="T1188" s="20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</row>
    <row r="1189">
      <c r="A1189" s="14" t="s">
        <v>2219</v>
      </c>
      <c r="B1189" s="19">
        <v>44313.88408564815</v>
      </c>
      <c r="C1189" s="4">
        <v>49834.0</v>
      </c>
      <c r="D1189" s="4" t="s">
        <v>2220</v>
      </c>
      <c r="E1189" s="4">
        <v>9.19886195506E11</v>
      </c>
      <c r="F1189" s="4">
        <v>17379.0</v>
      </c>
      <c r="G1189" s="4"/>
      <c r="H1189" s="4" t="s">
        <v>76</v>
      </c>
      <c r="I1189" s="4"/>
      <c r="J1189" s="4" t="s">
        <v>77</v>
      </c>
      <c r="K1189" s="4">
        <v>349.0</v>
      </c>
      <c r="L1189" s="4"/>
      <c r="M1189" s="4">
        <v>349.0</v>
      </c>
      <c r="N1189" s="4" t="s">
        <v>67</v>
      </c>
      <c r="O1189" s="4" t="b">
        <v>0</v>
      </c>
      <c r="P1189" s="4" t="s">
        <v>97</v>
      </c>
      <c r="Q1189" s="4" t="s">
        <v>69</v>
      </c>
      <c r="R1189" s="4"/>
      <c r="T1189" s="20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</row>
    <row r="1190">
      <c r="A1190" s="14" t="s">
        <v>2221</v>
      </c>
      <c r="B1190" s="19">
        <v>44313.89368055556</v>
      </c>
      <c r="C1190" s="4">
        <v>50009.0</v>
      </c>
      <c r="D1190" s="4" t="s">
        <v>2222</v>
      </c>
      <c r="E1190" s="4">
        <v>9.184740697E11</v>
      </c>
      <c r="F1190" s="4" t="s">
        <v>83</v>
      </c>
      <c r="G1190" s="4"/>
      <c r="H1190" s="4" t="s">
        <v>1476</v>
      </c>
      <c r="I1190" s="4"/>
      <c r="J1190" s="4" t="s">
        <v>149</v>
      </c>
      <c r="K1190" s="4">
        <v>99.0</v>
      </c>
      <c r="L1190" s="4"/>
      <c r="M1190" s="4">
        <v>99.0</v>
      </c>
      <c r="N1190" s="4" t="s">
        <v>67</v>
      </c>
      <c r="O1190" s="4" t="b">
        <v>0</v>
      </c>
      <c r="P1190" s="4" t="s">
        <v>68</v>
      </c>
      <c r="Q1190" s="4" t="s">
        <v>69</v>
      </c>
      <c r="R1190" s="4"/>
      <c r="T1190" s="20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</row>
    <row r="1191">
      <c r="A1191" s="14" t="s">
        <v>2225</v>
      </c>
      <c r="B1191" s="19">
        <v>44313.91118055556</v>
      </c>
      <c r="C1191" s="4">
        <v>50009.0</v>
      </c>
      <c r="D1191" s="4" t="s">
        <v>2226</v>
      </c>
      <c r="E1191" s="4">
        <v>9.19743637608E11</v>
      </c>
      <c r="F1191" s="4" t="s">
        <v>83</v>
      </c>
      <c r="G1191" s="4"/>
      <c r="H1191" s="4" t="s">
        <v>1476</v>
      </c>
      <c r="I1191" s="4"/>
      <c r="J1191" s="4" t="s">
        <v>149</v>
      </c>
      <c r="K1191" s="4">
        <v>99.0</v>
      </c>
      <c r="L1191" s="4"/>
      <c r="M1191" s="4">
        <v>99.0</v>
      </c>
      <c r="N1191" s="4" t="s">
        <v>67</v>
      </c>
      <c r="O1191" s="4" t="b">
        <v>0</v>
      </c>
      <c r="P1191" s="4" t="s">
        <v>74</v>
      </c>
      <c r="Q1191" s="4" t="s">
        <v>69</v>
      </c>
      <c r="R1191" s="4"/>
      <c r="T1191" s="20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</row>
    <row r="1192">
      <c r="A1192" s="14" t="s">
        <v>2399</v>
      </c>
      <c r="B1192" s="19">
        <v>44313.898506944446</v>
      </c>
      <c r="C1192" s="4">
        <v>49854.0</v>
      </c>
      <c r="D1192" s="4" t="s">
        <v>2400</v>
      </c>
      <c r="E1192" s="4">
        <v>9.19815639294E11</v>
      </c>
      <c r="F1192" s="4" t="s">
        <v>83</v>
      </c>
      <c r="G1192" s="4"/>
      <c r="H1192" s="4" t="s">
        <v>2161</v>
      </c>
      <c r="I1192" s="4"/>
      <c r="J1192" s="4" t="s">
        <v>85</v>
      </c>
      <c r="K1192" s="4">
        <v>599.0</v>
      </c>
      <c r="L1192" s="4"/>
      <c r="M1192" s="4">
        <v>599.0</v>
      </c>
      <c r="N1192" s="4" t="s">
        <v>67</v>
      </c>
      <c r="O1192" s="4" t="b">
        <v>0</v>
      </c>
      <c r="P1192" s="4" t="s">
        <v>151</v>
      </c>
      <c r="Q1192" s="4" t="s">
        <v>69</v>
      </c>
      <c r="R1192" s="4"/>
      <c r="T1192" s="20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</row>
    <row r="1193">
      <c r="A1193" s="14" t="s">
        <v>565</v>
      </c>
      <c r="B1193" s="19">
        <v>44313.92054398148</v>
      </c>
      <c r="C1193" s="4">
        <v>49992.0</v>
      </c>
      <c r="D1193" s="4" t="s">
        <v>566</v>
      </c>
      <c r="E1193" s="4">
        <v>9.19052245228E11</v>
      </c>
      <c r="F1193" s="4">
        <v>17401.0</v>
      </c>
      <c r="G1193" s="4"/>
      <c r="H1193" s="4" t="s">
        <v>435</v>
      </c>
      <c r="I1193" s="4"/>
      <c r="J1193" s="4" t="s">
        <v>149</v>
      </c>
      <c r="K1193" s="4">
        <v>99.0</v>
      </c>
      <c r="L1193" s="4"/>
      <c r="M1193" s="4">
        <v>99.0</v>
      </c>
      <c r="N1193" s="4" t="s">
        <v>67</v>
      </c>
      <c r="O1193" s="4" t="b">
        <v>0</v>
      </c>
      <c r="P1193" s="4" t="s">
        <v>74</v>
      </c>
      <c r="Q1193" s="4" t="s">
        <v>69</v>
      </c>
      <c r="R1193" s="4"/>
      <c r="T1193" s="20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</row>
    <row r="1194">
      <c r="A1194" s="14" t="s">
        <v>2229</v>
      </c>
      <c r="B1194" s="19">
        <v>44313.92172453704</v>
      </c>
      <c r="C1194" s="4">
        <v>50041.0</v>
      </c>
      <c r="D1194" s="4" t="s">
        <v>2230</v>
      </c>
      <c r="E1194" s="4">
        <v>9.19880060213E11</v>
      </c>
      <c r="F1194" s="4">
        <v>18509.0</v>
      </c>
      <c r="G1194" s="4"/>
      <c r="H1194" s="4" t="s">
        <v>1932</v>
      </c>
      <c r="I1194" s="4"/>
      <c r="J1194" s="4" t="s">
        <v>1442</v>
      </c>
      <c r="K1194" s="4">
        <v>199.0</v>
      </c>
      <c r="L1194" s="4"/>
      <c r="M1194" s="4">
        <v>199.0</v>
      </c>
      <c r="N1194" s="4" t="s">
        <v>67</v>
      </c>
      <c r="O1194" s="4" t="b">
        <v>0</v>
      </c>
      <c r="P1194" s="4" t="s">
        <v>68</v>
      </c>
      <c r="Q1194" s="4" t="s">
        <v>69</v>
      </c>
      <c r="R1194" s="4"/>
      <c r="T1194" s="20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</row>
    <row r="1195">
      <c r="A1195" s="14" t="s">
        <v>2233</v>
      </c>
      <c r="B1195" s="19">
        <v>44313.99363425926</v>
      </c>
      <c r="C1195" s="4">
        <v>50009.0</v>
      </c>
      <c r="D1195" s="4" t="s">
        <v>2234</v>
      </c>
      <c r="E1195" s="4">
        <v>9.17976479549E11</v>
      </c>
      <c r="F1195" s="4">
        <v>17384.0</v>
      </c>
      <c r="G1195" s="4"/>
      <c r="H1195" s="4" t="s">
        <v>1476</v>
      </c>
      <c r="I1195" s="4"/>
      <c r="J1195" s="4" t="s">
        <v>149</v>
      </c>
      <c r="K1195" s="4">
        <v>99.0</v>
      </c>
      <c r="L1195" s="4"/>
      <c r="M1195" s="4">
        <v>99.0</v>
      </c>
      <c r="N1195" s="4" t="s">
        <v>67</v>
      </c>
      <c r="O1195" s="4" t="b">
        <v>0</v>
      </c>
      <c r="P1195" s="4" t="s">
        <v>68</v>
      </c>
      <c r="Q1195" s="4" t="s">
        <v>69</v>
      </c>
      <c r="R1195" s="4"/>
      <c r="T1195" s="20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</row>
    <row r="1196">
      <c r="A1196" s="14" t="s">
        <v>2231</v>
      </c>
      <c r="B1196" s="19">
        <v>44313.986805555556</v>
      </c>
      <c r="C1196" s="4">
        <v>49834.0</v>
      </c>
      <c r="D1196" s="4" t="s">
        <v>2232</v>
      </c>
      <c r="E1196" s="4">
        <v>9.19867648143E11</v>
      </c>
      <c r="F1196" s="4">
        <v>17383.0</v>
      </c>
      <c r="G1196" s="4"/>
      <c r="H1196" s="4" t="s">
        <v>76</v>
      </c>
      <c r="I1196" s="4"/>
      <c r="J1196" s="4" t="s">
        <v>85</v>
      </c>
      <c r="K1196" s="4">
        <v>199.0</v>
      </c>
      <c r="L1196" s="4"/>
      <c r="M1196" s="4">
        <v>199.0</v>
      </c>
      <c r="N1196" s="4" t="s">
        <v>67</v>
      </c>
      <c r="O1196" s="4" t="b">
        <v>0</v>
      </c>
      <c r="P1196" s="4" t="s">
        <v>74</v>
      </c>
      <c r="Q1196" s="4" t="s">
        <v>69</v>
      </c>
      <c r="R1196" s="4"/>
      <c r="T1196" s="20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</row>
    <row r="1197">
      <c r="A1197" s="14" t="s">
        <v>2235</v>
      </c>
      <c r="B1197" s="19">
        <v>44314.01430555555</v>
      </c>
      <c r="C1197" s="4">
        <v>50032.0</v>
      </c>
      <c r="D1197" s="4" t="s">
        <v>440</v>
      </c>
      <c r="E1197" s="4">
        <v>9.18860250737E11</v>
      </c>
      <c r="F1197" s="4">
        <v>16434.0</v>
      </c>
      <c r="G1197" s="4"/>
      <c r="H1197" s="4" t="s">
        <v>1982</v>
      </c>
      <c r="I1197" s="4"/>
      <c r="J1197" s="4" t="s">
        <v>85</v>
      </c>
      <c r="K1197" s="4">
        <v>199.0</v>
      </c>
      <c r="L1197" s="4"/>
      <c r="M1197" s="4">
        <v>199.0</v>
      </c>
      <c r="N1197" s="4" t="s">
        <v>67</v>
      </c>
      <c r="O1197" s="4" t="b">
        <v>0</v>
      </c>
      <c r="P1197" s="4" t="s">
        <v>74</v>
      </c>
      <c r="Q1197" s="4" t="s">
        <v>69</v>
      </c>
      <c r="R1197" s="4"/>
      <c r="T1197" s="20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</row>
    <row r="1198">
      <c r="A1198" s="14" t="s">
        <v>2236</v>
      </c>
      <c r="B1198" s="19">
        <v>44314.01609953704</v>
      </c>
      <c r="C1198" s="4">
        <v>49833.0</v>
      </c>
      <c r="D1198" s="4" t="s">
        <v>2237</v>
      </c>
      <c r="E1198" s="4">
        <v>9.17619325009E11</v>
      </c>
      <c r="F1198" s="4" t="s">
        <v>83</v>
      </c>
      <c r="G1198" s="4"/>
      <c r="H1198" s="4" t="s">
        <v>184</v>
      </c>
      <c r="I1198" s="4"/>
      <c r="J1198" s="4" t="s">
        <v>149</v>
      </c>
      <c r="K1198" s="4">
        <v>199.0</v>
      </c>
      <c r="L1198" s="4"/>
      <c r="M1198" s="4">
        <v>199.0</v>
      </c>
      <c r="N1198" s="4" t="s">
        <v>67</v>
      </c>
      <c r="O1198" s="4" t="b">
        <v>0</v>
      </c>
      <c r="P1198" s="4" t="s">
        <v>68</v>
      </c>
      <c r="Q1198" s="4" t="s">
        <v>69</v>
      </c>
      <c r="R1198" s="4"/>
      <c r="T1198" s="20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</row>
    <row r="1199">
      <c r="A1199" s="14" t="s">
        <v>2238</v>
      </c>
      <c r="B1199" s="19">
        <v>44314.04054398148</v>
      </c>
      <c r="C1199" s="4">
        <v>49833.0</v>
      </c>
      <c r="D1199" s="4" t="s">
        <v>2239</v>
      </c>
      <c r="E1199" s="4">
        <v>9.19953057357E11</v>
      </c>
      <c r="F1199" s="4">
        <v>17386.0</v>
      </c>
      <c r="G1199" s="4"/>
      <c r="H1199" s="4" t="s">
        <v>184</v>
      </c>
      <c r="I1199" s="4"/>
      <c r="J1199" s="4" t="s">
        <v>77</v>
      </c>
      <c r="K1199" s="4">
        <v>499.0</v>
      </c>
      <c r="L1199" s="4"/>
      <c r="M1199" s="4">
        <v>499.0</v>
      </c>
      <c r="N1199" s="4" t="s">
        <v>67</v>
      </c>
      <c r="O1199" s="4" t="b">
        <v>0</v>
      </c>
      <c r="P1199" s="4" t="s">
        <v>68</v>
      </c>
      <c r="Q1199" s="4" t="s">
        <v>69</v>
      </c>
      <c r="R1199" s="4"/>
      <c r="T1199" s="20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</row>
    <row r="1200">
      <c r="A1200" s="14" t="s">
        <v>2240</v>
      </c>
      <c r="B1200" s="19">
        <v>44314.23863425926</v>
      </c>
      <c r="C1200" s="4">
        <v>49834.0</v>
      </c>
      <c r="D1200" s="4" t="s">
        <v>2241</v>
      </c>
      <c r="E1200" s="4">
        <v>9.17485873484E11</v>
      </c>
      <c r="F1200" s="4">
        <v>17387.0</v>
      </c>
      <c r="G1200" s="4"/>
      <c r="H1200" s="4" t="s">
        <v>960</v>
      </c>
      <c r="I1200" s="4"/>
      <c r="J1200" s="4" t="s">
        <v>149</v>
      </c>
      <c r="K1200" s="4">
        <v>99.0</v>
      </c>
      <c r="L1200" s="4"/>
      <c r="M1200" s="4">
        <v>99.0</v>
      </c>
      <c r="N1200" s="4" t="s">
        <v>67</v>
      </c>
      <c r="O1200" s="4" t="b">
        <v>0</v>
      </c>
      <c r="P1200" s="4" t="s">
        <v>68</v>
      </c>
      <c r="Q1200" s="4" t="s">
        <v>69</v>
      </c>
      <c r="R1200" s="4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</row>
    <row r="1201">
      <c r="A1201" s="14" t="s">
        <v>2002</v>
      </c>
      <c r="B1201" s="19">
        <v>44315.36640046296</v>
      </c>
      <c r="C1201" s="4">
        <v>49813.0</v>
      </c>
      <c r="D1201" s="4" t="s">
        <v>2003</v>
      </c>
      <c r="E1201" s="4">
        <v>9.19791155075E11</v>
      </c>
      <c r="F1201" s="4">
        <v>17459.0</v>
      </c>
      <c r="G1201" s="4"/>
      <c r="H1201" s="4" t="s">
        <v>1592</v>
      </c>
      <c r="I1201" s="4"/>
      <c r="J1201" s="4" t="s">
        <v>149</v>
      </c>
      <c r="K1201" s="4">
        <v>299.0</v>
      </c>
      <c r="L1201" s="4"/>
      <c r="M1201" s="4">
        <v>299.0</v>
      </c>
      <c r="N1201" s="4" t="s">
        <v>67</v>
      </c>
      <c r="O1201" s="4" t="b">
        <v>0</v>
      </c>
      <c r="P1201" s="4" t="s">
        <v>68</v>
      </c>
      <c r="Q1201" s="4" t="s">
        <v>69</v>
      </c>
      <c r="R1201" s="4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</row>
    <row r="1202">
      <c r="A1202" s="14" t="s">
        <v>2346</v>
      </c>
      <c r="B1202" s="19">
        <v>44315.38444444445</v>
      </c>
      <c r="C1202" s="4">
        <v>49833.0</v>
      </c>
      <c r="D1202" s="4" t="s">
        <v>2347</v>
      </c>
      <c r="E1202" s="4">
        <v>9.19871779793E11</v>
      </c>
      <c r="F1202" s="4" t="s">
        <v>83</v>
      </c>
      <c r="G1202" s="4"/>
      <c r="H1202" s="4" t="s">
        <v>184</v>
      </c>
      <c r="I1202" s="4"/>
      <c r="J1202" s="4" t="s">
        <v>77</v>
      </c>
      <c r="K1202" s="4">
        <v>499.0</v>
      </c>
      <c r="L1202" s="4"/>
      <c r="M1202" s="4">
        <v>499.0</v>
      </c>
      <c r="N1202" s="4" t="s">
        <v>67</v>
      </c>
      <c r="O1202" s="4" t="b">
        <v>0</v>
      </c>
      <c r="P1202" s="4" t="s">
        <v>68</v>
      </c>
      <c r="Q1202" s="4" t="s">
        <v>69</v>
      </c>
      <c r="R1202" s="4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</row>
    <row r="1203">
      <c r="A1203" s="14" t="s">
        <v>2348</v>
      </c>
      <c r="B1203" s="19">
        <v>44315.38982638889</v>
      </c>
      <c r="C1203" s="4">
        <v>50023.0</v>
      </c>
      <c r="D1203" s="4" t="s">
        <v>2349</v>
      </c>
      <c r="E1203" s="4">
        <v>9.18382898686E11</v>
      </c>
      <c r="F1203" s="4">
        <v>17777.0</v>
      </c>
      <c r="G1203" s="4"/>
      <c r="H1203" s="4" t="s">
        <v>1956</v>
      </c>
      <c r="I1203" s="4"/>
      <c r="J1203" s="4" t="s">
        <v>1437</v>
      </c>
      <c r="K1203" s="4">
        <v>99.0</v>
      </c>
      <c r="L1203" s="4"/>
      <c r="M1203" s="4">
        <v>99.0</v>
      </c>
      <c r="N1203" s="4" t="s">
        <v>67</v>
      </c>
      <c r="O1203" s="4" t="b">
        <v>0</v>
      </c>
      <c r="P1203" s="4" t="s">
        <v>68</v>
      </c>
      <c r="Q1203" s="4" t="s">
        <v>69</v>
      </c>
      <c r="R1203" s="4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</row>
    <row r="1204">
      <c r="A1204" s="14" t="s">
        <v>373</v>
      </c>
      <c r="B1204" s="19">
        <v>44314.3328125</v>
      </c>
      <c r="C1204" s="4">
        <v>49991.0</v>
      </c>
      <c r="D1204" s="4" t="s">
        <v>374</v>
      </c>
      <c r="E1204" s="4">
        <v>9.18454085091E11</v>
      </c>
      <c r="F1204" s="4">
        <v>17406.0</v>
      </c>
      <c r="G1204" s="4"/>
      <c r="H1204" s="4" t="s">
        <v>148</v>
      </c>
      <c r="I1204" s="4"/>
      <c r="J1204" s="4" t="s">
        <v>77</v>
      </c>
      <c r="K1204" s="4">
        <v>349.0</v>
      </c>
      <c r="L1204" s="4"/>
      <c r="M1204" s="4">
        <v>349.0</v>
      </c>
      <c r="N1204" s="4" t="s">
        <v>67</v>
      </c>
      <c r="O1204" s="4" t="b">
        <v>0</v>
      </c>
      <c r="P1204" s="4" t="s">
        <v>151</v>
      </c>
      <c r="Q1204" s="4" t="s">
        <v>69</v>
      </c>
      <c r="R1204" s="4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</row>
    <row r="1205">
      <c r="A1205" s="14" t="s">
        <v>2350</v>
      </c>
      <c r="B1205" s="19">
        <v>44315.402407407404</v>
      </c>
      <c r="C1205" s="4">
        <v>50009.0</v>
      </c>
      <c r="D1205" s="4" t="s">
        <v>2351</v>
      </c>
      <c r="E1205" s="4">
        <v>9.19989610703E11</v>
      </c>
      <c r="F1205" s="4" t="s">
        <v>83</v>
      </c>
      <c r="G1205" s="4"/>
      <c r="H1205" s="4" t="s">
        <v>1476</v>
      </c>
      <c r="I1205" s="4"/>
      <c r="J1205" s="4" t="s">
        <v>149</v>
      </c>
      <c r="K1205" s="4">
        <v>99.0</v>
      </c>
      <c r="L1205" s="4"/>
      <c r="M1205" s="4">
        <v>99.0</v>
      </c>
      <c r="N1205" s="4" t="s">
        <v>67</v>
      </c>
      <c r="O1205" s="4" t="b">
        <v>0</v>
      </c>
      <c r="P1205" s="4" t="s">
        <v>68</v>
      </c>
      <c r="Q1205" s="4" t="s">
        <v>69</v>
      </c>
      <c r="R1205" s="4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</row>
    <row r="1206">
      <c r="A1206" s="14" t="s">
        <v>2352</v>
      </c>
      <c r="B1206" s="19">
        <v>44315.40744212963</v>
      </c>
      <c r="C1206" s="4">
        <v>49997.0</v>
      </c>
      <c r="D1206" s="4" t="s">
        <v>2353</v>
      </c>
      <c r="E1206" s="4">
        <v>9.19476056203E11</v>
      </c>
      <c r="F1206" s="4">
        <v>17475.0</v>
      </c>
      <c r="G1206" s="4"/>
      <c r="H1206" s="4" t="s">
        <v>1059</v>
      </c>
      <c r="I1206" s="4"/>
      <c r="J1206" s="4" t="s">
        <v>149</v>
      </c>
      <c r="K1206" s="4">
        <v>99.0</v>
      </c>
      <c r="L1206" s="4"/>
      <c r="M1206" s="4">
        <v>99.0</v>
      </c>
      <c r="N1206" s="4" t="s">
        <v>67</v>
      </c>
      <c r="O1206" s="4" t="b">
        <v>0</v>
      </c>
      <c r="P1206" s="4" t="s">
        <v>68</v>
      </c>
      <c r="Q1206" s="4" t="s">
        <v>69</v>
      </c>
      <c r="R1206" s="4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</row>
    <row r="1207">
      <c r="A1207" s="14" t="s">
        <v>2244</v>
      </c>
      <c r="B1207" s="19">
        <v>44314.348125</v>
      </c>
      <c r="C1207" s="4">
        <v>49859.0</v>
      </c>
      <c r="D1207" s="4" t="s">
        <v>2245</v>
      </c>
      <c r="E1207" s="4">
        <v>9.19398715714E11</v>
      </c>
      <c r="F1207" s="4">
        <v>17390.0</v>
      </c>
      <c r="G1207" s="4"/>
      <c r="H1207" s="4" t="s">
        <v>1133</v>
      </c>
      <c r="I1207" s="4"/>
      <c r="J1207" s="4" t="s">
        <v>85</v>
      </c>
      <c r="K1207" s="4">
        <v>199.0</v>
      </c>
      <c r="L1207" s="4"/>
      <c r="M1207" s="4">
        <v>199.0</v>
      </c>
      <c r="N1207" s="4" t="s">
        <v>67</v>
      </c>
      <c r="O1207" s="4" t="b">
        <v>0</v>
      </c>
      <c r="P1207" s="4" t="s">
        <v>68</v>
      </c>
      <c r="Q1207" s="4" t="s">
        <v>69</v>
      </c>
      <c r="R1207" s="4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</row>
    <row r="1208">
      <c r="A1208" s="14" t="s">
        <v>2354</v>
      </c>
      <c r="B1208" s="19">
        <v>44315.425416666665</v>
      </c>
      <c r="C1208" s="4">
        <v>50041.0</v>
      </c>
      <c r="D1208" s="4" t="s">
        <v>2355</v>
      </c>
      <c r="E1208" s="4">
        <v>9.18660170956E11</v>
      </c>
      <c r="F1208" s="4" t="s">
        <v>83</v>
      </c>
      <c r="G1208" s="4"/>
      <c r="H1208" s="4" t="s">
        <v>1932</v>
      </c>
      <c r="I1208" s="4"/>
      <c r="J1208" s="4" t="s">
        <v>1442</v>
      </c>
      <c r="K1208" s="4">
        <v>199.0</v>
      </c>
      <c r="L1208" s="4"/>
      <c r="M1208" s="4">
        <v>199.0</v>
      </c>
      <c r="N1208" s="4" t="s">
        <v>67</v>
      </c>
      <c r="O1208" s="4" t="b">
        <v>0</v>
      </c>
      <c r="P1208" s="4" t="s">
        <v>74</v>
      </c>
      <c r="Q1208" s="4" t="s">
        <v>69</v>
      </c>
      <c r="R1208" s="4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</row>
    <row r="1209">
      <c r="A1209" s="14" t="s">
        <v>2246</v>
      </c>
      <c r="B1209" s="19">
        <v>44314.36678240741</v>
      </c>
      <c r="C1209" s="4">
        <v>49997.0</v>
      </c>
      <c r="D1209" s="4" t="s">
        <v>2247</v>
      </c>
      <c r="E1209" s="4">
        <v>9.19902687417E11</v>
      </c>
      <c r="F1209" s="4">
        <v>17477.0</v>
      </c>
      <c r="G1209" s="4"/>
      <c r="H1209" s="4" t="s">
        <v>1059</v>
      </c>
      <c r="I1209" s="4"/>
      <c r="J1209" s="4" t="s">
        <v>85</v>
      </c>
      <c r="K1209" s="4">
        <v>199.0</v>
      </c>
      <c r="L1209" s="4"/>
      <c r="M1209" s="4">
        <v>199.0</v>
      </c>
      <c r="N1209" s="4" t="s">
        <v>67</v>
      </c>
      <c r="O1209" s="4" t="b">
        <v>0</v>
      </c>
      <c r="P1209" s="4" t="s">
        <v>68</v>
      </c>
      <c r="Q1209" s="4" t="s">
        <v>69</v>
      </c>
      <c r="R1209" s="4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</row>
    <row r="1210">
      <c r="A1210" s="14" t="s">
        <v>2122</v>
      </c>
      <c r="B1210" s="19">
        <v>44315.42787037037</v>
      </c>
      <c r="C1210" s="4">
        <v>49995.0</v>
      </c>
      <c r="D1210" s="4" t="s">
        <v>2123</v>
      </c>
      <c r="E1210" s="4">
        <v>9.16300271794E11</v>
      </c>
      <c r="F1210" s="4">
        <v>17429.0</v>
      </c>
      <c r="G1210" s="4"/>
      <c r="H1210" s="4" t="s">
        <v>2005</v>
      </c>
      <c r="I1210" s="4"/>
      <c r="J1210" s="4" t="s">
        <v>1442</v>
      </c>
      <c r="K1210" s="4">
        <v>199.0</v>
      </c>
      <c r="L1210" s="4"/>
      <c r="M1210" s="4">
        <v>199.0</v>
      </c>
      <c r="N1210" s="4" t="s">
        <v>67</v>
      </c>
      <c r="O1210" s="4" t="b">
        <v>0</v>
      </c>
      <c r="P1210" s="4" t="s">
        <v>151</v>
      </c>
      <c r="Q1210" s="4" t="s">
        <v>69</v>
      </c>
      <c r="R1210" s="4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</row>
    <row r="1211">
      <c r="A1211" s="14" t="s">
        <v>2358</v>
      </c>
      <c r="B1211" s="19">
        <v>44315.43556712963</v>
      </c>
      <c r="C1211" s="4">
        <v>50032.0</v>
      </c>
      <c r="D1211" s="4" t="s">
        <v>2359</v>
      </c>
      <c r="E1211" s="4">
        <v>9.18884262453E11</v>
      </c>
      <c r="F1211" s="4" t="s">
        <v>83</v>
      </c>
      <c r="G1211" s="4"/>
      <c r="H1211" s="4" t="s">
        <v>1982</v>
      </c>
      <c r="I1211" s="4"/>
      <c r="J1211" s="4" t="s">
        <v>149</v>
      </c>
      <c r="K1211" s="4">
        <v>99.0</v>
      </c>
      <c r="L1211" s="4"/>
      <c r="M1211" s="4">
        <v>99.0</v>
      </c>
      <c r="N1211" s="4" t="s">
        <v>67</v>
      </c>
      <c r="O1211" s="4" t="b">
        <v>0</v>
      </c>
      <c r="P1211" s="4" t="s">
        <v>68</v>
      </c>
      <c r="Q1211" s="4" t="s">
        <v>69</v>
      </c>
      <c r="R1211" s="4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</row>
    <row r="1212">
      <c r="A1212" s="14" t="s">
        <v>2248</v>
      </c>
      <c r="B1212" s="19">
        <v>44314.38</v>
      </c>
      <c r="C1212" s="4">
        <v>50041.0</v>
      </c>
      <c r="D1212" s="4" t="s">
        <v>2249</v>
      </c>
      <c r="E1212" s="4">
        <v>9.19326794614E11</v>
      </c>
      <c r="F1212" s="4">
        <v>17570.0</v>
      </c>
      <c r="G1212" s="4"/>
      <c r="H1212" s="4" t="s">
        <v>1932</v>
      </c>
      <c r="I1212" s="4"/>
      <c r="J1212" s="4" t="s">
        <v>1437</v>
      </c>
      <c r="K1212" s="4">
        <v>99.0</v>
      </c>
      <c r="L1212" s="4"/>
      <c r="M1212" s="4">
        <v>99.0</v>
      </c>
      <c r="N1212" s="4" t="s">
        <v>67</v>
      </c>
      <c r="O1212" s="4" t="b">
        <v>0</v>
      </c>
      <c r="P1212" s="4" t="s">
        <v>68</v>
      </c>
      <c r="Q1212" s="4" t="s">
        <v>69</v>
      </c>
      <c r="R1212" s="4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</row>
    <row r="1213">
      <c r="A1213" s="14" t="s">
        <v>2362</v>
      </c>
      <c r="B1213" s="19">
        <v>44315.462222222224</v>
      </c>
      <c r="C1213" s="4">
        <v>50030.0</v>
      </c>
      <c r="D1213" s="4" t="s">
        <v>2363</v>
      </c>
      <c r="E1213" s="4">
        <v>9.18850399316E11</v>
      </c>
      <c r="F1213" s="4">
        <v>17465.0</v>
      </c>
      <c r="G1213" s="4"/>
      <c r="H1213" s="4" t="s">
        <v>1979</v>
      </c>
      <c r="I1213" s="4"/>
      <c r="J1213" s="4" t="s">
        <v>1437</v>
      </c>
      <c r="K1213" s="4">
        <v>99.0</v>
      </c>
      <c r="L1213" s="4"/>
      <c r="M1213" s="4">
        <v>99.0</v>
      </c>
      <c r="N1213" s="4" t="s">
        <v>67</v>
      </c>
      <c r="O1213" s="4" t="b">
        <v>0</v>
      </c>
      <c r="P1213" s="4" t="s">
        <v>97</v>
      </c>
      <c r="Q1213" s="4" t="s">
        <v>69</v>
      </c>
      <c r="R1213" s="4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</row>
    <row r="1214">
      <c r="A1214" s="14" t="s">
        <v>2364</v>
      </c>
      <c r="B1214" s="19">
        <v>44315.463854166665</v>
      </c>
      <c r="C1214" s="4">
        <v>50015.0</v>
      </c>
      <c r="D1214" s="4" t="s">
        <v>2366</v>
      </c>
      <c r="E1214" s="4">
        <v>9.18796506556E11</v>
      </c>
      <c r="F1214" s="4" t="s">
        <v>83</v>
      </c>
      <c r="G1214" s="4"/>
      <c r="H1214" s="4" t="s">
        <v>2365</v>
      </c>
      <c r="I1214" s="4"/>
      <c r="J1214" s="4" t="s">
        <v>1437</v>
      </c>
      <c r="K1214" s="4">
        <v>99.0</v>
      </c>
      <c r="L1214" s="4"/>
      <c r="M1214" s="4">
        <v>99.0</v>
      </c>
      <c r="N1214" s="4" t="s">
        <v>67</v>
      </c>
      <c r="O1214" s="4" t="b">
        <v>0</v>
      </c>
      <c r="P1214" s="4" t="s">
        <v>68</v>
      </c>
      <c r="Q1214" s="4" t="s">
        <v>69</v>
      </c>
      <c r="R1214" s="4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</row>
    <row r="1215">
      <c r="A1215" s="14" t="s">
        <v>394</v>
      </c>
      <c r="B1215" s="19">
        <v>44314.38949074074</v>
      </c>
      <c r="C1215" s="4">
        <v>49991.0</v>
      </c>
      <c r="D1215" s="4" t="s">
        <v>395</v>
      </c>
      <c r="E1215" s="4">
        <v>9.19004035367E11</v>
      </c>
      <c r="F1215" s="4">
        <v>17392.0</v>
      </c>
      <c r="G1215" s="4"/>
      <c r="H1215" s="4" t="s">
        <v>148</v>
      </c>
      <c r="I1215" s="4"/>
      <c r="J1215" s="4" t="s">
        <v>149</v>
      </c>
      <c r="K1215" s="4">
        <v>99.0</v>
      </c>
      <c r="L1215" s="4"/>
      <c r="M1215" s="4">
        <v>99.0</v>
      </c>
      <c r="N1215" s="4" t="s">
        <v>67</v>
      </c>
      <c r="O1215" s="4" t="b">
        <v>0</v>
      </c>
      <c r="P1215" s="4" t="s">
        <v>97</v>
      </c>
      <c r="Q1215" s="4" t="s">
        <v>69</v>
      </c>
      <c r="R1215" s="4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</row>
    <row r="1216">
      <c r="A1216" s="14" t="s">
        <v>573</v>
      </c>
      <c r="B1216" s="19">
        <v>44314.39320601852</v>
      </c>
      <c r="C1216" s="4">
        <v>49992.0</v>
      </c>
      <c r="D1216" s="4" t="s">
        <v>574</v>
      </c>
      <c r="E1216" s="4">
        <v>9.18983778833E11</v>
      </c>
      <c r="F1216" s="4">
        <v>17394.0</v>
      </c>
      <c r="G1216" s="4"/>
      <c r="H1216" s="4" t="s">
        <v>435</v>
      </c>
      <c r="I1216" s="4"/>
      <c r="J1216" s="4" t="s">
        <v>149</v>
      </c>
      <c r="K1216" s="4">
        <v>99.0</v>
      </c>
      <c r="L1216" s="4"/>
      <c r="M1216" s="4">
        <v>99.0</v>
      </c>
      <c r="N1216" s="4" t="s">
        <v>67</v>
      </c>
      <c r="O1216" s="4" t="b">
        <v>0</v>
      </c>
      <c r="P1216" s="4" t="s">
        <v>151</v>
      </c>
      <c r="Q1216" s="4" t="s">
        <v>69</v>
      </c>
      <c r="R1216" s="4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</row>
    <row r="1217">
      <c r="A1217" s="14" t="s">
        <v>2360</v>
      </c>
      <c r="B1217" s="19">
        <v>44315.45462962963</v>
      </c>
      <c r="C1217" s="4">
        <v>50041.0</v>
      </c>
      <c r="D1217" s="4" t="s">
        <v>2361</v>
      </c>
      <c r="E1217" s="4">
        <v>9.19790803621E11</v>
      </c>
      <c r="F1217" s="4">
        <v>17485.0</v>
      </c>
      <c r="G1217" s="4"/>
      <c r="H1217" s="4" t="s">
        <v>1932</v>
      </c>
      <c r="I1217" s="4"/>
      <c r="J1217" s="4" t="s">
        <v>1442</v>
      </c>
      <c r="K1217" s="4">
        <v>199.0</v>
      </c>
      <c r="L1217" s="4"/>
      <c r="M1217" s="4">
        <v>199.0</v>
      </c>
      <c r="N1217" s="4" t="s">
        <v>67</v>
      </c>
      <c r="O1217" s="4" t="b">
        <v>0</v>
      </c>
      <c r="P1217" s="4" t="s">
        <v>68</v>
      </c>
      <c r="Q1217" s="4" t="s">
        <v>69</v>
      </c>
      <c r="R1217" s="4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</row>
    <row r="1218">
      <c r="A1218" s="14" t="s">
        <v>432</v>
      </c>
      <c r="B1218" s="19">
        <v>44315.480775462966</v>
      </c>
      <c r="C1218" s="4">
        <v>49991.0</v>
      </c>
      <c r="D1218" s="4" t="s">
        <v>433</v>
      </c>
      <c r="E1218" s="4">
        <v>9.19619774317E11</v>
      </c>
      <c r="F1218" s="4">
        <v>17487.0</v>
      </c>
      <c r="G1218" s="4"/>
      <c r="H1218" s="4" t="s">
        <v>148</v>
      </c>
      <c r="I1218" s="4"/>
      <c r="J1218" s="4" t="s">
        <v>77</v>
      </c>
      <c r="K1218" s="4">
        <v>349.0</v>
      </c>
      <c r="L1218" s="4"/>
      <c r="M1218" s="4">
        <v>349.0</v>
      </c>
      <c r="N1218" s="4" t="s">
        <v>67</v>
      </c>
      <c r="O1218" s="4" t="b">
        <v>0</v>
      </c>
      <c r="P1218" s="4" t="s">
        <v>97</v>
      </c>
      <c r="Q1218" s="4" t="s">
        <v>69</v>
      </c>
      <c r="R1218" s="4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</row>
    <row r="1219">
      <c r="A1219" s="14" t="s">
        <v>2369</v>
      </c>
      <c r="B1219" s="19">
        <v>44315.48216435185</v>
      </c>
      <c r="C1219" s="4">
        <v>50009.0</v>
      </c>
      <c r="D1219" s="4" t="s">
        <v>2370</v>
      </c>
      <c r="E1219" s="4">
        <v>9.19136129088E11</v>
      </c>
      <c r="F1219" s="4" t="s">
        <v>83</v>
      </c>
      <c r="G1219" s="4"/>
      <c r="H1219" s="4" t="s">
        <v>1476</v>
      </c>
      <c r="I1219" s="4"/>
      <c r="J1219" s="4" t="s">
        <v>149</v>
      </c>
      <c r="K1219" s="4">
        <v>99.0</v>
      </c>
      <c r="L1219" s="4"/>
      <c r="M1219" s="4">
        <v>99.0</v>
      </c>
      <c r="N1219" s="4" t="s">
        <v>67</v>
      </c>
      <c r="O1219" s="4" t="b">
        <v>0</v>
      </c>
      <c r="P1219" s="4" t="s">
        <v>97</v>
      </c>
      <c r="Q1219" s="4" t="s">
        <v>69</v>
      </c>
      <c r="R1219" s="4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</row>
    <row r="1220">
      <c r="A1220" s="14" t="s">
        <v>2371</v>
      </c>
      <c r="B1220" s="19">
        <v>44315.500810185185</v>
      </c>
      <c r="C1220" s="4">
        <v>50030.0</v>
      </c>
      <c r="D1220" s="4" t="s">
        <v>2372</v>
      </c>
      <c r="E1220" s="4">
        <v>9.18072085979E11</v>
      </c>
      <c r="F1220" s="4" t="s">
        <v>83</v>
      </c>
      <c r="G1220" s="4"/>
      <c r="H1220" s="4" t="s">
        <v>1979</v>
      </c>
      <c r="I1220" s="4"/>
      <c r="J1220" s="4" t="s">
        <v>1437</v>
      </c>
      <c r="K1220" s="4">
        <v>99.0</v>
      </c>
      <c r="L1220" s="4"/>
      <c r="M1220" s="4">
        <v>99.0</v>
      </c>
      <c r="N1220" s="4" t="s">
        <v>67</v>
      </c>
      <c r="O1220" s="4" t="b">
        <v>0</v>
      </c>
      <c r="P1220" s="4" t="s">
        <v>68</v>
      </c>
      <c r="Q1220" s="4" t="s">
        <v>69</v>
      </c>
      <c r="R1220" s="4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</row>
    <row r="1221">
      <c r="A1221" s="14" t="s">
        <v>1498</v>
      </c>
      <c r="B1221" s="19">
        <v>44314.44417824074</v>
      </c>
      <c r="C1221" s="4">
        <v>50031.0</v>
      </c>
      <c r="D1221" s="4" t="s">
        <v>1499</v>
      </c>
      <c r="E1221" s="4">
        <v>9.1778062301E11</v>
      </c>
      <c r="F1221" s="4" t="s">
        <v>83</v>
      </c>
      <c r="G1221" s="4"/>
      <c r="H1221" s="4" t="s">
        <v>1447</v>
      </c>
      <c r="I1221" s="4"/>
      <c r="J1221" s="4" t="s">
        <v>1437</v>
      </c>
      <c r="K1221" s="4">
        <v>99.0</v>
      </c>
      <c r="L1221" s="4"/>
      <c r="M1221" s="4">
        <v>99.0</v>
      </c>
      <c r="N1221" s="4" t="s">
        <v>67</v>
      </c>
      <c r="O1221" s="4" t="b">
        <v>0</v>
      </c>
      <c r="P1221" s="4" t="s">
        <v>68</v>
      </c>
      <c r="Q1221" s="4" t="s">
        <v>69</v>
      </c>
      <c r="R1221" s="4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</row>
    <row r="1222">
      <c r="A1222" s="14" t="s">
        <v>418</v>
      </c>
      <c r="B1222" s="19">
        <v>44314.428981481484</v>
      </c>
      <c r="C1222" s="4">
        <v>49991.0</v>
      </c>
      <c r="D1222" s="4" t="s">
        <v>419</v>
      </c>
      <c r="E1222" s="4">
        <v>9.19494156323E11</v>
      </c>
      <c r="F1222" s="4">
        <v>17396.0</v>
      </c>
      <c r="G1222" s="4"/>
      <c r="H1222" s="4" t="s">
        <v>148</v>
      </c>
      <c r="I1222" s="4"/>
      <c r="J1222" s="4" t="s">
        <v>77</v>
      </c>
      <c r="K1222" s="4">
        <v>349.0</v>
      </c>
      <c r="L1222" s="4"/>
      <c r="M1222" s="4">
        <v>349.0</v>
      </c>
      <c r="N1222" s="4" t="s">
        <v>67</v>
      </c>
      <c r="O1222" s="4" t="b">
        <v>0</v>
      </c>
      <c r="P1222" s="4" t="s">
        <v>97</v>
      </c>
      <c r="Q1222" s="4" t="s">
        <v>69</v>
      </c>
      <c r="R1222" s="4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</row>
    <row r="1223">
      <c r="A1223" s="14" t="s">
        <v>2258</v>
      </c>
      <c r="B1223" s="19">
        <v>44314.46131944445</v>
      </c>
      <c r="C1223" s="4">
        <v>49833.0</v>
      </c>
      <c r="D1223" s="4" t="s">
        <v>2259</v>
      </c>
      <c r="E1223" s="4">
        <v>9.17982050566E11</v>
      </c>
      <c r="F1223" s="4">
        <v>17398.0</v>
      </c>
      <c r="G1223" s="4"/>
      <c r="H1223" s="4" t="s">
        <v>184</v>
      </c>
      <c r="I1223" s="4"/>
      <c r="J1223" s="4" t="s">
        <v>77</v>
      </c>
      <c r="K1223" s="4">
        <v>499.0</v>
      </c>
      <c r="L1223" s="4"/>
      <c r="M1223" s="4">
        <v>499.0</v>
      </c>
      <c r="N1223" s="4" t="s">
        <v>67</v>
      </c>
      <c r="O1223" s="4" t="b">
        <v>0</v>
      </c>
      <c r="P1223" s="4" t="s">
        <v>68</v>
      </c>
      <c r="Q1223" s="4" t="s">
        <v>69</v>
      </c>
      <c r="R1223" s="4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</row>
    <row r="1224">
      <c r="A1224" s="14" t="s">
        <v>2375</v>
      </c>
      <c r="B1224" s="19">
        <v>44315.53907407408</v>
      </c>
      <c r="C1224" s="4">
        <v>49994.0</v>
      </c>
      <c r="D1224" s="4" t="s">
        <v>2376</v>
      </c>
      <c r="E1224" s="4">
        <v>9.19030832213E11</v>
      </c>
      <c r="F1224" s="4">
        <v>17432.0</v>
      </c>
      <c r="G1224" s="4"/>
      <c r="H1224" s="4" t="s">
        <v>1264</v>
      </c>
      <c r="I1224" s="4"/>
      <c r="J1224" s="4" t="s">
        <v>149</v>
      </c>
      <c r="K1224" s="4">
        <v>99.0</v>
      </c>
      <c r="L1224" s="4"/>
      <c r="M1224" s="4">
        <v>99.0</v>
      </c>
      <c r="N1224" s="4" t="s">
        <v>67</v>
      </c>
      <c r="O1224" s="4" t="b">
        <v>0</v>
      </c>
      <c r="P1224" s="4" t="s">
        <v>97</v>
      </c>
      <c r="Q1224" s="4" t="s">
        <v>69</v>
      </c>
      <c r="R1224" s="4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</row>
    <row r="1225">
      <c r="A1225" s="14" t="s">
        <v>2377</v>
      </c>
      <c r="B1225" s="19">
        <v>44315.53988425926</v>
      </c>
      <c r="C1225" s="4">
        <v>49997.0</v>
      </c>
      <c r="D1225" s="4" t="s">
        <v>2378</v>
      </c>
      <c r="E1225" s="4">
        <v>9.17591906969E11</v>
      </c>
      <c r="F1225" s="4">
        <v>17476.0</v>
      </c>
      <c r="G1225" s="4"/>
      <c r="H1225" s="4" t="s">
        <v>1059</v>
      </c>
      <c r="I1225" s="4"/>
      <c r="J1225" s="4" t="s">
        <v>149</v>
      </c>
      <c r="K1225" s="4">
        <v>99.0</v>
      </c>
      <c r="L1225" s="4"/>
      <c r="M1225" s="4">
        <v>99.0</v>
      </c>
      <c r="N1225" s="4" t="s">
        <v>67</v>
      </c>
      <c r="O1225" s="4" t="b">
        <v>0</v>
      </c>
      <c r="P1225" s="4" t="s">
        <v>74</v>
      </c>
      <c r="Q1225" s="4" t="s">
        <v>69</v>
      </c>
      <c r="R1225" s="4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</row>
    <row r="1226">
      <c r="A1226" s="14" t="s">
        <v>2120</v>
      </c>
      <c r="B1226" s="19">
        <v>44314.48987268518</v>
      </c>
      <c r="C1226" s="4">
        <v>49995.0</v>
      </c>
      <c r="D1226" s="4" t="s">
        <v>2121</v>
      </c>
      <c r="E1226" s="4">
        <v>9.188591057E11</v>
      </c>
      <c r="F1226" s="4">
        <v>17399.0</v>
      </c>
      <c r="G1226" s="4"/>
      <c r="H1226" s="4" t="s">
        <v>2005</v>
      </c>
      <c r="I1226" s="4"/>
      <c r="J1226" s="4" t="s">
        <v>149</v>
      </c>
      <c r="K1226" s="4">
        <v>99.0</v>
      </c>
      <c r="L1226" s="4"/>
      <c r="M1226" s="4">
        <v>99.0</v>
      </c>
      <c r="N1226" s="4" t="s">
        <v>67</v>
      </c>
      <c r="O1226" s="4" t="b">
        <v>0</v>
      </c>
      <c r="P1226" s="4" t="s">
        <v>68</v>
      </c>
      <c r="Q1226" s="4" t="s">
        <v>69</v>
      </c>
      <c r="R1226" s="4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</row>
    <row r="1227">
      <c r="A1227" s="14" t="s">
        <v>2260</v>
      </c>
      <c r="B1227" s="19">
        <v>44314.49171296296</v>
      </c>
      <c r="C1227" s="4">
        <v>49844.0</v>
      </c>
      <c r="D1227" s="4" t="s">
        <v>2261</v>
      </c>
      <c r="E1227" s="4">
        <v>9.18320598403E11</v>
      </c>
      <c r="F1227" s="4">
        <v>17437.0</v>
      </c>
      <c r="G1227" s="4"/>
      <c r="H1227" s="4" t="s">
        <v>885</v>
      </c>
      <c r="I1227" s="4"/>
      <c r="J1227" s="4" t="s">
        <v>77</v>
      </c>
      <c r="K1227" s="4">
        <v>349.0</v>
      </c>
      <c r="L1227" s="4"/>
      <c r="M1227" s="4">
        <v>349.0</v>
      </c>
      <c r="N1227" s="4" t="s">
        <v>67</v>
      </c>
      <c r="O1227" s="4" t="b">
        <v>0</v>
      </c>
      <c r="P1227" s="4" t="s">
        <v>97</v>
      </c>
      <c r="Q1227" s="4" t="s">
        <v>69</v>
      </c>
      <c r="R1227" s="4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</row>
    <row r="1228">
      <c r="A1228" s="14" t="s">
        <v>2373</v>
      </c>
      <c r="B1228" s="19">
        <v>44315.535162037035</v>
      </c>
      <c r="C1228" s="4">
        <v>49997.0</v>
      </c>
      <c r="D1228" s="4" t="s">
        <v>2374</v>
      </c>
      <c r="E1228" s="4">
        <v>9.19509488488E11</v>
      </c>
      <c r="F1228" s="4" t="s">
        <v>83</v>
      </c>
      <c r="G1228" s="4"/>
      <c r="H1228" s="4" t="s">
        <v>1059</v>
      </c>
      <c r="I1228" s="4"/>
      <c r="J1228" s="4" t="s">
        <v>85</v>
      </c>
      <c r="K1228" s="4">
        <v>199.0</v>
      </c>
      <c r="L1228" s="4"/>
      <c r="M1228" s="4">
        <v>199.0</v>
      </c>
      <c r="N1228" s="4" t="s">
        <v>67</v>
      </c>
      <c r="O1228" s="4" t="b">
        <v>0</v>
      </c>
      <c r="P1228" s="4" t="s">
        <v>151</v>
      </c>
      <c r="Q1228" s="4" t="s">
        <v>69</v>
      </c>
      <c r="R1228" s="4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</row>
    <row r="1229">
      <c r="A1229" s="14" t="s">
        <v>2262</v>
      </c>
      <c r="B1229" s="19">
        <v>44314.49421296296</v>
      </c>
      <c r="C1229" s="4">
        <v>49994.0</v>
      </c>
      <c r="D1229" s="4" t="s">
        <v>2263</v>
      </c>
      <c r="E1229" s="4">
        <v>9.18806344222E11</v>
      </c>
      <c r="F1229" s="4" t="s">
        <v>83</v>
      </c>
      <c r="G1229" s="4"/>
      <c r="H1229" s="4" t="s">
        <v>1264</v>
      </c>
      <c r="I1229" s="4"/>
      <c r="J1229" s="4" t="s">
        <v>149</v>
      </c>
      <c r="K1229" s="4">
        <v>99.0</v>
      </c>
      <c r="L1229" s="4"/>
      <c r="M1229" s="4">
        <v>99.0</v>
      </c>
      <c r="N1229" s="4" t="s">
        <v>67</v>
      </c>
      <c r="O1229" s="4" t="b">
        <v>0</v>
      </c>
      <c r="P1229" s="4" t="s">
        <v>68</v>
      </c>
      <c r="Q1229" s="4" t="s">
        <v>69</v>
      </c>
      <c r="R1229" s="4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</row>
    <row r="1230">
      <c r="A1230" s="14" t="s">
        <v>2264</v>
      </c>
      <c r="B1230" s="19">
        <v>44314.50556712963</v>
      </c>
      <c r="C1230" s="4">
        <v>50033.0</v>
      </c>
      <c r="D1230" s="4" t="s">
        <v>2265</v>
      </c>
      <c r="E1230" s="4">
        <v>9.17338440825E11</v>
      </c>
      <c r="F1230" s="4">
        <v>17400.0</v>
      </c>
      <c r="G1230" s="4"/>
      <c r="H1230" s="4" t="s">
        <v>1727</v>
      </c>
      <c r="I1230" s="4"/>
      <c r="J1230" s="4" t="s">
        <v>77</v>
      </c>
      <c r="K1230" s="4">
        <v>349.0</v>
      </c>
      <c r="L1230" s="4"/>
      <c r="M1230" s="4">
        <v>349.0</v>
      </c>
      <c r="N1230" s="4" t="s">
        <v>67</v>
      </c>
      <c r="O1230" s="4" t="b">
        <v>0</v>
      </c>
      <c r="P1230" s="4" t="s">
        <v>97</v>
      </c>
      <c r="Q1230" s="4" t="s">
        <v>69</v>
      </c>
      <c r="R1230" s="4"/>
      <c r="T1230" s="20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</row>
    <row r="1231">
      <c r="A1231" s="14" t="s">
        <v>675</v>
      </c>
      <c r="B1231" s="19">
        <v>44315.58789351852</v>
      </c>
      <c r="C1231" s="4">
        <v>49907.0</v>
      </c>
      <c r="D1231" s="4" t="s">
        <v>676</v>
      </c>
      <c r="E1231" s="4">
        <v>9.19951010183E11</v>
      </c>
      <c r="F1231" s="4" t="s">
        <v>83</v>
      </c>
      <c r="G1231" s="4"/>
      <c r="H1231" s="4" t="s">
        <v>587</v>
      </c>
      <c r="I1231" s="4"/>
      <c r="J1231" s="4" t="s">
        <v>77</v>
      </c>
      <c r="K1231" s="4">
        <v>349.0</v>
      </c>
      <c r="L1231" s="4"/>
      <c r="M1231" s="4">
        <v>349.0</v>
      </c>
      <c r="N1231" s="4" t="s">
        <v>67</v>
      </c>
      <c r="O1231" s="4" t="b">
        <v>0</v>
      </c>
      <c r="P1231" s="4" t="s">
        <v>68</v>
      </c>
      <c r="Q1231" s="4" t="s">
        <v>69</v>
      </c>
      <c r="R1231" s="4"/>
      <c r="T1231" s="20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</row>
    <row r="1232">
      <c r="A1232" s="14" t="s">
        <v>1504</v>
      </c>
      <c r="B1232" s="19">
        <v>44314.549629629626</v>
      </c>
      <c r="C1232" s="4">
        <v>50031.0</v>
      </c>
      <c r="D1232" s="4" t="s">
        <v>1505</v>
      </c>
      <c r="E1232" s="4">
        <v>9.17023004569E11</v>
      </c>
      <c r="F1232" s="4">
        <v>17569.0</v>
      </c>
      <c r="G1232" s="4"/>
      <c r="H1232" s="4" t="s">
        <v>1447</v>
      </c>
      <c r="I1232" s="4"/>
      <c r="J1232" s="4" t="s">
        <v>1437</v>
      </c>
      <c r="K1232" s="4">
        <v>99.0</v>
      </c>
      <c r="L1232" s="4"/>
      <c r="M1232" s="4">
        <v>99.0</v>
      </c>
      <c r="N1232" s="4" t="s">
        <v>67</v>
      </c>
      <c r="O1232" s="4" t="b">
        <v>0</v>
      </c>
      <c r="P1232" s="4" t="s">
        <v>261</v>
      </c>
      <c r="Q1232" s="4" t="s">
        <v>69</v>
      </c>
      <c r="R1232" s="4"/>
      <c r="T1232" s="20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</row>
    <row r="1233">
      <c r="A1233" s="14" t="s">
        <v>2268</v>
      </c>
      <c r="B1233" s="19">
        <v>44314.55670138889</v>
      </c>
      <c r="C1233" s="4">
        <v>49833.0</v>
      </c>
      <c r="D1233" s="4" t="s">
        <v>2269</v>
      </c>
      <c r="E1233" s="4">
        <v>9.18806307252E11</v>
      </c>
      <c r="F1233" s="4">
        <v>8829.0</v>
      </c>
      <c r="G1233" s="4"/>
      <c r="H1233" s="4" t="s">
        <v>184</v>
      </c>
      <c r="I1233" s="4"/>
      <c r="J1233" s="4" t="s">
        <v>85</v>
      </c>
      <c r="K1233" s="4">
        <v>299.0</v>
      </c>
      <c r="L1233" s="4"/>
      <c r="M1233" s="4">
        <v>299.0</v>
      </c>
      <c r="N1233" s="4" t="s">
        <v>67</v>
      </c>
      <c r="O1233" s="4" t="b">
        <v>0</v>
      </c>
      <c r="P1233" s="4" t="s">
        <v>68</v>
      </c>
      <c r="Q1233" s="4" t="s">
        <v>69</v>
      </c>
      <c r="R1233" s="4"/>
      <c r="T1233" s="20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</row>
    <row r="1234">
      <c r="A1234" s="14" t="s">
        <v>2270</v>
      </c>
      <c r="B1234" s="19">
        <v>44314.58278935185</v>
      </c>
      <c r="C1234" s="4">
        <v>49834.0</v>
      </c>
      <c r="D1234" s="4" t="s">
        <v>2271</v>
      </c>
      <c r="E1234" s="4">
        <v>9.17977767463E11</v>
      </c>
      <c r="F1234" s="4">
        <v>17433.0</v>
      </c>
      <c r="G1234" s="4"/>
      <c r="H1234" s="4" t="s">
        <v>960</v>
      </c>
      <c r="I1234" s="4"/>
      <c r="J1234" s="4" t="s">
        <v>149</v>
      </c>
      <c r="K1234" s="4">
        <v>99.0</v>
      </c>
      <c r="L1234" s="4"/>
      <c r="M1234" s="4">
        <v>99.0</v>
      </c>
      <c r="N1234" s="4" t="s">
        <v>67</v>
      </c>
      <c r="O1234" s="4" t="b">
        <v>0</v>
      </c>
      <c r="P1234" s="4" t="s">
        <v>68</v>
      </c>
      <c r="Q1234" s="4" t="s">
        <v>69</v>
      </c>
      <c r="R1234" s="4"/>
      <c r="T1234" s="20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</row>
    <row r="1235">
      <c r="A1235" s="14" t="s">
        <v>2408</v>
      </c>
      <c r="B1235" s="19">
        <v>44315.64334490741</v>
      </c>
      <c r="C1235" s="4">
        <v>49854.0</v>
      </c>
      <c r="D1235" s="4" t="s">
        <v>2409</v>
      </c>
      <c r="E1235" s="4">
        <v>9.19618679345E11</v>
      </c>
      <c r="F1235" s="4" t="s">
        <v>83</v>
      </c>
      <c r="G1235" s="4"/>
      <c r="H1235" s="4" t="s">
        <v>2161</v>
      </c>
      <c r="I1235" s="4"/>
      <c r="J1235" s="4" t="s">
        <v>85</v>
      </c>
      <c r="K1235" s="4">
        <v>599.0</v>
      </c>
      <c r="L1235" s="4"/>
      <c r="M1235" s="4">
        <v>599.0</v>
      </c>
      <c r="N1235" s="4" t="s">
        <v>67</v>
      </c>
      <c r="O1235" s="4" t="b">
        <v>0</v>
      </c>
      <c r="P1235" s="4" t="s">
        <v>68</v>
      </c>
      <c r="Q1235" s="4" t="s">
        <v>69</v>
      </c>
      <c r="R1235" s="4"/>
      <c r="T1235" s="20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</row>
    <row r="1236">
      <c r="A1236" s="14" t="s">
        <v>420</v>
      </c>
      <c r="B1236" s="19">
        <v>44314.5875</v>
      </c>
      <c r="C1236" s="4">
        <v>49991.0</v>
      </c>
      <c r="D1236" s="4" t="s">
        <v>421</v>
      </c>
      <c r="E1236" s="4">
        <v>9.19780097524E11</v>
      </c>
      <c r="F1236" s="4">
        <v>17403.0</v>
      </c>
      <c r="G1236" s="4"/>
      <c r="H1236" s="4" t="s">
        <v>148</v>
      </c>
      <c r="I1236" s="4"/>
      <c r="J1236" s="4" t="s">
        <v>149</v>
      </c>
      <c r="K1236" s="4">
        <v>99.0</v>
      </c>
      <c r="L1236" s="4"/>
      <c r="M1236" s="4">
        <v>99.0</v>
      </c>
      <c r="N1236" s="4" t="s">
        <v>67</v>
      </c>
      <c r="O1236" s="4" t="b">
        <v>0</v>
      </c>
      <c r="P1236" s="4" t="s">
        <v>68</v>
      </c>
      <c r="Q1236" s="4" t="s">
        <v>69</v>
      </c>
      <c r="R1236" s="4"/>
      <c r="T1236" s="20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</row>
    <row r="1237">
      <c r="A1237" s="14" t="s">
        <v>2383</v>
      </c>
      <c r="B1237" s="19">
        <v>44315.648668981485</v>
      </c>
      <c r="C1237" s="4">
        <v>49993.0</v>
      </c>
      <c r="D1237" s="4" t="s">
        <v>2384</v>
      </c>
      <c r="E1237" s="4">
        <v>9.19860554444E11</v>
      </c>
      <c r="F1237" s="4">
        <v>17496.0</v>
      </c>
      <c r="G1237" s="4"/>
      <c r="H1237" s="4" t="s">
        <v>1104</v>
      </c>
      <c r="I1237" s="4"/>
      <c r="J1237" s="4" t="s">
        <v>149</v>
      </c>
      <c r="K1237" s="4">
        <v>199.0</v>
      </c>
      <c r="L1237" s="4"/>
      <c r="M1237" s="4">
        <v>199.0</v>
      </c>
      <c r="N1237" s="4" t="s">
        <v>67</v>
      </c>
      <c r="O1237" s="4" t="b">
        <v>0</v>
      </c>
      <c r="P1237" s="4" t="s">
        <v>74</v>
      </c>
      <c r="Q1237" s="4" t="s">
        <v>69</v>
      </c>
      <c r="R1237" s="4"/>
      <c r="T1237" s="20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</row>
    <row r="1238">
      <c r="A1238" s="14" t="s">
        <v>2389</v>
      </c>
      <c r="B1238" s="19">
        <v>44315.667546296296</v>
      </c>
      <c r="C1238" s="4">
        <v>49833.0</v>
      </c>
      <c r="D1238" s="4" t="s">
        <v>2390</v>
      </c>
      <c r="E1238" s="4">
        <v>9.17324923456E11</v>
      </c>
      <c r="F1238" s="4">
        <v>17436.0</v>
      </c>
      <c r="G1238" s="4"/>
      <c r="H1238" s="4" t="s">
        <v>184</v>
      </c>
      <c r="I1238" s="4"/>
      <c r="J1238" s="4" t="s">
        <v>85</v>
      </c>
      <c r="K1238" s="4">
        <v>299.0</v>
      </c>
      <c r="L1238" s="4"/>
      <c r="M1238" s="4">
        <v>299.0</v>
      </c>
      <c r="N1238" s="4" t="s">
        <v>67</v>
      </c>
      <c r="O1238" s="4" t="b">
        <v>0</v>
      </c>
      <c r="P1238" s="4" t="s">
        <v>68</v>
      </c>
      <c r="Q1238" s="4" t="s">
        <v>69</v>
      </c>
      <c r="R1238" s="4"/>
      <c r="T1238" s="20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</row>
    <row r="1239">
      <c r="A1239" s="14" t="s">
        <v>2385</v>
      </c>
      <c r="B1239" s="19">
        <v>44315.65231481481</v>
      </c>
      <c r="C1239" s="4">
        <v>49993.0</v>
      </c>
      <c r="D1239" s="4" t="s">
        <v>2386</v>
      </c>
      <c r="E1239" s="4">
        <v>9.17043279748E11</v>
      </c>
      <c r="F1239" s="4" t="s">
        <v>83</v>
      </c>
      <c r="G1239" s="4"/>
      <c r="H1239" s="4" t="s">
        <v>1104</v>
      </c>
      <c r="I1239" s="4"/>
      <c r="J1239" s="4" t="s">
        <v>149</v>
      </c>
      <c r="K1239" s="4">
        <v>199.0</v>
      </c>
      <c r="L1239" s="4"/>
      <c r="M1239" s="4">
        <v>199.0</v>
      </c>
      <c r="N1239" s="4" t="s">
        <v>67</v>
      </c>
      <c r="O1239" s="4" t="b">
        <v>0</v>
      </c>
      <c r="P1239" s="4" t="s">
        <v>97</v>
      </c>
      <c r="Q1239" s="4" t="s">
        <v>69</v>
      </c>
      <c r="R1239" s="4"/>
      <c r="T1239" s="20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</row>
    <row r="1240">
      <c r="A1240" s="14" t="s">
        <v>2391</v>
      </c>
      <c r="B1240" s="19">
        <v>44315.669537037036</v>
      </c>
      <c r="C1240" s="4">
        <v>50032.0</v>
      </c>
      <c r="D1240" s="4" t="s">
        <v>2392</v>
      </c>
      <c r="E1240" s="4">
        <v>9.19833868733E11</v>
      </c>
      <c r="F1240" s="4">
        <v>17435.0</v>
      </c>
      <c r="G1240" s="4"/>
      <c r="H1240" s="4" t="s">
        <v>1982</v>
      </c>
      <c r="I1240" s="4"/>
      <c r="J1240" s="4" t="s">
        <v>149</v>
      </c>
      <c r="K1240" s="4">
        <v>99.0</v>
      </c>
      <c r="L1240" s="4"/>
      <c r="M1240" s="4">
        <v>99.0</v>
      </c>
      <c r="N1240" s="4" t="s">
        <v>67</v>
      </c>
      <c r="O1240" s="4" t="b">
        <v>0</v>
      </c>
      <c r="P1240" s="4" t="s">
        <v>68</v>
      </c>
      <c r="Q1240" s="4" t="s">
        <v>69</v>
      </c>
      <c r="R1240" s="4"/>
      <c r="T1240" s="20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</row>
    <row r="1241">
      <c r="A1241" s="14" t="s">
        <v>2393</v>
      </c>
      <c r="B1241" s="19">
        <v>44315.67114583333</v>
      </c>
      <c r="C1241" s="4">
        <v>49997.0</v>
      </c>
      <c r="D1241" s="4" t="s">
        <v>2394</v>
      </c>
      <c r="E1241" s="4">
        <v>9.19409071514E11</v>
      </c>
      <c r="F1241" s="4">
        <v>17443.0</v>
      </c>
      <c r="G1241" s="4"/>
      <c r="H1241" s="4" t="s">
        <v>1059</v>
      </c>
      <c r="I1241" s="4"/>
      <c r="J1241" s="4" t="s">
        <v>149</v>
      </c>
      <c r="K1241" s="4">
        <v>99.0</v>
      </c>
      <c r="L1241" s="4"/>
      <c r="M1241" s="4">
        <v>99.0</v>
      </c>
      <c r="N1241" s="4" t="s">
        <v>67</v>
      </c>
      <c r="O1241" s="4" t="b">
        <v>0</v>
      </c>
      <c r="P1241" s="4" t="s">
        <v>74</v>
      </c>
      <c r="Q1241" s="4" t="s">
        <v>69</v>
      </c>
      <c r="R1241" s="4"/>
      <c r="T1241" s="20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</row>
    <row r="1242">
      <c r="A1242" s="14" t="s">
        <v>2126</v>
      </c>
      <c r="B1242" s="19">
        <v>44315.673784722225</v>
      </c>
      <c r="C1242" s="4">
        <v>49995.0</v>
      </c>
      <c r="D1242" s="4" t="s">
        <v>2127</v>
      </c>
      <c r="E1242" s="4">
        <v>9.19972302038E11</v>
      </c>
      <c r="F1242" s="4">
        <v>17500.0</v>
      </c>
      <c r="G1242" s="4"/>
      <c r="H1242" s="4" t="s">
        <v>2005</v>
      </c>
      <c r="I1242" s="4"/>
      <c r="J1242" s="4" t="s">
        <v>149</v>
      </c>
      <c r="K1242" s="4">
        <v>99.0</v>
      </c>
      <c r="L1242" s="4"/>
      <c r="M1242" s="4">
        <v>99.0</v>
      </c>
      <c r="N1242" s="4" t="s">
        <v>67</v>
      </c>
      <c r="O1242" s="4" t="b">
        <v>0</v>
      </c>
      <c r="P1242" s="4" t="s">
        <v>68</v>
      </c>
      <c r="Q1242" s="4" t="s">
        <v>69</v>
      </c>
      <c r="R1242" s="4"/>
      <c r="T1242" s="20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</row>
    <row r="1243">
      <c r="A1243" s="14" t="s">
        <v>2274</v>
      </c>
      <c r="B1243" s="19">
        <v>44314.61460648148</v>
      </c>
      <c r="C1243" s="4">
        <v>49993.0</v>
      </c>
      <c r="D1243" s="4" t="s">
        <v>2275</v>
      </c>
      <c r="E1243" s="4">
        <v>9.18872390679E11</v>
      </c>
      <c r="F1243" s="4">
        <v>17405.0</v>
      </c>
      <c r="G1243" s="4"/>
      <c r="H1243" s="4" t="s">
        <v>1104</v>
      </c>
      <c r="I1243" s="4"/>
      <c r="J1243" s="4" t="s">
        <v>149</v>
      </c>
      <c r="K1243" s="4">
        <v>199.0</v>
      </c>
      <c r="L1243" s="4"/>
      <c r="M1243" s="4">
        <v>199.0</v>
      </c>
      <c r="N1243" s="4" t="s">
        <v>67</v>
      </c>
      <c r="O1243" s="4" t="b">
        <v>0</v>
      </c>
      <c r="P1243" s="4" t="s">
        <v>68</v>
      </c>
      <c r="Q1243" s="4" t="s">
        <v>69</v>
      </c>
      <c r="R1243" s="4"/>
      <c r="T1243" s="20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</row>
    <row r="1244">
      <c r="A1244" s="14" t="s">
        <v>2387</v>
      </c>
      <c r="B1244" s="19">
        <v>44315.65930555556</v>
      </c>
      <c r="C1244" s="4">
        <v>50033.0</v>
      </c>
      <c r="D1244" s="4" t="s">
        <v>2388</v>
      </c>
      <c r="E1244" s="4">
        <v>9.18149418607E11</v>
      </c>
      <c r="F1244" s="4">
        <v>7368.0</v>
      </c>
      <c r="G1244" s="4"/>
      <c r="H1244" s="4" t="s">
        <v>1727</v>
      </c>
      <c r="I1244" s="4"/>
      <c r="J1244" s="4" t="s">
        <v>1437</v>
      </c>
      <c r="K1244" s="4">
        <v>99.0</v>
      </c>
      <c r="L1244" s="4"/>
      <c r="M1244" s="4">
        <v>99.0</v>
      </c>
      <c r="N1244" s="4" t="s">
        <v>67</v>
      </c>
      <c r="O1244" s="4" t="b">
        <v>0</v>
      </c>
      <c r="P1244" s="4" t="s">
        <v>68</v>
      </c>
      <c r="Q1244" s="4" t="s">
        <v>69</v>
      </c>
      <c r="R1244" s="4"/>
      <c r="T1244" s="20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</row>
    <row r="1245">
      <c r="A1245" s="14" t="s">
        <v>426</v>
      </c>
      <c r="B1245" s="19">
        <v>44314.62461805555</v>
      </c>
      <c r="C1245" s="4">
        <v>49991.0</v>
      </c>
      <c r="D1245" s="4" t="s">
        <v>427</v>
      </c>
      <c r="E1245" s="4">
        <v>9.19566790302E11</v>
      </c>
      <c r="F1245" s="4" t="s">
        <v>83</v>
      </c>
      <c r="G1245" s="4"/>
      <c r="H1245" s="4" t="s">
        <v>148</v>
      </c>
      <c r="I1245" s="4"/>
      <c r="J1245" s="4" t="s">
        <v>149</v>
      </c>
      <c r="K1245" s="4">
        <v>99.0</v>
      </c>
      <c r="L1245" s="4"/>
      <c r="M1245" s="4">
        <v>99.0</v>
      </c>
      <c r="N1245" s="4" t="s">
        <v>67</v>
      </c>
      <c r="O1245" s="4" t="b">
        <v>0</v>
      </c>
      <c r="P1245" s="4" t="s">
        <v>151</v>
      </c>
      <c r="Q1245" s="4" t="s">
        <v>69</v>
      </c>
      <c r="R1245" s="4"/>
      <c r="T1245" s="20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</row>
    <row r="1246">
      <c r="A1246" s="14" t="s">
        <v>2276</v>
      </c>
      <c r="B1246" s="19">
        <v>44314.62457175926</v>
      </c>
      <c r="C1246" s="4">
        <v>49958.0</v>
      </c>
      <c r="D1246" s="4" t="s">
        <v>2277</v>
      </c>
      <c r="E1246" s="4">
        <v>9.1989993552E11</v>
      </c>
      <c r="F1246" s="4">
        <v>17407.0</v>
      </c>
      <c r="G1246" s="4"/>
      <c r="H1246" s="4" t="s">
        <v>858</v>
      </c>
      <c r="I1246" s="4"/>
      <c r="J1246" s="4" t="s">
        <v>85</v>
      </c>
      <c r="K1246" s="4">
        <v>199.0</v>
      </c>
      <c r="L1246" s="4"/>
      <c r="M1246" s="4">
        <v>199.0</v>
      </c>
      <c r="N1246" s="4" t="s">
        <v>67</v>
      </c>
      <c r="O1246" s="4" t="b">
        <v>0</v>
      </c>
      <c r="P1246" s="4" t="s">
        <v>74</v>
      </c>
      <c r="Q1246" s="4" t="s">
        <v>69</v>
      </c>
      <c r="R1246" s="4"/>
      <c r="T1246" s="20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</row>
    <row r="1247">
      <c r="A1247" s="14" t="s">
        <v>2280</v>
      </c>
      <c r="B1247" s="19">
        <v>44314.62627314815</v>
      </c>
      <c r="C1247" s="4">
        <v>50041.0</v>
      </c>
      <c r="D1247" s="4" t="s">
        <v>2281</v>
      </c>
      <c r="E1247" s="4">
        <v>9.19000011267E11</v>
      </c>
      <c r="F1247" s="4">
        <v>18300.0</v>
      </c>
      <c r="G1247" s="4"/>
      <c r="H1247" s="4" t="s">
        <v>1932</v>
      </c>
      <c r="I1247" s="4"/>
      <c r="J1247" s="4" t="s">
        <v>77</v>
      </c>
      <c r="K1247" s="4">
        <v>349.0</v>
      </c>
      <c r="L1247" s="4"/>
      <c r="M1247" s="4">
        <v>349.0</v>
      </c>
      <c r="N1247" s="4" t="s">
        <v>67</v>
      </c>
      <c r="O1247" s="4" t="b">
        <v>0</v>
      </c>
      <c r="P1247" s="4" t="s">
        <v>151</v>
      </c>
      <c r="Q1247" s="4" t="s">
        <v>69</v>
      </c>
      <c r="R1247" s="4"/>
      <c r="T1247" s="20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</row>
    <row r="1248">
      <c r="A1248" s="14" t="s">
        <v>2397</v>
      </c>
      <c r="B1248" s="19">
        <v>44315.689409722225</v>
      </c>
      <c r="C1248" s="4">
        <v>49997.0</v>
      </c>
      <c r="D1248" s="4" t="s">
        <v>2398</v>
      </c>
      <c r="E1248" s="4">
        <v>9.17874643108E11</v>
      </c>
      <c r="F1248" s="4">
        <v>17440.0</v>
      </c>
      <c r="G1248" s="4"/>
      <c r="H1248" s="4" t="s">
        <v>1059</v>
      </c>
      <c r="I1248" s="4"/>
      <c r="J1248" s="4" t="s">
        <v>149</v>
      </c>
      <c r="K1248" s="4">
        <v>99.0</v>
      </c>
      <c r="L1248" s="4"/>
      <c r="M1248" s="4">
        <v>99.0</v>
      </c>
      <c r="N1248" s="4" t="s">
        <v>67</v>
      </c>
      <c r="O1248" s="4" t="b">
        <v>0</v>
      </c>
      <c r="P1248" s="4" t="s">
        <v>74</v>
      </c>
      <c r="Q1248" s="4" t="s">
        <v>69</v>
      </c>
      <c r="R1248" s="4"/>
      <c r="T1248" s="20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</row>
    <row r="1249">
      <c r="A1249" s="14" t="s">
        <v>1973</v>
      </c>
      <c r="B1249" s="19">
        <v>44314.65021990741</v>
      </c>
      <c r="C1249" s="4">
        <v>49813.0</v>
      </c>
      <c r="D1249" s="4" t="s">
        <v>1974</v>
      </c>
      <c r="E1249" s="4">
        <v>9.17718959E11</v>
      </c>
      <c r="F1249" s="4">
        <v>17718.0</v>
      </c>
      <c r="G1249" s="4"/>
      <c r="H1249" s="4" t="s">
        <v>1592</v>
      </c>
      <c r="I1249" s="4"/>
      <c r="J1249" s="4" t="s">
        <v>85</v>
      </c>
      <c r="K1249" s="4">
        <v>499.0</v>
      </c>
      <c r="L1249" s="4"/>
      <c r="M1249" s="4">
        <v>499.0</v>
      </c>
      <c r="N1249" s="4" t="s">
        <v>67</v>
      </c>
      <c r="O1249" s="4" t="b">
        <v>0</v>
      </c>
      <c r="P1249" s="4" t="s">
        <v>74</v>
      </c>
      <c r="Q1249" s="4" t="s">
        <v>69</v>
      </c>
      <c r="R1249" s="4"/>
      <c r="T1249" s="20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</row>
    <row r="1250">
      <c r="A1250" s="14" t="s">
        <v>2282</v>
      </c>
      <c r="B1250" s="19">
        <v>44314.63966435185</v>
      </c>
      <c r="C1250" s="4">
        <v>49834.0</v>
      </c>
      <c r="D1250" s="4" t="s">
        <v>2283</v>
      </c>
      <c r="E1250" s="4">
        <v>9.19871033996E11</v>
      </c>
      <c r="F1250" s="4">
        <v>17408.0</v>
      </c>
      <c r="G1250" s="4"/>
      <c r="H1250" s="4" t="s">
        <v>76</v>
      </c>
      <c r="I1250" s="4"/>
      <c r="J1250" s="4" t="s">
        <v>85</v>
      </c>
      <c r="K1250" s="4">
        <v>199.0</v>
      </c>
      <c r="L1250" s="4"/>
      <c r="M1250" s="4">
        <v>199.0</v>
      </c>
      <c r="N1250" s="4" t="s">
        <v>67</v>
      </c>
      <c r="O1250" s="4" t="b">
        <v>0</v>
      </c>
      <c r="P1250" s="4" t="s">
        <v>151</v>
      </c>
      <c r="Q1250" s="4" t="s">
        <v>69</v>
      </c>
      <c r="R1250" s="4"/>
      <c r="T1250" s="20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</row>
    <row r="1251">
      <c r="A1251" s="14" t="s">
        <v>2286</v>
      </c>
      <c r="B1251" s="19">
        <v>44314.667766203704</v>
      </c>
      <c r="C1251" s="4">
        <v>49834.0</v>
      </c>
      <c r="D1251" s="4" t="s">
        <v>2287</v>
      </c>
      <c r="E1251" s="4">
        <v>9.19019507928E11</v>
      </c>
      <c r="F1251" s="4" t="s">
        <v>83</v>
      </c>
      <c r="G1251" s="4"/>
      <c r="H1251" s="4" t="s">
        <v>960</v>
      </c>
      <c r="I1251" s="4"/>
      <c r="J1251" s="4" t="s">
        <v>149</v>
      </c>
      <c r="K1251" s="4">
        <v>99.0</v>
      </c>
      <c r="L1251" s="4"/>
      <c r="M1251" s="4">
        <v>99.0</v>
      </c>
      <c r="N1251" s="4" t="s">
        <v>67</v>
      </c>
      <c r="O1251" s="4" t="b">
        <v>0</v>
      </c>
      <c r="P1251" s="4" t="s">
        <v>68</v>
      </c>
      <c r="Q1251" s="4" t="s">
        <v>69</v>
      </c>
      <c r="R1251" s="4"/>
      <c r="T1251" s="20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</row>
    <row r="1252">
      <c r="A1252" s="14" t="s">
        <v>2288</v>
      </c>
      <c r="B1252" s="19">
        <v>44314.67290509259</v>
      </c>
      <c r="C1252" s="4">
        <v>49997.0</v>
      </c>
      <c r="D1252" s="4" t="s">
        <v>2289</v>
      </c>
      <c r="E1252" s="4">
        <v>9.18899183859E11</v>
      </c>
      <c r="F1252" s="4">
        <v>17731.0</v>
      </c>
      <c r="G1252" s="4"/>
      <c r="H1252" s="4" t="s">
        <v>1059</v>
      </c>
      <c r="I1252" s="4"/>
      <c r="J1252" s="4" t="s">
        <v>85</v>
      </c>
      <c r="K1252" s="4">
        <v>199.0</v>
      </c>
      <c r="L1252" s="4"/>
      <c r="M1252" s="4">
        <v>199.0</v>
      </c>
      <c r="N1252" s="4" t="s">
        <v>67</v>
      </c>
      <c r="O1252" s="4" t="b">
        <v>0</v>
      </c>
      <c r="P1252" s="4" t="s">
        <v>151</v>
      </c>
      <c r="Q1252" s="4" t="s">
        <v>69</v>
      </c>
      <c r="R1252" s="4"/>
      <c r="T1252" s="20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</row>
    <row r="1253">
      <c r="A1253" s="14" t="s">
        <v>2290</v>
      </c>
      <c r="B1253" s="19">
        <v>44314.692083333335</v>
      </c>
      <c r="C1253" s="4">
        <v>49997.0</v>
      </c>
      <c r="D1253" s="4" t="s">
        <v>2291</v>
      </c>
      <c r="E1253" s="4">
        <v>9.19888860098E11</v>
      </c>
      <c r="F1253" s="4">
        <v>17479.0</v>
      </c>
      <c r="G1253" s="4"/>
      <c r="H1253" s="4" t="s">
        <v>1059</v>
      </c>
      <c r="I1253" s="4"/>
      <c r="J1253" s="4" t="s">
        <v>149</v>
      </c>
      <c r="K1253" s="4">
        <v>99.0</v>
      </c>
      <c r="L1253" s="4"/>
      <c r="M1253" s="4">
        <v>99.0</v>
      </c>
      <c r="N1253" s="4" t="s">
        <v>67</v>
      </c>
      <c r="O1253" s="4" t="b">
        <v>0</v>
      </c>
      <c r="P1253" s="4" t="s">
        <v>68</v>
      </c>
      <c r="Q1253" s="4" t="s">
        <v>69</v>
      </c>
      <c r="R1253" s="4"/>
      <c r="T1253" s="20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</row>
    <row r="1254">
      <c r="A1254" s="14" t="s">
        <v>2292</v>
      </c>
      <c r="B1254" s="19">
        <v>44314.694131944445</v>
      </c>
      <c r="C1254" s="4">
        <v>49994.0</v>
      </c>
      <c r="D1254" s="4" t="s">
        <v>2293</v>
      </c>
      <c r="E1254" s="4">
        <v>9.19974882811E11</v>
      </c>
      <c r="F1254" s="4">
        <v>17410.0</v>
      </c>
      <c r="G1254" s="4"/>
      <c r="H1254" s="4" t="s">
        <v>1264</v>
      </c>
      <c r="I1254" s="4"/>
      <c r="J1254" s="4" t="s">
        <v>149</v>
      </c>
      <c r="K1254" s="4">
        <v>99.0</v>
      </c>
      <c r="L1254" s="4"/>
      <c r="M1254" s="4">
        <v>99.0</v>
      </c>
      <c r="N1254" s="4" t="s">
        <v>67</v>
      </c>
      <c r="O1254" s="4" t="b">
        <v>0</v>
      </c>
      <c r="P1254" s="4" t="s">
        <v>68</v>
      </c>
      <c r="Q1254" s="4" t="s">
        <v>69</v>
      </c>
      <c r="R1254" s="4"/>
      <c r="T1254" s="20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</row>
    <row r="1255">
      <c r="A1255" s="14" t="s">
        <v>2434</v>
      </c>
      <c r="B1255" s="19">
        <v>44315.76592592592</v>
      </c>
      <c r="C1255" s="4">
        <v>50061.0</v>
      </c>
      <c r="D1255" s="4" t="s">
        <v>2437</v>
      </c>
      <c r="E1255" s="4">
        <v>3.3780318843E10</v>
      </c>
      <c r="F1255" s="4" t="s">
        <v>83</v>
      </c>
      <c r="G1255" s="4"/>
      <c r="H1255" s="4" t="s">
        <v>2435</v>
      </c>
      <c r="I1255" s="4"/>
      <c r="J1255" s="4" t="s">
        <v>2436</v>
      </c>
      <c r="K1255" s="4">
        <v>849.0</v>
      </c>
      <c r="L1255" s="4"/>
      <c r="M1255" s="4">
        <v>849.0</v>
      </c>
      <c r="N1255" s="4" t="s">
        <v>67</v>
      </c>
      <c r="O1255" s="4" t="b">
        <v>0</v>
      </c>
      <c r="P1255" s="4" t="s">
        <v>74</v>
      </c>
      <c r="Q1255" s="4" t="s">
        <v>69</v>
      </c>
      <c r="R1255" s="4"/>
      <c r="T1255" s="20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</row>
    <row r="1256">
      <c r="A1256" s="14" t="s">
        <v>2294</v>
      </c>
      <c r="B1256" s="19">
        <v>44314.709652777776</v>
      </c>
      <c r="C1256" s="4">
        <v>50041.0</v>
      </c>
      <c r="D1256" s="4" t="s">
        <v>2295</v>
      </c>
      <c r="E1256" s="4">
        <v>9.19836209904E11</v>
      </c>
      <c r="F1256" s="4" t="s">
        <v>83</v>
      </c>
      <c r="G1256" s="4"/>
      <c r="H1256" s="4" t="s">
        <v>1932</v>
      </c>
      <c r="I1256" s="4"/>
      <c r="J1256" s="4" t="s">
        <v>1437</v>
      </c>
      <c r="K1256" s="4">
        <v>99.0</v>
      </c>
      <c r="L1256" s="4"/>
      <c r="M1256" s="4">
        <v>99.0</v>
      </c>
      <c r="N1256" s="4" t="s">
        <v>67</v>
      </c>
      <c r="O1256" s="4" t="b">
        <v>0</v>
      </c>
      <c r="P1256" s="4" t="s">
        <v>68</v>
      </c>
      <c r="Q1256" s="4" t="s">
        <v>69</v>
      </c>
      <c r="R1256" s="4"/>
      <c r="T1256" s="20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</row>
    <row r="1257">
      <c r="A1257" s="14" t="s">
        <v>2401</v>
      </c>
      <c r="B1257" s="19">
        <v>44315.769733796296</v>
      </c>
      <c r="C1257" s="4">
        <v>49833.0</v>
      </c>
      <c r="D1257" s="4" t="s">
        <v>2321</v>
      </c>
      <c r="E1257" s="4">
        <v>9.17980013631E11</v>
      </c>
      <c r="F1257" s="4">
        <v>17505.0</v>
      </c>
      <c r="G1257" s="4"/>
      <c r="H1257" s="4" t="s">
        <v>184</v>
      </c>
      <c r="I1257" s="4"/>
      <c r="J1257" s="4" t="s">
        <v>149</v>
      </c>
      <c r="K1257" s="4">
        <v>199.0</v>
      </c>
      <c r="L1257" s="4"/>
      <c r="M1257" s="4">
        <v>199.0</v>
      </c>
      <c r="N1257" s="4" t="s">
        <v>67</v>
      </c>
      <c r="O1257" s="4" t="b">
        <v>0</v>
      </c>
      <c r="P1257" s="4" t="s">
        <v>68</v>
      </c>
      <c r="Q1257" s="4" t="s">
        <v>69</v>
      </c>
      <c r="R1257" s="4"/>
      <c r="T1257" s="20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</row>
    <row r="1258">
      <c r="A1258" s="14" t="s">
        <v>2402</v>
      </c>
      <c r="B1258" s="19">
        <v>44315.80232638889</v>
      </c>
      <c r="C1258" s="4">
        <v>49833.0</v>
      </c>
      <c r="D1258" s="4" t="s">
        <v>2403</v>
      </c>
      <c r="E1258" s="4">
        <v>9.19108483689E11</v>
      </c>
      <c r="F1258" s="4">
        <v>17444.0</v>
      </c>
      <c r="G1258" s="4"/>
      <c r="H1258" s="4" t="s">
        <v>184</v>
      </c>
      <c r="I1258" s="4"/>
      <c r="J1258" s="4" t="s">
        <v>85</v>
      </c>
      <c r="K1258" s="4">
        <v>299.0</v>
      </c>
      <c r="L1258" s="4"/>
      <c r="M1258" s="4">
        <v>299.0</v>
      </c>
      <c r="N1258" s="4" t="s">
        <v>67</v>
      </c>
      <c r="O1258" s="4" t="b">
        <v>0</v>
      </c>
      <c r="P1258" s="4" t="s">
        <v>74</v>
      </c>
      <c r="Q1258" s="4" t="s">
        <v>69</v>
      </c>
      <c r="R1258" s="4"/>
      <c r="T1258" s="20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</row>
    <row r="1259">
      <c r="A1259" s="14" t="s">
        <v>2296</v>
      </c>
      <c r="B1259" s="19">
        <v>44314.74681712963</v>
      </c>
      <c r="C1259" s="4">
        <v>49834.0</v>
      </c>
      <c r="D1259" s="4" t="s">
        <v>2297</v>
      </c>
      <c r="E1259" s="4">
        <v>9.19836155541E11</v>
      </c>
      <c r="F1259" s="4">
        <v>17414.0</v>
      </c>
      <c r="G1259" s="4"/>
      <c r="H1259" s="4" t="s">
        <v>960</v>
      </c>
      <c r="I1259" s="4"/>
      <c r="J1259" s="4" t="s">
        <v>149</v>
      </c>
      <c r="K1259" s="4">
        <v>99.0</v>
      </c>
      <c r="L1259" s="4"/>
      <c r="M1259" s="4">
        <v>99.0</v>
      </c>
      <c r="N1259" s="4" t="s">
        <v>67</v>
      </c>
      <c r="O1259" s="4" t="b">
        <v>0</v>
      </c>
      <c r="P1259" s="4" t="s">
        <v>68</v>
      </c>
      <c r="Q1259" s="4" t="s">
        <v>69</v>
      </c>
      <c r="R1259" s="4"/>
      <c r="T1259" s="20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</row>
    <row r="1260">
      <c r="A1260" s="14" t="s">
        <v>2404</v>
      </c>
      <c r="B1260" s="19">
        <v>44315.825162037036</v>
      </c>
      <c r="C1260" s="4">
        <v>49993.0</v>
      </c>
      <c r="D1260" s="4" t="s">
        <v>2405</v>
      </c>
      <c r="E1260" s="4">
        <v>9.19643791007E11</v>
      </c>
      <c r="F1260" s="4">
        <v>17498.0</v>
      </c>
      <c r="G1260" s="4"/>
      <c r="H1260" s="4" t="s">
        <v>1104</v>
      </c>
      <c r="I1260" s="4"/>
      <c r="J1260" s="4" t="s">
        <v>149</v>
      </c>
      <c r="K1260" s="4">
        <v>199.0</v>
      </c>
      <c r="L1260" s="4"/>
      <c r="M1260" s="4">
        <v>199.0</v>
      </c>
      <c r="N1260" s="4" t="s">
        <v>67</v>
      </c>
      <c r="O1260" s="4" t="b">
        <v>0</v>
      </c>
      <c r="P1260" s="4" t="s">
        <v>74</v>
      </c>
      <c r="Q1260" s="4" t="s">
        <v>69</v>
      </c>
      <c r="R1260" s="4"/>
      <c r="T1260" s="20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</row>
    <row r="1261">
      <c r="A1261" s="14" t="s">
        <v>2300</v>
      </c>
      <c r="B1261" s="19">
        <v>44314.778333333335</v>
      </c>
      <c r="C1261" s="4">
        <v>50030.0</v>
      </c>
      <c r="D1261" s="4" t="s">
        <v>2301</v>
      </c>
      <c r="E1261" s="4">
        <v>9.19820398687E11</v>
      </c>
      <c r="F1261" s="4">
        <v>17449.0</v>
      </c>
      <c r="G1261" s="4"/>
      <c r="H1261" s="4" t="s">
        <v>1979</v>
      </c>
      <c r="I1261" s="4"/>
      <c r="J1261" s="4" t="s">
        <v>1437</v>
      </c>
      <c r="K1261" s="4">
        <v>99.0</v>
      </c>
      <c r="L1261" s="4"/>
      <c r="M1261" s="4">
        <v>99.0</v>
      </c>
      <c r="N1261" s="4" t="s">
        <v>67</v>
      </c>
      <c r="O1261" s="4" t="b">
        <v>0</v>
      </c>
      <c r="P1261" s="4" t="s">
        <v>68</v>
      </c>
      <c r="Q1261" s="4" t="s">
        <v>69</v>
      </c>
      <c r="R1261" s="4"/>
      <c r="T1261" s="20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</row>
    <row r="1262">
      <c r="A1262" s="14" t="s">
        <v>2298</v>
      </c>
      <c r="B1262" s="19">
        <v>44314.76219907407</v>
      </c>
      <c r="C1262" s="4">
        <v>49997.0</v>
      </c>
      <c r="D1262" s="4" t="s">
        <v>2299</v>
      </c>
      <c r="E1262" s="4">
        <v>9.19039047007E11</v>
      </c>
      <c r="F1262" s="4" t="s">
        <v>83</v>
      </c>
      <c r="G1262" s="4"/>
      <c r="H1262" s="4" t="s">
        <v>1059</v>
      </c>
      <c r="I1262" s="4"/>
      <c r="J1262" s="4" t="s">
        <v>149</v>
      </c>
      <c r="K1262" s="4">
        <v>99.0</v>
      </c>
      <c r="L1262" s="4"/>
      <c r="M1262" s="4">
        <v>99.0</v>
      </c>
      <c r="N1262" s="4" t="s">
        <v>67</v>
      </c>
      <c r="O1262" s="4" t="b">
        <v>0</v>
      </c>
      <c r="P1262" s="4" t="s">
        <v>151</v>
      </c>
      <c r="Q1262" s="4" t="s">
        <v>69</v>
      </c>
      <c r="R1262" s="4"/>
      <c r="T1262" s="20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</row>
    <row r="1263">
      <c r="A1263" s="14" t="s">
        <v>2406</v>
      </c>
      <c r="B1263" s="19">
        <v>44315.83918981482</v>
      </c>
      <c r="C1263" s="4">
        <v>50033.0</v>
      </c>
      <c r="D1263" s="4" t="s">
        <v>2407</v>
      </c>
      <c r="E1263" s="4">
        <v>9.18008158264E11</v>
      </c>
      <c r="F1263" s="4">
        <v>17524.0</v>
      </c>
      <c r="G1263" s="4"/>
      <c r="H1263" s="4" t="s">
        <v>1727</v>
      </c>
      <c r="I1263" s="4"/>
      <c r="J1263" s="4" t="s">
        <v>1437</v>
      </c>
      <c r="K1263" s="4">
        <v>99.0</v>
      </c>
      <c r="L1263" s="4"/>
      <c r="M1263" s="4">
        <v>99.0</v>
      </c>
      <c r="N1263" s="4" t="s">
        <v>67</v>
      </c>
      <c r="O1263" s="4" t="b">
        <v>0</v>
      </c>
      <c r="P1263" s="4" t="s">
        <v>68</v>
      </c>
      <c r="Q1263" s="4" t="s">
        <v>69</v>
      </c>
      <c r="R1263" s="4"/>
      <c r="T1263" s="20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</row>
    <row r="1264">
      <c r="A1264" s="14" t="s">
        <v>2149</v>
      </c>
      <c r="B1264" s="19">
        <v>44315.84724537037</v>
      </c>
      <c r="C1264" s="4">
        <v>49978.0</v>
      </c>
      <c r="D1264" s="4" t="s">
        <v>2151</v>
      </c>
      <c r="E1264" s="4">
        <v>9.18247716036E11</v>
      </c>
      <c r="F1264" s="4">
        <v>17501.0</v>
      </c>
      <c r="G1264" s="4"/>
      <c r="H1264" s="4" t="s">
        <v>2150</v>
      </c>
      <c r="I1264" s="4"/>
      <c r="J1264" s="4" t="s">
        <v>149</v>
      </c>
      <c r="K1264" s="4">
        <v>99.0</v>
      </c>
      <c r="L1264" s="4"/>
      <c r="M1264" s="4">
        <v>99.0</v>
      </c>
      <c r="N1264" s="4" t="s">
        <v>67</v>
      </c>
      <c r="O1264" s="4" t="b">
        <v>0</v>
      </c>
      <c r="P1264" s="4" t="s">
        <v>151</v>
      </c>
      <c r="Q1264" s="4" t="s">
        <v>69</v>
      </c>
      <c r="R1264" s="4"/>
      <c r="T1264" s="20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</row>
    <row r="1265">
      <c r="A1265" s="14" t="s">
        <v>2410</v>
      </c>
      <c r="B1265" s="19">
        <v>44315.849340277775</v>
      </c>
      <c r="C1265" s="4">
        <v>50032.0</v>
      </c>
      <c r="D1265" s="4" t="s">
        <v>2411</v>
      </c>
      <c r="E1265" s="4">
        <v>9.19717967559E11</v>
      </c>
      <c r="F1265" s="4">
        <v>17452.0</v>
      </c>
      <c r="G1265" s="4"/>
      <c r="H1265" s="4" t="s">
        <v>1982</v>
      </c>
      <c r="I1265" s="4"/>
      <c r="J1265" s="4" t="s">
        <v>149</v>
      </c>
      <c r="K1265" s="4">
        <v>99.0</v>
      </c>
      <c r="L1265" s="4"/>
      <c r="M1265" s="4">
        <v>99.0</v>
      </c>
      <c r="N1265" s="4" t="s">
        <v>67</v>
      </c>
      <c r="O1265" s="4" t="b">
        <v>0</v>
      </c>
      <c r="P1265" s="4" t="s">
        <v>68</v>
      </c>
      <c r="Q1265" s="4" t="s">
        <v>69</v>
      </c>
      <c r="R1265" s="4"/>
      <c r="T1265" s="20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</row>
    <row r="1266">
      <c r="A1266" s="14" t="s">
        <v>2306</v>
      </c>
      <c r="B1266" s="19">
        <v>44314.80746527778</v>
      </c>
      <c r="C1266" s="4">
        <v>50030.0</v>
      </c>
      <c r="D1266" s="4" t="s">
        <v>2307</v>
      </c>
      <c r="E1266" s="4">
        <v>9.18884384555E11</v>
      </c>
      <c r="F1266" s="4">
        <v>17450.0</v>
      </c>
      <c r="G1266" s="4"/>
      <c r="H1266" s="4" t="s">
        <v>1979</v>
      </c>
      <c r="I1266" s="4"/>
      <c r="J1266" s="4" t="s">
        <v>1442</v>
      </c>
      <c r="K1266" s="4">
        <v>199.0</v>
      </c>
      <c r="L1266" s="4"/>
      <c r="M1266" s="4">
        <v>199.0</v>
      </c>
      <c r="N1266" s="4" t="s">
        <v>67</v>
      </c>
      <c r="O1266" s="4" t="b">
        <v>0</v>
      </c>
      <c r="P1266" s="4" t="s">
        <v>68</v>
      </c>
      <c r="Q1266" s="4" t="s">
        <v>69</v>
      </c>
      <c r="R1266" s="4"/>
      <c r="T1266" s="20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</row>
    <row r="1267">
      <c r="A1267" s="14" t="s">
        <v>2414</v>
      </c>
      <c r="B1267" s="19">
        <v>44315.86892361111</v>
      </c>
      <c r="C1267" s="4">
        <v>49958.0</v>
      </c>
      <c r="D1267" s="4" t="s">
        <v>2415</v>
      </c>
      <c r="E1267" s="4">
        <v>9.18007218145E11</v>
      </c>
      <c r="F1267" s="4">
        <v>17448.0</v>
      </c>
      <c r="G1267" s="4"/>
      <c r="H1267" s="4" t="s">
        <v>858</v>
      </c>
      <c r="I1267" s="4"/>
      <c r="J1267" s="4" t="s">
        <v>85</v>
      </c>
      <c r="K1267" s="4">
        <v>199.0</v>
      </c>
      <c r="L1267" s="4"/>
      <c r="M1267" s="4">
        <v>199.0</v>
      </c>
      <c r="N1267" s="4" t="s">
        <v>67</v>
      </c>
      <c r="O1267" s="4" t="b">
        <v>0</v>
      </c>
      <c r="P1267" s="4" t="s">
        <v>68</v>
      </c>
      <c r="Q1267" s="4" t="s">
        <v>69</v>
      </c>
      <c r="R1267" s="4"/>
      <c r="T1267" s="20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</row>
    <row r="1268">
      <c r="A1268" s="25" t="s">
        <v>2412</v>
      </c>
      <c r="B1268" s="19">
        <v>44315.85729166667</v>
      </c>
      <c r="C1268" s="4">
        <v>49833.0</v>
      </c>
      <c r="D1268" s="4" t="s">
        <v>2413</v>
      </c>
      <c r="E1268" s="4">
        <v>9.19742048408E11</v>
      </c>
      <c r="F1268" s="4" t="s">
        <v>83</v>
      </c>
      <c r="G1268" s="4"/>
      <c r="H1268" s="4" t="s">
        <v>184</v>
      </c>
      <c r="I1268" s="4"/>
      <c r="J1268" s="4" t="s">
        <v>77</v>
      </c>
      <c r="K1268" s="4">
        <v>499.0</v>
      </c>
      <c r="L1268" s="4"/>
      <c r="M1268" s="4">
        <v>499.0</v>
      </c>
      <c r="N1268" s="4" t="s">
        <v>67</v>
      </c>
      <c r="O1268" s="4" t="b">
        <v>0</v>
      </c>
      <c r="P1268" s="4" t="s">
        <v>68</v>
      </c>
      <c r="Q1268" s="4" t="s">
        <v>69</v>
      </c>
      <c r="R1268" s="4"/>
      <c r="T1268" s="20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</row>
    <row r="1269">
      <c r="A1269" s="14" t="s">
        <v>2302</v>
      </c>
      <c r="B1269" s="19">
        <v>44314.800775462965</v>
      </c>
      <c r="C1269" s="4">
        <v>50041.0</v>
      </c>
      <c r="D1269" s="4" t="s">
        <v>2303</v>
      </c>
      <c r="E1269" s="4">
        <v>9.18776291223E11</v>
      </c>
      <c r="F1269" s="4" t="s">
        <v>83</v>
      </c>
      <c r="G1269" s="4"/>
      <c r="H1269" s="4" t="s">
        <v>1932</v>
      </c>
      <c r="I1269" s="4"/>
      <c r="J1269" s="4" t="s">
        <v>1437</v>
      </c>
      <c r="K1269" s="4">
        <v>99.0</v>
      </c>
      <c r="L1269" s="4"/>
      <c r="M1269" s="4">
        <v>99.0</v>
      </c>
      <c r="N1269" s="4" t="s">
        <v>67</v>
      </c>
      <c r="O1269" s="4" t="b">
        <v>0</v>
      </c>
      <c r="P1269" s="4" t="s">
        <v>68</v>
      </c>
      <c r="Q1269" s="4" t="s">
        <v>69</v>
      </c>
      <c r="R1269" s="4"/>
      <c r="T1269" s="20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</row>
    <row r="1270">
      <c r="A1270" s="14" t="s">
        <v>2304</v>
      </c>
      <c r="B1270" s="19">
        <v>44314.80096064815</v>
      </c>
      <c r="C1270" s="4">
        <v>50040.0</v>
      </c>
      <c r="D1270" s="4" t="s">
        <v>2305</v>
      </c>
      <c r="E1270" s="4">
        <v>9.19890024534E11</v>
      </c>
      <c r="F1270" s="4" t="s">
        <v>83</v>
      </c>
      <c r="G1270" s="4"/>
      <c r="H1270" s="4" t="s">
        <v>1959</v>
      </c>
      <c r="I1270" s="4"/>
      <c r="J1270" s="4" t="s">
        <v>77</v>
      </c>
      <c r="K1270" s="4">
        <v>349.0</v>
      </c>
      <c r="L1270" s="4"/>
      <c r="M1270" s="4">
        <v>349.0</v>
      </c>
      <c r="N1270" s="4" t="s">
        <v>67</v>
      </c>
      <c r="O1270" s="4" t="b">
        <v>0</v>
      </c>
      <c r="P1270" s="4" t="s">
        <v>74</v>
      </c>
      <c r="Q1270" s="4" t="s">
        <v>69</v>
      </c>
      <c r="R1270" s="4"/>
      <c r="T1270" s="20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</row>
    <row r="1271">
      <c r="A1271" s="14" t="s">
        <v>2308</v>
      </c>
      <c r="B1271" s="19">
        <v>44314.82576388889</v>
      </c>
      <c r="C1271" s="4">
        <v>49833.0</v>
      </c>
      <c r="D1271" s="4" t="s">
        <v>2309</v>
      </c>
      <c r="E1271" s="4">
        <v>9.18637833496E11</v>
      </c>
      <c r="F1271" s="4">
        <v>17418.0</v>
      </c>
      <c r="G1271" s="4"/>
      <c r="H1271" s="4" t="s">
        <v>184</v>
      </c>
      <c r="I1271" s="4"/>
      <c r="J1271" s="4" t="s">
        <v>85</v>
      </c>
      <c r="K1271" s="4">
        <v>299.0</v>
      </c>
      <c r="L1271" s="4"/>
      <c r="M1271" s="4">
        <v>299.0</v>
      </c>
      <c r="N1271" s="4" t="s">
        <v>67</v>
      </c>
      <c r="O1271" s="4" t="b">
        <v>0</v>
      </c>
      <c r="P1271" s="4" t="s">
        <v>68</v>
      </c>
      <c r="Q1271" s="4" t="s">
        <v>69</v>
      </c>
      <c r="R1271" s="4"/>
      <c r="T1271" s="20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</row>
    <row r="1272">
      <c r="A1272" s="14" t="s">
        <v>2416</v>
      </c>
      <c r="B1272" s="19">
        <v>44315.887037037035</v>
      </c>
      <c r="C1272" s="4">
        <v>49834.0</v>
      </c>
      <c r="D1272" s="4" t="s">
        <v>2417</v>
      </c>
      <c r="E1272" s="4">
        <v>9.19011963185E11</v>
      </c>
      <c r="F1272" s="4">
        <v>17447.0</v>
      </c>
      <c r="G1272" s="4"/>
      <c r="H1272" s="4" t="s">
        <v>960</v>
      </c>
      <c r="I1272" s="4"/>
      <c r="J1272" s="4" t="s">
        <v>149</v>
      </c>
      <c r="K1272" s="4">
        <v>99.0</v>
      </c>
      <c r="L1272" s="4"/>
      <c r="M1272" s="4">
        <v>99.0</v>
      </c>
      <c r="N1272" s="4" t="s">
        <v>67</v>
      </c>
      <c r="O1272" s="4" t="b">
        <v>0</v>
      </c>
      <c r="P1272" s="4" t="s">
        <v>68</v>
      </c>
      <c r="Q1272" s="4" t="s">
        <v>69</v>
      </c>
      <c r="R1272" s="4"/>
      <c r="T1272" s="20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</row>
    <row r="1273">
      <c r="A1273" s="14" t="s">
        <v>2310</v>
      </c>
      <c r="B1273" s="19">
        <v>44314.84967592593</v>
      </c>
      <c r="C1273" s="4">
        <v>49833.0</v>
      </c>
      <c r="D1273" s="4" t="s">
        <v>2311</v>
      </c>
      <c r="E1273" s="4">
        <v>9.19380947484E11</v>
      </c>
      <c r="F1273" s="4">
        <v>17419.0</v>
      </c>
      <c r="G1273" s="4"/>
      <c r="H1273" s="4" t="s">
        <v>184</v>
      </c>
      <c r="I1273" s="4"/>
      <c r="J1273" s="4" t="s">
        <v>85</v>
      </c>
      <c r="K1273" s="4">
        <v>299.0</v>
      </c>
      <c r="L1273" s="4"/>
      <c r="M1273" s="4">
        <v>299.0</v>
      </c>
      <c r="N1273" s="4" t="s">
        <v>67</v>
      </c>
      <c r="O1273" s="4" t="b">
        <v>0</v>
      </c>
      <c r="P1273" s="4" t="s">
        <v>68</v>
      </c>
      <c r="Q1273" s="4" t="s">
        <v>69</v>
      </c>
      <c r="R1273" s="4"/>
      <c r="T1273" s="20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</row>
    <row r="1274">
      <c r="A1274" s="14" t="s">
        <v>2418</v>
      </c>
      <c r="B1274" s="19">
        <v>44315.89837962963</v>
      </c>
      <c r="C1274" s="4">
        <v>50040.0</v>
      </c>
      <c r="D1274" s="4" t="s">
        <v>2419</v>
      </c>
      <c r="E1274" s="4">
        <v>9.19810810153E11</v>
      </c>
      <c r="F1274" s="4">
        <v>17467.0</v>
      </c>
      <c r="G1274" s="4"/>
      <c r="H1274" s="4" t="s">
        <v>1959</v>
      </c>
      <c r="I1274" s="4"/>
      <c r="J1274" s="4" t="s">
        <v>1437</v>
      </c>
      <c r="K1274" s="4">
        <v>99.0</v>
      </c>
      <c r="L1274" s="4"/>
      <c r="M1274" s="4">
        <v>99.0</v>
      </c>
      <c r="N1274" s="4" t="s">
        <v>67</v>
      </c>
      <c r="O1274" s="4" t="b">
        <v>0</v>
      </c>
      <c r="P1274" s="4" t="s">
        <v>74</v>
      </c>
      <c r="Q1274" s="4" t="s">
        <v>69</v>
      </c>
      <c r="R1274" s="4"/>
      <c r="T1274" s="20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</row>
    <row r="1275">
      <c r="A1275" s="14" t="s">
        <v>2420</v>
      </c>
      <c r="B1275" s="19">
        <v>44315.91579861111</v>
      </c>
      <c r="C1275" s="4">
        <v>50032.0</v>
      </c>
      <c r="D1275" s="4" t="s">
        <v>2421</v>
      </c>
      <c r="E1275" s="4">
        <v>9.19042803487E11</v>
      </c>
      <c r="F1275" s="4">
        <v>18101.0</v>
      </c>
      <c r="G1275" s="4"/>
      <c r="H1275" s="4" t="s">
        <v>1982</v>
      </c>
      <c r="I1275" s="4"/>
      <c r="J1275" s="4" t="s">
        <v>77</v>
      </c>
      <c r="K1275" s="4">
        <v>349.0</v>
      </c>
      <c r="L1275" s="4"/>
      <c r="M1275" s="4">
        <v>349.0</v>
      </c>
      <c r="N1275" s="4" t="s">
        <v>67</v>
      </c>
      <c r="O1275" s="4" t="b">
        <v>0</v>
      </c>
      <c r="P1275" s="4" t="s">
        <v>68</v>
      </c>
      <c r="Q1275" s="4" t="s">
        <v>69</v>
      </c>
      <c r="R1275" s="4"/>
      <c r="T1275" s="20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</row>
    <row r="1276">
      <c r="A1276" s="14" t="s">
        <v>2312</v>
      </c>
      <c r="B1276" s="19">
        <v>44314.86476851852</v>
      </c>
      <c r="C1276" s="4">
        <v>50009.0</v>
      </c>
      <c r="D1276" s="4" t="s">
        <v>2313</v>
      </c>
      <c r="E1276" s="4">
        <v>9.19818167733E11</v>
      </c>
      <c r="F1276" s="4">
        <v>17438.0</v>
      </c>
      <c r="G1276" s="4"/>
      <c r="H1276" s="4" t="s">
        <v>1539</v>
      </c>
      <c r="I1276" s="4"/>
      <c r="J1276" s="4" t="s">
        <v>85</v>
      </c>
      <c r="K1276" s="4">
        <v>199.0</v>
      </c>
      <c r="L1276" s="4"/>
      <c r="M1276" s="4">
        <v>199.0</v>
      </c>
      <c r="N1276" s="4" t="s">
        <v>67</v>
      </c>
      <c r="O1276" s="4" t="b">
        <v>0</v>
      </c>
      <c r="P1276" s="4" t="s">
        <v>74</v>
      </c>
      <c r="Q1276" s="4" t="s">
        <v>69</v>
      </c>
      <c r="R1276" s="4"/>
      <c r="T1276" s="20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</row>
    <row r="1277">
      <c r="A1277" s="14" t="s">
        <v>2314</v>
      </c>
      <c r="B1277" s="19">
        <v>44314.875659722224</v>
      </c>
      <c r="C1277" s="4">
        <v>49958.0</v>
      </c>
      <c r="D1277" s="4" t="s">
        <v>2315</v>
      </c>
      <c r="E1277" s="4">
        <v>9.18420483683E11</v>
      </c>
      <c r="F1277" s="4" t="s">
        <v>83</v>
      </c>
      <c r="G1277" s="4"/>
      <c r="H1277" s="4" t="s">
        <v>858</v>
      </c>
      <c r="I1277" s="4"/>
      <c r="J1277" s="4" t="s">
        <v>77</v>
      </c>
      <c r="K1277" s="4">
        <v>349.0</v>
      </c>
      <c r="L1277" s="4"/>
      <c r="M1277" s="4">
        <v>349.0</v>
      </c>
      <c r="N1277" s="4" t="s">
        <v>67</v>
      </c>
      <c r="O1277" s="4" t="b">
        <v>0</v>
      </c>
      <c r="P1277" s="4" t="s">
        <v>151</v>
      </c>
      <c r="Q1277" s="4" t="s">
        <v>69</v>
      </c>
      <c r="R1277" s="4"/>
      <c r="T1277" s="20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</row>
    <row r="1278">
      <c r="A1278" s="14" t="s">
        <v>1994</v>
      </c>
      <c r="B1278" s="19">
        <v>44314.90252314815</v>
      </c>
      <c r="C1278" s="4">
        <v>49813.0</v>
      </c>
      <c r="D1278" s="4" t="s">
        <v>1995</v>
      </c>
      <c r="E1278" s="4">
        <v>9.19538853194E11</v>
      </c>
      <c r="F1278" s="4">
        <v>17420.0</v>
      </c>
      <c r="G1278" s="4"/>
      <c r="H1278" s="4" t="s">
        <v>1592</v>
      </c>
      <c r="I1278" s="4"/>
      <c r="J1278" s="4" t="s">
        <v>77</v>
      </c>
      <c r="K1278" s="4">
        <v>799.0</v>
      </c>
      <c r="L1278" s="4"/>
      <c r="M1278" s="4">
        <v>799.0</v>
      </c>
      <c r="N1278" s="4" t="s">
        <v>67</v>
      </c>
      <c r="O1278" s="4" t="b">
        <v>0</v>
      </c>
      <c r="P1278" s="4" t="s">
        <v>68</v>
      </c>
      <c r="Q1278" s="4" t="s">
        <v>69</v>
      </c>
      <c r="R1278" s="4"/>
      <c r="T1278" s="20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</row>
    <row r="1279">
      <c r="A1279" s="14" t="s">
        <v>2318</v>
      </c>
      <c r="B1279" s="19">
        <v>44314.91407407408</v>
      </c>
      <c r="C1279" s="4">
        <v>49844.0</v>
      </c>
      <c r="D1279" s="4" t="s">
        <v>2319</v>
      </c>
      <c r="E1279" s="4">
        <v>9.18606823534E11</v>
      </c>
      <c r="F1279" s="4">
        <v>17474.0</v>
      </c>
      <c r="G1279" s="4"/>
      <c r="H1279" s="4" t="s">
        <v>1174</v>
      </c>
      <c r="I1279" s="4"/>
      <c r="J1279" s="4" t="s">
        <v>149</v>
      </c>
      <c r="K1279" s="4">
        <v>99.0</v>
      </c>
      <c r="L1279" s="4"/>
      <c r="M1279" s="4">
        <v>99.0</v>
      </c>
      <c r="N1279" s="4" t="s">
        <v>67</v>
      </c>
      <c r="O1279" s="4" t="b">
        <v>0</v>
      </c>
      <c r="P1279" s="4" t="s">
        <v>68</v>
      </c>
      <c r="Q1279" s="4" t="s">
        <v>69</v>
      </c>
      <c r="R1279" s="4"/>
      <c r="T1279" s="20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</row>
    <row r="1280">
      <c r="A1280" s="14" t="s">
        <v>2320</v>
      </c>
      <c r="B1280" s="19">
        <v>44314.91997685185</v>
      </c>
      <c r="C1280" s="4">
        <v>49948.0</v>
      </c>
      <c r="D1280" s="4" t="s">
        <v>2321</v>
      </c>
      <c r="E1280" s="4">
        <v>9.17980013631E11</v>
      </c>
      <c r="F1280" s="4">
        <v>17505.0</v>
      </c>
      <c r="G1280" s="4"/>
      <c r="H1280" s="4" t="s">
        <v>791</v>
      </c>
      <c r="I1280" s="4"/>
      <c r="J1280" s="4" t="s">
        <v>149</v>
      </c>
      <c r="K1280" s="4">
        <v>99.0</v>
      </c>
      <c r="L1280" s="4"/>
      <c r="M1280" s="4">
        <v>99.0</v>
      </c>
      <c r="N1280" s="4" t="s">
        <v>67</v>
      </c>
      <c r="O1280" s="4" t="b">
        <v>0</v>
      </c>
      <c r="P1280" s="4" t="s">
        <v>68</v>
      </c>
      <c r="Q1280" s="4" t="s">
        <v>69</v>
      </c>
      <c r="R1280" s="4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</row>
    <row r="1281">
      <c r="A1281" s="14" t="s">
        <v>2328</v>
      </c>
      <c r="B1281" s="19">
        <v>44314.96865740741</v>
      </c>
      <c r="C1281" s="4">
        <v>49833.0</v>
      </c>
      <c r="D1281" s="4" t="s">
        <v>2329</v>
      </c>
      <c r="E1281" s="4">
        <v>9.19419130037E11</v>
      </c>
      <c r="F1281" s="4">
        <v>17421.0</v>
      </c>
      <c r="G1281" s="4"/>
      <c r="H1281" s="4" t="s">
        <v>184</v>
      </c>
      <c r="I1281" s="4"/>
      <c r="J1281" s="4" t="s">
        <v>85</v>
      </c>
      <c r="K1281" s="4">
        <v>299.0</v>
      </c>
      <c r="L1281" s="4"/>
      <c r="M1281" s="4">
        <v>299.0</v>
      </c>
      <c r="N1281" s="4" t="s">
        <v>67</v>
      </c>
      <c r="O1281" s="4" t="b">
        <v>0</v>
      </c>
      <c r="P1281" s="4" t="s">
        <v>74</v>
      </c>
      <c r="Q1281" s="4" t="s">
        <v>69</v>
      </c>
      <c r="R1281" s="4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</row>
    <row r="1282">
      <c r="A1282" s="14" t="s">
        <v>2330</v>
      </c>
      <c r="B1282" s="19">
        <v>44314.97100694444</v>
      </c>
      <c r="C1282" s="4">
        <v>49844.0</v>
      </c>
      <c r="D1282" s="4" t="s">
        <v>2331</v>
      </c>
      <c r="E1282" s="4">
        <v>9.19828344513E11</v>
      </c>
      <c r="F1282" s="4" t="s">
        <v>83</v>
      </c>
      <c r="G1282" s="4"/>
      <c r="H1282" s="4" t="s">
        <v>1174</v>
      </c>
      <c r="I1282" s="4"/>
      <c r="J1282" s="4" t="s">
        <v>149</v>
      </c>
      <c r="K1282" s="4">
        <v>99.0</v>
      </c>
      <c r="L1282" s="4"/>
      <c r="M1282" s="4">
        <v>99.0</v>
      </c>
      <c r="N1282" s="4" t="s">
        <v>67</v>
      </c>
      <c r="O1282" s="4" t="b">
        <v>0</v>
      </c>
      <c r="P1282" s="4" t="s">
        <v>68</v>
      </c>
      <c r="Q1282" s="4" t="s">
        <v>69</v>
      </c>
      <c r="R1282" s="4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</row>
    <row r="1283">
      <c r="A1283" s="14" t="s">
        <v>2332</v>
      </c>
      <c r="B1283" s="19">
        <v>44314.97237268519</v>
      </c>
      <c r="C1283" s="4">
        <v>50030.0</v>
      </c>
      <c r="D1283" s="4" t="s">
        <v>2333</v>
      </c>
      <c r="E1283" s="4">
        <v>9.18968333769E11</v>
      </c>
      <c r="F1283" s="4">
        <v>17561.0</v>
      </c>
      <c r="G1283" s="4"/>
      <c r="H1283" s="4" t="s">
        <v>1979</v>
      </c>
      <c r="I1283" s="4"/>
      <c r="J1283" s="4" t="s">
        <v>1437</v>
      </c>
      <c r="K1283" s="4">
        <v>99.0</v>
      </c>
      <c r="L1283" s="4"/>
      <c r="M1283" s="4">
        <v>99.0</v>
      </c>
      <c r="N1283" s="4" t="s">
        <v>67</v>
      </c>
      <c r="O1283" s="4" t="b">
        <v>0</v>
      </c>
      <c r="P1283" s="4" t="s">
        <v>68</v>
      </c>
      <c r="Q1283" s="4" t="s">
        <v>69</v>
      </c>
      <c r="R1283" s="4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</row>
    <row r="1284">
      <c r="A1284" s="14" t="s">
        <v>2322</v>
      </c>
      <c r="B1284" s="19">
        <v>44314.95824074074</v>
      </c>
      <c r="C1284" s="4">
        <v>50032.0</v>
      </c>
      <c r="D1284" s="4" t="s">
        <v>2323</v>
      </c>
      <c r="E1284" s="4">
        <v>9.1776089445E11</v>
      </c>
      <c r="F1284" s="4">
        <v>17497.0</v>
      </c>
      <c r="G1284" s="4"/>
      <c r="H1284" s="4" t="s">
        <v>1982</v>
      </c>
      <c r="I1284" s="4"/>
      <c r="J1284" s="4" t="s">
        <v>149</v>
      </c>
      <c r="K1284" s="4">
        <v>99.0</v>
      </c>
      <c r="L1284" s="4"/>
      <c r="M1284" s="4">
        <v>99.0</v>
      </c>
      <c r="N1284" s="4" t="s">
        <v>67</v>
      </c>
      <c r="O1284" s="4" t="b">
        <v>0</v>
      </c>
      <c r="P1284" s="4" t="s">
        <v>68</v>
      </c>
      <c r="Q1284" s="4" t="s">
        <v>69</v>
      </c>
      <c r="R1284" s="4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</row>
    <row r="1285">
      <c r="A1285" s="14" t="s">
        <v>2324</v>
      </c>
      <c r="B1285" s="19">
        <v>44314.9600462963</v>
      </c>
      <c r="C1285" s="4">
        <v>49997.0</v>
      </c>
      <c r="D1285" s="4" t="s">
        <v>2325</v>
      </c>
      <c r="E1285" s="4">
        <v>9.18980709357E11</v>
      </c>
      <c r="F1285" s="4">
        <v>17478.0</v>
      </c>
      <c r="G1285" s="4"/>
      <c r="H1285" s="4" t="s">
        <v>1059</v>
      </c>
      <c r="I1285" s="4"/>
      <c r="J1285" s="4" t="s">
        <v>149</v>
      </c>
      <c r="K1285" s="4">
        <v>99.0</v>
      </c>
      <c r="L1285" s="4"/>
      <c r="M1285" s="4">
        <v>99.0</v>
      </c>
      <c r="N1285" s="4" t="s">
        <v>67</v>
      </c>
      <c r="O1285" s="4" t="b">
        <v>0</v>
      </c>
      <c r="P1285" s="4" t="s">
        <v>68</v>
      </c>
      <c r="Q1285" s="4" t="s">
        <v>69</v>
      </c>
      <c r="R1285" s="4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</row>
    <row r="1286">
      <c r="A1286" s="14" t="s">
        <v>2326</v>
      </c>
      <c r="B1286" s="19">
        <v>44314.96571759259</v>
      </c>
      <c r="C1286" s="4">
        <v>50041.0</v>
      </c>
      <c r="D1286" s="4" t="s">
        <v>2327</v>
      </c>
      <c r="E1286" s="4">
        <v>9.18698081321E11</v>
      </c>
      <c r="F1286" s="4">
        <v>17472.0</v>
      </c>
      <c r="G1286" s="4"/>
      <c r="H1286" s="4" t="s">
        <v>1932</v>
      </c>
      <c r="I1286" s="4"/>
      <c r="J1286" s="4" t="s">
        <v>1437</v>
      </c>
      <c r="K1286" s="4">
        <v>99.0</v>
      </c>
      <c r="L1286" s="4"/>
      <c r="M1286" s="4">
        <v>99.0</v>
      </c>
      <c r="N1286" s="4" t="s">
        <v>67</v>
      </c>
      <c r="O1286" s="4" t="b">
        <v>0</v>
      </c>
      <c r="P1286" s="4" t="s">
        <v>68</v>
      </c>
      <c r="Q1286" s="4" t="s">
        <v>69</v>
      </c>
      <c r="R1286" s="4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</row>
    <row r="1287">
      <c r="A1287" s="14" t="s">
        <v>2334</v>
      </c>
      <c r="B1287" s="19">
        <v>44315.10597222222</v>
      </c>
      <c r="C1287" s="4">
        <v>50040.0</v>
      </c>
      <c r="D1287" s="4" t="s">
        <v>2335</v>
      </c>
      <c r="E1287" s="4">
        <v>9.17989922725E11</v>
      </c>
      <c r="F1287" s="4" t="s">
        <v>83</v>
      </c>
      <c r="G1287" s="4"/>
      <c r="H1287" s="4" t="s">
        <v>1959</v>
      </c>
      <c r="I1287" s="4"/>
      <c r="J1287" s="4" t="s">
        <v>1437</v>
      </c>
      <c r="K1287" s="4">
        <v>99.0</v>
      </c>
      <c r="L1287" s="4"/>
      <c r="M1287" s="4">
        <v>99.0</v>
      </c>
      <c r="N1287" s="4" t="s">
        <v>67</v>
      </c>
      <c r="O1287" s="4" t="b">
        <v>0</v>
      </c>
      <c r="P1287" s="4" t="s">
        <v>68</v>
      </c>
      <c r="Q1287" s="4" t="s">
        <v>69</v>
      </c>
      <c r="R1287" s="4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</row>
    <row r="1288">
      <c r="A1288" s="14" t="s">
        <v>430</v>
      </c>
      <c r="B1288" s="19">
        <v>44315.241631944446</v>
      </c>
      <c r="C1288" s="4">
        <v>49991.0</v>
      </c>
      <c r="D1288" s="4" t="s">
        <v>431</v>
      </c>
      <c r="E1288" s="4">
        <v>9.19912636113E11</v>
      </c>
      <c r="F1288" s="4">
        <v>17838.0</v>
      </c>
      <c r="G1288" s="4"/>
      <c r="H1288" s="4" t="s">
        <v>148</v>
      </c>
      <c r="I1288" s="4"/>
      <c r="J1288" s="4" t="s">
        <v>149</v>
      </c>
      <c r="K1288" s="4">
        <v>99.0</v>
      </c>
      <c r="L1288" s="4"/>
      <c r="M1288" s="4">
        <v>99.0</v>
      </c>
      <c r="N1288" s="4" t="s">
        <v>67</v>
      </c>
      <c r="O1288" s="4" t="b">
        <v>0</v>
      </c>
      <c r="P1288" s="4" t="s">
        <v>68</v>
      </c>
      <c r="Q1288" s="4" t="s">
        <v>69</v>
      </c>
      <c r="R1288" s="4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</row>
    <row r="1289">
      <c r="A1289" s="14" t="s">
        <v>2338</v>
      </c>
      <c r="B1289" s="19">
        <v>44315.26619212963</v>
      </c>
      <c r="C1289" s="4">
        <v>49834.0</v>
      </c>
      <c r="D1289" s="4" t="s">
        <v>2339</v>
      </c>
      <c r="E1289" s="4">
        <v>9.19987779936E11</v>
      </c>
      <c r="F1289" s="4">
        <v>17422.0</v>
      </c>
      <c r="G1289" s="4"/>
      <c r="H1289" s="4" t="s">
        <v>960</v>
      </c>
      <c r="I1289" s="4"/>
      <c r="J1289" s="4" t="s">
        <v>149</v>
      </c>
      <c r="K1289" s="4">
        <v>99.0</v>
      </c>
      <c r="L1289" s="4"/>
      <c r="M1289" s="4">
        <v>99.0</v>
      </c>
      <c r="N1289" s="4" t="s">
        <v>67</v>
      </c>
      <c r="O1289" s="4" t="b">
        <v>0</v>
      </c>
      <c r="P1289" s="4" t="s">
        <v>151</v>
      </c>
      <c r="Q1289" s="4" t="s">
        <v>69</v>
      </c>
      <c r="R1289" s="4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</row>
    <row r="1290">
      <c r="A1290" s="14" t="s">
        <v>2422</v>
      </c>
      <c r="B1290" s="19">
        <v>44316.35616898148</v>
      </c>
      <c r="C1290" s="4">
        <v>49854.0</v>
      </c>
      <c r="D1290" s="4" t="s">
        <v>2423</v>
      </c>
      <c r="E1290" s="4">
        <v>9.19176097991E11</v>
      </c>
      <c r="F1290" s="4">
        <v>17779.0</v>
      </c>
      <c r="G1290" s="4"/>
      <c r="H1290" s="4" t="s">
        <v>2161</v>
      </c>
      <c r="I1290" s="4"/>
      <c r="J1290" s="4" t="s">
        <v>85</v>
      </c>
      <c r="K1290" s="4">
        <v>599.0</v>
      </c>
      <c r="L1290" s="4"/>
      <c r="M1290" s="4">
        <v>599.0</v>
      </c>
      <c r="N1290" s="4" t="s">
        <v>67</v>
      </c>
      <c r="O1290" s="4" t="b">
        <v>0</v>
      </c>
      <c r="P1290" s="4" t="s">
        <v>74</v>
      </c>
      <c r="Q1290" s="4" t="s">
        <v>69</v>
      </c>
      <c r="R1290" s="4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</row>
    <row r="1291">
      <c r="A1291" s="14" t="s">
        <v>2340</v>
      </c>
      <c r="B1291" s="19">
        <v>44315.28208333333</v>
      </c>
      <c r="C1291" s="4">
        <v>49844.0</v>
      </c>
      <c r="D1291" s="4" t="s">
        <v>2341</v>
      </c>
      <c r="E1291" s="4">
        <v>9.18005972897E11</v>
      </c>
      <c r="F1291" s="4">
        <v>17423.0</v>
      </c>
      <c r="G1291" s="4"/>
      <c r="H1291" s="4" t="s">
        <v>885</v>
      </c>
      <c r="I1291" s="4"/>
      <c r="J1291" s="4" t="s">
        <v>85</v>
      </c>
      <c r="K1291" s="4">
        <v>199.0</v>
      </c>
      <c r="L1291" s="4"/>
      <c r="M1291" s="4">
        <v>199.0</v>
      </c>
      <c r="N1291" s="4" t="s">
        <v>67</v>
      </c>
      <c r="O1291" s="4" t="b">
        <v>0</v>
      </c>
      <c r="P1291" s="4" t="s">
        <v>68</v>
      </c>
      <c r="Q1291" s="4" t="s">
        <v>69</v>
      </c>
      <c r="R1291" s="4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</row>
    <row r="1292">
      <c r="A1292" s="14" t="s">
        <v>1998</v>
      </c>
      <c r="B1292" s="19">
        <v>44315.30375</v>
      </c>
      <c r="C1292" s="4">
        <v>49813.0</v>
      </c>
      <c r="D1292" s="4" t="s">
        <v>1999</v>
      </c>
      <c r="E1292" s="4">
        <v>9.17003906558E11</v>
      </c>
      <c r="F1292" s="4">
        <v>17424.0</v>
      </c>
      <c r="G1292" s="4"/>
      <c r="H1292" s="4" t="s">
        <v>1592</v>
      </c>
      <c r="I1292" s="4"/>
      <c r="J1292" s="4" t="s">
        <v>149</v>
      </c>
      <c r="K1292" s="4">
        <v>299.0</v>
      </c>
      <c r="L1292" s="4"/>
      <c r="M1292" s="4">
        <v>299.0</v>
      </c>
      <c r="N1292" s="4" t="s">
        <v>67</v>
      </c>
      <c r="O1292" s="4" t="b">
        <v>0</v>
      </c>
      <c r="P1292" s="4" t="s">
        <v>68</v>
      </c>
      <c r="Q1292" s="4" t="s">
        <v>69</v>
      </c>
      <c r="R1292" s="4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</row>
    <row r="1293">
      <c r="A1293" s="14" t="s">
        <v>2154</v>
      </c>
      <c r="B1293" s="19">
        <v>44316.464849537035</v>
      </c>
      <c r="C1293" s="4">
        <v>49978.0</v>
      </c>
      <c r="D1293" s="4" t="s">
        <v>2155</v>
      </c>
      <c r="E1293" s="4">
        <v>9.198104001E11</v>
      </c>
      <c r="F1293" s="4">
        <v>17827.0</v>
      </c>
      <c r="G1293" s="4"/>
      <c r="H1293" s="4" t="s">
        <v>2135</v>
      </c>
      <c r="I1293" s="4"/>
      <c r="J1293" s="4" t="s">
        <v>77</v>
      </c>
      <c r="K1293" s="4">
        <v>299.0</v>
      </c>
      <c r="L1293" s="4"/>
      <c r="M1293" s="4">
        <v>299.0</v>
      </c>
      <c r="N1293" s="4" t="s">
        <v>67</v>
      </c>
      <c r="O1293" s="4" t="b">
        <v>0</v>
      </c>
      <c r="P1293" s="4" t="s">
        <v>74</v>
      </c>
      <c r="Q1293" s="4" t="s">
        <v>69</v>
      </c>
      <c r="R1293" s="4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</row>
    <row r="1294">
      <c r="A1294" s="14" t="s">
        <v>2424</v>
      </c>
      <c r="B1294" s="19">
        <v>44316.4971875</v>
      </c>
      <c r="C1294" s="4">
        <v>49854.0</v>
      </c>
      <c r="D1294" s="4" t="s">
        <v>2425</v>
      </c>
      <c r="E1294" s="4">
        <v>9.1932520704E11</v>
      </c>
      <c r="F1294" s="4">
        <v>17757.0</v>
      </c>
      <c r="G1294" s="4"/>
      <c r="H1294" s="4" t="s">
        <v>2161</v>
      </c>
      <c r="I1294" s="4"/>
      <c r="J1294" s="4" t="s">
        <v>85</v>
      </c>
      <c r="K1294" s="4">
        <v>599.0</v>
      </c>
      <c r="L1294" s="4"/>
      <c r="M1294" s="4">
        <v>599.0</v>
      </c>
      <c r="N1294" s="4" t="s">
        <v>67</v>
      </c>
      <c r="O1294" s="4" t="b">
        <v>0</v>
      </c>
      <c r="P1294" s="4" t="s">
        <v>74</v>
      </c>
      <c r="Q1294" s="4" t="s">
        <v>69</v>
      </c>
      <c r="R1294" s="4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</row>
    <row r="1295">
      <c r="A1295" s="14" t="s">
        <v>2428</v>
      </c>
      <c r="B1295" s="19">
        <v>44316.631273148145</v>
      </c>
      <c r="C1295" s="4">
        <v>50030.0</v>
      </c>
      <c r="D1295" s="4" t="s">
        <v>2429</v>
      </c>
      <c r="E1295" s="4">
        <v>9.19075609137E11</v>
      </c>
      <c r="F1295" s="4">
        <v>17491.0</v>
      </c>
      <c r="G1295" s="4"/>
      <c r="H1295" s="4" t="s">
        <v>1979</v>
      </c>
      <c r="I1295" s="4"/>
      <c r="J1295" s="4" t="s">
        <v>1437</v>
      </c>
      <c r="K1295" s="4">
        <v>99.0</v>
      </c>
      <c r="L1295" s="4"/>
      <c r="M1295" s="4">
        <v>99.0</v>
      </c>
      <c r="N1295" s="4" t="s">
        <v>67</v>
      </c>
      <c r="O1295" s="4" t="b">
        <v>0</v>
      </c>
      <c r="P1295" s="4" t="s">
        <v>68</v>
      </c>
      <c r="Q1295" s="4" t="s">
        <v>69</v>
      </c>
      <c r="R1295" s="4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</row>
    <row r="1296">
      <c r="A1296" s="14" t="s">
        <v>2426</v>
      </c>
      <c r="B1296" s="19">
        <v>44316.6896412037</v>
      </c>
      <c r="C1296" s="4">
        <v>49854.0</v>
      </c>
      <c r="D1296" s="4" t="s">
        <v>2427</v>
      </c>
      <c r="E1296" s="4">
        <v>9.18360212381E11</v>
      </c>
      <c r="F1296" s="4" t="s">
        <v>83</v>
      </c>
      <c r="G1296" s="4"/>
      <c r="H1296" s="4" t="s">
        <v>2161</v>
      </c>
      <c r="I1296" s="4"/>
      <c r="J1296" s="4" t="s">
        <v>85</v>
      </c>
      <c r="K1296" s="4">
        <v>599.0</v>
      </c>
      <c r="L1296" s="4"/>
      <c r="M1296" s="4">
        <v>599.0</v>
      </c>
      <c r="N1296" s="4" t="s">
        <v>67</v>
      </c>
      <c r="O1296" s="4" t="b">
        <v>0</v>
      </c>
      <c r="P1296" s="4" t="s">
        <v>97</v>
      </c>
      <c r="Q1296" s="4" t="s">
        <v>69</v>
      </c>
      <c r="R1296" s="4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</row>
    <row r="1297">
      <c r="A1297" s="14" t="s">
        <v>2430</v>
      </c>
      <c r="B1297" s="19">
        <v>44316.84712962963</v>
      </c>
      <c r="C1297" s="4">
        <v>49854.0</v>
      </c>
      <c r="D1297" s="4" t="s">
        <v>2431</v>
      </c>
      <c r="E1297" s="4">
        <v>9.19813488868E11</v>
      </c>
      <c r="F1297" s="4">
        <v>17872.0</v>
      </c>
      <c r="G1297" s="4"/>
      <c r="H1297" s="4" t="s">
        <v>2161</v>
      </c>
      <c r="I1297" s="4"/>
      <c r="J1297" s="4" t="s">
        <v>85</v>
      </c>
      <c r="K1297" s="4">
        <v>599.0</v>
      </c>
      <c r="L1297" s="4"/>
      <c r="M1297" s="4">
        <v>599.0</v>
      </c>
      <c r="N1297" s="4" t="s">
        <v>67</v>
      </c>
      <c r="O1297" s="4" t="b">
        <v>0</v>
      </c>
      <c r="P1297" s="4" t="s">
        <v>68</v>
      </c>
      <c r="Q1297" s="4" t="s">
        <v>69</v>
      </c>
      <c r="R1297" s="4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</row>
    <row r="1298">
      <c r="A1298" s="14" t="s">
        <v>2432</v>
      </c>
      <c r="B1298" s="19">
        <v>44316.85040509259</v>
      </c>
      <c r="C1298" s="4">
        <v>49854.0</v>
      </c>
      <c r="D1298" s="4" t="s">
        <v>2433</v>
      </c>
      <c r="E1298" s="4">
        <v>9.17209943488E11</v>
      </c>
      <c r="F1298" s="4">
        <v>17740.0</v>
      </c>
      <c r="G1298" s="4"/>
      <c r="H1298" s="4" t="s">
        <v>2161</v>
      </c>
      <c r="I1298" s="4"/>
      <c r="J1298" s="4" t="s">
        <v>85</v>
      </c>
      <c r="K1298" s="4">
        <v>599.0</v>
      </c>
      <c r="L1298" s="4"/>
      <c r="M1298" s="4">
        <v>599.0</v>
      </c>
      <c r="N1298" s="4" t="s">
        <v>67</v>
      </c>
      <c r="O1298" s="4" t="b">
        <v>0</v>
      </c>
      <c r="P1298" s="4" t="s">
        <v>68</v>
      </c>
      <c r="Q1298" s="4" t="s">
        <v>69</v>
      </c>
      <c r="R1298" s="4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</row>
    <row r="1299">
      <c r="A1299" s="15" t="s">
        <v>6702</v>
      </c>
      <c r="B1299" s="19">
        <v>44232.53958333333</v>
      </c>
      <c r="C1299" s="20">
        <v>49958.0</v>
      </c>
      <c r="D1299" s="20" t="s">
        <v>6590</v>
      </c>
      <c r="E1299" s="20">
        <v>9.17538888132E11</v>
      </c>
      <c r="F1299" s="21">
        <v>17493.0</v>
      </c>
      <c r="G1299" s="20"/>
      <c r="H1299" s="20" t="s">
        <v>858</v>
      </c>
      <c r="I1299" s="20"/>
      <c r="J1299" s="20">
        <v>3.0</v>
      </c>
      <c r="K1299" s="20">
        <v>199.0</v>
      </c>
      <c r="L1299" s="20"/>
      <c r="M1299" s="20">
        <v>199.0</v>
      </c>
      <c r="N1299" s="5" t="s">
        <v>67</v>
      </c>
      <c r="O1299" s="20" t="b">
        <v>0</v>
      </c>
      <c r="P1299" s="20" t="s">
        <v>68</v>
      </c>
      <c r="Q1299" s="20" t="s">
        <v>69</v>
      </c>
      <c r="R1299" s="20" t="s">
        <v>6591</v>
      </c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</row>
    <row r="1300">
      <c r="A1300" s="15" t="s">
        <v>6706</v>
      </c>
      <c r="B1300" s="19">
        <v>44232.72361111111</v>
      </c>
      <c r="C1300" s="20">
        <v>49991.0</v>
      </c>
      <c r="D1300" s="20" t="s">
        <v>3056</v>
      </c>
      <c r="E1300" s="20">
        <v>9.19205219728E11</v>
      </c>
      <c r="F1300" s="21">
        <v>17495.0</v>
      </c>
      <c r="G1300" s="20"/>
      <c r="H1300" s="20" t="s">
        <v>3055</v>
      </c>
      <c r="I1300" s="20"/>
      <c r="J1300" s="20">
        <v>1.0</v>
      </c>
      <c r="K1300" s="20">
        <v>99.0</v>
      </c>
      <c r="L1300" s="20"/>
      <c r="M1300" s="20">
        <v>99.0</v>
      </c>
      <c r="N1300" s="5" t="s">
        <v>67</v>
      </c>
      <c r="O1300" s="20" t="b">
        <v>0</v>
      </c>
      <c r="P1300" s="20" t="s">
        <v>68</v>
      </c>
      <c r="Q1300" s="20" t="s">
        <v>69</v>
      </c>
      <c r="R1300" s="20" t="s">
        <v>3057</v>
      </c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</row>
    <row r="1301">
      <c r="A1301" s="15" t="s">
        <v>6707</v>
      </c>
      <c r="B1301" s="19">
        <v>44232.768055555556</v>
      </c>
      <c r="C1301" s="20">
        <v>50073.0</v>
      </c>
      <c r="D1301" s="20" t="s">
        <v>6467</v>
      </c>
      <c r="E1301" s="20">
        <v>9.19322296996E11</v>
      </c>
      <c r="F1301" s="21">
        <v>0.0</v>
      </c>
      <c r="G1301" s="20"/>
      <c r="H1301" s="20" t="s">
        <v>6466</v>
      </c>
      <c r="I1301" s="20"/>
      <c r="J1301" s="20">
        <v>1.0</v>
      </c>
      <c r="K1301" s="20">
        <v>599.0</v>
      </c>
      <c r="L1301" s="20"/>
      <c r="M1301" s="20">
        <v>599.0</v>
      </c>
      <c r="N1301" s="5" t="s">
        <v>67</v>
      </c>
      <c r="O1301" s="20" t="b">
        <v>0</v>
      </c>
      <c r="P1301" s="20" t="s">
        <v>74</v>
      </c>
      <c r="Q1301" s="20" t="s">
        <v>69</v>
      </c>
      <c r="R1301" s="20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</row>
    <row r="1302">
      <c r="A1302" s="15" t="s">
        <v>6698</v>
      </c>
      <c r="B1302" s="19">
        <v>44201.717361111114</v>
      </c>
      <c r="C1302" s="20">
        <v>49834.0</v>
      </c>
      <c r="D1302" s="20" t="s">
        <v>3299</v>
      </c>
      <c r="E1302" s="20">
        <v>9.19136513535E11</v>
      </c>
      <c r="F1302" s="21">
        <v>17483.0</v>
      </c>
      <c r="G1302" s="20"/>
      <c r="H1302" s="20" t="s">
        <v>76</v>
      </c>
      <c r="I1302" s="20"/>
      <c r="J1302" s="20">
        <v>3.0</v>
      </c>
      <c r="K1302" s="20">
        <v>199.0</v>
      </c>
      <c r="L1302" s="20"/>
      <c r="M1302" s="20">
        <v>199.0</v>
      </c>
      <c r="N1302" s="5" t="s">
        <v>67</v>
      </c>
      <c r="O1302" s="20" t="b">
        <v>0</v>
      </c>
      <c r="P1302" s="20" t="s">
        <v>68</v>
      </c>
      <c r="Q1302" s="20" t="s">
        <v>69</v>
      </c>
      <c r="R1302" s="20" t="s">
        <v>3298</v>
      </c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</row>
    <row r="1303">
      <c r="A1303" s="15" t="s">
        <v>6730</v>
      </c>
      <c r="B1303" s="19">
        <v>44291.51111111111</v>
      </c>
      <c r="C1303" s="20">
        <v>49997.0</v>
      </c>
      <c r="D1303" s="20" t="s">
        <v>2464</v>
      </c>
      <c r="E1303" s="20">
        <v>9.19711341773E11</v>
      </c>
      <c r="F1303" s="21">
        <v>17509.0</v>
      </c>
      <c r="G1303" s="20"/>
      <c r="H1303" s="20" t="s">
        <v>2455</v>
      </c>
      <c r="I1303" s="20"/>
      <c r="J1303" s="20">
        <v>1.0</v>
      </c>
      <c r="K1303" s="20">
        <v>99.0</v>
      </c>
      <c r="L1303" s="20"/>
      <c r="M1303" s="20">
        <v>99.0</v>
      </c>
      <c r="N1303" s="5" t="s">
        <v>67</v>
      </c>
      <c r="O1303" s="20" t="b">
        <v>0</v>
      </c>
      <c r="P1303" s="20" t="s">
        <v>68</v>
      </c>
      <c r="Q1303" s="20" t="s">
        <v>69</v>
      </c>
      <c r="R1303" s="20" t="s">
        <v>2457</v>
      </c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</row>
    <row r="1304">
      <c r="A1304" s="15" t="s">
        <v>6731</v>
      </c>
      <c r="B1304" s="19">
        <v>44291.5375</v>
      </c>
      <c r="C1304" s="20">
        <v>50026.0</v>
      </c>
      <c r="D1304" s="20" t="s">
        <v>4423</v>
      </c>
      <c r="E1304" s="20">
        <v>9.19999861974E11</v>
      </c>
      <c r="F1304" s="21">
        <v>17511.0</v>
      </c>
      <c r="G1304" s="20"/>
      <c r="H1304" s="20" t="s">
        <v>4422</v>
      </c>
      <c r="I1304" s="20"/>
      <c r="J1304" s="20">
        <v>1.0</v>
      </c>
      <c r="K1304" s="20">
        <v>999.0</v>
      </c>
      <c r="L1304" s="20"/>
      <c r="M1304" s="20">
        <v>999.0</v>
      </c>
      <c r="N1304" s="5" t="s">
        <v>67</v>
      </c>
      <c r="O1304" s="20" t="b">
        <v>0</v>
      </c>
      <c r="P1304" s="20" t="s">
        <v>68</v>
      </c>
      <c r="Q1304" s="20" t="s">
        <v>69</v>
      </c>
      <c r="R1304" s="20" t="s">
        <v>4424</v>
      </c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</row>
    <row r="1305">
      <c r="A1305" s="15" t="s">
        <v>6732</v>
      </c>
      <c r="B1305" s="19">
        <v>44291.57013888889</v>
      </c>
      <c r="C1305" s="20">
        <v>49835.0</v>
      </c>
      <c r="D1305" s="20" t="s">
        <v>3887</v>
      </c>
      <c r="E1305" s="20">
        <v>9.1738999999E11</v>
      </c>
      <c r="F1305" s="21">
        <v>0.0</v>
      </c>
      <c r="G1305" s="20"/>
      <c r="H1305" s="20" t="s">
        <v>680</v>
      </c>
      <c r="I1305" s="20"/>
      <c r="J1305" s="20">
        <v>3.0</v>
      </c>
      <c r="K1305" s="20">
        <v>99.0</v>
      </c>
      <c r="L1305" s="20"/>
      <c r="M1305" s="20">
        <v>99.0</v>
      </c>
      <c r="N1305" s="5" t="s">
        <v>67</v>
      </c>
      <c r="O1305" s="20" t="b">
        <v>0</v>
      </c>
      <c r="P1305" s="20" t="s">
        <v>68</v>
      </c>
      <c r="Q1305" s="20" t="s">
        <v>69</v>
      </c>
      <c r="R1305" s="20" t="s">
        <v>3888</v>
      </c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</row>
    <row r="1306">
      <c r="A1306" s="15" t="s">
        <v>6733</v>
      </c>
      <c r="B1306" s="19">
        <v>44291.6</v>
      </c>
      <c r="C1306" s="20">
        <v>49997.0</v>
      </c>
      <c r="D1306" s="20" t="s">
        <v>2460</v>
      </c>
      <c r="E1306" s="20">
        <v>9.19819252511E11</v>
      </c>
      <c r="F1306" s="21">
        <v>17512.0</v>
      </c>
      <c r="G1306" s="20"/>
      <c r="H1306" s="20" t="s">
        <v>2455</v>
      </c>
      <c r="I1306" s="20"/>
      <c r="J1306" s="20">
        <v>6.0</v>
      </c>
      <c r="K1306" s="20">
        <v>349.0</v>
      </c>
      <c r="L1306" s="20"/>
      <c r="M1306" s="20">
        <v>349.0</v>
      </c>
      <c r="N1306" s="5" t="s">
        <v>67</v>
      </c>
      <c r="O1306" s="20" t="b">
        <v>0</v>
      </c>
      <c r="P1306" s="20" t="s">
        <v>68</v>
      </c>
      <c r="Q1306" s="20" t="s">
        <v>69</v>
      </c>
      <c r="R1306" s="20" t="s">
        <v>2457</v>
      </c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</row>
    <row r="1307">
      <c r="A1307" s="15" t="s">
        <v>6712</v>
      </c>
      <c r="B1307" s="19">
        <v>44260.5625</v>
      </c>
      <c r="C1307" s="20">
        <v>50036.0</v>
      </c>
      <c r="D1307" s="20" t="s">
        <v>5708</v>
      </c>
      <c r="E1307" s="20">
        <v>9.1991044804E11</v>
      </c>
      <c r="F1307" s="21">
        <v>17502.0</v>
      </c>
      <c r="G1307" s="20"/>
      <c r="H1307" s="20" t="s">
        <v>1320</v>
      </c>
      <c r="I1307" s="20"/>
      <c r="J1307" s="20">
        <v>1.0</v>
      </c>
      <c r="K1307" s="20">
        <v>149.0</v>
      </c>
      <c r="L1307" s="20"/>
      <c r="M1307" s="20">
        <v>149.0</v>
      </c>
      <c r="N1307" s="5" t="s">
        <v>67</v>
      </c>
      <c r="O1307" s="20" t="b">
        <v>0</v>
      </c>
      <c r="P1307" s="20" t="s">
        <v>68</v>
      </c>
      <c r="Q1307" s="20" t="s">
        <v>69</v>
      </c>
      <c r="R1307" s="20" t="s">
        <v>5709</v>
      </c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</row>
    <row r="1308">
      <c r="A1308" s="15" t="s">
        <v>6739</v>
      </c>
      <c r="B1308" s="19">
        <v>44291.68263888889</v>
      </c>
      <c r="C1308" s="20">
        <v>49997.0</v>
      </c>
      <c r="D1308" s="20" t="s">
        <v>2462</v>
      </c>
      <c r="E1308" s="20">
        <v>9.1956154295E11</v>
      </c>
      <c r="F1308" s="21">
        <v>17515.0</v>
      </c>
      <c r="G1308" s="20"/>
      <c r="H1308" s="20" t="s">
        <v>2455</v>
      </c>
      <c r="I1308" s="20"/>
      <c r="J1308" s="20">
        <v>1.0</v>
      </c>
      <c r="K1308" s="20">
        <v>99.0</v>
      </c>
      <c r="L1308" s="20"/>
      <c r="M1308" s="20">
        <v>99.0</v>
      </c>
      <c r="N1308" s="5" t="s">
        <v>67</v>
      </c>
      <c r="O1308" s="20" t="b">
        <v>0</v>
      </c>
      <c r="P1308" s="20" t="s">
        <v>97</v>
      </c>
      <c r="Q1308" s="20" t="s">
        <v>69</v>
      </c>
      <c r="R1308" s="20" t="s">
        <v>2457</v>
      </c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</row>
    <row r="1309">
      <c r="A1309" s="15" t="s">
        <v>6734</v>
      </c>
      <c r="B1309" s="19">
        <v>44291.66736111111</v>
      </c>
      <c r="C1309" s="20">
        <v>49997.0</v>
      </c>
      <c r="D1309" s="20" t="s">
        <v>2461</v>
      </c>
      <c r="E1309" s="20">
        <v>9.18600964699E11</v>
      </c>
      <c r="F1309" s="21">
        <v>17513.0</v>
      </c>
      <c r="G1309" s="20"/>
      <c r="H1309" s="20" t="s">
        <v>2455</v>
      </c>
      <c r="I1309" s="20"/>
      <c r="J1309" s="20">
        <v>1.0</v>
      </c>
      <c r="K1309" s="20">
        <v>99.0</v>
      </c>
      <c r="L1309" s="20"/>
      <c r="M1309" s="20">
        <v>99.0</v>
      </c>
      <c r="N1309" s="5" t="s">
        <v>67</v>
      </c>
      <c r="O1309" s="20" t="b">
        <v>0</v>
      </c>
      <c r="P1309" s="20" t="s">
        <v>68</v>
      </c>
      <c r="Q1309" s="20" t="s">
        <v>69</v>
      </c>
      <c r="R1309" s="20" t="s">
        <v>2457</v>
      </c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</row>
    <row r="1310">
      <c r="A1310" s="15" t="s">
        <v>6740</v>
      </c>
      <c r="B1310" s="19">
        <v>44291.70208333333</v>
      </c>
      <c r="C1310" s="20">
        <v>49997.0</v>
      </c>
      <c r="D1310" s="20" t="s">
        <v>2463</v>
      </c>
      <c r="E1310" s="20">
        <v>9.18129282453E11</v>
      </c>
      <c r="F1310" s="21">
        <v>17519.0</v>
      </c>
      <c r="G1310" s="20"/>
      <c r="H1310" s="20" t="s">
        <v>2455</v>
      </c>
      <c r="I1310" s="20"/>
      <c r="J1310" s="20">
        <v>1.0</v>
      </c>
      <c r="K1310" s="20">
        <v>99.0</v>
      </c>
      <c r="L1310" s="20"/>
      <c r="M1310" s="20">
        <v>99.0</v>
      </c>
      <c r="N1310" s="5" t="s">
        <v>67</v>
      </c>
      <c r="O1310" s="20" t="b">
        <v>0</v>
      </c>
      <c r="P1310" s="20" t="s">
        <v>68</v>
      </c>
      <c r="Q1310" s="20" t="s">
        <v>69</v>
      </c>
      <c r="R1310" s="20" t="s">
        <v>2457</v>
      </c>
      <c r="T1310" s="20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</row>
    <row r="1311">
      <c r="A1311" s="15" t="s">
        <v>6741</v>
      </c>
      <c r="B1311" s="19">
        <v>44291.70208333333</v>
      </c>
      <c r="C1311" s="20">
        <v>50030.0</v>
      </c>
      <c r="D1311" s="20" t="s">
        <v>3327</v>
      </c>
      <c r="E1311" s="20">
        <v>9.19380605339E11</v>
      </c>
      <c r="F1311" s="22" t="s">
        <v>12593</v>
      </c>
      <c r="G1311" s="20"/>
      <c r="H1311" s="20" t="s">
        <v>3326</v>
      </c>
      <c r="I1311" s="20"/>
      <c r="J1311" s="20">
        <v>1.0</v>
      </c>
      <c r="K1311" s="20">
        <v>99.0</v>
      </c>
      <c r="L1311" s="20"/>
      <c r="M1311" s="20">
        <v>99.0</v>
      </c>
      <c r="N1311" s="5" t="s">
        <v>67</v>
      </c>
      <c r="O1311" s="20" t="b">
        <v>0</v>
      </c>
      <c r="P1311" s="20" t="s">
        <v>68</v>
      </c>
      <c r="Q1311" s="20" t="s">
        <v>69</v>
      </c>
      <c r="R1311" s="20" t="s">
        <v>3328</v>
      </c>
      <c r="T1311" s="20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</row>
    <row r="1312">
      <c r="A1312" s="15" t="s">
        <v>6742</v>
      </c>
      <c r="B1312" s="19">
        <v>44291.72430555556</v>
      </c>
      <c r="C1312" s="20">
        <v>50022.0</v>
      </c>
      <c r="D1312" s="20" t="s">
        <v>5184</v>
      </c>
      <c r="E1312" s="20">
        <v>9.19962281591E11</v>
      </c>
      <c r="F1312" s="21">
        <v>17517.0</v>
      </c>
      <c r="G1312" s="20"/>
      <c r="H1312" s="20" t="s">
        <v>5181</v>
      </c>
      <c r="I1312" s="20"/>
      <c r="J1312" s="20">
        <v>1.0</v>
      </c>
      <c r="K1312" s="20">
        <v>99.0</v>
      </c>
      <c r="L1312" s="20"/>
      <c r="M1312" s="20">
        <v>99.0</v>
      </c>
      <c r="N1312" s="5" t="s">
        <v>67</v>
      </c>
      <c r="O1312" s="20" t="b">
        <v>0</v>
      </c>
      <c r="P1312" s="20" t="s">
        <v>68</v>
      </c>
      <c r="Q1312" s="20" t="s">
        <v>69</v>
      </c>
      <c r="R1312" s="20" t="s">
        <v>5183</v>
      </c>
      <c r="T1312" s="20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</row>
    <row r="1313">
      <c r="A1313" s="15" t="s">
        <v>6745</v>
      </c>
      <c r="B1313" s="19">
        <v>44291.745833333334</v>
      </c>
      <c r="C1313" s="20">
        <v>50047.0</v>
      </c>
      <c r="D1313" s="20" t="s">
        <v>3196</v>
      </c>
      <c r="E1313" s="20">
        <v>9.19481150184E11</v>
      </c>
      <c r="F1313" s="21">
        <v>17518.0</v>
      </c>
      <c r="G1313" s="20"/>
      <c r="H1313" s="20" t="s">
        <v>3195</v>
      </c>
      <c r="I1313" s="20"/>
      <c r="J1313" s="20">
        <v>3.0</v>
      </c>
      <c r="K1313" s="20">
        <v>799.0</v>
      </c>
      <c r="L1313" s="20"/>
      <c r="M1313" s="20">
        <v>799.0</v>
      </c>
      <c r="N1313" s="5" t="s">
        <v>67</v>
      </c>
      <c r="O1313" s="20" t="b">
        <v>0</v>
      </c>
      <c r="P1313" s="20" t="s">
        <v>151</v>
      </c>
      <c r="Q1313" s="20" t="s">
        <v>69</v>
      </c>
      <c r="R1313" s="20" t="s">
        <v>3197</v>
      </c>
      <c r="T1313" s="20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</row>
    <row r="1314">
      <c r="A1314" s="15" t="s">
        <v>6716</v>
      </c>
      <c r="B1314" s="19">
        <v>44260.71041666667</v>
      </c>
      <c r="C1314" s="20">
        <v>49997.0</v>
      </c>
      <c r="D1314" s="20" t="s">
        <v>2456</v>
      </c>
      <c r="E1314" s="20">
        <v>9.19582439852E11</v>
      </c>
      <c r="F1314" s="21">
        <v>0.0</v>
      </c>
      <c r="G1314" s="20"/>
      <c r="H1314" s="20" t="s">
        <v>2455</v>
      </c>
      <c r="I1314" s="20"/>
      <c r="J1314" s="20">
        <v>1.0</v>
      </c>
      <c r="K1314" s="20">
        <v>99.0</v>
      </c>
      <c r="L1314" s="20"/>
      <c r="M1314" s="20">
        <v>99.0</v>
      </c>
      <c r="N1314" s="5" t="s">
        <v>67</v>
      </c>
      <c r="O1314" s="20" t="b">
        <v>0</v>
      </c>
      <c r="P1314" s="20" t="s">
        <v>68</v>
      </c>
      <c r="Q1314" s="20" t="s">
        <v>69</v>
      </c>
      <c r="R1314" s="20" t="s">
        <v>2457</v>
      </c>
      <c r="T1314" s="20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</row>
    <row r="1315">
      <c r="A1315" s="15" t="s">
        <v>6717</v>
      </c>
      <c r="B1315" s="19">
        <v>44260.71111111111</v>
      </c>
      <c r="C1315" s="20">
        <v>50023.0</v>
      </c>
      <c r="D1315" s="20" t="s">
        <v>5509</v>
      </c>
      <c r="E1315" s="20">
        <v>9.19650225768E11</v>
      </c>
      <c r="F1315" s="21">
        <v>16450.0</v>
      </c>
      <c r="G1315" s="20"/>
      <c r="H1315" s="20" t="s">
        <v>5508</v>
      </c>
      <c r="I1315" s="20"/>
      <c r="J1315" s="20">
        <v>1.0</v>
      </c>
      <c r="K1315" s="20">
        <v>99.0</v>
      </c>
      <c r="L1315" s="20"/>
      <c r="M1315" s="20">
        <v>99.0</v>
      </c>
      <c r="N1315" s="5" t="s">
        <v>67</v>
      </c>
      <c r="O1315" s="20" t="b">
        <v>0</v>
      </c>
      <c r="P1315" s="20" t="s">
        <v>68</v>
      </c>
      <c r="Q1315" s="20" t="s">
        <v>69</v>
      </c>
      <c r="R1315" s="20" t="s">
        <v>5510</v>
      </c>
      <c r="T1315" s="20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</row>
    <row r="1316">
      <c r="A1316" s="15" t="s">
        <v>6750</v>
      </c>
      <c r="B1316" s="19">
        <v>44291.75902777778</v>
      </c>
      <c r="C1316" s="20">
        <v>50022.0</v>
      </c>
      <c r="D1316" s="20" t="s">
        <v>5185</v>
      </c>
      <c r="E1316" s="20">
        <v>9.1992011313E11</v>
      </c>
      <c r="F1316" s="21">
        <v>17573.0</v>
      </c>
      <c r="G1316" s="20"/>
      <c r="H1316" s="20" t="s">
        <v>5181</v>
      </c>
      <c r="I1316" s="20"/>
      <c r="J1316" s="20">
        <v>3.0</v>
      </c>
      <c r="K1316" s="20">
        <v>199.0</v>
      </c>
      <c r="L1316" s="20"/>
      <c r="M1316" s="20">
        <v>199.0</v>
      </c>
      <c r="N1316" s="5" t="s">
        <v>67</v>
      </c>
      <c r="O1316" s="20" t="b">
        <v>0</v>
      </c>
      <c r="P1316" s="20" t="s">
        <v>97</v>
      </c>
      <c r="Q1316" s="20" t="s">
        <v>69</v>
      </c>
      <c r="R1316" s="20" t="s">
        <v>5183</v>
      </c>
      <c r="T1316" s="20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</row>
    <row r="1317">
      <c r="A1317" s="15" t="s">
        <v>6718</v>
      </c>
      <c r="B1317" s="19">
        <v>44260.7125</v>
      </c>
      <c r="C1317" s="20">
        <v>49948.0</v>
      </c>
      <c r="D1317" s="20" t="s">
        <v>6693</v>
      </c>
      <c r="E1317" s="20">
        <v>9.19958112731E11</v>
      </c>
      <c r="F1317" s="21">
        <v>17361.0</v>
      </c>
      <c r="G1317" s="20"/>
      <c r="H1317" s="20" t="s">
        <v>1025</v>
      </c>
      <c r="I1317" s="20"/>
      <c r="J1317" s="20">
        <v>1.0</v>
      </c>
      <c r="K1317" s="20">
        <v>99.0</v>
      </c>
      <c r="L1317" s="20"/>
      <c r="M1317" s="20">
        <v>99.0</v>
      </c>
      <c r="N1317" s="5" t="s">
        <v>67</v>
      </c>
      <c r="O1317" s="20" t="b">
        <v>0</v>
      </c>
      <c r="P1317" s="20" t="s">
        <v>68</v>
      </c>
      <c r="Q1317" s="20" t="s">
        <v>69</v>
      </c>
      <c r="R1317" s="20"/>
      <c r="T1317" s="20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</row>
    <row r="1318">
      <c r="A1318" s="15" t="s">
        <v>6719</v>
      </c>
      <c r="B1318" s="19">
        <v>44260.740277777775</v>
      </c>
      <c r="C1318" s="20">
        <v>50073.0</v>
      </c>
      <c r="D1318" s="20" t="s">
        <v>6468</v>
      </c>
      <c r="E1318" s="20">
        <v>9.19840609903E11</v>
      </c>
      <c r="F1318" s="21">
        <v>17766.0</v>
      </c>
      <c r="G1318" s="20"/>
      <c r="H1318" s="20" t="s">
        <v>6466</v>
      </c>
      <c r="I1318" s="20"/>
      <c r="J1318" s="20">
        <v>1.0</v>
      </c>
      <c r="K1318" s="20">
        <v>599.0</v>
      </c>
      <c r="L1318" s="20"/>
      <c r="M1318" s="20">
        <v>599.0</v>
      </c>
      <c r="N1318" s="5" t="s">
        <v>67</v>
      </c>
      <c r="O1318" s="20" t="b">
        <v>0</v>
      </c>
      <c r="P1318" s="20" t="s">
        <v>68</v>
      </c>
      <c r="Q1318" s="20" t="s">
        <v>69</v>
      </c>
      <c r="R1318" s="20"/>
      <c r="T1318" s="20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</row>
    <row r="1319">
      <c r="A1319" s="15" t="s">
        <v>6751</v>
      </c>
      <c r="B1319" s="19">
        <v>44291.81875</v>
      </c>
      <c r="C1319" s="20">
        <v>49995.0</v>
      </c>
      <c r="D1319" s="20" t="s">
        <v>5322</v>
      </c>
      <c r="E1319" s="20">
        <v>9.19866992056E11</v>
      </c>
      <c r="F1319" s="21">
        <v>17523.0</v>
      </c>
      <c r="G1319" s="20"/>
      <c r="H1319" s="20" t="s">
        <v>5321</v>
      </c>
      <c r="I1319" s="20"/>
      <c r="J1319" s="20">
        <v>1.0</v>
      </c>
      <c r="K1319" s="20">
        <v>99.0</v>
      </c>
      <c r="L1319" s="20"/>
      <c r="M1319" s="20">
        <v>99.0</v>
      </c>
      <c r="N1319" s="5" t="s">
        <v>67</v>
      </c>
      <c r="O1319" s="20" t="b">
        <v>0</v>
      </c>
      <c r="P1319" s="20" t="s">
        <v>68</v>
      </c>
      <c r="Q1319" s="20" t="s">
        <v>69</v>
      </c>
      <c r="R1319" s="20" t="s">
        <v>5323</v>
      </c>
      <c r="T1319" s="20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</row>
    <row r="1320">
      <c r="A1320" s="15" t="s">
        <v>6753</v>
      </c>
      <c r="B1320" s="19">
        <v>44291.84583333333</v>
      </c>
      <c r="C1320" s="20">
        <v>50073.0</v>
      </c>
      <c r="D1320" s="20" t="s">
        <v>6470</v>
      </c>
      <c r="E1320" s="20">
        <v>9.19210883828E11</v>
      </c>
      <c r="F1320" s="21">
        <v>17882.0</v>
      </c>
      <c r="G1320" s="20"/>
      <c r="H1320" s="20" t="s">
        <v>6466</v>
      </c>
      <c r="I1320" s="20"/>
      <c r="J1320" s="20">
        <v>1.0</v>
      </c>
      <c r="K1320" s="20">
        <v>599.0</v>
      </c>
      <c r="L1320" s="20"/>
      <c r="M1320" s="20">
        <v>599.0</v>
      </c>
      <c r="N1320" s="5" t="s">
        <v>67</v>
      </c>
      <c r="O1320" s="20" t="b">
        <v>0</v>
      </c>
      <c r="P1320" s="20" t="s">
        <v>68</v>
      </c>
      <c r="Q1320" s="20" t="s">
        <v>69</v>
      </c>
      <c r="R1320" s="20"/>
      <c r="T1320" s="20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</row>
    <row r="1321">
      <c r="A1321" s="15" t="s">
        <v>6752</v>
      </c>
      <c r="B1321" s="19">
        <v>44291.83541666667</v>
      </c>
      <c r="C1321" s="20">
        <v>49844.0</v>
      </c>
      <c r="D1321" s="20" t="s">
        <v>5444</v>
      </c>
      <c r="E1321" s="20">
        <v>9.18240806728E11</v>
      </c>
      <c r="F1321" s="21">
        <v>17530.0</v>
      </c>
      <c r="G1321" s="20"/>
      <c r="H1321" s="20" t="s">
        <v>885</v>
      </c>
      <c r="I1321" s="20"/>
      <c r="J1321" s="20">
        <v>1.0</v>
      </c>
      <c r="K1321" s="20">
        <v>99.0</v>
      </c>
      <c r="L1321" s="20"/>
      <c r="M1321" s="20">
        <v>99.0</v>
      </c>
      <c r="N1321" s="5" t="s">
        <v>67</v>
      </c>
      <c r="O1321" s="20" t="b">
        <v>0</v>
      </c>
      <c r="P1321" s="20" t="s">
        <v>68</v>
      </c>
      <c r="Q1321" s="20" t="s">
        <v>69</v>
      </c>
      <c r="R1321" s="20" t="s">
        <v>5445</v>
      </c>
      <c r="T1321" s="20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</row>
    <row r="1322">
      <c r="A1322" s="15" t="s">
        <v>6768</v>
      </c>
      <c r="B1322" s="19" t="s">
        <v>5140</v>
      </c>
      <c r="C1322" s="20">
        <v>49813.0</v>
      </c>
      <c r="D1322" s="20" t="s">
        <v>1687</v>
      </c>
      <c r="E1322" s="20">
        <v>9.18850267427E11</v>
      </c>
      <c r="F1322" s="21">
        <v>16910.0</v>
      </c>
      <c r="G1322" s="20"/>
      <c r="H1322" s="20" t="s">
        <v>5114</v>
      </c>
      <c r="I1322" s="20"/>
      <c r="J1322" s="20">
        <v>6.0</v>
      </c>
      <c r="K1322" s="20">
        <v>799.0</v>
      </c>
      <c r="L1322" s="20"/>
      <c r="M1322" s="20">
        <v>799.0</v>
      </c>
      <c r="N1322" s="5" t="s">
        <v>67</v>
      </c>
      <c r="O1322" s="20" t="b">
        <v>0</v>
      </c>
      <c r="P1322" s="20" t="s">
        <v>68</v>
      </c>
      <c r="Q1322" s="20" t="s">
        <v>69</v>
      </c>
      <c r="R1322" s="20" t="s">
        <v>5116</v>
      </c>
      <c r="T1322" s="20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</row>
    <row r="1323">
      <c r="A1323" s="15" t="s">
        <v>6761</v>
      </c>
      <c r="B1323" s="19">
        <v>44291.86597222222</v>
      </c>
      <c r="C1323" s="20">
        <v>50047.0</v>
      </c>
      <c r="D1323" s="20" t="s">
        <v>3198</v>
      </c>
      <c r="E1323" s="20">
        <v>9.19008118984E11</v>
      </c>
      <c r="F1323" s="21">
        <v>17527.0</v>
      </c>
      <c r="G1323" s="20"/>
      <c r="H1323" s="20" t="s">
        <v>3195</v>
      </c>
      <c r="I1323" s="20"/>
      <c r="J1323" s="20">
        <v>3.0</v>
      </c>
      <c r="K1323" s="20">
        <v>999.0</v>
      </c>
      <c r="L1323" s="20"/>
      <c r="M1323" s="20">
        <v>999.0</v>
      </c>
      <c r="N1323" s="5" t="s">
        <v>67</v>
      </c>
      <c r="O1323" s="20" t="b">
        <v>0</v>
      </c>
      <c r="P1323" s="20" t="s">
        <v>68</v>
      </c>
      <c r="Q1323" s="20" t="s">
        <v>69</v>
      </c>
      <c r="R1323" s="20" t="s">
        <v>3197</v>
      </c>
      <c r="T1323" s="20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</row>
    <row r="1324">
      <c r="A1324" s="15" t="s">
        <v>6720</v>
      </c>
      <c r="B1324" s="19">
        <v>44260.83472222222</v>
      </c>
      <c r="C1324" s="20">
        <v>49899.0</v>
      </c>
      <c r="D1324" s="20" t="s">
        <v>6185</v>
      </c>
      <c r="E1324" s="20">
        <v>9.1756622022E11</v>
      </c>
      <c r="F1324" s="21">
        <v>15194.0</v>
      </c>
      <c r="G1324" s="20"/>
      <c r="H1324" s="20" t="s">
        <v>1016</v>
      </c>
      <c r="I1324" s="20"/>
      <c r="J1324" s="20">
        <v>1.0</v>
      </c>
      <c r="K1324" s="20">
        <v>99.0</v>
      </c>
      <c r="L1324" s="20"/>
      <c r="M1324" s="20">
        <v>99.0</v>
      </c>
      <c r="N1324" s="5" t="s">
        <v>67</v>
      </c>
      <c r="O1324" s="20" t="b">
        <v>0</v>
      </c>
      <c r="P1324" s="20" t="s">
        <v>68</v>
      </c>
      <c r="Q1324" s="20" t="s">
        <v>69</v>
      </c>
      <c r="R1324" s="20" t="s">
        <v>6186</v>
      </c>
      <c r="T1324" s="20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</row>
    <row r="1325">
      <c r="A1325" s="15" t="s">
        <v>6769</v>
      </c>
      <c r="B1325" s="19">
        <v>44291.90416666667</v>
      </c>
      <c r="C1325" s="20">
        <v>49813.0</v>
      </c>
      <c r="D1325" s="20" t="s">
        <v>5115</v>
      </c>
      <c r="E1325" s="20">
        <v>9.19886180731E11</v>
      </c>
      <c r="F1325" s="21">
        <v>17525.0</v>
      </c>
      <c r="G1325" s="20"/>
      <c r="H1325" s="20" t="s">
        <v>5114</v>
      </c>
      <c r="I1325" s="20"/>
      <c r="J1325" s="20">
        <v>1.0</v>
      </c>
      <c r="K1325" s="20">
        <v>299.0</v>
      </c>
      <c r="L1325" s="20"/>
      <c r="M1325" s="20">
        <v>299.0</v>
      </c>
      <c r="N1325" s="5" t="s">
        <v>67</v>
      </c>
      <c r="O1325" s="20" t="b">
        <v>0</v>
      </c>
      <c r="P1325" s="20" t="s">
        <v>151</v>
      </c>
      <c r="Q1325" s="20" t="s">
        <v>69</v>
      </c>
      <c r="R1325" s="20" t="s">
        <v>5116</v>
      </c>
      <c r="T1325" s="20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</row>
    <row r="1326">
      <c r="A1326" s="15" t="s">
        <v>6772</v>
      </c>
      <c r="B1326" s="19">
        <v>44291.92152777778</v>
      </c>
      <c r="C1326" s="20">
        <v>50040.0</v>
      </c>
      <c r="D1326" s="20" t="s">
        <v>5403</v>
      </c>
      <c r="E1326" s="20">
        <v>9.18109272227E11</v>
      </c>
      <c r="F1326" s="21">
        <v>17554.0</v>
      </c>
      <c r="G1326" s="20"/>
      <c r="H1326" s="20" t="s">
        <v>5400</v>
      </c>
      <c r="I1326" s="20"/>
      <c r="J1326" s="20">
        <v>1.0</v>
      </c>
      <c r="K1326" s="20">
        <v>99.0</v>
      </c>
      <c r="L1326" s="20"/>
      <c r="M1326" s="20">
        <v>99.0</v>
      </c>
      <c r="N1326" s="5" t="s">
        <v>67</v>
      </c>
      <c r="O1326" s="20" t="b">
        <v>0</v>
      </c>
      <c r="P1326" s="20" t="s">
        <v>68</v>
      </c>
      <c r="Q1326" s="20" t="s">
        <v>69</v>
      </c>
      <c r="R1326" s="20" t="s">
        <v>5402</v>
      </c>
      <c r="T1326" s="20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</row>
    <row r="1327">
      <c r="A1327" s="15" t="s">
        <v>6771</v>
      </c>
      <c r="B1327" s="19">
        <v>44291.91736111111</v>
      </c>
      <c r="C1327" s="20">
        <v>50040.0</v>
      </c>
      <c r="D1327" s="20" t="s">
        <v>5401</v>
      </c>
      <c r="E1327" s="20">
        <v>9.18755661125E11</v>
      </c>
      <c r="F1327" s="21">
        <v>17526.0</v>
      </c>
      <c r="G1327" s="20"/>
      <c r="H1327" s="20" t="s">
        <v>5400</v>
      </c>
      <c r="I1327" s="20"/>
      <c r="J1327" s="20">
        <v>3.0</v>
      </c>
      <c r="K1327" s="20">
        <v>199.0</v>
      </c>
      <c r="L1327" s="20"/>
      <c r="M1327" s="20">
        <v>199.0</v>
      </c>
      <c r="N1327" s="5" t="s">
        <v>67</v>
      </c>
      <c r="O1327" s="20" t="b">
        <v>0</v>
      </c>
      <c r="P1327" s="20" t="s">
        <v>68</v>
      </c>
      <c r="Q1327" s="20" t="s">
        <v>69</v>
      </c>
      <c r="R1327" s="20" t="s">
        <v>5402</v>
      </c>
      <c r="T1327" s="20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</row>
    <row r="1328">
      <c r="A1328" s="15" t="s">
        <v>6775</v>
      </c>
      <c r="B1328" s="19">
        <v>44291.93541666667</v>
      </c>
      <c r="C1328" s="20">
        <v>49995.0</v>
      </c>
      <c r="D1328" s="20" t="s">
        <v>5324</v>
      </c>
      <c r="E1328" s="20">
        <v>9.17888699913E11</v>
      </c>
      <c r="F1328" s="21">
        <v>17529.0</v>
      </c>
      <c r="G1328" s="20"/>
      <c r="H1328" s="20" t="s">
        <v>5321</v>
      </c>
      <c r="I1328" s="20"/>
      <c r="J1328" s="20">
        <v>1.0</v>
      </c>
      <c r="K1328" s="20">
        <v>99.0</v>
      </c>
      <c r="L1328" s="20"/>
      <c r="M1328" s="20">
        <v>99.0</v>
      </c>
      <c r="N1328" s="5" t="s">
        <v>67</v>
      </c>
      <c r="O1328" s="20" t="b">
        <v>0</v>
      </c>
      <c r="P1328" s="20" t="s">
        <v>74</v>
      </c>
      <c r="Q1328" s="20" t="s">
        <v>69</v>
      </c>
      <c r="R1328" s="20" t="s">
        <v>5323</v>
      </c>
      <c r="T1328" s="20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</row>
    <row r="1329">
      <c r="A1329" s="15" t="s">
        <v>6778</v>
      </c>
      <c r="B1329" s="19">
        <v>44291.94930555556</v>
      </c>
      <c r="C1329" s="20">
        <v>50031.0</v>
      </c>
      <c r="D1329" s="20" t="s">
        <v>4562</v>
      </c>
      <c r="E1329" s="20">
        <v>9.19845345383E11</v>
      </c>
      <c r="F1329" s="21">
        <v>17532.0</v>
      </c>
      <c r="G1329" s="20"/>
      <c r="H1329" s="20" t="s">
        <v>4561</v>
      </c>
      <c r="I1329" s="20"/>
      <c r="J1329" s="20">
        <v>6.0</v>
      </c>
      <c r="K1329" s="20">
        <v>349.0</v>
      </c>
      <c r="L1329" s="20"/>
      <c r="M1329" s="20">
        <v>349.0</v>
      </c>
      <c r="N1329" s="5" t="s">
        <v>67</v>
      </c>
      <c r="O1329" s="20" t="b">
        <v>0</v>
      </c>
      <c r="P1329" s="20" t="s">
        <v>68</v>
      </c>
      <c r="Q1329" s="20" t="s">
        <v>69</v>
      </c>
      <c r="R1329" s="20" t="s">
        <v>4563</v>
      </c>
      <c r="T1329" s="20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</row>
    <row r="1330">
      <c r="A1330" s="15" t="s">
        <v>6779</v>
      </c>
      <c r="B1330" s="19">
        <v>44291.979166666664</v>
      </c>
      <c r="C1330" s="20">
        <v>49859.0</v>
      </c>
      <c r="D1330" s="20" t="s">
        <v>4619</v>
      </c>
      <c r="E1330" s="20">
        <v>9.18792100662E11</v>
      </c>
      <c r="F1330" s="21">
        <v>17534.0</v>
      </c>
      <c r="G1330" s="20"/>
      <c r="H1330" s="20" t="s">
        <v>1133</v>
      </c>
      <c r="I1330" s="20"/>
      <c r="J1330" s="20">
        <v>1.0</v>
      </c>
      <c r="K1330" s="20">
        <v>99.0</v>
      </c>
      <c r="L1330" s="20"/>
      <c r="M1330" s="20">
        <v>99.0</v>
      </c>
      <c r="N1330" s="5" t="s">
        <v>67</v>
      </c>
      <c r="O1330" s="20" t="b">
        <v>0</v>
      </c>
      <c r="P1330" s="20" t="s">
        <v>68</v>
      </c>
      <c r="Q1330" s="20" t="s">
        <v>69</v>
      </c>
      <c r="R1330" s="20" t="s">
        <v>4620</v>
      </c>
      <c r="T1330" s="20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</row>
    <row r="1331">
      <c r="A1331" s="15" t="s">
        <v>6725</v>
      </c>
      <c r="B1331" s="19">
        <v>44260.933333333334</v>
      </c>
      <c r="C1331" s="20">
        <v>50073.0</v>
      </c>
      <c r="D1331" s="20" t="s">
        <v>2433</v>
      </c>
      <c r="E1331" s="20">
        <v>9.17209943488E11</v>
      </c>
      <c r="F1331" s="21">
        <v>17740.0</v>
      </c>
      <c r="G1331" s="20"/>
      <c r="H1331" s="20" t="s">
        <v>6466</v>
      </c>
      <c r="I1331" s="20"/>
      <c r="J1331" s="20">
        <v>1.0</v>
      </c>
      <c r="K1331" s="20">
        <v>599.0</v>
      </c>
      <c r="L1331" s="20"/>
      <c r="M1331" s="20">
        <v>599.0</v>
      </c>
      <c r="N1331" s="5" t="s">
        <v>67</v>
      </c>
      <c r="O1331" s="20" t="b">
        <v>0</v>
      </c>
      <c r="P1331" s="20" t="s">
        <v>74</v>
      </c>
      <c r="Q1331" s="20" t="s">
        <v>69</v>
      </c>
      <c r="R1331" s="20"/>
      <c r="T1331" s="20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</row>
    <row r="1332">
      <c r="A1332" s="15" t="s">
        <v>6780</v>
      </c>
      <c r="B1332" s="19">
        <v>44291.993055555555</v>
      </c>
      <c r="C1332" s="20">
        <v>50015.0</v>
      </c>
      <c r="D1332" s="20" t="s">
        <v>2705</v>
      </c>
      <c r="E1332" s="20">
        <v>9.17584018683E11</v>
      </c>
      <c r="F1332" s="21">
        <v>17536.0</v>
      </c>
      <c r="G1332" s="20"/>
      <c r="H1332" s="20" t="s">
        <v>2702</v>
      </c>
      <c r="I1332" s="20"/>
      <c r="J1332" s="20">
        <v>1.0</v>
      </c>
      <c r="K1332" s="20">
        <v>99.0</v>
      </c>
      <c r="L1332" s="20"/>
      <c r="M1332" s="20">
        <v>99.0</v>
      </c>
      <c r="N1332" s="5" t="s">
        <v>67</v>
      </c>
      <c r="O1332" s="20" t="b">
        <v>0</v>
      </c>
      <c r="P1332" s="20" t="s">
        <v>74</v>
      </c>
      <c r="Q1332" s="20" t="s">
        <v>69</v>
      </c>
      <c r="R1332" s="20" t="s">
        <v>2704</v>
      </c>
      <c r="T1332" s="20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</row>
    <row r="1333">
      <c r="A1333" s="15" t="s">
        <v>6726</v>
      </c>
      <c r="B1333" s="19">
        <v>44260.94027777778</v>
      </c>
      <c r="C1333" s="20">
        <v>49997.0</v>
      </c>
      <c r="D1333" s="20" t="s">
        <v>2459</v>
      </c>
      <c r="E1333" s="20">
        <v>9.19969893269E11</v>
      </c>
      <c r="F1333" s="21">
        <v>17506.0</v>
      </c>
      <c r="G1333" s="20"/>
      <c r="H1333" s="20" t="s">
        <v>2455</v>
      </c>
      <c r="I1333" s="20"/>
      <c r="J1333" s="20">
        <v>6.0</v>
      </c>
      <c r="K1333" s="20">
        <v>349.0</v>
      </c>
      <c r="L1333" s="20"/>
      <c r="M1333" s="20">
        <v>349.0</v>
      </c>
      <c r="N1333" s="5" t="s">
        <v>67</v>
      </c>
      <c r="O1333" s="20" t="b">
        <v>0</v>
      </c>
      <c r="P1333" s="20" t="s">
        <v>74</v>
      </c>
      <c r="Q1333" s="20" t="s">
        <v>69</v>
      </c>
      <c r="R1333" s="20" t="s">
        <v>2457</v>
      </c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</row>
    <row r="1334">
      <c r="A1334" s="15" t="s">
        <v>6727</v>
      </c>
      <c r="B1334" s="19">
        <v>44260.97361111111</v>
      </c>
      <c r="C1334" s="20">
        <v>50022.0</v>
      </c>
      <c r="D1334" s="20" t="s">
        <v>5182</v>
      </c>
      <c r="E1334" s="20">
        <v>9.17721012926E11</v>
      </c>
      <c r="F1334" s="21">
        <v>17507.0</v>
      </c>
      <c r="G1334" s="20"/>
      <c r="H1334" s="20" t="s">
        <v>5181</v>
      </c>
      <c r="I1334" s="20"/>
      <c r="J1334" s="20">
        <v>3.0</v>
      </c>
      <c r="K1334" s="20">
        <v>199.0</v>
      </c>
      <c r="L1334" s="20"/>
      <c r="M1334" s="20">
        <v>199.0</v>
      </c>
      <c r="N1334" s="5" t="s">
        <v>67</v>
      </c>
      <c r="O1334" s="20" t="b">
        <v>0</v>
      </c>
      <c r="P1334" s="20" t="s">
        <v>68</v>
      </c>
      <c r="Q1334" s="20" t="s">
        <v>69</v>
      </c>
      <c r="R1334" s="20" t="s">
        <v>5183</v>
      </c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</row>
    <row r="1335">
      <c r="A1335" s="15" t="s">
        <v>6788</v>
      </c>
      <c r="B1335" s="19">
        <v>44321.08819444444</v>
      </c>
      <c r="C1335" s="20">
        <v>49997.0</v>
      </c>
      <c r="D1335" s="20" t="s">
        <v>2465</v>
      </c>
      <c r="E1335" s="20">
        <v>9.19330771104E11</v>
      </c>
      <c r="F1335" s="21">
        <v>0.0</v>
      </c>
      <c r="G1335" s="20"/>
      <c r="H1335" s="20" t="s">
        <v>2455</v>
      </c>
      <c r="I1335" s="20"/>
      <c r="J1335" s="20">
        <v>1.0</v>
      </c>
      <c r="K1335" s="20">
        <v>99.0</v>
      </c>
      <c r="L1335" s="20"/>
      <c r="M1335" s="20">
        <v>99.0</v>
      </c>
      <c r="N1335" s="5" t="s">
        <v>67</v>
      </c>
      <c r="O1335" s="20" t="b">
        <v>0</v>
      </c>
      <c r="P1335" s="20" t="s">
        <v>68</v>
      </c>
      <c r="Q1335" s="20" t="s">
        <v>69</v>
      </c>
      <c r="R1335" s="20" t="s">
        <v>2457</v>
      </c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</row>
    <row r="1336">
      <c r="A1336" s="15" t="s">
        <v>6789</v>
      </c>
      <c r="B1336" s="19">
        <v>44321.09930555556</v>
      </c>
      <c r="C1336" s="20">
        <v>49992.0</v>
      </c>
      <c r="D1336" s="20" t="s">
        <v>3611</v>
      </c>
      <c r="E1336" s="20">
        <v>9.17337511411E11</v>
      </c>
      <c r="F1336" s="21">
        <v>17539.0</v>
      </c>
      <c r="G1336" s="20"/>
      <c r="H1336" s="20" t="s">
        <v>3610</v>
      </c>
      <c r="I1336" s="20"/>
      <c r="J1336" s="20">
        <v>1.0</v>
      </c>
      <c r="K1336" s="20">
        <v>99.0</v>
      </c>
      <c r="L1336" s="20"/>
      <c r="M1336" s="20">
        <v>99.0</v>
      </c>
      <c r="N1336" s="5" t="s">
        <v>67</v>
      </c>
      <c r="O1336" s="20" t="b">
        <v>0</v>
      </c>
      <c r="P1336" s="20" t="s">
        <v>68</v>
      </c>
      <c r="Q1336" s="20" t="s">
        <v>69</v>
      </c>
      <c r="R1336" s="20" t="s">
        <v>3288</v>
      </c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</row>
    <row r="1337">
      <c r="A1337" s="15" t="s">
        <v>6793</v>
      </c>
      <c r="B1337" s="19">
        <v>44321.29652777778</v>
      </c>
      <c r="C1337" s="20">
        <v>49992.0</v>
      </c>
      <c r="D1337" s="20" t="s">
        <v>3613</v>
      </c>
      <c r="E1337" s="20">
        <v>9.18328361154E11</v>
      </c>
      <c r="F1337" s="21">
        <v>17540.0</v>
      </c>
      <c r="G1337" s="20"/>
      <c r="H1337" s="20" t="s">
        <v>3610</v>
      </c>
      <c r="I1337" s="20"/>
      <c r="J1337" s="20">
        <v>1.0</v>
      </c>
      <c r="K1337" s="20">
        <v>99.0</v>
      </c>
      <c r="L1337" s="20"/>
      <c r="M1337" s="20">
        <v>99.0</v>
      </c>
      <c r="N1337" s="5" t="s">
        <v>67</v>
      </c>
      <c r="O1337" s="20" t="b">
        <v>0</v>
      </c>
      <c r="P1337" s="20" t="s">
        <v>68</v>
      </c>
      <c r="Q1337" s="20" t="s">
        <v>69</v>
      </c>
      <c r="R1337" s="20" t="s">
        <v>3288</v>
      </c>
      <c r="T1337" s="20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</row>
    <row r="1338">
      <c r="A1338" s="15" t="s">
        <v>6794</v>
      </c>
      <c r="B1338" s="19">
        <v>44321.33472222222</v>
      </c>
      <c r="C1338" s="20">
        <v>50073.0</v>
      </c>
      <c r="D1338" s="20" t="s">
        <v>6473</v>
      </c>
      <c r="E1338" s="20">
        <v>9.19873965908E11</v>
      </c>
      <c r="F1338" s="21">
        <v>17755.0</v>
      </c>
      <c r="G1338" s="20"/>
      <c r="H1338" s="20" t="s">
        <v>6466</v>
      </c>
      <c r="I1338" s="20"/>
      <c r="J1338" s="20">
        <v>1.0</v>
      </c>
      <c r="K1338" s="20">
        <v>599.0</v>
      </c>
      <c r="L1338" s="20"/>
      <c r="M1338" s="20">
        <v>599.0</v>
      </c>
      <c r="N1338" s="5" t="s">
        <v>67</v>
      </c>
      <c r="O1338" s="20" t="b">
        <v>0</v>
      </c>
      <c r="P1338" s="20" t="s">
        <v>68</v>
      </c>
      <c r="Q1338" s="20" t="s">
        <v>69</v>
      </c>
      <c r="R1338" s="20"/>
      <c r="T1338" s="20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</row>
    <row r="1339">
      <c r="A1339" s="1" t="s">
        <v>10741</v>
      </c>
      <c r="B1339" s="19">
        <v>44414.48819444444</v>
      </c>
      <c r="C1339" s="20">
        <v>50073.0</v>
      </c>
      <c r="D1339" s="20" t="s">
        <v>6473</v>
      </c>
      <c r="E1339" s="5">
        <v>9.19873965908E11</v>
      </c>
      <c r="F1339" s="21">
        <v>17755.0</v>
      </c>
      <c r="G1339" s="20"/>
      <c r="H1339" s="20" t="s">
        <v>2161</v>
      </c>
      <c r="I1339" s="5"/>
      <c r="J1339" s="20">
        <v>3.0</v>
      </c>
      <c r="K1339" s="20">
        <v>1499.0</v>
      </c>
      <c r="L1339" s="20"/>
      <c r="M1339" s="20">
        <v>1499.0</v>
      </c>
      <c r="N1339" s="5" t="s">
        <v>67</v>
      </c>
      <c r="O1339" s="20" t="b">
        <v>0</v>
      </c>
      <c r="P1339" s="20" t="s">
        <v>68</v>
      </c>
      <c r="Q1339" s="20" t="s">
        <v>69</v>
      </c>
      <c r="R1339" s="20" t="s">
        <v>6561</v>
      </c>
      <c r="T1339" s="20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</row>
    <row r="1340">
      <c r="A1340" s="15" t="s">
        <v>6796</v>
      </c>
      <c r="B1340" s="19">
        <v>44321.34375</v>
      </c>
      <c r="C1340" s="20">
        <v>50073.0</v>
      </c>
      <c r="D1340" s="20" t="s">
        <v>6475</v>
      </c>
      <c r="E1340" s="20">
        <v>9.19738738229E11</v>
      </c>
      <c r="F1340" s="21">
        <v>17778.0</v>
      </c>
      <c r="G1340" s="20"/>
      <c r="H1340" s="20" t="s">
        <v>6466</v>
      </c>
      <c r="I1340" s="20"/>
      <c r="J1340" s="20">
        <v>1.0</v>
      </c>
      <c r="K1340" s="20">
        <v>599.0</v>
      </c>
      <c r="L1340" s="20"/>
      <c r="M1340" s="20">
        <v>599.0</v>
      </c>
      <c r="N1340" s="5" t="s">
        <v>67</v>
      </c>
      <c r="O1340" s="20" t="b">
        <v>0</v>
      </c>
      <c r="P1340" s="20" t="s">
        <v>97</v>
      </c>
      <c r="Q1340" s="20" t="s">
        <v>69</v>
      </c>
      <c r="R1340" s="20"/>
      <c r="T1340" s="20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</row>
    <row r="1341">
      <c r="A1341" s="15" t="s">
        <v>6798</v>
      </c>
      <c r="B1341" s="19">
        <v>44321.381944444445</v>
      </c>
      <c r="C1341" s="20">
        <v>49997.0</v>
      </c>
      <c r="D1341" s="20" t="s">
        <v>2466</v>
      </c>
      <c r="E1341" s="20">
        <v>9.19860729292E11</v>
      </c>
      <c r="F1341" s="21">
        <v>0.0</v>
      </c>
      <c r="G1341" s="20"/>
      <c r="H1341" s="20" t="s">
        <v>2455</v>
      </c>
      <c r="I1341" s="20"/>
      <c r="J1341" s="20">
        <v>1.0</v>
      </c>
      <c r="K1341" s="20">
        <v>99.0</v>
      </c>
      <c r="L1341" s="20"/>
      <c r="M1341" s="20">
        <v>99.0</v>
      </c>
      <c r="N1341" s="5" t="s">
        <v>67</v>
      </c>
      <c r="O1341" s="20" t="b">
        <v>0</v>
      </c>
      <c r="P1341" s="20" t="s">
        <v>68</v>
      </c>
      <c r="Q1341" s="20" t="s">
        <v>69</v>
      </c>
      <c r="R1341" s="20" t="s">
        <v>2457</v>
      </c>
      <c r="T1341" s="20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</row>
    <row r="1342">
      <c r="A1342" s="15" t="s">
        <v>6729</v>
      </c>
      <c r="B1342" s="19">
        <v>44291.32847222222</v>
      </c>
      <c r="C1342" s="20">
        <v>50073.0</v>
      </c>
      <c r="D1342" s="20" t="s">
        <v>6469</v>
      </c>
      <c r="E1342" s="20">
        <v>9.1953860116E11</v>
      </c>
      <c r="F1342" s="21">
        <v>0.0</v>
      </c>
      <c r="G1342" s="20"/>
      <c r="H1342" s="20" t="s">
        <v>6466</v>
      </c>
      <c r="I1342" s="20"/>
      <c r="J1342" s="20">
        <v>1.0</v>
      </c>
      <c r="K1342" s="20">
        <v>599.0</v>
      </c>
      <c r="L1342" s="20"/>
      <c r="M1342" s="20">
        <v>599.0</v>
      </c>
      <c r="N1342" s="5" t="s">
        <v>67</v>
      </c>
      <c r="O1342" s="20" t="b">
        <v>0</v>
      </c>
      <c r="P1342" s="20" t="s">
        <v>151</v>
      </c>
      <c r="Q1342" s="20" t="s">
        <v>69</v>
      </c>
      <c r="R1342" s="20"/>
      <c r="T1342" s="20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</row>
    <row r="1343">
      <c r="A1343" s="15" t="s">
        <v>6799</v>
      </c>
      <c r="B1343" s="19">
        <v>44321.39027777778</v>
      </c>
      <c r="C1343" s="20">
        <v>49991.0</v>
      </c>
      <c r="D1343" s="20" t="s">
        <v>3058</v>
      </c>
      <c r="E1343" s="20">
        <v>9.19717661421E11</v>
      </c>
      <c r="F1343" s="21">
        <v>17541.0</v>
      </c>
      <c r="G1343" s="20"/>
      <c r="H1343" s="20" t="s">
        <v>3055</v>
      </c>
      <c r="I1343" s="20"/>
      <c r="J1343" s="20">
        <v>1.0</v>
      </c>
      <c r="K1343" s="20">
        <v>99.0</v>
      </c>
      <c r="L1343" s="20"/>
      <c r="M1343" s="20">
        <v>99.0</v>
      </c>
      <c r="N1343" s="5" t="s">
        <v>67</v>
      </c>
      <c r="O1343" s="20" t="b">
        <v>0</v>
      </c>
      <c r="P1343" s="20" t="s">
        <v>68</v>
      </c>
      <c r="Q1343" s="20" t="s">
        <v>69</v>
      </c>
      <c r="R1343" s="20" t="s">
        <v>3057</v>
      </c>
      <c r="T1343" s="20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</row>
    <row r="1344">
      <c r="A1344" s="15" t="s">
        <v>6804</v>
      </c>
      <c r="B1344" s="19">
        <v>44321.415972222225</v>
      </c>
      <c r="C1344" s="20">
        <v>50011.0</v>
      </c>
      <c r="D1344" s="20" t="s">
        <v>5094</v>
      </c>
      <c r="E1344" s="20">
        <v>9.18377880192E11</v>
      </c>
      <c r="F1344" s="21">
        <v>17542.0</v>
      </c>
      <c r="G1344" s="20"/>
      <c r="H1344" s="20" t="s">
        <v>1585</v>
      </c>
      <c r="I1344" s="20"/>
      <c r="J1344" s="20">
        <v>1.0</v>
      </c>
      <c r="K1344" s="20">
        <v>99.0</v>
      </c>
      <c r="L1344" s="20"/>
      <c r="M1344" s="20">
        <v>99.0</v>
      </c>
      <c r="N1344" s="5" t="s">
        <v>67</v>
      </c>
      <c r="O1344" s="20" t="b">
        <v>0</v>
      </c>
      <c r="P1344" s="20" t="s">
        <v>68</v>
      </c>
      <c r="Q1344" s="20" t="s">
        <v>69</v>
      </c>
      <c r="R1344" s="20"/>
      <c r="T1344" s="20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</row>
    <row r="1345">
      <c r="A1345" s="15" t="s">
        <v>6805</v>
      </c>
      <c r="B1345" s="19">
        <v>44321.42361111111</v>
      </c>
      <c r="C1345" s="20">
        <v>50022.0</v>
      </c>
      <c r="D1345" s="20" t="s">
        <v>5187</v>
      </c>
      <c r="E1345" s="20">
        <v>9.19673390777E11</v>
      </c>
      <c r="F1345" s="21">
        <v>17543.0</v>
      </c>
      <c r="G1345" s="20"/>
      <c r="H1345" s="20" t="s">
        <v>5181</v>
      </c>
      <c r="I1345" s="20"/>
      <c r="J1345" s="20">
        <v>1.0</v>
      </c>
      <c r="K1345" s="20">
        <v>99.0</v>
      </c>
      <c r="L1345" s="20"/>
      <c r="M1345" s="20">
        <v>99.0</v>
      </c>
      <c r="N1345" s="5" t="s">
        <v>67</v>
      </c>
      <c r="O1345" s="20" t="b">
        <v>0</v>
      </c>
      <c r="P1345" s="20" t="s">
        <v>68</v>
      </c>
      <c r="Q1345" s="20" t="s">
        <v>69</v>
      </c>
      <c r="R1345" s="20" t="s">
        <v>5183</v>
      </c>
      <c r="T1345" s="20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</row>
    <row r="1346">
      <c r="A1346" s="15" t="s">
        <v>6815</v>
      </c>
      <c r="B1346" s="19">
        <v>44321.493055555555</v>
      </c>
      <c r="C1346" s="20">
        <v>49997.0</v>
      </c>
      <c r="D1346" s="20" t="s">
        <v>2467</v>
      </c>
      <c r="E1346" s="20">
        <v>9.1999872817E11</v>
      </c>
      <c r="F1346" s="21">
        <v>17671.0</v>
      </c>
      <c r="G1346" s="20"/>
      <c r="H1346" s="20" t="s">
        <v>2455</v>
      </c>
      <c r="I1346" s="20"/>
      <c r="J1346" s="20">
        <v>6.0</v>
      </c>
      <c r="K1346" s="20">
        <v>349.0</v>
      </c>
      <c r="L1346" s="20"/>
      <c r="M1346" s="20">
        <v>349.0</v>
      </c>
      <c r="N1346" s="5" t="s">
        <v>67</v>
      </c>
      <c r="O1346" s="20" t="b">
        <v>0</v>
      </c>
      <c r="P1346" s="20" t="s">
        <v>68</v>
      </c>
      <c r="Q1346" s="20" t="s">
        <v>69</v>
      </c>
      <c r="R1346" s="20" t="s">
        <v>2457</v>
      </c>
      <c r="T1346" s="20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</row>
    <row r="1347">
      <c r="A1347" s="15" t="s">
        <v>6816</v>
      </c>
      <c r="B1347" s="19">
        <v>44321.50833333333</v>
      </c>
      <c r="C1347" s="20">
        <v>50022.0</v>
      </c>
      <c r="D1347" s="20" t="s">
        <v>5189</v>
      </c>
      <c r="E1347" s="20">
        <v>9.19182060469E11</v>
      </c>
      <c r="F1347" s="21">
        <v>17544.0</v>
      </c>
      <c r="G1347" s="20"/>
      <c r="H1347" s="20" t="s">
        <v>5181</v>
      </c>
      <c r="I1347" s="20"/>
      <c r="J1347" s="20">
        <v>6.0</v>
      </c>
      <c r="K1347" s="20">
        <v>349.0</v>
      </c>
      <c r="L1347" s="20"/>
      <c r="M1347" s="20">
        <v>349.0</v>
      </c>
      <c r="N1347" s="5" t="s">
        <v>67</v>
      </c>
      <c r="O1347" s="20" t="b">
        <v>0</v>
      </c>
      <c r="P1347" s="20" t="s">
        <v>68</v>
      </c>
      <c r="Q1347" s="20" t="s">
        <v>69</v>
      </c>
      <c r="R1347" s="20" t="s">
        <v>5183</v>
      </c>
      <c r="T1347" s="20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</row>
    <row r="1348">
      <c r="A1348" s="15" t="s">
        <v>6817</v>
      </c>
      <c r="B1348" s="19">
        <v>44321.51597222222</v>
      </c>
      <c r="C1348" s="20">
        <v>49813.0</v>
      </c>
      <c r="D1348" s="20" t="s">
        <v>5118</v>
      </c>
      <c r="E1348" s="20">
        <v>9.19840374939E11</v>
      </c>
      <c r="F1348" s="21">
        <v>17545.0</v>
      </c>
      <c r="G1348" s="20"/>
      <c r="H1348" s="20" t="s">
        <v>5114</v>
      </c>
      <c r="I1348" s="20"/>
      <c r="J1348" s="20">
        <v>1.0</v>
      </c>
      <c r="K1348" s="20">
        <v>299.0</v>
      </c>
      <c r="L1348" s="20"/>
      <c r="M1348" s="20">
        <v>299.0</v>
      </c>
      <c r="N1348" s="5" t="s">
        <v>67</v>
      </c>
      <c r="O1348" s="20" t="b">
        <v>0</v>
      </c>
      <c r="P1348" s="20" t="s">
        <v>68</v>
      </c>
      <c r="Q1348" s="20" t="s">
        <v>69</v>
      </c>
      <c r="R1348" s="20" t="s">
        <v>5116</v>
      </c>
      <c r="T1348" s="20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</row>
    <row r="1349">
      <c r="A1349" s="15" t="s">
        <v>6820</v>
      </c>
      <c r="B1349" s="19">
        <v>44321.54513888889</v>
      </c>
      <c r="C1349" s="20">
        <v>50029.0</v>
      </c>
      <c r="D1349" s="20" t="s">
        <v>2762</v>
      </c>
      <c r="E1349" s="20">
        <v>9.19967655017E11</v>
      </c>
      <c r="F1349" s="21">
        <v>17547.0</v>
      </c>
      <c r="G1349" s="20"/>
      <c r="H1349" s="20" t="s">
        <v>2761</v>
      </c>
      <c r="I1349" s="20"/>
      <c r="J1349" s="20">
        <v>1.0</v>
      </c>
      <c r="K1349" s="20">
        <v>99.0</v>
      </c>
      <c r="L1349" s="20"/>
      <c r="M1349" s="20">
        <v>99.0</v>
      </c>
      <c r="N1349" s="5" t="s">
        <v>67</v>
      </c>
      <c r="O1349" s="20" t="b">
        <v>0</v>
      </c>
      <c r="P1349" s="20" t="s">
        <v>68</v>
      </c>
      <c r="Q1349" s="20" t="s">
        <v>69</v>
      </c>
      <c r="R1349" s="20" t="s">
        <v>2763</v>
      </c>
      <c r="T1349" s="20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</row>
    <row r="1350">
      <c r="A1350" s="15" t="s">
        <v>6821</v>
      </c>
      <c r="B1350" s="19">
        <v>44321.57708333333</v>
      </c>
      <c r="C1350" s="20">
        <v>49844.0</v>
      </c>
      <c r="D1350" s="20" t="s">
        <v>5446</v>
      </c>
      <c r="E1350" s="20">
        <v>9.19978976779E11</v>
      </c>
      <c r="F1350" s="21">
        <v>17549.0</v>
      </c>
      <c r="G1350" s="20"/>
      <c r="H1350" s="20" t="s">
        <v>885</v>
      </c>
      <c r="I1350" s="20"/>
      <c r="J1350" s="20">
        <v>1.0</v>
      </c>
      <c r="K1350" s="20">
        <v>99.0</v>
      </c>
      <c r="L1350" s="20"/>
      <c r="M1350" s="20">
        <v>99.0</v>
      </c>
      <c r="N1350" s="5" t="s">
        <v>67</v>
      </c>
      <c r="O1350" s="20" t="b">
        <v>0</v>
      </c>
      <c r="P1350" s="20" t="s">
        <v>68</v>
      </c>
      <c r="Q1350" s="20" t="s">
        <v>69</v>
      </c>
      <c r="R1350" s="20" t="s">
        <v>5445</v>
      </c>
      <c r="T1350" s="20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</row>
    <row r="1351">
      <c r="A1351" s="15" t="s">
        <v>6822</v>
      </c>
      <c r="B1351" s="19">
        <v>44321.62013888889</v>
      </c>
      <c r="C1351" s="20">
        <v>50009.0</v>
      </c>
      <c r="D1351" s="20" t="s">
        <v>2744</v>
      </c>
      <c r="E1351" s="20">
        <v>9.19952003388E11</v>
      </c>
      <c r="F1351" s="21">
        <v>17563.0</v>
      </c>
      <c r="G1351" s="20"/>
      <c r="H1351" s="20" t="s">
        <v>1476</v>
      </c>
      <c r="I1351" s="20"/>
      <c r="J1351" s="20">
        <v>6.0</v>
      </c>
      <c r="K1351" s="20">
        <v>349.0</v>
      </c>
      <c r="L1351" s="20"/>
      <c r="M1351" s="20">
        <v>349.0</v>
      </c>
      <c r="N1351" s="5" t="s">
        <v>67</v>
      </c>
      <c r="O1351" s="20" t="b">
        <v>0</v>
      </c>
      <c r="P1351" s="20" t="s">
        <v>68</v>
      </c>
      <c r="Q1351" s="20" t="s">
        <v>69</v>
      </c>
      <c r="R1351" s="20" t="s">
        <v>2745</v>
      </c>
      <c r="T1351" s="20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</row>
    <row r="1352">
      <c r="A1352" s="15" t="s">
        <v>6823</v>
      </c>
      <c r="B1352" s="19">
        <v>44321.620833333334</v>
      </c>
      <c r="C1352" s="20">
        <v>50009.0</v>
      </c>
      <c r="D1352" s="20" t="s">
        <v>2746</v>
      </c>
      <c r="E1352" s="20">
        <v>9.19999255528E11</v>
      </c>
      <c r="F1352" s="21">
        <v>17553.0</v>
      </c>
      <c r="G1352" s="20"/>
      <c r="H1352" s="20" t="s">
        <v>1476</v>
      </c>
      <c r="I1352" s="20"/>
      <c r="J1352" s="20">
        <v>1.0</v>
      </c>
      <c r="K1352" s="20">
        <v>99.0</v>
      </c>
      <c r="L1352" s="20"/>
      <c r="M1352" s="20">
        <v>99.0</v>
      </c>
      <c r="N1352" s="5" t="s">
        <v>67</v>
      </c>
      <c r="O1352" s="20" t="b">
        <v>0</v>
      </c>
      <c r="P1352" s="20" t="s">
        <v>68</v>
      </c>
      <c r="Q1352" s="20" t="s">
        <v>69</v>
      </c>
      <c r="R1352" s="20" t="s">
        <v>2745</v>
      </c>
      <c r="T1352" s="20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</row>
    <row r="1353">
      <c r="A1353" s="15" t="s">
        <v>6827</v>
      </c>
      <c r="B1353" s="19">
        <v>44321.663194444445</v>
      </c>
      <c r="C1353" s="20">
        <v>50030.0</v>
      </c>
      <c r="D1353" s="20" t="s">
        <v>3329</v>
      </c>
      <c r="E1353" s="20">
        <v>9.19619773565E11</v>
      </c>
      <c r="F1353" s="21">
        <v>17557.0</v>
      </c>
      <c r="G1353" s="20"/>
      <c r="H1353" s="20" t="s">
        <v>3326</v>
      </c>
      <c r="I1353" s="20"/>
      <c r="J1353" s="20">
        <v>1.0</v>
      </c>
      <c r="K1353" s="20">
        <v>99.0</v>
      </c>
      <c r="L1353" s="20"/>
      <c r="M1353" s="20">
        <v>99.0</v>
      </c>
      <c r="N1353" s="5" t="s">
        <v>67</v>
      </c>
      <c r="O1353" s="20" t="b">
        <v>0</v>
      </c>
      <c r="P1353" s="20" t="s">
        <v>68</v>
      </c>
      <c r="Q1353" s="20" t="s">
        <v>69</v>
      </c>
      <c r="R1353" s="20" t="s">
        <v>3328</v>
      </c>
      <c r="T1353" s="20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</row>
    <row r="1354">
      <c r="A1354" s="15" t="s">
        <v>6828</v>
      </c>
      <c r="B1354" s="19">
        <v>44321.674305555556</v>
      </c>
      <c r="C1354" s="20">
        <v>50032.0</v>
      </c>
      <c r="D1354" s="20" t="s">
        <v>5097</v>
      </c>
      <c r="E1354" s="20">
        <v>9.18375897657E11</v>
      </c>
      <c r="F1354" s="21">
        <v>17560.0</v>
      </c>
      <c r="G1354" s="20"/>
      <c r="H1354" s="20" t="s">
        <v>1982</v>
      </c>
      <c r="I1354" s="20"/>
      <c r="J1354" s="20">
        <v>1.0</v>
      </c>
      <c r="K1354" s="20">
        <v>99.0</v>
      </c>
      <c r="L1354" s="20"/>
      <c r="M1354" s="20">
        <v>99.0</v>
      </c>
      <c r="N1354" s="5" t="s">
        <v>67</v>
      </c>
      <c r="O1354" s="20" t="b">
        <v>0</v>
      </c>
      <c r="P1354" s="20" t="s">
        <v>97</v>
      </c>
      <c r="Q1354" s="20" t="s">
        <v>69</v>
      </c>
      <c r="R1354" s="20"/>
      <c r="T1354" s="20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</row>
    <row r="1355">
      <c r="A1355" s="15" t="s">
        <v>6829</v>
      </c>
      <c r="B1355" s="19">
        <v>44321.67638888889</v>
      </c>
      <c r="C1355" s="20">
        <v>49992.0</v>
      </c>
      <c r="D1355" s="20" t="s">
        <v>3612</v>
      </c>
      <c r="E1355" s="20">
        <v>9.19987757185E11</v>
      </c>
      <c r="F1355" s="21">
        <v>0.0</v>
      </c>
      <c r="G1355" s="20"/>
      <c r="H1355" s="20" t="s">
        <v>3610</v>
      </c>
      <c r="I1355" s="20"/>
      <c r="J1355" s="20">
        <v>1.0</v>
      </c>
      <c r="K1355" s="20">
        <v>99.0</v>
      </c>
      <c r="L1355" s="20"/>
      <c r="M1355" s="20">
        <v>99.0</v>
      </c>
      <c r="N1355" s="5" t="s">
        <v>67</v>
      </c>
      <c r="O1355" s="20" t="b">
        <v>0</v>
      </c>
      <c r="P1355" s="20" t="s">
        <v>68</v>
      </c>
      <c r="Q1355" s="20" t="s">
        <v>69</v>
      </c>
      <c r="R1355" s="20" t="s">
        <v>3288</v>
      </c>
      <c r="T1355" s="20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</row>
    <row r="1356">
      <c r="A1356" s="15" t="s">
        <v>6830</v>
      </c>
      <c r="B1356" s="19">
        <v>44321.68125</v>
      </c>
      <c r="C1356" s="20">
        <v>50009.0</v>
      </c>
      <c r="D1356" s="20" t="s">
        <v>2747</v>
      </c>
      <c r="E1356" s="20">
        <v>9.19711032395E11</v>
      </c>
      <c r="F1356" s="21">
        <v>17562.0</v>
      </c>
      <c r="G1356" s="20"/>
      <c r="H1356" s="20" t="s">
        <v>1476</v>
      </c>
      <c r="I1356" s="20"/>
      <c r="J1356" s="20">
        <v>1.0</v>
      </c>
      <c r="K1356" s="20">
        <v>99.0</v>
      </c>
      <c r="L1356" s="20"/>
      <c r="M1356" s="20">
        <v>99.0</v>
      </c>
      <c r="N1356" s="5" t="s">
        <v>67</v>
      </c>
      <c r="O1356" s="20" t="b">
        <v>0</v>
      </c>
      <c r="P1356" s="20" t="s">
        <v>68</v>
      </c>
      <c r="Q1356" s="20" t="s">
        <v>69</v>
      </c>
      <c r="R1356" s="20" t="s">
        <v>2745</v>
      </c>
      <c r="T1356" s="20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</row>
    <row r="1357">
      <c r="A1357" s="15" t="s">
        <v>6831</v>
      </c>
      <c r="B1357" s="19">
        <v>44321.69861111111</v>
      </c>
      <c r="C1357" s="20">
        <v>50031.0</v>
      </c>
      <c r="D1357" s="20" t="s">
        <v>4564</v>
      </c>
      <c r="E1357" s="20">
        <v>9.19004388288E11</v>
      </c>
      <c r="F1357" s="21">
        <v>17565.0</v>
      </c>
      <c r="G1357" s="20"/>
      <c r="H1357" s="20" t="s">
        <v>4561</v>
      </c>
      <c r="I1357" s="20"/>
      <c r="J1357" s="20">
        <v>1.0</v>
      </c>
      <c r="K1357" s="20">
        <v>99.0</v>
      </c>
      <c r="L1357" s="20"/>
      <c r="M1357" s="20">
        <v>99.0</v>
      </c>
      <c r="N1357" s="5" t="s">
        <v>67</v>
      </c>
      <c r="O1357" s="20" t="b">
        <v>0</v>
      </c>
      <c r="P1357" s="20" t="s">
        <v>74</v>
      </c>
      <c r="Q1357" s="20" t="s">
        <v>69</v>
      </c>
      <c r="R1357" s="20" t="s">
        <v>4563</v>
      </c>
      <c r="T1357" s="20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</row>
    <row r="1358">
      <c r="A1358" s="15" t="s">
        <v>6832</v>
      </c>
      <c r="B1358" s="19">
        <v>44321.70972222222</v>
      </c>
      <c r="C1358" s="20">
        <v>49844.0</v>
      </c>
      <c r="D1358" s="20" t="s">
        <v>5447</v>
      </c>
      <c r="E1358" s="20">
        <v>9.1800706414E11</v>
      </c>
      <c r="F1358" s="21">
        <v>0.0</v>
      </c>
      <c r="G1358" s="20"/>
      <c r="H1358" s="20" t="s">
        <v>885</v>
      </c>
      <c r="I1358" s="20"/>
      <c r="J1358" s="20">
        <v>1.0</v>
      </c>
      <c r="K1358" s="20">
        <v>99.0</v>
      </c>
      <c r="L1358" s="20"/>
      <c r="M1358" s="20">
        <v>99.0</v>
      </c>
      <c r="N1358" s="5" t="s">
        <v>67</v>
      </c>
      <c r="O1358" s="20" t="b">
        <v>0</v>
      </c>
      <c r="P1358" s="20" t="s">
        <v>68</v>
      </c>
      <c r="Q1358" s="20" t="s">
        <v>69</v>
      </c>
      <c r="R1358" s="20" t="s">
        <v>5445</v>
      </c>
      <c r="T1358" s="20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</row>
    <row r="1359">
      <c r="A1359" s="15" t="s">
        <v>6835</v>
      </c>
      <c r="B1359" s="19">
        <v>44321.74652777778</v>
      </c>
      <c r="C1359" s="20">
        <v>49813.0</v>
      </c>
      <c r="D1359" s="20" t="s">
        <v>5117</v>
      </c>
      <c r="E1359" s="20">
        <v>9.17798181051E11</v>
      </c>
      <c r="F1359" s="21">
        <v>17568.0</v>
      </c>
      <c r="G1359" s="20"/>
      <c r="H1359" s="20" t="s">
        <v>5114</v>
      </c>
      <c r="I1359" s="20"/>
      <c r="J1359" s="20">
        <v>1.0</v>
      </c>
      <c r="K1359" s="20">
        <v>299.0</v>
      </c>
      <c r="L1359" s="20"/>
      <c r="M1359" s="20">
        <v>299.0</v>
      </c>
      <c r="N1359" s="5" t="s">
        <v>67</v>
      </c>
      <c r="O1359" s="20" t="b">
        <v>0</v>
      </c>
      <c r="P1359" s="20" t="s">
        <v>68</v>
      </c>
      <c r="Q1359" s="20" t="s">
        <v>69</v>
      </c>
      <c r="R1359" s="20" t="s">
        <v>5116</v>
      </c>
      <c r="T1359" s="20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</row>
    <row r="1360">
      <c r="A1360" s="15" t="s">
        <v>6837</v>
      </c>
      <c r="B1360" s="19">
        <v>44321.81875</v>
      </c>
      <c r="C1360" s="20">
        <v>50073.0</v>
      </c>
      <c r="D1360" s="20" t="s">
        <v>6471</v>
      </c>
      <c r="E1360" s="20">
        <v>9.1978942335E11</v>
      </c>
      <c r="F1360" s="21">
        <v>17974.0</v>
      </c>
      <c r="G1360" s="20"/>
      <c r="H1360" s="20" t="s">
        <v>6466</v>
      </c>
      <c r="I1360" s="20"/>
      <c r="J1360" s="20">
        <v>1.0</v>
      </c>
      <c r="K1360" s="20">
        <v>599.0</v>
      </c>
      <c r="L1360" s="20"/>
      <c r="M1360" s="20">
        <v>599.0</v>
      </c>
      <c r="N1360" s="5" t="s">
        <v>67</v>
      </c>
      <c r="O1360" s="20" t="b">
        <v>0</v>
      </c>
      <c r="P1360" s="20" t="s">
        <v>97</v>
      </c>
      <c r="Q1360" s="20" t="s">
        <v>69</v>
      </c>
      <c r="R1360" s="20"/>
      <c r="T1360" s="20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</row>
    <row r="1361">
      <c r="A1361" s="1" t="s">
        <v>10449</v>
      </c>
      <c r="B1361" s="19">
        <v>44292.777083333334</v>
      </c>
      <c r="C1361" s="20">
        <v>50073.0</v>
      </c>
      <c r="D1361" s="20" t="s">
        <v>6471</v>
      </c>
      <c r="E1361" s="5">
        <v>9.1978942335E11</v>
      </c>
      <c r="F1361" s="21">
        <v>17974.0</v>
      </c>
      <c r="G1361" s="20"/>
      <c r="H1361" s="20" t="s">
        <v>2161</v>
      </c>
      <c r="I1361" s="5"/>
      <c r="J1361" s="20">
        <v>1.0</v>
      </c>
      <c r="K1361" s="20">
        <v>599.0</v>
      </c>
      <c r="L1361" s="20"/>
      <c r="M1361" s="20">
        <v>599.0</v>
      </c>
      <c r="N1361" s="5" t="s">
        <v>67</v>
      </c>
      <c r="O1361" s="20" t="b">
        <v>0</v>
      </c>
      <c r="P1361" s="20" t="s">
        <v>97</v>
      </c>
      <c r="Q1361" s="20" t="s">
        <v>69</v>
      </c>
      <c r="R1361" s="20" t="s">
        <v>6561</v>
      </c>
      <c r="T1361" s="20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</row>
    <row r="1362">
      <c r="A1362" s="15" t="s">
        <v>6838</v>
      </c>
      <c r="B1362" s="19">
        <v>44321.81875</v>
      </c>
      <c r="C1362" s="20">
        <v>50073.0</v>
      </c>
      <c r="D1362" s="20" t="s">
        <v>6472</v>
      </c>
      <c r="E1362" s="20">
        <v>9.18793012341E11</v>
      </c>
      <c r="F1362" s="21">
        <v>0.0</v>
      </c>
      <c r="G1362" s="20"/>
      <c r="H1362" s="20" t="s">
        <v>6466</v>
      </c>
      <c r="I1362" s="20"/>
      <c r="J1362" s="20">
        <v>1.0</v>
      </c>
      <c r="K1362" s="20">
        <v>599.0</v>
      </c>
      <c r="L1362" s="20"/>
      <c r="M1362" s="20">
        <v>599.0</v>
      </c>
      <c r="N1362" s="5" t="s">
        <v>67</v>
      </c>
      <c r="O1362" s="20" t="b">
        <v>0</v>
      </c>
      <c r="P1362" s="20" t="s">
        <v>74</v>
      </c>
      <c r="Q1362" s="20" t="s">
        <v>69</v>
      </c>
      <c r="R1362" s="20"/>
      <c r="T1362" s="20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</row>
    <row r="1363">
      <c r="A1363" s="15" t="s">
        <v>6839</v>
      </c>
      <c r="B1363" s="19">
        <v>44321.83541666667</v>
      </c>
      <c r="C1363" s="20">
        <v>50043.0</v>
      </c>
      <c r="D1363" s="20" t="s">
        <v>6368</v>
      </c>
      <c r="E1363" s="20">
        <v>9.18527412305E11</v>
      </c>
      <c r="F1363" s="21">
        <v>17572.0</v>
      </c>
      <c r="G1363" s="20"/>
      <c r="H1363" s="20" t="s">
        <v>6367</v>
      </c>
      <c r="I1363" s="20"/>
      <c r="J1363" s="20">
        <v>6.0</v>
      </c>
      <c r="K1363" s="20">
        <v>349.0</v>
      </c>
      <c r="L1363" s="20"/>
      <c r="M1363" s="20">
        <v>349.0</v>
      </c>
      <c r="N1363" s="5" t="s">
        <v>67</v>
      </c>
      <c r="O1363" s="20" t="b">
        <v>0</v>
      </c>
      <c r="P1363" s="20" t="s">
        <v>68</v>
      </c>
      <c r="Q1363" s="20" t="s">
        <v>69</v>
      </c>
      <c r="R1363" s="20" t="s">
        <v>6369</v>
      </c>
      <c r="T1363" s="20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</row>
    <row r="1364">
      <c r="A1364" s="15" t="s">
        <v>6840</v>
      </c>
      <c r="B1364" s="19">
        <v>44321.839583333334</v>
      </c>
      <c r="C1364" s="20">
        <v>50073.0</v>
      </c>
      <c r="D1364" s="20" t="s">
        <v>6474</v>
      </c>
      <c r="E1364" s="20">
        <v>9.18428056052E11</v>
      </c>
      <c r="F1364" s="21">
        <v>0.0</v>
      </c>
      <c r="G1364" s="20"/>
      <c r="H1364" s="20" t="s">
        <v>6466</v>
      </c>
      <c r="I1364" s="20"/>
      <c r="J1364" s="20">
        <v>1.0</v>
      </c>
      <c r="K1364" s="20">
        <v>599.0</v>
      </c>
      <c r="L1364" s="20"/>
      <c r="M1364" s="20">
        <v>599.0</v>
      </c>
      <c r="N1364" s="5" t="s">
        <v>67</v>
      </c>
      <c r="O1364" s="20" t="b">
        <v>0</v>
      </c>
      <c r="P1364" s="20" t="s">
        <v>74</v>
      </c>
      <c r="Q1364" s="20" t="s">
        <v>69</v>
      </c>
      <c r="R1364" s="20"/>
      <c r="T1364" s="20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</row>
    <row r="1365">
      <c r="A1365" s="15" t="s">
        <v>6844</v>
      </c>
      <c r="B1365" s="19">
        <v>44321.87708333333</v>
      </c>
      <c r="C1365" s="20">
        <v>50073.0</v>
      </c>
      <c r="D1365" s="20" t="s">
        <v>6477</v>
      </c>
      <c r="E1365" s="20">
        <v>9.19910595084E11</v>
      </c>
      <c r="F1365" s="21">
        <v>17907.0</v>
      </c>
      <c r="G1365" s="20"/>
      <c r="H1365" s="20" t="s">
        <v>6466</v>
      </c>
      <c r="I1365" s="20"/>
      <c r="J1365" s="20">
        <v>1.0</v>
      </c>
      <c r="K1365" s="20">
        <v>599.0</v>
      </c>
      <c r="L1365" s="20"/>
      <c r="M1365" s="20">
        <v>599.0</v>
      </c>
      <c r="N1365" s="5" t="s">
        <v>67</v>
      </c>
      <c r="O1365" s="20" t="b">
        <v>0</v>
      </c>
      <c r="P1365" s="20" t="s">
        <v>68</v>
      </c>
      <c r="Q1365" s="20" t="s">
        <v>69</v>
      </c>
      <c r="R1365" s="20"/>
      <c r="T1365" s="20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</row>
    <row r="1366">
      <c r="A1366" s="15" t="s">
        <v>6847</v>
      </c>
      <c r="B1366" s="19">
        <v>44321.884722222225</v>
      </c>
      <c r="C1366" s="20">
        <v>50022.0</v>
      </c>
      <c r="D1366" s="20" t="s">
        <v>5186</v>
      </c>
      <c r="E1366" s="20">
        <v>9.19617069909E11</v>
      </c>
      <c r="F1366" s="21">
        <v>17574.0</v>
      </c>
      <c r="G1366" s="20"/>
      <c r="H1366" s="20" t="s">
        <v>5181</v>
      </c>
      <c r="I1366" s="20"/>
      <c r="J1366" s="20">
        <v>1.0</v>
      </c>
      <c r="K1366" s="20">
        <v>99.0</v>
      </c>
      <c r="L1366" s="20"/>
      <c r="M1366" s="20">
        <v>99.0</v>
      </c>
      <c r="N1366" s="5" t="s">
        <v>67</v>
      </c>
      <c r="O1366" s="20" t="b">
        <v>0</v>
      </c>
      <c r="P1366" s="20" t="s">
        <v>68</v>
      </c>
      <c r="Q1366" s="20" t="s">
        <v>69</v>
      </c>
      <c r="R1366" s="20" t="s">
        <v>5183</v>
      </c>
      <c r="T1366" s="20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</row>
    <row r="1367">
      <c r="A1367" s="15" t="s">
        <v>6849</v>
      </c>
      <c r="B1367" s="19">
        <v>44321.90347222222</v>
      </c>
      <c r="C1367" s="20">
        <v>49844.0</v>
      </c>
      <c r="D1367" s="20" t="s">
        <v>5448</v>
      </c>
      <c r="E1367" s="20">
        <v>9.17708772815E11</v>
      </c>
      <c r="F1367" s="21">
        <v>17575.0</v>
      </c>
      <c r="G1367" s="20"/>
      <c r="H1367" s="20" t="s">
        <v>885</v>
      </c>
      <c r="I1367" s="20"/>
      <c r="J1367" s="20">
        <v>3.0</v>
      </c>
      <c r="K1367" s="20">
        <v>199.0</v>
      </c>
      <c r="L1367" s="20"/>
      <c r="M1367" s="20">
        <v>199.0</v>
      </c>
      <c r="N1367" s="5" t="s">
        <v>67</v>
      </c>
      <c r="O1367" s="20" t="b">
        <v>0</v>
      </c>
      <c r="P1367" s="20" t="s">
        <v>68</v>
      </c>
      <c r="Q1367" s="20" t="s">
        <v>69</v>
      </c>
      <c r="R1367" s="20" t="s">
        <v>5445</v>
      </c>
      <c r="T1367" s="20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</row>
    <row r="1368">
      <c r="A1368" s="15" t="s">
        <v>6948</v>
      </c>
      <c r="B1368" s="19">
        <v>44352.96388888889</v>
      </c>
      <c r="C1368" s="20">
        <v>49997.0</v>
      </c>
      <c r="D1368" s="20" t="s">
        <v>2471</v>
      </c>
      <c r="E1368" s="20">
        <v>9.19261615151E11</v>
      </c>
      <c r="F1368" s="21">
        <v>17620.0</v>
      </c>
      <c r="G1368" s="20"/>
      <c r="H1368" s="20" t="s">
        <v>2455</v>
      </c>
      <c r="I1368" s="20"/>
      <c r="J1368" s="20">
        <v>3.0</v>
      </c>
      <c r="K1368" s="20">
        <v>199.0</v>
      </c>
      <c r="L1368" s="20"/>
      <c r="M1368" s="20">
        <v>199.0</v>
      </c>
      <c r="N1368" s="5" t="s">
        <v>67</v>
      </c>
      <c r="O1368" s="20" t="b">
        <v>0</v>
      </c>
      <c r="P1368" s="20" t="s">
        <v>68</v>
      </c>
      <c r="Q1368" s="20" t="s">
        <v>69</v>
      </c>
      <c r="R1368" s="20" t="s">
        <v>2457</v>
      </c>
      <c r="T1368" s="20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</row>
    <row r="1369">
      <c r="A1369" s="15" t="s">
        <v>6951</v>
      </c>
      <c r="B1369" s="19">
        <v>44352.97708333333</v>
      </c>
      <c r="C1369" s="20">
        <v>50033.0</v>
      </c>
      <c r="D1369" s="20" t="s">
        <v>5732</v>
      </c>
      <c r="E1369" s="20">
        <v>9.17603039107E11</v>
      </c>
      <c r="F1369" s="21">
        <v>17621.0</v>
      </c>
      <c r="G1369" s="20"/>
      <c r="H1369" s="20" t="s">
        <v>1727</v>
      </c>
      <c r="I1369" s="20"/>
      <c r="J1369" s="20">
        <v>3.0</v>
      </c>
      <c r="K1369" s="20">
        <v>199.0</v>
      </c>
      <c r="L1369" s="20"/>
      <c r="M1369" s="20">
        <v>199.0</v>
      </c>
      <c r="N1369" s="5" t="s">
        <v>67</v>
      </c>
      <c r="O1369" s="20" t="b">
        <v>0</v>
      </c>
      <c r="P1369" s="20" t="s">
        <v>68</v>
      </c>
      <c r="Q1369" s="20" t="s">
        <v>69</v>
      </c>
      <c r="R1369" s="20" t="s">
        <v>5731</v>
      </c>
      <c r="T1369" s="20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</row>
    <row r="1370">
      <c r="A1370" s="15" t="s">
        <v>6952</v>
      </c>
      <c r="B1370" s="19">
        <v>44352.98402777778</v>
      </c>
      <c r="C1370" s="20">
        <v>50030.0</v>
      </c>
      <c r="D1370" s="20" t="s">
        <v>3332</v>
      </c>
      <c r="E1370" s="20">
        <v>9.1782939843E11</v>
      </c>
      <c r="F1370" s="21">
        <v>17622.0</v>
      </c>
      <c r="G1370" s="20"/>
      <c r="H1370" s="20" t="s">
        <v>3326</v>
      </c>
      <c r="I1370" s="20"/>
      <c r="J1370" s="20">
        <v>3.0</v>
      </c>
      <c r="K1370" s="20">
        <v>199.0</v>
      </c>
      <c r="L1370" s="20"/>
      <c r="M1370" s="20">
        <v>199.0</v>
      </c>
      <c r="N1370" s="5" t="s">
        <v>67</v>
      </c>
      <c r="O1370" s="20" t="b">
        <v>0</v>
      </c>
      <c r="P1370" s="20" t="s">
        <v>68</v>
      </c>
      <c r="Q1370" s="20" t="s">
        <v>69</v>
      </c>
      <c r="R1370" s="20" t="s">
        <v>3328</v>
      </c>
      <c r="T1370" s="20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</row>
    <row r="1371">
      <c r="A1371" s="15" t="s">
        <v>6853</v>
      </c>
      <c r="B1371" s="19">
        <v>44321.930555555555</v>
      </c>
      <c r="C1371" s="20">
        <v>49844.0</v>
      </c>
      <c r="D1371" s="20" t="s">
        <v>5449</v>
      </c>
      <c r="E1371" s="20">
        <v>9.19709040428E11</v>
      </c>
      <c r="F1371" s="21">
        <v>0.0</v>
      </c>
      <c r="G1371" s="20"/>
      <c r="H1371" s="20" t="s">
        <v>885</v>
      </c>
      <c r="I1371" s="20"/>
      <c r="J1371" s="20">
        <v>1.0</v>
      </c>
      <c r="K1371" s="20">
        <v>99.0</v>
      </c>
      <c r="L1371" s="20"/>
      <c r="M1371" s="20">
        <v>99.0</v>
      </c>
      <c r="N1371" s="5" t="s">
        <v>67</v>
      </c>
      <c r="O1371" s="20" t="b">
        <v>0</v>
      </c>
      <c r="P1371" s="20" t="s">
        <v>68</v>
      </c>
      <c r="Q1371" s="20" t="s">
        <v>69</v>
      </c>
      <c r="R1371" s="20" t="s">
        <v>5445</v>
      </c>
      <c r="T1371" s="20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</row>
    <row r="1372">
      <c r="A1372" s="15" t="s">
        <v>6854</v>
      </c>
      <c r="B1372" s="19">
        <v>44321.93402777778</v>
      </c>
      <c r="C1372" s="20">
        <v>50022.0</v>
      </c>
      <c r="D1372" s="20" t="s">
        <v>5188</v>
      </c>
      <c r="E1372" s="20">
        <v>9.19818049647E11</v>
      </c>
      <c r="F1372" s="21">
        <v>17576.0</v>
      </c>
      <c r="G1372" s="20"/>
      <c r="H1372" s="20" t="s">
        <v>5181</v>
      </c>
      <c r="I1372" s="20"/>
      <c r="J1372" s="20">
        <v>1.0</v>
      </c>
      <c r="K1372" s="20">
        <v>99.0</v>
      </c>
      <c r="L1372" s="20"/>
      <c r="M1372" s="20">
        <v>99.0</v>
      </c>
      <c r="N1372" s="5" t="s">
        <v>67</v>
      </c>
      <c r="O1372" s="20" t="b">
        <v>0</v>
      </c>
      <c r="P1372" s="20" t="s">
        <v>68</v>
      </c>
      <c r="Q1372" s="20" t="s">
        <v>69</v>
      </c>
      <c r="R1372" s="20" t="s">
        <v>5183</v>
      </c>
      <c r="T1372" s="20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</row>
    <row r="1373">
      <c r="A1373" s="15" t="s">
        <v>6855</v>
      </c>
      <c r="B1373" s="19">
        <v>44321.93472222222</v>
      </c>
      <c r="C1373" s="20">
        <v>50029.0</v>
      </c>
      <c r="D1373" s="20" t="s">
        <v>2764</v>
      </c>
      <c r="E1373" s="20">
        <v>9.19051684807E11</v>
      </c>
      <c r="F1373" s="21">
        <v>17577.0</v>
      </c>
      <c r="G1373" s="20"/>
      <c r="H1373" s="20" t="s">
        <v>2761</v>
      </c>
      <c r="I1373" s="20"/>
      <c r="J1373" s="20">
        <v>6.0</v>
      </c>
      <c r="K1373" s="20">
        <v>349.0</v>
      </c>
      <c r="L1373" s="20"/>
      <c r="M1373" s="20">
        <v>349.0</v>
      </c>
      <c r="N1373" s="5" t="s">
        <v>67</v>
      </c>
      <c r="O1373" s="20" t="b">
        <v>0</v>
      </c>
      <c r="P1373" s="20" t="s">
        <v>68</v>
      </c>
      <c r="Q1373" s="20" t="s">
        <v>69</v>
      </c>
      <c r="R1373" s="20" t="s">
        <v>2763</v>
      </c>
      <c r="T1373" s="20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</row>
    <row r="1374">
      <c r="A1374" s="15" t="s">
        <v>6856</v>
      </c>
      <c r="B1374" s="19">
        <v>44321.95625</v>
      </c>
      <c r="C1374" s="20">
        <v>50073.0</v>
      </c>
      <c r="D1374" s="20" t="s">
        <v>6479</v>
      </c>
      <c r="E1374" s="20">
        <v>9.19899972124E11</v>
      </c>
      <c r="F1374" s="21">
        <v>17790.0</v>
      </c>
      <c r="G1374" s="20"/>
      <c r="H1374" s="20" t="s">
        <v>6466</v>
      </c>
      <c r="I1374" s="20"/>
      <c r="J1374" s="20">
        <v>1.0</v>
      </c>
      <c r="K1374" s="20">
        <v>599.0</v>
      </c>
      <c r="L1374" s="20"/>
      <c r="M1374" s="20">
        <v>599.0</v>
      </c>
      <c r="N1374" s="5" t="s">
        <v>67</v>
      </c>
      <c r="O1374" s="20" t="b">
        <v>0</v>
      </c>
      <c r="P1374" s="20" t="s">
        <v>68</v>
      </c>
      <c r="Q1374" s="20" t="s">
        <v>69</v>
      </c>
      <c r="R1374" s="20"/>
      <c r="T1374" s="20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</row>
    <row r="1375">
      <c r="A1375" s="15" t="s">
        <v>6857</v>
      </c>
      <c r="B1375" s="19">
        <v>44321.96666666667</v>
      </c>
      <c r="C1375" s="20">
        <v>49834.0</v>
      </c>
      <c r="D1375" s="20" t="s">
        <v>3300</v>
      </c>
      <c r="E1375" s="20">
        <v>9.18237771225E11</v>
      </c>
      <c r="F1375" s="21">
        <v>17578.0</v>
      </c>
      <c r="G1375" s="20"/>
      <c r="H1375" s="20" t="s">
        <v>76</v>
      </c>
      <c r="I1375" s="20"/>
      <c r="J1375" s="20">
        <v>1.0</v>
      </c>
      <c r="K1375" s="20">
        <v>99.0</v>
      </c>
      <c r="L1375" s="20"/>
      <c r="M1375" s="20">
        <v>99.0</v>
      </c>
      <c r="N1375" s="5" t="s">
        <v>67</v>
      </c>
      <c r="O1375" s="20" t="b">
        <v>0</v>
      </c>
      <c r="P1375" s="20" t="s">
        <v>68</v>
      </c>
      <c r="Q1375" s="20" t="s">
        <v>69</v>
      </c>
      <c r="R1375" s="20" t="s">
        <v>3298</v>
      </c>
      <c r="T1375" s="20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</row>
    <row r="1376">
      <c r="A1376" s="15" t="s">
        <v>6858</v>
      </c>
      <c r="B1376" s="19">
        <v>44321.96944444445</v>
      </c>
      <c r="C1376" s="20">
        <v>50015.0</v>
      </c>
      <c r="D1376" s="20" t="s">
        <v>2706</v>
      </c>
      <c r="E1376" s="20">
        <v>9.18208537763E11</v>
      </c>
      <c r="F1376" s="21">
        <v>17580.0</v>
      </c>
      <c r="G1376" s="20"/>
      <c r="H1376" s="20" t="s">
        <v>2702</v>
      </c>
      <c r="I1376" s="20"/>
      <c r="J1376" s="20">
        <v>1.0</v>
      </c>
      <c r="K1376" s="20">
        <v>99.0</v>
      </c>
      <c r="L1376" s="20"/>
      <c r="M1376" s="20">
        <v>99.0</v>
      </c>
      <c r="N1376" s="5" t="s">
        <v>67</v>
      </c>
      <c r="O1376" s="20" t="b">
        <v>0</v>
      </c>
      <c r="P1376" s="20" t="s">
        <v>68</v>
      </c>
      <c r="Q1376" s="20" t="s">
        <v>69</v>
      </c>
      <c r="R1376" s="20" t="s">
        <v>2704</v>
      </c>
      <c r="T1376" s="20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</row>
    <row r="1377">
      <c r="A1377" s="15" t="s">
        <v>6862</v>
      </c>
      <c r="B1377" s="19">
        <v>44352.01388888889</v>
      </c>
      <c r="C1377" s="20">
        <v>50029.0</v>
      </c>
      <c r="D1377" s="20" t="s">
        <v>2766</v>
      </c>
      <c r="E1377" s="20">
        <v>9.19555554704E11</v>
      </c>
      <c r="F1377" s="21">
        <v>0.0</v>
      </c>
      <c r="G1377" s="20"/>
      <c r="H1377" s="20" t="s">
        <v>2761</v>
      </c>
      <c r="I1377" s="20"/>
      <c r="J1377" s="20">
        <v>1.0</v>
      </c>
      <c r="K1377" s="20">
        <v>99.0</v>
      </c>
      <c r="L1377" s="20"/>
      <c r="M1377" s="20">
        <v>99.0</v>
      </c>
      <c r="N1377" s="5" t="s">
        <v>67</v>
      </c>
      <c r="O1377" s="20" t="b">
        <v>0</v>
      </c>
      <c r="P1377" s="20" t="s">
        <v>68</v>
      </c>
      <c r="Q1377" s="20" t="s">
        <v>69</v>
      </c>
      <c r="R1377" s="20" t="s">
        <v>2763</v>
      </c>
      <c r="T1377" s="20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</row>
    <row r="1378">
      <c r="A1378" s="15" t="s">
        <v>6956</v>
      </c>
      <c r="B1378" s="19">
        <v>44382.07708333333</v>
      </c>
      <c r="C1378" s="20">
        <v>50032.0</v>
      </c>
      <c r="D1378" s="20" t="s">
        <v>5099</v>
      </c>
      <c r="E1378" s="20">
        <v>9.16366025511E11</v>
      </c>
      <c r="F1378" s="21">
        <v>17624.0</v>
      </c>
      <c r="G1378" s="20"/>
      <c r="H1378" s="20" t="s">
        <v>1982</v>
      </c>
      <c r="I1378" s="20"/>
      <c r="J1378" s="20">
        <v>1.0</v>
      </c>
      <c r="K1378" s="20">
        <v>99.0</v>
      </c>
      <c r="L1378" s="20"/>
      <c r="M1378" s="20">
        <v>99.0</v>
      </c>
      <c r="N1378" s="5" t="s">
        <v>67</v>
      </c>
      <c r="O1378" s="20" t="b">
        <v>0</v>
      </c>
      <c r="P1378" s="20" t="s">
        <v>68</v>
      </c>
      <c r="Q1378" s="20" t="s">
        <v>69</v>
      </c>
      <c r="R1378" s="20"/>
      <c r="T1378" s="20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</row>
    <row r="1379">
      <c r="A1379" s="15" t="s">
        <v>6957</v>
      </c>
      <c r="B1379" s="19">
        <v>44382.10486111111</v>
      </c>
      <c r="C1379" s="20">
        <v>50033.0</v>
      </c>
      <c r="D1379" s="20" t="s">
        <v>5733</v>
      </c>
      <c r="E1379" s="20">
        <v>9.19167180092E11</v>
      </c>
      <c r="F1379" s="21">
        <v>5956.0</v>
      </c>
      <c r="G1379" s="20"/>
      <c r="H1379" s="20" t="s">
        <v>1727</v>
      </c>
      <c r="I1379" s="20"/>
      <c r="J1379" s="20">
        <v>1.0</v>
      </c>
      <c r="K1379" s="20">
        <v>99.0</v>
      </c>
      <c r="L1379" s="20"/>
      <c r="M1379" s="20">
        <v>99.0</v>
      </c>
      <c r="N1379" s="5" t="s">
        <v>67</v>
      </c>
      <c r="O1379" s="20" t="b">
        <v>0</v>
      </c>
      <c r="P1379" s="20" t="s">
        <v>68</v>
      </c>
      <c r="Q1379" s="20" t="s">
        <v>69</v>
      </c>
      <c r="R1379" s="20" t="s">
        <v>5731</v>
      </c>
      <c r="T1379" s="20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</row>
    <row r="1380">
      <c r="A1380" s="15" t="s">
        <v>6864</v>
      </c>
      <c r="B1380" s="19">
        <v>44352.06319444445</v>
      </c>
      <c r="C1380" s="20">
        <v>49834.0</v>
      </c>
      <c r="D1380" s="20" t="s">
        <v>3301</v>
      </c>
      <c r="E1380" s="20">
        <v>9.1930763845E11</v>
      </c>
      <c r="F1380" s="21">
        <v>17653.0</v>
      </c>
      <c r="G1380" s="20"/>
      <c r="H1380" s="20" t="s">
        <v>76</v>
      </c>
      <c r="I1380" s="20"/>
      <c r="J1380" s="20">
        <v>1.0</v>
      </c>
      <c r="K1380" s="20">
        <v>99.0</v>
      </c>
      <c r="L1380" s="20"/>
      <c r="M1380" s="20">
        <v>99.0</v>
      </c>
      <c r="N1380" s="5" t="s">
        <v>67</v>
      </c>
      <c r="O1380" s="20" t="b">
        <v>0</v>
      </c>
      <c r="P1380" s="20" t="s">
        <v>68</v>
      </c>
      <c r="Q1380" s="20" t="s">
        <v>69</v>
      </c>
      <c r="R1380" s="20" t="s">
        <v>3298</v>
      </c>
      <c r="T1380" s="20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</row>
    <row r="1381">
      <c r="A1381" s="15" t="s">
        <v>6863</v>
      </c>
      <c r="B1381" s="19">
        <v>44352.05069444444</v>
      </c>
      <c r="C1381" s="20">
        <v>50020.0</v>
      </c>
      <c r="D1381" s="20" t="s">
        <v>3009</v>
      </c>
      <c r="E1381" s="20">
        <v>9.19896034231E11</v>
      </c>
      <c r="F1381" s="22" t="s">
        <v>12593</v>
      </c>
      <c r="G1381" s="20"/>
      <c r="H1381" s="20" t="s">
        <v>3008</v>
      </c>
      <c r="I1381" s="20"/>
      <c r="J1381" s="20">
        <v>1.0</v>
      </c>
      <c r="K1381" s="20">
        <v>99.0</v>
      </c>
      <c r="L1381" s="20"/>
      <c r="M1381" s="20">
        <v>99.0</v>
      </c>
      <c r="N1381" s="5" t="s">
        <v>67</v>
      </c>
      <c r="O1381" s="20" t="b">
        <v>0</v>
      </c>
      <c r="P1381" s="20" t="s">
        <v>74</v>
      </c>
      <c r="Q1381" s="20" t="s">
        <v>69</v>
      </c>
      <c r="R1381" s="20" t="s">
        <v>3010</v>
      </c>
      <c r="T1381" s="20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</row>
    <row r="1382">
      <c r="A1382" s="15" t="s">
        <v>6865</v>
      </c>
      <c r="B1382" s="19">
        <v>44352.08819444444</v>
      </c>
      <c r="C1382" s="20">
        <v>49834.0</v>
      </c>
      <c r="D1382" s="20" t="s">
        <v>3302</v>
      </c>
      <c r="E1382" s="20">
        <v>9.18961374865E11</v>
      </c>
      <c r="F1382" s="21">
        <v>17584.0</v>
      </c>
      <c r="G1382" s="20"/>
      <c r="H1382" s="20" t="s">
        <v>76</v>
      </c>
      <c r="I1382" s="20"/>
      <c r="J1382" s="20">
        <v>3.0</v>
      </c>
      <c r="K1382" s="20">
        <v>199.0</v>
      </c>
      <c r="L1382" s="20"/>
      <c r="M1382" s="20">
        <v>199.0</v>
      </c>
      <c r="N1382" s="5" t="s">
        <v>67</v>
      </c>
      <c r="O1382" s="20" t="b">
        <v>0</v>
      </c>
      <c r="P1382" s="20" t="s">
        <v>74</v>
      </c>
      <c r="Q1382" s="20" t="s">
        <v>69</v>
      </c>
      <c r="R1382" s="20" t="s">
        <v>3298</v>
      </c>
      <c r="T1382" s="20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</row>
    <row r="1383">
      <c r="A1383" s="15" t="s">
        <v>6869</v>
      </c>
      <c r="B1383" s="19">
        <v>44352.09930555556</v>
      </c>
      <c r="C1383" s="20">
        <v>50022.0</v>
      </c>
      <c r="D1383" s="20" t="s">
        <v>5190</v>
      </c>
      <c r="E1383" s="20">
        <v>9.19972593853E11</v>
      </c>
      <c r="F1383" s="21">
        <v>17585.0</v>
      </c>
      <c r="G1383" s="20"/>
      <c r="H1383" s="20" t="s">
        <v>5181</v>
      </c>
      <c r="I1383" s="20"/>
      <c r="J1383" s="20">
        <v>1.0</v>
      </c>
      <c r="K1383" s="20">
        <v>99.0</v>
      </c>
      <c r="L1383" s="20"/>
      <c r="M1383" s="20">
        <v>99.0</v>
      </c>
      <c r="N1383" s="5" t="s">
        <v>67</v>
      </c>
      <c r="O1383" s="20" t="b">
        <v>0</v>
      </c>
      <c r="P1383" s="20" t="s">
        <v>68</v>
      </c>
      <c r="Q1383" s="20" t="s">
        <v>69</v>
      </c>
      <c r="R1383" s="20" t="s">
        <v>5183</v>
      </c>
      <c r="T1383" s="20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</row>
    <row r="1384">
      <c r="A1384" s="15" t="s">
        <v>6958</v>
      </c>
      <c r="B1384" s="19">
        <v>44382.188888888886</v>
      </c>
      <c r="C1384" s="20">
        <v>49995.0</v>
      </c>
      <c r="D1384" s="20" t="s">
        <v>5327</v>
      </c>
      <c r="E1384" s="20">
        <v>9.19871780649E11</v>
      </c>
      <c r="F1384" s="21">
        <v>17625.0</v>
      </c>
      <c r="G1384" s="20"/>
      <c r="H1384" s="20" t="s">
        <v>5321</v>
      </c>
      <c r="I1384" s="20"/>
      <c r="J1384" s="20">
        <v>1.0</v>
      </c>
      <c r="K1384" s="20">
        <v>99.0</v>
      </c>
      <c r="L1384" s="20"/>
      <c r="M1384" s="20">
        <v>99.0</v>
      </c>
      <c r="N1384" s="5" t="s">
        <v>67</v>
      </c>
      <c r="O1384" s="20" t="b">
        <v>0</v>
      </c>
      <c r="P1384" s="20" t="s">
        <v>68</v>
      </c>
      <c r="Q1384" s="20" t="s">
        <v>69</v>
      </c>
      <c r="R1384" s="20" t="s">
        <v>5323</v>
      </c>
      <c r="T1384" s="20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</row>
    <row r="1385">
      <c r="A1385" s="15" t="s">
        <v>6959</v>
      </c>
      <c r="B1385" s="19">
        <v>44382.28680555556</v>
      </c>
      <c r="C1385" s="20">
        <v>49813.0</v>
      </c>
      <c r="D1385" s="20" t="s">
        <v>5120</v>
      </c>
      <c r="E1385" s="20">
        <v>9.19820371222E11</v>
      </c>
      <c r="F1385" s="21">
        <v>17626.0</v>
      </c>
      <c r="G1385" s="20"/>
      <c r="H1385" s="20" t="s">
        <v>5114</v>
      </c>
      <c r="I1385" s="20"/>
      <c r="J1385" s="20">
        <v>3.0</v>
      </c>
      <c r="K1385" s="20">
        <v>499.0</v>
      </c>
      <c r="L1385" s="20"/>
      <c r="M1385" s="20">
        <v>499.0</v>
      </c>
      <c r="N1385" s="5" t="s">
        <v>67</v>
      </c>
      <c r="O1385" s="20" t="b">
        <v>0</v>
      </c>
      <c r="P1385" s="20" t="s">
        <v>68</v>
      </c>
      <c r="Q1385" s="20" t="s">
        <v>69</v>
      </c>
      <c r="R1385" s="20" t="s">
        <v>5116</v>
      </c>
      <c r="T1385" s="20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</row>
    <row r="1386">
      <c r="A1386" s="15" t="s">
        <v>6870</v>
      </c>
      <c r="B1386" s="19">
        <v>44352.231944444444</v>
      </c>
      <c r="C1386" s="20">
        <v>49834.0</v>
      </c>
      <c r="D1386" s="20" t="s">
        <v>3303</v>
      </c>
      <c r="E1386" s="20">
        <v>9.1801988893E11</v>
      </c>
      <c r="F1386" s="22" t="s">
        <v>12593</v>
      </c>
      <c r="G1386" s="20"/>
      <c r="H1386" s="20" t="s">
        <v>76</v>
      </c>
      <c r="I1386" s="20"/>
      <c r="J1386" s="20">
        <v>1.0</v>
      </c>
      <c r="K1386" s="20">
        <v>99.0</v>
      </c>
      <c r="L1386" s="20"/>
      <c r="M1386" s="20">
        <v>99.0</v>
      </c>
      <c r="N1386" s="5" t="s">
        <v>67</v>
      </c>
      <c r="O1386" s="20" t="b">
        <v>0</v>
      </c>
      <c r="P1386" s="20" t="s">
        <v>68</v>
      </c>
      <c r="Q1386" s="20" t="s">
        <v>69</v>
      </c>
      <c r="R1386" s="20" t="s">
        <v>3298</v>
      </c>
      <c r="T1386" s="20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</row>
    <row r="1387">
      <c r="A1387" s="15" t="s">
        <v>6871</v>
      </c>
      <c r="B1387" s="19">
        <v>44352.24375</v>
      </c>
      <c r="C1387" s="20">
        <v>49834.0</v>
      </c>
      <c r="D1387" s="20" t="s">
        <v>3304</v>
      </c>
      <c r="E1387" s="20">
        <v>9.1708588582E11</v>
      </c>
      <c r="F1387" s="21">
        <v>17588.0</v>
      </c>
      <c r="G1387" s="20"/>
      <c r="H1387" s="20" t="s">
        <v>76</v>
      </c>
      <c r="I1387" s="20"/>
      <c r="J1387" s="20">
        <v>1.0</v>
      </c>
      <c r="K1387" s="20">
        <v>99.0</v>
      </c>
      <c r="L1387" s="20"/>
      <c r="M1387" s="20">
        <v>99.0</v>
      </c>
      <c r="N1387" s="5" t="s">
        <v>67</v>
      </c>
      <c r="O1387" s="20" t="b">
        <v>0</v>
      </c>
      <c r="P1387" s="20" t="s">
        <v>68</v>
      </c>
      <c r="Q1387" s="20" t="s">
        <v>69</v>
      </c>
      <c r="R1387" s="20" t="s">
        <v>3298</v>
      </c>
      <c r="T1387" s="20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</row>
    <row r="1388">
      <c r="A1388" s="15" t="s">
        <v>6960</v>
      </c>
      <c r="B1388" s="19">
        <v>44382.30902777778</v>
      </c>
      <c r="C1388" s="20">
        <v>49991.0</v>
      </c>
      <c r="D1388" s="20" t="s">
        <v>3060</v>
      </c>
      <c r="E1388" s="20">
        <v>9.18140716273E11</v>
      </c>
      <c r="F1388" s="21">
        <v>17627.0</v>
      </c>
      <c r="G1388" s="20"/>
      <c r="H1388" s="20" t="s">
        <v>3055</v>
      </c>
      <c r="I1388" s="20"/>
      <c r="J1388" s="20">
        <v>3.0</v>
      </c>
      <c r="K1388" s="20">
        <v>199.0</v>
      </c>
      <c r="L1388" s="20"/>
      <c r="M1388" s="20">
        <v>199.0</v>
      </c>
      <c r="N1388" s="5" t="s">
        <v>67</v>
      </c>
      <c r="O1388" s="20" t="b">
        <v>0</v>
      </c>
      <c r="P1388" s="20" t="s">
        <v>68</v>
      </c>
      <c r="Q1388" s="20" t="s">
        <v>69</v>
      </c>
      <c r="R1388" s="20" t="s">
        <v>3057</v>
      </c>
      <c r="T1388" s="20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</row>
    <row r="1389">
      <c r="A1389" s="15" t="s">
        <v>6965</v>
      </c>
      <c r="B1389" s="19">
        <v>44382.37013888889</v>
      </c>
      <c r="C1389" s="20">
        <v>50009.0</v>
      </c>
      <c r="D1389" s="20" t="s">
        <v>2752</v>
      </c>
      <c r="E1389" s="20">
        <v>9.19987960414E11</v>
      </c>
      <c r="F1389" s="21">
        <v>17629.0</v>
      </c>
      <c r="G1389" s="20"/>
      <c r="H1389" s="20" t="s">
        <v>1476</v>
      </c>
      <c r="I1389" s="20"/>
      <c r="J1389" s="20">
        <v>1.0</v>
      </c>
      <c r="K1389" s="20">
        <v>99.0</v>
      </c>
      <c r="L1389" s="20"/>
      <c r="M1389" s="20">
        <v>99.0</v>
      </c>
      <c r="N1389" s="5" t="s">
        <v>67</v>
      </c>
      <c r="O1389" s="20" t="b">
        <v>0</v>
      </c>
      <c r="P1389" s="20" t="s">
        <v>68</v>
      </c>
      <c r="Q1389" s="20" t="s">
        <v>69</v>
      </c>
      <c r="R1389" s="20" t="s">
        <v>2745</v>
      </c>
      <c r="T1389" s="20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</row>
    <row r="1390">
      <c r="A1390" s="15" t="s">
        <v>6872</v>
      </c>
      <c r="B1390" s="19">
        <v>44352.311111111114</v>
      </c>
      <c r="C1390" s="20">
        <v>50073.0</v>
      </c>
      <c r="D1390" s="20" t="s">
        <v>6486</v>
      </c>
      <c r="E1390" s="20">
        <v>9.19840718371E11</v>
      </c>
      <c r="F1390" s="21">
        <v>17741.0</v>
      </c>
      <c r="G1390" s="20"/>
      <c r="H1390" s="20" t="s">
        <v>6466</v>
      </c>
      <c r="I1390" s="20"/>
      <c r="J1390" s="20">
        <v>1.0</v>
      </c>
      <c r="K1390" s="20">
        <v>599.0</v>
      </c>
      <c r="L1390" s="20"/>
      <c r="M1390" s="20">
        <v>599.0</v>
      </c>
      <c r="N1390" s="5" t="s">
        <v>67</v>
      </c>
      <c r="O1390" s="20" t="b">
        <v>0</v>
      </c>
      <c r="P1390" s="20" t="s">
        <v>68</v>
      </c>
      <c r="Q1390" s="20" t="s">
        <v>69</v>
      </c>
      <c r="R1390" s="20"/>
      <c r="T1390" s="20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</row>
    <row r="1391">
      <c r="A1391" s="15" t="s">
        <v>6873</v>
      </c>
      <c r="B1391" s="19">
        <v>44352.31458333333</v>
      </c>
      <c r="C1391" s="20">
        <v>50033.0</v>
      </c>
      <c r="D1391" s="20" t="s">
        <v>5730</v>
      </c>
      <c r="E1391" s="20">
        <v>9.19901755533E11</v>
      </c>
      <c r="F1391" s="21">
        <v>17589.0</v>
      </c>
      <c r="G1391" s="20"/>
      <c r="H1391" s="20" t="s">
        <v>1727</v>
      </c>
      <c r="I1391" s="20"/>
      <c r="J1391" s="20">
        <v>6.0</v>
      </c>
      <c r="K1391" s="20">
        <v>349.0</v>
      </c>
      <c r="L1391" s="20"/>
      <c r="M1391" s="20">
        <v>349.0</v>
      </c>
      <c r="N1391" s="5" t="s">
        <v>67</v>
      </c>
      <c r="O1391" s="20" t="b">
        <v>0</v>
      </c>
      <c r="P1391" s="20" t="s">
        <v>74</v>
      </c>
      <c r="Q1391" s="20" t="s">
        <v>69</v>
      </c>
      <c r="R1391" s="20" t="s">
        <v>5731</v>
      </c>
      <c r="T1391" s="20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</row>
    <row r="1392">
      <c r="A1392" s="15" t="s">
        <v>6962</v>
      </c>
      <c r="B1392" s="19">
        <v>44382.35833333333</v>
      </c>
      <c r="C1392" s="20">
        <v>50031.0</v>
      </c>
      <c r="D1392" s="20" t="s">
        <v>4568</v>
      </c>
      <c r="E1392" s="20">
        <v>9.19880448333E11</v>
      </c>
      <c r="F1392" s="21">
        <v>17650.0</v>
      </c>
      <c r="G1392" s="20"/>
      <c r="H1392" s="20" t="s">
        <v>4561</v>
      </c>
      <c r="I1392" s="20"/>
      <c r="J1392" s="20">
        <v>6.0</v>
      </c>
      <c r="K1392" s="20">
        <v>349.0</v>
      </c>
      <c r="L1392" s="20"/>
      <c r="M1392" s="20">
        <v>349.0</v>
      </c>
      <c r="N1392" s="5" t="s">
        <v>67</v>
      </c>
      <c r="O1392" s="20" t="b">
        <v>0</v>
      </c>
      <c r="P1392" s="20" t="s">
        <v>68</v>
      </c>
      <c r="Q1392" s="20" t="s">
        <v>69</v>
      </c>
      <c r="R1392" s="20" t="s">
        <v>4563</v>
      </c>
      <c r="T1392" s="20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</row>
    <row r="1393">
      <c r="A1393" s="15" t="s">
        <v>6963</v>
      </c>
      <c r="B1393" s="19">
        <v>44382.36041666667</v>
      </c>
      <c r="C1393" s="20">
        <v>50041.0</v>
      </c>
      <c r="D1393" s="20" t="s">
        <v>5957</v>
      </c>
      <c r="E1393" s="20">
        <v>9.19652934444E11</v>
      </c>
      <c r="F1393" s="21">
        <v>17787.0</v>
      </c>
      <c r="G1393" s="20"/>
      <c r="H1393" s="20" t="s">
        <v>5956</v>
      </c>
      <c r="I1393" s="20"/>
      <c r="J1393" s="20">
        <v>3.0</v>
      </c>
      <c r="K1393" s="20">
        <v>399.0</v>
      </c>
      <c r="L1393" s="20"/>
      <c r="M1393" s="20">
        <v>399.0</v>
      </c>
      <c r="N1393" s="5" t="s">
        <v>67</v>
      </c>
      <c r="O1393" s="20" t="b">
        <v>0</v>
      </c>
      <c r="P1393" s="20" t="s">
        <v>68</v>
      </c>
      <c r="Q1393" s="20" t="s">
        <v>69</v>
      </c>
      <c r="R1393" s="20" t="s">
        <v>5958</v>
      </c>
      <c r="T1393" s="20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</row>
    <row r="1394">
      <c r="A1394" s="15" t="s">
        <v>6964</v>
      </c>
      <c r="B1394" s="19">
        <v>44382.36319444444</v>
      </c>
      <c r="C1394" s="20">
        <v>49834.0</v>
      </c>
      <c r="D1394" s="20" t="s">
        <v>3306</v>
      </c>
      <c r="E1394" s="20">
        <v>9.19810736629E11</v>
      </c>
      <c r="F1394" s="21">
        <v>17628.0</v>
      </c>
      <c r="G1394" s="20"/>
      <c r="H1394" s="20" t="s">
        <v>76</v>
      </c>
      <c r="I1394" s="20"/>
      <c r="J1394" s="20">
        <v>6.0</v>
      </c>
      <c r="K1394" s="20">
        <v>349.0</v>
      </c>
      <c r="L1394" s="20"/>
      <c r="M1394" s="20">
        <v>349.0</v>
      </c>
      <c r="N1394" s="5" t="s">
        <v>67</v>
      </c>
      <c r="O1394" s="20" t="b">
        <v>0</v>
      </c>
      <c r="P1394" s="20" t="s">
        <v>74</v>
      </c>
      <c r="Q1394" s="20" t="s">
        <v>69</v>
      </c>
      <c r="R1394" s="20" t="s">
        <v>3298</v>
      </c>
      <c r="T1394" s="20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</row>
    <row r="1395">
      <c r="A1395" s="15" t="s">
        <v>6966</v>
      </c>
      <c r="B1395" s="19">
        <v>44382.38055555556</v>
      </c>
      <c r="C1395" s="20">
        <v>49991.0</v>
      </c>
      <c r="D1395" s="20" t="s">
        <v>3061</v>
      </c>
      <c r="E1395" s="20">
        <v>9.19990308687E11</v>
      </c>
      <c r="F1395" s="21">
        <v>17630.0</v>
      </c>
      <c r="G1395" s="20"/>
      <c r="H1395" s="20" t="s">
        <v>3055</v>
      </c>
      <c r="I1395" s="20"/>
      <c r="J1395" s="20">
        <v>1.0</v>
      </c>
      <c r="K1395" s="20">
        <v>99.0</v>
      </c>
      <c r="L1395" s="20"/>
      <c r="M1395" s="20">
        <v>99.0</v>
      </c>
      <c r="N1395" s="5" t="s">
        <v>67</v>
      </c>
      <c r="O1395" s="20" t="b">
        <v>0</v>
      </c>
      <c r="P1395" s="20" t="s">
        <v>68</v>
      </c>
      <c r="Q1395" s="20" t="s">
        <v>69</v>
      </c>
      <c r="R1395" s="20" t="s">
        <v>3057</v>
      </c>
      <c r="T1395" s="20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</row>
    <row r="1396">
      <c r="A1396" s="15" t="s">
        <v>6967</v>
      </c>
      <c r="B1396" s="19">
        <v>44382.388194444444</v>
      </c>
      <c r="C1396" s="20">
        <v>49997.0</v>
      </c>
      <c r="D1396" s="20" t="s">
        <v>2474</v>
      </c>
      <c r="E1396" s="20">
        <v>9.16290860709E11</v>
      </c>
      <c r="F1396" s="21">
        <v>17632.0</v>
      </c>
      <c r="G1396" s="20"/>
      <c r="H1396" s="20" t="s">
        <v>2455</v>
      </c>
      <c r="I1396" s="20"/>
      <c r="J1396" s="20">
        <v>6.0</v>
      </c>
      <c r="K1396" s="20">
        <v>349.0</v>
      </c>
      <c r="L1396" s="20"/>
      <c r="M1396" s="20">
        <v>349.0</v>
      </c>
      <c r="N1396" s="5" t="s">
        <v>67</v>
      </c>
      <c r="O1396" s="20" t="b">
        <v>0</v>
      </c>
      <c r="P1396" s="20" t="s">
        <v>68</v>
      </c>
      <c r="Q1396" s="20" t="s">
        <v>69</v>
      </c>
      <c r="R1396" s="20" t="s">
        <v>2457</v>
      </c>
      <c r="T1396" s="20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</row>
    <row r="1397">
      <c r="A1397" s="15" t="s">
        <v>6971</v>
      </c>
      <c r="B1397" s="19">
        <v>44382.40972222222</v>
      </c>
      <c r="C1397" s="20">
        <v>50032.0</v>
      </c>
      <c r="D1397" s="20" t="s">
        <v>5100</v>
      </c>
      <c r="E1397" s="20">
        <v>9.18971283989E11</v>
      </c>
      <c r="F1397" s="21">
        <v>17645.0</v>
      </c>
      <c r="G1397" s="20"/>
      <c r="H1397" s="20" t="s">
        <v>1982</v>
      </c>
      <c r="I1397" s="20"/>
      <c r="J1397" s="20">
        <v>1.0</v>
      </c>
      <c r="K1397" s="20">
        <v>99.0</v>
      </c>
      <c r="L1397" s="20"/>
      <c r="M1397" s="20">
        <v>99.0</v>
      </c>
      <c r="N1397" s="5" t="s">
        <v>67</v>
      </c>
      <c r="O1397" s="20" t="b">
        <v>0</v>
      </c>
      <c r="P1397" s="20" t="s">
        <v>68</v>
      </c>
      <c r="Q1397" s="20" t="s">
        <v>69</v>
      </c>
      <c r="R1397" s="20"/>
      <c r="T1397" s="20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</row>
    <row r="1398">
      <c r="A1398" s="15" t="s">
        <v>6969</v>
      </c>
      <c r="B1398" s="19">
        <v>44382.399305555555</v>
      </c>
      <c r="C1398" s="20">
        <v>50031.0</v>
      </c>
      <c r="D1398" s="20" t="s">
        <v>4569</v>
      </c>
      <c r="E1398" s="20">
        <v>9.19823395598E11</v>
      </c>
      <c r="F1398" s="21">
        <v>17633.0</v>
      </c>
      <c r="G1398" s="20"/>
      <c r="H1398" s="20" t="s">
        <v>4561</v>
      </c>
      <c r="I1398" s="20"/>
      <c r="J1398" s="20">
        <v>1.0</v>
      </c>
      <c r="K1398" s="20">
        <v>99.0</v>
      </c>
      <c r="L1398" s="20"/>
      <c r="M1398" s="20">
        <v>99.0</v>
      </c>
      <c r="N1398" s="5" t="s">
        <v>67</v>
      </c>
      <c r="O1398" s="20" t="b">
        <v>0</v>
      </c>
      <c r="P1398" s="20" t="s">
        <v>68</v>
      </c>
      <c r="Q1398" s="20" t="s">
        <v>69</v>
      </c>
      <c r="R1398" s="20" t="s">
        <v>4563</v>
      </c>
      <c r="T1398" s="20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</row>
    <row r="1399">
      <c r="A1399" s="15" t="s">
        <v>6874</v>
      </c>
      <c r="B1399" s="19">
        <v>44352.35763888889</v>
      </c>
      <c r="C1399" s="20">
        <v>50020.0</v>
      </c>
      <c r="D1399" s="20" t="s">
        <v>3011</v>
      </c>
      <c r="E1399" s="20">
        <v>9.19486338104E11</v>
      </c>
      <c r="F1399" s="21">
        <v>17590.0</v>
      </c>
      <c r="G1399" s="20"/>
      <c r="H1399" s="20" t="s">
        <v>3008</v>
      </c>
      <c r="I1399" s="20"/>
      <c r="J1399" s="20">
        <v>6.0</v>
      </c>
      <c r="K1399" s="20">
        <v>349.0</v>
      </c>
      <c r="L1399" s="20"/>
      <c r="M1399" s="20">
        <v>349.0</v>
      </c>
      <c r="N1399" s="5" t="s">
        <v>67</v>
      </c>
      <c r="O1399" s="20" t="b">
        <v>0</v>
      </c>
      <c r="P1399" s="20" t="s">
        <v>68</v>
      </c>
      <c r="Q1399" s="20" t="s">
        <v>69</v>
      </c>
      <c r="R1399" s="20" t="s">
        <v>3010</v>
      </c>
      <c r="T1399" s="20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</row>
    <row r="1400">
      <c r="A1400" s="15" t="s">
        <v>6972</v>
      </c>
      <c r="B1400" s="19">
        <v>44382.419444444444</v>
      </c>
      <c r="C1400" s="20">
        <v>49813.0</v>
      </c>
      <c r="D1400" s="20" t="s">
        <v>5121</v>
      </c>
      <c r="E1400" s="20">
        <v>9.19920770763E11</v>
      </c>
      <c r="F1400" s="21">
        <v>17636.0</v>
      </c>
      <c r="G1400" s="20"/>
      <c r="H1400" s="20" t="s">
        <v>5114</v>
      </c>
      <c r="I1400" s="20"/>
      <c r="J1400" s="20">
        <v>6.0</v>
      </c>
      <c r="K1400" s="20">
        <v>799.0</v>
      </c>
      <c r="L1400" s="20"/>
      <c r="M1400" s="20">
        <v>799.0</v>
      </c>
      <c r="N1400" s="5" t="s">
        <v>67</v>
      </c>
      <c r="O1400" s="20" t="b">
        <v>0</v>
      </c>
      <c r="P1400" s="20" t="s">
        <v>68</v>
      </c>
      <c r="Q1400" s="20" t="s">
        <v>69</v>
      </c>
      <c r="R1400" s="20" t="s">
        <v>5116</v>
      </c>
      <c r="T1400" s="20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</row>
    <row r="1401">
      <c r="A1401" s="15" t="s">
        <v>6970</v>
      </c>
      <c r="B1401" s="19">
        <v>44382.404861111114</v>
      </c>
      <c r="C1401" s="20">
        <v>50029.0</v>
      </c>
      <c r="D1401" s="20" t="s">
        <v>2770</v>
      </c>
      <c r="E1401" s="20">
        <v>9.1981994066E11</v>
      </c>
      <c r="F1401" s="21">
        <v>17634.0</v>
      </c>
      <c r="G1401" s="20"/>
      <c r="H1401" s="20" t="s">
        <v>2761</v>
      </c>
      <c r="I1401" s="20"/>
      <c r="J1401" s="20">
        <v>1.0</v>
      </c>
      <c r="K1401" s="20">
        <v>99.0</v>
      </c>
      <c r="L1401" s="20"/>
      <c r="M1401" s="20">
        <v>99.0</v>
      </c>
      <c r="N1401" s="5" t="s">
        <v>67</v>
      </c>
      <c r="O1401" s="20" t="b">
        <v>0</v>
      </c>
      <c r="P1401" s="20" t="s">
        <v>68</v>
      </c>
      <c r="Q1401" s="20" t="s">
        <v>69</v>
      </c>
      <c r="R1401" s="20" t="s">
        <v>2763</v>
      </c>
      <c r="T1401" s="20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</row>
    <row r="1402">
      <c r="A1402" s="15" t="s">
        <v>6973</v>
      </c>
      <c r="B1402" s="19">
        <v>44382.42361111111</v>
      </c>
      <c r="C1402" s="20">
        <v>49993.0</v>
      </c>
      <c r="D1402" s="20" t="s">
        <v>5973</v>
      </c>
      <c r="E1402" s="20">
        <v>9.18610733174E11</v>
      </c>
      <c r="F1402" s="21">
        <v>17637.0</v>
      </c>
      <c r="G1402" s="20"/>
      <c r="H1402" s="20" t="s">
        <v>1104</v>
      </c>
      <c r="I1402" s="20"/>
      <c r="J1402" s="20">
        <v>1.0</v>
      </c>
      <c r="K1402" s="20">
        <v>199.0</v>
      </c>
      <c r="L1402" s="20"/>
      <c r="M1402" s="20">
        <v>199.0</v>
      </c>
      <c r="N1402" s="5" t="s">
        <v>67</v>
      </c>
      <c r="O1402" s="20" t="b">
        <v>0</v>
      </c>
      <c r="P1402" s="20" t="s">
        <v>74</v>
      </c>
      <c r="Q1402" s="20" t="s">
        <v>69</v>
      </c>
      <c r="R1402" s="20" t="s">
        <v>5974</v>
      </c>
      <c r="T1402" s="20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</row>
    <row r="1403">
      <c r="A1403" s="15" t="s">
        <v>6875</v>
      </c>
      <c r="B1403" s="19">
        <v>44352.36388888889</v>
      </c>
      <c r="C1403" s="20">
        <v>50073.0</v>
      </c>
      <c r="D1403" s="20" t="s">
        <v>6488</v>
      </c>
      <c r="E1403" s="20">
        <v>9.18295901664E11</v>
      </c>
      <c r="F1403" s="22" t="s">
        <v>12593</v>
      </c>
      <c r="G1403" s="20"/>
      <c r="H1403" s="20" t="s">
        <v>6466</v>
      </c>
      <c r="I1403" s="20"/>
      <c r="J1403" s="20">
        <v>1.0</v>
      </c>
      <c r="K1403" s="20">
        <v>599.0</v>
      </c>
      <c r="L1403" s="20"/>
      <c r="M1403" s="20">
        <v>599.0</v>
      </c>
      <c r="N1403" s="5" t="s">
        <v>67</v>
      </c>
      <c r="O1403" s="20" t="b">
        <v>0</v>
      </c>
      <c r="P1403" s="20" t="s">
        <v>74</v>
      </c>
      <c r="Q1403" s="20" t="s">
        <v>69</v>
      </c>
      <c r="R1403" s="20"/>
      <c r="T1403" s="20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</row>
    <row r="1404">
      <c r="A1404" s="15" t="s">
        <v>6878</v>
      </c>
      <c r="B1404" s="19">
        <v>44352.37222222222</v>
      </c>
      <c r="C1404" s="20">
        <v>50030.0</v>
      </c>
      <c r="D1404" s="20" t="s">
        <v>3331</v>
      </c>
      <c r="E1404" s="20">
        <v>9.18087614327E11</v>
      </c>
      <c r="F1404" s="21">
        <v>17591.0</v>
      </c>
      <c r="G1404" s="20"/>
      <c r="H1404" s="20" t="s">
        <v>3326</v>
      </c>
      <c r="I1404" s="20"/>
      <c r="J1404" s="20">
        <v>3.0</v>
      </c>
      <c r="K1404" s="20">
        <v>199.0</v>
      </c>
      <c r="L1404" s="20"/>
      <c r="M1404" s="20">
        <v>199.0</v>
      </c>
      <c r="N1404" s="5" t="s">
        <v>67</v>
      </c>
      <c r="O1404" s="20" t="b">
        <v>0</v>
      </c>
      <c r="P1404" s="20" t="s">
        <v>68</v>
      </c>
      <c r="Q1404" s="20" t="s">
        <v>69</v>
      </c>
      <c r="R1404" s="20" t="s">
        <v>3328</v>
      </c>
      <c r="T1404" s="20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</row>
    <row r="1405">
      <c r="A1405" s="15" t="s">
        <v>6981</v>
      </c>
      <c r="B1405" s="19">
        <v>44382.45138888889</v>
      </c>
      <c r="C1405" s="20">
        <v>50032.0</v>
      </c>
      <c r="D1405" s="20" t="s">
        <v>5101</v>
      </c>
      <c r="E1405" s="20">
        <v>9.19999752377E11</v>
      </c>
      <c r="F1405" s="21">
        <v>17638.0</v>
      </c>
      <c r="G1405" s="20"/>
      <c r="H1405" s="20" t="s">
        <v>1982</v>
      </c>
      <c r="I1405" s="20"/>
      <c r="J1405" s="20">
        <v>3.0</v>
      </c>
      <c r="K1405" s="20">
        <v>199.0</v>
      </c>
      <c r="L1405" s="20"/>
      <c r="M1405" s="20">
        <v>199.0</v>
      </c>
      <c r="N1405" s="5" t="s">
        <v>67</v>
      </c>
      <c r="O1405" s="20" t="b">
        <v>0</v>
      </c>
      <c r="P1405" s="20" t="s">
        <v>68</v>
      </c>
      <c r="Q1405" s="20" t="s">
        <v>69</v>
      </c>
      <c r="R1405" s="20"/>
      <c r="T1405" s="20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</row>
    <row r="1406">
      <c r="A1406" s="15" t="s">
        <v>6977</v>
      </c>
      <c r="B1406" s="19">
        <v>44382.43402777778</v>
      </c>
      <c r="C1406" s="20">
        <v>50033.0</v>
      </c>
      <c r="D1406" s="20" t="s">
        <v>5737</v>
      </c>
      <c r="E1406" s="20">
        <v>9.19000590078E11</v>
      </c>
      <c r="F1406" s="21">
        <v>17736.0</v>
      </c>
      <c r="G1406" s="20"/>
      <c r="H1406" s="20" t="s">
        <v>1727</v>
      </c>
      <c r="I1406" s="20"/>
      <c r="J1406" s="20">
        <v>6.0</v>
      </c>
      <c r="K1406" s="20">
        <v>349.0</v>
      </c>
      <c r="L1406" s="20"/>
      <c r="M1406" s="20">
        <v>349.0</v>
      </c>
      <c r="N1406" s="5" t="s">
        <v>67</v>
      </c>
      <c r="O1406" s="20" t="b">
        <v>0</v>
      </c>
      <c r="P1406" s="20" t="s">
        <v>68</v>
      </c>
      <c r="Q1406" s="20" t="s">
        <v>69</v>
      </c>
      <c r="R1406" s="20" t="s">
        <v>5731</v>
      </c>
      <c r="T1406" s="20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</row>
    <row r="1407">
      <c r="A1407" s="15" t="s">
        <v>6982</v>
      </c>
      <c r="B1407" s="19">
        <v>44382.45972222222</v>
      </c>
      <c r="C1407" s="20">
        <v>49859.0</v>
      </c>
      <c r="D1407" s="20" t="s">
        <v>4626</v>
      </c>
      <c r="E1407" s="20">
        <v>9.18511503178E11</v>
      </c>
      <c r="F1407" s="22" t="s">
        <v>12593</v>
      </c>
      <c r="G1407" s="20"/>
      <c r="H1407" s="20" t="s">
        <v>1133</v>
      </c>
      <c r="I1407" s="20"/>
      <c r="J1407" s="20">
        <v>1.0</v>
      </c>
      <c r="K1407" s="20">
        <v>99.0</v>
      </c>
      <c r="L1407" s="20"/>
      <c r="M1407" s="20">
        <v>99.0</v>
      </c>
      <c r="N1407" s="5" t="s">
        <v>67</v>
      </c>
      <c r="O1407" s="20" t="b">
        <v>0</v>
      </c>
      <c r="P1407" s="20" t="s">
        <v>74</v>
      </c>
      <c r="Q1407" s="20" t="s">
        <v>69</v>
      </c>
      <c r="R1407" s="20" t="s">
        <v>4620</v>
      </c>
      <c r="T1407" s="20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</row>
    <row r="1408">
      <c r="A1408" s="15" t="s">
        <v>6882</v>
      </c>
      <c r="B1408" s="19">
        <v>44352.42916666667</v>
      </c>
      <c r="C1408" s="20">
        <v>49997.0</v>
      </c>
      <c r="D1408" s="20" t="s">
        <v>2470</v>
      </c>
      <c r="E1408" s="20">
        <v>9.17980675481E11</v>
      </c>
      <c r="F1408" s="21">
        <v>17592.0</v>
      </c>
      <c r="G1408" s="20"/>
      <c r="H1408" s="20" t="s">
        <v>2455</v>
      </c>
      <c r="I1408" s="20"/>
      <c r="J1408" s="20">
        <v>1.0</v>
      </c>
      <c r="K1408" s="20">
        <v>99.0</v>
      </c>
      <c r="L1408" s="20"/>
      <c r="M1408" s="20">
        <v>99.0</v>
      </c>
      <c r="N1408" s="5" t="s">
        <v>67</v>
      </c>
      <c r="O1408" s="20" t="b">
        <v>0</v>
      </c>
      <c r="P1408" s="20" t="s">
        <v>68</v>
      </c>
      <c r="Q1408" s="20" t="s">
        <v>69</v>
      </c>
      <c r="R1408" s="20" t="s">
        <v>2457</v>
      </c>
      <c r="T1408" s="20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</row>
    <row r="1409">
      <c r="A1409" s="15" t="s">
        <v>6988</v>
      </c>
      <c r="B1409" s="19">
        <v>44382.490277777775</v>
      </c>
      <c r="C1409" s="20">
        <v>50031.0</v>
      </c>
      <c r="D1409" s="20" t="s">
        <v>4570</v>
      </c>
      <c r="E1409" s="20">
        <v>9.17002297663E11</v>
      </c>
      <c r="F1409" s="21">
        <v>17640.0</v>
      </c>
      <c r="G1409" s="20"/>
      <c r="H1409" s="20" t="s">
        <v>4561</v>
      </c>
      <c r="I1409" s="20"/>
      <c r="J1409" s="20">
        <v>3.0</v>
      </c>
      <c r="K1409" s="20">
        <v>199.0</v>
      </c>
      <c r="L1409" s="20"/>
      <c r="M1409" s="20">
        <v>199.0</v>
      </c>
      <c r="N1409" s="5" t="s">
        <v>67</v>
      </c>
      <c r="O1409" s="20" t="b">
        <v>0</v>
      </c>
      <c r="P1409" s="20" t="s">
        <v>74</v>
      </c>
      <c r="Q1409" s="20" t="s">
        <v>69</v>
      </c>
      <c r="R1409" s="20" t="s">
        <v>4563</v>
      </c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</row>
    <row r="1410">
      <c r="A1410" s="15" t="s">
        <v>6989</v>
      </c>
      <c r="B1410" s="19">
        <v>44382.49097222222</v>
      </c>
      <c r="C1410" s="20">
        <v>50031.0</v>
      </c>
      <c r="D1410" s="20" t="s">
        <v>4571</v>
      </c>
      <c r="E1410" s="20">
        <v>9.18826627323E11</v>
      </c>
      <c r="F1410" s="21">
        <v>17641.0</v>
      </c>
      <c r="G1410" s="20"/>
      <c r="H1410" s="20" t="s">
        <v>4561</v>
      </c>
      <c r="I1410" s="20"/>
      <c r="J1410" s="20">
        <v>1.0</v>
      </c>
      <c r="K1410" s="20">
        <v>99.0</v>
      </c>
      <c r="L1410" s="20"/>
      <c r="M1410" s="20">
        <v>99.0</v>
      </c>
      <c r="N1410" s="5" t="s">
        <v>67</v>
      </c>
      <c r="O1410" s="20" t="b">
        <v>0</v>
      </c>
      <c r="P1410" s="20" t="s">
        <v>68</v>
      </c>
      <c r="Q1410" s="20" t="s">
        <v>69</v>
      </c>
      <c r="R1410" s="20" t="s">
        <v>4563</v>
      </c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</row>
    <row r="1411">
      <c r="A1411" s="15" t="s">
        <v>6883</v>
      </c>
      <c r="B1411" s="19">
        <v>44352.436111111114</v>
      </c>
      <c r="C1411" s="20">
        <v>49992.0</v>
      </c>
      <c r="D1411" s="20" t="s">
        <v>3615</v>
      </c>
      <c r="E1411" s="20">
        <v>9.16291779883E11</v>
      </c>
      <c r="F1411" s="22" t="s">
        <v>12593</v>
      </c>
      <c r="G1411" s="20"/>
      <c r="H1411" s="20" t="s">
        <v>3610</v>
      </c>
      <c r="I1411" s="20"/>
      <c r="J1411" s="20">
        <v>1.0</v>
      </c>
      <c r="K1411" s="20">
        <v>99.0</v>
      </c>
      <c r="L1411" s="20"/>
      <c r="M1411" s="20">
        <v>99.0</v>
      </c>
      <c r="N1411" s="5" t="s">
        <v>67</v>
      </c>
      <c r="O1411" s="20" t="b">
        <v>0</v>
      </c>
      <c r="P1411" s="20" t="s">
        <v>68</v>
      </c>
      <c r="Q1411" s="20" t="s">
        <v>69</v>
      </c>
      <c r="R1411" s="20" t="s">
        <v>3288</v>
      </c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</row>
    <row r="1412">
      <c r="A1412" s="15" t="s">
        <v>6984</v>
      </c>
      <c r="B1412" s="19">
        <v>44382.48055555556</v>
      </c>
      <c r="C1412" s="20">
        <v>49995.0</v>
      </c>
      <c r="D1412" s="20" t="s">
        <v>5329</v>
      </c>
      <c r="E1412" s="20">
        <v>9.18454989633E11</v>
      </c>
      <c r="F1412" s="21">
        <v>0.0</v>
      </c>
      <c r="G1412" s="20"/>
      <c r="H1412" s="20" t="s">
        <v>5321</v>
      </c>
      <c r="I1412" s="20"/>
      <c r="J1412" s="20">
        <v>1.0</v>
      </c>
      <c r="K1412" s="20">
        <v>99.0</v>
      </c>
      <c r="L1412" s="20"/>
      <c r="M1412" s="20">
        <v>99.0</v>
      </c>
      <c r="N1412" s="5" t="s">
        <v>67</v>
      </c>
      <c r="O1412" s="20" t="b">
        <v>0</v>
      </c>
      <c r="P1412" s="20" t="s">
        <v>74</v>
      </c>
      <c r="Q1412" s="20" t="s">
        <v>69</v>
      </c>
      <c r="R1412" s="20" t="s">
        <v>5323</v>
      </c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</row>
    <row r="1413">
      <c r="A1413" s="15" t="s">
        <v>6990</v>
      </c>
      <c r="B1413" s="19">
        <v>44382.51111111111</v>
      </c>
      <c r="C1413" s="20">
        <v>50046.0</v>
      </c>
      <c r="D1413" s="20" t="s">
        <v>6220</v>
      </c>
      <c r="E1413" s="20">
        <v>9.18208377191E11</v>
      </c>
      <c r="F1413" s="22" t="s">
        <v>12593</v>
      </c>
      <c r="G1413" s="20"/>
      <c r="H1413" s="20" t="s">
        <v>6217</v>
      </c>
      <c r="I1413" s="20"/>
      <c r="J1413" s="20">
        <v>1.0</v>
      </c>
      <c r="K1413" s="20">
        <v>99.0</v>
      </c>
      <c r="L1413" s="20"/>
      <c r="M1413" s="20">
        <v>99.0</v>
      </c>
      <c r="N1413" s="5" t="s">
        <v>67</v>
      </c>
      <c r="O1413" s="20" t="b">
        <v>0</v>
      </c>
      <c r="P1413" s="20" t="s">
        <v>68</v>
      </c>
      <c r="Q1413" s="20" t="s">
        <v>69</v>
      </c>
      <c r="R1413" s="20" t="s">
        <v>6219</v>
      </c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</row>
    <row r="1414">
      <c r="A1414" s="15" t="s">
        <v>6886</v>
      </c>
      <c r="B1414" s="19">
        <v>44352.47083333333</v>
      </c>
      <c r="C1414" s="20">
        <v>50036.0</v>
      </c>
      <c r="D1414" s="20" t="s">
        <v>5710</v>
      </c>
      <c r="E1414" s="20">
        <v>9.19971724494E11</v>
      </c>
      <c r="F1414" s="21">
        <v>17594.0</v>
      </c>
      <c r="G1414" s="20"/>
      <c r="H1414" s="20" t="s">
        <v>1320</v>
      </c>
      <c r="I1414" s="20"/>
      <c r="J1414" s="20">
        <v>1.0</v>
      </c>
      <c r="K1414" s="20">
        <v>149.0</v>
      </c>
      <c r="L1414" s="20"/>
      <c r="M1414" s="20">
        <v>149.0</v>
      </c>
      <c r="N1414" s="5" t="s">
        <v>67</v>
      </c>
      <c r="O1414" s="20" t="b">
        <v>0</v>
      </c>
      <c r="P1414" s="20" t="s">
        <v>97</v>
      </c>
      <c r="Q1414" s="20" t="s">
        <v>69</v>
      </c>
      <c r="R1414" s="20" t="s">
        <v>5709</v>
      </c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</row>
    <row r="1415">
      <c r="A1415" s="15" t="s">
        <v>6991</v>
      </c>
      <c r="B1415" s="19">
        <v>44382.51736111111</v>
      </c>
      <c r="C1415" s="20">
        <v>49995.0</v>
      </c>
      <c r="D1415" s="20" t="s">
        <v>5330</v>
      </c>
      <c r="E1415" s="20">
        <v>9.18319965657E11</v>
      </c>
      <c r="F1415" s="21">
        <v>0.0</v>
      </c>
      <c r="G1415" s="20"/>
      <c r="H1415" s="20" t="s">
        <v>5321</v>
      </c>
      <c r="I1415" s="20"/>
      <c r="J1415" s="20">
        <v>1.0</v>
      </c>
      <c r="K1415" s="20">
        <v>99.0</v>
      </c>
      <c r="L1415" s="20"/>
      <c r="M1415" s="20">
        <v>99.0</v>
      </c>
      <c r="N1415" s="5" t="s">
        <v>67</v>
      </c>
      <c r="O1415" s="20" t="b">
        <v>0</v>
      </c>
      <c r="P1415" s="20" t="s">
        <v>68</v>
      </c>
      <c r="Q1415" s="20" t="s">
        <v>69</v>
      </c>
      <c r="R1415" s="20" t="s">
        <v>5323</v>
      </c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</row>
    <row r="1416">
      <c r="A1416" s="15" t="s">
        <v>6997</v>
      </c>
      <c r="B1416" s="19">
        <v>44382.535416666666</v>
      </c>
      <c r="C1416" s="20">
        <v>50054.0</v>
      </c>
      <c r="D1416" s="20" t="s">
        <v>5827</v>
      </c>
      <c r="E1416" s="20">
        <v>9.19980809118E11</v>
      </c>
      <c r="F1416" s="21">
        <v>0.0</v>
      </c>
      <c r="G1416" s="20"/>
      <c r="H1416" s="20" t="s">
        <v>5822</v>
      </c>
      <c r="I1416" s="20"/>
      <c r="J1416" s="20">
        <v>1.0</v>
      </c>
      <c r="K1416" s="20">
        <v>349.0</v>
      </c>
      <c r="L1416" s="20"/>
      <c r="M1416" s="20">
        <v>349.0</v>
      </c>
      <c r="N1416" s="5" t="s">
        <v>67</v>
      </c>
      <c r="O1416" s="20" t="b">
        <v>0</v>
      </c>
      <c r="P1416" s="20" t="s">
        <v>74</v>
      </c>
      <c r="Q1416" s="20" t="s">
        <v>69</v>
      </c>
      <c r="R1416" s="20" t="s">
        <v>5824</v>
      </c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</row>
    <row r="1417">
      <c r="A1417" s="15" t="s">
        <v>6992</v>
      </c>
      <c r="B1417" s="19">
        <v>44382.521527777775</v>
      </c>
      <c r="C1417" s="20">
        <v>50030.0</v>
      </c>
      <c r="D1417" s="20" t="s">
        <v>3335</v>
      </c>
      <c r="E1417" s="20">
        <v>9.1820854556E11</v>
      </c>
      <c r="F1417" s="21">
        <v>17643.0</v>
      </c>
      <c r="G1417" s="20"/>
      <c r="H1417" s="20" t="s">
        <v>3326</v>
      </c>
      <c r="I1417" s="20"/>
      <c r="J1417" s="20">
        <v>1.0</v>
      </c>
      <c r="K1417" s="20">
        <v>99.0</v>
      </c>
      <c r="L1417" s="20"/>
      <c r="M1417" s="20">
        <v>99.0</v>
      </c>
      <c r="N1417" s="5" t="s">
        <v>67</v>
      </c>
      <c r="O1417" s="20" t="b">
        <v>0</v>
      </c>
      <c r="P1417" s="20" t="s">
        <v>68</v>
      </c>
      <c r="Q1417" s="20" t="s">
        <v>69</v>
      </c>
      <c r="R1417" s="20" t="s">
        <v>3328</v>
      </c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</row>
    <row r="1418">
      <c r="A1418" s="15" t="s">
        <v>6999</v>
      </c>
      <c r="B1418" s="19">
        <v>44382.54583333333</v>
      </c>
      <c r="C1418" s="20">
        <v>50009.0</v>
      </c>
      <c r="D1418" s="20" t="s">
        <v>2748</v>
      </c>
      <c r="E1418" s="20">
        <v>9.19833482111E11</v>
      </c>
      <c r="F1418" s="21">
        <v>17646.0</v>
      </c>
      <c r="G1418" s="20"/>
      <c r="H1418" s="20" t="s">
        <v>1476</v>
      </c>
      <c r="I1418" s="20"/>
      <c r="J1418" s="20">
        <v>1.0</v>
      </c>
      <c r="K1418" s="20">
        <v>99.0</v>
      </c>
      <c r="L1418" s="20"/>
      <c r="M1418" s="20">
        <v>99.0</v>
      </c>
      <c r="N1418" s="5" t="s">
        <v>67</v>
      </c>
      <c r="O1418" s="20" t="b">
        <v>0</v>
      </c>
      <c r="P1418" s="20" t="s">
        <v>68</v>
      </c>
      <c r="Q1418" s="20" t="s">
        <v>69</v>
      </c>
      <c r="R1418" s="20" t="s">
        <v>2745</v>
      </c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</row>
    <row r="1419">
      <c r="A1419" s="15" t="s">
        <v>7001</v>
      </c>
      <c r="B1419" s="19">
        <v>44382.56875</v>
      </c>
      <c r="C1419" s="20">
        <v>50040.0</v>
      </c>
      <c r="D1419" s="20" t="s">
        <v>5405</v>
      </c>
      <c r="E1419" s="20">
        <v>9.1888830666E11</v>
      </c>
      <c r="F1419" s="21">
        <v>17649.0</v>
      </c>
      <c r="G1419" s="20"/>
      <c r="H1419" s="20" t="s">
        <v>5400</v>
      </c>
      <c r="I1419" s="20"/>
      <c r="J1419" s="20">
        <v>1.0</v>
      </c>
      <c r="K1419" s="20">
        <v>99.0</v>
      </c>
      <c r="L1419" s="20"/>
      <c r="M1419" s="20">
        <v>99.0</v>
      </c>
      <c r="N1419" s="5" t="s">
        <v>67</v>
      </c>
      <c r="O1419" s="20" t="b">
        <v>0</v>
      </c>
      <c r="P1419" s="20" t="s">
        <v>74</v>
      </c>
      <c r="Q1419" s="20" t="s">
        <v>69</v>
      </c>
      <c r="R1419" s="20" t="s">
        <v>5402</v>
      </c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</row>
    <row r="1420">
      <c r="A1420" s="15" t="s">
        <v>7002</v>
      </c>
      <c r="B1420" s="19">
        <v>44382.575694444444</v>
      </c>
      <c r="C1420" s="20">
        <v>50043.0</v>
      </c>
      <c r="D1420" s="20" t="s">
        <v>6370</v>
      </c>
      <c r="E1420" s="20">
        <v>9.19703710132E11</v>
      </c>
      <c r="F1420" s="21">
        <v>0.0</v>
      </c>
      <c r="G1420" s="20"/>
      <c r="H1420" s="20" t="s">
        <v>6367</v>
      </c>
      <c r="I1420" s="20"/>
      <c r="J1420" s="20">
        <v>3.0</v>
      </c>
      <c r="K1420" s="20">
        <v>199.0</v>
      </c>
      <c r="L1420" s="20"/>
      <c r="M1420" s="20">
        <v>199.0</v>
      </c>
      <c r="N1420" s="5" t="s">
        <v>67</v>
      </c>
      <c r="O1420" s="20" t="b">
        <v>0</v>
      </c>
      <c r="P1420" s="20" t="s">
        <v>68</v>
      </c>
      <c r="Q1420" s="20" t="s">
        <v>69</v>
      </c>
      <c r="R1420" s="20" t="s">
        <v>6369</v>
      </c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</row>
    <row r="1421">
      <c r="A1421" s="15" t="s">
        <v>6890</v>
      </c>
      <c r="B1421" s="19">
        <v>44352.51527777778</v>
      </c>
      <c r="C1421" s="20">
        <v>50039.0</v>
      </c>
      <c r="D1421" s="20" t="s">
        <v>1983</v>
      </c>
      <c r="E1421" s="20">
        <v>9.19712769928E11</v>
      </c>
      <c r="F1421" s="21">
        <v>17283.0</v>
      </c>
      <c r="G1421" s="20"/>
      <c r="H1421" s="20" t="s">
        <v>4341</v>
      </c>
      <c r="I1421" s="20"/>
      <c r="J1421" s="20">
        <v>1.0</v>
      </c>
      <c r="K1421" s="20">
        <v>99.0</v>
      </c>
      <c r="L1421" s="20"/>
      <c r="M1421" s="20">
        <v>99.0</v>
      </c>
      <c r="N1421" s="5" t="s">
        <v>67</v>
      </c>
      <c r="O1421" s="20" t="b">
        <v>0</v>
      </c>
      <c r="P1421" s="20" t="s">
        <v>68</v>
      </c>
      <c r="Q1421" s="20" t="s">
        <v>69</v>
      </c>
      <c r="R1421" s="20" t="s">
        <v>4343</v>
      </c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</row>
    <row r="1422">
      <c r="A1422" s="15" t="s">
        <v>7004</v>
      </c>
      <c r="B1422" s="19">
        <v>44382.57986111111</v>
      </c>
      <c r="C1422" s="20">
        <v>49997.0</v>
      </c>
      <c r="D1422" s="20" t="s">
        <v>2472</v>
      </c>
      <c r="E1422" s="20">
        <v>9.18547452646E11</v>
      </c>
      <c r="F1422" s="21">
        <v>17651.0</v>
      </c>
      <c r="G1422" s="20"/>
      <c r="H1422" s="20" t="s">
        <v>2455</v>
      </c>
      <c r="I1422" s="20"/>
      <c r="J1422" s="20">
        <v>1.0</v>
      </c>
      <c r="K1422" s="20">
        <v>99.0</v>
      </c>
      <c r="L1422" s="20"/>
      <c r="M1422" s="20">
        <v>99.0</v>
      </c>
      <c r="N1422" s="5" t="s">
        <v>67</v>
      </c>
      <c r="O1422" s="20" t="b">
        <v>0</v>
      </c>
      <c r="P1422" s="20" t="s">
        <v>68</v>
      </c>
      <c r="Q1422" s="20" t="s">
        <v>69</v>
      </c>
      <c r="R1422" s="20" t="s">
        <v>2457</v>
      </c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</row>
    <row r="1423">
      <c r="A1423" s="15" t="s">
        <v>6889</v>
      </c>
      <c r="B1423" s="19">
        <v>44352.504166666666</v>
      </c>
      <c r="C1423" s="20">
        <v>50031.0</v>
      </c>
      <c r="D1423" s="20" t="s">
        <v>4565</v>
      </c>
      <c r="E1423" s="20">
        <v>9.19820358107E11</v>
      </c>
      <c r="F1423" s="21">
        <v>17595.0</v>
      </c>
      <c r="G1423" s="20"/>
      <c r="H1423" s="20" t="s">
        <v>4561</v>
      </c>
      <c r="I1423" s="20"/>
      <c r="J1423" s="20">
        <v>1.0</v>
      </c>
      <c r="K1423" s="20">
        <v>99.0</v>
      </c>
      <c r="L1423" s="20"/>
      <c r="M1423" s="20">
        <v>99.0</v>
      </c>
      <c r="N1423" s="5" t="s">
        <v>67</v>
      </c>
      <c r="O1423" s="20" t="b">
        <v>0</v>
      </c>
      <c r="P1423" s="20" t="s">
        <v>68</v>
      </c>
      <c r="Q1423" s="20" t="s">
        <v>69</v>
      </c>
      <c r="R1423" s="20" t="s">
        <v>4563</v>
      </c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</row>
    <row r="1424">
      <c r="A1424" s="1" t="s">
        <v>9766</v>
      </c>
      <c r="B1424" s="19" t="s">
        <v>4616</v>
      </c>
      <c r="C1424" s="20">
        <v>50031.0</v>
      </c>
      <c r="D1424" s="20" t="s">
        <v>4565</v>
      </c>
      <c r="E1424" s="5">
        <v>9.19820358107E11</v>
      </c>
      <c r="F1424" s="21">
        <v>17595.0</v>
      </c>
      <c r="G1424" s="20"/>
      <c r="H1424" s="20" t="s">
        <v>4561</v>
      </c>
      <c r="I1424" s="5"/>
      <c r="J1424" s="20">
        <v>1.0</v>
      </c>
      <c r="K1424" s="20">
        <v>599.0</v>
      </c>
      <c r="L1424" s="20"/>
      <c r="M1424" s="20">
        <v>599.0</v>
      </c>
      <c r="N1424" s="5" t="s">
        <v>67</v>
      </c>
      <c r="O1424" s="20" t="b">
        <v>0</v>
      </c>
      <c r="P1424" s="20" t="s">
        <v>68</v>
      </c>
      <c r="Q1424" s="20" t="s">
        <v>69</v>
      </c>
      <c r="R1424" s="20" t="s">
        <v>4563</v>
      </c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</row>
    <row r="1425">
      <c r="A1425" s="1" t="s">
        <v>10436</v>
      </c>
      <c r="B1425" s="19">
        <v>44292.566666666666</v>
      </c>
      <c r="C1425" s="20">
        <v>50031.0</v>
      </c>
      <c r="D1425" s="20" t="s">
        <v>4565</v>
      </c>
      <c r="E1425" s="5">
        <v>9.19820358107E11</v>
      </c>
      <c r="F1425" s="21">
        <v>17595.0</v>
      </c>
      <c r="G1425" s="20"/>
      <c r="H1425" s="20" t="s">
        <v>4561</v>
      </c>
      <c r="I1425" s="5"/>
      <c r="J1425" s="20">
        <v>1.0</v>
      </c>
      <c r="K1425" s="20">
        <v>599.0</v>
      </c>
      <c r="L1425" s="20"/>
      <c r="M1425" s="20">
        <v>599.0</v>
      </c>
      <c r="N1425" s="5" t="s">
        <v>67</v>
      </c>
      <c r="O1425" s="20" t="b">
        <v>0</v>
      </c>
      <c r="P1425" s="20" t="s">
        <v>68</v>
      </c>
      <c r="Q1425" s="20" t="s">
        <v>69</v>
      </c>
      <c r="R1425" s="20" t="s">
        <v>4563</v>
      </c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</row>
    <row r="1426">
      <c r="A1426" s="15" t="s">
        <v>7006</v>
      </c>
      <c r="B1426" s="19">
        <v>44382.58472222222</v>
      </c>
      <c r="C1426" s="20">
        <v>50029.0</v>
      </c>
      <c r="D1426" s="20" t="s">
        <v>2767</v>
      </c>
      <c r="E1426" s="20">
        <v>9.1773859501E11</v>
      </c>
      <c r="F1426" s="21">
        <v>17652.0</v>
      </c>
      <c r="G1426" s="20"/>
      <c r="H1426" s="20" t="s">
        <v>2761</v>
      </c>
      <c r="I1426" s="20"/>
      <c r="J1426" s="20">
        <v>1.0</v>
      </c>
      <c r="K1426" s="20">
        <v>99.0</v>
      </c>
      <c r="L1426" s="20"/>
      <c r="M1426" s="20">
        <v>99.0</v>
      </c>
      <c r="N1426" s="5" t="s">
        <v>67</v>
      </c>
      <c r="O1426" s="20" t="b">
        <v>0</v>
      </c>
      <c r="P1426" s="20" t="s">
        <v>68</v>
      </c>
      <c r="Q1426" s="20" t="s">
        <v>69</v>
      </c>
      <c r="R1426" s="20" t="s">
        <v>2763</v>
      </c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</row>
    <row r="1427">
      <c r="A1427" s="15" t="s">
        <v>7000</v>
      </c>
      <c r="B1427" s="19">
        <v>44382.56805555556</v>
      </c>
      <c r="C1427" s="20">
        <v>49859.0</v>
      </c>
      <c r="D1427" s="20" t="s">
        <v>4623</v>
      </c>
      <c r="E1427" s="20">
        <v>9.19099901115E11</v>
      </c>
      <c r="F1427" s="21">
        <v>17648.0</v>
      </c>
      <c r="G1427" s="20"/>
      <c r="H1427" s="20" t="s">
        <v>1133</v>
      </c>
      <c r="I1427" s="20"/>
      <c r="J1427" s="20">
        <v>1.0</v>
      </c>
      <c r="K1427" s="20">
        <v>99.0</v>
      </c>
      <c r="L1427" s="20"/>
      <c r="M1427" s="20">
        <v>99.0</v>
      </c>
      <c r="N1427" s="5" t="s">
        <v>67</v>
      </c>
      <c r="O1427" s="20" t="b">
        <v>0</v>
      </c>
      <c r="P1427" s="20" t="s">
        <v>68</v>
      </c>
      <c r="Q1427" s="20" t="s">
        <v>69</v>
      </c>
      <c r="R1427" s="20" t="s">
        <v>4620</v>
      </c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</row>
    <row r="1428">
      <c r="A1428" s="15" t="s">
        <v>6894</v>
      </c>
      <c r="B1428" s="19">
        <v>44352.54861111111</v>
      </c>
      <c r="C1428" s="20">
        <v>49992.0</v>
      </c>
      <c r="D1428" s="20" t="s">
        <v>3614</v>
      </c>
      <c r="E1428" s="20">
        <v>9.1859134E11</v>
      </c>
      <c r="F1428" s="21">
        <v>17596.0</v>
      </c>
      <c r="G1428" s="20"/>
      <c r="H1428" s="20" t="s">
        <v>3610</v>
      </c>
      <c r="I1428" s="20"/>
      <c r="J1428" s="20">
        <v>1.0</v>
      </c>
      <c r="K1428" s="20">
        <v>99.0</v>
      </c>
      <c r="L1428" s="20"/>
      <c r="M1428" s="20">
        <v>99.0</v>
      </c>
      <c r="N1428" s="5" t="s">
        <v>67</v>
      </c>
      <c r="O1428" s="20" t="b">
        <v>0</v>
      </c>
      <c r="P1428" s="20" t="s">
        <v>74</v>
      </c>
      <c r="Q1428" s="20" t="s">
        <v>69</v>
      </c>
      <c r="R1428" s="20" t="s">
        <v>3288</v>
      </c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</row>
    <row r="1429">
      <c r="A1429" s="15" t="s">
        <v>7007</v>
      </c>
      <c r="B1429" s="19">
        <v>44382.62847222222</v>
      </c>
      <c r="C1429" s="20">
        <v>49995.0</v>
      </c>
      <c r="D1429" s="20" t="s">
        <v>5326</v>
      </c>
      <c r="E1429" s="20">
        <v>9.19820044067E11</v>
      </c>
      <c r="F1429" s="21">
        <v>17654.0</v>
      </c>
      <c r="G1429" s="20"/>
      <c r="H1429" s="20" t="s">
        <v>5321</v>
      </c>
      <c r="I1429" s="20"/>
      <c r="J1429" s="20">
        <v>1.0</v>
      </c>
      <c r="K1429" s="20">
        <v>99.0</v>
      </c>
      <c r="L1429" s="20"/>
      <c r="M1429" s="20">
        <v>99.0</v>
      </c>
      <c r="N1429" s="5" t="s">
        <v>67</v>
      </c>
      <c r="O1429" s="20" t="b">
        <v>0</v>
      </c>
      <c r="P1429" s="20" t="s">
        <v>74</v>
      </c>
      <c r="Q1429" s="20" t="s">
        <v>69</v>
      </c>
      <c r="R1429" s="20" t="s">
        <v>5323</v>
      </c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</row>
    <row r="1430">
      <c r="A1430" s="15" t="s">
        <v>6899</v>
      </c>
      <c r="B1430" s="19">
        <v>44352.575694444444</v>
      </c>
      <c r="C1430" s="20">
        <v>49859.0</v>
      </c>
      <c r="D1430" s="20" t="s">
        <v>4621</v>
      </c>
      <c r="E1430" s="20">
        <v>9.19584966693E11</v>
      </c>
      <c r="F1430" s="21">
        <v>17597.0</v>
      </c>
      <c r="G1430" s="20"/>
      <c r="H1430" s="20" t="s">
        <v>1133</v>
      </c>
      <c r="I1430" s="20"/>
      <c r="J1430" s="20">
        <v>1.0</v>
      </c>
      <c r="K1430" s="20">
        <v>99.0</v>
      </c>
      <c r="L1430" s="20"/>
      <c r="M1430" s="20">
        <v>99.0</v>
      </c>
      <c r="N1430" s="5" t="s">
        <v>67</v>
      </c>
      <c r="O1430" s="20" t="b">
        <v>0</v>
      </c>
      <c r="P1430" s="20" t="s">
        <v>68</v>
      </c>
      <c r="Q1430" s="20" t="s">
        <v>69</v>
      </c>
      <c r="R1430" s="20" t="s">
        <v>4620</v>
      </c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</row>
    <row r="1431">
      <c r="A1431" s="15" t="s">
        <v>7009</v>
      </c>
      <c r="B1431" s="19">
        <v>44382.64236111111</v>
      </c>
      <c r="C1431" s="20">
        <v>49997.0</v>
      </c>
      <c r="D1431" s="20" t="s">
        <v>2473</v>
      </c>
      <c r="E1431" s="20">
        <v>9.1907186589E11</v>
      </c>
      <c r="F1431" s="21">
        <v>0.0</v>
      </c>
      <c r="G1431" s="20"/>
      <c r="H1431" s="20" t="s">
        <v>2455</v>
      </c>
      <c r="I1431" s="20"/>
      <c r="J1431" s="20">
        <v>1.0</v>
      </c>
      <c r="K1431" s="20">
        <v>99.0</v>
      </c>
      <c r="L1431" s="20"/>
      <c r="M1431" s="20">
        <v>99.0</v>
      </c>
      <c r="N1431" s="5" t="s">
        <v>67</v>
      </c>
      <c r="O1431" s="20" t="b">
        <v>0</v>
      </c>
      <c r="P1431" s="20" t="s">
        <v>68</v>
      </c>
      <c r="Q1431" s="20" t="s">
        <v>69</v>
      </c>
      <c r="R1431" s="20" t="s">
        <v>2457</v>
      </c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</row>
    <row r="1432">
      <c r="A1432" s="15" t="s">
        <v>7012</v>
      </c>
      <c r="B1432" s="19" t="s">
        <v>4354</v>
      </c>
      <c r="C1432" s="20">
        <v>50039.0</v>
      </c>
      <c r="D1432" s="20" t="s">
        <v>4353</v>
      </c>
      <c r="E1432" s="20">
        <v>9.19620029222E11</v>
      </c>
      <c r="F1432" s="21">
        <v>18433.0</v>
      </c>
      <c r="G1432" s="20"/>
      <c r="H1432" s="20" t="s">
        <v>4341</v>
      </c>
      <c r="I1432" s="20"/>
      <c r="J1432" s="20">
        <v>1.0</v>
      </c>
      <c r="K1432" s="20">
        <v>99.0</v>
      </c>
      <c r="L1432" s="20"/>
      <c r="M1432" s="20">
        <v>99.0</v>
      </c>
      <c r="N1432" s="5" t="s">
        <v>67</v>
      </c>
      <c r="O1432" s="20" t="b">
        <v>0</v>
      </c>
      <c r="P1432" s="20" t="s">
        <v>68</v>
      </c>
      <c r="Q1432" s="20" t="s">
        <v>69</v>
      </c>
      <c r="R1432" s="20" t="s">
        <v>4343</v>
      </c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</row>
    <row r="1433">
      <c r="A1433" s="15" t="s">
        <v>7014</v>
      </c>
      <c r="B1433" s="19">
        <v>44382.6625</v>
      </c>
      <c r="C1433" s="20">
        <v>50033.0</v>
      </c>
      <c r="D1433" s="20" t="s">
        <v>5734</v>
      </c>
      <c r="E1433" s="20">
        <v>9.17021536708E11</v>
      </c>
      <c r="F1433" s="21">
        <v>17656.0</v>
      </c>
      <c r="G1433" s="20"/>
      <c r="H1433" s="20" t="s">
        <v>1727</v>
      </c>
      <c r="I1433" s="20"/>
      <c r="J1433" s="20">
        <v>1.0</v>
      </c>
      <c r="K1433" s="20">
        <v>99.0</v>
      </c>
      <c r="L1433" s="20"/>
      <c r="M1433" s="20">
        <v>99.0</v>
      </c>
      <c r="N1433" s="5" t="s">
        <v>67</v>
      </c>
      <c r="O1433" s="20" t="b">
        <v>0</v>
      </c>
      <c r="P1433" s="20" t="s">
        <v>68</v>
      </c>
      <c r="Q1433" s="20" t="s">
        <v>69</v>
      </c>
      <c r="R1433" s="20" t="s">
        <v>5731</v>
      </c>
      <c r="T1433" s="20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</row>
    <row r="1434">
      <c r="A1434" s="15" t="s">
        <v>6902</v>
      </c>
      <c r="B1434" s="19">
        <v>44352.60486111111</v>
      </c>
      <c r="C1434" s="20">
        <v>50030.0</v>
      </c>
      <c r="D1434" s="20" t="s">
        <v>3330</v>
      </c>
      <c r="E1434" s="20">
        <v>9.18221068717E11</v>
      </c>
      <c r="F1434" s="22" t="s">
        <v>12593</v>
      </c>
      <c r="G1434" s="20"/>
      <c r="H1434" s="20" t="s">
        <v>3326</v>
      </c>
      <c r="I1434" s="20"/>
      <c r="J1434" s="20">
        <v>1.0</v>
      </c>
      <c r="K1434" s="20">
        <v>99.0</v>
      </c>
      <c r="L1434" s="20"/>
      <c r="M1434" s="20">
        <v>99.0</v>
      </c>
      <c r="N1434" s="5" t="s">
        <v>67</v>
      </c>
      <c r="O1434" s="20" t="b">
        <v>0</v>
      </c>
      <c r="P1434" s="20" t="s">
        <v>68</v>
      </c>
      <c r="Q1434" s="20" t="s">
        <v>69</v>
      </c>
      <c r="R1434" s="20" t="s">
        <v>3328</v>
      </c>
      <c r="T1434" s="20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</row>
    <row r="1435">
      <c r="A1435" s="15" t="s">
        <v>6908</v>
      </c>
      <c r="B1435" s="19">
        <v>44352.63125</v>
      </c>
      <c r="C1435" s="20">
        <v>50039.0</v>
      </c>
      <c r="D1435" s="20" t="s">
        <v>4342</v>
      </c>
      <c r="E1435" s="20">
        <v>9.17330993304E11</v>
      </c>
      <c r="F1435" s="21">
        <v>17599.0</v>
      </c>
      <c r="G1435" s="20"/>
      <c r="H1435" s="20" t="s">
        <v>4341</v>
      </c>
      <c r="I1435" s="20"/>
      <c r="J1435" s="20">
        <v>3.0</v>
      </c>
      <c r="K1435" s="20">
        <v>199.0</v>
      </c>
      <c r="L1435" s="20"/>
      <c r="M1435" s="20">
        <v>199.0</v>
      </c>
      <c r="N1435" s="5" t="s">
        <v>67</v>
      </c>
      <c r="O1435" s="20" t="b">
        <v>0</v>
      </c>
      <c r="P1435" s="20" t="s">
        <v>68</v>
      </c>
      <c r="Q1435" s="20" t="s">
        <v>69</v>
      </c>
      <c r="R1435" s="20" t="s">
        <v>4343</v>
      </c>
      <c r="T1435" s="20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</row>
    <row r="1436">
      <c r="A1436" s="15" t="s">
        <v>7017</v>
      </c>
      <c r="B1436" s="19">
        <v>44382.69513888889</v>
      </c>
      <c r="C1436" s="20">
        <v>50054.0</v>
      </c>
      <c r="D1436" s="20" t="s">
        <v>5823</v>
      </c>
      <c r="E1436" s="20">
        <v>9.1987136551E11</v>
      </c>
      <c r="F1436" s="21">
        <v>17659.0</v>
      </c>
      <c r="G1436" s="20"/>
      <c r="H1436" s="20" t="s">
        <v>5822</v>
      </c>
      <c r="I1436" s="20"/>
      <c r="J1436" s="20">
        <v>1.0</v>
      </c>
      <c r="K1436" s="20">
        <v>99.0</v>
      </c>
      <c r="L1436" s="20"/>
      <c r="M1436" s="20">
        <v>99.0</v>
      </c>
      <c r="N1436" s="5" t="s">
        <v>67</v>
      </c>
      <c r="O1436" s="20" t="b">
        <v>0</v>
      </c>
      <c r="P1436" s="20" t="s">
        <v>74</v>
      </c>
      <c r="Q1436" s="20" t="s">
        <v>69</v>
      </c>
      <c r="R1436" s="20" t="s">
        <v>5824</v>
      </c>
      <c r="T1436" s="20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</row>
    <row r="1437">
      <c r="A1437" s="15" t="s">
        <v>6907</v>
      </c>
      <c r="B1437" s="19">
        <v>44352.623611111114</v>
      </c>
      <c r="C1437" s="20">
        <v>50073.0</v>
      </c>
      <c r="D1437" s="20" t="s">
        <v>6480</v>
      </c>
      <c r="E1437" s="20">
        <v>9.19636433336E11</v>
      </c>
      <c r="F1437" s="21">
        <v>17744.0</v>
      </c>
      <c r="G1437" s="20"/>
      <c r="H1437" s="20" t="s">
        <v>6466</v>
      </c>
      <c r="I1437" s="20"/>
      <c r="J1437" s="20">
        <v>1.0</v>
      </c>
      <c r="K1437" s="20">
        <v>599.0</v>
      </c>
      <c r="L1437" s="20"/>
      <c r="M1437" s="20">
        <v>599.0</v>
      </c>
      <c r="N1437" s="5" t="s">
        <v>67</v>
      </c>
      <c r="O1437" s="20" t="b">
        <v>0</v>
      </c>
      <c r="P1437" s="20" t="s">
        <v>97</v>
      </c>
      <c r="Q1437" s="20" t="s">
        <v>69</v>
      </c>
      <c r="R1437" s="20"/>
      <c r="T1437" s="20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</row>
    <row r="1438">
      <c r="A1438" s="15" t="s">
        <v>7016</v>
      </c>
      <c r="B1438" s="19">
        <v>44382.68541666667</v>
      </c>
      <c r="C1438" s="20">
        <v>50015.0</v>
      </c>
      <c r="D1438" s="20" t="s">
        <v>2709</v>
      </c>
      <c r="E1438" s="20">
        <v>9.1967737366E11</v>
      </c>
      <c r="F1438" s="21">
        <v>17658.0</v>
      </c>
      <c r="G1438" s="20"/>
      <c r="H1438" s="20" t="s">
        <v>2702</v>
      </c>
      <c r="I1438" s="20"/>
      <c r="J1438" s="20">
        <v>6.0</v>
      </c>
      <c r="K1438" s="20">
        <v>499.0</v>
      </c>
      <c r="L1438" s="20"/>
      <c r="M1438" s="20">
        <v>499.0</v>
      </c>
      <c r="N1438" s="5" t="s">
        <v>67</v>
      </c>
      <c r="O1438" s="20" t="b">
        <v>0</v>
      </c>
      <c r="P1438" s="20" t="s">
        <v>68</v>
      </c>
      <c r="Q1438" s="20" t="s">
        <v>69</v>
      </c>
      <c r="R1438" s="20" t="s">
        <v>2704</v>
      </c>
      <c r="T1438" s="20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</row>
    <row r="1439">
      <c r="A1439" s="15" t="s">
        <v>7020</v>
      </c>
      <c r="B1439" s="19">
        <v>44382.73472222222</v>
      </c>
      <c r="C1439" s="20">
        <v>50009.0</v>
      </c>
      <c r="D1439" s="20" t="s">
        <v>2749</v>
      </c>
      <c r="E1439" s="20">
        <v>9.19819422902E11</v>
      </c>
      <c r="F1439" s="21">
        <v>17661.0</v>
      </c>
      <c r="G1439" s="20"/>
      <c r="H1439" s="20" t="s">
        <v>1476</v>
      </c>
      <c r="I1439" s="20"/>
      <c r="J1439" s="20">
        <v>3.0</v>
      </c>
      <c r="K1439" s="20">
        <v>199.0</v>
      </c>
      <c r="L1439" s="20"/>
      <c r="M1439" s="20">
        <v>199.0</v>
      </c>
      <c r="N1439" s="5" t="s">
        <v>67</v>
      </c>
      <c r="O1439" s="20" t="b">
        <v>0</v>
      </c>
      <c r="P1439" s="20" t="s">
        <v>74</v>
      </c>
      <c r="Q1439" s="20" t="s">
        <v>69</v>
      </c>
      <c r="R1439" s="20" t="s">
        <v>2745</v>
      </c>
      <c r="T1439" s="20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</row>
    <row r="1440">
      <c r="A1440" s="15" t="s">
        <v>7022</v>
      </c>
      <c r="B1440" s="19">
        <v>44382.73472222222</v>
      </c>
      <c r="C1440" s="20">
        <v>50009.0</v>
      </c>
      <c r="D1440" s="20" t="s">
        <v>2750</v>
      </c>
      <c r="E1440" s="20">
        <v>9.17708930197E11</v>
      </c>
      <c r="F1440" s="21">
        <v>17660.0</v>
      </c>
      <c r="G1440" s="20"/>
      <c r="H1440" s="20" t="s">
        <v>1476</v>
      </c>
      <c r="I1440" s="20"/>
      <c r="J1440" s="20">
        <v>1.0</v>
      </c>
      <c r="K1440" s="20">
        <v>99.0</v>
      </c>
      <c r="L1440" s="20"/>
      <c r="M1440" s="20">
        <v>99.0</v>
      </c>
      <c r="N1440" s="5" t="s">
        <v>67</v>
      </c>
      <c r="O1440" s="20" t="b">
        <v>0</v>
      </c>
      <c r="P1440" s="20" t="s">
        <v>74</v>
      </c>
      <c r="Q1440" s="20" t="s">
        <v>69</v>
      </c>
      <c r="R1440" s="20" t="s">
        <v>2745</v>
      </c>
      <c r="T1440" s="20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</row>
    <row r="1441">
      <c r="A1441" s="15" t="s">
        <v>6909</v>
      </c>
      <c r="B1441" s="19">
        <v>44352.660416666666</v>
      </c>
      <c r="C1441" s="20">
        <v>49995.0</v>
      </c>
      <c r="D1441" s="20" t="s">
        <v>5325</v>
      </c>
      <c r="E1441" s="20">
        <v>9.17623850524E11</v>
      </c>
      <c r="F1441" s="21">
        <v>17601.0</v>
      </c>
      <c r="G1441" s="20"/>
      <c r="H1441" s="20" t="s">
        <v>5321</v>
      </c>
      <c r="I1441" s="20"/>
      <c r="J1441" s="20">
        <v>1.0</v>
      </c>
      <c r="K1441" s="20">
        <v>99.0</v>
      </c>
      <c r="L1441" s="20"/>
      <c r="M1441" s="20">
        <v>99.0</v>
      </c>
      <c r="N1441" s="5" t="s">
        <v>67</v>
      </c>
      <c r="O1441" s="20" t="b">
        <v>0</v>
      </c>
      <c r="P1441" s="20" t="s">
        <v>68</v>
      </c>
      <c r="Q1441" s="20" t="s">
        <v>69</v>
      </c>
      <c r="R1441" s="20" t="s">
        <v>5323</v>
      </c>
      <c r="T1441" s="20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</row>
    <row r="1442">
      <c r="A1442" s="15" t="s">
        <v>7023</v>
      </c>
      <c r="B1442" s="19">
        <v>44382.74097222222</v>
      </c>
      <c r="C1442" s="20">
        <v>49859.0</v>
      </c>
      <c r="D1442" s="20" t="s">
        <v>4624</v>
      </c>
      <c r="E1442" s="20">
        <v>9.18956586014E11</v>
      </c>
      <c r="F1442" s="21">
        <v>17665.0</v>
      </c>
      <c r="G1442" s="20"/>
      <c r="H1442" s="20" t="s">
        <v>1133</v>
      </c>
      <c r="I1442" s="20"/>
      <c r="J1442" s="20">
        <v>1.0</v>
      </c>
      <c r="K1442" s="20">
        <v>99.0</v>
      </c>
      <c r="L1442" s="20"/>
      <c r="M1442" s="20">
        <v>99.0</v>
      </c>
      <c r="N1442" s="5" t="s">
        <v>67</v>
      </c>
      <c r="O1442" s="20" t="b">
        <v>0</v>
      </c>
      <c r="P1442" s="20" t="s">
        <v>68</v>
      </c>
      <c r="Q1442" s="20" t="s">
        <v>69</v>
      </c>
      <c r="R1442" s="20" t="s">
        <v>4620</v>
      </c>
      <c r="T1442" s="20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</row>
    <row r="1443">
      <c r="A1443" s="15" t="s">
        <v>7024</v>
      </c>
      <c r="B1443" s="19">
        <v>44382.743055555555</v>
      </c>
      <c r="C1443" s="20">
        <v>50029.0</v>
      </c>
      <c r="D1443" s="20" t="s">
        <v>2769</v>
      </c>
      <c r="E1443" s="20">
        <v>9.18978112244E11</v>
      </c>
      <c r="F1443" s="21">
        <v>17664.0</v>
      </c>
      <c r="G1443" s="20"/>
      <c r="H1443" s="20" t="s">
        <v>2761</v>
      </c>
      <c r="I1443" s="20"/>
      <c r="J1443" s="20">
        <v>3.0</v>
      </c>
      <c r="K1443" s="20">
        <v>199.0</v>
      </c>
      <c r="L1443" s="20"/>
      <c r="M1443" s="20">
        <v>199.0</v>
      </c>
      <c r="N1443" s="5" t="s">
        <v>67</v>
      </c>
      <c r="O1443" s="20" t="b">
        <v>0</v>
      </c>
      <c r="P1443" s="20" t="s">
        <v>68</v>
      </c>
      <c r="Q1443" s="20" t="s">
        <v>69</v>
      </c>
      <c r="R1443" s="20" t="s">
        <v>2763</v>
      </c>
      <c r="T1443" s="20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</row>
    <row r="1444">
      <c r="A1444" s="15" t="s">
        <v>6918</v>
      </c>
      <c r="B1444" s="19">
        <v>44352.688888888886</v>
      </c>
      <c r="C1444" s="20">
        <v>49844.0</v>
      </c>
      <c r="D1444" s="20" t="s">
        <v>5450</v>
      </c>
      <c r="E1444" s="20">
        <v>9.17366912904E11</v>
      </c>
      <c r="F1444" s="21">
        <v>17600.0</v>
      </c>
      <c r="G1444" s="20"/>
      <c r="H1444" s="20" t="s">
        <v>885</v>
      </c>
      <c r="I1444" s="20"/>
      <c r="J1444" s="20">
        <v>3.0</v>
      </c>
      <c r="K1444" s="20">
        <v>199.0</v>
      </c>
      <c r="L1444" s="20"/>
      <c r="M1444" s="20">
        <v>199.0</v>
      </c>
      <c r="N1444" s="5" t="s">
        <v>67</v>
      </c>
      <c r="O1444" s="20" t="b">
        <v>0</v>
      </c>
      <c r="P1444" s="20" t="s">
        <v>68</v>
      </c>
      <c r="Q1444" s="20" t="s">
        <v>69</v>
      </c>
      <c r="R1444" s="20" t="s">
        <v>5445</v>
      </c>
      <c r="T1444" s="20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</row>
    <row r="1445">
      <c r="A1445" s="15" t="s">
        <v>7025</v>
      </c>
      <c r="B1445" s="19">
        <v>44382.75069444445</v>
      </c>
      <c r="C1445" s="20">
        <v>50030.0</v>
      </c>
      <c r="D1445" s="20" t="s">
        <v>3333</v>
      </c>
      <c r="E1445" s="20">
        <v>9.1831893617E11</v>
      </c>
      <c r="F1445" s="21">
        <v>17666.0</v>
      </c>
      <c r="G1445" s="20"/>
      <c r="H1445" s="20" t="s">
        <v>3326</v>
      </c>
      <c r="I1445" s="20"/>
      <c r="J1445" s="20">
        <v>6.0</v>
      </c>
      <c r="K1445" s="20">
        <v>349.0</v>
      </c>
      <c r="L1445" s="20"/>
      <c r="M1445" s="20">
        <v>349.0</v>
      </c>
      <c r="N1445" s="5" t="s">
        <v>67</v>
      </c>
      <c r="O1445" s="20" t="b">
        <v>0</v>
      </c>
      <c r="P1445" s="20" t="s">
        <v>68</v>
      </c>
      <c r="Q1445" s="20" t="s">
        <v>69</v>
      </c>
      <c r="R1445" s="20" t="s">
        <v>3328</v>
      </c>
      <c r="T1445" s="20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</row>
    <row r="1446">
      <c r="A1446" s="15" t="s">
        <v>7026</v>
      </c>
      <c r="B1446" s="19">
        <v>44382.760416666664</v>
      </c>
      <c r="C1446" s="20">
        <v>50046.0</v>
      </c>
      <c r="D1446" s="20" t="s">
        <v>6218</v>
      </c>
      <c r="E1446" s="20">
        <v>9.19560256001E11</v>
      </c>
      <c r="F1446" s="22" t="s">
        <v>12593</v>
      </c>
      <c r="G1446" s="20"/>
      <c r="H1446" s="20" t="s">
        <v>6217</v>
      </c>
      <c r="I1446" s="20"/>
      <c r="J1446" s="20">
        <v>1.0</v>
      </c>
      <c r="K1446" s="20">
        <v>99.0</v>
      </c>
      <c r="L1446" s="20"/>
      <c r="M1446" s="20">
        <v>99.0</v>
      </c>
      <c r="N1446" s="5" t="s">
        <v>67</v>
      </c>
      <c r="O1446" s="20" t="b">
        <v>0</v>
      </c>
      <c r="P1446" s="20" t="s">
        <v>68</v>
      </c>
      <c r="Q1446" s="20" t="s">
        <v>69</v>
      </c>
      <c r="R1446" s="20" t="s">
        <v>6219</v>
      </c>
      <c r="T1446" s="20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</row>
    <row r="1447">
      <c r="A1447" s="15" t="s">
        <v>6921</v>
      </c>
      <c r="B1447" s="19">
        <v>44352.756944444445</v>
      </c>
      <c r="C1447" s="20">
        <v>50073.0</v>
      </c>
      <c r="D1447" s="20" t="s">
        <v>6481</v>
      </c>
      <c r="E1447" s="20">
        <v>9.19911525487E11</v>
      </c>
      <c r="F1447" s="21">
        <v>17994.0</v>
      </c>
      <c r="G1447" s="20"/>
      <c r="H1447" s="20" t="s">
        <v>6466</v>
      </c>
      <c r="I1447" s="20"/>
      <c r="J1447" s="20">
        <v>1.0</v>
      </c>
      <c r="K1447" s="20">
        <v>599.0</v>
      </c>
      <c r="L1447" s="20"/>
      <c r="M1447" s="20">
        <v>599.0</v>
      </c>
      <c r="N1447" s="5" t="s">
        <v>67</v>
      </c>
      <c r="O1447" s="20" t="b">
        <v>0</v>
      </c>
      <c r="P1447" s="20" t="s">
        <v>74</v>
      </c>
      <c r="Q1447" s="20" t="s">
        <v>69</v>
      </c>
      <c r="R1447" s="20"/>
      <c r="T1447" s="20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</row>
    <row r="1448">
      <c r="A1448" s="15" t="s">
        <v>6920</v>
      </c>
      <c r="B1448" s="19">
        <v>44352.739583333336</v>
      </c>
      <c r="C1448" s="20">
        <v>50015.0</v>
      </c>
      <c r="D1448" s="20" t="s">
        <v>2707</v>
      </c>
      <c r="E1448" s="20">
        <v>9.19886534084E11</v>
      </c>
      <c r="F1448" s="21">
        <v>17603.0</v>
      </c>
      <c r="G1448" s="20"/>
      <c r="H1448" s="20" t="s">
        <v>2702</v>
      </c>
      <c r="I1448" s="20"/>
      <c r="J1448" s="20">
        <v>6.0</v>
      </c>
      <c r="K1448" s="20">
        <v>499.0</v>
      </c>
      <c r="L1448" s="20"/>
      <c r="M1448" s="20">
        <v>499.0</v>
      </c>
      <c r="N1448" s="5" t="s">
        <v>67</v>
      </c>
      <c r="O1448" s="20" t="b">
        <v>0</v>
      </c>
      <c r="P1448" s="20" t="s">
        <v>68</v>
      </c>
      <c r="Q1448" s="20" t="s">
        <v>69</v>
      </c>
      <c r="R1448" s="20" t="s">
        <v>2704</v>
      </c>
      <c r="T1448" s="20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</row>
    <row r="1449">
      <c r="A1449" s="15" t="s">
        <v>6923</v>
      </c>
      <c r="B1449" s="19">
        <v>44352.76111111111</v>
      </c>
      <c r="C1449" s="20">
        <v>50029.0</v>
      </c>
      <c r="D1449" s="20" t="s">
        <v>2765</v>
      </c>
      <c r="E1449" s="20">
        <v>9.1961980604E11</v>
      </c>
      <c r="F1449" s="21">
        <v>17604.0</v>
      </c>
      <c r="G1449" s="20"/>
      <c r="H1449" s="20" t="s">
        <v>2761</v>
      </c>
      <c r="I1449" s="20"/>
      <c r="J1449" s="20">
        <v>1.0</v>
      </c>
      <c r="K1449" s="20">
        <v>99.0</v>
      </c>
      <c r="L1449" s="20"/>
      <c r="M1449" s="20">
        <v>99.0</v>
      </c>
      <c r="N1449" s="5" t="s">
        <v>67</v>
      </c>
      <c r="O1449" s="20" t="b">
        <v>0</v>
      </c>
      <c r="P1449" s="20" t="s">
        <v>74</v>
      </c>
      <c r="Q1449" s="20" t="s">
        <v>69</v>
      </c>
      <c r="R1449" s="20" t="s">
        <v>2763</v>
      </c>
      <c r="T1449" s="20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</row>
    <row r="1450">
      <c r="A1450" s="15" t="s">
        <v>7035</v>
      </c>
      <c r="B1450" s="19">
        <v>44382.80972222222</v>
      </c>
      <c r="C1450" s="20">
        <v>49859.0</v>
      </c>
      <c r="D1450" s="20" t="s">
        <v>4625</v>
      </c>
      <c r="E1450" s="20">
        <v>9.19512047001E11</v>
      </c>
      <c r="F1450" s="22" t="s">
        <v>12593</v>
      </c>
      <c r="G1450" s="20"/>
      <c r="H1450" s="20" t="s">
        <v>1133</v>
      </c>
      <c r="I1450" s="20"/>
      <c r="J1450" s="20">
        <v>1.0</v>
      </c>
      <c r="K1450" s="20">
        <v>99.0</v>
      </c>
      <c r="L1450" s="20"/>
      <c r="M1450" s="20">
        <v>99.0</v>
      </c>
      <c r="N1450" s="5" t="s">
        <v>67</v>
      </c>
      <c r="O1450" s="20" t="b">
        <v>0</v>
      </c>
      <c r="P1450" s="20" t="s">
        <v>74</v>
      </c>
      <c r="Q1450" s="20" t="s">
        <v>69</v>
      </c>
      <c r="R1450" s="20" t="s">
        <v>4620</v>
      </c>
      <c r="T1450" s="20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</row>
    <row r="1451">
      <c r="A1451" s="15" t="s">
        <v>7041</v>
      </c>
      <c r="B1451" s="19">
        <v>44382.85763888889</v>
      </c>
      <c r="C1451" s="20">
        <v>50033.0</v>
      </c>
      <c r="D1451" s="20" t="s">
        <v>5735</v>
      </c>
      <c r="E1451" s="20">
        <v>9.19967317033E11</v>
      </c>
      <c r="F1451" s="21">
        <v>17674.0</v>
      </c>
      <c r="G1451" s="20"/>
      <c r="H1451" s="20" t="s">
        <v>1727</v>
      </c>
      <c r="I1451" s="20"/>
      <c r="J1451" s="20">
        <v>1.0</v>
      </c>
      <c r="K1451" s="20">
        <v>99.0</v>
      </c>
      <c r="L1451" s="20"/>
      <c r="M1451" s="20">
        <v>99.0</v>
      </c>
      <c r="N1451" s="5" t="s">
        <v>67</v>
      </c>
      <c r="O1451" s="20" t="b">
        <v>0</v>
      </c>
      <c r="P1451" s="20" t="s">
        <v>74</v>
      </c>
      <c r="Q1451" s="20" t="s">
        <v>69</v>
      </c>
      <c r="R1451" s="20" t="s">
        <v>5731</v>
      </c>
      <c r="T1451" s="20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</row>
    <row r="1452">
      <c r="A1452" s="15" t="s">
        <v>7038</v>
      </c>
      <c r="B1452" s="19">
        <v>44382.84097222222</v>
      </c>
      <c r="C1452" s="20">
        <v>50031.0</v>
      </c>
      <c r="D1452" s="20" t="s">
        <v>4566</v>
      </c>
      <c r="E1452" s="20">
        <v>9.19980191207E11</v>
      </c>
      <c r="F1452" s="21">
        <v>17717.0</v>
      </c>
      <c r="G1452" s="20"/>
      <c r="H1452" s="20" t="s">
        <v>4561</v>
      </c>
      <c r="I1452" s="20"/>
      <c r="J1452" s="20">
        <v>1.0</v>
      </c>
      <c r="K1452" s="20">
        <v>99.0</v>
      </c>
      <c r="L1452" s="20"/>
      <c r="M1452" s="20">
        <v>99.0</v>
      </c>
      <c r="N1452" s="5" t="s">
        <v>67</v>
      </c>
      <c r="O1452" s="20" t="b">
        <v>0</v>
      </c>
      <c r="P1452" s="20" t="s">
        <v>68</v>
      </c>
      <c r="Q1452" s="20" t="s">
        <v>69</v>
      </c>
      <c r="R1452" s="20" t="s">
        <v>4563</v>
      </c>
      <c r="T1452" s="20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</row>
    <row r="1453">
      <c r="A1453" s="15" t="s">
        <v>6928</v>
      </c>
      <c r="B1453" s="19">
        <v>44352.799305555556</v>
      </c>
      <c r="C1453" s="20">
        <v>50073.0</v>
      </c>
      <c r="D1453" s="20" t="s">
        <v>6484</v>
      </c>
      <c r="E1453" s="20">
        <v>9.19560319957E11</v>
      </c>
      <c r="F1453" s="22" t="s">
        <v>12593</v>
      </c>
      <c r="G1453" s="20"/>
      <c r="H1453" s="20" t="s">
        <v>6466</v>
      </c>
      <c r="I1453" s="20"/>
      <c r="J1453" s="20">
        <v>1.0</v>
      </c>
      <c r="K1453" s="20">
        <v>599.0</v>
      </c>
      <c r="L1453" s="20"/>
      <c r="M1453" s="20">
        <v>599.0</v>
      </c>
      <c r="N1453" s="5" t="s">
        <v>67</v>
      </c>
      <c r="O1453" s="20" t="b">
        <v>0</v>
      </c>
      <c r="P1453" s="20" t="s">
        <v>68</v>
      </c>
      <c r="Q1453" s="20" t="s">
        <v>69</v>
      </c>
      <c r="R1453" s="20"/>
      <c r="T1453" s="20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</row>
    <row r="1454">
      <c r="A1454" s="15" t="s">
        <v>7042</v>
      </c>
      <c r="B1454" s="19">
        <v>44382.86041666667</v>
      </c>
      <c r="C1454" s="20">
        <v>50036.0</v>
      </c>
      <c r="D1454" s="20" t="s">
        <v>5711</v>
      </c>
      <c r="E1454" s="20">
        <v>9.17042102011E11</v>
      </c>
      <c r="F1454" s="21">
        <v>17675.0</v>
      </c>
      <c r="G1454" s="20"/>
      <c r="H1454" s="20" t="s">
        <v>1320</v>
      </c>
      <c r="I1454" s="20"/>
      <c r="J1454" s="20">
        <v>1.0</v>
      </c>
      <c r="K1454" s="20">
        <v>149.0</v>
      </c>
      <c r="L1454" s="20"/>
      <c r="M1454" s="20">
        <v>149.0</v>
      </c>
      <c r="N1454" s="5" t="s">
        <v>67</v>
      </c>
      <c r="O1454" s="20" t="b">
        <v>0</v>
      </c>
      <c r="P1454" s="20" t="s">
        <v>97</v>
      </c>
      <c r="Q1454" s="20" t="s">
        <v>69</v>
      </c>
      <c r="R1454" s="20" t="s">
        <v>5709</v>
      </c>
      <c r="T1454" s="20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</row>
    <row r="1455">
      <c r="A1455" s="15" t="s">
        <v>6925</v>
      </c>
      <c r="B1455" s="19">
        <v>44352.78680555556</v>
      </c>
      <c r="C1455" s="20">
        <v>50073.0</v>
      </c>
      <c r="D1455" s="20" t="s">
        <v>6482</v>
      </c>
      <c r="E1455" s="20">
        <v>9.1852734351E11</v>
      </c>
      <c r="F1455" s="21">
        <v>17606.0</v>
      </c>
      <c r="G1455" s="20"/>
      <c r="H1455" s="20" t="s">
        <v>6466</v>
      </c>
      <c r="I1455" s="20"/>
      <c r="J1455" s="20">
        <v>1.0</v>
      </c>
      <c r="K1455" s="20">
        <v>599.0</v>
      </c>
      <c r="L1455" s="20"/>
      <c r="M1455" s="20">
        <v>599.0</v>
      </c>
      <c r="N1455" s="5" t="s">
        <v>67</v>
      </c>
      <c r="O1455" s="20" t="b">
        <v>0</v>
      </c>
      <c r="P1455" s="20" t="s">
        <v>97</v>
      </c>
      <c r="Q1455" s="20" t="s">
        <v>69</v>
      </c>
      <c r="R1455" s="20"/>
      <c r="T1455" s="20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</row>
    <row r="1456">
      <c r="A1456" s="15" t="s">
        <v>7039</v>
      </c>
      <c r="B1456" s="19">
        <v>44382.84652777778</v>
      </c>
      <c r="C1456" s="20">
        <v>50031.0</v>
      </c>
      <c r="D1456" s="20" t="s">
        <v>4567</v>
      </c>
      <c r="E1456" s="20">
        <v>9.19873643575E11</v>
      </c>
      <c r="F1456" s="21">
        <v>17672.0</v>
      </c>
      <c r="G1456" s="20"/>
      <c r="H1456" s="20" t="s">
        <v>4561</v>
      </c>
      <c r="I1456" s="20"/>
      <c r="J1456" s="20">
        <v>6.0</v>
      </c>
      <c r="K1456" s="20">
        <v>349.0</v>
      </c>
      <c r="L1456" s="20"/>
      <c r="M1456" s="20">
        <v>349.0</v>
      </c>
      <c r="N1456" s="5" t="s">
        <v>67</v>
      </c>
      <c r="O1456" s="20" t="b">
        <v>0</v>
      </c>
      <c r="P1456" s="20" t="s">
        <v>151</v>
      </c>
      <c r="Q1456" s="20" t="s">
        <v>69</v>
      </c>
      <c r="R1456" s="20" t="s">
        <v>4563</v>
      </c>
      <c r="T1456" s="20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</row>
    <row r="1457">
      <c r="A1457" s="15" t="s">
        <v>7043</v>
      </c>
      <c r="B1457" s="19">
        <v>44382.86597222222</v>
      </c>
      <c r="C1457" s="20">
        <v>50009.0</v>
      </c>
      <c r="D1457" s="20" t="s">
        <v>2751</v>
      </c>
      <c r="E1457" s="20">
        <v>9.19811834466E11</v>
      </c>
      <c r="F1457" s="21">
        <v>0.0</v>
      </c>
      <c r="G1457" s="20"/>
      <c r="H1457" s="20" t="s">
        <v>1476</v>
      </c>
      <c r="I1457" s="20"/>
      <c r="J1457" s="20">
        <v>6.0</v>
      </c>
      <c r="K1457" s="20">
        <v>349.0</v>
      </c>
      <c r="L1457" s="20"/>
      <c r="M1457" s="20">
        <v>349.0</v>
      </c>
      <c r="N1457" s="5" t="s">
        <v>67</v>
      </c>
      <c r="O1457" s="20" t="b">
        <v>0</v>
      </c>
      <c r="P1457" s="20" t="s">
        <v>68</v>
      </c>
      <c r="Q1457" s="20" t="s">
        <v>69</v>
      </c>
      <c r="R1457" s="20" t="s">
        <v>2745</v>
      </c>
      <c r="T1457" s="20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</row>
    <row r="1458">
      <c r="A1458" s="15" t="s">
        <v>6931</v>
      </c>
      <c r="B1458" s="19">
        <v>44352.81597222222</v>
      </c>
      <c r="C1458" s="20">
        <v>50022.0</v>
      </c>
      <c r="D1458" s="20" t="s">
        <v>5191</v>
      </c>
      <c r="E1458" s="20">
        <v>9.17989972789E11</v>
      </c>
      <c r="F1458" s="21">
        <v>17608.0</v>
      </c>
      <c r="G1458" s="20"/>
      <c r="H1458" s="20" t="s">
        <v>5181</v>
      </c>
      <c r="I1458" s="20"/>
      <c r="J1458" s="20">
        <v>1.0</v>
      </c>
      <c r="K1458" s="20">
        <v>99.0</v>
      </c>
      <c r="L1458" s="20"/>
      <c r="M1458" s="20">
        <v>99.0</v>
      </c>
      <c r="N1458" s="5" t="s">
        <v>67</v>
      </c>
      <c r="O1458" s="20" t="b">
        <v>0</v>
      </c>
      <c r="P1458" s="20" t="s">
        <v>68</v>
      </c>
      <c r="Q1458" s="20" t="s">
        <v>69</v>
      </c>
      <c r="R1458" s="20" t="s">
        <v>5183</v>
      </c>
      <c r="T1458" s="20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</row>
    <row r="1459">
      <c r="A1459" s="15" t="s">
        <v>6934</v>
      </c>
      <c r="B1459" s="19">
        <v>44352.822222222225</v>
      </c>
      <c r="C1459" s="20">
        <v>49813.0</v>
      </c>
      <c r="D1459" s="20" t="s">
        <v>5119</v>
      </c>
      <c r="E1459" s="20">
        <v>9.198865253E11</v>
      </c>
      <c r="F1459" s="22" t="s">
        <v>12593</v>
      </c>
      <c r="G1459" s="20"/>
      <c r="H1459" s="20" t="s">
        <v>5114</v>
      </c>
      <c r="I1459" s="20"/>
      <c r="J1459" s="20">
        <v>1.0</v>
      </c>
      <c r="K1459" s="20">
        <v>299.0</v>
      </c>
      <c r="L1459" s="20"/>
      <c r="M1459" s="20">
        <v>299.0</v>
      </c>
      <c r="N1459" s="5" t="s">
        <v>67</v>
      </c>
      <c r="O1459" s="20" t="b">
        <v>0</v>
      </c>
      <c r="P1459" s="20" t="s">
        <v>68</v>
      </c>
      <c r="Q1459" s="20" t="s">
        <v>69</v>
      </c>
      <c r="R1459" s="20" t="s">
        <v>5116</v>
      </c>
      <c r="T1459" s="20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</row>
    <row r="1460">
      <c r="A1460" s="15" t="s">
        <v>7047</v>
      </c>
      <c r="B1460" s="19">
        <v>44382.899305555555</v>
      </c>
      <c r="C1460" s="20">
        <v>49995.0</v>
      </c>
      <c r="D1460" s="20" t="s">
        <v>5328</v>
      </c>
      <c r="E1460" s="20">
        <v>9.18779493309E11</v>
      </c>
      <c r="F1460" s="21">
        <v>17680.0</v>
      </c>
      <c r="G1460" s="20"/>
      <c r="H1460" s="20" t="s">
        <v>5321</v>
      </c>
      <c r="I1460" s="20"/>
      <c r="J1460" s="20">
        <v>1.0</v>
      </c>
      <c r="K1460" s="20">
        <v>99.0</v>
      </c>
      <c r="L1460" s="20"/>
      <c r="M1460" s="20">
        <v>99.0</v>
      </c>
      <c r="N1460" s="5" t="s">
        <v>67</v>
      </c>
      <c r="O1460" s="20" t="b">
        <v>0</v>
      </c>
      <c r="P1460" s="20" t="s">
        <v>68</v>
      </c>
      <c r="Q1460" s="20" t="s">
        <v>69</v>
      </c>
      <c r="R1460" s="20" t="s">
        <v>5323</v>
      </c>
      <c r="T1460" s="20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</row>
    <row r="1461">
      <c r="A1461" s="15" t="s">
        <v>7045</v>
      </c>
      <c r="B1461" s="19">
        <v>44382.88263888889</v>
      </c>
      <c r="C1461" s="20">
        <v>50054.0</v>
      </c>
      <c r="D1461" s="20" t="s">
        <v>5825</v>
      </c>
      <c r="E1461" s="20">
        <v>9.18627846157E11</v>
      </c>
      <c r="F1461" s="21">
        <v>17678.0</v>
      </c>
      <c r="G1461" s="20"/>
      <c r="H1461" s="20" t="s">
        <v>5822</v>
      </c>
      <c r="I1461" s="20"/>
      <c r="J1461" s="20">
        <v>1.0</v>
      </c>
      <c r="K1461" s="20">
        <v>99.0</v>
      </c>
      <c r="L1461" s="20"/>
      <c r="M1461" s="20">
        <v>99.0</v>
      </c>
      <c r="N1461" s="5" t="s">
        <v>67</v>
      </c>
      <c r="O1461" s="20" t="b">
        <v>0</v>
      </c>
      <c r="P1461" s="20" t="s">
        <v>68</v>
      </c>
      <c r="Q1461" s="20" t="s">
        <v>69</v>
      </c>
      <c r="R1461" s="20" t="s">
        <v>5824</v>
      </c>
      <c r="T1461" s="20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</row>
    <row r="1462">
      <c r="A1462" s="15" t="s">
        <v>7048</v>
      </c>
      <c r="B1462" s="19">
        <v>44445.67569444444</v>
      </c>
      <c r="C1462" s="20">
        <v>49813.0</v>
      </c>
      <c r="D1462" s="20" t="s">
        <v>5168</v>
      </c>
      <c r="E1462" s="5">
        <v>9.199113806E11</v>
      </c>
      <c r="F1462" s="21">
        <v>19744.0</v>
      </c>
      <c r="G1462" s="20"/>
      <c r="H1462" s="20" t="s">
        <v>5114</v>
      </c>
      <c r="I1462" s="5"/>
      <c r="J1462" s="20">
        <v>3.0</v>
      </c>
      <c r="K1462" s="20">
        <v>499.0</v>
      </c>
      <c r="L1462" s="20"/>
      <c r="M1462" s="20">
        <v>499.0</v>
      </c>
      <c r="N1462" s="5" t="s">
        <v>67</v>
      </c>
      <c r="O1462" s="20" t="b">
        <v>0</v>
      </c>
      <c r="P1462" s="20" t="s">
        <v>68</v>
      </c>
      <c r="Q1462" s="20" t="s">
        <v>69</v>
      </c>
      <c r="R1462" s="20" t="s">
        <v>5162</v>
      </c>
      <c r="T1462" s="20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</row>
    <row r="1463">
      <c r="A1463" s="15" t="s">
        <v>6935</v>
      </c>
      <c r="B1463" s="19">
        <v>44352.82916666667</v>
      </c>
      <c r="C1463" s="20">
        <v>50073.0</v>
      </c>
      <c r="D1463" s="20" t="s">
        <v>6487</v>
      </c>
      <c r="E1463" s="20">
        <v>9.19540023838E11</v>
      </c>
      <c r="F1463" s="22" t="s">
        <v>12593</v>
      </c>
      <c r="G1463" s="20"/>
      <c r="H1463" s="20" t="s">
        <v>6466</v>
      </c>
      <c r="I1463" s="20"/>
      <c r="J1463" s="20">
        <v>1.0</v>
      </c>
      <c r="K1463" s="20">
        <v>599.0</v>
      </c>
      <c r="L1463" s="20"/>
      <c r="M1463" s="20">
        <v>599.0</v>
      </c>
      <c r="N1463" s="5" t="s">
        <v>67</v>
      </c>
      <c r="O1463" s="20" t="b">
        <v>0</v>
      </c>
      <c r="P1463" s="20" t="s">
        <v>97</v>
      </c>
      <c r="Q1463" s="20" t="s">
        <v>69</v>
      </c>
      <c r="R1463" s="20"/>
      <c r="T1463" s="20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</row>
    <row r="1464">
      <c r="A1464" s="15" t="s">
        <v>6937</v>
      </c>
      <c r="B1464" s="19">
        <v>44352.84652777778</v>
      </c>
      <c r="C1464" s="20">
        <v>50040.0</v>
      </c>
      <c r="D1464" s="20" t="s">
        <v>5404</v>
      </c>
      <c r="E1464" s="20">
        <v>9.19711990351E11</v>
      </c>
      <c r="F1464" s="21">
        <v>17612.0</v>
      </c>
      <c r="G1464" s="20"/>
      <c r="H1464" s="20" t="s">
        <v>5400</v>
      </c>
      <c r="I1464" s="20"/>
      <c r="J1464" s="20">
        <v>3.0</v>
      </c>
      <c r="K1464" s="20">
        <v>199.0</v>
      </c>
      <c r="L1464" s="20"/>
      <c r="M1464" s="20">
        <v>199.0</v>
      </c>
      <c r="N1464" s="5" t="s">
        <v>67</v>
      </c>
      <c r="O1464" s="20" t="b">
        <v>0</v>
      </c>
      <c r="P1464" s="20" t="s">
        <v>68</v>
      </c>
      <c r="Q1464" s="20" t="s">
        <v>69</v>
      </c>
      <c r="R1464" s="20" t="s">
        <v>5402</v>
      </c>
      <c r="T1464" s="20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</row>
    <row r="1465">
      <c r="A1465" s="15" t="s">
        <v>6936</v>
      </c>
      <c r="B1465" s="19">
        <v>44352.83125</v>
      </c>
      <c r="C1465" s="20">
        <v>50015.0</v>
      </c>
      <c r="D1465" s="20" t="s">
        <v>2708</v>
      </c>
      <c r="E1465" s="20">
        <v>9.19503168128E11</v>
      </c>
      <c r="F1465" s="21">
        <v>17610.0</v>
      </c>
      <c r="G1465" s="20"/>
      <c r="H1465" s="20" t="s">
        <v>2702</v>
      </c>
      <c r="I1465" s="20"/>
      <c r="J1465" s="20">
        <v>1.0</v>
      </c>
      <c r="K1465" s="20">
        <v>99.0</v>
      </c>
      <c r="L1465" s="20"/>
      <c r="M1465" s="20">
        <v>99.0</v>
      </c>
      <c r="N1465" s="5" t="s">
        <v>67</v>
      </c>
      <c r="O1465" s="20" t="b">
        <v>0</v>
      </c>
      <c r="P1465" s="20" t="s">
        <v>68</v>
      </c>
      <c r="Q1465" s="20" t="s">
        <v>69</v>
      </c>
      <c r="R1465" s="20" t="s">
        <v>2704</v>
      </c>
      <c r="T1465" s="20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</row>
    <row r="1466">
      <c r="A1466" s="15" t="s">
        <v>7046</v>
      </c>
      <c r="B1466" s="19">
        <v>44382.89166666667</v>
      </c>
      <c r="C1466" s="20">
        <v>50030.0</v>
      </c>
      <c r="D1466" s="20" t="s">
        <v>3334</v>
      </c>
      <c r="E1466" s="20">
        <v>9.19815342594E11</v>
      </c>
      <c r="F1466" s="21">
        <v>17679.0</v>
      </c>
      <c r="G1466" s="20"/>
      <c r="H1466" s="20" t="s">
        <v>3326</v>
      </c>
      <c r="I1466" s="20"/>
      <c r="J1466" s="20">
        <v>1.0</v>
      </c>
      <c r="K1466" s="20">
        <v>99.0</v>
      </c>
      <c r="L1466" s="20"/>
      <c r="M1466" s="20">
        <v>99.0</v>
      </c>
      <c r="N1466" s="5" t="s">
        <v>67</v>
      </c>
      <c r="O1466" s="20" t="b">
        <v>0</v>
      </c>
      <c r="P1466" s="20" t="s">
        <v>74</v>
      </c>
      <c r="Q1466" s="20" t="s">
        <v>69</v>
      </c>
      <c r="R1466" s="20" t="s">
        <v>3328</v>
      </c>
      <c r="T1466" s="20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</row>
    <row r="1467">
      <c r="A1467" s="15" t="s">
        <v>7049</v>
      </c>
      <c r="B1467" s="19">
        <v>44382.91736111111</v>
      </c>
      <c r="C1467" s="20">
        <v>50033.0</v>
      </c>
      <c r="D1467" s="20" t="s">
        <v>5736</v>
      </c>
      <c r="E1467" s="20">
        <v>9.19703030473E11</v>
      </c>
      <c r="F1467" s="21">
        <v>17681.0</v>
      </c>
      <c r="G1467" s="20"/>
      <c r="H1467" s="20" t="s">
        <v>1727</v>
      </c>
      <c r="I1467" s="20"/>
      <c r="J1467" s="20">
        <v>6.0</v>
      </c>
      <c r="K1467" s="20">
        <v>349.0</v>
      </c>
      <c r="L1467" s="20"/>
      <c r="M1467" s="20">
        <v>349.0</v>
      </c>
      <c r="N1467" s="5" t="s">
        <v>67</v>
      </c>
      <c r="O1467" s="20" t="b">
        <v>0</v>
      </c>
      <c r="P1467" s="20" t="s">
        <v>68</v>
      </c>
      <c r="Q1467" s="20" t="s">
        <v>69</v>
      </c>
      <c r="R1467" s="20" t="s">
        <v>5731</v>
      </c>
      <c r="T1467" s="20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</row>
    <row r="1468">
      <c r="A1468" s="15" t="s">
        <v>7050</v>
      </c>
      <c r="B1468" s="19">
        <v>44382.91805555556</v>
      </c>
      <c r="C1468" s="20">
        <v>50015.0</v>
      </c>
      <c r="D1468" s="20" t="s">
        <v>2710</v>
      </c>
      <c r="E1468" s="20">
        <v>9.18198012777E11</v>
      </c>
      <c r="F1468" s="21">
        <v>17682.0</v>
      </c>
      <c r="G1468" s="20"/>
      <c r="H1468" s="20" t="s">
        <v>2702</v>
      </c>
      <c r="I1468" s="20"/>
      <c r="J1468" s="20">
        <v>3.0</v>
      </c>
      <c r="K1468" s="20">
        <v>199.0</v>
      </c>
      <c r="L1468" s="20"/>
      <c r="M1468" s="20">
        <v>199.0</v>
      </c>
      <c r="N1468" s="5" t="s">
        <v>67</v>
      </c>
      <c r="O1468" s="20" t="b">
        <v>0</v>
      </c>
      <c r="P1468" s="20" t="s">
        <v>68</v>
      </c>
      <c r="Q1468" s="20" t="s">
        <v>69</v>
      </c>
      <c r="R1468" s="20" t="s">
        <v>2704</v>
      </c>
      <c r="T1468" s="20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</row>
    <row r="1469">
      <c r="A1469" s="15" t="s">
        <v>7052</v>
      </c>
      <c r="B1469" s="19">
        <v>44382.93541666667</v>
      </c>
      <c r="C1469" s="20">
        <v>49844.0</v>
      </c>
      <c r="D1469" s="20" t="s">
        <v>5451</v>
      </c>
      <c r="E1469" s="20">
        <v>9.1800197683E11</v>
      </c>
      <c r="F1469" s="21">
        <v>17684.0</v>
      </c>
      <c r="G1469" s="20"/>
      <c r="H1469" s="20" t="s">
        <v>885</v>
      </c>
      <c r="I1469" s="20"/>
      <c r="J1469" s="20">
        <v>3.0</v>
      </c>
      <c r="K1469" s="20">
        <v>199.0</v>
      </c>
      <c r="L1469" s="20"/>
      <c r="M1469" s="20">
        <v>199.0</v>
      </c>
      <c r="N1469" s="5" t="s">
        <v>67</v>
      </c>
      <c r="O1469" s="20" t="b">
        <v>0</v>
      </c>
      <c r="P1469" s="20" t="s">
        <v>151</v>
      </c>
      <c r="Q1469" s="20" t="s">
        <v>69</v>
      </c>
      <c r="R1469" s="20" t="s">
        <v>5445</v>
      </c>
      <c r="T1469" s="20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</row>
    <row r="1470">
      <c r="A1470" s="15" t="s">
        <v>6940</v>
      </c>
      <c r="B1470" s="19">
        <v>44352.87777777778</v>
      </c>
      <c r="C1470" s="20">
        <v>49997.0</v>
      </c>
      <c r="D1470" s="20" t="s">
        <v>2468</v>
      </c>
      <c r="E1470" s="20">
        <v>9.17838604128E11</v>
      </c>
      <c r="F1470" s="21">
        <v>17613.0</v>
      </c>
      <c r="G1470" s="20"/>
      <c r="H1470" s="20" t="s">
        <v>2455</v>
      </c>
      <c r="I1470" s="20"/>
      <c r="J1470" s="20">
        <v>1.0</v>
      </c>
      <c r="K1470" s="20">
        <v>99.0</v>
      </c>
      <c r="L1470" s="20"/>
      <c r="M1470" s="20">
        <v>99.0</v>
      </c>
      <c r="N1470" s="5" t="s">
        <v>67</v>
      </c>
      <c r="O1470" s="20" t="b">
        <v>0</v>
      </c>
      <c r="P1470" s="20" t="s">
        <v>68</v>
      </c>
      <c r="Q1470" s="20" t="s">
        <v>69</v>
      </c>
      <c r="R1470" s="20" t="s">
        <v>2457</v>
      </c>
      <c r="T1470" s="20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</row>
    <row r="1471">
      <c r="A1471" s="15" t="s">
        <v>6941</v>
      </c>
      <c r="B1471" s="19">
        <v>44352.88958333333</v>
      </c>
      <c r="C1471" s="20">
        <v>50032.0</v>
      </c>
      <c r="D1471" s="20" t="s">
        <v>5098</v>
      </c>
      <c r="E1471" s="20">
        <v>9.1966685036E11</v>
      </c>
      <c r="F1471" s="21">
        <v>17615.0</v>
      </c>
      <c r="G1471" s="20"/>
      <c r="H1471" s="20" t="s">
        <v>1982</v>
      </c>
      <c r="I1471" s="20"/>
      <c r="J1471" s="20">
        <v>3.0</v>
      </c>
      <c r="K1471" s="20">
        <v>199.0</v>
      </c>
      <c r="L1471" s="20"/>
      <c r="M1471" s="20">
        <v>199.0</v>
      </c>
      <c r="N1471" s="5" t="s">
        <v>67</v>
      </c>
      <c r="O1471" s="20" t="b">
        <v>0</v>
      </c>
      <c r="P1471" s="20" t="s">
        <v>68</v>
      </c>
      <c r="Q1471" s="20" t="s">
        <v>69</v>
      </c>
      <c r="R1471" s="20"/>
      <c r="T1471" s="20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</row>
    <row r="1472">
      <c r="A1472" s="15" t="s">
        <v>7053</v>
      </c>
      <c r="B1472" s="19">
        <v>44382.95694444444</v>
      </c>
      <c r="C1472" s="20">
        <v>49907.0</v>
      </c>
      <c r="D1472" s="20" t="s">
        <v>3775</v>
      </c>
      <c r="E1472" s="20">
        <v>9.17675899818E11</v>
      </c>
      <c r="F1472" s="21">
        <v>0.0</v>
      </c>
      <c r="G1472" s="20"/>
      <c r="H1472" s="20" t="s">
        <v>587</v>
      </c>
      <c r="I1472" s="20"/>
      <c r="J1472" s="20">
        <v>3.0</v>
      </c>
      <c r="K1472" s="20">
        <v>199.0</v>
      </c>
      <c r="L1472" s="20"/>
      <c r="M1472" s="20">
        <v>199.0</v>
      </c>
      <c r="N1472" s="5" t="s">
        <v>67</v>
      </c>
      <c r="O1472" s="20" t="b">
        <v>0</v>
      </c>
      <c r="P1472" s="20" t="s">
        <v>68</v>
      </c>
      <c r="Q1472" s="20" t="s">
        <v>69</v>
      </c>
      <c r="R1472" s="20" t="s">
        <v>3774</v>
      </c>
      <c r="T1472" s="20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</row>
    <row r="1473">
      <c r="A1473" s="15" t="s">
        <v>7051</v>
      </c>
      <c r="B1473" s="19">
        <v>44382.933333333334</v>
      </c>
      <c r="C1473" s="20">
        <v>50054.0</v>
      </c>
      <c r="D1473" s="20" t="s">
        <v>5826</v>
      </c>
      <c r="E1473" s="20">
        <v>9.18279464936E11</v>
      </c>
      <c r="F1473" s="21">
        <v>17683.0</v>
      </c>
      <c r="G1473" s="20"/>
      <c r="H1473" s="20" t="s">
        <v>5822</v>
      </c>
      <c r="I1473" s="20"/>
      <c r="J1473" s="20">
        <v>1.0</v>
      </c>
      <c r="K1473" s="20">
        <v>99.0</v>
      </c>
      <c r="L1473" s="20"/>
      <c r="M1473" s="20">
        <v>99.0</v>
      </c>
      <c r="N1473" s="5" t="s">
        <v>67</v>
      </c>
      <c r="O1473" s="20" t="b">
        <v>0</v>
      </c>
      <c r="P1473" s="20" t="s">
        <v>68</v>
      </c>
      <c r="Q1473" s="20" t="s">
        <v>69</v>
      </c>
      <c r="R1473" s="20" t="s">
        <v>5824</v>
      </c>
      <c r="T1473" s="20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</row>
    <row r="1474">
      <c r="A1474" s="15" t="s">
        <v>6942</v>
      </c>
      <c r="B1474" s="19">
        <v>44352.89444444444</v>
      </c>
      <c r="C1474" s="20">
        <v>50020.0</v>
      </c>
      <c r="D1474" s="20" t="s">
        <v>3012</v>
      </c>
      <c r="E1474" s="20">
        <v>9.19820237817E11</v>
      </c>
      <c r="F1474" s="21">
        <v>17616.0</v>
      </c>
      <c r="G1474" s="20"/>
      <c r="H1474" s="20" t="s">
        <v>3008</v>
      </c>
      <c r="I1474" s="20"/>
      <c r="J1474" s="20">
        <v>1.0</v>
      </c>
      <c r="K1474" s="20">
        <v>99.0</v>
      </c>
      <c r="L1474" s="20"/>
      <c r="M1474" s="20">
        <v>99.0</v>
      </c>
      <c r="N1474" s="5" t="s">
        <v>67</v>
      </c>
      <c r="O1474" s="20" t="b">
        <v>0</v>
      </c>
      <c r="P1474" s="20" t="s">
        <v>74</v>
      </c>
      <c r="Q1474" s="20" t="s">
        <v>69</v>
      </c>
      <c r="R1474" s="20" t="s">
        <v>3010</v>
      </c>
      <c r="T1474" s="20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</row>
    <row r="1475">
      <c r="A1475" s="15" t="s">
        <v>7056</v>
      </c>
      <c r="B1475" s="19">
        <v>44382.97777777778</v>
      </c>
      <c r="C1475" s="20">
        <v>50040.0</v>
      </c>
      <c r="D1475" s="20" t="s">
        <v>5406</v>
      </c>
      <c r="E1475" s="20">
        <v>9.19788178548E11</v>
      </c>
      <c r="F1475" s="21">
        <v>0.0</v>
      </c>
      <c r="G1475" s="20"/>
      <c r="H1475" s="20" t="s">
        <v>5400</v>
      </c>
      <c r="I1475" s="20"/>
      <c r="J1475" s="20">
        <v>1.0</v>
      </c>
      <c r="K1475" s="20">
        <v>99.0</v>
      </c>
      <c r="L1475" s="20"/>
      <c r="M1475" s="20">
        <v>99.0</v>
      </c>
      <c r="N1475" s="5" t="s">
        <v>67</v>
      </c>
      <c r="O1475" s="20" t="b">
        <v>0</v>
      </c>
      <c r="P1475" s="20" t="s">
        <v>68</v>
      </c>
      <c r="Q1475" s="20" t="s">
        <v>69</v>
      </c>
      <c r="R1475" s="20" t="s">
        <v>5402</v>
      </c>
      <c r="T1475" s="20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</row>
    <row r="1476">
      <c r="A1476" s="15" t="s">
        <v>6943</v>
      </c>
      <c r="B1476" s="19">
        <v>44352.90347222222</v>
      </c>
      <c r="C1476" s="20">
        <v>49997.0</v>
      </c>
      <c r="D1476" s="20" t="s">
        <v>2469</v>
      </c>
      <c r="E1476" s="20">
        <v>9.19804294752E11</v>
      </c>
      <c r="F1476" s="21">
        <v>17617.0</v>
      </c>
      <c r="G1476" s="20"/>
      <c r="H1476" s="20" t="s">
        <v>2455</v>
      </c>
      <c r="I1476" s="20"/>
      <c r="J1476" s="20">
        <v>1.0</v>
      </c>
      <c r="K1476" s="20">
        <v>99.0</v>
      </c>
      <c r="L1476" s="20"/>
      <c r="M1476" s="20">
        <v>99.0</v>
      </c>
      <c r="N1476" s="5" t="s">
        <v>67</v>
      </c>
      <c r="O1476" s="20" t="b">
        <v>0</v>
      </c>
      <c r="P1476" s="20" t="s">
        <v>68</v>
      </c>
      <c r="Q1476" s="20" t="s">
        <v>69</v>
      </c>
      <c r="R1476" s="20" t="s">
        <v>2457</v>
      </c>
      <c r="T1476" s="20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</row>
    <row r="1477">
      <c r="A1477" s="15" t="s">
        <v>6944</v>
      </c>
      <c r="B1477" s="19">
        <v>44352.92916666667</v>
      </c>
      <c r="C1477" s="20">
        <v>49859.0</v>
      </c>
      <c r="D1477" s="20" t="s">
        <v>4622</v>
      </c>
      <c r="E1477" s="20">
        <v>9.19746889346E11</v>
      </c>
      <c r="F1477" s="21">
        <v>17586.0</v>
      </c>
      <c r="G1477" s="20"/>
      <c r="H1477" s="20" t="s">
        <v>1133</v>
      </c>
      <c r="I1477" s="20"/>
      <c r="J1477" s="20">
        <v>1.0</v>
      </c>
      <c r="K1477" s="20">
        <v>99.0</v>
      </c>
      <c r="L1477" s="20"/>
      <c r="M1477" s="20">
        <v>99.0</v>
      </c>
      <c r="N1477" s="5" t="s">
        <v>67</v>
      </c>
      <c r="O1477" s="20" t="b">
        <v>0</v>
      </c>
      <c r="P1477" s="20" t="s">
        <v>68</v>
      </c>
      <c r="Q1477" s="20" t="s">
        <v>69</v>
      </c>
      <c r="R1477" s="20" t="s">
        <v>4620</v>
      </c>
      <c r="T1477" s="20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</row>
    <row r="1478">
      <c r="A1478" s="15" t="s">
        <v>7055</v>
      </c>
      <c r="B1478" s="19">
        <v>44382.97222222222</v>
      </c>
      <c r="C1478" s="20">
        <v>49813.0</v>
      </c>
      <c r="D1478" s="20" t="s">
        <v>5122</v>
      </c>
      <c r="E1478" s="20">
        <v>9.19885021219E11</v>
      </c>
      <c r="F1478" s="22" t="s">
        <v>12593</v>
      </c>
      <c r="G1478" s="20"/>
      <c r="H1478" s="20" t="s">
        <v>5114</v>
      </c>
      <c r="I1478" s="20"/>
      <c r="J1478" s="20">
        <v>6.0</v>
      </c>
      <c r="K1478" s="20">
        <v>799.0</v>
      </c>
      <c r="L1478" s="20"/>
      <c r="M1478" s="20">
        <v>799.0</v>
      </c>
      <c r="N1478" s="5" t="s">
        <v>67</v>
      </c>
      <c r="O1478" s="20" t="b">
        <v>0</v>
      </c>
      <c r="P1478" s="20" t="s">
        <v>74</v>
      </c>
      <c r="Q1478" s="20" t="s">
        <v>69</v>
      </c>
      <c r="R1478" s="20" t="s">
        <v>5116</v>
      </c>
      <c r="T1478" s="20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</row>
    <row r="1479">
      <c r="A1479" s="15" t="s">
        <v>7059</v>
      </c>
      <c r="B1479" s="19">
        <v>44413.018055555556</v>
      </c>
      <c r="C1479" s="20">
        <v>49859.0</v>
      </c>
      <c r="D1479" s="20" t="s">
        <v>4631</v>
      </c>
      <c r="E1479" s="20">
        <v>9.19769493632E11</v>
      </c>
      <c r="F1479" s="21">
        <v>17689.0</v>
      </c>
      <c r="G1479" s="20"/>
      <c r="H1479" s="20" t="s">
        <v>1133</v>
      </c>
      <c r="I1479" s="20"/>
      <c r="J1479" s="20">
        <v>6.0</v>
      </c>
      <c r="K1479" s="20">
        <v>349.0</v>
      </c>
      <c r="L1479" s="20"/>
      <c r="M1479" s="20">
        <v>349.0</v>
      </c>
      <c r="N1479" s="5" t="s">
        <v>67</v>
      </c>
      <c r="O1479" s="20" t="b">
        <v>0</v>
      </c>
      <c r="P1479" s="20" t="s">
        <v>68</v>
      </c>
      <c r="Q1479" s="20" t="s">
        <v>69</v>
      </c>
      <c r="R1479" s="20" t="s">
        <v>4620</v>
      </c>
      <c r="T1479" s="20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</row>
    <row r="1480">
      <c r="A1480" s="15" t="s">
        <v>7057</v>
      </c>
      <c r="B1480" s="19">
        <v>44413.004166666666</v>
      </c>
      <c r="C1480" s="20">
        <v>50011.0</v>
      </c>
      <c r="D1480" s="20" t="s">
        <v>5096</v>
      </c>
      <c r="E1480" s="20">
        <v>9.1809701272E11</v>
      </c>
      <c r="F1480" s="21">
        <v>17685.0</v>
      </c>
      <c r="G1480" s="20"/>
      <c r="H1480" s="20" t="s">
        <v>1585</v>
      </c>
      <c r="I1480" s="20"/>
      <c r="J1480" s="20">
        <v>1.0</v>
      </c>
      <c r="K1480" s="20">
        <v>99.0</v>
      </c>
      <c r="L1480" s="20"/>
      <c r="M1480" s="20">
        <v>99.0</v>
      </c>
      <c r="N1480" s="5" t="s">
        <v>67</v>
      </c>
      <c r="O1480" s="20" t="b">
        <v>0</v>
      </c>
      <c r="P1480" s="20" t="s">
        <v>68</v>
      </c>
      <c r="Q1480" s="20" t="s">
        <v>69</v>
      </c>
      <c r="R1480" s="20"/>
      <c r="T1480" s="20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</row>
    <row r="1481">
      <c r="A1481" s="15" t="s">
        <v>7058</v>
      </c>
      <c r="B1481" s="19">
        <v>44413.00625</v>
      </c>
      <c r="C1481" s="20">
        <v>50033.0</v>
      </c>
      <c r="D1481" s="20" t="s">
        <v>5741</v>
      </c>
      <c r="E1481" s="20">
        <v>9.17204595392E11</v>
      </c>
      <c r="F1481" s="21">
        <v>17688.0</v>
      </c>
      <c r="G1481" s="20"/>
      <c r="H1481" s="20" t="s">
        <v>1727</v>
      </c>
      <c r="I1481" s="20"/>
      <c r="J1481" s="20">
        <v>6.0</v>
      </c>
      <c r="K1481" s="20">
        <v>349.0</v>
      </c>
      <c r="L1481" s="20"/>
      <c r="M1481" s="20">
        <v>349.0</v>
      </c>
      <c r="N1481" s="5" t="s">
        <v>67</v>
      </c>
      <c r="O1481" s="20" t="b">
        <v>0</v>
      </c>
      <c r="P1481" s="20" t="s">
        <v>68</v>
      </c>
      <c r="Q1481" s="20" t="s">
        <v>69</v>
      </c>
      <c r="R1481" s="20" t="s">
        <v>5731</v>
      </c>
      <c r="T1481" s="20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</row>
    <row r="1482">
      <c r="A1482" s="15" t="s">
        <v>7060</v>
      </c>
      <c r="B1482" s="19">
        <v>44413.04305555556</v>
      </c>
      <c r="C1482" s="20">
        <v>50009.0</v>
      </c>
      <c r="D1482" s="20" t="s">
        <v>2753</v>
      </c>
      <c r="E1482" s="20">
        <v>9.19742366473E11</v>
      </c>
      <c r="F1482" s="21">
        <v>17691.0</v>
      </c>
      <c r="G1482" s="20"/>
      <c r="H1482" s="20" t="s">
        <v>1476</v>
      </c>
      <c r="I1482" s="20"/>
      <c r="J1482" s="20">
        <v>1.0</v>
      </c>
      <c r="K1482" s="20">
        <v>99.0</v>
      </c>
      <c r="L1482" s="20"/>
      <c r="M1482" s="20">
        <v>99.0</v>
      </c>
      <c r="N1482" s="5" t="s">
        <v>67</v>
      </c>
      <c r="O1482" s="20" t="b">
        <v>0</v>
      </c>
      <c r="P1482" s="20" t="s">
        <v>68</v>
      </c>
      <c r="Q1482" s="20" t="s">
        <v>69</v>
      </c>
      <c r="R1482" s="20" t="s">
        <v>2745</v>
      </c>
      <c r="T1482" s="20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</row>
    <row r="1483">
      <c r="A1483" s="1" t="s">
        <v>8624</v>
      </c>
      <c r="B1483" s="19" t="s">
        <v>2819</v>
      </c>
      <c r="C1483" s="20">
        <v>50029.0</v>
      </c>
      <c r="D1483" s="20" t="s">
        <v>2818</v>
      </c>
      <c r="E1483" s="20">
        <v>9.19861041424E11</v>
      </c>
      <c r="F1483" s="21">
        <v>17692.0</v>
      </c>
      <c r="G1483" s="20"/>
      <c r="H1483" s="20" t="s">
        <v>2761</v>
      </c>
      <c r="I1483" s="20"/>
      <c r="J1483" s="20">
        <v>3.0</v>
      </c>
      <c r="K1483" s="20">
        <v>199.0</v>
      </c>
      <c r="L1483" s="20"/>
      <c r="M1483" s="20">
        <v>199.0</v>
      </c>
      <c r="N1483" s="5" t="s">
        <v>67</v>
      </c>
      <c r="O1483" s="20" t="b">
        <v>0</v>
      </c>
      <c r="P1483" s="20" t="s">
        <v>68</v>
      </c>
      <c r="Q1483" s="20" t="s">
        <v>69</v>
      </c>
      <c r="R1483" s="20" t="s">
        <v>2763</v>
      </c>
      <c r="T1483" s="20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</row>
    <row r="1484">
      <c r="A1484" s="1" t="s">
        <v>12207</v>
      </c>
      <c r="B1484" s="19" t="s">
        <v>3676</v>
      </c>
      <c r="C1484" s="20">
        <v>50136.0</v>
      </c>
      <c r="D1484" s="20" t="s">
        <v>2818</v>
      </c>
      <c r="E1484" s="5">
        <v>9.19861041424E11</v>
      </c>
      <c r="F1484" s="21">
        <v>17692.0</v>
      </c>
      <c r="G1484" s="20"/>
      <c r="H1484" s="20" t="s">
        <v>3618</v>
      </c>
      <c r="I1484" s="5"/>
      <c r="J1484" s="20">
        <v>3.0</v>
      </c>
      <c r="K1484" s="20">
        <v>199.0</v>
      </c>
      <c r="L1484" s="20"/>
      <c r="M1484" s="20">
        <v>199.0</v>
      </c>
      <c r="N1484" s="5" t="s">
        <v>67</v>
      </c>
      <c r="O1484" s="20" t="b">
        <v>0</v>
      </c>
      <c r="P1484" s="20" t="s">
        <v>68</v>
      </c>
      <c r="Q1484" s="20" t="s">
        <v>69</v>
      </c>
      <c r="R1484" s="20" t="s">
        <v>3624</v>
      </c>
      <c r="T1484" s="20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</row>
    <row r="1485">
      <c r="A1485" s="1" t="s">
        <v>7063</v>
      </c>
      <c r="B1485" s="19">
        <v>44413.069444444445</v>
      </c>
      <c r="C1485" s="20">
        <v>50043.0</v>
      </c>
      <c r="D1485" s="20" t="s">
        <v>2818</v>
      </c>
      <c r="E1485" s="20">
        <v>9.19861041424E11</v>
      </c>
      <c r="F1485" s="21">
        <v>17692.0</v>
      </c>
      <c r="G1485" s="20"/>
      <c r="H1485" s="20" t="s">
        <v>6367</v>
      </c>
      <c r="I1485" s="20"/>
      <c r="J1485" s="20">
        <v>3.0</v>
      </c>
      <c r="K1485" s="20">
        <v>199.0</v>
      </c>
      <c r="L1485" s="20"/>
      <c r="M1485" s="20">
        <v>199.0</v>
      </c>
      <c r="N1485" s="5" t="s">
        <v>67</v>
      </c>
      <c r="O1485" s="20" t="b">
        <v>0</v>
      </c>
      <c r="P1485" s="20" t="s">
        <v>68</v>
      </c>
      <c r="Q1485" s="20" t="s">
        <v>69</v>
      </c>
      <c r="R1485" s="20" t="s">
        <v>6369</v>
      </c>
      <c r="T1485" s="20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</row>
    <row r="1486">
      <c r="A1486" s="15" t="s">
        <v>7064</v>
      </c>
      <c r="B1486" s="19">
        <v>44413.126388888886</v>
      </c>
      <c r="C1486" s="20">
        <v>50033.0</v>
      </c>
      <c r="D1486" s="20" t="s">
        <v>5738</v>
      </c>
      <c r="E1486" s="20">
        <v>9.19873108915E11</v>
      </c>
      <c r="F1486" s="21">
        <v>17693.0</v>
      </c>
      <c r="G1486" s="20"/>
      <c r="H1486" s="20" t="s">
        <v>1727</v>
      </c>
      <c r="I1486" s="20"/>
      <c r="J1486" s="20">
        <v>3.0</v>
      </c>
      <c r="K1486" s="20">
        <v>199.0</v>
      </c>
      <c r="L1486" s="20"/>
      <c r="M1486" s="20">
        <v>199.0</v>
      </c>
      <c r="N1486" s="5" t="s">
        <v>67</v>
      </c>
      <c r="O1486" s="20" t="b">
        <v>0</v>
      </c>
      <c r="P1486" s="20" t="s">
        <v>68</v>
      </c>
      <c r="Q1486" s="20" t="s">
        <v>69</v>
      </c>
      <c r="R1486" s="20" t="s">
        <v>5731</v>
      </c>
      <c r="T1486" s="20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</row>
    <row r="1487">
      <c r="A1487" s="15" t="s">
        <v>7066</v>
      </c>
      <c r="B1487" s="19">
        <v>44413.25277777778</v>
      </c>
      <c r="C1487" s="20">
        <v>49995.0</v>
      </c>
      <c r="D1487" s="20" t="s">
        <v>5332</v>
      </c>
      <c r="E1487" s="20">
        <v>9.16281238063E11</v>
      </c>
      <c r="F1487" s="21">
        <v>0.0</v>
      </c>
      <c r="G1487" s="20"/>
      <c r="H1487" s="20" t="s">
        <v>5321</v>
      </c>
      <c r="I1487" s="20"/>
      <c r="J1487" s="20">
        <v>1.0</v>
      </c>
      <c r="K1487" s="20">
        <v>99.0</v>
      </c>
      <c r="L1487" s="20"/>
      <c r="M1487" s="20">
        <v>99.0</v>
      </c>
      <c r="N1487" s="5" t="s">
        <v>67</v>
      </c>
      <c r="O1487" s="20" t="b">
        <v>0</v>
      </c>
      <c r="P1487" s="20" t="s">
        <v>68</v>
      </c>
      <c r="Q1487" s="20" t="s">
        <v>69</v>
      </c>
      <c r="R1487" s="20" t="s">
        <v>5323</v>
      </c>
      <c r="T1487" s="20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</row>
    <row r="1488">
      <c r="A1488" s="15" t="s">
        <v>7069</v>
      </c>
      <c r="B1488" s="19">
        <v>44413.28611111111</v>
      </c>
      <c r="C1488" s="20">
        <v>49951.0</v>
      </c>
      <c r="D1488" s="20" t="s">
        <v>4888</v>
      </c>
      <c r="E1488" s="20">
        <v>9.18852549108E11</v>
      </c>
      <c r="F1488" s="21">
        <v>17694.0</v>
      </c>
      <c r="G1488" s="20"/>
      <c r="H1488" s="20" t="s">
        <v>4887</v>
      </c>
      <c r="I1488" s="20"/>
      <c r="J1488" s="20">
        <v>3.0</v>
      </c>
      <c r="K1488" s="20">
        <v>199.0</v>
      </c>
      <c r="L1488" s="20"/>
      <c r="M1488" s="20">
        <v>199.0</v>
      </c>
      <c r="N1488" s="5" t="s">
        <v>67</v>
      </c>
      <c r="O1488" s="20" t="b">
        <v>0</v>
      </c>
      <c r="P1488" s="20" t="s">
        <v>68</v>
      </c>
      <c r="Q1488" s="20" t="s">
        <v>69</v>
      </c>
      <c r="R1488" s="20" t="s">
        <v>4889</v>
      </c>
      <c r="T1488" s="20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</row>
    <row r="1489">
      <c r="A1489" s="15" t="s">
        <v>7070</v>
      </c>
      <c r="B1489" s="19">
        <v>44413.33541666667</v>
      </c>
      <c r="C1489" s="20">
        <v>50054.0</v>
      </c>
      <c r="D1489" s="20" t="s">
        <v>5830</v>
      </c>
      <c r="E1489" s="20">
        <v>9.17977507964E11</v>
      </c>
      <c r="F1489" s="21">
        <v>17695.0</v>
      </c>
      <c r="G1489" s="20"/>
      <c r="H1489" s="20" t="s">
        <v>5822</v>
      </c>
      <c r="I1489" s="20"/>
      <c r="J1489" s="20">
        <v>1.0</v>
      </c>
      <c r="K1489" s="20">
        <v>99.0</v>
      </c>
      <c r="L1489" s="20"/>
      <c r="M1489" s="20">
        <v>99.0</v>
      </c>
      <c r="N1489" s="5" t="s">
        <v>67</v>
      </c>
      <c r="O1489" s="20" t="b">
        <v>0</v>
      </c>
      <c r="P1489" s="20" t="s">
        <v>68</v>
      </c>
      <c r="Q1489" s="20" t="s">
        <v>69</v>
      </c>
      <c r="R1489" s="20" t="s">
        <v>5824</v>
      </c>
      <c r="T1489" s="20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</row>
    <row r="1490">
      <c r="A1490" s="15" t="s">
        <v>7071</v>
      </c>
      <c r="B1490" s="19">
        <v>44413.35833333333</v>
      </c>
      <c r="C1490" s="20">
        <v>50011.0</v>
      </c>
      <c r="D1490" s="20" t="s">
        <v>5095</v>
      </c>
      <c r="E1490" s="20">
        <v>9.1907427858E11</v>
      </c>
      <c r="F1490" s="21">
        <v>17696.0</v>
      </c>
      <c r="G1490" s="20"/>
      <c r="H1490" s="20" t="s">
        <v>1585</v>
      </c>
      <c r="I1490" s="20"/>
      <c r="J1490" s="20">
        <v>1.0</v>
      </c>
      <c r="K1490" s="20">
        <v>99.0</v>
      </c>
      <c r="L1490" s="20"/>
      <c r="M1490" s="20">
        <v>99.0</v>
      </c>
      <c r="N1490" s="5" t="s">
        <v>67</v>
      </c>
      <c r="O1490" s="20" t="b">
        <v>0</v>
      </c>
      <c r="P1490" s="20" t="s">
        <v>68</v>
      </c>
      <c r="Q1490" s="20" t="s">
        <v>69</v>
      </c>
      <c r="R1490" s="20"/>
      <c r="T1490" s="20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</row>
    <row r="1491">
      <c r="A1491" s="15" t="s">
        <v>7072</v>
      </c>
      <c r="B1491" s="19">
        <v>44413.365277777775</v>
      </c>
      <c r="C1491" s="20">
        <v>50073.0</v>
      </c>
      <c r="D1491" s="20" t="s">
        <v>6492</v>
      </c>
      <c r="E1491" s="20">
        <v>9.19892190142E11</v>
      </c>
      <c r="F1491" s="21">
        <v>17743.0</v>
      </c>
      <c r="G1491" s="20"/>
      <c r="H1491" s="20" t="s">
        <v>6466</v>
      </c>
      <c r="I1491" s="20"/>
      <c r="J1491" s="20">
        <v>1.0</v>
      </c>
      <c r="K1491" s="20">
        <v>599.0</v>
      </c>
      <c r="L1491" s="20"/>
      <c r="M1491" s="20">
        <v>599.0</v>
      </c>
      <c r="N1491" s="5" t="s">
        <v>67</v>
      </c>
      <c r="O1491" s="20" t="b">
        <v>0</v>
      </c>
      <c r="P1491" s="20" t="s">
        <v>151</v>
      </c>
      <c r="Q1491" s="20" t="s">
        <v>69</v>
      </c>
      <c r="R1491" s="20"/>
      <c r="T1491" s="20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</row>
    <row r="1492">
      <c r="A1492" s="15" t="s">
        <v>7078</v>
      </c>
      <c r="B1492" s="19">
        <v>44413.38888888889</v>
      </c>
      <c r="C1492" s="20">
        <v>50030.0</v>
      </c>
      <c r="D1492" s="20" t="s">
        <v>3336</v>
      </c>
      <c r="E1492" s="20">
        <v>9.19567535747E11</v>
      </c>
      <c r="F1492" s="21">
        <v>17699.0</v>
      </c>
      <c r="G1492" s="20"/>
      <c r="H1492" s="20" t="s">
        <v>3326</v>
      </c>
      <c r="I1492" s="20"/>
      <c r="J1492" s="20">
        <v>3.0</v>
      </c>
      <c r="K1492" s="20">
        <v>199.0</v>
      </c>
      <c r="L1492" s="20"/>
      <c r="M1492" s="20">
        <v>199.0</v>
      </c>
      <c r="N1492" s="5" t="s">
        <v>67</v>
      </c>
      <c r="O1492" s="20" t="b">
        <v>0</v>
      </c>
      <c r="P1492" s="20" t="s">
        <v>68</v>
      </c>
      <c r="Q1492" s="20" t="s">
        <v>69</v>
      </c>
      <c r="R1492" s="20" t="s">
        <v>3328</v>
      </c>
      <c r="T1492" s="20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</row>
    <row r="1493">
      <c r="A1493" s="15" t="s">
        <v>7077</v>
      </c>
      <c r="B1493" s="19">
        <v>44413.38263888889</v>
      </c>
      <c r="C1493" s="20">
        <v>49991.0</v>
      </c>
      <c r="D1493" s="20" t="s">
        <v>3063</v>
      </c>
      <c r="E1493" s="20">
        <v>9.18940161192E11</v>
      </c>
      <c r="F1493" s="21">
        <v>17697.0</v>
      </c>
      <c r="G1493" s="20"/>
      <c r="H1493" s="20" t="s">
        <v>3055</v>
      </c>
      <c r="I1493" s="20"/>
      <c r="J1493" s="20">
        <v>1.0</v>
      </c>
      <c r="K1493" s="20">
        <v>99.0</v>
      </c>
      <c r="L1493" s="20"/>
      <c r="M1493" s="20">
        <v>99.0</v>
      </c>
      <c r="N1493" s="5" t="s">
        <v>67</v>
      </c>
      <c r="O1493" s="20" t="b">
        <v>0</v>
      </c>
      <c r="P1493" s="20" t="s">
        <v>68</v>
      </c>
      <c r="Q1493" s="20" t="s">
        <v>69</v>
      </c>
      <c r="R1493" s="20" t="s">
        <v>3057</v>
      </c>
      <c r="T1493" s="20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</row>
    <row r="1494">
      <c r="A1494" s="15" t="s">
        <v>7244</v>
      </c>
      <c r="B1494" s="19">
        <v>44444.461805555555</v>
      </c>
      <c r="C1494" s="20">
        <v>50033.0</v>
      </c>
      <c r="D1494" s="20" t="s">
        <v>5746</v>
      </c>
      <c r="E1494" s="20">
        <v>9.18484824494E11</v>
      </c>
      <c r="F1494" s="21">
        <v>17797.0</v>
      </c>
      <c r="G1494" s="20"/>
      <c r="H1494" s="20" t="s">
        <v>1727</v>
      </c>
      <c r="I1494" s="20"/>
      <c r="J1494" s="20">
        <v>6.0</v>
      </c>
      <c r="K1494" s="20">
        <v>349.0</v>
      </c>
      <c r="L1494" s="20"/>
      <c r="M1494" s="20">
        <v>349.0</v>
      </c>
      <c r="N1494" s="5" t="s">
        <v>67</v>
      </c>
      <c r="O1494" s="20" t="b">
        <v>0</v>
      </c>
      <c r="P1494" s="20" t="s">
        <v>74</v>
      </c>
      <c r="Q1494" s="20" t="s">
        <v>69</v>
      </c>
      <c r="R1494" s="20" t="s">
        <v>5731</v>
      </c>
      <c r="T1494" s="20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</row>
    <row r="1495">
      <c r="A1495" s="15" t="s">
        <v>7245</v>
      </c>
      <c r="B1495" s="19">
        <v>44444.46319444444</v>
      </c>
      <c r="C1495" s="20">
        <v>50054.0</v>
      </c>
      <c r="D1495" s="20" t="s">
        <v>5836</v>
      </c>
      <c r="E1495" s="20">
        <v>9.18249097433E11</v>
      </c>
      <c r="F1495" s="21">
        <v>17788.0</v>
      </c>
      <c r="G1495" s="20"/>
      <c r="H1495" s="20" t="s">
        <v>5822</v>
      </c>
      <c r="I1495" s="20"/>
      <c r="J1495" s="20">
        <v>1.0</v>
      </c>
      <c r="K1495" s="20">
        <v>99.0</v>
      </c>
      <c r="L1495" s="20"/>
      <c r="M1495" s="20">
        <v>99.0</v>
      </c>
      <c r="N1495" s="5" t="s">
        <v>67</v>
      </c>
      <c r="O1495" s="20" t="b">
        <v>0</v>
      </c>
      <c r="P1495" s="20" t="s">
        <v>68</v>
      </c>
      <c r="Q1495" s="20" t="s">
        <v>69</v>
      </c>
      <c r="R1495" s="20" t="s">
        <v>5824</v>
      </c>
      <c r="T1495" s="20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</row>
    <row r="1496">
      <c r="A1496" s="15" t="s">
        <v>7250</v>
      </c>
      <c r="B1496" s="19">
        <v>44444.486805555556</v>
      </c>
      <c r="C1496" s="20">
        <v>49995.0</v>
      </c>
      <c r="D1496" s="20" t="s">
        <v>5337</v>
      </c>
      <c r="E1496" s="20">
        <v>9.19888298806E11</v>
      </c>
      <c r="F1496" s="21">
        <v>17801.0</v>
      </c>
      <c r="G1496" s="20"/>
      <c r="H1496" s="20" t="s">
        <v>5321</v>
      </c>
      <c r="I1496" s="20"/>
      <c r="J1496" s="20">
        <v>1.0</v>
      </c>
      <c r="K1496" s="20">
        <v>99.0</v>
      </c>
      <c r="L1496" s="20"/>
      <c r="M1496" s="20">
        <v>99.0</v>
      </c>
      <c r="N1496" s="5" t="s">
        <v>67</v>
      </c>
      <c r="O1496" s="20" t="b">
        <v>0</v>
      </c>
      <c r="P1496" s="20" t="s">
        <v>68</v>
      </c>
      <c r="Q1496" s="20" t="s">
        <v>69</v>
      </c>
      <c r="R1496" s="20" t="s">
        <v>5323</v>
      </c>
      <c r="T1496" s="20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</row>
    <row r="1497">
      <c r="A1497" s="15" t="s">
        <v>7248</v>
      </c>
      <c r="B1497" s="19">
        <v>44444.472916666666</v>
      </c>
      <c r="C1497" s="20">
        <v>49997.0</v>
      </c>
      <c r="D1497" s="20" t="s">
        <v>2477</v>
      </c>
      <c r="E1497" s="20">
        <v>9.18601624514E11</v>
      </c>
      <c r="F1497" s="21">
        <v>17798.0</v>
      </c>
      <c r="G1497" s="20"/>
      <c r="H1497" s="20" t="s">
        <v>2455</v>
      </c>
      <c r="I1497" s="20"/>
      <c r="J1497" s="20">
        <v>3.0</v>
      </c>
      <c r="K1497" s="20">
        <v>199.0</v>
      </c>
      <c r="L1497" s="20"/>
      <c r="M1497" s="20">
        <v>199.0</v>
      </c>
      <c r="N1497" s="5" t="s">
        <v>67</v>
      </c>
      <c r="O1497" s="20" t="b">
        <v>0</v>
      </c>
      <c r="P1497" s="20" t="s">
        <v>68</v>
      </c>
      <c r="Q1497" s="20" t="s">
        <v>69</v>
      </c>
      <c r="R1497" s="20" t="s">
        <v>2457</v>
      </c>
      <c r="T1497" s="20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</row>
    <row r="1498">
      <c r="A1498" s="15" t="s">
        <v>7253</v>
      </c>
      <c r="B1498" s="19">
        <v>44444.49097222222</v>
      </c>
      <c r="C1498" s="20">
        <v>50033.0</v>
      </c>
      <c r="D1498" s="20" t="s">
        <v>5747</v>
      </c>
      <c r="E1498" s="20">
        <v>9.19818071446E11</v>
      </c>
      <c r="F1498" s="21">
        <v>17802.0</v>
      </c>
      <c r="G1498" s="20"/>
      <c r="H1498" s="20" t="s">
        <v>1727</v>
      </c>
      <c r="I1498" s="20"/>
      <c r="J1498" s="20">
        <v>1.0</v>
      </c>
      <c r="K1498" s="20">
        <v>99.0</v>
      </c>
      <c r="L1498" s="20"/>
      <c r="M1498" s="20">
        <v>99.0</v>
      </c>
      <c r="N1498" s="5" t="s">
        <v>67</v>
      </c>
      <c r="O1498" s="20" t="b">
        <v>0</v>
      </c>
      <c r="P1498" s="20" t="s">
        <v>74</v>
      </c>
      <c r="Q1498" s="20" t="s">
        <v>69</v>
      </c>
      <c r="R1498" s="20" t="s">
        <v>5731</v>
      </c>
      <c r="T1498" s="20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</row>
    <row r="1499">
      <c r="A1499" s="15" t="s">
        <v>7087</v>
      </c>
      <c r="B1499" s="19">
        <v>44413.433333333334</v>
      </c>
      <c r="C1499" s="20">
        <v>49991.0</v>
      </c>
      <c r="D1499" s="20" t="s">
        <v>3064</v>
      </c>
      <c r="E1499" s="20">
        <v>9.18308431044E11</v>
      </c>
      <c r="F1499" s="21">
        <v>17715.0</v>
      </c>
      <c r="G1499" s="20"/>
      <c r="H1499" s="20" t="s">
        <v>3055</v>
      </c>
      <c r="I1499" s="20"/>
      <c r="J1499" s="20">
        <v>3.0</v>
      </c>
      <c r="K1499" s="20">
        <v>199.0</v>
      </c>
      <c r="L1499" s="20"/>
      <c r="M1499" s="20">
        <v>199.0</v>
      </c>
      <c r="N1499" s="5" t="s">
        <v>67</v>
      </c>
      <c r="O1499" s="20" t="b">
        <v>0</v>
      </c>
      <c r="P1499" s="20" t="s">
        <v>74</v>
      </c>
      <c r="Q1499" s="20" t="s">
        <v>69</v>
      </c>
      <c r="R1499" s="20" t="s">
        <v>3057</v>
      </c>
      <c r="T1499" s="20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</row>
    <row r="1500">
      <c r="A1500" s="15" t="s">
        <v>7255</v>
      </c>
      <c r="B1500" s="19">
        <v>44444.495833333334</v>
      </c>
      <c r="C1500" s="20">
        <v>50054.0</v>
      </c>
      <c r="D1500" s="20" t="s">
        <v>5837</v>
      </c>
      <c r="E1500" s="20">
        <v>9.1907549173E11</v>
      </c>
      <c r="F1500" s="21">
        <v>17803.0</v>
      </c>
      <c r="G1500" s="20"/>
      <c r="H1500" s="20" t="s">
        <v>5822</v>
      </c>
      <c r="I1500" s="20"/>
      <c r="J1500" s="20">
        <v>1.0</v>
      </c>
      <c r="K1500" s="20">
        <v>99.0</v>
      </c>
      <c r="L1500" s="20"/>
      <c r="M1500" s="20">
        <v>99.0</v>
      </c>
      <c r="N1500" s="5" t="s">
        <v>67</v>
      </c>
      <c r="O1500" s="20" t="b">
        <v>0</v>
      </c>
      <c r="P1500" s="20" t="s">
        <v>68</v>
      </c>
      <c r="Q1500" s="20" t="s">
        <v>69</v>
      </c>
      <c r="R1500" s="20" t="s">
        <v>5824</v>
      </c>
      <c r="T1500" s="20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</row>
    <row r="1501">
      <c r="A1501" s="15" t="s">
        <v>7256</v>
      </c>
      <c r="B1501" s="19">
        <v>44444.495833333334</v>
      </c>
      <c r="C1501" s="20">
        <v>50046.0</v>
      </c>
      <c r="D1501" s="20" t="s">
        <v>6221</v>
      </c>
      <c r="E1501" s="20">
        <v>9.19844982111E11</v>
      </c>
      <c r="F1501" s="21">
        <v>17804.0</v>
      </c>
      <c r="G1501" s="20"/>
      <c r="H1501" s="20" t="s">
        <v>6217</v>
      </c>
      <c r="I1501" s="20"/>
      <c r="J1501" s="20">
        <v>3.0</v>
      </c>
      <c r="K1501" s="20">
        <v>199.0</v>
      </c>
      <c r="L1501" s="20"/>
      <c r="M1501" s="20">
        <v>199.0</v>
      </c>
      <c r="N1501" s="5" t="s">
        <v>67</v>
      </c>
      <c r="O1501" s="20" t="b">
        <v>0</v>
      </c>
      <c r="P1501" s="20" t="s">
        <v>68</v>
      </c>
      <c r="Q1501" s="20" t="s">
        <v>69</v>
      </c>
      <c r="R1501" s="20" t="s">
        <v>6219</v>
      </c>
      <c r="T1501" s="20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</row>
    <row r="1502">
      <c r="A1502" s="15" t="s">
        <v>7083</v>
      </c>
      <c r="B1502" s="19">
        <v>44413.419444444444</v>
      </c>
      <c r="C1502" s="20">
        <v>50048.0</v>
      </c>
      <c r="D1502" s="20" t="s">
        <v>6173</v>
      </c>
      <c r="E1502" s="20">
        <v>9.19860450668E11</v>
      </c>
      <c r="F1502" s="21">
        <v>17700.0</v>
      </c>
      <c r="G1502" s="20"/>
      <c r="H1502" s="20" t="s">
        <v>1582</v>
      </c>
      <c r="I1502" s="20"/>
      <c r="J1502" s="20">
        <v>3.0</v>
      </c>
      <c r="K1502" s="20">
        <v>999.0</v>
      </c>
      <c r="L1502" s="20"/>
      <c r="M1502" s="20">
        <v>999.0</v>
      </c>
      <c r="N1502" s="5" t="s">
        <v>67</v>
      </c>
      <c r="O1502" s="20" t="b">
        <v>0</v>
      </c>
      <c r="P1502" s="20" t="s">
        <v>68</v>
      </c>
      <c r="Q1502" s="20" t="s">
        <v>69</v>
      </c>
      <c r="R1502" s="20" t="s">
        <v>6174</v>
      </c>
      <c r="T1502" s="20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</row>
    <row r="1503">
      <c r="A1503" s="15" t="s">
        <v>7084</v>
      </c>
      <c r="B1503" s="19">
        <v>44413.42013888889</v>
      </c>
      <c r="C1503" s="20">
        <v>50054.0</v>
      </c>
      <c r="D1503" s="20" t="s">
        <v>5831</v>
      </c>
      <c r="E1503" s="20">
        <v>9.19810038459E11</v>
      </c>
      <c r="F1503" s="21">
        <v>17701.0</v>
      </c>
      <c r="G1503" s="20"/>
      <c r="H1503" s="20" t="s">
        <v>5822</v>
      </c>
      <c r="I1503" s="20"/>
      <c r="J1503" s="20">
        <v>1.0</v>
      </c>
      <c r="K1503" s="20">
        <v>99.0</v>
      </c>
      <c r="L1503" s="20"/>
      <c r="M1503" s="20">
        <v>99.0</v>
      </c>
      <c r="N1503" s="5" t="s">
        <v>67</v>
      </c>
      <c r="O1503" s="20" t="b">
        <v>0</v>
      </c>
      <c r="P1503" s="20" t="s">
        <v>68</v>
      </c>
      <c r="Q1503" s="20" t="s">
        <v>69</v>
      </c>
      <c r="R1503" s="20" t="s">
        <v>5824</v>
      </c>
      <c r="T1503" s="20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</row>
    <row r="1504">
      <c r="A1504" s="15" t="s">
        <v>7249</v>
      </c>
      <c r="B1504" s="19">
        <v>44444.48333333333</v>
      </c>
      <c r="C1504" s="20">
        <v>50031.0</v>
      </c>
      <c r="D1504" s="20" t="s">
        <v>4577</v>
      </c>
      <c r="E1504" s="20">
        <v>9.19846554389E11</v>
      </c>
      <c r="F1504" s="21">
        <v>17800.0</v>
      </c>
      <c r="G1504" s="20"/>
      <c r="H1504" s="20" t="s">
        <v>4561</v>
      </c>
      <c r="I1504" s="20"/>
      <c r="J1504" s="20">
        <v>3.0</v>
      </c>
      <c r="K1504" s="20">
        <v>199.0</v>
      </c>
      <c r="L1504" s="20"/>
      <c r="M1504" s="20">
        <v>199.0</v>
      </c>
      <c r="N1504" s="5" t="s">
        <v>67</v>
      </c>
      <c r="O1504" s="20" t="b">
        <v>0</v>
      </c>
      <c r="P1504" s="20" t="s">
        <v>68</v>
      </c>
      <c r="Q1504" s="20" t="s">
        <v>69</v>
      </c>
      <c r="R1504" s="20" t="s">
        <v>4563</v>
      </c>
      <c r="T1504" s="20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</row>
    <row r="1505">
      <c r="A1505" s="15" t="s">
        <v>7257</v>
      </c>
      <c r="B1505" s="19">
        <v>44444.506944444445</v>
      </c>
      <c r="C1505" s="20">
        <v>50033.0</v>
      </c>
      <c r="D1505" s="20" t="s">
        <v>5748</v>
      </c>
      <c r="E1505" s="20">
        <v>9.19531868088E11</v>
      </c>
      <c r="F1505" s="21">
        <v>17806.0</v>
      </c>
      <c r="G1505" s="20"/>
      <c r="H1505" s="20" t="s">
        <v>1727</v>
      </c>
      <c r="I1505" s="20"/>
      <c r="J1505" s="20">
        <v>3.0</v>
      </c>
      <c r="K1505" s="20">
        <v>199.0</v>
      </c>
      <c r="L1505" s="20"/>
      <c r="M1505" s="20">
        <v>199.0</v>
      </c>
      <c r="N1505" s="5" t="s">
        <v>67</v>
      </c>
      <c r="O1505" s="20" t="b">
        <v>0</v>
      </c>
      <c r="P1505" s="20" t="s">
        <v>68</v>
      </c>
      <c r="Q1505" s="20" t="s">
        <v>69</v>
      </c>
      <c r="R1505" s="20" t="s">
        <v>5731</v>
      </c>
      <c r="T1505" s="20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</row>
    <row r="1506">
      <c r="A1506" s="15" t="s">
        <v>7258</v>
      </c>
      <c r="B1506" s="19">
        <v>44444.50902777778</v>
      </c>
      <c r="C1506" s="20">
        <v>50039.0</v>
      </c>
      <c r="D1506" s="20" t="s">
        <v>4345</v>
      </c>
      <c r="E1506" s="20">
        <v>9.1788832865E11</v>
      </c>
      <c r="F1506" s="21">
        <v>17805.0</v>
      </c>
      <c r="G1506" s="20"/>
      <c r="H1506" s="20" t="s">
        <v>4341</v>
      </c>
      <c r="I1506" s="20"/>
      <c r="J1506" s="20">
        <v>1.0</v>
      </c>
      <c r="K1506" s="20">
        <v>99.0</v>
      </c>
      <c r="L1506" s="20"/>
      <c r="M1506" s="20">
        <v>99.0</v>
      </c>
      <c r="N1506" s="5" t="s">
        <v>67</v>
      </c>
      <c r="O1506" s="20" t="b">
        <v>0</v>
      </c>
      <c r="P1506" s="20" t="s">
        <v>68</v>
      </c>
      <c r="Q1506" s="20" t="s">
        <v>69</v>
      </c>
      <c r="R1506" s="20" t="s">
        <v>4343</v>
      </c>
      <c r="T1506" s="20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</row>
    <row r="1507">
      <c r="A1507" s="15" t="s">
        <v>7089</v>
      </c>
      <c r="B1507" s="19">
        <v>44413.47222222222</v>
      </c>
      <c r="C1507" s="20">
        <v>49859.0</v>
      </c>
      <c r="D1507" s="20" t="s">
        <v>4630</v>
      </c>
      <c r="E1507" s="20">
        <v>9.17389533624E11</v>
      </c>
      <c r="F1507" s="21">
        <v>17704.0</v>
      </c>
      <c r="G1507" s="20"/>
      <c r="H1507" s="20" t="s">
        <v>1133</v>
      </c>
      <c r="I1507" s="20"/>
      <c r="J1507" s="20">
        <v>3.0</v>
      </c>
      <c r="K1507" s="20">
        <v>199.0</v>
      </c>
      <c r="L1507" s="20"/>
      <c r="M1507" s="20">
        <v>199.0</v>
      </c>
      <c r="N1507" s="5" t="s">
        <v>67</v>
      </c>
      <c r="O1507" s="20" t="b">
        <v>0</v>
      </c>
      <c r="P1507" s="20" t="s">
        <v>68</v>
      </c>
      <c r="Q1507" s="20" t="s">
        <v>69</v>
      </c>
      <c r="R1507" s="20" t="s">
        <v>4620</v>
      </c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</row>
    <row r="1508">
      <c r="A1508" s="15" t="s">
        <v>7262</v>
      </c>
      <c r="B1508" s="19">
        <v>44444.53194444445</v>
      </c>
      <c r="C1508" s="20">
        <v>50030.0</v>
      </c>
      <c r="D1508" s="20" t="s">
        <v>3341</v>
      </c>
      <c r="E1508" s="20">
        <v>9.19660030025E11</v>
      </c>
      <c r="F1508" s="21">
        <v>17809.0</v>
      </c>
      <c r="G1508" s="20"/>
      <c r="H1508" s="20" t="s">
        <v>3326</v>
      </c>
      <c r="I1508" s="20"/>
      <c r="J1508" s="20">
        <v>1.0</v>
      </c>
      <c r="K1508" s="20">
        <v>99.0</v>
      </c>
      <c r="L1508" s="20"/>
      <c r="M1508" s="20">
        <v>99.0</v>
      </c>
      <c r="N1508" s="5" t="s">
        <v>67</v>
      </c>
      <c r="O1508" s="20" t="b">
        <v>0</v>
      </c>
      <c r="P1508" s="20" t="s">
        <v>68</v>
      </c>
      <c r="Q1508" s="20" t="s">
        <v>69</v>
      </c>
      <c r="R1508" s="20" t="s">
        <v>3328</v>
      </c>
      <c r="T1508" s="20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</row>
    <row r="1509">
      <c r="A1509" s="15" t="s">
        <v>7260</v>
      </c>
      <c r="B1509" s="19">
        <v>44444.51597222222</v>
      </c>
      <c r="C1509" s="20">
        <v>50043.0</v>
      </c>
      <c r="D1509" s="20" t="s">
        <v>6372</v>
      </c>
      <c r="E1509" s="20">
        <v>9.19912683968E11</v>
      </c>
      <c r="F1509" s="21">
        <v>17807.0</v>
      </c>
      <c r="G1509" s="20"/>
      <c r="H1509" s="20" t="s">
        <v>6367</v>
      </c>
      <c r="I1509" s="20"/>
      <c r="J1509" s="20">
        <v>1.0</v>
      </c>
      <c r="K1509" s="20">
        <v>99.0</v>
      </c>
      <c r="L1509" s="20"/>
      <c r="M1509" s="20">
        <v>99.0</v>
      </c>
      <c r="N1509" s="5" t="s">
        <v>67</v>
      </c>
      <c r="O1509" s="20" t="b">
        <v>0</v>
      </c>
      <c r="P1509" s="20" t="s">
        <v>68</v>
      </c>
      <c r="Q1509" s="20" t="s">
        <v>69</v>
      </c>
      <c r="R1509" s="20" t="s">
        <v>6369</v>
      </c>
      <c r="T1509" s="20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</row>
    <row r="1510">
      <c r="A1510" s="15" t="s">
        <v>7261</v>
      </c>
      <c r="B1510" s="19">
        <v>44444.521527777775</v>
      </c>
      <c r="C1510" s="20">
        <v>50033.0</v>
      </c>
      <c r="D1510" s="20" t="s">
        <v>5749</v>
      </c>
      <c r="E1510" s="20">
        <v>9.19819871361E11</v>
      </c>
      <c r="F1510" s="21">
        <v>17808.0</v>
      </c>
      <c r="G1510" s="20"/>
      <c r="H1510" s="20" t="s">
        <v>1727</v>
      </c>
      <c r="I1510" s="20"/>
      <c r="J1510" s="20">
        <v>1.0</v>
      </c>
      <c r="K1510" s="20">
        <v>99.0</v>
      </c>
      <c r="L1510" s="20"/>
      <c r="M1510" s="20">
        <v>99.0</v>
      </c>
      <c r="N1510" s="5" t="s">
        <v>67</v>
      </c>
      <c r="O1510" s="20" t="b">
        <v>0</v>
      </c>
      <c r="P1510" s="20" t="s">
        <v>68</v>
      </c>
      <c r="Q1510" s="20" t="s">
        <v>69</v>
      </c>
      <c r="R1510" s="20" t="s">
        <v>5731</v>
      </c>
      <c r="T1510" s="20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</row>
    <row r="1511">
      <c r="A1511" s="15" t="s">
        <v>7093</v>
      </c>
      <c r="B1511" s="19">
        <v>44413.49513888889</v>
      </c>
      <c r="C1511" s="20">
        <v>49991.0</v>
      </c>
      <c r="D1511" s="20" t="s">
        <v>3065</v>
      </c>
      <c r="E1511" s="20">
        <v>9.19849373988E11</v>
      </c>
      <c r="F1511" s="22" t="s">
        <v>12593</v>
      </c>
      <c r="G1511" s="20"/>
      <c r="H1511" s="20" t="s">
        <v>3055</v>
      </c>
      <c r="I1511" s="20"/>
      <c r="J1511" s="20">
        <v>3.0</v>
      </c>
      <c r="K1511" s="20">
        <v>199.0</v>
      </c>
      <c r="L1511" s="20"/>
      <c r="M1511" s="20">
        <v>199.0</v>
      </c>
      <c r="N1511" s="5" t="s">
        <v>67</v>
      </c>
      <c r="O1511" s="20" t="b">
        <v>0</v>
      </c>
      <c r="P1511" s="20" t="s">
        <v>74</v>
      </c>
      <c r="Q1511" s="20" t="s">
        <v>69</v>
      </c>
      <c r="R1511" s="20" t="s">
        <v>3057</v>
      </c>
      <c r="T1511" s="20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</row>
    <row r="1512">
      <c r="A1512" s="15" t="s">
        <v>7263</v>
      </c>
      <c r="B1512" s="19">
        <v>44444.580555555556</v>
      </c>
      <c r="C1512" s="20">
        <v>50054.0</v>
      </c>
      <c r="D1512" s="20" t="s">
        <v>5832</v>
      </c>
      <c r="E1512" s="20">
        <v>9.1886070429E11</v>
      </c>
      <c r="F1512" s="21">
        <v>17934.0</v>
      </c>
      <c r="G1512" s="20"/>
      <c r="H1512" s="20" t="s">
        <v>5822</v>
      </c>
      <c r="I1512" s="20"/>
      <c r="J1512" s="20">
        <v>1.0</v>
      </c>
      <c r="K1512" s="20">
        <v>99.0</v>
      </c>
      <c r="L1512" s="20"/>
      <c r="M1512" s="20">
        <v>99.0</v>
      </c>
      <c r="N1512" s="5" t="s">
        <v>67</v>
      </c>
      <c r="O1512" s="20" t="b">
        <v>0</v>
      </c>
      <c r="P1512" s="20" t="s">
        <v>68</v>
      </c>
      <c r="Q1512" s="20" t="s">
        <v>69</v>
      </c>
      <c r="R1512" s="20" t="s">
        <v>5824</v>
      </c>
      <c r="T1512" s="20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</row>
    <row r="1513">
      <c r="A1513" s="15" t="s">
        <v>7264</v>
      </c>
      <c r="B1513" s="19">
        <v>44444.584027777775</v>
      </c>
      <c r="C1513" s="20">
        <v>49993.0</v>
      </c>
      <c r="D1513" s="20" t="s">
        <v>5977</v>
      </c>
      <c r="E1513" s="20">
        <v>9.19223161718E11</v>
      </c>
      <c r="F1513" s="21">
        <v>17812.0</v>
      </c>
      <c r="G1513" s="20"/>
      <c r="H1513" s="20" t="s">
        <v>1104</v>
      </c>
      <c r="I1513" s="20"/>
      <c r="J1513" s="20">
        <v>1.0</v>
      </c>
      <c r="K1513" s="20">
        <v>199.0</v>
      </c>
      <c r="L1513" s="20"/>
      <c r="M1513" s="20">
        <v>199.0</v>
      </c>
      <c r="N1513" s="5" t="s">
        <v>67</v>
      </c>
      <c r="O1513" s="20" t="b">
        <v>0</v>
      </c>
      <c r="P1513" s="20" t="s">
        <v>68</v>
      </c>
      <c r="Q1513" s="20" t="s">
        <v>69</v>
      </c>
      <c r="R1513" s="20" t="s">
        <v>5974</v>
      </c>
      <c r="T1513" s="20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</row>
    <row r="1514">
      <c r="A1514" s="15" t="s">
        <v>7265</v>
      </c>
      <c r="B1514" s="19">
        <v>44444.59305555555</v>
      </c>
      <c r="C1514" s="20">
        <v>50030.0</v>
      </c>
      <c r="D1514" s="20" t="s">
        <v>3337</v>
      </c>
      <c r="E1514" s="20">
        <v>9.17022971161E11</v>
      </c>
      <c r="F1514" s="21">
        <v>17813.0</v>
      </c>
      <c r="G1514" s="20"/>
      <c r="H1514" s="20" t="s">
        <v>3326</v>
      </c>
      <c r="I1514" s="20"/>
      <c r="J1514" s="20">
        <v>1.0</v>
      </c>
      <c r="K1514" s="20">
        <v>99.0</v>
      </c>
      <c r="L1514" s="20"/>
      <c r="M1514" s="20">
        <v>99.0</v>
      </c>
      <c r="N1514" s="5" t="s">
        <v>67</v>
      </c>
      <c r="O1514" s="20" t="b">
        <v>0</v>
      </c>
      <c r="P1514" s="20" t="s">
        <v>68</v>
      </c>
      <c r="Q1514" s="20" t="s">
        <v>69</v>
      </c>
      <c r="R1514" s="20" t="s">
        <v>3328</v>
      </c>
      <c r="T1514" s="20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</row>
    <row r="1515">
      <c r="A1515" s="15" t="s">
        <v>7270</v>
      </c>
      <c r="B1515" s="19">
        <v>44444.61388888889</v>
      </c>
      <c r="C1515" s="20">
        <v>49844.0</v>
      </c>
      <c r="D1515" s="20" t="s">
        <v>5454</v>
      </c>
      <c r="E1515" s="20">
        <v>9.19539707907E11</v>
      </c>
      <c r="F1515" s="21">
        <v>14393.0</v>
      </c>
      <c r="G1515" s="20"/>
      <c r="H1515" s="20" t="s">
        <v>885</v>
      </c>
      <c r="I1515" s="20"/>
      <c r="J1515" s="20">
        <v>1.0</v>
      </c>
      <c r="K1515" s="20">
        <v>99.0</v>
      </c>
      <c r="L1515" s="20"/>
      <c r="M1515" s="20">
        <v>99.0</v>
      </c>
      <c r="N1515" s="5" t="s">
        <v>67</v>
      </c>
      <c r="O1515" s="20" t="b">
        <v>0</v>
      </c>
      <c r="P1515" s="20" t="s">
        <v>68</v>
      </c>
      <c r="Q1515" s="20" t="s">
        <v>69</v>
      </c>
      <c r="R1515" s="20" t="s">
        <v>5445</v>
      </c>
      <c r="T1515" s="20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</row>
    <row r="1516">
      <c r="A1516" s="15" t="s">
        <v>7098</v>
      </c>
      <c r="B1516" s="19">
        <v>44413.53958333333</v>
      </c>
      <c r="C1516" s="20">
        <v>50041.0</v>
      </c>
      <c r="D1516" s="20" t="s">
        <v>5959</v>
      </c>
      <c r="E1516" s="20">
        <v>9.19879959719E11</v>
      </c>
      <c r="F1516" s="21">
        <v>17707.0</v>
      </c>
      <c r="G1516" s="20"/>
      <c r="H1516" s="20" t="s">
        <v>5956</v>
      </c>
      <c r="I1516" s="20"/>
      <c r="J1516" s="20">
        <v>3.0</v>
      </c>
      <c r="K1516" s="20">
        <v>399.0</v>
      </c>
      <c r="L1516" s="20"/>
      <c r="M1516" s="20">
        <v>399.0</v>
      </c>
      <c r="N1516" s="5" t="s">
        <v>67</v>
      </c>
      <c r="O1516" s="20" t="b">
        <v>0</v>
      </c>
      <c r="P1516" s="20" t="s">
        <v>74</v>
      </c>
      <c r="Q1516" s="20" t="s">
        <v>69</v>
      </c>
      <c r="R1516" s="20" t="s">
        <v>5958</v>
      </c>
      <c r="T1516" s="20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</row>
    <row r="1517">
      <c r="A1517" s="15" t="s">
        <v>7266</v>
      </c>
      <c r="B1517" s="19">
        <v>44444.60138888889</v>
      </c>
      <c r="C1517" s="20">
        <v>49834.0</v>
      </c>
      <c r="D1517" s="20" t="s">
        <v>3307</v>
      </c>
      <c r="E1517" s="20">
        <v>9.19666364632E11</v>
      </c>
      <c r="F1517" s="21">
        <v>17814.0</v>
      </c>
      <c r="G1517" s="20"/>
      <c r="H1517" s="20" t="s">
        <v>76</v>
      </c>
      <c r="I1517" s="20"/>
      <c r="J1517" s="20">
        <v>1.0</v>
      </c>
      <c r="K1517" s="20">
        <v>99.0</v>
      </c>
      <c r="L1517" s="20"/>
      <c r="M1517" s="20">
        <v>99.0</v>
      </c>
      <c r="N1517" s="5" t="s">
        <v>67</v>
      </c>
      <c r="O1517" s="20" t="b">
        <v>0</v>
      </c>
      <c r="P1517" s="20" t="s">
        <v>68</v>
      </c>
      <c r="Q1517" s="20" t="s">
        <v>69</v>
      </c>
      <c r="R1517" s="20" t="s">
        <v>3298</v>
      </c>
      <c r="T1517" s="20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</row>
    <row r="1518">
      <c r="A1518" s="15" t="s">
        <v>7271</v>
      </c>
      <c r="B1518" s="19">
        <v>44444.626388888886</v>
      </c>
      <c r="C1518" s="20">
        <v>50032.0</v>
      </c>
      <c r="D1518" s="20" t="s">
        <v>5102</v>
      </c>
      <c r="E1518" s="20">
        <v>9.19830059596E11</v>
      </c>
      <c r="F1518" s="21">
        <v>17816.0</v>
      </c>
      <c r="G1518" s="20"/>
      <c r="H1518" s="20" t="s">
        <v>1982</v>
      </c>
      <c r="I1518" s="20"/>
      <c r="J1518" s="20">
        <v>1.0</v>
      </c>
      <c r="K1518" s="20">
        <v>99.0</v>
      </c>
      <c r="L1518" s="20"/>
      <c r="M1518" s="20">
        <v>99.0</v>
      </c>
      <c r="N1518" s="5" t="s">
        <v>67</v>
      </c>
      <c r="O1518" s="20" t="b">
        <v>0</v>
      </c>
      <c r="P1518" s="20" t="s">
        <v>68</v>
      </c>
      <c r="Q1518" s="20" t="s">
        <v>69</v>
      </c>
      <c r="R1518" s="20"/>
      <c r="T1518" s="20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</row>
    <row r="1519">
      <c r="A1519" s="15" t="s">
        <v>7106</v>
      </c>
      <c r="B1519" s="19">
        <v>44413.57708333333</v>
      </c>
      <c r="C1519" s="20">
        <v>49995.0</v>
      </c>
      <c r="D1519" s="20" t="s">
        <v>5331</v>
      </c>
      <c r="E1519" s="20">
        <v>9.1981993089E11</v>
      </c>
      <c r="F1519" s="21">
        <v>17711.0</v>
      </c>
      <c r="G1519" s="20"/>
      <c r="H1519" s="20" t="s">
        <v>5321</v>
      </c>
      <c r="I1519" s="20"/>
      <c r="J1519" s="20">
        <v>3.0</v>
      </c>
      <c r="K1519" s="20">
        <v>199.0</v>
      </c>
      <c r="L1519" s="20"/>
      <c r="M1519" s="20">
        <v>199.0</v>
      </c>
      <c r="N1519" s="5" t="s">
        <v>67</v>
      </c>
      <c r="O1519" s="20" t="b">
        <v>0</v>
      </c>
      <c r="P1519" s="20" t="s">
        <v>68</v>
      </c>
      <c r="Q1519" s="20" t="s">
        <v>69</v>
      </c>
      <c r="R1519" s="20" t="s">
        <v>5323</v>
      </c>
      <c r="T1519" s="20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</row>
    <row r="1520">
      <c r="A1520" s="15" t="s">
        <v>7107</v>
      </c>
      <c r="B1520" s="19">
        <v>44413.583333333336</v>
      </c>
      <c r="C1520" s="20">
        <v>49992.0</v>
      </c>
      <c r="D1520" s="20" t="s">
        <v>3287</v>
      </c>
      <c r="E1520" s="20">
        <v>9.1992801799E11</v>
      </c>
      <c r="F1520" s="21">
        <v>17712.0</v>
      </c>
      <c r="G1520" s="20"/>
      <c r="H1520" s="20" t="s">
        <v>3286</v>
      </c>
      <c r="I1520" s="20"/>
      <c r="J1520" s="20">
        <v>3.0</v>
      </c>
      <c r="K1520" s="20">
        <v>199.0</v>
      </c>
      <c r="L1520" s="20"/>
      <c r="M1520" s="20">
        <v>199.0</v>
      </c>
      <c r="N1520" s="5" t="s">
        <v>67</v>
      </c>
      <c r="O1520" s="20" t="b">
        <v>0</v>
      </c>
      <c r="P1520" s="20" t="s">
        <v>68</v>
      </c>
      <c r="Q1520" s="20" t="s">
        <v>69</v>
      </c>
      <c r="R1520" s="20" t="s">
        <v>3288</v>
      </c>
      <c r="T1520" s="20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</row>
    <row r="1521">
      <c r="A1521" s="15" t="s">
        <v>7274</v>
      </c>
      <c r="B1521" s="19">
        <v>44444.645833333336</v>
      </c>
      <c r="C1521" s="20">
        <v>49995.0</v>
      </c>
      <c r="D1521" s="20" t="s">
        <v>5334</v>
      </c>
      <c r="E1521" s="20">
        <v>9.19958275458E11</v>
      </c>
      <c r="F1521" s="21">
        <v>17817.0</v>
      </c>
      <c r="G1521" s="20"/>
      <c r="H1521" s="20" t="s">
        <v>5321</v>
      </c>
      <c r="I1521" s="20"/>
      <c r="J1521" s="20">
        <v>1.0</v>
      </c>
      <c r="K1521" s="20">
        <v>99.0</v>
      </c>
      <c r="L1521" s="20"/>
      <c r="M1521" s="20">
        <v>99.0</v>
      </c>
      <c r="N1521" s="5" t="s">
        <v>67</v>
      </c>
      <c r="O1521" s="20" t="b">
        <v>0</v>
      </c>
      <c r="P1521" s="20" t="s">
        <v>68</v>
      </c>
      <c r="Q1521" s="20" t="s">
        <v>69</v>
      </c>
      <c r="R1521" s="20" t="s">
        <v>5323</v>
      </c>
      <c r="T1521" s="20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</row>
    <row r="1522">
      <c r="A1522" s="15" t="s">
        <v>7110</v>
      </c>
      <c r="B1522" s="19">
        <v>44413.61319444444</v>
      </c>
      <c r="C1522" s="20">
        <v>50054.0</v>
      </c>
      <c r="D1522" s="20" t="s">
        <v>5828</v>
      </c>
      <c r="E1522" s="20">
        <v>9.19346456765E11</v>
      </c>
      <c r="F1522" s="21">
        <v>17714.0</v>
      </c>
      <c r="G1522" s="20"/>
      <c r="H1522" s="20" t="s">
        <v>5822</v>
      </c>
      <c r="I1522" s="20"/>
      <c r="J1522" s="20">
        <v>6.0</v>
      </c>
      <c r="K1522" s="20">
        <v>349.0</v>
      </c>
      <c r="L1522" s="20"/>
      <c r="M1522" s="20">
        <v>349.0</v>
      </c>
      <c r="N1522" s="5" t="s">
        <v>67</v>
      </c>
      <c r="O1522" s="20" t="b">
        <v>0</v>
      </c>
      <c r="P1522" s="20" t="s">
        <v>68</v>
      </c>
      <c r="Q1522" s="20" t="s">
        <v>69</v>
      </c>
      <c r="R1522" s="20" t="s">
        <v>5824</v>
      </c>
      <c r="T1522" s="20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</row>
    <row r="1523">
      <c r="A1523" s="15" t="s">
        <v>7279</v>
      </c>
      <c r="B1523" s="19">
        <v>44444.69375</v>
      </c>
      <c r="C1523" s="20">
        <v>50009.0</v>
      </c>
      <c r="D1523" s="20" t="s">
        <v>2756</v>
      </c>
      <c r="E1523" s="20">
        <v>9.18073019575E11</v>
      </c>
      <c r="F1523" s="21">
        <v>0.0</v>
      </c>
      <c r="G1523" s="20"/>
      <c r="H1523" s="20" t="s">
        <v>1476</v>
      </c>
      <c r="I1523" s="20"/>
      <c r="J1523" s="20">
        <v>1.0</v>
      </c>
      <c r="K1523" s="20">
        <v>99.0</v>
      </c>
      <c r="L1523" s="20"/>
      <c r="M1523" s="20">
        <v>99.0</v>
      </c>
      <c r="N1523" s="5" t="s">
        <v>67</v>
      </c>
      <c r="O1523" s="20" t="b">
        <v>0</v>
      </c>
      <c r="P1523" s="20" t="s">
        <v>74</v>
      </c>
      <c r="Q1523" s="20" t="s">
        <v>69</v>
      </c>
      <c r="R1523" s="20" t="s">
        <v>2745</v>
      </c>
      <c r="T1523" s="20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</row>
    <row r="1524">
      <c r="A1524" s="15" t="s">
        <v>7116</v>
      </c>
      <c r="B1524" s="19">
        <v>44413.65</v>
      </c>
      <c r="C1524" s="20">
        <v>50054.0</v>
      </c>
      <c r="D1524" s="20" t="s">
        <v>5829</v>
      </c>
      <c r="E1524" s="20">
        <v>9.19767251168E11</v>
      </c>
      <c r="F1524" s="21">
        <v>0.0</v>
      </c>
      <c r="G1524" s="20"/>
      <c r="H1524" s="20" t="s">
        <v>5822</v>
      </c>
      <c r="I1524" s="20"/>
      <c r="J1524" s="20">
        <v>1.0</v>
      </c>
      <c r="K1524" s="20">
        <v>99.0</v>
      </c>
      <c r="L1524" s="20"/>
      <c r="M1524" s="20">
        <v>99.0</v>
      </c>
      <c r="N1524" s="5" t="s">
        <v>67</v>
      </c>
      <c r="O1524" s="20" t="b">
        <v>0</v>
      </c>
      <c r="P1524" s="20" t="s">
        <v>68</v>
      </c>
      <c r="Q1524" s="20" t="s">
        <v>69</v>
      </c>
      <c r="R1524" s="20" t="s">
        <v>5824</v>
      </c>
      <c r="T1524" s="20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</row>
    <row r="1525">
      <c r="A1525" s="15" t="s">
        <v>7117</v>
      </c>
      <c r="B1525" s="19">
        <v>44413.65555555555</v>
      </c>
      <c r="C1525" s="20">
        <v>49831.0</v>
      </c>
      <c r="D1525" s="20" t="s">
        <v>3194</v>
      </c>
      <c r="E1525" s="20">
        <v>9.19902670157E11</v>
      </c>
      <c r="F1525" s="22" t="s">
        <v>12593</v>
      </c>
      <c r="G1525" s="20"/>
      <c r="H1525" s="20" t="s">
        <v>137</v>
      </c>
      <c r="I1525" s="20"/>
      <c r="J1525" s="20">
        <v>1.0</v>
      </c>
      <c r="K1525" s="20">
        <v>299.0</v>
      </c>
      <c r="L1525" s="20"/>
      <c r="M1525" s="20">
        <v>299.0</v>
      </c>
      <c r="N1525" s="5" t="s">
        <v>67</v>
      </c>
      <c r="O1525" s="20" t="b">
        <v>0</v>
      </c>
      <c r="P1525" s="20" t="s">
        <v>151</v>
      </c>
      <c r="Q1525" s="20" t="s">
        <v>69</v>
      </c>
      <c r="R1525" s="20"/>
      <c r="T1525" s="20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</row>
    <row r="1526">
      <c r="A1526" s="15" t="s">
        <v>7282</v>
      </c>
      <c r="B1526" s="19">
        <v>44444.73541666667</v>
      </c>
      <c r="C1526" s="20">
        <v>50054.0</v>
      </c>
      <c r="D1526" s="20" t="s">
        <v>5833</v>
      </c>
      <c r="E1526" s="20">
        <v>9.19871014612E11</v>
      </c>
      <c r="F1526" s="21">
        <v>17820.0</v>
      </c>
      <c r="G1526" s="20"/>
      <c r="H1526" s="20" t="s">
        <v>5822</v>
      </c>
      <c r="I1526" s="20"/>
      <c r="J1526" s="20">
        <v>6.0</v>
      </c>
      <c r="K1526" s="20">
        <v>349.0</v>
      </c>
      <c r="L1526" s="20"/>
      <c r="M1526" s="20">
        <v>349.0</v>
      </c>
      <c r="N1526" s="5" t="s">
        <v>67</v>
      </c>
      <c r="O1526" s="20" t="b">
        <v>0</v>
      </c>
      <c r="P1526" s="20" t="s">
        <v>68</v>
      </c>
      <c r="Q1526" s="20" t="s">
        <v>69</v>
      </c>
      <c r="R1526" s="20" t="s">
        <v>5824</v>
      </c>
      <c r="T1526" s="20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</row>
    <row r="1527">
      <c r="A1527" s="15" t="s">
        <v>7120</v>
      </c>
      <c r="B1527" s="19">
        <v>44413.660416666666</v>
      </c>
      <c r="C1527" s="20">
        <v>49844.0</v>
      </c>
      <c r="D1527" s="20" t="s">
        <v>5452</v>
      </c>
      <c r="E1527" s="20">
        <v>9.18830205595E11</v>
      </c>
      <c r="F1527" s="21">
        <v>17719.0</v>
      </c>
      <c r="G1527" s="20"/>
      <c r="H1527" s="20" t="s">
        <v>885</v>
      </c>
      <c r="I1527" s="20"/>
      <c r="J1527" s="20">
        <v>6.0</v>
      </c>
      <c r="K1527" s="20">
        <v>349.0</v>
      </c>
      <c r="L1527" s="20"/>
      <c r="M1527" s="20">
        <v>349.0</v>
      </c>
      <c r="N1527" s="5" t="s">
        <v>67</v>
      </c>
      <c r="O1527" s="20" t="b">
        <v>0</v>
      </c>
      <c r="P1527" s="20" t="s">
        <v>68</v>
      </c>
      <c r="Q1527" s="20" t="s">
        <v>69</v>
      </c>
      <c r="R1527" s="20" t="s">
        <v>5445</v>
      </c>
      <c r="T1527" s="20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</row>
    <row r="1528">
      <c r="A1528" s="15" t="s">
        <v>7287</v>
      </c>
      <c r="B1528" s="19">
        <v>44475.90625</v>
      </c>
      <c r="C1528" s="20">
        <v>50073.0</v>
      </c>
      <c r="D1528" s="20" t="s">
        <v>6570</v>
      </c>
      <c r="E1528" s="5">
        <v>9.19818148156E11</v>
      </c>
      <c r="F1528" s="21">
        <v>17929.0</v>
      </c>
      <c r="G1528" s="20"/>
      <c r="H1528" s="20" t="s">
        <v>2161</v>
      </c>
      <c r="I1528" s="5"/>
      <c r="J1528" s="20">
        <v>1.0</v>
      </c>
      <c r="K1528" s="20">
        <v>599.0</v>
      </c>
      <c r="L1528" s="20"/>
      <c r="M1528" s="20">
        <v>599.0</v>
      </c>
      <c r="N1528" s="5" t="s">
        <v>67</v>
      </c>
      <c r="O1528" s="20" t="b">
        <v>0</v>
      </c>
      <c r="P1528" s="20" t="s">
        <v>151</v>
      </c>
      <c r="Q1528" s="20" t="s">
        <v>69</v>
      </c>
      <c r="R1528" s="20" t="s">
        <v>6561</v>
      </c>
      <c r="T1528" s="20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</row>
    <row r="1529">
      <c r="A1529" s="15" t="s">
        <v>7129</v>
      </c>
      <c r="B1529" s="19">
        <v>44413.680555555555</v>
      </c>
      <c r="C1529" s="20">
        <v>49993.0</v>
      </c>
      <c r="D1529" s="20" t="s">
        <v>5976</v>
      </c>
      <c r="E1529" s="20">
        <v>9.19711468915E11</v>
      </c>
      <c r="F1529" s="21">
        <v>17722.0</v>
      </c>
      <c r="G1529" s="20"/>
      <c r="H1529" s="20" t="s">
        <v>1104</v>
      </c>
      <c r="I1529" s="20"/>
      <c r="J1529" s="20">
        <v>1.0</v>
      </c>
      <c r="K1529" s="20">
        <v>199.0</v>
      </c>
      <c r="L1529" s="20"/>
      <c r="M1529" s="20">
        <v>199.0</v>
      </c>
      <c r="N1529" s="5" t="s">
        <v>67</v>
      </c>
      <c r="O1529" s="20" t="b">
        <v>0</v>
      </c>
      <c r="P1529" s="20" t="s">
        <v>68</v>
      </c>
      <c r="Q1529" s="20" t="s">
        <v>69</v>
      </c>
      <c r="R1529" s="20" t="s">
        <v>5974</v>
      </c>
      <c r="T1529" s="20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</row>
    <row r="1530">
      <c r="A1530" s="15" t="s">
        <v>7290</v>
      </c>
      <c r="B1530" s="19">
        <v>44444.74236111111</v>
      </c>
      <c r="C1530" s="20">
        <v>49834.0</v>
      </c>
      <c r="D1530" s="20" t="s">
        <v>3310</v>
      </c>
      <c r="E1530" s="20">
        <v>9.18105403746E11</v>
      </c>
      <c r="F1530" s="21">
        <v>17821.0</v>
      </c>
      <c r="G1530" s="20"/>
      <c r="H1530" s="20" t="s">
        <v>76</v>
      </c>
      <c r="I1530" s="20"/>
      <c r="J1530" s="20">
        <v>3.0</v>
      </c>
      <c r="K1530" s="20">
        <v>199.0</v>
      </c>
      <c r="L1530" s="20"/>
      <c r="M1530" s="20">
        <v>199.0</v>
      </c>
      <c r="N1530" s="5" t="s">
        <v>67</v>
      </c>
      <c r="O1530" s="20" t="b">
        <v>0</v>
      </c>
      <c r="P1530" s="20" t="s">
        <v>68</v>
      </c>
      <c r="Q1530" s="20" t="s">
        <v>69</v>
      </c>
      <c r="R1530" s="20" t="s">
        <v>3298</v>
      </c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</row>
    <row r="1531">
      <c r="A1531" s="15" t="s">
        <v>7121</v>
      </c>
      <c r="B1531" s="19">
        <v>44413.665972222225</v>
      </c>
      <c r="C1531" s="20">
        <v>50031.0</v>
      </c>
      <c r="D1531" s="20" t="s">
        <v>4573</v>
      </c>
      <c r="E1531" s="20">
        <v>9.19821227594E11</v>
      </c>
      <c r="F1531" s="21">
        <v>0.0</v>
      </c>
      <c r="G1531" s="20"/>
      <c r="H1531" s="20" t="s">
        <v>4561</v>
      </c>
      <c r="I1531" s="20"/>
      <c r="J1531" s="20">
        <v>1.0</v>
      </c>
      <c r="K1531" s="20">
        <v>99.0</v>
      </c>
      <c r="L1531" s="20"/>
      <c r="M1531" s="20">
        <v>99.0</v>
      </c>
      <c r="N1531" s="5" t="s">
        <v>67</v>
      </c>
      <c r="O1531" s="20" t="b">
        <v>0</v>
      </c>
      <c r="P1531" s="20" t="s">
        <v>74</v>
      </c>
      <c r="Q1531" s="20" t="s">
        <v>69</v>
      </c>
      <c r="R1531" s="20" t="s">
        <v>4563</v>
      </c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</row>
    <row r="1532">
      <c r="A1532" s="15" t="s">
        <v>7123</v>
      </c>
      <c r="B1532" s="19">
        <v>44413.665972222225</v>
      </c>
      <c r="C1532" s="20">
        <v>49993.0</v>
      </c>
      <c r="D1532" s="20" t="s">
        <v>5975</v>
      </c>
      <c r="E1532" s="20">
        <v>9.19582683029E11</v>
      </c>
      <c r="F1532" s="21">
        <v>17721.0</v>
      </c>
      <c r="G1532" s="20"/>
      <c r="H1532" s="20" t="s">
        <v>1104</v>
      </c>
      <c r="I1532" s="20"/>
      <c r="J1532" s="20">
        <v>1.0</v>
      </c>
      <c r="K1532" s="20">
        <v>199.0</v>
      </c>
      <c r="L1532" s="20"/>
      <c r="M1532" s="20">
        <v>199.0</v>
      </c>
      <c r="N1532" s="5" t="s">
        <v>67</v>
      </c>
      <c r="O1532" s="20" t="b">
        <v>0</v>
      </c>
      <c r="P1532" s="20" t="s">
        <v>68</v>
      </c>
      <c r="Q1532" s="20" t="s">
        <v>69</v>
      </c>
      <c r="R1532" s="20" t="s">
        <v>5974</v>
      </c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</row>
    <row r="1533">
      <c r="A1533" s="15" t="s">
        <v>7124</v>
      </c>
      <c r="B1533" s="19">
        <v>44413.66805555556</v>
      </c>
      <c r="C1533" s="20">
        <v>49844.0</v>
      </c>
      <c r="D1533" s="20" t="s">
        <v>5453</v>
      </c>
      <c r="E1533" s="20">
        <v>9.16392121375E11</v>
      </c>
      <c r="F1533" s="21">
        <v>17720.0</v>
      </c>
      <c r="G1533" s="20"/>
      <c r="H1533" s="20" t="s">
        <v>885</v>
      </c>
      <c r="I1533" s="20"/>
      <c r="J1533" s="20">
        <v>3.0</v>
      </c>
      <c r="K1533" s="20">
        <v>199.0</v>
      </c>
      <c r="L1533" s="20"/>
      <c r="M1533" s="20">
        <v>199.0</v>
      </c>
      <c r="N1533" s="5" t="s">
        <v>67</v>
      </c>
      <c r="O1533" s="20" t="b">
        <v>0</v>
      </c>
      <c r="P1533" s="20" t="s">
        <v>68</v>
      </c>
      <c r="Q1533" s="20" t="s">
        <v>69</v>
      </c>
      <c r="R1533" s="20" t="s">
        <v>5445</v>
      </c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</row>
    <row r="1534">
      <c r="A1534" s="15" t="s">
        <v>7291</v>
      </c>
      <c r="B1534" s="19">
        <v>44444.74513888889</v>
      </c>
      <c r="C1534" s="20">
        <v>50030.0</v>
      </c>
      <c r="D1534" s="20" t="s">
        <v>3338</v>
      </c>
      <c r="E1534" s="20">
        <v>9.18527778472E11</v>
      </c>
      <c r="F1534" s="21">
        <v>17823.0</v>
      </c>
      <c r="G1534" s="20"/>
      <c r="H1534" s="20" t="s">
        <v>3326</v>
      </c>
      <c r="I1534" s="20"/>
      <c r="J1534" s="20">
        <v>1.0</v>
      </c>
      <c r="K1534" s="20">
        <v>99.0</v>
      </c>
      <c r="L1534" s="20"/>
      <c r="M1534" s="20">
        <v>99.0</v>
      </c>
      <c r="N1534" s="5" t="s">
        <v>67</v>
      </c>
      <c r="O1534" s="20" t="b">
        <v>0</v>
      </c>
      <c r="P1534" s="20" t="s">
        <v>68</v>
      </c>
      <c r="Q1534" s="20" t="s">
        <v>69</v>
      </c>
      <c r="R1534" s="20" t="s">
        <v>3328</v>
      </c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</row>
    <row r="1535">
      <c r="A1535" s="15" t="s">
        <v>7130</v>
      </c>
      <c r="B1535" s="19">
        <v>44413.68819444445</v>
      </c>
      <c r="C1535" s="20">
        <v>49859.0</v>
      </c>
      <c r="D1535" s="20" t="s">
        <v>4627</v>
      </c>
      <c r="E1535" s="20">
        <v>9.19986703892E11</v>
      </c>
      <c r="F1535" s="21">
        <v>17723.0</v>
      </c>
      <c r="G1535" s="20"/>
      <c r="H1535" s="20" t="s">
        <v>1133</v>
      </c>
      <c r="I1535" s="20"/>
      <c r="J1535" s="20">
        <v>1.0</v>
      </c>
      <c r="K1535" s="20">
        <v>99.0</v>
      </c>
      <c r="L1535" s="20"/>
      <c r="M1535" s="20">
        <v>99.0</v>
      </c>
      <c r="N1535" s="5" t="s">
        <v>67</v>
      </c>
      <c r="O1535" s="20" t="b">
        <v>0</v>
      </c>
      <c r="P1535" s="20" t="s">
        <v>68</v>
      </c>
      <c r="Q1535" s="20" t="s">
        <v>69</v>
      </c>
      <c r="R1535" s="20" t="s">
        <v>4620</v>
      </c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</row>
    <row r="1536">
      <c r="A1536" s="15" t="s">
        <v>7131</v>
      </c>
      <c r="B1536" s="19">
        <v>44413.688888888886</v>
      </c>
      <c r="C1536" s="20">
        <v>50033.0</v>
      </c>
      <c r="D1536" s="20" t="s">
        <v>5739</v>
      </c>
      <c r="E1536" s="20">
        <v>9.19011231676E11</v>
      </c>
      <c r="F1536" s="21">
        <v>17724.0</v>
      </c>
      <c r="G1536" s="20"/>
      <c r="H1536" s="20" t="s">
        <v>1727</v>
      </c>
      <c r="I1536" s="20"/>
      <c r="J1536" s="20">
        <v>1.0</v>
      </c>
      <c r="K1536" s="20">
        <v>99.0</v>
      </c>
      <c r="L1536" s="20"/>
      <c r="M1536" s="20">
        <v>99.0</v>
      </c>
      <c r="N1536" s="5" t="s">
        <v>67</v>
      </c>
      <c r="O1536" s="20" t="b">
        <v>0</v>
      </c>
      <c r="P1536" s="20" t="s">
        <v>68</v>
      </c>
      <c r="Q1536" s="20" t="s">
        <v>69</v>
      </c>
      <c r="R1536" s="20" t="s">
        <v>5731</v>
      </c>
      <c r="T1536" s="20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</row>
    <row r="1537">
      <c r="A1537" s="15" t="s">
        <v>7293</v>
      </c>
      <c r="B1537" s="19">
        <v>44444.75277777778</v>
      </c>
      <c r="C1537" s="20">
        <v>50033.0</v>
      </c>
      <c r="D1537" s="20" t="s">
        <v>5742</v>
      </c>
      <c r="E1537" s="20">
        <v>9.19867990322E11</v>
      </c>
      <c r="F1537" s="21">
        <v>17826.0</v>
      </c>
      <c r="G1537" s="20"/>
      <c r="H1537" s="20" t="s">
        <v>1727</v>
      </c>
      <c r="I1537" s="20"/>
      <c r="J1537" s="20">
        <v>1.0</v>
      </c>
      <c r="K1537" s="20">
        <v>99.0</v>
      </c>
      <c r="L1537" s="20"/>
      <c r="M1537" s="20">
        <v>99.0</v>
      </c>
      <c r="N1537" s="5" t="s">
        <v>67</v>
      </c>
      <c r="O1537" s="20" t="b">
        <v>0</v>
      </c>
      <c r="P1537" s="20" t="s">
        <v>68</v>
      </c>
      <c r="Q1537" s="20" t="s">
        <v>69</v>
      </c>
      <c r="R1537" s="20" t="s">
        <v>5731</v>
      </c>
      <c r="T1537" s="20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</row>
    <row r="1538">
      <c r="A1538" s="15" t="s">
        <v>7136</v>
      </c>
      <c r="B1538" s="19">
        <v>44413.71388888889</v>
      </c>
      <c r="C1538" s="20">
        <v>49991.0</v>
      </c>
      <c r="D1538" s="20" t="s">
        <v>3062</v>
      </c>
      <c r="E1538" s="20">
        <v>9.18921054861E11</v>
      </c>
      <c r="F1538" s="21">
        <v>17726.0</v>
      </c>
      <c r="G1538" s="20"/>
      <c r="H1538" s="20" t="s">
        <v>3055</v>
      </c>
      <c r="I1538" s="20"/>
      <c r="J1538" s="20">
        <v>1.0</v>
      </c>
      <c r="K1538" s="20">
        <v>99.0</v>
      </c>
      <c r="L1538" s="20"/>
      <c r="M1538" s="20">
        <v>99.0</v>
      </c>
      <c r="N1538" s="5" t="s">
        <v>67</v>
      </c>
      <c r="O1538" s="20" t="b">
        <v>0</v>
      </c>
      <c r="P1538" s="20" t="s">
        <v>68</v>
      </c>
      <c r="Q1538" s="20" t="s">
        <v>69</v>
      </c>
      <c r="R1538" s="20" t="s">
        <v>3057</v>
      </c>
      <c r="T1538" s="20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</row>
    <row r="1539">
      <c r="A1539" s="15" t="s">
        <v>7294</v>
      </c>
      <c r="B1539" s="19">
        <v>44444.759722222225</v>
      </c>
      <c r="C1539" s="20">
        <v>50033.0</v>
      </c>
      <c r="D1539" s="20" t="s">
        <v>5743</v>
      </c>
      <c r="E1539" s="20">
        <v>9.19654249733E11</v>
      </c>
      <c r="F1539" s="21">
        <v>17828.0</v>
      </c>
      <c r="G1539" s="20"/>
      <c r="H1539" s="20" t="s">
        <v>1727</v>
      </c>
      <c r="I1539" s="20"/>
      <c r="J1539" s="20">
        <v>1.0</v>
      </c>
      <c r="K1539" s="20">
        <v>99.0</v>
      </c>
      <c r="L1539" s="20"/>
      <c r="M1539" s="20">
        <v>99.0</v>
      </c>
      <c r="N1539" s="5" t="s">
        <v>67</v>
      </c>
      <c r="O1539" s="20" t="b">
        <v>0</v>
      </c>
      <c r="P1539" s="20" t="s">
        <v>68</v>
      </c>
      <c r="Q1539" s="20" t="s">
        <v>69</v>
      </c>
      <c r="R1539" s="20" t="s">
        <v>5731</v>
      </c>
      <c r="T1539" s="20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</row>
    <row r="1540">
      <c r="A1540" s="15" t="s">
        <v>7140</v>
      </c>
      <c r="B1540" s="19">
        <v>44413.71805555555</v>
      </c>
      <c r="C1540" s="20">
        <v>49833.0</v>
      </c>
      <c r="D1540" s="20" t="s">
        <v>4277</v>
      </c>
      <c r="E1540" s="20">
        <v>9.17045001199E11</v>
      </c>
      <c r="F1540" s="21">
        <v>17727.0</v>
      </c>
      <c r="G1540" s="20"/>
      <c r="H1540" s="20" t="s">
        <v>4030</v>
      </c>
      <c r="I1540" s="20"/>
      <c r="J1540" s="20">
        <v>1.0</v>
      </c>
      <c r="K1540" s="20">
        <v>199.0</v>
      </c>
      <c r="L1540" s="20"/>
      <c r="M1540" s="20">
        <v>199.0</v>
      </c>
      <c r="N1540" s="5" t="s">
        <v>67</v>
      </c>
      <c r="O1540" s="20" t="b">
        <v>0</v>
      </c>
      <c r="P1540" s="20" t="s">
        <v>74</v>
      </c>
      <c r="Q1540" s="20" t="s">
        <v>69</v>
      </c>
      <c r="R1540" s="20" t="s">
        <v>4033</v>
      </c>
      <c r="T1540" s="20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</row>
    <row r="1541">
      <c r="A1541" s="15" t="s">
        <v>7295</v>
      </c>
      <c r="B1541" s="19">
        <v>44444.76388888889</v>
      </c>
      <c r="C1541" s="20">
        <v>50031.0</v>
      </c>
      <c r="D1541" s="20" t="s">
        <v>4575</v>
      </c>
      <c r="E1541" s="20">
        <v>9.17003319678E11</v>
      </c>
      <c r="F1541" s="21">
        <v>17829.0</v>
      </c>
      <c r="G1541" s="20"/>
      <c r="H1541" s="20" t="s">
        <v>4561</v>
      </c>
      <c r="I1541" s="20"/>
      <c r="J1541" s="20">
        <v>1.0</v>
      </c>
      <c r="K1541" s="20">
        <v>99.0</v>
      </c>
      <c r="L1541" s="20"/>
      <c r="M1541" s="20">
        <v>99.0</v>
      </c>
      <c r="N1541" s="5" t="s">
        <v>67</v>
      </c>
      <c r="O1541" s="20" t="b">
        <v>0</v>
      </c>
      <c r="P1541" s="20" t="s">
        <v>151</v>
      </c>
      <c r="Q1541" s="20" t="s">
        <v>69</v>
      </c>
      <c r="R1541" s="20" t="s">
        <v>4563</v>
      </c>
      <c r="T1541" s="20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</row>
    <row r="1542">
      <c r="A1542" s="15" t="s">
        <v>7300</v>
      </c>
      <c r="B1542" s="19">
        <v>44444.78055555555</v>
      </c>
      <c r="C1542" s="20">
        <v>49833.0</v>
      </c>
      <c r="D1542" s="20" t="s">
        <v>4278</v>
      </c>
      <c r="E1542" s="20">
        <v>9.19742733472E11</v>
      </c>
      <c r="F1542" s="21">
        <v>17831.0</v>
      </c>
      <c r="G1542" s="20"/>
      <c r="H1542" s="20" t="s">
        <v>4030</v>
      </c>
      <c r="I1542" s="20"/>
      <c r="J1542" s="20">
        <v>3.0</v>
      </c>
      <c r="K1542" s="20">
        <v>299.0</v>
      </c>
      <c r="L1542" s="20"/>
      <c r="M1542" s="20">
        <v>299.0</v>
      </c>
      <c r="N1542" s="5" t="s">
        <v>67</v>
      </c>
      <c r="O1542" s="20" t="b">
        <v>0</v>
      </c>
      <c r="P1542" s="20" t="s">
        <v>68</v>
      </c>
      <c r="Q1542" s="20" t="s">
        <v>69</v>
      </c>
      <c r="R1542" s="20" t="s">
        <v>4033</v>
      </c>
      <c r="T1542" s="20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</row>
    <row r="1543">
      <c r="A1543" s="15" t="s">
        <v>7302</v>
      </c>
      <c r="B1543" s="19">
        <v>44444.79305555556</v>
      </c>
      <c r="C1543" s="20">
        <v>50020.0</v>
      </c>
      <c r="D1543" s="20" t="s">
        <v>3013</v>
      </c>
      <c r="E1543" s="20">
        <v>9.17769040442E11</v>
      </c>
      <c r="F1543" s="21">
        <v>17833.0</v>
      </c>
      <c r="G1543" s="20"/>
      <c r="H1543" s="20" t="s">
        <v>3008</v>
      </c>
      <c r="I1543" s="20"/>
      <c r="J1543" s="20">
        <v>1.0</v>
      </c>
      <c r="K1543" s="20">
        <v>99.0</v>
      </c>
      <c r="L1543" s="20"/>
      <c r="M1543" s="20">
        <v>99.0</v>
      </c>
      <c r="N1543" s="5" t="s">
        <v>67</v>
      </c>
      <c r="O1543" s="20" t="b">
        <v>0</v>
      </c>
      <c r="P1543" s="20" t="s">
        <v>68</v>
      </c>
      <c r="Q1543" s="20" t="s">
        <v>69</v>
      </c>
      <c r="R1543" s="20" t="s">
        <v>3010</v>
      </c>
      <c r="T1543" s="20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</row>
    <row r="1544">
      <c r="A1544" s="1" t="s">
        <v>11725</v>
      </c>
      <c r="B1544" s="19" t="s">
        <v>3857</v>
      </c>
      <c r="C1544" s="20">
        <v>49907.0</v>
      </c>
      <c r="D1544" s="20" t="s">
        <v>3856</v>
      </c>
      <c r="E1544" s="5">
        <v>9.19968938999E11</v>
      </c>
      <c r="F1544" s="21">
        <v>17836.0</v>
      </c>
      <c r="G1544" s="20"/>
      <c r="H1544" s="20" t="s">
        <v>587</v>
      </c>
      <c r="I1544" s="5"/>
      <c r="J1544" s="20">
        <v>1.0</v>
      </c>
      <c r="K1544" s="20">
        <v>99.0</v>
      </c>
      <c r="L1544" s="20"/>
      <c r="M1544" s="20">
        <v>99.0</v>
      </c>
      <c r="N1544" s="5" t="s">
        <v>67</v>
      </c>
      <c r="O1544" s="20" t="b">
        <v>0</v>
      </c>
      <c r="P1544" s="20" t="s">
        <v>74</v>
      </c>
      <c r="Q1544" s="20" t="s">
        <v>69</v>
      </c>
      <c r="R1544" s="20" t="s">
        <v>3822</v>
      </c>
      <c r="T1544" s="20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</row>
    <row r="1545">
      <c r="A1545" s="1" t="s">
        <v>7304</v>
      </c>
      <c r="B1545" s="19">
        <v>44444.81875</v>
      </c>
      <c r="C1545" s="20">
        <v>50033.0</v>
      </c>
      <c r="D1545" s="20" t="s">
        <v>3856</v>
      </c>
      <c r="E1545" s="20">
        <v>9.19968938999E11</v>
      </c>
      <c r="F1545" s="21">
        <v>17836.0</v>
      </c>
      <c r="G1545" s="20"/>
      <c r="H1545" s="20" t="s">
        <v>1727</v>
      </c>
      <c r="I1545" s="20"/>
      <c r="J1545" s="20">
        <v>1.0</v>
      </c>
      <c r="K1545" s="20">
        <v>99.0</v>
      </c>
      <c r="L1545" s="20"/>
      <c r="M1545" s="20">
        <v>99.0</v>
      </c>
      <c r="N1545" s="5" t="s">
        <v>67</v>
      </c>
      <c r="O1545" s="20" t="b">
        <v>0</v>
      </c>
      <c r="P1545" s="20" t="s">
        <v>74</v>
      </c>
      <c r="Q1545" s="20" t="s">
        <v>69</v>
      </c>
      <c r="R1545" s="20" t="s">
        <v>5731</v>
      </c>
      <c r="T1545" s="20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</row>
    <row r="1546">
      <c r="A1546" s="1" t="s">
        <v>10470</v>
      </c>
      <c r="B1546" s="19">
        <v>44322.71597222222</v>
      </c>
      <c r="C1546" s="20">
        <v>50033.0</v>
      </c>
      <c r="D1546" s="20" t="s">
        <v>3856</v>
      </c>
      <c r="E1546" s="5">
        <v>9.19968938999E11</v>
      </c>
      <c r="F1546" s="21">
        <v>17836.0</v>
      </c>
      <c r="G1546" s="20"/>
      <c r="H1546" s="20" t="s">
        <v>1727</v>
      </c>
      <c r="I1546" s="5"/>
      <c r="J1546" s="20">
        <v>3.0</v>
      </c>
      <c r="K1546" s="20">
        <v>299.0</v>
      </c>
      <c r="L1546" s="20"/>
      <c r="M1546" s="20">
        <v>299.0</v>
      </c>
      <c r="N1546" s="5" t="s">
        <v>67</v>
      </c>
      <c r="O1546" s="20" t="b">
        <v>0</v>
      </c>
      <c r="P1546" s="20" t="s">
        <v>74</v>
      </c>
      <c r="Q1546" s="20" t="s">
        <v>69</v>
      </c>
      <c r="R1546" s="20" t="s">
        <v>5731</v>
      </c>
      <c r="T1546" s="20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</row>
    <row r="1547">
      <c r="A1547" s="15" t="s">
        <v>7305</v>
      </c>
      <c r="B1547" s="19">
        <v>44444.822222222225</v>
      </c>
      <c r="C1547" s="20">
        <v>49995.0</v>
      </c>
      <c r="D1547" s="20" t="s">
        <v>5335</v>
      </c>
      <c r="E1547" s="20">
        <v>9.19873695983E11</v>
      </c>
      <c r="F1547" s="21">
        <v>17896.0</v>
      </c>
      <c r="G1547" s="20"/>
      <c r="H1547" s="20" t="s">
        <v>5321</v>
      </c>
      <c r="I1547" s="20"/>
      <c r="J1547" s="20">
        <v>1.0</v>
      </c>
      <c r="K1547" s="20">
        <v>99.0</v>
      </c>
      <c r="L1547" s="20"/>
      <c r="M1547" s="20">
        <v>99.0</v>
      </c>
      <c r="N1547" s="5" t="s">
        <v>67</v>
      </c>
      <c r="O1547" s="20" t="b">
        <v>0</v>
      </c>
      <c r="P1547" s="20" t="s">
        <v>68</v>
      </c>
      <c r="Q1547" s="20" t="s">
        <v>69</v>
      </c>
      <c r="R1547" s="20" t="s">
        <v>5323</v>
      </c>
      <c r="T1547" s="20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</row>
    <row r="1548">
      <c r="A1548" s="15" t="s">
        <v>7149</v>
      </c>
      <c r="B1548" s="19">
        <v>44413.78333333333</v>
      </c>
      <c r="C1548" s="20">
        <v>49907.0</v>
      </c>
      <c r="D1548" s="20" t="s">
        <v>3776</v>
      </c>
      <c r="E1548" s="20">
        <v>9.1939890612E11</v>
      </c>
      <c r="F1548" s="21">
        <v>17730.0</v>
      </c>
      <c r="G1548" s="20"/>
      <c r="H1548" s="20" t="s">
        <v>587</v>
      </c>
      <c r="I1548" s="20"/>
      <c r="J1548" s="20">
        <v>6.0</v>
      </c>
      <c r="K1548" s="20">
        <v>349.0</v>
      </c>
      <c r="L1548" s="20"/>
      <c r="M1548" s="20">
        <v>349.0</v>
      </c>
      <c r="N1548" s="5" t="s">
        <v>67</v>
      </c>
      <c r="O1548" s="20" t="b">
        <v>0</v>
      </c>
      <c r="P1548" s="20" t="s">
        <v>68</v>
      </c>
      <c r="Q1548" s="20" t="s">
        <v>69</v>
      </c>
      <c r="R1548" s="20" t="s">
        <v>3774</v>
      </c>
      <c r="T1548" s="20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</row>
    <row r="1549">
      <c r="A1549" s="1" t="s">
        <v>7160</v>
      </c>
      <c r="B1549" s="19">
        <v>44413.825</v>
      </c>
      <c r="C1549" s="20">
        <v>50073.0</v>
      </c>
      <c r="D1549" s="20" t="s">
        <v>6491</v>
      </c>
      <c r="E1549" s="20">
        <v>9.19696046295E11</v>
      </c>
      <c r="F1549" s="21">
        <v>17906.0</v>
      </c>
      <c r="G1549" s="20"/>
      <c r="H1549" s="20" t="s">
        <v>6466</v>
      </c>
      <c r="I1549" s="20"/>
      <c r="J1549" s="20">
        <v>1.0</v>
      </c>
      <c r="K1549" s="20">
        <v>599.0</v>
      </c>
      <c r="L1549" s="20"/>
      <c r="M1549" s="20">
        <v>599.0</v>
      </c>
      <c r="N1549" s="5" t="s">
        <v>67</v>
      </c>
      <c r="O1549" s="20" t="b">
        <v>0</v>
      </c>
      <c r="P1549" s="20" t="s">
        <v>97</v>
      </c>
      <c r="Q1549" s="20" t="s">
        <v>69</v>
      </c>
      <c r="R1549" s="20"/>
      <c r="T1549" s="20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</row>
    <row r="1550">
      <c r="A1550" s="1" t="s">
        <v>10726</v>
      </c>
      <c r="B1550" s="19">
        <v>44414.402083333334</v>
      </c>
      <c r="C1550" s="20">
        <v>50073.0</v>
      </c>
      <c r="D1550" s="20" t="s">
        <v>6491</v>
      </c>
      <c r="E1550" s="5">
        <v>9.19696046295E11</v>
      </c>
      <c r="F1550" s="21">
        <v>17906.0</v>
      </c>
      <c r="G1550" s="20"/>
      <c r="H1550" s="20" t="s">
        <v>2161</v>
      </c>
      <c r="I1550" s="5"/>
      <c r="J1550" s="20">
        <v>1.0</v>
      </c>
      <c r="K1550" s="20">
        <v>799.0</v>
      </c>
      <c r="L1550" s="20"/>
      <c r="M1550" s="20">
        <v>799.0</v>
      </c>
      <c r="N1550" s="5" t="s">
        <v>67</v>
      </c>
      <c r="O1550" s="20" t="b">
        <v>0</v>
      </c>
      <c r="P1550" s="20" t="s">
        <v>97</v>
      </c>
      <c r="Q1550" s="20" t="s">
        <v>69</v>
      </c>
      <c r="R1550" s="20" t="s">
        <v>6497</v>
      </c>
      <c r="T1550" s="20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</row>
    <row r="1551">
      <c r="A1551" s="1" t="s">
        <v>11651</v>
      </c>
      <c r="B1551" s="19" t="s">
        <v>6576</v>
      </c>
      <c r="C1551" s="20">
        <v>50073.0</v>
      </c>
      <c r="D1551" s="20" t="s">
        <v>6491</v>
      </c>
      <c r="E1551" s="5">
        <v>9.19696046295E11</v>
      </c>
      <c r="F1551" s="21">
        <v>17906.0</v>
      </c>
      <c r="G1551" s="20"/>
      <c r="H1551" s="20" t="s">
        <v>2161</v>
      </c>
      <c r="I1551" s="5"/>
      <c r="J1551" s="20">
        <v>3.0</v>
      </c>
      <c r="K1551" s="20">
        <v>2199.0</v>
      </c>
      <c r="L1551" s="20"/>
      <c r="M1551" s="20">
        <v>2199.0</v>
      </c>
      <c r="N1551" s="5" t="s">
        <v>67</v>
      </c>
      <c r="O1551" s="20" t="b">
        <v>0</v>
      </c>
      <c r="P1551" s="20" t="s">
        <v>97</v>
      </c>
      <c r="Q1551" s="20" t="s">
        <v>69</v>
      </c>
      <c r="R1551" s="20" t="s">
        <v>6497</v>
      </c>
      <c r="T1551" s="20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</row>
    <row r="1552">
      <c r="A1552" s="15" t="s">
        <v>7168</v>
      </c>
      <c r="B1552" s="19">
        <v>44413.842361111114</v>
      </c>
      <c r="C1552" s="20">
        <v>50009.0</v>
      </c>
      <c r="D1552" s="20" t="s">
        <v>2754</v>
      </c>
      <c r="E1552" s="20">
        <v>9.19769977777E11</v>
      </c>
      <c r="F1552" s="22" t="s">
        <v>12593</v>
      </c>
      <c r="G1552" s="20"/>
      <c r="H1552" s="20" t="s">
        <v>1476</v>
      </c>
      <c r="I1552" s="20"/>
      <c r="J1552" s="20">
        <v>1.0</v>
      </c>
      <c r="K1552" s="20">
        <v>99.0</v>
      </c>
      <c r="L1552" s="20"/>
      <c r="M1552" s="20">
        <v>99.0</v>
      </c>
      <c r="N1552" s="5" t="s">
        <v>67</v>
      </c>
      <c r="O1552" s="20" t="b">
        <v>0</v>
      </c>
      <c r="P1552" s="20" t="s">
        <v>68</v>
      </c>
      <c r="Q1552" s="20" t="s">
        <v>69</v>
      </c>
      <c r="R1552" s="20" t="s">
        <v>2745</v>
      </c>
      <c r="T1552" s="20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</row>
    <row r="1553">
      <c r="A1553" s="15" t="s">
        <v>7322</v>
      </c>
      <c r="B1553" s="19">
        <v>44444.90694444445</v>
      </c>
      <c r="C1553" s="20">
        <v>50033.0</v>
      </c>
      <c r="D1553" s="20" t="s">
        <v>5744</v>
      </c>
      <c r="E1553" s="20">
        <v>9.1733112815E11</v>
      </c>
      <c r="F1553" s="21">
        <v>17843.0</v>
      </c>
      <c r="G1553" s="20"/>
      <c r="H1553" s="20" t="s">
        <v>1727</v>
      </c>
      <c r="I1553" s="20"/>
      <c r="J1553" s="20">
        <v>1.0</v>
      </c>
      <c r="K1553" s="20">
        <v>99.0</v>
      </c>
      <c r="L1553" s="20"/>
      <c r="M1553" s="20">
        <v>99.0</v>
      </c>
      <c r="N1553" s="5" t="s">
        <v>67</v>
      </c>
      <c r="O1553" s="20" t="b">
        <v>0</v>
      </c>
      <c r="P1553" s="20" t="s">
        <v>74</v>
      </c>
      <c r="Q1553" s="20" t="s">
        <v>69</v>
      </c>
      <c r="R1553" s="20" t="s">
        <v>5731</v>
      </c>
      <c r="T1553" s="20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</row>
    <row r="1554">
      <c r="A1554" s="15" t="s">
        <v>7171</v>
      </c>
      <c r="B1554" s="19">
        <v>44413.86041666667</v>
      </c>
      <c r="C1554" s="20">
        <v>49998.0</v>
      </c>
      <c r="D1554" s="20" t="s">
        <v>6251</v>
      </c>
      <c r="E1554" s="20">
        <v>9.19516735835E11</v>
      </c>
      <c r="F1554" s="21">
        <v>17734.0</v>
      </c>
      <c r="G1554" s="20"/>
      <c r="H1554" s="20" t="s">
        <v>6250</v>
      </c>
      <c r="I1554" s="20"/>
      <c r="J1554" s="20">
        <v>1.0</v>
      </c>
      <c r="K1554" s="20">
        <v>99.0</v>
      </c>
      <c r="L1554" s="20"/>
      <c r="M1554" s="20">
        <v>99.0</v>
      </c>
      <c r="N1554" s="5" t="s">
        <v>67</v>
      </c>
      <c r="O1554" s="20" t="b">
        <v>0</v>
      </c>
      <c r="P1554" s="20" t="s">
        <v>68</v>
      </c>
      <c r="Q1554" s="20" t="s">
        <v>69</v>
      </c>
      <c r="R1554" s="20" t="s">
        <v>6252</v>
      </c>
      <c r="T1554" s="20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</row>
    <row r="1555">
      <c r="A1555" s="15" t="s">
        <v>7172</v>
      </c>
      <c r="B1555" s="19">
        <v>44413.8625</v>
      </c>
      <c r="C1555" s="20">
        <v>50033.0</v>
      </c>
      <c r="D1555" s="20" t="s">
        <v>5740</v>
      </c>
      <c r="E1555" s="20">
        <v>9.19366144046E11</v>
      </c>
      <c r="F1555" s="21">
        <v>17735.0</v>
      </c>
      <c r="G1555" s="20"/>
      <c r="H1555" s="20" t="s">
        <v>1727</v>
      </c>
      <c r="I1555" s="20"/>
      <c r="J1555" s="20">
        <v>1.0</v>
      </c>
      <c r="K1555" s="20">
        <v>99.0</v>
      </c>
      <c r="L1555" s="20"/>
      <c r="M1555" s="20">
        <v>99.0</v>
      </c>
      <c r="N1555" s="5" t="s">
        <v>67</v>
      </c>
      <c r="O1555" s="20" t="b">
        <v>0</v>
      </c>
      <c r="P1555" s="20" t="s">
        <v>68</v>
      </c>
      <c r="Q1555" s="20" t="s">
        <v>69</v>
      </c>
      <c r="R1555" s="20" t="s">
        <v>5731</v>
      </c>
      <c r="T1555" s="20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</row>
    <row r="1556">
      <c r="A1556" s="15" t="s">
        <v>7331</v>
      </c>
      <c r="B1556" s="19">
        <v>44444.94097222222</v>
      </c>
      <c r="C1556" s="20">
        <v>50032.0</v>
      </c>
      <c r="D1556" s="20" t="s">
        <v>5103</v>
      </c>
      <c r="E1556" s="20">
        <v>9.19701840023E11</v>
      </c>
      <c r="F1556" s="21">
        <v>17848.0</v>
      </c>
      <c r="G1556" s="20"/>
      <c r="H1556" s="20" t="s">
        <v>1982</v>
      </c>
      <c r="I1556" s="20"/>
      <c r="J1556" s="20">
        <v>1.0</v>
      </c>
      <c r="K1556" s="20">
        <v>99.0</v>
      </c>
      <c r="L1556" s="20"/>
      <c r="M1556" s="20">
        <v>99.0</v>
      </c>
      <c r="N1556" s="5" t="s">
        <v>67</v>
      </c>
      <c r="O1556" s="20" t="b">
        <v>0</v>
      </c>
      <c r="P1556" s="20" t="s">
        <v>68</v>
      </c>
      <c r="Q1556" s="20" t="s">
        <v>69</v>
      </c>
      <c r="R1556" s="20"/>
      <c r="T1556" s="20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</row>
    <row r="1557">
      <c r="A1557" s="15" t="s">
        <v>7328</v>
      </c>
      <c r="B1557" s="19">
        <v>44444.92569444444</v>
      </c>
      <c r="C1557" s="20">
        <v>49997.0</v>
      </c>
      <c r="D1557" s="20" t="s">
        <v>2476</v>
      </c>
      <c r="E1557" s="20">
        <v>9.19030736603E11</v>
      </c>
      <c r="F1557" s="21">
        <v>17844.0</v>
      </c>
      <c r="G1557" s="20"/>
      <c r="H1557" s="20" t="s">
        <v>2455</v>
      </c>
      <c r="I1557" s="20"/>
      <c r="J1557" s="20">
        <v>3.0</v>
      </c>
      <c r="K1557" s="20">
        <v>199.0</v>
      </c>
      <c r="L1557" s="20"/>
      <c r="M1557" s="20">
        <v>199.0</v>
      </c>
      <c r="N1557" s="5" t="s">
        <v>67</v>
      </c>
      <c r="O1557" s="20" t="b">
        <v>0</v>
      </c>
      <c r="P1557" s="20" t="s">
        <v>74</v>
      </c>
      <c r="Q1557" s="20" t="s">
        <v>69</v>
      </c>
      <c r="R1557" s="20" t="s">
        <v>2457</v>
      </c>
      <c r="T1557" s="20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</row>
    <row r="1558">
      <c r="A1558" s="15" t="s">
        <v>7174</v>
      </c>
      <c r="B1558" s="19">
        <v>44413.885416666664</v>
      </c>
      <c r="C1558" s="20">
        <v>50052.0</v>
      </c>
      <c r="D1558" s="20" t="s">
        <v>4434</v>
      </c>
      <c r="E1558" s="20">
        <v>9.19573145697E11</v>
      </c>
      <c r="F1558" s="21">
        <v>17799.0</v>
      </c>
      <c r="G1558" s="20"/>
      <c r="H1558" s="20" t="s">
        <v>4433</v>
      </c>
      <c r="I1558" s="20"/>
      <c r="J1558" s="20">
        <v>1.0</v>
      </c>
      <c r="K1558" s="20">
        <v>99.0</v>
      </c>
      <c r="L1558" s="20"/>
      <c r="M1558" s="20">
        <v>99.0</v>
      </c>
      <c r="N1558" s="5" t="s">
        <v>67</v>
      </c>
      <c r="O1558" s="20" t="b">
        <v>0</v>
      </c>
      <c r="P1558" s="20" t="s">
        <v>68</v>
      </c>
      <c r="Q1558" s="20" t="s">
        <v>69</v>
      </c>
      <c r="R1558" s="20" t="s">
        <v>4435</v>
      </c>
      <c r="T1558" s="20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</row>
    <row r="1559">
      <c r="A1559" s="15" t="s">
        <v>7329</v>
      </c>
      <c r="B1559" s="19">
        <v>44444.92916666667</v>
      </c>
      <c r="C1559" s="20">
        <v>50047.0</v>
      </c>
      <c r="D1559" s="20" t="s">
        <v>3199</v>
      </c>
      <c r="E1559" s="20">
        <v>9.19821906559E11</v>
      </c>
      <c r="F1559" s="21">
        <v>17846.0</v>
      </c>
      <c r="G1559" s="20"/>
      <c r="H1559" s="20" t="s">
        <v>3195</v>
      </c>
      <c r="I1559" s="20"/>
      <c r="J1559" s="20">
        <v>3.0</v>
      </c>
      <c r="K1559" s="20">
        <v>799.0</v>
      </c>
      <c r="L1559" s="20"/>
      <c r="M1559" s="20">
        <v>799.0</v>
      </c>
      <c r="N1559" s="5" t="s">
        <v>67</v>
      </c>
      <c r="O1559" s="20" t="b">
        <v>0</v>
      </c>
      <c r="P1559" s="20" t="s">
        <v>68</v>
      </c>
      <c r="Q1559" s="20" t="s">
        <v>69</v>
      </c>
      <c r="R1559" s="20" t="s">
        <v>3197</v>
      </c>
      <c r="T1559" s="20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</row>
    <row r="1560">
      <c r="A1560" s="15" t="s">
        <v>7332</v>
      </c>
      <c r="B1560" s="19">
        <v>44444.94652777778</v>
      </c>
      <c r="C1560" s="20">
        <v>49951.0</v>
      </c>
      <c r="D1560" s="20" t="s">
        <v>4891</v>
      </c>
      <c r="E1560" s="20">
        <v>9.18349435577E11</v>
      </c>
      <c r="F1560" s="21">
        <v>17849.0</v>
      </c>
      <c r="G1560" s="20"/>
      <c r="H1560" s="20" t="s">
        <v>4887</v>
      </c>
      <c r="I1560" s="20"/>
      <c r="J1560" s="20">
        <v>1.0</v>
      </c>
      <c r="K1560" s="20">
        <v>99.0</v>
      </c>
      <c r="L1560" s="20"/>
      <c r="M1560" s="20">
        <v>99.0</v>
      </c>
      <c r="N1560" s="5" t="s">
        <v>67</v>
      </c>
      <c r="O1560" s="20" t="b">
        <v>0</v>
      </c>
      <c r="P1560" s="20" t="s">
        <v>68</v>
      </c>
      <c r="Q1560" s="20" t="s">
        <v>69</v>
      </c>
      <c r="R1560" s="20" t="s">
        <v>4889</v>
      </c>
      <c r="T1560" s="20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</row>
    <row r="1561">
      <c r="A1561" s="15" t="s">
        <v>7334</v>
      </c>
      <c r="B1561" s="19">
        <v>44444.95625</v>
      </c>
      <c r="C1561" s="20">
        <v>50041.0</v>
      </c>
      <c r="D1561" s="20" t="s">
        <v>5960</v>
      </c>
      <c r="E1561" s="20">
        <v>9.19999058863E11</v>
      </c>
      <c r="F1561" s="21">
        <v>17855.0</v>
      </c>
      <c r="G1561" s="20"/>
      <c r="H1561" s="20" t="s">
        <v>5956</v>
      </c>
      <c r="I1561" s="20"/>
      <c r="J1561" s="20">
        <v>3.0</v>
      </c>
      <c r="K1561" s="20">
        <v>399.0</v>
      </c>
      <c r="L1561" s="20"/>
      <c r="M1561" s="20">
        <v>399.0</v>
      </c>
      <c r="N1561" s="5" t="s">
        <v>67</v>
      </c>
      <c r="O1561" s="20" t="b">
        <v>0</v>
      </c>
      <c r="P1561" s="20" t="s">
        <v>74</v>
      </c>
      <c r="Q1561" s="20" t="s">
        <v>69</v>
      </c>
      <c r="R1561" s="20" t="s">
        <v>5958</v>
      </c>
      <c r="T1561" s="20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</row>
    <row r="1562">
      <c r="A1562" s="15" t="s">
        <v>7177</v>
      </c>
      <c r="B1562" s="19">
        <v>44413.91458333333</v>
      </c>
      <c r="C1562" s="20">
        <v>50040.0</v>
      </c>
      <c r="D1562" s="20" t="s">
        <v>5407</v>
      </c>
      <c r="E1562" s="20">
        <v>9.18806098215E11</v>
      </c>
      <c r="F1562" s="21">
        <v>18019.0</v>
      </c>
      <c r="G1562" s="20"/>
      <c r="H1562" s="20" t="s">
        <v>5400</v>
      </c>
      <c r="I1562" s="20"/>
      <c r="J1562" s="20">
        <v>1.0</v>
      </c>
      <c r="K1562" s="20">
        <v>99.0</v>
      </c>
      <c r="L1562" s="20"/>
      <c r="M1562" s="20">
        <v>99.0</v>
      </c>
      <c r="N1562" s="5" t="s">
        <v>67</v>
      </c>
      <c r="O1562" s="20" t="b">
        <v>0</v>
      </c>
      <c r="P1562" s="20" t="s">
        <v>68</v>
      </c>
      <c r="Q1562" s="20" t="s">
        <v>69</v>
      </c>
      <c r="R1562" s="20" t="s">
        <v>5402</v>
      </c>
      <c r="T1562" s="20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</row>
    <row r="1563">
      <c r="A1563" s="15" t="s">
        <v>7335</v>
      </c>
      <c r="B1563" s="19">
        <v>44444.95763888889</v>
      </c>
      <c r="C1563" s="20">
        <v>50030.0</v>
      </c>
      <c r="D1563" s="20" t="s">
        <v>3340</v>
      </c>
      <c r="E1563" s="20">
        <v>9.18332850364E11</v>
      </c>
      <c r="F1563" s="21">
        <v>17851.0</v>
      </c>
      <c r="G1563" s="20"/>
      <c r="H1563" s="20" t="s">
        <v>3326</v>
      </c>
      <c r="I1563" s="20"/>
      <c r="J1563" s="20">
        <v>3.0</v>
      </c>
      <c r="K1563" s="20">
        <v>199.0</v>
      </c>
      <c r="L1563" s="20"/>
      <c r="M1563" s="20">
        <v>199.0</v>
      </c>
      <c r="N1563" s="5" t="s">
        <v>67</v>
      </c>
      <c r="O1563" s="20" t="b">
        <v>0</v>
      </c>
      <c r="P1563" s="20" t="s">
        <v>74</v>
      </c>
      <c r="Q1563" s="20" t="s">
        <v>69</v>
      </c>
      <c r="R1563" s="20" t="s">
        <v>3328</v>
      </c>
      <c r="T1563" s="20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</row>
    <row r="1564">
      <c r="A1564" s="15" t="s">
        <v>7338</v>
      </c>
      <c r="B1564" s="19">
        <v>44444.97708333333</v>
      </c>
      <c r="C1564" s="20">
        <v>49834.0</v>
      </c>
      <c r="D1564" s="20" t="s">
        <v>3311</v>
      </c>
      <c r="E1564" s="20">
        <v>9.1956011883E11</v>
      </c>
      <c r="F1564" s="21">
        <v>17853.0</v>
      </c>
      <c r="G1564" s="20"/>
      <c r="H1564" s="20" t="s">
        <v>76</v>
      </c>
      <c r="I1564" s="20"/>
      <c r="J1564" s="20">
        <v>1.0</v>
      </c>
      <c r="K1564" s="20">
        <v>99.0</v>
      </c>
      <c r="L1564" s="20"/>
      <c r="M1564" s="20">
        <v>99.0</v>
      </c>
      <c r="N1564" s="5" t="s">
        <v>67</v>
      </c>
      <c r="O1564" s="20" t="b">
        <v>0</v>
      </c>
      <c r="P1564" s="20" t="s">
        <v>68</v>
      </c>
      <c r="Q1564" s="20" t="s">
        <v>69</v>
      </c>
      <c r="R1564" s="20" t="s">
        <v>3298</v>
      </c>
      <c r="T1564" s="20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</row>
    <row r="1565">
      <c r="A1565" s="15" t="s">
        <v>7336</v>
      </c>
      <c r="B1565" s="19">
        <v>44444.96388888889</v>
      </c>
      <c r="C1565" s="20">
        <v>49859.0</v>
      </c>
      <c r="D1565" s="20" t="s">
        <v>4634</v>
      </c>
      <c r="E1565" s="20">
        <v>9.19482182652E11</v>
      </c>
      <c r="F1565" s="21">
        <v>17852.0</v>
      </c>
      <c r="G1565" s="20"/>
      <c r="H1565" s="20" t="s">
        <v>1133</v>
      </c>
      <c r="I1565" s="20"/>
      <c r="J1565" s="20">
        <v>1.0</v>
      </c>
      <c r="K1565" s="20">
        <v>99.0</v>
      </c>
      <c r="L1565" s="20"/>
      <c r="M1565" s="20">
        <v>99.0</v>
      </c>
      <c r="N1565" s="5" t="s">
        <v>67</v>
      </c>
      <c r="O1565" s="20" t="b">
        <v>0</v>
      </c>
      <c r="P1565" s="20" t="s">
        <v>68</v>
      </c>
      <c r="Q1565" s="20" t="s">
        <v>69</v>
      </c>
      <c r="R1565" s="20" t="s">
        <v>4620</v>
      </c>
      <c r="T1565" s="20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</row>
    <row r="1566">
      <c r="A1566" s="15" t="s">
        <v>7181</v>
      </c>
      <c r="B1566" s="19">
        <v>44413.924305555556</v>
      </c>
      <c r="C1566" s="20">
        <v>50009.0</v>
      </c>
      <c r="D1566" s="20" t="s">
        <v>2755</v>
      </c>
      <c r="E1566" s="20">
        <v>9.19954229499E11</v>
      </c>
      <c r="F1566" s="21">
        <v>17745.0</v>
      </c>
      <c r="G1566" s="20"/>
      <c r="H1566" s="20" t="s">
        <v>1476</v>
      </c>
      <c r="I1566" s="20"/>
      <c r="J1566" s="20">
        <v>1.0</v>
      </c>
      <c r="K1566" s="20">
        <v>99.0</v>
      </c>
      <c r="L1566" s="20"/>
      <c r="M1566" s="20">
        <v>99.0</v>
      </c>
      <c r="N1566" s="5" t="s">
        <v>67</v>
      </c>
      <c r="O1566" s="20" t="b">
        <v>0</v>
      </c>
      <c r="P1566" s="20" t="s">
        <v>68</v>
      </c>
      <c r="Q1566" s="20" t="s">
        <v>69</v>
      </c>
      <c r="R1566" s="20" t="s">
        <v>2745</v>
      </c>
      <c r="T1566" s="20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</row>
    <row r="1567">
      <c r="A1567" s="15" t="s">
        <v>7337</v>
      </c>
      <c r="B1567" s="19">
        <v>44474.59027777778</v>
      </c>
      <c r="C1567" s="20">
        <v>50009.0</v>
      </c>
      <c r="D1567" s="20" t="s">
        <v>2757</v>
      </c>
      <c r="E1567" s="20">
        <v>9.19101404824E11</v>
      </c>
      <c r="F1567" s="21">
        <v>0.0</v>
      </c>
      <c r="G1567" s="20"/>
      <c r="H1567" s="20" t="s">
        <v>1476</v>
      </c>
      <c r="I1567" s="20"/>
      <c r="J1567" s="20">
        <v>1.0</v>
      </c>
      <c r="K1567" s="20">
        <v>99.0</v>
      </c>
      <c r="L1567" s="20"/>
      <c r="M1567" s="20">
        <v>99.0</v>
      </c>
      <c r="N1567" s="5" t="s">
        <v>67</v>
      </c>
      <c r="O1567" s="20" t="b">
        <v>0</v>
      </c>
      <c r="P1567" s="20" t="s">
        <v>74</v>
      </c>
      <c r="Q1567" s="20" t="s">
        <v>69</v>
      </c>
      <c r="R1567" s="20" t="s">
        <v>2745</v>
      </c>
      <c r="T1567" s="20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</row>
    <row r="1568">
      <c r="A1568" s="15" t="s">
        <v>7182</v>
      </c>
      <c r="B1568" s="19">
        <v>44413.927777777775</v>
      </c>
      <c r="C1568" s="20">
        <v>49813.0</v>
      </c>
      <c r="D1568" s="20" t="s">
        <v>5123</v>
      </c>
      <c r="E1568" s="20">
        <v>9.17208480059E11</v>
      </c>
      <c r="F1568" s="21">
        <v>17748.0</v>
      </c>
      <c r="G1568" s="20"/>
      <c r="H1568" s="20" t="s">
        <v>5114</v>
      </c>
      <c r="I1568" s="20"/>
      <c r="J1568" s="20">
        <v>6.0</v>
      </c>
      <c r="K1568" s="20">
        <v>799.0</v>
      </c>
      <c r="L1568" s="20"/>
      <c r="M1568" s="20">
        <v>799.0</v>
      </c>
      <c r="N1568" s="5" t="s">
        <v>67</v>
      </c>
      <c r="O1568" s="20" t="b">
        <v>0</v>
      </c>
      <c r="P1568" s="20" t="s">
        <v>68</v>
      </c>
      <c r="Q1568" s="20" t="s">
        <v>69</v>
      </c>
      <c r="R1568" s="20" t="s">
        <v>5116</v>
      </c>
      <c r="T1568" s="20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</row>
    <row r="1569">
      <c r="A1569" s="15" t="s">
        <v>7183</v>
      </c>
      <c r="B1569" s="19">
        <v>44413.92916666667</v>
      </c>
      <c r="C1569" s="20">
        <v>49951.0</v>
      </c>
      <c r="D1569" s="20" t="s">
        <v>4890</v>
      </c>
      <c r="E1569" s="20">
        <v>9.18595475583E11</v>
      </c>
      <c r="F1569" s="22" t="s">
        <v>12593</v>
      </c>
      <c r="G1569" s="20"/>
      <c r="H1569" s="20" t="s">
        <v>4887</v>
      </c>
      <c r="I1569" s="20"/>
      <c r="J1569" s="20">
        <v>1.0</v>
      </c>
      <c r="K1569" s="20">
        <v>99.0</v>
      </c>
      <c r="L1569" s="20"/>
      <c r="M1569" s="20">
        <v>99.0</v>
      </c>
      <c r="N1569" s="5" t="s">
        <v>67</v>
      </c>
      <c r="O1569" s="20" t="b">
        <v>0</v>
      </c>
      <c r="P1569" s="20" t="s">
        <v>68</v>
      </c>
      <c r="Q1569" s="20" t="s">
        <v>69</v>
      </c>
      <c r="R1569" s="20" t="s">
        <v>4889</v>
      </c>
      <c r="T1569" s="20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</row>
    <row r="1570">
      <c r="A1570" s="15" t="s">
        <v>7184</v>
      </c>
      <c r="B1570" s="19">
        <v>44413.93402777778</v>
      </c>
      <c r="C1570" s="20">
        <v>49859.0</v>
      </c>
      <c r="D1570" s="20" t="s">
        <v>4628</v>
      </c>
      <c r="E1570" s="20">
        <v>9.1990813737E11</v>
      </c>
      <c r="F1570" s="22" t="s">
        <v>12593</v>
      </c>
      <c r="G1570" s="20"/>
      <c r="H1570" s="20" t="s">
        <v>1133</v>
      </c>
      <c r="I1570" s="20"/>
      <c r="J1570" s="20">
        <v>3.0</v>
      </c>
      <c r="K1570" s="20">
        <v>199.0</v>
      </c>
      <c r="L1570" s="20"/>
      <c r="M1570" s="20">
        <v>199.0</v>
      </c>
      <c r="N1570" s="5" t="s">
        <v>67</v>
      </c>
      <c r="O1570" s="20" t="b">
        <v>0</v>
      </c>
      <c r="P1570" s="20" t="s">
        <v>68</v>
      </c>
      <c r="Q1570" s="20" t="s">
        <v>69</v>
      </c>
      <c r="R1570" s="20" t="s">
        <v>4620</v>
      </c>
      <c r="T1570" s="20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</row>
    <row r="1571">
      <c r="A1571" s="15" t="s">
        <v>7341</v>
      </c>
      <c r="B1571" s="19">
        <v>44474.01458333333</v>
      </c>
      <c r="C1571" s="20">
        <v>50033.0</v>
      </c>
      <c r="D1571" s="20" t="s">
        <v>5755</v>
      </c>
      <c r="E1571" s="20">
        <v>9.19398229415E11</v>
      </c>
      <c r="F1571" s="21">
        <v>0.0</v>
      </c>
      <c r="G1571" s="20"/>
      <c r="H1571" s="20" t="s">
        <v>1727</v>
      </c>
      <c r="I1571" s="20"/>
      <c r="J1571" s="20">
        <v>1.0</v>
      </c>
      <c r="K1571" s="20">
        <v>99.0</v>
      </c>
      <c r="L1571" s="20"/>
      <c r="M1571" s="20">
        <v>99.0</v>
      </c>
      <c r="N1571" s="5" t="s">
        <v>67</v>
      </c>
      <c r="O1571" s="20" t="b">
        <v>0</v>
      </c>
      <c r="P1571" s="20" t="s">
        <v>68</v>
      </c>
      <c r="Q1571" s="20" t="s">
        <v>69</v>
      </c>
      <c r="R1571" s="20" t="s">
        <v>5731</v>
      </c>
      <c r="T1571" s="20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</row>
    <row r="1572">
      <c r="A1572" s="15" t="s">
        <v>7185</v>
      </c>
      <c r="B1572" s="19">
        <v>44413.94513888889</v>
      </c>
      <c r="C1572" s="20">
        <v>49992.0</v>
      </c>
      <c r="D1572" s="20" t="s">
        <v>3289</v>
      </c>
      <c r="E1572" s="20">
        <v>9.19067637673E11</v>
      </c>
      <c r="F1572" s="21">
        <v>17756.0</v>
      </c>
      <c r="G1572" s="20"/>
      <c r="H1572" s="20" t="s">
        <v>3286</v>
      </c>
      <c r="I1572" s="20"/>
      <c r="J1572" s="20">
        <v>3.0</v>
      </c>
      <c r="K1572" s="20">
        <v>199.0</v>
      </c>
      <c r="L1572" s="20"/>
      <c r="M1572" s="20">
        <v>199.0</v>
      </c>
      <c r="N1572" s="5" t="s">
        <v>67</v>
      </c>
      <c r="O1572" s="20" t="b">
        <v>0</v>
      </c>
      <c r="P1572" s="20" t="s">
        <v>68</v>
      </c>
      <c r="Q1572" s="20" t="s">
        <v>69</v>
      </c>
      <c r="R1572" s="20" t="s">
        <v>3288</v>
      </c>
      <c r="T1572" s="20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</row>
    <row r="1573">
      <c r="A1573" s="15" t="s">
        <v>7186</v>
      </c>
      <c r="B1573" s="19">
        <v>44413.95138888889</v>
      </c>
      <c r="C1573" s="20">
        <v>49995.0</v>
      </c>
      <c r="D1573" s="20" t="s">
        <v>5333</v>
      </c>
      <c r="E1573" s="20">
        <v>9.1703605745E11</v>
      </c>
      <c r="F1573" s="21">
        <v>17758.0</v>
      </c>
      <c r="G1573" s="20"/>
      <c r="H1573" s="20" t="s">
        <v>5321</v>
      </c>
      <c r="I1573" s="20"/>
      <c r="J1573" s="20">
        <v>1.0</v>
      </c>
      <c r="K1573" s="20">
        <v>99.0</v>
      </c>
      <c r="L1573" s="20"/>
      <c r="M1573" s="20">
        <v>99.0</v>
      </c>
      <c r="N1573" s="5" t="s">
        <v>67</v>
      </c>
      <c r="O1573" s="20" t="b">
        <v>0</v>
      </c>
      <c r="P1573" s="20" t="s">
        <v>74</v>
      </c>
      <c r="Q1573" s="20" t="s">
        <v>69</v>
      </c>
      <c r="R1573" s="20" t="s">
        <v>5323</v>
      </c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</row>
    <row r="1574">
      <c r="A1574" s="15" t="s">
        <v>7190</v>
      </c>
      <c r="B1574" s="19">
        <v>44413.95277777778</v>
      </c>
      <c r="C1574" s="20">
        <v>49907.0</v>
      </c>
      <c r="D1574" s="20" t="s">
        <v>3777</v>
      </c>
      <c r="E1574" s="20">
        <v>9.17837668477E11</v>
      </c>
      <c r="F1574" s="21">
        <v>17759.0</v>
      </c>
      <c r="G1574" s="20"/>
      <c r="H1574" s="20" t="s">
        <v>587</v>
      </c>
      <c r="I1574" s="20"/>
      <c r="J1574" s="20">
        <v>1.0</v>
      </c>
      <c r="K1574" s="20">
        <v>99.0</v>
      </c>
      <c r="L1574" s="20"/>
      <c r="M1574" s="20">
        <v>99.0</v>
      </c>
      <c r="N1574" s="5" t="s">
        <v>67</v>
      </c>
      <c r="O1574" s="20" t="b">
        <v>0</v>
      </c>
      <c r="P1574" s="20" t="s">
        <v>68</v>
      </c>
      <c r="Q1574" s="20" t="s">
        <v>69</v>
      </c>
      <c r="R1574" s="20" t="s">
        <v>3774</v>
      </c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</row>
    <row r="1575">
      <c r="A1575" s="15" t="s">
        <v>7342</v>
      </c>
      <c r="B1575" s="19">
        <v>44474.04027777778</v>
      </c>
      <c r="C1575" s="20">
        <v>49859.0</v>
      </c>
      <c r="D1575" s="20" t="s">
        <v>4640</v>
      </c>
      <c r="E1575" s="20">
        <v>9.1748905079E11</v>
      </c>
      <c r="F1575" s="21">
        <v>0.0</v>
      </c>
      <c r="G1575" s="20"/>
      <c r="H1575" s="20" t="s">
        <v>1133</v>
      </c>
      <c r="I1575" s="20"/>
      <c r="J1575" s="20">
        <v>1.0</v>
      </c>
      <c r="K1575" s="20">
        <v>99.0</v>
      </c>
      <c r="L1575" s="20"/>
      <c r="M1575" s="20">
        <v>99.0</v>
      </c>
      <c r="N1575" s="5" t="s">
        <v>67</v>
      </c>
      <c r="O1575" s="20" t="b">
        <v>0</v>
      </c>
      <c r="P1575" s="20" t="s">
        <v>68</v>
      </c>
      <c r="Q1575" s="20" t="s">
        <v>69</v>
      </c>
      <c r="R1575" s="20" t="s">
        <v>4620</v>
      </c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</row>
    <row r="1576">
      <c r="A1576" s="15" t="s">
        <v>7343</v>
      </c>
      <c r="B1576" s="19">
        <v>44474.06527777778</v>
      </c>
      <c r="C1576" s="20">
        <v>49994.0</v>
      </c>
      <c r="D1576" s="20" t="s">
        <v>6617</v>
      </c>
      <c r="E1576" s="20">
        <v>9.19899916145E11</v>
      </c>
      <c r="F1576" s="21">
        <v>17858.0</v>
      </c>
      <c r="G1576" s="20"/>
      <c r="H1576" s="20" t="s">
        <v>1264</v>
      </c>
      <c r="I1576" s="20"/>
      <c r="J1576" s="20">
        <v>1.0</v>
      </c>
      <c r="K1576" s="20">
        <v>99.0</v>
      </c>
      <c r="L1576" s="20"/>
      <c r="M1576" s="20">
        <v>99.0</v>
      </c>
      <c r="N1576" s="5" t="s">
        <v>67</v>
      </c>
      <c r="O1576" s="20" t="b">
        <v>0</v>
      </c>
      <c r="P1576" s="20" t="s">
        <v>68</v>
      </c>
      <c r="Q1576" s="20" t="s">
        <v>69</v>
      </c>
      <c r="R1576" s="20" t="s">
        <v>6615</v>
      </c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</row>
    <row r="1577">
      <c r="A1577" s="15" t="s">
        <v>7192</v>
      </c>
      <c r="B1577" s="19">
        <v>44444.01180555556</v>
      </c>
      <c r="C1577" s="20">
        <v>50023.0</v>
      </c>
      <c r="D1577" s="20" t="s">
        <v>5511</v>
      </c>
      <c r="E1577" s="20">
        <v>9.19999033033E11</v>
      </c>
      <c r="F1577" s="21">
        <v>17769.0</v>
      </c>
      <c r="G1577" s="20"/>
      <c r="H1577" s="20" t="s">
        <v>5508</v>
      </c>
      <c r="I1577" s="20"/>
      <c r="J1577" s="20">
        <v>1.0</v>
      </c>
      <c r="K1577" s="20">
        <v>99.0</v>
      </c>
      <c r="L1577" s="20"/>
      <c r="M1577" s="20">
        <v>99.0</v>
      </c>
      <c r="N1577" s="5" t="s">
        <v>67</v>
      </c>
      <c r="O1577" s="20" t="b">
        <v>0</v>
      </c>
      <c r="P1577" s="20" t="s">
        <v>68</v>
      </c>
      <c r="Q1577" s="20" t="s">
        <v>69</v>
      </c>
      <c r="R1577" s="20" t="s">
        <v>5510</v>
      </c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</row>
    <row r="1578">
      <c r="A1578" s="15" t="s">
        <v>7193</v>
      </c>
      <c r="B1578" s="19">
        <v>44444.01458333333</v>
      </c>
      <c r="C1578" s="20">
        <v>49907.0</v>
      </c>
      <c r="D1578" s="20" t="s">
        <v>3778</v>
      </c>
      <c r="E1578" s="20">
        <v>9.17021755072E11</v>
      </c>
      <c r="F1578" s="21">
        <v>17770.0</v>
      </c>
      <c r="G1578" s="20"/>
      <c r="H1578" s="20" t="s">
        <v>587</v>
      </c>
      <c r="I1578" s="20"/>
      <c r="J1578" s="20">
        <v>1.0</v>
      </c>
      <c r="K1578" s="20">
        <v>99.0</v>
      </c>
      <c r="L1578" s="20"/>
      <c r="M1578" s="20">
        <v>99.0</v>
      </c>
      <c r="N1578" s="5" t="s">
        <v>67</v>
      </c>
      <c r="O1578" s="20" t="b">
        <v>0</v>
      </c>
      <c r="P1578" s="20" t="s">
        <v>68</v>
      </c>
      <c r="Q1578" s="20" t="s">
        <v>69</v>
      </c>
      <c r="R1578" s="20" t="s">
        <v>3774</v>
      </c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</row>
    <row r="1579">
      <c r="A1579" s="15" t="s">
        <v>7194</v>
      </c>
      <c r="B1579" s="19">
        <v>44444.02361111111</v>
      </c>
      <c r="C1579" s="20">
        <v>49813.0</v>
      </c>
      <c r="D1579" s="20" t="s">
        <v>5124</v>
      </c>
      <c r="E1579" s="20">
        <v>9.1858883084E11</v>
      </c>
      <c r="F1579" s="21">
        <v>17893.0</v>
      </c>
      <c r="G1579" s="20"/>
      <c r="H1579" s="20" t="s">
        <v>5114</v>
      </c>
      <c r="I1579" s="20"/>
      <c r="J1579" s="20">
        <v>6.0</v>
      </c>
      <c r="K1579" s="20">
        <v>799.0</v>
      </c>
      <c r="L1579" s="20"/>
      <c r="M1579" s="20">
        <v>799.0</v>
      </c>
      <c r="N1579" s="5" t="s">
        <v>67</v>
      </c>
      <c r="O1579" s="20" t="b">
        <v>0</v>
      </c>
      <c r="P1579" s="20" t="s">
        <v>68</v>
      </c>
      <c r="Q1579" s="20" t="s">
        <v>69</v>
      </c>
      <c r="R1579" s="20" t="s">
        <v>5116</v>
      </c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</row>
    <row r="1580">
      <c r="A1580" s="15" t="s">
        <v>7349</v>
      </c>
      <c r="B1580" s="19">
        <v>44474.1375</v>
      </c>
      <c r="C1580" s="20">
        <v>49844.0</v>
      </c>
      <c r="D1580" s="20" t="s">
        <v>5455</v>
      </c>
      <c r="E1580" s="20">
        <v>9.18686808655E11</v>
      </c>
      <c r="F1580" s="21">
        <v>17860.0</v>
      </c>
      <c r="G1580" s="20"/>
      <c r="H1580" s="20" t="s">
        <v>885</v>
      </c>
      <c r="I1580" s="20"/>
      <c r="J1580" s="20">
        <v>1.0</v>
      </c>
      <c r="K1580" s="20">
        <v>99.0</v>
      </c>
      <c r="L1580" s="20"/>
      <c r="M1580" s="20">
        <v>99.0</v>
      </c>
      <c r="N1580" s="5" t="s">
        <v>67</v>
      </c>
      <c r="O1580" s="20" t="b">
        <v>0</v>
      </c>
      <c r="P1580" s="20" t="s">
        <v>68</v>
      </c>
      <c r="Q1580" s="20" t="s">
        <v>69</v>
      </c>
      <c r="R1580" s="20" t="s">
        <v>5445</v>
      </c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</row>
    <row r="1581">
      <c r="A1581" s="15" t="s">
        <v>7348</v>
      </c>
      <c r="B1581" s="19">
        <v>44474.120833333334</v>
      </c>
      <c r="C1581" s="20">
        <v>50030.0</v>
      </c>
      <c r="D1581" s="20" t="s">
        <v>3342</v>
      </c>
      <c r="E1581" s="20">
        <v>9.1700039837E11</v>
      </c>
      <c r="F1581" s="21">
        <v>17859.0</v>
      </c>
      <c r="G1581" s="20"/>
      <c r="H1581" s="20" t="s">
        <v>3326</v>
      </c>
      <c r="I1581" s="20"/>
      <c r="J1581" s="20">
        <v>1.0</v>
      </c>
      <c r="K1581" s="20">
        <v>99.0</v>
      </c>
      <c r="L1581" s="20"/>
      <c r="M1581" s="20">
        <v>99.0</v>
      </c>
      <c r="N1581" s="5" t="s">
        <v>67</v>
      </c>
      <c r="O1581" s="20" t="b">
        <v>0</v>
      </c>
      <c r="P1581" s="20" t="s">
        <v>68</v>
      </c>
      <c r="Q1581" s="20" t="s">
        <v>69</v>
      </c>
      <c r="R1581" s="20" t="s">
        <v>3328</v>
      </c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</row>
    <row r="1582">
      <c r="A1582" s="15" t="s">
        <v>7350</v>
      </c>
      <c r="B1582" s="19">
        <v>44474.149305555555</v>
      </c>
      <c r="C1582" s="20">
        <v>50033.0</v>
      </c>
      <c r="D1582" s="20" t="s">
        <v>5750</v>
      </c>
      <c r="E1582" s="20">
        <v>9.19100876678E11</v>
      </c>
      <c r="F1582" s="21">
        <v>17861.0</v>
      </c>
      <c r="G1582" s="20"/>
      <c r="H1582" s="20" t="s">
        <v>1727</v>
      </c>
      <c r="I1582" s="20"/>
      <c r="J1582" s="20">
        <v>1.0</v>
      </c>
      <c r="K1582" s="20">
        <v>99.0</v>
      </c>
      <c r="L1582" s="20"/>
      <c r="M1582" s="20">
        <v>99.0</v>
      </c>
      <c r="N1582" s="5" t="s">
        <v>67</v>
      </c>
      <c r="O1582" s="20" t="b">
        <v>0</v>
      </c>
      <c r="P1582" s="20" t="s">
        <v>68</v>
      </c>
      <c r="Q1582" s="20" t="s">
        <v>69</v>
      </c>
      <c r="R1582" s="20" t="s">
        <v>5731</v>
      </c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</row>
    <row r="1583">
      <c r="A1583" s="15" t="s">
        <v>7203</v>
      </c>
      <c r="B1583" s="19">
        <v>44444.07361111111</v>
      </c>
      <c r="C1583" s="20">
        <v>50031.0</v>
      </c>
      <c r="D1583" s="20" t="s">
        <v>4574</v>
      </c>
      <c r="E1583" s="20">
        <v>9.1989253181E11</v>
      </c>
      <c r="F1583" s="21">
        <v>17771.0</v>
      </c>
      <c r="G1583" s="20"/>
      <c r="H1583" s="20" t="s">
        <v>4561</v>
      </c>
      <c r="I1583" s="20"/>
      <c r="J1583" s="20">
        <v>1.0</v>
      </c>
      <c r="K1583" s="20">
        <v>99.0</v>
      </c>
      <c r="L1583" s="20"/>
      <c r="M1583" s="20">
        <v>99.0</v>
      </c>
      <c r="N1583" s="5" t="s">
        <v>67</v>
      </c>
      <c r="O1583" s="20" t="b">
        <v>0</v>
      </c>
      <c r="P1583" s="20" t="s">
        <v>68</v>
      </c>
      <c r="Q1583" s="20" t="s">
        <v>69</v>
      </c>
      <c r="R1583" s="20" t="s">
        <v>4563</v>
      </c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</row>
    <row r="1584">
      <c r="A1584" s="15" t="s">
        <v>7204</v>
      </c>
      <c r="B1584" s="19">
        <v>44444.10972222222</v>
      </c>
      <c r="C1584" s="20">
        <v>49834.0</v>
      </c>
      <c r="D1584" s="20" t="s">
        <v>3308</v>
      </c>
      <c r="E1584" s="20">
        <v>9.19945189438E11</v>
      </c>
      <c r="F1584" s="21">
        <v>17772.0</v>
      </c>
      <c r="G1584" s="20"/>
      <c r="H1584" s="20" t="s">
        <v>76</v>
      </c>
      <c r="I1584" s="20"/>
      <c r="J1584" s="20">
        <v>6.0</v>
      </c>
      <c r="K1584" s="20">
        <v>349.0</v>
      </c>
      <c r="L1584" s="20"/>
      <c r="M1584" s="20">
        <v>349.0</v>
      </c>
      <c r="N1584" s="5" t="s">
        <v>67</v>
      </c>
      <c r="O1584" s="20" t="b">
        <v>0</v>
      </c>
      <c r="P1584" s="20" t="s">
        <v>151</v>
      </c>
      <c r="Q1584" s="20" t="s">
        <v>69</v>
      </c>
      <c r="R1584" s="20" t="s">
        <v>3298</v>
      </c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</row>
    <row r="1585">
      <c r="A1585" s="15" t="s">
        <v>7207</v>
      </c>
      <c r="B1585" s="19">
        <v>44444.17291666667</v>
      </c>
      <c r="C1585" s="20">
        <v>49834.0</v>
      </c>
      <c r="D1585" s="20" t="s">
        <v>3309</v>
      </c>
      <c r="E1585" s="20">
        <v>9.1952142684E11</v>
      </c>
      <c r="F1585" s="21">
        <v>17774.0</v>
      </c>
      <c r="G1585" s="20"/>
      <c r="H1585" s="20" t="s">
        <v>76</v>
      </c>
      <c r="I1585" s="20"/>
      <c r="J1585" s="20">
        <v>1.0</v>
      </c>
      <c r="K1585" s="20">
        <v>99.0</v>
      </c>
      <c r="L1585" s="20"/>
      <c r="M1585" s="20">
        <v>99.0</v>
      </c>
      <c r="N1585" s="5" t="s">
        <v>67</v>
      </c>
      <c r="O1585" s="20" t="b">
        <v>0</v>
      </c>
      <c r="P1585" s="20" t="s">
        <v>68</v>
      </c>
      <c r="Q1585" s="20" t="s">
        <v>69</v>
      </c>
      <c r="R1585" s="20" t="s">
        <v>3298</v>
      </c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</row>
    <row r="1586">
      <c r="A1586" s="15" t="s">
        <v>7208</v>
      </c>
      <c r="B1586" s="19">
        <v>44444.19930555556</v>
      </c>
      <c r="C1586" s="20">
        <v>49859.0</v>
      </c>
      <c r="D1586" s="20" t="s">
        <v>4632</v>
      </c>
      <c r="E1586" s="20">
        <v>9.19167707178E11</v>
      </c>
      <c r="F1586" s="21">
        <v>17775.0</v>
      </c>
      <c r="G1586" s="20"/>
      <c r="H1586" s="20" t="s">
        <v>1133</v>
      </c>
      <c r="I1586" s="20"/>
      <c r="J1586" s="20">
        <v>3.0</v>
      </c>
      <c r="K1586" s="20">
        <v>199.0</v>
      </c>
      <c r="L1586" s="20"/>
      <c r="M1586" s="20">
        <v>199.0</v>
      </c>
      <c r="N1586" s="5" t="s">
        <v>67</v>
      </c>
      <c r="O1586" s="20" t="b">
        <v>0</v>
      </c>
      <c r="P1586" s="20" t="s">
        <v>68</v>
      </c>
      <c r="Q1586" s="20" t="s">
        <v>69</v>
      </c>
      <c r="R1586" s="20" t="s">
        <v>4620</v>
      </c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</row>
    <row r="1587">
      <c r="A1587" s="15" t="s">
        <v>7354</v>
      </c>
      <c r="B1587" s="19">
        <v>44474.24236111111</v>
      </c>
      <c r="C1587" s="20">
        <v>50030.0</v>
      </c>
      <c r="D1587" s="20" t="s">
        <v>3344</v>
      </c>
      <c r="E1587" s="20">
        <v>9.19987903824E11</v>
      </c>
      <c r="F1587" s="21">
        <v>17862.0</v>
      </c>
      <c r="G1587" s="20"/>
      <c r="H1587" s="20" t="s">
        <v>3326</v>
      </c>
      <c r="I1587" s="20"/>
      <c r="J1587" s="20">
        <v>3.0</v>
      </c>
      <c r="K1587" s="20">
        <v>199.0</v>
      </c>
      <c r="L1587" s="20"/>
      <c r="M1587" s="20">
        <v>199.0</v>
      </c>
      <c r="N1587" s="5" t="s">
        <v>67</v>
      </c>
      <c r="O1587" s="20" t="b">
        <v>0</v>
      </c>
      <c r="P1587" s="20" t="s">
        <v>68</v>
      </c>
      <c r="Q1587" s="20" t="s">
        <v>69</v>
      </c>
      <c r="R1587" s="20" t="s">
        <v>3328</v>
      </c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</row>
    <row r="1588">
      <c r="A1588" s="15" t="s">
        <v>7355</v>
      </c>
      <c r="B1588" s="19">
        <v>44474.268055555556</v>
      </c>
      <c r="C1588" s="20">
        <v>49859.0</v>
      </c>
      <c r="D1588" s="20" t="s">
        <v>4637</v>
      </c>
      <c r="E1588" s="20">
        <v>9.18938061732E11</v>
      </c>
      <c r="F1588" s="22" t="s">
        <v>12593</v>
      </c>
      <c r="G1588" s="20"/>
      <c r="H1588" s="20" t="s">
        <v>1133</v>
      </c>
      <c r="I1588" s="20"/>
      <c r="J1588" s="20">
        <v>1.0</v>
      </c>
      <c r="K1588" s="20">
        <v>99.0</v>
      </c>
      <c r="L1588" s="20"/>
      <c r="M1588" s="20">
        <v>99.0</v>
      </c>
      <c r="N1588" s="5" t="s">
        <v>67</v>
      </c>
      <c r="O1588" s="20" t="b">
        <v>0</v>
      </c>
      <c r="P1588" s="20" t="s">
        <v>74</v>
      </c>
      <c r="Q1588" s="20" t="s">
        <v>69</v>
      </c>
      <c r="R1588" s="20" t="s">
        <v>4620</v>
      </c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</row>
    <row r="1589">
      <c r="A1589" s="15" t="s">
        <v>7357</v>
      </c>
      <c r="B1589" s="19">
        <v>44474.2875</v>
      </c>
      <c r="C1589" s="20">
        <v>50040.0</v>
      </c>
      <c r="D1589" s="20" t="s">
        <v>5408</v>
      </c>
      <c r="E1589" s="20">
        <v>9.19916909335E11</v>
      </c>
      <c r="F1589" s="21">
        <v>17864.0</v>
      </c>
      <c r="G1589" s="20"/>
      <c r="H1589" s="20" t="s">
        <v>5400</v>
      </c>
      <c r="I1589" s="20"/>
      <c r="J1589" s="20">
        <v>1.0</v>
      </c>
      <c r="K1589" s="20">
        <v>99.0</v>
      </c>
      <c r="L1589" s="20"/>
      <c r="M1589" s="20">
        <v>99.0</v>
      </c>
      <c r="N1589" s="5" t="s">
        <v>67</v>
      </c>
      <c r="O1589" s="20" t="b">
        <v>0</v>
      </c>
      <c r="P1589" s="20" t="s">
        <v>68</v>
      </c>
      <c r="Q1589" s="20" t="s">
        <v>69</v>
      </c>
      <c r="R1589" s="20" t="s">
        <v>5402</v>
      </c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</row>
    <row r="1590">
      <c r="A1590" s="15" t="s">
        <v>7364</v>
      </c>
      <c r="B1590" s="19">
        <v>44474.31736111111</v>
      </c>
      <c r="C1590" s="20">
        <v>49859.0</v>
      </c>
      <c r="D1590" s="20" t="s">
        <v>4638</v>
      </c>
      <c r="E1590" s="20">
        <v>9.19567570277E11</v>
      </c>
      <c r="F1590" s="21">
        <v>17866.0</v>
      </c>
      <c r="G1590" s="20"/>
      <c r="H1590" s="20" t="s">
        <v>1133</v>
      </c>
      <c r="I1590" s="20"/>
      <c r="J1590" s="20">
        <v>1.0</v>
      </c>
      <c r="K1590" s="20">
        <v>99.0</v>
      </c>
      <c r="L1590" s="20"/>
      <c r="M1590" s="20">
        <v>99.0</v>
      </c>
      <c r="N1590" s="5" t="s">
        <v>67</v>
      </c>
      <c r="O1590" s="20" t="b">
        <v>0</v>
      </c>
      <c r="P1590" s="20" t="s">
        <v>68</v>
      </c>
      <c r="Q1590" s="20" t="s">
        <v>69</v>
      </c>
      <c r="R1590" s="20" t="s">
        <v>4620</v>
      </c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</row>
    <row r="1591">
      <c r="A1591" s="15" t="s">
        <v>7368</v>
      </c>
      <c r="B1591" s="19">
        <v>44474.34305555555</v>
      </c>
      <c r="C1591" s="20">
        <v>50054.0</v>
      </c>
      <c r="D1591" s="20" t="s">
        <v>5840</v>
      </c>
      <c r="E1591" s="20">
        <v>9.17753070876E11</v>
      </c>
      <c r="F1591" s="21">
        <v>17869.0</v>
      </c>
      <c r="G1591" s="20"/>
      <c r="H1591" s="20" t="s">
        <v>5822</v>
      </c>
      <c r="I1591" s="20"/>
      <c r="J1591" s="20">
        <v>3.0</v>
      </c>
      <c r="K1591" s="20">
        <v>199.0</v>
      </c>
      <c r="L1591" s="20"/>
      <c r="M1591" s="20">
        <v>199.0</v>
      </c>
      <c r="N1591" s="5" t="s">
        <v>67</v>
      </c>
      <c r="O1591" s="20" t="b">
        <v>0</v>
      </c>
      <c r="P1591" s="20" t="s">
        <v>68</v>
      </c>
      <c r="Q1591" s="20" t="s">
        <v>69</v>
      </c>
      <c r="R1591" s="20" t="s">
        <v>5824</v>
      </c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</row>
    <row r="1592">
      <c r="A1592" s="15" t="s">
        <v>7369</v>
      </c>
      <c r="B1592" s="19">
        <v>44474.58194444444</v>
      </c>
      <c r="C1592" s="20">
        <v>50029.0</v>
      </c>
      <c r="D1592" s="20" t="s">
        <v>2771</v>
      </c>
      <c r="E1592" s="20">
        <v>9.18884582987E11</v>
      </c>
      <c r="F1592" s="21">
        <v>17894.0</v>
      </c>
      <c r="G1592" s="20"/>
      <c r="H1592" s="20" t="s">
        <v>2761</v>
      </c>
      <c r="I1592" s="20"/>
      <c r="J1592" s="20">
        <v>3.0</v>
      </c>
      <c r="K1592" s="20">
        <v>199.0</v>
      </c>
      <c r="L1592" s="20"/>
      <c r="M1592" s="20">
        <v>199.0</v>
      </c>
      <c r="N1592" s="5" t="s">
        <v>67</v>
      </c>
      <c r="O1592" s="20" t="b">
        <v>0</v>
      </c>
      <c r="P1592" s="20" t="s">
        <v>74</v>
      </c>
      <c r="Q1592" s="20" t="s">
        <v>69</v>
      </c>
      <c r="R1592" s="20" t="s">
        <v>2763</v>
      </c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</row>
    <row r="1593">
      <c r="A1593" s="15" t="s">
        <v>7370</v>
      </c>
      <c r="B1593" s="19">
        <v>44474.34375</v>
      </c>
      <c r="C1593" s="20">
        <v>50033.0</v>
      </c>
      <c r="D1593" s="20" t="s">
        <v>5752</v>
      </c>
      <c r="E1593" s="20">
        <v>9.19506976416E11</v>
      </c>
      <c r="F1593" s="21">
        <v>17870.0</v>
      </c>
      <c r="G1593" s="20"/>
      <c r="H1593" s="20" t="s">
        <v>1727</v>
      </c>
      <c r="I1593" s="20"/>
      <c r="J1593" s="20">
        <v>1.0</v>
      </c>
      <c r="K1593" s="20">
        <v>99.0</v>
      </c>
      <c r="L1593" s="20"/>
      <c r="M1593" s="20">
        <v>99.0</v>
      </c>
      <c r="N1593" s="5" t="s">
        <v>67</v>
      </c>
      <c r="O1593" s="20" t="b">
        <v>0</v>
      </c>
      <c r="P1593" s="20" t="s">
        <v>68</v>
      </c>
      <c r="Q1593" s="20" t="s">
        <v>69</v>
      </c>
      <c r="R1593" s="20" t="s">
        <v>5731</v>
      </c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</row>
    <row r="1594">
      <c r="A1594" s="15" t="s">
        <v>7371</v>
      </c>
      <c r="B1594" s="19">
        <v>44474.345138888886</v>
      </c>
      <c r="C1594" s="20">
        <v>50023.0</v>
      </c>
      <c r="D1594" s="20" t="s">
        <v>5512</v>
      </c>
      <c r="E1594" s="20">
        <v>9.19723231499E11</v>
      </c>
      <c r="F1594" s="21">
        <v>17871.0</v>
      </c>
      <c r="G1594" s="20"/>
      <c r="H1594" s="20" t="s">
        <v>5508</v>
      </c>
      <c r="I1594" s="20"/>
      <c r="J1594" s="20">
        <v>3.0</v>
      </c>
      <c r="K1594" s="20">
        <v>199.0</v>
      </c>
      <c r="L1594" s="20"/>
      <c r="M1594" s="20">
        <v>199.0</v>
      </c>
      <c r="N1594" s="5" t="s">
        <v>67</v>
      </c>
      <c r="O1594" s="20" t="b">
        <v>0</v>
      </c>
      <c r="P1594" s="20" t="s">
        <v>68</v>
      </c>
      <c r="Q1594" s="20" t="s">
        <v>69</v>
      </c>
      <c r="R1594" s="20" t="s">
        <v>5510</v>
      </c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</row>
    <row r="1595">
      <c r="A1595" s="15" t="s">
        <v>7367</v>
      </c>
      <c r="B1595" s="19">
        <v>44474.33263888889</v>
      </c>
      <c r="C1595" s="20">
        <v>50031.0</v>
      </c>
      <c r="D1595" s="20" t="s">
        <v>4579</v>
      </c>
      <c r="E1595" s="20">
        <v>9.17014289144E11</v>
      </c>
      <c r="F1595" s="21">
        <v>17867.0</v>
      </c>
      <c r="G1595" s="20"/>
      <c r="H1595" s="20" t="s">
        <v>4561</v>
      </c>
      <c r="I1595" s="20"/>
      <c r="J1595" s="20">
        <v>1.0</v>
      </c>
      <c r="K1595" s="20">
        <v>99.0</v>
      </c>
      <c r="L1595" s="20"/>
      <c r="M1595" s="20">
        <v>99.0</v>
      </c>
      <c r="N1595" s="5" t="s">
        <v>67</v>
      </c>
      <c r="O1595" s="20" t="b">
        <v>0</v>
      </c>
      <c r="P1595" s="20" t="s">
        <v>74</v>
      </c>
      <c r="Q1595" s="20" t="s">
        <v>69</v>
      </c>
      <c r="R1595" s="20" t="s">
        <v>4563</v>
      </c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</row>
    <row r="1596">
      <c r="A1596" s="15" t="s">
        <v>7373</v>
      </c>
      <c r="B1596" s="19">
        <v>44474.354166666664</v>
      </c>
      <c r="C1596" s="20">
        <v>50052.0</v>
      </c>
      <c r="D1596" s="20" t="s">
        <v>4438</v>
      </c>
      <c r="E1596" s="20">
        <v>9.19171168888E11</v>
      </c>
      <c r="F1596" s="21">
        <v>17875.0</v>
      </c>
      <c r="G1596" s="20"/>
      <c r="H1596" s="20" t="s">
        <v>4433</v>
      </c>
      <c r="I1596" s="20"/>
      <c r="J1596" s="20">
        <v>1.0</v>
      </c>
      <c r="K1596" s="20">
        <v>99.0</v>
      </c>
      <c r="L1596" s="20"/>
      <c r="M1596" s="20">
        <v>99.0</v>
      </c>
      <c r="N1596" s="5" t="s">
        <v>67</v>
      </c>
      <c r="O1596" s="20" t="b">
        <v>0</v>
      </c>
      <c r="P1596" s="20" t="s">
        <v>68</v>
      </c>
      <c r="Q1596" s="20" t="s">
        <v>69</v>
      </c>
      <c r="R1596" s="20" t="s">
        <v>4435</v>
      </c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</row>
    <row r="1597">
      <c r="A1597" s="15" t="s">
        <v>7374</v>
      </c>
      <c r="B1597" s="19">
        <v>44474.35486111111</v>
      </c>
      <c r="C1597" s="20">
        <v>50015.0</v>
      </c>
      <c r="D1597" s="20" t="s">
        <v>2711</v>
      </c>
      <c r="E1597" s="20">
        <v>9.19742862306E11</v>
      </c>
      <c r="F1597" s="21">
        <v>17874.0</v>
      </c>
      <c r="G1597" s="20"/>
      <c r="H1597" s="20" t="s">
        <v>2702</v>
      </c>
      <c r="I1597" s="20"/>
      <c r="J1597" s="20">
        <v>3.0</v>
      </c>
      <c r="K1597" s="20">
        <v>199.0</v>
      </c>
      <c r="L1597" s="20"/>
      <c r="M1597" s="20">
        <v>199.0</v>
      </c>
      <c r="N1597" s="5" t="s">
        <v>67</v>
      </c>
      <c r="O1597" s="20" t="b">
        <v>0</v>
      </c>
      <c r="P1597" s="20" t="s">
        <v>68</v>
      </c>
      <c r="Q1597" s="20" t="s">
        <v>69</v>
      </c>
      <c r="R1597" s="20" t="s">
        <v>2704</v>
      </c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</row>
    <row r="1598">
      <c r="A1598" s="15" t="s">
        <v>7379</v>
      </c>
      <c r="B1598" s="19">
        <v>44474.37222222222</v>
      </c>
      <c r="C1598" s="20">
        <v>50052.0</v>
      </c>
      <c r="D1598" s="20" t="s">
        <v>4439</v>
      </c>
      <c r="E1598" s="20">
        <v>9.18985811279E11</v>
      </c>
      <c r="F1598" s="21">
        <v>17876.0</v>
      </c>
      <c r="G1598" s="20"/>
      <c r="H1598" s="20" t="s">
        <v>4433</v>
      </c>
      <c r="I1598" s="20"/>
      <c r="J1598" s="20">
        <v>1.0</v>
      </c>
      <c r="K1598" s="20">
        <v>99.0</v>
      </c>
      <c r="L1598" s="20"/>
      <c r="M1598" s="20">
        <v>99.0</v>
      </c>
      <c r="N1598" s="5" t="s">
        <v>67</v>
      </c>
      <c r="O1598" s="20" t="b">
        <v>0</v>
      </c>
      <c r="P1598" s="20" t="s">
        <v>68</v>
      </c>
      <c r="Q1598" s="20" t="s">
        <v>69</v>
      </c>
      <c r="R1598" s="20" t="s">
        <v>4435</v>
      </c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</row>
    <row r="1599">
      <c r="A1599" s="15" t="s">
        <v>7221</v>
      </c>
      <c r="B1599" s="19">
        <v>44444.33125</v>
      </c>
      <c r="C1599" s="20">
        <v>49859.0</v>
      </c>
      <c r="D1599" s="20" t="s">
        <v>4633</v>
      </c>
      <c r="E1599" s="20">
        <v>9.18743022033E11</v>
      </c>
      <c r="F1599" s="21">
        <v>17781.0</v>
      </c>
      <c r="G1599" s="20"/>
      <c r="H1599" s="20" t="s">
        <v>1133</v>
      </c>
      <c r="I1599" s="20"/>
      <c r="J1599" s="20">
        <v>1.0</v>
      </c>
      <c r="K1599" s="20">
        <v>99.0</v>
      </c>
      <c r="L1599" s="20"/>
      <c r="M1599" s="20">
        <v>99.0</v>
      </c>
      <c r="N1599" s="5" t="s">
        <v>67</v>
      </c>
      <c r="O1599" s="20" t="b">
        <v>0</v>
      </c>
      <c r="P1599" s="20" t="s">
        <v>74</v>
      </c>
      <c r="Q1599" s="20" t="s">
        <v>69</v>
      </c>
      <c r="R1599" s="20" t="s">
        <v>4620</v>
      </c>
      <c r="T1599" s="20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</row>
    <row r="1600">
      <c r="A1600" s="15" t="s">
        <v>7382</v>
      </c>
      <c r="B1600" s="19">
        <v>44474.39236111111</v>
      </c>
      <c r="C1600" s="20">
        <v>50041.0</v>
      </c>
      <c r="D1600" s="20" t="s">
        <v>5961</v>
      </c>
      <c r="E1600" s="20">
        <v>9.19930406174E11</v>
      </c>
      <c r="F1600" s="21">
        <v>17879.0</v>
      </c>
      <c r="G1600" s="20"/>
      <c r="H1600" s="20" t="s">
        <v>5956</v>
      </c>
      <c r="I1600" s="20"/>
      <c r="J1600" s="20">
        <v>6.0</v>
      </c>
      <c r="K1600" s="20">
        <v>999.0</v>
      </c>
      <c r="L1600" s="20"/>
      <c r="M1600" s="20">
        <v>999.0</v>
      </c>
      <c r="N1600" s="5" t="s">
        <v>67</v>
      </c>
      <c r="O1600" s="20" t="b">
        <v>0</v>
      </c>
      <c r="P1600" s="20" t="s">
        <v>74</v>
      </c>
      <c r="Q1600" s="20" t="s">
        <v>69</v>
      </c>
      <c r="R1600" s="20" t="s">
        <v>5958</v>
      </c>
      <c r="T1600" s="20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</row>
    <row r="1601">
      <c r="A1601" s="15" t="s">
        <v>7223</v>
      </c>
      <c r="B1601" s="19">
        <v>44444.34097222222</v>
      </c>
      <c r="C1601" s="20">
        <v>49997.0</v>
      </c>
      <c r="D1601" s="20" t="s">
        <v>2475</v>
      </c>
      <c r="E1601" s="20">
        <v>9.19012341187E11</v>
      </c>
      <c r="F1601" s="21">
        <v>17783.0</v>
      </c>
      <c r="G1601" s="20"/>
      <c r="H1601" s="20" t="s">
        <v>2455</v>
      </c>
      <c r="I1601" s="20"/>
      <c r="J1601" s="20">
        <v>3.0</v>
      </c>
      <c r="K1601" s="20">
        <v>199.0</v>
      </c>
      <c r="L1601" s="20"/>
      <c r="M1601" s="20">
        <v>199.0</v>
      </c>
      <c r="N1601" s="5" t="s">
        <v>67</v>
      </c>
      <c r="O1601" s="20" t="b">
        <v>0</v>
      </c>
      <c r="P1601" s="20" t="s">
        <v>68</v>
      </c>
      <c r="Q1601" s="20" t="s">
        <v>69</v>
      </c>
      <c r="R1601" s="20" t="s">
        <v>2457</v>
      </c>
      <c r="T1601" s="20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</row>
    <row r="1602">
      <c r="A1602" s="15" t="s">
        <v>7383</v>
      </c>
      <c r="B1602" s="19">
        <v>44474.40416666667</v>
      </c>
      <c r="C1602" s="20">
        <v>50065.0</v>
      </c>
      <c r="D1602" s="20" t="s">
        <v>2694</v>
      </c>
      <c r="E1602" s="20">
        <v>9.1837455615E11</v>
      </c>
      <c r="F1602" s="21">
        <v>17915.0</v>
      </c>
      <c r="G1602" s="20"/>
      <c r="H1602" s="20" t="s">
        <v>2601</v>
      </c>
      <c r="I1602" s="20"/>
      <c r="J1602" s="20">
        <v>1.0</v>
      </c>
      <c r="K1602" s="20">
        <v>99.0</v>
      </c>
      <c r="L1602" s="20"/>
      <c r="M1602" s="20">
        <v>99.0</v>
      </c>
      <c r="N1602" s="5" t="s">
        <v>67</v>
      </c>
      <c r="O1602" s="20" t="b">
        <v>0</v>
      </c>
      <c r="P1602" s="20" t="s">
        <v>68</v>
      </c>
      <c r="Q1602" s="20" t="s">
        <v>69</v>
      </c>
      <c r="R1602" s="20" t="s">
        <v>2604</v>
      </c>
      <c r="T1602" s="20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</row>
    <row r="1603">
      <c r="A1603" s="15" t="s">
        <v>7384</v>
      </c>
      <c r="B1603" s="19">
        <v>44474.40347222222</v>
      </c>
      <c r="C1603" s="20">
        <v>50033.0</v>
      </c>
      <c r="D1603" s="20" t="s">
        <v>5754</v>
      </c>
      <c r="E1603" s="20">
        <v>9.17671883672E11</v>
      </c>
      <c r="F1603" s="21">
        <v>0.0</v>
      </c>
      <c r="G1603" s="20"/>
      <c r="H1603" s="20" t="s">
        <v>1727</v>
      </c>
      <c r="I1603" s="20"/>
      <c r="J1603" s="20">
        <v>1.0</v>
      </c>
      <c r="K1603" s="20">
        <v>99.0</v>
      </c>
      <c r="L1603" s="20"/>
      <c r="M1603" s="20">
        <v>99.0</v>
      </c>
      <c r="N1603" s="5" t="s">
        <v>67</v>
      </c>
      <c r="O1603" s="20" t="b">
        <v>0</v>
      </c>
      <c r="P1603" s="20" t="s">
        <v>68</v>
      </c>
      <c r="Q1603" s="20" t="s">
        <v>69</v>
      </c>
      <c r="R1603" s="20" t="s">
        <v>5731</v>
      </c>
      <c r="T1603" s="20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</row>
    <row r="1604">
      <c r="A1604" s="15" t="s">
        <v>7392</v>
      </c>
      <c r="B1604" s="19">
        <v>44474.44236111111</v>
      </c>
      <c r="C1604" s="20">
        <v>50029.0</v>
      </c>
      <c r="D1604" s="20" t="s">
        <v>2773</v>
      </c>
      <c r="E1604" s="20">
        <v>9.19447672239E11</v>
      </c>
      <c r="F1604" s="21">
        <v>17883.0</v>
      </c>
      <c r="G1604" s="20"/>
      <c r="H1604" s="20" t="s">
        <v>2761</v>
      </c>
      <c r="I1604" s="20"/>
      <c r="J1604" s="20">
        <v>6.0</v>
      </c>
      <c r="K1604" s="20">
        <v>349.0</v>
      </c>
      <c r="L1604" s="20"/>
      <c r="M1604" s="20">
        <v>349.0</v>
      </c>
      <c r="N1604" s="5" t="s">
        <v>67</v>
      </c>
      <c r="O1604" s="20" t="b">
        <v>0</v>
      </c>
      <c r="P1604" s="20" t="s">
        <v>68</v>
      </c>
      <c r="Q1604" s="20" t="s">
        <v>69</v>
      </c>
      <c r="R1604" s="20" t="s">
        <v>2763</v>
      </c>
      <c r="T1604" s="20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</row>
    <row r="1605">
      <c r="A1605" s="15" t="s">
        <v>7393</v>
      </c>
      <c r="B1605" s="19">
        <v>44474.44513888889</v>
      </c>
      <c r="C1605" s="20">
        <v>50029.0</v>
      </c>
      <c r="D1605" s="20" t="s">
        <v>2774</v>
      </c>
      <c r="E1605" s="20">
        <v>9.18910129204E11</v>
      </c>
      <c r="F1605" s="21">
        <v>17885.0</v>
      </c>
      <c r="G1605" s="20"/>
      <c r="H1605" s="20" t="s">
        <v>2761</v>
      </c>
      <c r="I1605" s="20"/>
      <c r="J1605" s="20">
        <v>1.0</v>
      </c>
      <c r="K1605" s="20">
        <v>99.0</v>
      </c>
      <c r="L1605" s="20"/>
      <c r="M1605" s="20">
        <v>99.0</v>
      </c>
      <c r="N1605" s="5" t="s">
        <v>67</v>
      </c>
      <c r="O1605" s="20" t="b">
        <v>0</v>
      </c>
      <c r="P1605" s="20" t="s">
        <v>68</v>
      </c>
      <c r="Q1605" s="20" t="s">
        <v>69</v>
      </c>
      <c r="R1605" s="20" t="s">
        <v>2763</v>
      </c>
      <c r="T1605" s="20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</row>
    <row r="1606">
      <c r="A1606" s="15" t="s">
        <v>7233</v>
      </c>
      <c r="B1606" s="19">
        <v>44444.41111111111</v>
      </c>
      <c r="C1606" s="20">
        <v>50052.0</v>
      </c>
      <c r="D1606" s="20" t="s">
        <v>4436</v>
      </c>
      <c r="E1606" s="20">
        <v>9.19949655132E11</v>
      </c>
      <c r="F1606" s="21">
        <v>17792.0</v>
      </c>
      <c r="G1606" s="20"/>
      <c r="H1606" s="20" t="s">
        <v>4433</v>
      </c>
      <c r="I1606" s="20"/>
      <c r="J1606" s="20">
        <v>1.0</v>
      </c>
      <c r="K1606" s="20">
        <v>349.0</v>
      </c>
      <c r="L1606" s="20"/>
      <c r="M1606" s="20">
        <v>349.0</v>
      </c>
      <c r="N1606" s="5" t="s">
        <v>67</v>
      </c>
      <c r="O1606" s="20" t="b">
        <v>0</v>
      </c>
      <c r="P1606" s="20" t="s">
        <v>74</v>
      </c>
      <c r="Q1606" s="20" t="s">
        <v>69</v>
      </c>
      <c r="R1606" s="20" t="s">
        <v>4435</v>
      </c>
      <c r="T1606" s="20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</row>
    <row r="1607">
      <c r="A1607" s="15" t="s">
        <v>7234</v>
      </c>
      <c r="B1607" s="19">
        <v>44444.419444444444</v>
      </c>
      <c r="C1607" s="20">
        <v>50030.0</v>
      </c>
      <c r="D1607" s="20" t="s">
        <v>3339</v>
      </c>
      <c r="E1607" s="20">
        <v>9.19560947484E11</v>
      </c>
      <c r="F1607" s="21">
        <v>17793.0</v>
      </c>
      <c r="G1607" s="20"/>
      <c r="H1607" s="20" t="s">
        <v>3326</v>
      </c>
      <c r="I1607" s="20"/>
      <c r="J1607" s="20">
        <v>1.0</v>
      </c>
      <c r="K1607" s="20">
        <v>99.0</v>
      </c>
      <c r="L1607" s="20"/>
      <c r="M1607" s="20">
        <v>99.0</v>
      </c>
      <c r="N1607" s="5" t="s">
        <v>67</v>
      </c>
      <c r="O1607" s="20" t="b">
        <v>0</v>
      </c>
      <c r="P1607" s="20" t="s">
        <v>68</v>
      </c>
      <c r="Q1607" s="20" t="s">
        <v>69</v>
      </c>
      <c r="R1607" s="20" t="s">
        <v>3328</v>
      </c>
      <c r="T1607" s="20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</row>
    <row r="1608">
      <c r="A1608" s="15" t="s">
        <v>7237</v>
      </c>
      <c r="B1608" s="19">
        <v>44444.42569444444</v>
      </c>
      <c r="C1608" s="20">
        <v>50033.0</v>
      </c>
      <c r="D1608" s="20" t="s">
        <v>5745</v>
      </c>
      <c r="E1608" s="20">
        <v>9.17903896049E11</v>
      </c>
      <c r="F1608" s="21">
        <v>17794.0</v>
      </c>
      <c r="G1608" s="20"/>
      <c r="H1608" s="20" t="s">
        <v>1727</v>
      </c>
      <c r="I1608" s="20"/>
      <c r="J1608" s="20">
        <v>3.0</v>
      </c>
      <c r="K1608" s="20">
        <v>199.0</v>
      </c>
      <c r="L1608" s="20"/>
      <c r="M1608" s="20">
        <v>199.0</v>
      </c>
      <c r="N1608" s="5" t="s">
        <v>67</v>
      </c>
      <c r="O1608" s="20" t="b">
        <v>0</v>
      </c>
      <c r="P1608" s="20" t="s">
        <v>68</v>
      </c>
      <c r="Q1608" s="20" t="s">
        <v>69</v>
      </c>
      <c r="R1608" s="20" t="s">
        <v>5731</v>
      </c>
      <c r="T1608" s="20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</row>
    <row r="1609">
      <c r="A1609" s="15" t="s">
        <v>7399</v>
      </c>
      <c r="B1609" s="19">
        <v>44474.504166666666</v>
      </c>
      <c r="C1609" s="20">
        <v>50054.0</v>
      </c>
      <c r="D1609" s="20" t="s">
        <v>5841</v>
      </c>
      <c r="E1609" s="20">
        <v>9.19575409311E11</v>
      </c>
      <c r="F1609" s="21">
        <v>17888.0</v>
      </c>
      <c r="G1609" s="20"/>
      <c r="H1609" s="20" t="s">
        <v>5822</v>
      </c>
      <c r="I1609" s="20"/>
      <c r="J1609" s="20">
        <v>1.0</v>
      </c>
      <c r="K1609" s="20">
        <v>99.0</v>
      </c>
      <c r="L1609" s="20"/>
      <c r="M1609" s="20">
        <v>99.0</v>
      </c>
      <c r="N1609" s="5" t="s">
        <v>67</v>
      </c>
      <c r="O1609" s="20" t="b">
        <v>0</v>
      </c>
      <c r="P1609" s="20" t="s">
        <v>68</v>
      </c>
      <c r="Q1609" s="20" t="s">
        <v>69</v>
      </c>
      <c r="R1609" s="20" t="s">
        <v>5824</v>
      </c>
      <c r="T1609" s="20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</row>
    <row r="1610">
      <c r="A1610" s="15" t="s">
        <v>7394</v>
      </c>
      <c r="B1610" s="19">
        <v>44474.49166666667</v>
      </c>
      <c r="C1610" s="20">
        <v>50036.0</v>
      </c>
      <c r="D1610" s="20" t="s">
        <v>5712</v>
      </c>
      <c r="E1610" s="20">
        <v>9.19540645352E11</v>
      </c>
      <c r="F1610" s="21">
        <v>17886.0</v>
      </c>
      <c r="G1610" s="20"/>
      <c r="H1610" s="20" t="s">
        <v>1320</v>
      </c>
      <c r="I1610" s="20"/>
      <c r="J1610" s="20">
        <v>1.0</v>
      </c>
      <c r="K1610" s="20">
        <v>149.0</v>
      </c>
      <c r="L1610" s="20"/>
      <c r="M1610" s="20">
        <v>149.0</v>
      </c>
      <c r="N1610" s="5" t="s">
        <v>67</v>
      </c>
      <c r="O1610" s="20" t="b">
        <v>0</v>
      </c>
      <c r="P1610" s="20" t="s">
        <v>68</v>
      </c>
      <c r="Q1610" s="20" t="s">
        <v>69</v>
      </c>
      <c r="R1610" s="20" t="s">
        <v>5709</v>
      </c>
      <c r="T1610" s="20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</row>
    <row r="1611">
      <c r="A1611" s="15" t="s">
        <v>7242</v>
      </c>
      <c r="B1611" s="19">
        <v>44444.441666666666</v>
      </c>
      <c r="C1611" s="20">
        <v>49995.0</v>
      </c>
      <c r="D1611" s="20" t="s">
        <v>5336</v>
      </c>
      <c r="E1611" s="20">
        <v>9.19740537949E11</v>
      </c>
      <c r="F1611" s="21">
        <v>17795.0</v>
      </c>
      <c r="G1611" s="20"/>
      <c r="H1611" s="20" t="s">
        <v>5321</v>
      </c>
      <c r="I1611" s="20"/>
      <c r="J1611" s="20">
        <v>3.0</v>
      </c>
      <c r="K1611" s="20">
        <v>199.0</v>
      </c>
      <c r="L1611" s="20"/>
      <c r="M1611" s="20">
        <v>199.0</v>
      </c>
      <c r="N1611" s="5" t="s">
        <v>67</v>
      </c>
      <c r="O1611" s="20" t="b">
        <v>0</v>
      </c>
      <c r="P1611" s="20" t="s">
        <v>68</v>
      </c>
      <c r="Q1611" s="20" t="s">
        <v>69</v>
      </c>
      <c r="R1611" s="20" t="s">
        <v>5323</v>
      </c>
      <c r="T1611" s="20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</row>
    <row r="1612">
      <c r="A1612" s="15" t="s">
        <v>7398</v>
      </c>
      <c r="B1612" s="19">
        <v>44474.501388888886</v>
      </c>
      <c r="C1612" s="20">
        <v>49833.0</v>
      </c>
      <c r="D1612" s="20" t="s">
        <v>4279</v>
      </c>
      <c r="E1612" s="20">
        <v>9.17995154137E11</v>
      </c>
      <c r="F1612" s="21">
        <v>17887.0</v>
      </c>
      <c r="G1612" s="20"/>
      <c r="H1612" s="20" t="s">
        <v>4030</v>
      </c>
      <c r="I1612" s="20"/>
      <c r="J1612" s="20">
        <v>1.0</v>
      </c>
      <c r="K1612" s="20">
        <v>199.0</v>
      </c>
      <c r="L1612" s="20"/>
      <c r="M1612" s="20">
        <v>199.0</v>
      </c>
      <c r="N1612" s="5" t="s">
        <v>67</v>
      </c>
      <c r="O1612" s="20" t="b">
        <v>0</v>
      </c>
      <c r="P1612" s="20" t="s">
        <v>68</v>
      </c>
      <c r="Q1612" s="20" t="s">
        <v>69</v>
      </c>
      <c r="R1612" s="20" t="s">
        <v>4033</v>
      </c>
      <c r="T1612" s="20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</row>
    <row r="1613">
      <c r="A1613" s="15" t="s">
        <v>7243</v>
      </c>
      <c r="B1613" s="19">
        <v>44444.45972222222</v>
      </c>
      <c r="C1613" s="20">
        <v>50031.0</v>
      </c>
      <c r="D1613" s="20" t="s">
        <v>4576</v>
      </c>
      <c r="E1613" s="20">
        <v>9.1828757399E11</v>
      </c>
      <c r="F1613" s="21">
        <v>17822.0</v>
      </c>
      <c r="G1613" s="20"/>
      <c r="H1613" s="20" t="s">
        <v>4561</v>
      </c>
      <c r="I1613" s="20"/>
      <c r="J1613" s="20">
        <v>1.0</v>
      </c>
      <c r="K1613" s="20">
        <v>99.0</v>
      </c>
      <c r="L1613" s="20"/>
      <c r="M1613" s="20">
        <v>99.0</v>
      </c>
      <c r="N1613" s="5" t="s">
        <v>67</v>
      </c>
      <c r="O1613" s="20" t="b">
        <v>0</v>
      </c>
      <c r="P1613" s="20" t="s">
        <v>68</v>
      </c>
      <c r="Q1613" s="20" t="s">
        <v>69</v>
      </c>
      <c r="R1613" s="20" t="s">
        <v>4563</v>
      </c>
      <c r="T1613" s="20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</row>
    <row r="1614">
      <c r="A1614" s="15" t="s">
        <v>7402</v>
      </c>
      <c r="B1614" s="19">
        <v>44474.529861111114</v>
      </c>
      <c r="C1614" s="20">
        <v>50009.0</v>
      </c>
      <c r="D1614" s="20" t="s">
        <v>2760</v>
      </c>
      <c r="E1614" s="20">
        <v>9.19929355554E11</v>
      </c>
      <c r="F1614" s="21">
        <v>17889.0</v>
      </c>
      <c r="G1614" s="20"/>
      <c r="H1614" s="20" t="s">
        <v>1476</v>
      </c>
      <c r="I1614" s="20"/>
      <c r="J1614" s="20">
        <v>6.0</v>
      </c>
      <c r="K1614" s="20">
        <v>349.0</v>
      </c>
      <c r="L1614" s="20"/>
      <c r="M1614" s="20">
        <v>349.0</v>
      </c>
      <c r="N1614" s="5" t="s">
        <v>67</v>
      </c>
      <c r="O1614" s="20" t="b">
        <v>0</v>
      </c>
      <c r="P1614" s="20" t="s">
        <v>68</v>
      </c>
      <c r="Q1614" s="20" t="s">
        <v>69</v>
      </c>
      <c r="R1614" s="20" t="s">
        <v>2745</v>
      </c>
      <c r="T1614" s="20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</row>
    <row r="1615">
      <c r="A1615" s="15" t="s">
        <v>7408</v>
      </c>
      <c r="B1615" s="19">
        <v>44474.586805555555</v>
      </c>
      <c r="C1615" s="20">
        <v>50054.0</v>
      </c>
      <c r="D1615" s="20" t="s">
        <v>5839</v>
      </c>
      <c r="E1615" s="20">
        <v>9.184249383E11</v>
      </c>
      <c r="F1615" s="21">
        <v>17895.0</v>
      </c>
      <c r="G1615" s="20"/>
      <c r="H1615" s="20" t="s">
        <v>5822</v>
      </c>
      <c r="I1615" s="20"/>
      <c r="J1615" s="20">
        <v>3.0</v>
      </c>
      <c r="K1615" s="20">
        <v>199.0</v>
      </c>
      <c r="L1615" s="20"/>
      <c r="M1615" s="20">
        <v>199.0</v>
      </c>
      <c r="N1615" s="5" t="s">
        <v>67</v>
      </c>
      <c r="O1615" s="20" t="b">
        <v>0</v>
      </c>
      <c r="P1615" s="20" t="s">
        <v>74</v>
      </c>
      <c r="Q1615" s="20" t="s">
        <v>69</v>
      </c>
      <c r="R1615" s="20" t="s">
        <v>5824</v>
      </c>
      <c r="T1615" s="20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</row>
    <row r="1616">
      <c r="A1616" s="15" t="s">
        <v>7409</v>
      </c>
      <c r="B1616" s="19">
        <v>44474.558333333334</v>
      </c>
      <c r="C1616" s="20">
        <v>49994.0</v>
      </c>
      <c r="D1616" s="20" t="s">
        <v>6616</v>
      </c>
      <c r="E1616" s="20">
        <v>9.1880641452E11</v>
      </c>
      <c r="F1616" s="21">
        <v>17891.0</v>
      </c>
      <c r="G1616" s="20"/>
      <c r="H1616" s="20" t="s">
        <v>1264</v>
      </c>
      <c r="I1616" s="20"/>
      <c r="J1616" s="20">
        <v>3.0</v>
      </c>
      <c r="K1616" s="20">
        <v>199.0</v>
      </c>
      <c r="L1616" s="20"/>
      <c r="M1616" s="20">
        <v>199.0</v>
      </c>
      <c r="N1616" s="5" t="s">
        <v>67</v>
      </c>
      <c r="O1616" s="20" t="b">
        <v>0</v>
      </c>
      <c r="P1616" s="20" t="s">
        <v>151</v>
      </c>
      <c r="Q1616" s="20" t="s">
        <v>69</v>
      </c>
      <c r="R1616" s="20" t="s">
        <v>6615</v>
      </c>
      <c r="T1616" s="20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</row>
    <row r="1617">
      <c r="A1617" s="15" t="s">
        <v>7405</v>
      </c>
      <c r="B1617" s="19">
        <v>44474.541666666664</v>
      </c>
      <c r="C1617" s="20">
        <v>49859.0</v>
      </c>
      <c r="D1617" s="20" t="s">
        <v>4635</v>
      </c>
      <c r="E1617" s="20">
        <v>9.18296942644E11</v>
      </c>
      <c r="F1617" s="21">
        <v>17890.0</v>
      </c>
      <c r="G1617" s="20"/>
      <c r="H1617" s="20" t="s">
        <v>1133</v>
      </c>
      <c r="I1617" s="20"/>
      <c r="J1617" s="20">
        <v>1.0</v>
      </c>
      <c r="K1617" s="20">
        <v>99.0</v>
      </c>
      <c r="L1617" s="20"/>
      <c r="M1617" s="20">
        <v>99.0</v>
      </c>
      <c r="N1617" s="5" t="s">
        <v>67</v>
      </c>
      <c r="O1617" s="20" t="b">
        <v>0</v>
      </c>
      <c r="P1617" s="20" t="s">
        <v>68</v>
      </c>
      <c r="Q1617" s="20" t="s">
        <v>69</v>
      </c>
      <c r="R1617" s="20" t="s">
        <v>4620</v>
      </c>
      <c r="T1617" s="20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</row>
    <row r="1618">
      <c r="A1618" s="15" t="s">
        <v>7410</v>
      </c>
      <c r="B1618" s="19">
        <v>44474.569444444445</v>
      </c>
      <c r="C1618" s="20">
        <v>50039.0</v>
      </c>
      <c r="D1618" s="20" t="s">
        <v>4346</v>
      </c>
      <c r="E1618" s="20">
        <v>9.190987031E11</v>
      </c>
      <c r="F1618" s="21">
        <v>17892.0</v>
      </c>
      <c r="G1618" s="20"/>
      <c r="H1618" s="20" t="s">
        <v>4341</v>
      </c>
      <c r="I1618" s="20"/>
      <c r="J1618" s="20">
        <v>1.0</v>
      </c>
      <c r="K1618" s="20">
        <v>99.0</v>
      </c>
      <c r="L1618" s="20"/>
      <c r="M1618" s="20">
        <v>99.0</v>
      </c>
      <c r="N1618" s="5" t="s">
        <v>67</v>
      </c>
      <c r="O1618" s="20" t="b">
        <v>0</v>
      </c>
      <c r="P1618" s="20" t="s">
        <v>68</v>
      </c>
      <c r="Q1618" s="20" t="s">
        <v>69</v>
      </c>
      <c r="R1618" s="20" t="s">
        <v>4343</v>
      </c>
      <c r="T1618" s="20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</row>
    <row r="1619">
      <c r="A1619" s="15" t="s">
        <v>7412</v>
      </c>
      <c r="B1619" s="19">
        <v>44474.58263888889</v>
      </c>
      <c r="C1619" s="20">
        <v>49993.0</v>
      </c>
      <c r="D1619" s="20" t="s">
        <v>5978</v>
      </c>
      <c r="E1619" s="20">
        <v>9.1909423548E11</v>
      </c>
      <c r="F1619" s="21">
        <v>17899.0</v>
      </c>
      <c r="G1619" s="20"/>
      <c r="H1619" s="20" t="s">
        <v>1104</v>
      </c>
      <c r="I1619" s="20"/>
      <c r="J1619" s="20">
        <v>1.0</v>
      </c>
      <c r="K1619" s="20">
        <v>199.0</v>
      </c>
      <c r="L1619" s="20"/>
      <c r="M1619" s="20">
        <v>199.0</v>
      </c>
      <c r="N1619" s="5" t="s">
        <v>67</v>
      </c>
      <c r="O1619" s="20" t="b">
        <v>0</v>
      </c>
      <c r="P1619" s="20" t="s">
        <v>68</v>
      </c>
      <c r="Q1619" s="20" t="s">
        <v>69</v>
      </c>
      <c r="R1619" s="20" t="s">
        <v>5974</v>
      </c>
      <c r="T1619" s="20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</row>
    <row r="1620">
      <c r="A1620" s="15" t="s">
        <v>7413</v>
      </c>
      <c r="B1620" s="19">
        <v>44474.583333333336</v>
      </c>
      <c r="C1620" s="20">
        <v>50054.0</v>
      </c>
      <c r="D1620" s="20" t="s">
        <v>5838</v>
      </c>
      <c r="E1620" s="20">
        <v>9.19595852995E11</v>
      </c>
      <c r="F1620" s="21">
        <v>17898.0</v>
      </c>
      <c r="G1620" s="20"/>
      <c r="H1620" s="20" t="s">
        <v>5822</v>
      </c>
      <c r="I1620" s="20"/>
      <c r="J1620" s="20">
        <v>1.0</v>
      </c>
      <c r="K1620" s="20">
        <v>99.0</v>
      </c>
      <c r="L1620" s="20"/>
      <c r="M1620" s="20">
        <v>99.0</v>
      </c>
      <c r="N1620" s="5" t="s">
        <v>67</v>
      </c>
      <c r="O1620" s="20" t="b">
        <v>0</v>
      </c>
      <c r="P1620" s="20" t="s">
        <v>68</v>
      </c>
      <c r="Q1620" s="20" t="s">
        <v>69</v>
      </c>
      <c r="R1620" s="20" t="s">
        <v>5824</v>
      </c>
      <c r="T1620" s="20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</row>
    <row r="1621">
      <c r="A1621" s="15" t="s">
        <v>7425</v>
      </c>
      <c r="B1621" s="19">
        <v>44474.629166666666</v>
      </c>
      <c r="C1621" s="20">
        <v>50009.0</v>
      </c>
      <c r="D1621" s="20" t="s">
        <v>2759</v>
      </c>
      <c r="E1621" s="20">
        <v>9.18238330529E11</v>
      </c>
      <c r="F1621" s="21">
        <v>17897.0</v>
      </c>
      <c r="G1621" s="20"/>
      <c r="H1621" s="20" t="s">
        <v>1476</v>
      </c>
      <c r="I1621" s="20"/>
      <c r="J1621" s="20">
        <v>1.0</v>
      </c>
      <c r="K1621" s="20">
        <v>99.0</v>
      </c>
      <c r="L1621" s="20"/>
      <c r="M1621" s="20">
        <v>99.0</v>
      </c>
      <c r="N1621" s="5" t="s">
        <v>67</v>
      </c>
      <c r="O1621" s="20" t="b">
        <v>0</v>
      </c>
      <c r="P1621" s="20" t="s">
        <v>68</v>
      </c>
      <c r="Q1621" s="20" t="s">
        <v>69</v>
      </c>
      <c r="R1621" s="20" t="s">
        <v>2745</v>
      </c>
      <c r="T1621" s="20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</row>
    <row r="1622">
      <c r="A1622" s="15" t="s">
        <v>7418</v>
      </c>
      <c r="B1622" s="19">
        <v>44474.61597222222</v>
      </c>
      <c r="C1622" s="20">
        <v>50009.0</v>
      </c>
      <c r="D1622" s="20" t="s">
        <v>2758</v>
      </c>
      <c r="E1622" s="20">
        <v>9.19828116779E11</v>
      </c>
      <c r="F1622" s="21">
        <v>0.0</v>
      </c>
      <c r="G1622" s="20"/>
      <c r="H1622" s="20" t="s">
        <v>1476</v>
      </c>
      <c r="I1622" s="20"/>
      <c r="J1622" s="20">
        <v>1.0</v>
      </c>
      <c r="K1622" s="20">
        <v>99.0</v>
      </c>
      <c r="L1622" s="20"/>
      <c r="M1622" s="20">
        <v>99.0</v>
      </c>
      <c r="N1622" s="5" t="s">
        <v>67</v>
      </c>
      <c r="O1622" s="20" t="b">
        <v>0</v>
      </c>
      <c r="P1622" s="20" t="s">
        <v>68</v>
      </c>
      <c r="Q1622" s="20" t="s">
        <v>69</v>
      </c>
      <c r="R1622" s="20" t="s">
        <v>2745</v>
      </c>
      <c r="T1622" s="20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</row>
    <row r="1623">
      <c r="A1623" s="15" t="s">
        <v>7426</v>
      </c>
      <c r="B1623" s="19">
        <v>44474.64513888889</v>
      </c>
      <c r="C1623" s="20">
        <v>49993.0</v>
      </c>
      <c r="D1623" s="20" t="s">
        <v>5979</v>
      </c>
      <c r="E1623" s="20">
        <v>9.19980180634E11</v>
      </c>
      <c r="F1623" s="21">
        <v>17901.0</v>
      </c>
      <c r="G1623" s="20"/>
      <c r="H1623" s="20" t="s">
        <v>1104</v>
      </c>
      <c r="I1623" s="20"/>
      <c r="J1623" s="20">
        <v>1.0</v>
      </c>
      <c r="K1623" s="20">
        <v>199.0</v>
      </c>
      <c r="L1623" s="20"/>
      <c r="M1623" s="20">
        <v>199.0</v>
      </c>
      <c r="N1623" s="5" t="s">
        <v>67</v>
      </c>
      <c r="O1623" s="20" t="b">
        <v>0</v>
      </c>
      <c r="P1623" s="20" t="s">
        <v>68</v>
      </c>
      <c r="Q1623" s="20" t="s">
        <v>69</v>
      </c>
      <c r="R1623" s="20" t="s">
        <v>5974</v>
      </c>
      <c r="T1623" s="20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</row>
    <row r="1624">
      <c r="A1624" s="15" t="s">
        <v>7438</v>
      </c>
      <c r="B1624" s="19">
        <v>44474.67361111111</v>
      </c>
      <c r="C1624" s="20">
        <v>50030.0</v>
      </c>
      <c r="D1624" s="20" t="s">
        <v>3343</v>
      </c>
      <c r="E1624" s="20">
        <v>9.19841558806E11</v>
      </c>
      <c r="F1624" s="21">
        <v>0.0</v>
      </c>
      <c r="G1624" s="20"/>
      <c r="H1624" s="20" t="s">
        <v>3326</v>
      </c>
      <c r="I1624" s="20"/>
      <c r="J1624" s="20">
        <v>1.0</v>
      </c>
      <c r="K1624" s="20">
        <v>99.0</v>
      </c>
      <c r="L1624" s="20"/>
      <c r="M1624" s="20">
        <v>99.0</v>
      </c>
      <c r="N1624" s="5" t="s">
        <v>67</v>
      </c>
      <c r="O1624" s="20" t="b">
        <v>0</v>
      </c>
      <c r="P1624" s="20" t="s">
        <v>68</v>
      </c>
      <c r="Q1624" s="20" t="s">
        <v>69</v>
      </c>
      <c r="R1624" s="20" t="s">
        <v>3328</v>
      </c>
      <c r="T1624" s="20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</row>
    <row r="1625">
      <c r="A1625" s="15" t="s">
        <v>7431</v>
      </c>
      <c r="B1625" s="19">
        <v>44474.66180555556</v>
      </c>
      <c r="C1625" s="20">
        <v>49835.0</v>
      </c>
      <c r="D1625" s="20" t="s">
        <v>3889</v>
      </c>
      <c r="E1625" s="20">
        <v>9.19912344886E11</v>
      </c>
      <c r="F1625" s="21">
        <v>17900.0</v>
      </c>
      <c r="G1625" s="20"/>
      <c r="H1625" s="20" t="s">
        <v>680</v>
      </c>
      <c r="I1625" s="20"/>
      <c r="J1625" s="20">
        <v>3.0</v>
      </c>
      <c r="K1625" s="20">
        <v>99.0</v>
      </c>
      <c r="L1625" s="20"/>
      <c r="M1625" s="20">
        <v>99.0</v>
      </c>
      <c r="N1625" s="5" t="s">
        <v>67</v>
      </c>
      <c r="O1625" s="20" t="b">
        <v>0</v>
      </c>
      <c r="P1625" s="20" t="s">
        <v>68</v>
      </c>
      <c r="Q1625" s="20" t="s">
        <v>69</v>
      </c>
      <c r="R1625" s="20" t="s">
        <v>3888</v>
      </c>
      <c r="T1625" s="20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</row>
    <row r="1626">
      <c r="A1626" s="15" t="s">
        <v>7442</v>
      </c>
      <c r="B1626" s="19">
        <v>44474.68541666667</v>
      </c>
      <c r="C1626" s="20">
        <v>49859.0</v>
      </c>
      <c r="D1626" s="20" t="s">
        <v>4636</v>
      </c>
      <c r="E1626" s="20">
        <v>9.19890185241E11</v>
      </c>
      <c r="F1626" s="21">
        <v>0.0</v>
      </c>
      <c r="G1626" s="20"/>
      <c r="H1626" s="20" t="s">
        <v>1133</v>
      </c>
      <c r="I1626" s="20"/>
      <c r="J1626" s="20">
        <v>1.0</v>
      </c>
      <c r="K1626" s="20">
        <v>99.0</v>
      </c>
      <c r="L1626" s="20"/>
      <c r="M1626" s="20">
        <v>99.0</v>
      </c>
      <c r="N1626" s="5" t="s">
        <v>67</v>
      </c>
      <c r="O1626" s="20" t="b">
        <v>0</v>
      </c>
      <c r="P1626" s="20" t="s">
        <v>68</v>
      </c>
      <c r="Q1626" s="20" t="s">
        <v>69</v>
      </c>
      <c r="R1626" s="20" t="s">
        <v>4620</v>
      </c>
      <c r="T1626" s="20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</row>
    <row r="1627">
      <c r="A1627" s="15" t="s">
        <v>7445</v>
      </c>
      <c r="B1627" s="19">
        <v>44474.68819444445</v>
      </c>
      <c r="C1627" s="20">
        <v>50052.0</v>
      </c>
      <c r="D1627" s="20" t="s">
        <v>4437</v>
      </c>
      <c r="E1627" s="20">
        <v>9.17204041202E11</v>
      </c>
      <c r="F1627" s="21">
        <v>17902.0</v>
      </c>
      <c r="G1627" s="20"/>
      <c r="H1627" s="20" t="s">
        <v>4433</v>
      </c>
      <c r="I1627" s="20"/>
      <c r="J1627" s="20">
        <v>1.0</v>
      </c>
      <c r="K1627" s="20">
        <v>349.0</v>
      </c>
      <c r="L1627" s="20"/>
      <c r="M1627" s="20">
        <v>349.0</v>
      </c>
      <c r="N1627" s="5" t="s">
        <v>67</v>
      </c>
      <c r="O1627" s="20" t="b">
        <v>0</v>
      </c>
      <c r="P1627" s="20" t="s">
        <v>74</v>
      </c>
      <c r="Q1627" s="20" t="s">
        <v>69</v>
      </c>
      <c r="R1627" s="20" t="s">
        <v>4435</v>
      </c>
      <c r="T1627" s="20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</row>
    <row r="1628">
      <c r="A1628" s="15" t="s">
        <v>7456</v>
      </c>
      <c r="B1628" s="19">
        <v>44474.711805555555</v>
      </c>
      <c r="C1628" s="20">
        <v>50033.0</v>
      </c>
      <c r="D1628" s="20" t="s">
        <v>5751</v>
      </c>
      <c r="E1628" s="20">
        <v>9.19464091279E11</v>
      </c>
      <c r="F1628" s="21">
        <v>17908.0</v>
      </c>
      <c r="G1628" s="20"/>
      <c r="H1628" s="20" t="s">
        <v>1727</v>
      </c>
      <c r="I1628" s="20"/>
      <c r="J1628" s="20">
        <v>1.0</v>
      </c>
      <c r="K1628" s="20">
        <v>99.0</v>
      </c>
      <c r="L1628" s="20"/>
      <c r="M1628" s="20">
        <v>99.0</v>
      </c>
      <c r="N1628" s="5" t="s">
        <v>67</v>
      </c>
      <c r="O1628" s="20" t="b">
        <v>0</v>
      </c>
      <c r="P1628" s="20" t="s">
        <v>68</v>
      </c>
      <c r="Q1628" s="20" t="s">
        <v>69</v>
      </c>
      <c r="R1628" s="20" t="s">
        <v>5731</v>
      </c>
      <c r="T1628" s="20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</row>
    <row r="1629">
      <c r="A1629" s="15" t="s">
        <v>7458</v>
      </c>
      <c r="B1629" s="19" t="s">
        <v>3368</v>
      </c>
      <c r="C1629" s="20">
        <v>50030.0</v>
      </c>
      <c r="D1629" s="20" t="s">
        <v>3367</v>
      </c>
      <c r="E1629" s="20">
        <v>9.19425308887E11</v>
      </c>
      <c r="F1629" s="21">
        <v>12891.0</v>
      </c>
      <c r="G1629" s="20"/>
      <c r="H1629" s="20" t="s">
        <v>3326</v>
      </c>
      <c r="I1629" s="20"/>
      <c r="J1629" s="20">
        <v>1.0</v>
      </c>
      <c r="K1629" s="20">
        <v>99.0</v>
      </c>
      <c r="L1629" s="20"/>
      <c r="M1629" s="20">
        <v>99.0</v>
      </c>
      <c r="N1629" s="5" t="s">
        <v>67</v>
      </c>
      <c r="O1629" s="20" t="b">
        <v>0</v>
      </c>
      <c r="P1629" s="20" t="s">
        <v>68</v>
      </c>
      <c r="Q1629" s="20" t="s">
        <v>69</v>
      </c>
      <c r="R1629" s="20" t="s">
        <v>3328</v>
      </c>
      <c r="T1629" s="20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</row>
    <row r="1630">
      <c r="A1630" s="15" t="s">
        <v>7459</v>
      </c>
      <c r="B1630" s="19">
        <v>44505.649305555555</v>
      </c>
      <c r="C1630" s="20">
        <v>50066.0</v>
      </c>
      <c r="D1630" s="20" t="s">
        <v>2918</v>
      </c>
      <c r="E1630" s="20">
        <v>9.19511794862E11</v>
      </c>
      <c r="F1630" s="21">
        <v>18261.0</v>
      </c>
      <c r="G1630" s="20"/>
      <c r="H1630" s="20" t="s">
        <v>2911</v>
      </c>
      <c r="I1630" s="20"/>
      <c r="J1630" s="20">
        <v>6.0</v>
      </c>
      <c r="K1630" s="20">
        <v>599.0</v>
      </c>
      <c r="L1630" s="20"/>
      <c r="M1630" s="20">
        <v>599.0</v>
      </c>
      <c r="N1630" s="5" t="s">
        <v>67</v>
      </c>
      <c r="O1630" s="20" t="b">
        <v>0</v>
      </c>
      <c r="P1630" s="20" t="s">
        <v>151</v>
      </c>
      <c r="Q1630" s="20" t="s">
        <v>69</v>
      </c>
      <c r="R1630" s="20" t="s">
        <v>2913</v>
      </c>
      <c r="T1630" s="20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</row>
    <row r="1631">
      <c r="A1631" s="15" t="s">
        <v>7461</v>
      </c>
      <c r="B1631" s="19">
        <v>44474.72638888889</v>
      </c>
      <c r="C1631" s="20">
        <v>50066.0</v>
      </c>
      <c r="D1631" s="20" t="s">
        <v>2912</v>
      </c>
      <c r="E1631" s="20">
        <v>9.19818705363E11</v>
      </c>
      <c r="F1631" s="21">
        <v>17959.0</v>
      </c>
      <c r="G1631" s="20"/>
      <c r="H1631" s="20" t="s">
        <v>2911</v>
      </c>
      <c r="I1631" s="20"/>
      <c r="J1631" s="20">
        <v>3.0</v>
      </c>
      <c r="K1631" s="20">
        <v>399.0</v>
      </c>
      <c r="L1631" s="20"/>
      <c r="M1631" s="20">
        <v>399.0</v>
      </c>
      <c r="N1631" s="5" t="s">
        <v>67</v>
      </c>
      <c r="O1631" s="20" t="b">
        <v>0</v>
      </c>
      <c r="P1631" s="20" t="s">
        <v>68</v>
      </c>
      <c r="Q1631" s="20" t="s">
        <v>69</v>
      </c>
      <c r="R1631" s="20" t="s">
        <v>2913</v>
      </c>
      <c r="T1631" s="20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</row>
    <row r="1632">
      <c r="A1632" s="15" t="s">
        <v>7465</v>
      </c>
      <c r="B1632" s="19">
        <v>44474.74930555555</v>
      </c>
      <c r="C1632" s="20">
        <v>50066.0</v>
      </c>
      <c r="D1632" s="20" t="s">
        <v>2915</v>
      </c>
      <c r="E1632" s="20">
        <v>9.19920996619E11</v>
      </c>
      <c r="F1632" s="21">
        <v>17911.0</v>
      </c>
      <c r="G1632" s="20"/>
      <c r="H1632" s="20" t="s">
        <v>2911</v>
      </c>
      <c r="I1632" s="20"/>
      <c r="J1632" s="20">
        <v>6.0</v>
      </c>
      <c r="K1632" s="20">
        <v>599.0</v>
      </c>
      <c r="L1632" s="20"/>
      <c r="M1632" s="20">
        <v>599.0</v>
      </c>
      <c r="N1632" s="5" t="s">
        <v>67</v>
      </c>
      <c r="O1632" s="20" t="b">
        <v>0</v>
      </c>
      <c r="P1632" s="20" t="s">
        <v>74</v>
      </c>
      <c r="Q1632" s="20" t="s">
        <v>69</v>
      </c>
      <c r="R1632" s="20" t="s">
        <v>2913</v>
      </c>
      <c r="T1632" s="20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</row>
    <row r="1633">
      <c r="A1633" s="15" t="s">
        <v>7466</v>
      </c>
      <c r="B1633" s="19">
        <v>44474.74930555555</v>
      </c>
      <c r="C1633" s="20">
        <v>50046.0</v>
      </c>
      <c r="D1633" s="20" t="s">
        <v>6223</v>
      </c>
      <c r="E1633" s="20">
        <v>9.17278662309E11</v>
      </c>
      <c r="F1633" s="21">
        <v>17910.0</v>
      </c>
      <c r="G1633" s="20"/>
      <c r="H1633" s="20" t="s">
        <v>6217</v>
      </c>
      <c r="I1633" s="20"/>
      <c r="J1633" s="20">
        <v>3.0</v>
      </c>
      <c r="K1633" s="20">
        <v>199.0</v>
      </c>
      <c r="L1633" s="20"/>
      <c r="M1633" s="20">
        <v>199.0</v>
      </c>
      <c r="N1633" s="5" t="s">
        <v>67</v>
      </c>
      <c r="O1633" s="20" t="b">
        <v>0</v>
      </c>
      <c r="P1633" s="20" t="s">
        <v>68</v>
      </c>
      <c r="Q1633" s="20" t="s">
        <v>69</v>
      </c>
      <c r="R1633" s="20" t="s">
        <v>6219</v>
      </c>
      <c r="T1633" s="20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</row>
    <row r="1634">
      <c r="A1634" s="15" t="s">
        <v>7467</v>
      </c>
      <c r="B1634" s="19">
        <v>44474.754166666666</v>
      </c>
      <c r="C1634" s="20">
        <v>49997.0</v>
      </c>
      <c r="D1634" s="20" t="s">
        <v>2478</v>
      </c>
      <c r="E1634" s="20">
        <v>9.1638086506E11</v>
      </c>
      <c r="F1634" s="21">
        <v>17913.0</v>
      </c>
      <c r="G1634" s="20"/>
      <c r="H1634" s="20" t="s">
        <v>2455</v>
      </c>
      <c r="I1634" s="20"/>
      <c r="J1634" s="20">
        <v>3.0</v>
      </c>
      <c r="K1634" s="20">
        <v>199.0</v>
      </c>
      <c r="L1634" s="20"/>
      <c r="M1634" s="20">
        <v>199.0</v>
      </c>
      <c r="N1634" s="5" t="s">
        <v>67</v>
      </c>
      <c r="O1634" s="20" t="b">
        <v>0</v>
      </c>
      <c r="P1634" s="20" t="s">
        <v>68</v>
      </c>
      <c r="Q1634" s="20" t="s">
        <v>69</v>
      </c>
      <c r="R1634" s="20" t="s">
        <v>2457</v>
      </c>
      <c r="T1634" s="20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</row>
    <row r="1635">
      <c r="A1635" s="15" t="s">
        <v>7464</v>
      </c>
      <c r="B1635" s="19">
        <v>44474.739583333336</v>
      </c>
      <c r="C1635" s="20">
        <v>50066.0</v>
      </c>
      <c r="D1635" s="20" t="s">
        <v>2914</v>
      </c>
      <c r="E1635" s="20">
        <v>9.19623275666E11</v>
      </c>
      <c r="F1635" s="21">
        <v>17909.0</v>
      </c>
      <c r="G1635" s="20"/>
      <c r="H1635" s="20" t="s">
        <v>2911</v>
      </c>
      <c r="I1635" s="20"/>
      <c r="J1635" s="20">
        <v>6.0</v>
      </c>
      <c r="K1635" s="20">
        <v>599.0</v>
      </c>
      <c r="L1635" s="20"/>
      <c r="M1635" s="20">
        <v>599.0</v>
      </c>
      <c r="N1635" s="5" t="s">
        <v>67</v>
      </c>
      <c r="O1635" s="20" t="b">
        <v>0</v>
      </c>
      <c r="P1635" s="20" t="s">
        <v>68</v>
      </c>
      <c r="Q1635" s="20" t="s">
        <v>69</v>
      </c>
      <c r="R1635" s="20" t="s">
        <v>2913</v>
      </c>
      <c r="T1635" s="20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</row>
    <row r="1636">
      <c r="A1636" s="15" t="s">
        <v>7468</v>
      </c>
      <c r="B1636" s="19">
        <v>44474.756944444445</v>
      </c>
      <c r="C1636" s="20">
        <v>49813.0</v>
      </c>
      <c r="D1636" s="20" t="s">
        <v>5126</v>
      </c>
      <c r="E1636" s="20">
        <v>9.19820551086E11</v>
      </c>
      <c r="F1636" s="21">
        <v>17914.0</v>
      </c>
      <c r="G1636" s="20"/>
      <c r="H1636" s="20" t="s">
        <v>5114</v>
      </c>
      <c r="I1636" s="20"/>
      <c r="J1636" s="20">
        <v>1.0</v>
      </c>
      <c r="K1636" s="20">
        <v>299.0</v>
      </c>
      <c r="L1636" s="20"/>
      <c r="M1636" s="20">
        <v>299.0</v>
      </c>
      <c r="N1636" s="5" t="s">
        <v>67</v>
      </c>
      <c r="O1636" s="20" t="b">
        <v>0</v>
      </c>
      <c r="P1636" s="20" t="s">
        <v>74</v>
      </c>
      <c r="Q1636" s="20" t="s">
        <v>69</v>
      </c>
      <c r="R1636" s="20" t="s">
        <v>5116</v>
      </c>
      <c r="T1636" s="20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</row>
    <row r="1637">
      <c r="A1637" s="15" t="s">
        <v>7469</v>
      </c>
      <c r="B1637" s="19">
        <v>44474.75902777778</v>
      </c>
      <c r="C1637" s="20">
        <v>49844.0</v>
      </c>
      <c r="D1637" s="20" t="s">
        <v>5456</v>
      </c>
      <c r="E1637" s="20">
        <v>9.17993308196E11</v>
      </c>
      <c r="F1637" s="21">
        <v>17916.0</v>
      </c>
      <c r="G1637" s="20"/>
      <c r="H1637" s="20" t="s">
        <v>885</v>
      </c>
      <c r="I1637" s="20"/>
      <c r="J1637" s="20">
        <v>3.0</v>
      </c>
      <c r="K1637" s="20">
        <v>199.0</v>
      </c>
      <c r="L1637" s="20"/>
      <c r="M1637" s="20">
        <v>199.0</v>
      </c>
      <c r="N1637" s="5" t="s">
        <v>67</v>
      </c>
      <c r="O1637" s="20" t="b">
        <v>0</v>
      </c>
      <c r="P1637" s="20" t="s">
        <v>68</v>
      </c>
      <c r="Q1637" s="20" t="s">
        <v>69</v>
      </c>
      <c r="R1637" s="20" t="s">
        <v>5445</v>
      </c>
      <c r="T1637" s="20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</row>
    <row r="1638">
      <c r="A1638" s="15" t="s">
        <v>7477</v>
      </c>
      <c r="B1638" s="19">
        <v>44474.788194444445</v>
      </c>
      <c r="C1638" s="20">
        <v>50030.0</v>
      </c>
      <c r="D1638" s="20" t="s">
        <v>3345</v>
      </c>
      <c r="E1638" s="20">
        <v>9.19948814777E11</v>
      </c>
      <c r="F1638" s="21">
        <v>17919.0</v>
      </c>
      <c r="G1638" s="20"/>
      <c r="H1638" s="20" t="s">
        <v>3326</v>
      </c>
      <c r="I1638" s="20"/>
      <c r="J1638" s="20">
        <v>1.0</v>
      </c>
      <c r="K1638" s="20">
        <v>99.0</v>
      </c>
      <c r="L1638" s="20"/>
      <c r="M1638" s="20">
        <v>99.0</v>
      </c>
      <c r="N1638" s="5" t="s">
        <v>67</v>
      </c>
      <c r="O1638" s="20" t="b">
        <v>0</v>
      </c>
      <c r="P1638" s="20" t="s">
        <v>68</v>
      </c>
      <c r="Q1638" s="20" t="s">
        <v>69</v>
      </c>
      <c r="R1638" s="20" t="s">
        <v>3328</v>
      </c>
      <c r="T1638" s="20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</row>
    <row r="1639">
      <c r="A1639" s="15" t="s">
        <v>7473</v>
      </c>
      <c r="B1639" s="19">
        <v>44474.865277777775</v>
      </c>
      <c r="C1639" s="20">
        <v>50033.0</v>
      </c>
      <c r="D1639" s="20" t="s">
        <v>5753</v>
      </c>
      <c r="E1639" s="20">
        <v>9.19108408591E11</v>
      </c>
      <c r="F1639" s="21">
        <v>17927.0</v>
      </c>
      <c r="G1639" s="20"/>
      <c r="H1639" s="20" t="s">
        <v>1727</v>
      </c>
      <c r="I1639" s="20"/>
      <c r="J1639" s="20">
        <v>1.0</v>
      </c>
      <c r="K1639" s="20">
        <v>99.0</v>
      </c>
      <c r="L1639" s="20"/>
      <c r="M1639" s="20">
        <v>99.0</v>
      </c>
      <c r="N1639" s="5" t="s">
        <v>67</v>
      </c>
      <c r="O1639" s="20" t="b">
        <v>0</v>
      </c>
      <c r="P1639" s="20" t="s">
        <v>68</v>
      </c>
      <c r="Q1639" s="20" t="s">
        <v>69</v>
      </c>
      <c r="R1639" s="20" t="s">
        <v>5731</v>
      </c>
      <c r="T1639" s="20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</row>
    <row r="1640">
      <c r="A1640" s="15" t="s">
        <v>7478</v>
      </c>
      <c r="B1640" s="19">
        <v>44474.794444444444</v>
      </c>
      <c r="C1640" s="20">
        <v>49995.0</v>
      </c>
      <c r="D1640" s="20" t="s">
        <v>5338</v>
      </c>
      <c r="E1640" s="20">
        <v>9.18123595843E11</v>
      </c>
      <c r="F1640" s="21">
        <v>17920.0</v>
      </c>
      <c r="G1640" s="20"/>
      <c r="H1640" s="20" t="s">
        <v>5321</v>
      </c>
      <c r="I1640" s="20"/>
      <c r="J1640" s="20">
        <v>3.0</v>
      </c>
      <c r="K1640" s="20">
        <v>199.0</v>
      </c>
      <c r="L1640" s="20"/>
      <c r="M1640" s="20">
        <v>199.0</v>
      </c>
      <c r="N1640" s="5" t="s">
        <v>67</v>
      </c>
      <c r="O1640" s="20" t="b">
        <v>0</v>
      </c>
      <c r="P1640" s="20" t="s">
        <v>68</v>
      </c>
      <c r="Q1640" s="20" t="s">
        <v>69</v>
      </c>
      <c r="R1640" s="20" t="s">
        <v>5323</v>
      </c>
      <c r="T1640" s="20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</row>
    <row r="1641">
      <c r="A1641" s="15" t="s">
        <v>7475</v>
      </c>
      <c r="B1641" s="19">
        <v>44474.77916666667</v>
      </c>
      <c r="C1641" s="20">
        <v>49835.0</v>
      </c>
      <c r="D1641" s="20" t="s">
        <v>3890</v>
      </c>
      <c r="E1641" s="20">
        <v>9.17010617577E11</v>
      </c>
      <c r="F1641" s="21">
        <v>17917.0</v>
      </c>
      <c r="G1641" s="20"/>
      <c r="H1641" s="20" t="s">
        <v>680</v>
      </c>
      <c r="I1641" s="20"/>
      <c r="J1641" s="20">
        <v>3.0</v>
      </c>
      <c r="K1641" s="20">
        <v>99.0</v>
      </c>
      <c r="L1641" s="20"/>
      <c r="M1641" s="20">
        <v>99.0</v>
      </c>
      <c r="N1641" s="5" t="s">
        <v>67</v>
      </c>
      <c r="O1641" s="20" t="b">
        <v>0</v>
      </c>
      <c r="P1641" s="20" t="s">
        <v>68</v>
      </c>
      <c r="Q1641" s="20" t="s">
        <v>69</v>
      </c>
      <c r="R1641" s="20" t="s">
        <v>3888</v>
      </c>
      <c r="T1641" s="20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</row>
    <row r="1642">
      <c r="A1642" s="15" t="s">
        <v>7476</v>
      </c>
      <c r="B1642" s="19">
        <v>44474.78611111111</v>
      </c>
      <c r="C1642" s="20">
        <v>50032.0</v>
      </c>
      <c r="D1642" s="20" t="s">
        <v>5104</v>
      </c>
      <c r="E1642" s="20">
        <v>9.1878761193E11</v>
      </c>
      <c r="F1642" s="21">
        <v>17918.0</v>
      </c>
      <c r="G1642" s="20"/>
      <c r="H1642" s="20" t="s">
        <v>1982</v>
      </c>
      <c r="I1642" s="20"/>
      <c r="J1642" s="20">
        <v>3.0</v>
      </c>
      <c r="K1642" s="20">
        <v>199.0</v>
      </c>
      <c r="L1642" s="20"/>
      <c r="M1642" s="20">
        <v>199.0</v>
      </c>
      <c r="N1642" s="5" t="s">
        <v>67</v>
      </c>
      <c r="O1642" s="20" t="b">
        <v>0</v>
      </c>
      <c r="P1642" s="20" t="s">
        <v>68</v>
      </c>
      <c r="Q1642" s="20" t="s">
        <v>69</v>
      </c>
      <c r="R1642" s="20"/>
      <c r="T1642" s="20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</row>
    <row r="1643">
      <c r="A1643" s="15" t="s">
        <v>7488</v>
      </c>
      <c r="B1643" s="19">
        <v>44474.802777777775</v>
      </c>
      <c r="C1643" s="20">
        <v>49844.0</v>
      </c>
      <c r="D1643" s="20" t="s">
        <v>5457</v>
      </c>
      <c r="E1643" s="20">
        <v>9.17702780527E11</v>
      </c>
      <c r="F1643" s="21">
        <v>17921.0</v>
      </c>
      <c r="G1643" s="20"/>
      <c r="H1643" s="20" t="s">
        <v>885</v>
      </c>
      <c r="I1643" s="20"/>
      <c r="J1643" s="20">
        <v>3.0</v>
      </c>
      <c r="K1643" s="20">
        <v>199.0</v>
      </c>
      <c r="L1643" s="20"/>
      <c r="M1643" s="20">
        <v>199.0</v>
      </c>
      <c r="N1643" s="5" t="s">
        <v>67</v>
      </c>
      <c r="O1643" s="20" t="b">
        <v>0</v>
      </c>
      <c r="P1643" s="20" t="s">
        <v>74</v>
      </c>
      <c r="Q1643" s="20" t="s">
        <v>69</v>
      </c>
      <c r="R1643" s="20" t="s">
        <v>5445</v>
      </c>
      <c r="T1643" s="20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</row>
    <row r="1644">
      <c r="A1644" s="15" t="s">
        <v>7493</v>
      </c>
      <c r="B1644" s="19">
        <v>44474.83194444444</v>
      </c>
      <c r="C1644" s="20">
        <v>50030.0</v>
      </c>
      <c r="D1644" s="20" t="s">
        <v>3346</v>
      </c>
      <c r="E1644" s="20">
        <v>9.18826793818E11</v>
      </c>
      <c r="F1644" s="21">
        <v>17925.0</v>
      </c>
      <c r="G1644" s="20"/>
      <c r="H1644" s="20" t="s">
        <v>3326</v>
      </c>
      <c r="I1644" s="20"/>
      <c r="J1644" s="20">
        <v>3.0</v>
      </c>
      <c r="K1644" s="20">
        <v>199.0</v>
      </c>
      <c r="L1644" s="20"/>
      <c r="M1644" s="20">
        <v>199.0</v>
      </c>
      <c r="N1644" s="5" t="s">
        <v>67</v>
      </c>
      <c r="O1644" s="20" t="b">
        <v>0</v>
      </c>
      <c r="P1644" s="20" t="s">
        <v>68</v>
      </c>
      <c r="Q1644" s="20" t="s">
        <v>69</v>
      </c>
      <c r="R1644" s="20" t="s">
        <v>3328</v>
      </c>
      <c r="T1644" s="20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</row>
    <row r="1645">
      <c r="A1645" s="15" t="s">
        <v>7497</v>
      </c>
      <c r="B1645" s="19">
        <v>44474.83472222222</v>
      </c>
      <c r="C1645" s="20">
        <v>49834.0</v>
      </c>
      <c r="D1645" s="20" t="s">
        <v>3312</v>
      </c>
      <c r="E1645" s="20">
        <v>9.18888854828E11</v>
      </c>
      <c r="F1645" s="21">
        <v>17924.0</v>
      </c>
      <c r="G1645" s="20"/>
      <c r="H1645" s="20" t="s">
        <v>76</v>
      </c>
      <c r="I1645" s="20"/>
      <c r="J1645" s="20">
        <v>3.0</v>
      </c>
      <c r="K1645" s="20">
        <v>199.0</v>
      </c>
      <c r="L1645" s="20"/>
      <c r="M1645" s="20">
        <v>199.0</v>
      </c>
      <c r="N1645" s="5" t="s">
        <v>67</v>
      </c>
      <c r="O1645" s="20" t="b">
        <v>0</v>
      </c>
      <c r="P1645" s="20" t="s">
        <v>68</v>
      </c>
      <c r="Q1645" s="20" t="s">
        <v>69</v>
      </c>
      <c r="R1645" s="20" t="s">
        <v>3298</v>
      </c>
      <c r="T1645" s="20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</row>
    <row r="1646">
      <c r="A1646" s="15" t="s">
        <v>7490</v>
      </c>
      <c r="B1646" s="19">
        <v>44474.825</v>
      </c>
      <c r="C1646" s="20">
        <v>49997.0</v>
      </c>
      <c r="D1646" s="20" t="s">
        <v>2479</v>
      </c>
      <c r="E1646" s="20">
        <v>9.19587884155E11</v>
      </c>
      <c r="F1646" s="21">
        <v>17923.0</v>
      </c>
      <c r="G1646" s="20"/>
      <c r="H1646" s="20" t="s">
        <v>2455</v>
      </c>
      <c r="I1646" s="20"/>
      <c r="J1646" s="20">
        <v>3.0</v>
      </c>
      <c r="K1646" s="20">
        <v>199.0</v>
      </c>
      <c r="L1646" s="20"/>
      <c r="M1646" s="20">
        <v>199.0</v>
      </c>
      <c r="N1646" s="5" t="s">
        <v>67</v>
      </c>
      <c r="O1646" s="20" t="b">
        <v>0</v>
      </c>
      <c r="P1646" s="20" t="s">
        <v>68</v>
      </c>
      <c r="Q1646" s="20" t="s">
        <v>69</v>
      </c>
      <c r="R1646" s="20" t="s">
        <v>2457</v>
      </c>
      <c r="T1646" s="20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</row>
    <row r="1647">
      <c r="A1647" s="15" t="s">
        <v>7491</v>
      </c>
      <c r="B1647" s="19">
        <v>44474.825694444444</v>
      </c>
      <c r="C1647" s="20">
        <v>50020.0</v>
      </c>
      <c r="D1647" s="20" t="s">
        <v>3014</v>
      </c>
      <c r="E1647" s="20">
        <v>9.1779882498E11</v>
      </c>
      <c r="F1647" s="21">
        <v>0.0</v>
      </c>
      <c r="G1647" s="20"/>
      <c r="H1647" s="20" t="s">
        <v>3008</v>
      </c>
      <c r="I1647" s="20"/>
      <c r="J1647" s="20">
        <v>6.0</v>
      </c>
      <c r="K1647" s="20">
        <v>349.0</v>
      </c>
      <c r="L1647" s="20"/>
      <c r="M1647" s="20">
        <v>349.0</v>
      </c>
      <c r="N1647" s="5" t="s">
        <v>67</v>
      </c>
      <c r="O1647" s="20" t="b">
        <v>0</v>
      </c>
      <c r="P1647" s="20" t="s">
        <v>68</v>
      </c>
      <c r="Q1647" s="20" t="s">
        <v>69</v>
      </c>
      <c r="R1647" s="20" t="s">
        <v>3010</v>
      </c>
      <c r="T1647" s="20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</row>
    <row r="1648">
      <c r="A1648" s="15" t="s">
        <v>7492</v>
      </c>
      <c r="B1648" s="19">
        <v>44474.82708333333</v>
      </c>
      <c r="C1648" s="20">
        <v>50022.0</v>
      </c>
      <c r="D1648" s="20" t="s">
        <v>5192</v>
      </c>
      <c r="E1648" s="20">
        <v>9.19822158892E11</v>
      </c>
      <c r="F1648" s="21">
        <v>17926.0</v>
      </c>
      <c r="G1648" s="20"/>
      <c r="H1648" s="20" t="s">
        <v>5181</v>
      </c>
      <c r="I1648" s="20"/>
      <c r="J1648" s="20">
        <v>3.0</v>
      </c>
      <c r="K1648" s="20">
        <v>199.0</v>
      </c>
      <c r="L1648" s="20"/>
      <c r="M1648" s="20">
        <v>199.0</v>
      </c>
      <c r="N1648" s="5" t="s">
        <v>67</v>
      </c>
      <c r="O1648" s="20" t="b">
        <v>0</v>
      </c>
      <c r="P1648" s="20" t="s">
        <v>74</v>
      </c>
      <c r="Q1648" s="20" t="s">
        <v>69</v>
      </c>
      <c r="R1648" s="20" t="s">
        <v>5183</v>
      </c>
      <c r="T1648" s="20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</row>
    <row r="1649">
      <c r="A1649" s="15" t="s">
        <v>7503</v>
      </c>
      <c r="B1649" s="19">
        <v>44474.87708333333</v>
      </c>
      <c r="C1649" s="20">
        <v>50029.0</v>
      </c>
      <c r="D1649" s="20" t="s">
        <v>2772</v>
      </c>
      <c r="E1649" s="20">
        <v>9.19953163759E11</v>
      </c>
      <c r="F1649" s="21">
        <v>17936.0</v>
      </c>
      <c r="G1649" s="20"/>
      <c r="H1649" s="20" t="s">
        <v>2761</v>
      </c>
      <c r="I1649" s="20"/>
      <c r="J1649" s="20">
        <v>1.0</v>
      </c>
      <c r="K1649" s="20">
        <v>99.0</v>
      </c>
      <c r="L1649" s="20"/>
      <c r="M1649" s="20">
        <v>99.0</v>
      </c>
      <c r="N1649" s="5" t="s">
        <v>67</v>
      </c>
      <c r="O1649" s="20" t="b">
        <v>0</v>
      </c>
      <c r="P1649" s="20" t="s">
        <v>74</v>
      </c>
      <c r="Q1649" s="20" t="s">
        <v>69</v>
      </c>
      <c r="R1649" s="20" t="s">
        <v>2763</v>
      </c>
      <c r="T1649" s="20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</row>
    <row r="1650">
      <c r="A1650" s="15" t="s">
        <v>7516</v>
      </c>
      <c r="B1650" s="19">
        <v>44474.893055555556</v>
      </c>
      <c r="C1650" s="20">
        <v>49994.0</v>
      </c>
      <c r="D1650" s="20" t="s">
        <v>6618</v>
      </c>
      <c r="E1650" s="20">
        <v>9.17053411349E11</v>
      </c>
      <c r="F1650" s="21">
        <v>17928.0</v>
      </c>
      <c r="G1650" s="20"/>
      <c r="H1650" s="20" t="s">
        <v>1264</v>
      </c>
      <c r="I1650" s="20"/>
      <c r="J1650" s="20">
        <v>1.0</v>
      </c>
      <c r="K1650" s="20">
        <v>99.0</v>
      </c>
      <c r="L1650" s="20"/>
      <c r="M1650" s="20">
        <v>99.0</v>
      </c>
      <c r="N1650" s="5" t="s">
        <v>67</v>
      </c>
      <c r="O1650" s="20" t="b">
        <v>0</v>
      </c>
      <c r="P1650" s="20" t="s">
        <v>68</v>
      </c>
      <c r="Q1650" s="20" t="s">
        <v>69</v>
      </c>
      <c r="R1650" s="20" t="s">
        <v>6615</v>
      </c>
      <c r="T1650" s="20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</row>
    <row r="1651">
      <c r="A1651" s="15" t="s">
        <v>7523</v>
      </c>
      <c r="B1651" s="19">
        <v>44474.92152777778</v>
      </c>
      <c r="C1651" s="20">
        <v>50023.0</v>
      </c>
      <c r="D1651" s="20" t="s">
        <v>5513</v>
      </c>
      <c r="E1651" s="20">
        <v>9.18010983627E11</v>
      </c>
      <c r="F1651" s="21">
        <v>17932.0</v>
      </c>
      <c r="G1651" s="20"/>
      <c r="H1651" s="20" t="s">
        <v>5508</v>
      </c>
      <c r="I1651" s="20"/>
      <c r="J1651" s="20">
        <v>1.0</v>
      </c>
      <c r="K1651" s="20">
        <v>99.0</v>
      </c>
      <c r="L1651" s="20"/>
      <c r="M1651" s="20">
        <v>99.0</v>
      </c>
      <c r="N1651" s="5" t="s">
        <v>67</v>
      </c>
      <c r="O1651" s="20" t="b">
        <v>0</v>
      </c>
      <c r="P1651" s="20" t="s">
        <v>68</v>
      </c>
      <c r="Q1651" s="20" t="s">
        <v>69</v>
      </c>
      <c r="R1651" s="20" t="s">
        <v>5510</v>
      </c>
      <c r="T1651" s="20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</row>
    <row r="1652">
      <c r="A1652" s="15" t="s">
        <v>7519</v>
      </c>
      <c r="B1652" s="19">
        <v>44474.90625</v>
      </c>
      <c r="C1652" s="20">
        <v>50030.0</v>
      </c>
      <c r="D1652" s="20" t="s">
        <v>3347</v>
      </c>
      <c r="E1652" s="20">
        <v>9.19527121752E11</v>
      </c>
      <c r="F1652" s="21">
        <v>17930.0</v>
      </c>
      <c r="G1652" s="20"/>
      <c r="H1652" s="20" t="s">
        <v>3326</v>
      </c>
      <c r="I1652" s="20"/>
      <c r="J1652" s="20">
        <v>1.0</v>
      </c>
      <c r="K1652" s="20">
        <v>99.0</v>
      </c>
      <c r="L1652" s="20"/>
      <c r="M1652" s="20">
        <v>99.0</v>
      </c>
      <c r="N1652" s="5" t="s">
        <v>67</v>
      </c>
      <c r="O1652" s="20" t="b">
        <v>0</v>
      </c>
      <c r="P1652" s="20" t="s">
        <v>68</v>
      </c>
      <c r="Q1652" s="20" t="s">
        <v>69</v>
      </c>
      <c r="R1652" s="20" t="s">
        <v>3328</v>
      </c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</row>
    <row r="1653">
      <c r="A1653" s="15" t="s">
        <v>7526</v>
      </c>
      <c r="B1653" s="19">
        <v>44474.924305555556</v>
      </c>
      <c r="C1653" s="20">
        <v>50065.0</v>
      </c>
      <c r="D1653" s="20" t="s">
        <v>2695</v>
      </c>
      <c r="E1653" s="20">
        <v>9.18075814326E11</v>
      </c>
      <c r="F1653" s="21">
        <v>0.0</v>
      </c>
      <c r="G1653" s="20"/>
      <c r="H1653" s="20" t="s">
        <v>2601</v>
      </c>
      <c r="I1653" s="20"/>
      <c r="J1653" s="20">
        <v>3.0</v>
      </c>
      <c r="K1653" s="20">
        <v>199.0</v>
      </c>
      <c r="L1653" s="20"/>
      <c r="M1653" s="20">
        <v>199.0</v>
      </c>
      <c r="N1653" s="5" t="s">
        <v>67</v>
      </c>
      <c r="O1653" s="20" t="b">
        <v>0</v>
      </c>
      <c r="P1653" s="20" t="s">
        <v>68</v>
      </c>
      <c r="Q1653" s="20" t="s">
        <v>69</v>
      </c>
      <c r="R1653" s="20" t="s">
        <v>2604</v>
      </c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</row>
    <row r="1654">
      <c r="A1654" s="15" t="s">
        <v>7530</v>
      </c>
      <c r="B1654" s="19">
        <v>44474.92986111111</v>
      </c>
      <c r="C1654" s="20">
        <v>50039.0</v>
      </c>
      <c r="D1654" s="20" t="s">
        <v>4347</v>
      </c>
      <c r="E1654" s="20">
        <v>9.17875438507E11</v>
      </c>
      <c r="F1654" s="21">
        <v>17933.0</v>
      </c>
      <c r="G1654" s="20"/>
      <c r="H1654" s="20" t="s">
        <v>4341</v>
      </c>
      <c r="I1654" s="20"/>
      <c r="J1654" s="20">
        <v>1.0</v>
      </c>
      <c r="K1654" s="20">
        <v>99.0</v>
      </c>
      <c r="L1654" s="20"/>
      <c r="M1654" s="20">
        <v>99.0</v>
      </c>
      <c r="N1654" s="5" t="s">
        <v>67</v>
      </c>
      <c r="O1654" s="20" t="b">
        <v>0</v>
      </c>
      <c r="P1654" s="20" t="s">
        <v>74</v>
      </c>
      <c r="Q1654" s="20" t="s">
        <v>69</v>
      </c>
      <c r="R1654" s="20" t="s">
        <v>4343</v>
      </c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</row>
    <row r="1655">
      <c r="A1655" s="15" t="s">
        <v>7531</v>
      </c>
      <c r="B1655" s="19">
        <v>44474.93194444444</v>
      </c>
      <c r="C1655" s="20">
        <v>49859.0</v>
      </c>
      <c r="D1655" s="20" t="s">
        <v>4639</v>
      </c>
      <c r="E1655" s="20">
        <v>9.19411530305E11</v>
      </c>
      <c r="F1655" s="21">
        <v>19186.0</v>
      </c>
      <c r="G1655" s="20"/>
      <c r="H1655" s="20" t="s">
        <v>1133</v>
      </c>
      <c r="I1655" s="20"/>
      <c r="J1655" s="20">
        <v>3.0</v>
      </c>
      <c r="K1655" s="20">
        <v>199.0</v>
      </c>
      <c r="L1655" s="20"/>
      <c r="M1655" s="20">
        <v>199.0</v>
      </c>
      <c r="N1655" s="5" t="s">
        <v>67</v>
      </c>
      <c r="O1655" s="20" t="b">
        <v>0</v>
      </c>
      <c r="P1655" s="20" t="s">
        <v>68</v>
      </c>
      <c r="Q1655" s="20" t="s">
        <v>69</v>
      </c>
      <c r="R1655" s="20" t="s">
        <v>4620</v>
      </c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</row>
    <row r="1656">
      <c r="A1656" s="1" t="s">
        <v>12107</v>
      </c>
      <c r="B1656" s="19" t="s">
        <v>3666</v>
      </c>
      <c r="C1656" s="20">
        <v>50136.0</v>
      </c>
      <c r="D1656" s="20" t="s">
        <v>632</v>
      </c>
      <c r="E1656" s="5">
        <v>9.19989716007E11</v>
      </c>
      <c r="F1656" s="21">
        <v>16887.0</v>
      </c>
      <c r="G1656" s="20"/>
      <c r="H1656" s="20" t="s">
        <v>3618</v>
      </c>
      <c r="I1656" s="5"/>
      <c r="J1656" s="20">
        <v>1.0</v>
      </c>
      <c r="K1656" s="20">
        <v>99.0</v>
      </c>
      <c r="L1656" s="20"/>
      <c r="M1656" s="20">
        <v>99.0</v>
      </c>
      <c r="N1656" s="5" t="s">
        <v>67</v>
      </c>
      <c r="O1656" s="20" t="b">
        <v>0</v>
      </c>
      <c r="P1656" s="20" t="s">
        <v>68</v>
      </c>
      <c r="Q1656" s="20" t="s">
        <v>69</v>
      </c>
      <c r="R1656" s="20" t="s">
        <v>3624</v>
      </c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</row>
    <row r="1657">
      <c r="A1657" s="1" t="s">
        <v>8850</v>
      </c>
      <c r="B1657" s="19" t="s">
        <v>3783</v>
      </c>
      <c r="C1657" s="20">
        <v>49907.0</v>
      </c>
      <c r="D1657" s="20" t="s">
        <v>632</v>
      </c>
      <c r="E1657" s="20">
        <v>9.19989716007E11</v>
      </c>
      <c r="F1657" s="21">
        <v>16887.0</v>
      </c>
      <c r="G1657" s="20"/>
      <c r="H1657" s="20" t="s">
        <v>587</v>
      </c>
      <c r="I1657" s="20"/>
      <c r="J1657" s="20">
        <v>3.0</v>
      </c>
      <c r="K1657" s="20">
        <v>199.0</v>
      </c>
      <c r="L1657" s="20"/>
      <c r="M1657" s="20">
        <v>199.0</v>
      </c>
      <c r="N1657" s="5" t="s">
        <v>67</v>
      </c>
      <c r="O1657" s="20" t="b">
        <v>0</v>
      </c>
      <c r="P1657" s="20" t="s">
        <v>68</v>
      </c>
      <c r="Q1657" s="20" t="s">
        <v>69</v>
      </c>
      <c r="R1657" s="20" t="s">
        <v>3774</v>
      </c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</row>
    <row r="1658">
      <c r="A1658" s="1" t="s">
        <v>7535</v>
      </c>
      <c r="B1658" s="19">
        <v>44474.96527777778</v>
      </c>
      <c r="C1658" s="20">
        <v>49835.0</v>
      </c>
      <c r="D1658" s="20" t="s">
        <v>632</v>
      </c>
      <c r="E1658" s="20">
        <v>9.19989716007E11</v>
      </c>
      <c r="F1658" s="21">
        <v>16887.0</v>
      </c>
      <c r="G1658" s="20"/>
      <c r="H1658" s="20" t="s">
        <v>680</v>
      </c>
      <c r="I1658" s="20"/>
      <c r="J1658" s="20">
        <v>3.0</v>
      </c>
      <c r="K1658" s="20">
        <v>99.0</v>
      </c>
      <c r="L1658" s="20"/>
      <c r="M1658" s="20">
        <v>99.0</v>
      </c>
      <c r="N1658" s="5" t="s">
        <v>67</v>
      </c>
      <c r="O1658" s="20" t="b">
        <v>0</v>
      </c>
      <c r="P1658" s="20" t="s">
        <v>68</v>
      </c>
      <c r="Q1658" s="20" t="s">
        <v>69</v>
      </c>
      <c r="R1658" s="20" t="s">
        <v>3888</v>
      </c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</row>
    <row r="1659">
      <c r="A1659" s="15" t="s">
        <v>7540</v>
      </c>
      <c r="B1659" s="19">
        <v>44505.01111111111</v>
      </c>
      <c r="C1659" s="20">
        <v>49834.0</v>
      </c>
      <c r="D1659" s="20" t="s">
        <v>3316</v>
      </c>
      <c r="E1659" s="20">
        <v>9.19163066773E11</v>
      </c>
      <c r="F1659" s="21">
        <v>17938.0</v>
      </c>
      <c r="G1659" s="20"/>
      <c r="H1659" s="20" t="s">
        <v>76</v>
      </c>
      <c r="I1659" s="20"/>
      <c r="J1659" s="20">
        <v>6.0</v>
      </c>
      <c r="K1659" s="20">
        <v>349.0</v>
      </c>
      <c r="L1659" s="20"/>
      <c r="M1659" s="20">
        <v>349.0</v>
      </c>
      <c r="N1659" s="5" t="s">
        <v>67</v>
      </c>
      <c r="O1659" s="20" t="b">
        <v>0</v>
      </c>
      <c r="P1659" s="20" t="s">
        <v>68</v>
      </c>
      <c r="Q1659" s="20" t="s">
        <v>69</v>
      </c>
      <c r="R1659" s="20" t="s">
        <v>3298</v>
      </c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</row>
    <row r="1660">
      <c r="A1660" s="15" t="s">
        <v>7544</v>
      </c>
      <c r="B1660" s="19">
        <v>44505.01527777778</v>
      </c>
      <c r="C1660" s="20">
        <v>50022.0</v>
      </c>
      <c r="D1660" s="20" t="s">
        <v>5193</v>
      </c>
      <c r="E1660" s="20">
        <v>9.19632948226E11</v>
      </c>
      <c r="F1660" s="21">
        <v>17939.0</v>
      </c>
      <c r="G1660" s="20"/>
      <c r="H1660" s="20" t="s">
        <v>5181</v>
      </c>
      <c r="I1660" s="20"/>
      <c r="J1660" s="20">
        <v>3.0</v>
      </c>
      <c r="K1660" s="20">
        <v>199.0</v>
      </c>
      <c r="L1660" s="20"/>
      <c r="M1660" s="20">
        <v>199.0</v>
      </c>
      <c r="N1660" s="5" t="s">
        <v>67</v>
      </c>
      <c r="O1660" s="20" t="b">
        <v>0</v>
      </c>
      <c r="P1660" s="20" t="s">
        <v>68</v>
      </c>
      <c r="Q1660" s="20" t="s">
        <v>69</v>
      </c>
      <c r="R1660" s="20" t="s">
        <v>5183</v>
      </c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</row>
    <row r="1661">
      <c r="A1661" s="15" t="s">
        <v>7546</v>
      </c>
      <c r="B1661" s="19">
        <v>44505.04236111111</v>
      </c>
      <c r="C1661" s="20">
        <v>49813.0</v>
      </c>
      <c r="D1661" s="20" t="s">
        <v>5127</v>
      </c>
      <c r="E1661" s="20">
        <v>9.19930121303E11</v>
      </c>
      <c r="F1661" s="21">
        <v>1360.0</v>
      </c>
      <c r="G1661" s="20"/>
      <c r="H1661" s="20" t="s">
        <v>5114</v>
      </c>
      <c r="I1661" s="20"/>
      <c r="J1661" s="20">
        <v>6.0</v>
      </c>
      <c r="K1661" s="20">
        <v>799.0</v>
      </c>
      <c r="L1661" s="20"/>
      <c r="M1661" s="20">
        <v>799.0</v>
      </c>
      <c r="N1661" s="5" t="s">
        <v>67</v>
      </c>
      <c r="O1661" s="20" t="b">
        <v>0</v>
      </c>
      <c r="P1661" s="20" t="s">
        <v>68</v>
      </c>
      <c r="Q1661" s="20" t="s">
        <v>69</v>
      </c>
      <c r="R1661" s="20" t="s">
        <v>5116</v>
      </c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</row>
    <row r="1662">
      <c r="A1662" s="15" t="s">
        <v>7549</v>
      </c>
      <c r="B1662" s="19">
        <v>44505.100694444445</v>
      </c>
      <c r="C1662" s="20">
        <v>49998.0</v>
      </c>
      <c r="D1662" s="20" t="s">
        <v>6256</v>
      </c>
      <c r="E1662" s="20">
        <v>9.17424839905E11</v>
      </c>
      <c r="F1662" s="21">
        <v>17942.0</v>
      </c>
      <c r="G1662" s="20"/>
      <c r="H1662" s="20" t="s">
        <v>6250</v>
      </c>
      <c r="I1662" s="20"/>
      <c r="J1662" s="20">
        <v>6.0</v>
      </c>
      <c r="K1662" s="20">
        <v>349.0</v>
      </c>
      <c r="L1662" s="20"/>
      <c r="M1662" s="20">
        <v>349.0</v>
      </c>
      <c r="N1662" s="5" t="s">
        <v>67</v>
      </c>
      <c r="O1662" s="20" t="b">
        <v>0</v>
      </c>
      <c r="P1662" s="20" t="s">
        <v>68</v>
      </c>
      <c r="Q1662" s="20" t="s">
        <v>69</v>
      </c>
      <c r="R1662" s="20" t="s">
        <v>6252</v>
      </c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</row>
    <row r="1663">
      <c r="A1663" s="15" t="s">
        <v>7550</v>
      </c>
      <c r="B1663" s="19">
        <v>44505.103472222225</v>
      </c>
      <c r="C1663" s="20">
        <v>50065.0</v>
      </c>
      <c r="D1663" s="20" t="s">
        <v>2696</v>
      </c>
      <c r="E1663" s="20">
        <v>9.18919172518E11</v>
      </c>
      <c r="F1663" s="21">
        <v>17943.0</v>
      </c>
      <c r="G1663" s="20"/>
      <c r="H1663" s="20" t="s">
        <v>2601</v>
      </c>
      <c r="I1663" s="20"/>
      <c r="J1663" s="20">
        <v>1.0</v>
      </c>
      <c r="K1663" s="20">
        <v>99.0</v>
      </c>
      <c r="L1663" s="20"/>
      <c r="M1663" s="20">
        <v>99.0</v>
      </c>
      <c r="N1663" s="5" t="s">
        <v>67</v>
      </c>
      <c r="O1663" s="20" t="b">
        <v>0</v>
      </c>
      <c r="P1663" s="20" t="s">
        <v>68</v>
      </c>
      <c r="Q1663" s="20" t="s">
        <v>69</v>
      </c>
      <c r="R1663" s="20" t="s">
        <v>2604</v>
      </c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</row>
    <row r="1664">
      <c r="A1664" s="15" t="s">
        <v>7551</v>
      </c>
      <c r="B1664" s="19">
        <v>44505.200694444444</v>
      </c>
      <c r="C1664" s="20">
        <v>50065.0</v>
      </c>
      <c r="D1664" s="20" t="s">
        <v>2697</v>
      </c>
      <c r="E1664" s="20">
        <v>9.18789218952E11</v>
      </c>
      <c r="F1664" s="21">
        <v>0.0</v>
      </c>
      <c r="G1664" s="20"/>
      <c r="H1664" s="20" t="s">
        <v>2601</v>
      </c>
      <c r="I1664" s="20"/>
      <c r="J1664" s="20">
        <v>1.0</v>
      </c>
      <c r="K1664" s="20">
        <v>99.0</v>
      </c>
      <c r="L1664" s="20"/>
      <c r="M1664" s="20">
        <v>99.0</v>
      </c>
      <c r="N1664" s="5" t="s">
        <v>67</v>
      </c>
      <c r="O1664" s="20" t="b">
        <v>0</v>
      </c>
      <c r="P1664" s="20" t="s">
        <v>68</v>
      </c>
      <c r="Q1664" s="20" t="s">
        <v>69</v>
      </c>
      <c r="R1664" s="20" t="s">
        <v>2604</v>
      </c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</row>
    <row r="1665">
      <c r="A1665" s="15" t="s">
        <v>7552</v>
      </c>
      <c r="B1665" s="19">
        <v>44505.25902777778</v>
      </c>
      <c r="C1665" s="20">
        <v>50066.0</v>
      </c>
      <c r="D1665" s="20" t="s">
        <v>2920</v>
      </c>
      <c r="E1665" s="20">
        <v>9.17506179949E11</v>
      </c>
      <c r="F1665" s="21">
        <v>17944.0</v>
      </c>
      <c r="G1665" s="20"/>
      <c r="H1665" s="20" t="s">
        <v>2911</v>
      </c>
      <c r="I1665" s="20"/>
      <c r="J1665" s="20">
        <v>6.0</v>
      </c>
      <c r="K1665" s="20">
        <v>599.0</v>
      </c>
      <c r="L1665" s="20"/>
      <c r="M1665" s="20">
        <v>599.0</v>
      </c>
      <c r="N1665" s="5" t="s">
        <v>67</v>
      </c>
      <c r="O1665" s="20" t="b">
        <v>0</v>
      </c>
      <c r="P1665" s="20" t="s">
        <v>97</v>
      </c>
      <c r="Q1665" s="20" t="s">
        <v>69</v>
      </c>
      <c r="R1665" s="20" t="s">
        <v>2913</v>
      </c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</row>
    <row r="1666">
      <c r="A1666" s="15" t="s">
        <v>7557</v>
      </c>
      <c r="B1666" s="19">
        <v>44505.37777777778</v>
      </c>
      <c r="C1666" s="20">
        <v>49998.0</v>
      </c>
      <c r="D1666" s="20" t="s">
        <v>6257</v>
      </c>
      <c r="E1666" s="20">
        <v>9.19829993867E11</v>
      </c>
      <c r="F1666" s="21">
        <v>17947.0</v>
      </c>
      <c r="G1666" s="20"/>
      <c r="H1666" s="20" t="s">
        <v>6250</v>
      </c>
      <c r="I1666" s="20"/>
      <c r="J1666" s="20">
        <v>1.0</v>
      </c>
      <c r="K1666" s="20">
        <v>99.0</v>
      </c>
      <c r="L1666" s="20"/>
      <c r="M1666" s="20">
        <v>99.0</v>
      </c>
      <c r="N1666" s="5" t="s">
        <v>67</v>
      </c>
      <c r="O1666" s="20" t="b">
        <v>0</v>
      </c>
      <c r="P1666" s="20" t="s">
        <v>68</v>
      </c>
      <c r="Q1666" s="20" t="s">
        <v>69</v>
      </c>
      <c r="R1666" s="20" t="s">
        <v>6252</v>
      </c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</row>
    <row r="1667">
      <c r="A1667" s="15" t="s">
        <v>7599</v>
      </c>
      <c r="B1667" s="19">
        <v>44535.47222222222</v>
      </c>
      <c r="C1667" s="20">
        <v>50073.0</v>
      </c>
      <c r="D1667" s="20" t="s">
        <v>6504</v>
      </c>
      <c r="E1667" s="20">
        <v>9.199350002E11</v>
      </c>
      <c r="F1667" s="22" t="s">
        <v>12593</v>
      </c>
      <c r="G1667" s="20"/>
      <c r="H1667" s="5" t="s">
        <v>6466</v>
      </c>
      <c r="I1667" s="20"/>
      <c r="J1667" s="20">
        <v>1.0</v>
      </c>
      <c r="K1667" s="20">
        <v>599.0</v>
      </c>
      <c r="L1667" s="20"/>
      <c r="M1667" s="20">
        <v>599.0</v>
      </c>
      <c r="N1667" s="5" t="s">
        <v>67</v>
      </c>
      <c r="O1667" s="20" t="b">
        <v>0</v>
      </c>
      <c r="P1667" s="20" t="s">
        <v>74</v>
      </c>
      <c r="Q1667" s="20" t="s">
        <v>69</v>
      </c>
      <c r="R1667" s="20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</row>
    <row r="1668">
      <c r="A1668" s="15" t="s">
        <v>7598</v>
      </c>
      <c r="B1668" s="19">
        <v>44535.45625</v>
      </c>
      <c r="C1668" s="20">
        <v>50029.0</v>
      </c>
      <c r="D1668" s="20" t="s">
        <v>2776</v>
      </c>
      <c r="E1668" s="20">
        <v>9.19004209182E11</v>
      </c>
      <c r="F1668" s="22" t="s">
        <v>12593</v>
      </c>
      <c r="G1668" s="20"/>
      <c r="H1668" s="20" t="s">
        <v>2761</v>
      </c>
      <c r="I1668" s="20"/>
      <c r="J1668" s="20">
        <v>1.0</v>
      </c>
      <c r="K1668" s="20">
        <v>99.0</v>
      </c>
      <c r="L1668" s="20"/>
      <c r="M1668" s="20">
        <v>99.0</v>
      </c>
      <c r="N1668" s="5" t="s">
        <v>67</v>
      </c>
      <c r="O1668" s="20" t="b">
        <v>0</v>
      </c>
      <c r="P1668" s="20" t="s">
        <v>68</v>
      </c>
      <c r="Q1668" s="20" t="s">
        <v>69</v>
      </c>
      <c r="R1668" s="20" t="s">
        <v>2763</v>
      </c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</row>
    <row r="1669">
      <c r="A1669" s="15" t="s">
        <v>7600</v>
      </c>
      <c r="B1669" s="19">
        <v>44535.481944444444</v>
      </c>
      <c r="C1669" s="20">
        <v>49813.0</v>
      </c>
      <c r="D1669" s="20" t="s">
        <v>5129</v>
      </c>
      <c r="E1669" s="20">
        <v>9.19662074525E11</v>
      </c>
      <c r="F1669" s="21">
        <v>17988.0</v>
      </c>
      <c r="G1669" s="20"/>
      <c r="H1669" s="20" t="s">
        <v>5114</v>
      </c>
      <c r="I1669" s="20"/>
      <c r="J1669" s="20">
        <v>3.0</v>
      </c>
      <c r="K1669" s="20">
        <v>499.0</v>
      </c>
      <c r="L1669" s="20"/>
      <c r="M1669" s="20">
        <v>499.0</v>
      </c>
      <c r="N1669" s="5" t="s">
        <v>67</v>
      </c>
      <c r="O1669" s="20" t="b">
        <v>0</v>
      </c>
      <c r="P1669" s="20" t="s">
        <v>68</v>
      </c>
      <c r="Q1669" s="20" t="s">
        <v>69</v>
      </c>
      <c r="R1669" s="20" t="s">
        <v>5116</v>
      </c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</row>
    <row r="1670">
      <c r="A1670" s="15" t="s">
        <v>7601</v>
      </c>
      <c r="B1670" s="19">
        <v>44535.48125</v>
      </c>
      <c r="C1670" s="20">
        <v>50029.0</v>
      </c>
      <c r="D1670" s="20" t="s">
        <v>2777</v>
      </c>
      <c r="E1670" s="20">
        <v>9.19757063488E11</v>
      </c>
      <c r="F1670" s="21">
        <v>17987.0</v>
      </c>
      <c r="G1670" s="20"/>
      <c r="H1670" s="20" t="s">
        <v>2761</v>
      </c>
      <c r="I1670" s="20"/>
      <c r="J1670" s="20">
        <v>1.0</v>
      </c>
      <c r="K1670" s="20">
        <v>99.0</v>
      </c>
      <c r="L1670" s="20"/>
      <c r="M1670" s="20">
        <v>99.0</v>
      </c>
      <c r="N1670" s="5" t="s">
        <v>67</v>
      </c>
      <c r="O1670" s="20" t="b">
        <v>0</v>
      </c>
      <c r="P1670" s="20" t="s">
        <v>68</v>
      </c>
      <c r="Q1670" s="20" t="s">
        <v>69</v>
      </c>
      <c r="R1670" s="20" t="s">
        <v>2763</v>
      </c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</row>
    <row r="1671">
      <c r="A1671" s="15" t="s">
        <v>7603</v>
      </c>
      <c r="B1671" s="19">
        <v>44535.54583333333</v>
      </c>
      <c r="C1671" s="20">
        <v>50015.0</v>
      </c>
      <c r="D1671" s="20" t="s">
        <v>2712</v>
      </c>
      <c r="E1671" s="20">
        <v>9.1994440557E11</v>
      </c>
      <c r="F1671" s="21">
        <v>17989.0</v>
      </c>
      <c r="G1671" s="20"/>
      <c r="H1671" s="20" t="s">
        <v>2702</v>
      </c>
      <c r="I1671" s="20"/>
      <c r="J1671" s="20">
        <v>1.0</v>
      </c>
      <c r="K1671" s="20">
        <v>149.0</v>
      </c>
      <c r="L1671" s="20"/>
      <c r="M1671" s="20">
        <v>149.0</v>
      </c>
      <c r="N1671" s="5" t="s">
        <v>67</v>
      </c>
      <c r="O1671" s="20" t="b">
        <v>0</v>
      </c>
      <c r="P1671" s="20" t="s">
        <v>151</v>
      </c>
      <c r="Q1671" s="20" t="s">
        <v>69</v>
      </c>
      <c r="R1671" s="20" t="s">
        <v>2704</v>
      </c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</row>
    <row r="1672">
      <c r="A1672" s="15" t="s">
        <v>7560</v>
      </c>
      <c r="B1672" s="19">
        <v>44505.54305555556</v>
      </c>
      <c r="C1672" s="20">
        <v>50066.0</v>
      </c>
      <c r="D1672" s="20" t="s">
        <v>2917</v>
      </c>
      <c r="E1672" s="20">
        <v>9.19560291944E11</v>
      </c>
      <c r="F1672" s="21">
        <v>18003.0</v>
      </c>
      <c r="G1672" s="20"/>
      <c r="H1672" s="20" t="s">
        <v>2911</v>
      </c>
      <c r="I1672" s="20"/>
      <c r="J1672" s="20">
        <v>6.0</v>
      </c>
      <c r="K1672" s="20">
        <v>599.0</v>
      </c>
      <c r="L1672" s="20"/>
      <c r="M1672" s="20">
        <v>599.0</v>
      </c>
      <c r="N1672" s="5" t="s">
        <v>67</v>
      </c>
      <c r="O1672" s="20" t="b">
        <v>0</v>
      </c>
      <c r="P1672" s="20" t="s">
        <v>151</v>
      </c>
      <c r="Q1672" s="20" t="s">
        <v>69</v>
      </c>
      <c r="R1672" s="20" t="s">
        <v>2913</v>
      </c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</row>
    <row r="1673">
      <c r="A1673" s="15" t="s">
        <v>7567</v>
      </c>
      <c r="B1673" s="19">
        <v>44505.52777777778</v>
      </c>
      <c r="C1673" s="20">
        <v>50044.0</v>
      </c>
      <c r="D1673" s="20" t="s">
        <v>6324</v>
      </c>
      <c r="E1673" s="20">
        <v>9.18104097757E11</v>
      </c>
      <c r="F1673" s="21">
        <v>17950.0</v>
      </c>
      <c r="G1673" s="20"/>
      <c r="H1673" s="20" t="s">
        <v>6320</v>
      </c>
      <c r="I1673" s="20"/>
      <c r="J1673" s="20">
        <v>1.0</v>
      </c>
      <c r="K1673" s="20">
        <v>349.0</v>
      </c>
      <c r="L1673" s="20"/>
      <c r="M1673" s="20">
        <v>349.0</v>
      </c>
      <c r="N1673" s="5" t="s">
        <v>67</v>
      </c>
      <c r="O1673" s="20" t="b">
        <v>0</v>
      </c>
      <c r="P1673" s="20" t="s">
        <v>97</v>
      </c>
      <c r="Q1673" s="20" t="s">
        <v>69</v>
      </c>
      <c r="R1673" s="20" t="s">
        <v>6322</v>
      </c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</row>
    <row r="1674">
      <c r="A1674" s="15" t="s">
        <v>7605</v>
      </c>
      <c r="B1674" s="19">
        <v>44535.6125</v>
      </c>
      <c r="C1674" s="20">
        <v>49833.0</v>
      </c>
      <c r="D1674" s="20" t="s">
        <v>4280</v>
      </c>
      <c r="E1674" s="20">
        <v>9.19167106193E11</v>
      </c>
      <c r="F1674" s="21">
        <v>17992.0</v>
      </c>
      <c r="G1674" s="20"/>
      <c r="H1674" s="20" t="s">
        <v>4030</v>
      </c>
      <c r="I1674" s="20"/>
      <c r="J1674" s="20">
        <v>3.0</v>
      </c>
      <c r="K1674" s="20">
        <v>199.0</v>
      </c>
      <c r="L1674" s="20"/>
      <c r="M1674" s="20">
        <v>199.0</v>
      </c>
      <c r="N1674" s="5" t="s">
        <v>67</v>
      </c>
      <c r="O1674" s="20" t="b">
        <v>0</v>
      </c>
      <c r="P1674" s="20" t="s">
        <v>68</v>
      </c>
      <c r="Q1674" s="20" t="s">
        <v>69</v>
      </c>
      <c r="R1674" s="20" t="s">
        <v>4033</v>
      </c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</row>
    <row r="1675">
      <c r="A1675" s="15" t="s">
        <v>7575</v>
      </c>
      <c r="B1675" s="19">
        <v>44505.561111111114</v>
      </c>
      <c r="C1675" s="20">
        <v>49835.0</v>
      </c>
      <c r="D1675" s="20" t="s">
        <v>3891</v>
      </c>
      <c r="E1675" s="20">
        <v>9.19945586643E11</v>
      </c>
      <c r="F1675" s="21">
        <v>17955.0</v>
      </c>
      <c r="G1675" s="20"/>
      <c r="H1675" s="20" t="s">
        <v>680</v>
      </c>
      <c r="I1675" s="20"/>
      <c r="J1675" s="20">
        <v>3.0</v>
      </c>
      <c r="K1675" s="20">
        <v>99.0</v>
      </c>
      <c r="L1675" s="20"/>
      <c r="M1675" s="20">
        <v>99.0</v>
      </c>
      <c r="N1675" s="5" t="s">
        <v>67</v>
      </c>
      <c r="O1675" s="20" t="b">
        <v>0</v>
      </c>
      <c r="P1675" s="20" t="s">
        <v>68</v>
      </c>
      <c r="Q1675" s="20" t="s">
        <v>69</v>
      </c>
      <c r="R1675" s="20" t="s">
        <v>3888</v>
      </c>
      <c r="T1675" s="20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</row>
    <row r="1676">
      <c r="A1676" s="15" t="s">
        <v>7579</v>
      </c>
      <c r="B1676" s="19">
        <v>44505.62777777778</v>
      </c>
      <c r="C1676" s="20">
        <v>50030.0</v>
      </c>
      <c r="D1676" s="20" t="s">
        <v>3348</v>
      </c>
      <c r="E1676" s="20">
        <v>9.1998053119E11</v>
      </c>
      <c r="F1676" s="21">
        <v>17958.0</v>
      </c>
      <c r="G1676" s="20"/>
      <c r="H1676" s="20" t="s">
        <v>3326</v>
      </c>
      <c r="I1676" s="20"/>
      <c r="J1676" s="20">
        <v>6.0</v>
      </c>
      <c r="K1676" s="20">
        <v>349.0</v>
      </c>
      <c r="L1676" s="20"/>
      <c r="M1676" s="20">
        <v>349.0</v>
      </c>
      <c r="N1676" s="5" t="s">
        <v>67</v>
      </c>
      <c r="O1676" s="20" t="b">
        <v>0</v>
      </c>
      <c r="P1676" s="20" t="s">
        <v>74</v>
      </c>
      <c r="Q1676" s="20" t="s">
        <v>69</v>
      </c>
      <c r="R1676" s="20" t="s">
        <v>3328</v>
      </c>
      <c r="T1676" s="20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</row>
    <row r="1677">
      <c r="A1677" s="15" t="s">
        <v>7580</v>
      </c>
      <c r="B1677" s="19">
        <v>44505.631944444445</v>
      </c>
      <c r="C1677" s="20">
        <v>49835.0</v>
      </c>
      <c r="D1677" s="20" t="s">
        <v>6199</v>
      </c>
      <c r="E1677" s="20">
        <v>9.1700241611E11</v>
      </c>
      <c r="F1677" s="21">
        <v>17962.0</v>
      </c>
      <c r="G1677" s="20"/>
      <c r="H1677" s="20" t="s">
        <v>6198</v>
      </c>
      <c r="I1677" s="20"/>
      <c r="J1677" s="20">
        <v>3.0</v>
      </c>
      <c r="K1677" s="20">
        <v>99.0</v>
      </c>
      <c r="L1677" s="20"/>
      <c r="M1677" s="20">
        <v>99.0</v>
      </c>
      <c r="N1677" s="5" t="s">
        <v>67</v>
      </c>
      <c r="O1677" s="20" t="b">
        <v>0</v>
      </c>
      <c r="P1677" s="20" t="s">
        <v>68</v>
      </c>
      <c r="Q1677" s="20" t="s">
        <v>69</v>
      </c>
      <c r="R1677" s="20" t="s">
        <v>3888</v>
      </c>
      <c r="T1677" s="20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</row>
    <row r="1678">
      <c r="A1678" s="15" t="s">
        <v>7606</v>
      </c>
      <c r="B1678" s="19">
        <v>44535.69513888889</v>
      </c>
      <c r="C1678" s="20">
        <v>50073.0</v>
      </c>
      <c r="D1678" s="20" t="s">
        <v>6496</v>
      </c>
      <c r="E1678" s="20">
        <v>9.17639449933E11</v>
      </c>
      <c r="F1678" s="21">
        <v>17995.0</v>
      </c>
      <c r="G1678" s="20"/>
      <c r="H1678" s="20" t="s">
        <v>6466</v>
      </c>
      <c r="I1678" s="20"/>
      <c r="J1678" s="20">
        <v>1.0</v>
      </c>
      <c r="K1678" s="20">
        <v>599.0</v>
      </c>
      <c r="L1678" s="20"/>
      <c r="M1678" s="20">
        <v>599.0</v>
      </c>
      <c r="N1678" s="5" t="s">
        <v>67</v>
      </c>
      <c r="O1678" s="20" t="b">
        <v>0</v>
      </c>
      <c r="P1678" s="20" t="s">
        <v>151</v>
      </c>
      <c r="Q1678" s="20" t="s">
        <v>69</v>
      </c>
      <c r="R1678" s="20"/>
      <c r="T1678" s="20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</row>
    <row r="1679">
      <c r="A1679" s="15" t="s">
        <v>7608</v>
      </c>
      <c r="B1679" s="19">
        <v>44535.70347222222</v>
      </c>
      <c r="C1679" s="20">
        <v>49992.0</v>
      </c>
      <c r="D1679" s="20" t="s">
        <v>3290</v>
      </c>
      <c r="E1679" s="20">
        <v>9.19322845591E11</v>
      </c>
      <c r="F1679" s="21">
        <v>17993.0</v>
      </c>
      <c r="G1679" s="20"/>
      <c r="H1679" s="20" t="s">
        <v>3286</v>
      </c>
      <c r="I1679" s="20"/>
      <c r="J1679" s="20">
        <v>3.0</v>
      </c>
      <c r="K1679" s="20">
        <v>199.0</v>
      </c>
      <c r="L1679" s="20"/>
      <c r="M1679" s="20">
        <v>199.0</v>
      </c>
      <c r="N1679" s="5" t="s">
        <v>67</v>
      </c>
      <c r="O1679" s="20" t="b">
        <v>0</v>
      </c>
      <c r="P1679" s="20" t="s">
        <v>68</v>
      </c>
      <c r="Q1679" s="20" t="s">
        <v>69</v>
      </c>
      <c r="R1679" s="20" t="s">
        <v>3288</v>
      </c>
      <c r="T1679" s="20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</row>
    <row r="1680">
      <c r="A1680" s="15" t="s">
        <v>7583</v>
      </c>
      <c r="B1680" s="19">
        <v>44505.739583333336</v>
      </c>
      <c r="C1680" s="20">
        <v>49833.0</v>
      </c>
      <c r="D1680" s="20" t="s">
        <v>1086</v>
      </c>
      <c r="E1680" s="20">
        <v>9.17978295558E11</v>
      </c>
      <c r="F1680" s="21">
        <v>16810.0</v>
      </c>
      <c r="G1680" s="20"/>
      <c r="H1680" s="20" t="s">
        <v>4030</v>
      </c>
      <c r="I1680" s="20"/>
      <c r="J1680" s="20">
        <v>3.0</v>
      </c>
      <c r="K1680" s="20">
        <v>349.0</v>
      </c>
      <c r="L1680" s="20"/>
      <c r="M1680" s="20">
        <v>349.0</v>
      </c>
      <c r="N1680" s="5" t="s">
        <v>67</v>
      </c>
      <c r="O1680" s="20" t="b">
        <v>0</v>
      </c>
      <c r="P1680" s="20" t="s">
        <v>74</v>
      </c>
      <c r="Q1680" s="20" t="s">
        <v>69</v>
      </c>
      <c r="R1680" s="20" t="s">
        <v>4033</v>
      </c>
      <c r="T1680" s="20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</row>
    <row r="1681">
      <c r="A1681" s="15" t="s">
        <v>7584</v>
      </c>
      <c r="B1681" s="19">
        <v>44505.740277777775</v>
      </c>
      <c r="C1681" s="20">
        <v>50066.0</v>
      </c>
      <c r="D1681" s="20" t="s">
        <v>2919</v>
      </c>
      <c r="E1681" s="20">
        <v>9.19466128319E11</v>
      </c>
      <c r="F1681" s="21">
        <v>17963.0</v>
      </c>
      <c r="G1681" s="20"/>
      <c r="H1681" s="20" t="s">
        <v>2911</v>
      </c>
      <c r="I1681" s="20"/>
      <c r="J1681" s="20">
        <v>1.0</v>
      </c>
      <c r="K1681" s="20">
        <v>199.0</v>
      </c>
      <c r="L1681" s="20"/>
      <c r="M1681" s="20">
        <v>199.0</v>
      </c>
      <c r="N1681" s="5" t="s">
        <v>67</v>
      </c>
      <c r="O1681" s="20" t="b">
        <v>0</v>
      </c>
      <c r="P1681" s="20" t="s">
        <v>151</v>
      </c>
      <c r="Q1681" s="20" t="s">
        <v>69</v>
      </c>
      <c r="R1681" s="20" t="s">
        <v>2913</v>
      </c>
      <c r="T1681" s="20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</row>
    <row r="1682">
      <c r="A1682" s="15" t="s">
        <v>7610</v>
      </c>
      <c r="B1682" s="19">
        <v>44535.82916666667</v>
      </c>
      <c r="C1682" s="20">
        <v>50073.0</v>
      </c>
      <c r="D1682" s="20" t="s">
        <v>6498</v>
      </c>
      <c r="E1682" s="20">
        <v>9.19595822206E11</v>
      </c>
      <c r="F1682" s="21">
        <v>18007.0</v>
      </c>
      <c r="G1682" s="20"/>
      <c r="H1682" s="20" t="s">
        <v>6466</v>
      </c>
      <c r="I1682" s="20"/>
      <c r="J1682" s="20">
        <v>1.0</v>
      </c>
      <c r="K1682" s="20">
        <v>599.0</v>
      </c>
      <c r="L1682" s="20"/>
      <c r="M1682" s="20">
        <v>599.0</v>
      </c>
      <c r="N1682" s="5" t="s">
        <v>67</v>
      </c>
      <c r="O1682" s="20" t="b">
        <v>0</v>
      </c>
      <c r="P1682" s="20" t="s">
        <v>68</v>
      </c>
      <c r="Q1682" s="20" t="s">
        <v>69</v>
      </c>
      <c r="R1682" s="20" t="s">
        <v>6497</v>
      </c>
      <c r="T1682" s="20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</row>
    <row r="1683">
      <c r="A1683" s="15" t="s">
        <v>7585</v>
      </c>
      <c r="B1683" s="19">
        <v>44505.78333333333</v>
      </c>
      <c r="C1683" s="20">
        <v>50020.0</v>
      </c>
      <c r="D1683" s="20" t="s">
        <v>3015</v>
      </c>
      <c r="E1683" s="20">
        <v>9.16283015033E11</v>
      </c>
      <c r="F1683" s="21">
        <v>17965.0</v>
      </c>
      <c r="G1683" s="20"/>
      <c r="H1683" s="20" t="s">
        <v>3008</v>
      </c>
      <c r="I1683" s="20"/>
      <c r="J1683" s="20">
        <v>1.0</v>
      </c>
      <c r="K1683" s="20">
        <v>99.0</v>
      </c>
      <c r="L1683" s="20"/>
      <c r="M1683" s="20">
        <v>99.0</v>
      </c>
      <c r="N1683" s="5" t="s">
        <v>67</v>
      </c>
      <c r="O1683" s="20" t="b">
        <v>0</v>
      </c>
      <c r="P1683" s="20" t="s">
        <v>68</v>
      </c>
      <c r="Q1683" s="20" t="s">
        <v>69</v>
      </c>
      <c r="R1683" s="20" t="s">
        <v>3010</v>
      </c>
      <c r="T1683" s="20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</row>
    <row r="1684">
      <c r="A1684" s="15" t="s">
        <v>7586</v>
      </c>
      <c r="B1684" s="19">
        <v>44505.84444444445</v>
      </c>
      <c r="C1684" s="20">
        <v>50066.0</v>
      </c>
      <c r="D1684" s="20" t="s">
        <v>2921</v>
      </c>
      <c r="E1684" s="20">
        <v>9.1996202545E11</v>
      </c>
      <c r="F1684" s="21">
        <v>17968.0</v>
      </c>
      <c r="G1684" s="20"/>
      <c r="H1684" s="20" t="s">
        <v>2911</v>
      </c>
      <c r="I1684" s="20"/>
      <c r="J1684" s="20">
        <v>3.0</v>
      </c>
      <c r="K1684" s="20">
        <v>399.0</v>
      </c>
      <c r="L1684" s="20"/>
      <c r="M1684" s="20">
        <v>399.0</v>
      </c>
      <c r="N1684" s="5" t="s">
        <v>67</v>
      </c>
      <c r="O1684" s="20" t="b">
        <v>0</v>
      </c>
      <c r="P1684" s="20" t="s">
        <v>68</v>
      </c>
      <c r="Q1684" s="20" t="s">
        <v>69</v>
      </c>
      <c r="R1684" s="20" t="s">
        <v>2913</v>
      </c>
      <c r="T1684" s="20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</row>
    <row r="1685">
      <c r="A1685" s="1" t="s">
        <v>11176</v>
      </c>
      <c r="B1685" s="19">
        <v>44506.510416666664</v>
      </c>
      <c r="C1685" s="20">
        <v>50094.0</v>
      </c>
      <c r="D1685" s="20" t="s">
        <v>5056</v>
      </c>
      <c r="E1685" s="5">
        <v>9.1987289718E11</v>
      </c>
      <c r="F1685" s="22" t="s">
        <v>12593</v>
      </c>
      <c r="G1685" s="20"/>
      <c r="H1685" s="20" t="s">
        <v>4942</v>
      </c>
      <c r="I1685" s="5"/>
      <c r="J1685" s="20">
        <v>1.0</v>
      </c>
      <c r="K1685" s="20">
        <v>199.0</v>
      </c>
      <c r="L1685" s="20"/>
      <c r="M1685" s="20">
        <v>199.0</v>
      </c>
      <c r="N1685" s="5" t="s">
        <v>67</v>
      </c>
      <c r="O1685" s="20" t="b">
        <v>0</v>
      </c>
      <c r="P1685" s="20" t="s">
        <v>74</v>
      </c>
      <c r="Q1685" s="20" t="s">
        <v>69</v>
      </c>
      <c r="R1685" s="20" t="s">
        <v>4945</v>
      </c>
      <c r="T1685" s="20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</row>
    <row r="1686">
      <c r="A1686" s="1" t="s">
        <v>11201</v>
      </c>
      <c r="B1686" s="19">
        <v>44506.677777777775</v>
      </c>
      <c r="C1686" s="20">
        <v>50023.0</v>
      </c>
      <c r="D1686" s="20" t="s">
        <v>5056</v>
      </c>
      <c r="E1686" s="5">
        <v>9.1987289718E11</v>
      </c>
      <c r="F1686" s="22" t="s">
        <v>12593</v>
      </c>
      <c r="G1686" s="20"/>
      <c r="H1686" s="20" t="s">
        <v>5508</v>
      </c>
      <c r="I1686" s="5"/>
      <c r="J1686" s="20">
        <v>1.0</v>
      </c>
      <c r="K1686" s="20">
        <v>99.0</v>
      </c>
      <c r="L1686" s="20"/>
      <c r="M1686" s="20">
        <v>99.0</v>
      </c>
      <c r="N1686" s="5" t="s">
        <v>67</v>
      </c>
      <c r="O1686" s="20" t="b">
        <v>0</v>
      </c>
      <c r="P1686" s="20" t="s">
        <v>74</v>
      </c>
      <c r="Q1686" s="20" t="s">
        <v>69</v>
      </c>
      <c r="R1686" s="20" t="s">
        <v>5510</v>
      </c>
      <c r="T1686" s="20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</row>
    <row r="1687">
      <c r="A1687" s="15" t="s">
        <v>7587</v>
      </c>
      <c r="B1687" s="19">
        <v>44505.87222222222</v>
      </c>
      <c r="C1687" s="20">
        <v>50054.0</v>
      </c>
      <c r="D1687" s="20" t="s">
        <v>5056</v>
      </c>
      <c r="E1687" s="20">
        <v>9.1987289718E11</v>
      </c>
      <c r="F1687" s="21">
        <v>18032.0</v>
      </c>
      <c r="G1687" s="20"/>
      <c r="H1687" s="20" t="s">
        <v>5822</v>
      </c>
      <c r="I1687" s="20"/>
      <c r="J1687" s="20">
        <v>3.0</v>
      </c>
      <c r="K1687" s="20">
        <v>199.0</v>
      </c>
      <c r="L1687" s="20"/>
      <c r="M1687" s="20">
        <v>199.0</v>
      </c>
      <c r="N1687" s="5" t="s">
        <v>67</v>
      </c>
      <c r="O1687" s="20" t="b">
        <v>0</v>
      </c>
      <c r="P1687" s="20" t="s">
        <v>74</v>
      </c>
      <c r="Q1687" s="20" t="s">
        <v>69</v>
      </c>
      <c r="R1687" s="20" t="s">
        <v>5824</v>
      </c>
      <c r="T1687" s="20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</row>
    <row r="1688">
      <c r="A1688" s="15" t="s">
        <v>7588</v>
      </c>
      <c r="B1688" s="19">
        <v>44505.90416666667</v>
      </c>
      <c r="C1688" s="20">
        <v>50073.0</v>
      </c>
      <c r="D1688" s="20" t="s">
        <v>6495</v>
      </c>
      <c r="E1688" s="20">
        <v>9.19820986092E11</v>
      </c>
      <c r="F1688" s="21">
        <v>17973.0</v>
      </c>
      <c r="G1688" s="20"/>
      <c r="H1688" s="20" t="s">
        <v>6466</v>
      </c>
      <c r="I1688" s="20"/>
      <c r="J1688" s="20">
        <v>1.0</v>
      </c>
      <c r="K1688" s="20">
        <v>599.0</v>
      </c>
      <c r="L1688" s="20"/>
      <c r="M1688" s="20">
        <v>599.0</v>
      </c>
      <c r="N1688" s="5" t="s">
        <v>67</v>
      </c>
      <c r="O1688" s="20" t="b">
        <v>0</v>
      </c>
      <c r="P1688" s="20" t="s">
        <v>97</v>
      </c>
      <c r="Q1688" s="20" t="s">
        <v>69</v>
      </c>
      <c r="R1688" s="20"/>
      <c r="T1688" s="20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</row>
    <row r="1689">
      <c r="A1689" s="15" t="s">
        <v>7589</v>
      </c>
      <c r="B1689" s="19">
        <v>44505.90972222222</v>
      </c>
      <c r="C1689" s="20">
        <v>49948.0</v>
      </c>
      <c r="D1689" s="20" t="s">
        <v>6694</v>
      </c>
      <c r="E1689" s="20">
        <v>9.19100183323E11</v>
      </c>
      <c r="F1689" s="21">
        <v>17972.0</v>
      </c>
      <c r="G1689" s="20"/>
      <c r="H1689" s="20" t="s">
        <v>1025</v>
      </c>
      <c r="I1689" s="20"/>
      <c r="J1689" s="20">
        <v>3.0</v>
      </c>
      <c r="K1689" s="20">
        <v>199.0</v>
      </c>
      <c r="L1689" s="20"/>
      <c r="M1689" s="20">
        <v>199.0</v>
      </c>
      <c r="N1689" s="5" t="s">
        <v>67</v>
      </c>
      <c r="O1689" s="20" t="b">
        <v>0</v>
      </c>
      <c r="P1689" s="20" t="s">
        <v>68</v>
      </c>
      <c r="Q1689" s="20" t="s">
        <v>69</v>
      </c>
      <c r="R1689" s="20"/>
      <c r="T1689" s="20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</row>
    <row r="1690">
      <c r="A1690" s="15" t="s">
        <v>7620</v>
      </c>
      <c r="B1690" s="19">
        <v>44535.97083333333</v>
      </c>
      <c r="C1690" s="20">
        <v>50066.0</v>
      </c>
      <c r="D1690" s="20" t="s">
        <v>2923</v>
      </c>
      <c r="E1690" s="20">
        <v>9.19424884821E11</v>
      </c>
      <c r="F1690" s="21">
        <v>18004.0</v>
      </c>
      <c r="G1690" s="20"/>
      <c r="H1690" s="20" t="s">
        <v>2911</v>
      </c>
      <c r="I1690" s="20"/>
      <c r="J1690" s="20">
        <v>6.0</v>
      </c>
      <c r="K1690" s="20">
        <v>599.0</v>
      </c>
      <c r="L1690" s="20"/>
      <c r="M1690" s="20">
        <v>599.0</v>
      </c>
      <c r="N1690" s="5" t="s">
        <v>67</v>
      </c>
      <c r="O1690" s="20" t="b">
        <v>0</v>
      </c>
      <c r="P1690" s="20" t="s">
        <v>68</v>
      </c>
      <c r="Q1690" s="20" t="s">
        <v>69</v>
      </c>
      <c r="R1690" s="20" t="s">
        <v>2913</v>
      </c>
      <c r="T1690" s="20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</row>
    <row r="1691">
      <c r="A1691" s="15" t="s">
        <v>7594</v>
      </c>
      <c r="B1691" s="19">
        <v>44505.930555555555</v>
      </c>
      <c r="C1691" s="20">
        <v>49813.0</v>
      </c>
      <c r="D1691" s="20" t="s">
        <v>5128</v>
      </c>
      <c r="E1691" s="20">
        <v>9.19619640929E11</v>
      </c>
      <c r="F1691" s="21">
        <v>17980.0</v>
      </c>
      <c r="G1691" s="20"/>
      <c r="H1691" s="20" t="s">
        <v>5114</v>
      </c>
      <c r="I1691" s="20"/>
      <c r="J1691" s="20">
        <v>3.0</v>
      </c>
      <c r="K1691" s="20">
        <v>499.0</v>
      </c>
      <c r="L1691" s="20"/>
      <c r="M1691" s="20">
        <v>499.0</v>
      </c>
      <c r="N1691" s="5" t="s">
        <v>67</v>
      </c>
      <c r="O1691" s="20" t="b">
        <v>0</v>
      </c>
      <c r="P1691" s="20" t="s">
        <v>74</v>
      </c>
      <c r="Q1691" s="20" t="s">
        <v>69</v>
      </c>
      <c r="R1691" s="20" t="s">
        <v>5116</v>
      </c>
      <c r="T1691" s="20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</row>
    <row r="1692">
      <c r="A1692" s="15" t="s">
        <v>7591</v>
      </c>
      <c r="B1692" s="19">
        <v>44505.92083333333</v>
      </c>
      <c r="C1692" s="20">
        <v>49998.0</v>
      </c>
      <c r="D1692" s="20" t="s">
        <v>6258</v>
      </c>
      <c r="E1692" s="20">
        <v>9.19527216353E11</v>
      </c>
      <c r="F1692" s="21">
        <v>17976.0</v>
      </c>
      <c r="G1692" s="20"/>
      <c r="H1692" s="20" t="s">
        <v>6250</v>
      </c>
      <c r="I1692" s="20"/>
      <c r="J1692" s="20">
        <v>1.0</v>
      </c>
      <c r="K1692" s="20">
        <v>99.0</v>
      </c>
      <c r="L1692" s="20"/>
      <c r="M1692" s="20">
        <v>99.0</v>
      </c>
      <c r="N1692" s="5" t="s">
        <v>67</v>
      </c>
      <c r="O1692" s="20" t="b">
        <v>0</v>
      </c>
      <c r="P1692" s="20" t="s">
        <v>68</v>
      </c>
      <c r="Q1692" s="20" t="s">
        <v>69</v>
      </c>
      <c r="R1692" s="20" t="s">
        <v>6252</v>
      </c>
      <c r="T1692" s="20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</row>
    <row r="1693">
      <c r="A1693" s="15" t="s">
        <v>7590</v>
      </c>
      <c r="B1693" s="19">
        <v>44505.92013888889</v>
      </c>
      <c r="C1693" s="20">
        <v>50066.0</v>
      </c>
      <c r="D1693" s="20" t="s">
        <v>2922</v>
      </c>
      <c r="E1693" s="20">
        <v>9.19757231721E11</v>
      </c>
      <c r="F1693" s="21">
        <v>17979.0</v>
      </c>
      <c r="G1693" s="20"/>
      <c r="H1693" s="20" t="s">
        <v>2911</v>
      </c>
      <c r="I1693" s="20"/>
      <c r="J1693" s="20">
        <v>6.0</v>
      </c>
      <c r="K1693" s="20">
        <v>599.0</v>
      </c>
      <c r="L1693" s="20"/>
      <c r="M1693" s="20">
        <v>599.0</v>
      </c>
      <c r="N1693" s="5" t="s">
        <v>67</v>
      </c>
      <c r="O1693" s="20" t="b">
        <v>0</v>
      </c>
      <c r="P1693" s="20" t="s">
        <v>97</v>
      </c>
      <c r="Q1693" s="20" t="s">
        <v>69</v>
      </c>
      <c r="R1693" s="20" t="s">
        <v>2913</v>
      </c>
      <c r="T1693" s="20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</row>
    <row r="1694">
      <c r="A1694" s="15" t="s">
        <v>7621</v>
      </c>
      <c r="B1694" s="19" t="s">
        <v>3318</v>
      </c>
      <c r="C1694" s="20">
        <v>49834.0</v>
      </c>
      <c r="D1694" s="20" t="s">
        <v>3317</v>
      </c>
      <c r="E1694" s="20">
        <v>9.19082137034E11</v>
      </c>
      <c r="F1694" s="21">
        <v>18006.0</v>
      </c>
      <c r="G1694" s="20"/>
      <c r="H1694" s="20" t="s">
        <v>960</v>
      </c>
      <c r="I1694" s="20"/>
      <c r="J1694" s="20">
        <v>3.0</v>
      </c>
      <c r="K1694" s="20">
        <v>199.0</v>
      </c>
      <c r="L1694" s="20"/>
      <c r="M1694" s="20">
        <v>199.0</v>
      </c>
      <c r="N1694" s="5" t="s">
        <v>67</v>
      </c>
      <c r="O1694" s="20" t="b">
        <v>0</v>
      </c>
      <c r="P1694" s="20" t="s">
        <v>68</v>
      </c>
      <c r="Q1694" s="20" t="s">
        <v>69</v>
      </c>
      <c r="R1694" s="20" t="s">
        <v>3298</v>
      </c>
      <c r="T1694" s="20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</row>
    <row r="1695">
      <c r="A1695" s="15" t="s">
        <v>7622</v>
      </c>
      <c r="B1695" s="19" t="s">
        <v>6688</v>
      </c>
      <c r="C1695" s="20">
        <v>50069.0</v>
      </c>
      <c r="D1695" s="20" t="s">
        <v>6687</v>
      </c>
      <c r="E1695" s="20">
        <v>9.17389787872E11</v>
      </c>
      <c r="F1695" s="21">
        <v>18009.0</v>
      </c>
      <c r="G1695" s="20"/>
      <c r="H1695" s="20" t="s">
        <v>6686</v>
      </c>
      <c r="I1695" s="20"/>
      <c r="J1695" s="20">
        <v>3.0</v>
      </c>
      <c r="K1695" s="20">
        <v>999.0</v>
      </c>
      <c r="L1695" s="20"/>
      <c r="M1695" s="20">
        <v>999.0</v>
      </c>
      <c r="N1695" s="5" t="s">
        <v>67</v>
      </c>
      <c r="O1695" s="20" t="b">
        <v>0</v>
      </c>
      <c r="P1695" s="20" t="s">
        <v>68</v>
      </c>
      <c r="Q1695" s="20" t="s">
        <v>69</v>
      </c>
      <c r="R1695" s="20"/>
      <c r="T1695" s="20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</row>
    <row r="1696">
      <c r="A1696" s="15" t="s">
        <v>7636</v>
      </c>
      <c r="B1696" s="19" t="s">
        <v>2779</v>
      </c>
      <c r="C1696" s="20">
        <v>50029.0</v>
      </c>
      <c r="D1696" s="20" t="s">
        <v>2778</v>
      </c>
      <c r="E1696" s="20">
        <v>9.19971589988E11</v>
      </c>
      <c r="F1696" s="21">
        <v>18072.0</v>
      </c>
      <c r="G1696" s="20"/>
      <c r="H1696" s="20" t="s">
        <v>2761</v>
      </c>
      <c r="I1696" s="20"/>
      <c r="J1696" s="20">
        <v>6.0</v>
      </c>
      <c r="K1696" s="20">
        <v>349.0</v>
      </c>
      <c r="L1696" s="20"/>
      <c r="M1696" s="20">
        <v>349.0</v>
      </c>
      <c r="N1696" s="5" t="s">
        <v>67</v>
      </c>
      <c r="O1696" s="20" t="b">
        <v>0</v>
      </c>
      <c r="P1696" s="20" t="s">
        <v>97</v>
      </c>
      <c r="Q1696" s="20" t="s">
        <v>69</v>
      </c>
      <c r="R1696" s="20" t="s">
        <v>2763</v>
      </c>
      <c r="T1696" s="20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</row>
    <row r="1697">
      <c r="A1697" s="15" t="s">
        <v>7637</v>
      </c>
      <c r="B1697" s="19" t="s">
        <v>2925</v>
      </c>
      <c r="C1697" s="20">
        <v>50066.0</v>
      </c>
      <c r="D1697" s="20" t="s">
        <v>2924</v>
      </c>
      <c r="E1697" s="20">
        <v>9.19900933095E11</v>
      </c>
      <c r="F1697" s="21">
        <v>18030.0</v>
      </c>
      <c r="G1697" s="20"/>
      <c r="H1697" s="20" t="s">
        <v>2911</v>
      </c>
      <c r="I1697" s="20"/>
      <c r="J1697" s="20">
        <v>3.0</v>
      </c>
      <c r="K1697" s="20">
        <v>399.0</v>
      </c>
      <c r="L1697" s="20"/>
      <c r="M1697" s="20">
        <v>399.0</v>
      </c>
      <c r="N1697" s="5" t="s">
        <v>67</v>
      </c>
      <c r="O1697" s="20" t="b">
        <v>0</v>
      </c>
      <c r="P1697" s="20" t="s">
        <v>68</v>
      </c>
      <c r="Q1697" s="20" t="s">
        <v>69</v>
      </c>
      <c r="R1697" s="20" t="s">
        <v>2913</v>
      </c>
      <c r="T1697" s="20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</row>
    <row r="1698">
      <c r="A1698" s="15" t="s">
        <v>7638</v>
      </c>
      <c r="B1698" s="19" t="s">
        <v>3358</v>
      </c>
      <c r="C1698" s="20">
        <v>50030.0</v>
      </c>
      <c r="D1698" s="20" t="s">
        <v>3357</v>
      </c>
      <c r="E1698" s="20">
        <v>9.19850060068E11</v>
      </c>
      <c r="F1698" s="21">
        <v>0.0</v>
      </c>
      <c r="G1698" s="20"/>
      <c r="H1698" s="20" t="s">
        <v>3326</v>
      </c>
      <c r="I1698" s="20"/>
      <c r="J1698" s="20">
        <v>1.0</v>
      </c>
      <c r="K1698" s="20">
        <v>99.0</v>
      </c>
      <c r="L1698" s="20"/>
      <c r="M1698" s="20">
        <v>99.0</v>
      </c>
      <c r="N1698" s="5" t="s">
        <v>67</v>
      </c>
      <c r="O1698" s="20" t="b">
        <v>0</v>
      </c>
      <c r="P1698" s="20" t="s">
        <v>68</v>
      </c>
      <c r="Q1698" s="20" t="s">
        <v>69</v>
      </c>
      <c r="R1698" s="20" t="s">
        <v>3328</v>
      </c>
      <c r="T1698" s="20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</row>
    <row r="1699">
      <c r="A1699" s="15" t="s">
        <v>7623</v>
      </c>
      <c r="B1699" s="19" t="s">
        <v>6506</v>
      </c>
      <c r="C1699" s="20">
        <v>50073.0</v>
      </c>
      <c r="D1699" s="20" t="s">
        <v>6505</v>
      </c>
      <c r="E1699" s="20">
        <v>9.19840530764E11</v>
      </c>
      <c r="F1699" s="21">
        <v>0.0</v>
      </c>
      <c r="G1699" s="20"/>
      <c r="H1699" s="20" t="s">
        <v>6466</v>
      </c>
      <c r="I1699" s="20"/>
      <c r="J1699" s="20">
        <v>1.0</v>
      </c>
      <c r="K1699" s="20">
        <v>599.0</v>
      </c>
      <c r="L1699" s="20"/>
      <c r="M1699" s="20">
        <v>599.0</v>
      </c>
      <c r="N1699" s="5" t="s">
        <v>67</v>
      </c>
      <c r="O1699" s="20" t="b">
        <v>0</v>
      </c>
      <c r="P1699" s="20" t="s">
        <v>68</v>
      </c>
      <c r="Q1699" s="20" t="s">
        <v>69</v>
      </c>
      <c r="R1699" s="20" t="s">
        <v>6497</v>
      </c>
      <c r="T1699" s="20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</row>
    <row r="1700">
      <c r="A1700" s="15" t="s">
        <v>7639</v>
      </c>
      <c r="B1700" s="19" t="s">
        <v>3360</v>
      </c>
      <c r="C1700" s="20">
        <v>50030.0</v>
      </c>
      <c r="D1700" s="20" t="s">
        <v>3359</v>
      </c>
      <c r="E1700" s="20">
        <v>9.1885987606E11</v>
      </c>
      <c r="F1700" s="21">
        <v>18033.0</v>
      </c>
      <c r="G1700" s="20"/>
      <c r="H1700" s="20" t="s">
        <v>3326</v>
      </c>
      <c r="I1700" s="20"/>
      <c r="J1700" s="20">
        <v>1.0</v>
      </c>
      <c r="K1700" s="20">
        <v>99.0</v>
      </c>
      <c r="L1700" s="20"/>
      <c r="M1700" s="20">
        <v>99.0</v>
      </c>
      <c r="N1700" s="5" t="s">
        <v>67</v>
      </c>
      <c r="O1700" s="20" t="b">
        <v>0</v>
      </c>
      <c r="P1700" s="20" t="s">
        <v>68</v>
      </c>
      <c r="Q1700" s="20" t="s">
        <v>69</v>
      </c>
      <c r="R1700" s="20" t="s">
        <v>3328</v>
      </c>
      <c r="T1700" s="20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</row>
    <row r="1701">
      <c r="A1701" s="15" t="s">
        <v>7642</v>
      </c>
      <c r="B1701" s="19" t="s">
        <v>3362</v>
      </c>
      <c r="C1701" s="20">
        <v>50030.0</v>
      </c>
      <c r="D1701" s="20" t="s">
        <v>3361</v>
      </c>
      <c r="E1701" s="20">
        <v>9.17987396421E11</v>
      </c>
      <c r="F1701" s="21">
        <v>18034.0</v>
      </c>
      <c r="G1701" s="20"/>
      <c r="H1701" s="20" t="s">
        <v>3326</v>
      </c>
      <c r="I1701" s="20"/>
      <c r="J1701" s="20">
        <v>1.0</v>
      </c>
      <c r="K1701" s="20">
        <v>99.0</v>
      </c>
      <c r="L1701" s="20"/>
      <c r="M1701" s="20">
        <v>99.0</v>
      </c>
      <c r="N1701" s="5" t="s">
        <v>67</v>
      </c>
      <c r="O1701" s="20" t="b">
        <v>0</v>
      </c>
      <c r="P1701" s="20" t="s">
        <v>97</v>
      </c>
      <c r="Q1701" s="20" t="s">
        <v>69</v>
      </c>
      <c r="R1701" s="20" t="s">
        <v>3328</v>
      </c>
      <c r="T1701" s="20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</row>
    <row r="1702">
      <c r="A1702" s="15" t="s">
        <v>7643</v>
      </c>
      <c r="B1702" s="19" t="s">
        <v>3364</v>
      </c>
      <c r="C1702" s="20">
        <v>50030.0</v>
      </c>
      <c r="D1702" s="20" t="s">
        <v>3363</v>
      </c>
      <c r="E1702" s="20">
        <v>9.19841835351E11</v>
      </c>
      <c r="F1702" s="21">
        <v>18035.0</v>
      </c>
      <c r="G1702" s="20"/>
      <c r="H1702" s="20" t="s">
        <v>3326</v>
      </c>
      <c r="I1702" s="20"/>
      <c r="J1702" s="20">
        <v>6.0</v>
      </c>
      <c r="K1702" s="20">
        <v>349.0</v>
      </c>
      <c r="L1702" s="20"/>
      <c r="M1702" s="20">
        <v>349.0</v>
      </c>
      <c r="N1702" s="5" t="s">
        <v>67</v>
      </c>
      <c r="O1702" s="20" t="b">
        <v>0</v>
      </c>
      <c r="P1702" s="20" t="s">
        <v>74</v>
      </c>
      <c r="Q1702" s="20" t="s">
        <v>69</v>
      </c>
      <c r="R1702" s="20" t="s">
        <v>3328</v>
      </c>
      <c r="T1702" s="20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</row>
    <row r="1703">
      <c r="A1703" s="15" t="s">
        <v>7644</v>
      </c>
      <c r="B1703" s="19" t="s">
        <v>2927</v>
      </c>
      <c r="C1703" s="20">
        <v>50066.0</v>
      </c>
      <c r="D1703" s="20" t="s">
        <v>2926</v>
      </c>
      <c r="E1703" s="20">
        <v>9.19205450954E11</v>
      </c>
      <c r="F1703" s="21">
        <v>18039.0</v>
      </c>
      <c r="G1703" s="20"/>
      <c r="H1703" s="20" t="s">
        <v>2911</v>
      </c>
      <c r="I1703" s="20"/>
      <c r="J1703" s="20">
        <v>6.0</v>
      </c>
      <c r="K1703" s="20">
        <v>599.0</v>
      </c>
      <c r="L1703" s="20"/>
      <c r="M1703" s="20">
        <v>599.0</v>
      </c>
      <c r="N1703" s="5" t="s">
        <v>67</v>
      </c>
      <c r="O1703" s="20" t="b">
        <v>0</v>
      </c>
      <c r="P1703" s="20" t="s">
        <v>68</v>
      </c>
      <c r="Q1703" s="20" t="s">
        <v>69</v>
      </c>
      <c r="R1703" s="20" t="s">
        <v>2913</v>
      </c>
      <c r="T1703" s="20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</row>
    <row r="1704">
      <c r="A1704" s="15" t="s">
        <v>7648</v>
      </c>
      <c r="B1704" s="19" t="s">
        <v>3366</v>
      </c>
      <c r="C1704" s="20">
        <v>50030.0</v>
      </c>
      <c r="D1704" s="20" t="s">
        <v>3365</v>
      </c>
      <c r="E1704" s="20">
        <v>9.19007150286E11</v>
      </c>
      <c r="F1704" s="21">
        <v>18041.0</v>
      </c>
      <c r="G1704" s="20"/>
      <c r="H1704" s="20" t="s">
        <v>3326</v>
      </c>
      <c r="I1704" s="20"/>
      <c r="J1704" s="20">
        <v>1.0</v>
      </c>
      <c r="K1704" s="20">
        <v>99.0</v>
      </c>
      <c r="L1704" s="20"/>
      <c r="M1704" s="20">
        <v>99.0</v>
      </c>
      <c r="N1704" s="5" t="s">
        <v>67</v>
      </c>
      <c r="O1704" s="20" t="b">
        <v>0</v>
      </c>
      <c r="P1704" s="20" t="s">
        <v>74</v>
      </c>
      <c r="Q1704" s="20" t="s">
        <v>69</v>
      </c>
      <c r="R1704" s="20" t="s">
        <v>3328</v>
      </c>
      <c r="T1704" s="20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</row>
    <row r="1705">
      <c r="A1705" s="15" t="s">
        <v>7627</v>
      </c>
      <c r="B1705" s="19" t="s">
        <v>3350</v>
      </c>
      <c r="C1705" s="20">
        <v>50030.0</v>
      </c>
      <c r="D1705" s="20" t="s">
        <v>3349</v>
      </c>
      <c r="E1705" s="20">
        <v>9.19611666005E11</v>
      </c>
      <c r="F1705" s="21">
        <v>18020.0</v>
      </c>
      <c r="G1705" s="20"/>
      <c r="H1705" s="20" t="s">
        <v>3326</v>
      </c>
      <c r="I1705" s="20"/>
      <c r="J1705" s="20">
        <v>1.0</v>
      </c>
      <c r="K1705" s="20">
        <v>99.0</v>
      </c>
      <c r="L1705" s="20"/>
      <c r="M1705" s="20">
        <v>99.0</v>
      </c>
      <c r="N1705" s="5" t="s">
        <v>67</v>
      </c>
      <c r="O1705" s="20" t="b">
        <v>0</v>
      </c>
      <c r="P1705" s="20" t="s">
        <v>74</v>
      </c>
      <c r="Q1705" s="20" t="s">
        <v>69</v>
      </c>
      <c r="R1705" s="20" t="s">
        <v>3328</v>
      </c>
      <c r="T1705" s="20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</row>
    <row r="1706">
      <c r="A1706" s="15" t="s">
        <v>7628</v>
      </c>
      <c r="B1706" s="19" t="s">
        <v>3352</v>
      </c>
      <c r="C1706" s="20">
        <v>50030.0</v>
      </c>
      <c r="D1706" s="20" t="s">
        <v>3351</v>
      </c>
      <c r="E1706" s="20">
        <v>9.19337258173E11</v>
      </c>
      <c r="F1706" s="21">
        <v>16864.0</v>
      </c>
      <c r="G1706" s="20"/>
      <c r="H1706" s="20" t="s">
        <v>3326</v>
      </c>
      <c r="I1706" s="20"/>
      <c r="J1706" s="20">
        <v>1.0</v>
      </c>
      <c r="K1706" s="20">
        <v>99.0</v>
      </c>
      <c r="L1706" s="20"/>
      <c r="M1706" s="20">
        <v>99.0</v>
      </c>
      <c r="N1706" s="5" t="s">
        <v>67</v>
      </c>
      <c r="O1706" s="20" t="b">
        <v>0</v>
      </c>
      <c r="P1706" s="20" t="s">
        <v>68</v>
      </c>
      <c r="Q1706" s="20" t="s">
        <v>69</v>
      </c>
      <c r="R1706" s="20" t="s">
        <v>3328</v>
      </c>
      <c r="T1706" s="20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</row>
    <row r="1707">
      <c r="A1707" s="15" t="s">
        <v>7649</v>
      </c>
      <c r="B1707" s="19" t="s">
        <v>5340</v>
      </c>
      <c r="C1707" s="20">
        <v>49995.0</v>
      </c>
      <c r="D1707" s="20" t="s">
        <v>5339</v>
      </c>
      <c r="E1707" s="20">
        <v>9.18657906445E11</v>
      </c>
      <c r="F1707" s="21">
        <v>18044.0</v>
      </c>
      <c r="G1707" s="20"/>
      <c r="H1707" s="20" t="s">
        <v>5321</v>
      </c>
      <c r="I1707" s="20"/>
      <c r="J1707" s="20">
        <v>1.0</v>
      </c>
      <c r="K1707" s="20">
        <v>99.0</v>
      </c>
      <c r="L1707" s="20"/>
      <c r="M1707" s="20">
        <v>99.0</v>
      </c>
      <c r="N1707" s="5" t="s">
        <v>67</v>
      </c>
      <c r="O1707" s="20" t="b">
        <v>0</v>
      </c>
      <c r="P1707" s="20" t="s">
        <v>68</v>
      </c>
      <c r="Q1707" s="20" t="s">
        <v>69</v>
      </c>
      <c r="R1707" s="20" t="s">
        <v>5323</v>
      </c>
      <c r="T1707" s="20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</row>
    <row r="1708">
      <c r="A1708" s="15" t="s">
        <v>7652</v>
      </c>
      <c r="B1708" s="19" t="s">
        <v>6201</v>
      </c>
      <c r="C1708" s="20">
        <v>49835.0</v>
      </c>
      <c r="D1708" s="20" t="s">
        <v>6200</v>
      </c>
      <c r="E1708" s="20">
        <v>9.19742453575E11</v>
      </c>
      <c r="F1708" s="21">
        <v>18045.0</v>
      </c>
      <c r="G1708" s="20"/>
      <c r="H1708" s="20" t="s">
        <v>6198</v>
      </c>
      <c r="I1708" s="20"/>
      <c r="J1708" s="20">
        <v>3.0</v>
      </c>
      <c r="K1708" s="20">
        <v>99.0</v>
      </c>
      <c r="L1708" s="20"/>
      <c r="M1708" s="20">
        <v>99.0</v>
      </c>
      <c r="N1708" s="5" t="s">
        <v>67</v>
      </c>
      <c r="O1708" s="20" t="b">
        <v>0</v>
      </c>
      <c r="P1708" s="20" t="s">
        <v>68</v>
      </c>
      <c r="Q1708" s="20" t="s">
        <v>69</v>
      </c>
      <c r="R1708" s="20" t="s">
        <v>3888</v>
      </c>
      <c r="T1708" s="20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</row>
    <row r="1709">
      <c r="A1709" s="15" t="s">
        <v>7629</v>
      </c>
      <c r="B1709" s="19" t="s">
        <v>3354</v>
      </c>
      <c r="C1709" s="20">
        <v>50030.0</v>
      </c>
      <c r="D1709" s="20" t="s">
        <v>3353</v>
      </c>
      <c r="E1709" s="20">
        <v>9.19765000553E11</v>
      </c>
      <c r="F1709" s="21">
        <v>18026.0</v>
      </c>
      <c r="G1709" s="20"/>
      <c r="H1709" s="20" t="s">
        <v>3326</v>
      </c>
      <c r="I1709" s="20"/>
      <c r="J1709" s="20">
        <v>1.0</v>
      </c>
      <c r="K1709" s="20">
        <v>99.0</v>
      </c>
      <c r="L1709" s="20"/>
      <c r="M1709" s="20">
        <v>99.0</v>
      </c>
      <c r="N1709" s="5" t="s">
        <v>67</v>
      </c>
      <c r="O1709" s="20" t="b">
        <v>0</v>
      </c>
      <c r="P1709" s="20" t="s">
        <v>68</v>
      </c>
      <c r="Q1709" s="20" t="s">
        <v>69</v>
      </c>
      <c r="R1709" s="20" t="s">
        <v>3328</v>
      </c>
      <c r="T1709" s="20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</row>
    <row r="1710">
      <c r="A1710" s="15" t="s">
        <v>7660</v>
      </c>
      <c r="B1710" s="19" t="s">
        <v>5759</v>
      </c>
      <c r="C1710" s="20">
        <v>50033.0</v>
      </c>
      <c r="D1710" s="20" t="s">
        <v>5758</v>
      </c>
      <c r="E1710" s="20">
        <v>9.18802901588E11</v>
      </c>
      <c r="F1710" s="21">
        <v>18047.0</v>
      </c>
      <c r="G1710" s="20"/>
      <c r="H1710" s="20" t="s">
        <v>1727</v>
      </c>
      <c r="I1710" s="20"/>
      <c r="J1710" s="20">
        <v>1.0</v>
      </c>
      <c r="K1710" s="20">
        <v>99.0</v>
      </c>
      <c r="L1710" s="20"/>
      <c r="M1710" s="20">
        <v>99.0</v>
      </c>
      <c r="N1710" s="5" t="s">
        <v>67</v>
      </c>
      <c r="O1710" s="20" t="b">
        <v>0</v>
      </c>
      <c r="P1710" s="20" t="s">
        <v>68</v>
      </c>
      <c r="Q1710" s="20" t="s">
        <v>69</v>
      </c>
      <c r="R1710" s="20" t="s">
        <v>5731</v>
      </c>
      <c r="T1710" s="20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</row>
    <row r="1711">
      <c r="A1711" s="15" t="s">
        <v>7630</v>
      </c>
      <c r="B1711" s="19" t="s">
        <v>3356</v>
      </c>
      <c r="C1711" s="20">
        <v>50030.0</v>
      </c>
      <c r="D1711" s="20" t="s">
        <v>3355</v>
      </c>
      <c r="E1711" s="20">
        <v>9.17980057695E11</v>
      </c>
      <c r="F1711" s="21">
        <v>18024.0</v>
      </c>
      <c r="G1711" s="20"/>
      <c r="H1711" s="20" t="s">
        <v>3326</v>
      </c>
      <c r="I1711" s="20"/>
      <c r="J1711" s="20">
        <v>6.0</v>
      </c>
      <c r="K1711" s="20">
        <v>349.0</v>
      </c>
      <c r="L1711" s="20"/>
      <c r="M1711" s="20">
        <v>349.0</v>
      </c>
      <c r="N1711" s="5" t="s">
        <v>67</v>
      </c>
      <c r="O1711" s="20" t="b">
        <v>0</v>
      </c>
      <c r="P1711" s="20" t="s">
        <v>68</v>
      </c>
      <c r="Q1711" s="20" t="s">
        <v>69</v>
      </c>
      <c r="R1711" s="20" t="s">
        <v>3328</v>
      </c>
      <c r="T1711" s="20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</row>
    <row r="1712">
      <c r="A1712" s="15" t="s">
        <v>7661</v>
      </c>
      <c r="B1712" s="19" t="s">
        <v>5133</v>
      </c>
      <c r="C1712" s="20">
        <v>49813.0</v>
      </c>
      <c r="D1712" s="20" t="s">
        <v>5132</v>
      </c>
      <c r="E1712" s="20">
        <v>9.18888086354E11</v>
      </c>
      <c r="F1712" s="21">
        <v>18048.0</v>
      </c>
      <c r="G1712" s="20"/>
      <c r="H1712" s="20" t="s">
        <v>5114</v>
      </c>
      <c r="I1712" s="20"/>
      <c r="J1712" s="20">
        <v>3.0</v>
      </c>
      <c r="K1712" s="20">
        <v>499.0</v>
      </c>
      <c r="L1712" s="20"/>
      <c r="M1712" s="20">
        <v>499.0</v>
      </c>
      <c r="N1712" s="5" t="s">
        <v>67</v>
      </c>
      <c r="O1712" s="20" t="b">
        <v>0</v>
      </c>
      <c r="P1712" s="20" t="s">
        <v>68</v>
      </c>
      <c r="Q1712" s="20" t="s">
        <v>69</v>
      </c>
      <c r="R1712" s="20" t="s">
        <v>5116</v>
      </c>
      <c r="T1712" s="20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</row>
    <row r="1713">
      <c r="A1713" s="15" t="s">
        <v>7662</v>
      </c>
      <c r="B1713" s="19" t="s">
        <v>5757</v>
      </c>
      <c r="C1713" s="20">
        <v>50033.0</v>
      </c>
      <c r="D1713" s="20" t="s">
        <v>5756</v>
      </c>
      <c r="E1713" s="20">
        <v>9.1808838524E11</v>
      </c>
      <c r="F1713" s="21">
        <v>18049.0</v>
      </c>
      <c r="G1713" s="20"/>
      <c r="H1713" s="20" t="s">
        <v>1727</v>
      </c>
      <c r="I1713" s="20"/>
      <c r="J1713" s="20">
        <v>1.0</v>
      </c>
      <c r="K1713" s="20">
        <v>99.0</v>
      </c>
      <c r="L1713" s="20"/>
      <c r="M1713" s="20">
        <v>99.0</v>
      </c>
      <c r="N1713" s="5" t="s">
        <v>67</v>
      </c>
      <c r="O1713" s="20" t="b">
        <v>0</v>
      </c>
      <c r="P1713" s="20" t="s">
        <v>68</v>
      </c>
      <c r="Q1713" s="20" t="s">
        <v>69</v>
      </c>
      <c r="R1713" s="20" t="s">
        <v>5731</v>
      </c>
      <c r="T1713" s="20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</row>
    <row r="1714">
      <c r="A1714" s="15" t="s">
        <v>7665</v>
      </c>
      <c r="B1714" s="19" t="s">
        <v>3376</v>
      </c>
      <c r="C1714" s="20">
        <v>50030.0</v>
      </c>
      <c r="D1714" s="20" t="s">
        <v>3375</v>
      </c>
      <c r="E1714" s="20">
        <v>9.17019983344E11</v>
      </c>
      <c r="F1714" s="21">
        <v>18157.0</v>
      </c>
      <c r="G1714" s="20"/>
      <c r="H1714" s="20" t="s">
        <v>3326</v>
      </c>
      <c r="I1714" s="20"/>
      <c r="J1714" s="20">
        <v>1.0</v>
      </c>
      <c r="K1714" s="20">
        <v>99.0</v>
      </c>
      <c r="L1714" s="20"/>
      <c r="M1714" s="20">
        <v>99.0</v>
      </c>
      <c r="N1714" s="5" t="s">
        <v>67</v>
      </c>
      <c r="O1714" s="20" t="b">
        <v>0</v>
      </c>
      <c r="P1714" s="20" t="s">
        <v>68</v>
      </c>
      <c r="Q1714" s="20" t="s">
        <v>69</v>
      </c>
      <c r="R1714" s="20" t="s">
        <v>3328</v>
      </c>
      <c r="T1714" s="20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</row>
    <row r="1715">
      <c r="A1715" s="15" t="s">
        <v>7631</v>
      </c>
      <c r="B1715" s="19" t="s">
        <v>2929</v>
      </c>
      <c r="C1715" s="20">
        <v>50066.0</v>
      </c>
      <c r="D1715" s="20" t="s">
        <v>2928</v>
      </c>
      <c r="E1715" s="20">
        <v>9.19920048346E11</v>
      </c>
      <c r="F1715" s="21">
        <v>18029.0</v>
      </c>
      <c r="G1715" s="20"/>
      <c r="H1715" s="20" t="s">
        <v>2911</v>
      </c>
      <c r="I1715" s="20"/>
      <c r="J1715" s="20">
        <v>6.0</v>
      </c>
      <c r="K1715" s="20">
        <v>599.0</v>
      </c>
      <c r="L1715" s="20"/>
      <c r="M1715" s="20">
        <v>599.0</v>
      </c>
      <c r="N1715" s="5" t="s">
        <v>67</v>
      </c>
      <c r="O1715" s="20" t="b">
        <v>0</v>
      </c>
      <c r="P1715" s="20" t="s">
        <v>97</v>
      </c>
      <c r="Q1715" s="20" t="s">
        <v>69</v>
      </c>
      <c r="R1715" s="20" t="s">
        <v>2913</v>
      </c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</row>
    <row r="1716">
      <c r="A1716" s="15" t="s">
        <v>7666</v>
      </c>
      <c r="B1716" s="19" t="s">
        <v>5135</v>
      </c>
      <c r="C1716" s="20">
        <v>49813.0</v>
      </c>
      <c r="D1716" s="20" t="s">
        <v>5134</v>
      </c>
      <c r="E1716" s="20">
        <v>9.19527338136E11</v>
      </c>
      <c r="F1716" s="21">
        <v>18050.0</v>
      </c>
      <c r="G1716" s="20"/>
      <c r="H1716" s="20" t="s">
        <v>5114</v>
      </c>
      <c r="I1716" s="20"/>
      <c r="J1716" s="20">
        <v>1.0</v>
      </c>
      <c r="K1716" s="20">
        <v>299.0</v>
      </c>
      <c r="L1716" s="20"/>
      <c r="M1716" s="20">
        <v>299.0</v>
      </c>
      <c r="N1716" s="5" t="s">
        <v>67</v>
      </c>
      <c r="O1716" s="20" t="b">
        <v>0</v>
      </c>
      <c r="P1716" s="20" t="s">
        <v>68</v>
      </c>
      <c r="Q1716" s="20" t="s">
        <v>69</v>
      </c>
      <c r="R1716" s="20" t="s">
        <v>5116</v>
      </c>
      <c r="T1716" s="20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</row>
    <row r="1717">
      <c r="A1717" s="15" t="s">
        <v>7667</v>
      </c>
      <c r="B1717" s="19" t="s">
        <v>2788</v>
      </c>
      <c r="C1717" s="20">
        <v>50029.0</v>
      </c>
      <c r="D1717" s="20" t="s">
        <v>2787</v>
      </c>
      <c r="E1717" s="20">
        <v>9.19067656403E11</v>
      </c>
      <c r="F1717" s="21">
        <v>0.0</v>
      </c>
      <c r="G1717" s="20"/>
      <c r="H1717" s="20" t="s">
        <v>2761</v>
      </c>
      <c r="I1717" s="20"/>
      <c r="J1717" s="20">
        <v>1.0</v>
      </c>
      <c r="K1717" s="20">
        <v>99.0</v>
      </c>
      <c r="L1717" s="20"/>
      <c r="M1717" s="20">
        <v>99.0</v>
      </c>
      <c r="N1717" s="5" t="s">
        <v>67</v>
      </c>
      <c r="O1717" s="20" t="b">
        <v>0</v>
      </c>
      <c r="P1717" s="20" t="s">
        <v>68</v>
      </c>
      <c r="Q1717" s="20" t="s">
        <v>69</v>
      </c>
      <c r="R1717" s="20" t="s">
        <v>2763</v>
      </c>
      <c r="T1717" s="20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</row>
    <row r="1718">
      <c r="A1718" s="15" t="s">
        <v>7669</v>
      </c>
      <c r="B1718" s="19" t="s">
        <v>6205</v>
      </c>
      <c r="C1718" s="20">
        <v>49835.0</v>
      </c>
      <c r="D1718" s="20" t="s">
        <v>6204</v>
      </c>
      <c r="E1718" s="20">
        <v>9.1626067607E11</v>
      </c>
      <c r="F1718" s="21">
        <v>18051.0</v>
      </c>
      <c r="G1718" s="20"/>
      <c r="H1718" s="20" t="s">
        <v>6198</v>
      </c>
      <c r="I1718" s="20"/>
      <c r="J1718" s="20">
        <v>3.0</v>
      </c>
      <c r="K1718" s="20">
        <v>99.0</v>
      </c>
      <c r="L1718" s="20"/>
      <c r="M1718" s="20">
        <v>99.0</v>
      </c>
      <c r="N1718" s="5" t="s">
        <v>67</v>
      </c>
      <c r="O1718" s="20" t="b">
        <v>0</v>
      </c>
      <c r="P1718" s="20" t="s">
        <v>68</v>
      </c>
      <c r="Q1718" s="20" t="s">
        <v>69</v>
      </c>
      <c r="R1718" s="20" t="s">
        <v>3888</v>
      </c>
      <c r="T1718" s="20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</row>
    <row r="1719">
      <c r="A1719" s="15" t="s">
        <v>7670</v>
      </c>
      <c r="B1719" s="19" t="s">
        <v>3378</v>
      </c>
      <c r="C1719" s="20">
        <v>50030.0</v>
      </c>
      <c r="D1719" s="20" t="s">
        <v>3377</v>
      </c>
      <c r="E1719" s="20">
        <v>9.19096622911E11</v>
      </c>
      <c r="F1719" s="21">
        <v>18052.0</v>
      </c>
      <c r="G1719" s="20"/>
      <c r="H1719" s="20" t="s">
        <v>3326</v>
      </c>
      <c r="I1719" s="20"/>
      <c r="J1719" s="20">
        <v>1.0</v>
      </c>
      <c r="K1719" s="20">
        <v>99.0</v>
      </c>
      <c r="L1719" s="20"/>
      <c r="M1719" s="20">
        <v>99.0</v>
      </c>
      <c r="N1719" s="5" t="s">
        <v>67</v>
      </c>
      <c r="O1719" s="20" t="b">
        <v>0</v>
      </c>
      <c r="P1719" s="20" t="s">
        <v>68</v>
      </c>
      <c r="Q1719" s="20" t="s">
        <v>69</v>
      </c>
      <c r="R1719" s="20" t="s">
        <v>3328</v>
      </c>
      <c r="T1719" s="20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</row>
    <row r="1720">
      <c r="A1720" s="15" t="s">
        <v>7673</v>
      </c>
      <c r="B1720" s="19" t="s">
        <v>3069</v>
      </c>
      <c r="C1720" s="20">
        <v>49991.0</v>
      </c>
      <c r="D1720" s="20" t="s">
        <v>3068</v>
      </c>
      <c r="E1720" s="20">
        <v>9.19917711101E11</v>
      </c>
      <c r="F1720" s="21">
        <v>18053.0</v>
      </c>
      <c r="G1720" s="20"/>
      <c r="H1720" s="20" t="s">
        <v>3055</v>
      </c>
      <c r="I1720" s="20"/>
      <c r="J1720" s="20">
        <v>1.0</v>
      </c>
      <c r="K1720" s="20">
        <v>99.0</v>
      </c>
      <c r="L1720" s="20"/>
      <c r="M1720" s="20">
        <v>99.0</v>
      </c>
      <c r="N1720" s="5" t="s">
        <v>67</v>
      </c>
      <c r="O1720" s="20" t="b">
        <v>0</v>
      </c>
      <c r="P1720" s="20" t="s">
        <v>97</v>
      </c>
      <c r="Q1720" s="20" t="s">
        <v>69</v>
      </c>
      <c r="R1720" s="20" t="s">
        <v>3057</v>
      </c>
      <c r="T1720" s="20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</row>
    <row r="1721">
      <c r="A1721" s="15" t="s">
        <v>7678</v>
      </c>
      <c r="B1721" s="19" t="s">
        <v>5417</v>
      </c>
      <c r="C1721" s="20">
        <v>50040.0</v>
      </c>
      <c r="D1721" s="20" t="s">
        <v>5416</v>
      </c>
      <c r="E1721" s="20">
        <v>9.1837443321E11</v>
      </c>
      <c r="F1721" s="21">
        <v>18079.0</v>
      </c>
      <c r="G1721" s="20"/>
      <c r="H1721" s="20" t="s">
        <v>5400</v>
      </c>
      <c r="I1721" s="20"/>
      <c r="J1721" s="20">
        <v>1.0</v>
      </c>
      <c r="K1721" s="20">
        <v>99.0</v>
      </c>
      <c r="L1721" s="20"/>
      <c r="M1721" s="20">
        <v>99.0</v>
      </c>
      <c r="N1721" s="5" t="s">
        <v>67</v>
      </c>
      <c r="O1721" s="20" t="b">
        <v>0</v>
      </c>
      <c r="P1721" s="20" t="s">
        <v>74</v>
      </c>
      <c r="Q1721" s="20" t="s">
        <v>69</v>
      </c>
      <c r="R1721" s="20" t="s">
        <v>5402</v>
      </c>
      <c r="T1721" s="20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</row>
    <row r="1722">
      <c r="A1722" s="15" t="s">
        <v>7680</v>
      </c>
      <c r="B1722" s="19" t="s">
        <v>3382</v>
      </c>
      <c r="C1722" s="20">
        <v>50030.0</v>
      </c>
      <c r="D1722" s="20" t="s">
        <v>3381</v>
      </c>
      <c r="E1722" s="20">
        <v>9.18383924883E11</v>
      </c>
      <c r="F1722" s="21">
        <v>18054.0</v>
      </c>
      <c r="G1722" s="20"/>
      <c r="H1722" s="20" t="s">
        <v>3326</v>
      </c>
      <c r="I1722" s="20"/>
      <c r="J1722" s="20">
        <v>1.0</v>
      </c>
      <c r="K1722" s="20">
        <v>99.0</v>
      </c>
      <c r="L1722" s="20"/>
      <c r="M1722" s="20">
        <v>99.0</v>
      </c>
      <c r="N1722" s="5" t="s">
        <v>67</v>
      </c>
      <c r="O1722" s="20" t="b">
        <v>0</v>
      </c>
      <c r="P1722" s="20" t="s">
        <v>68</v>
      </c>
      <c r="Q1722" s="20" t="s">
        <v>69</v>
      </c>
      <c r="R1722" s="20" t="s">
        <v>3328</v>
      </c>
      <c r="T1722" s="20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</row>
    <row r="1723">
      <c r="A1723" s="15" t="s">
        <v>7681</v>
      </c>
      <c r="B1723" s="19" t="s">
        <v>3384</v>
      </c>
      <c r="C1723" s="20">
        <v>50030.0</v>
      </c>
      <c r="D1723" s="20" t="s">
        <v>3383</v>
      </c>
      <c r="E1723" s="20">
        <v>9.19998930457E11</v>
      </c>
      <c r="F1723" s="21">
        <v>18055.0</v>
      </c>
      <c r="G1723" s="20"/>
      <c r="H1723" s="20" t="s">
        <v>3326</v>
      </c>
      <c r="I1723" s="20"/>
      <c r="J1723" s="20">
        <v>3.0</v>
      </c>
      <c r="K1723" s="20">
        <v>199.0</v>
      </c>
      <c r="L1723" s="20"/>
      <c r="M1723" s="20">
        <v>199.0</v>
      </c>
      <c r="N1723" s="5" t="s">
        <v>67</v>
      </c>
      <c r="O1723" s="20" t="b">
        <v>0</v>
      </c>
      <c r="P1723" s="20" t="s">
        <v>74</v>
      </c>
      <c r="Q1723" s="20" t="s">
        <v>69</v>
      </c>
      <c r="R1723" s="20" t="s">
        <v>3328</v>
      </c>
      <c r="T1723" s="20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</row>
    <row r="1724">
      <c r="A1724" s="15" t="s">
        <v>7684</v>
      </c>
      <c r="B1724" s="19" t="s">
        <v>3386</v>
      </c>
      <c r="C1724" s="20">
        <v>50030.0</v>
      </c>
      <c r="D1724" s="20" t="s">
        <v>3385</v>
      </c>
      <c r="E1724" s="20">
        <v>9.18754406926E11</v>
      </c>
      <c r="F1724" s="21">
        <v>18056.0</v>
      </c>
      <c r="G1724" s="20"/>
      <c r="H1724" s="20" t="s">
        <v>3326</v>
      </c>
      <c r="I1724" s="20"/>
      <c r="J1724" s="20">
        <v>3.0</v>
      </c>
      <c r="K1724" s="20">
        <v>199.0</v>
      </c>
      <c r="L1724" s="20"/>
      <c r="M1724" s="20">
        <v>199.0</v>
      </c>
      <c r="N1724" s="5" t="s">
        <v>67</v>
      </c>
      <c r="O1724" s="20" t="b">
        <v>0</v>
      </c>
      <c r="P1724" s="20" t="s">
        <v>68</v>
      </c>
      <c r="Q1724" s="20" t="s">
        <v>69</v>
      </c>
      <c r="R1724" s="20" t="s">
        <v>3328</v>
      </c>
      <c r="T1724" s="20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</row>
    <row r="1725">
      <c r="A1725" s="15" t="s">
        <v>7695</v>
      </c>
      <c r="B1725" s="19" t="s">
        <v>3370</v>
      </c>
      <c r="C1725" s="20">
        <v>50030.0</v>
      </c>
      <c r="D1725" s="20" t="s">
        <v>3369</v>
      </c>
      <c r="E1725" s="20">
        <v>9.17432060844E11</v>
      </c>
      <c r="F1725" s="21">
        <v>18059.0</v>
      </c>
      <c r="G1725" s="20"/>
      <c r="H1725" s="20" t="s">
        <v>3326</v>
      </c>
      <c r="I1725" s="20"/>
      <c r="J1725" s="20">
        <v>3.0</v>
      </c>
      <c r="K1725" s="20">
        <v>199.0</v>
      </c>
      <c r="L1725" s="20"/>
      <c r="M1725" s="20">
        <v>199.0</v>
      </c>
      <c r="N1725" s="5" t="s">
        <v>67</v>
      </c>
      <c r="O1725" s="20" t="b">
        <v>0</v>
      </c>
      <c r="P1725" s="20" t="s">
        <v>68</v>
      </c>
      <c r="Q1725" s="20" t="s">
        <v>69</v>
      </c>
      <c r="R1725" s="20" t="s">
        <v>3328</v>
      </c>
      <c r="T1725" s="20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</row>
    <row r="1726">
      <c r="A1726" s="15" t="s">
        <v>7696</v>
      </c>
      <c r="B1726" s="19" t="s">
        <v>3372</v>
      </c>
      <c r="C1726" s="20">
        <v>50030.0</v>
      </c>
      <c r="D1726" s="20" t="s">
        <v>3371</v>
      </c>
      <c r="E1726" s="20">
        <v>9.17760461129E11</v>
      </c>
      <c r="F1726" s="21">
        <v>18140.0</v>
      </c>
      <c r="G1726" s="20"/>
      <c r="H1726" s="20" t="s">
        <v>3326</v>
      </c>
      <c r="I1726" s="20"/>
      <c r="J1726" s="20">
        <v>1.0</v>
      </c>
      <c r="K1726" s="20">
        <v>99.0</v>
      </c>
      <c r="L1726" s="20"/>
      <c r="M1726" s="20">
        <v>99.0</v>
      </c>
      <c r="N1726" s="5" t="s">
        <v>67</v>
      </c>
      <c r="O1726" s="20" t="b">
        <v>0</v>
      </c>
      <c r="P1726" s="20" t="s">
        <v>68</v>
      </c>
      <c r="Q1726" s="20" t="s">
        <v>69</v>
      </c>
      <c r="R1726" s="20" t="s">
        <v>3328</v>
      </c>
      <c r="T1726" s="20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</row>
    <row r="1727">
      <c r="A1727" s="15" t="s">
        <v>7699</v>
      </c>
      <c r="B1727" s="19" t="s">
        <v>3017</v>
      </c>
      <c r="C1727" s="20">
        <v>50020.0</v>
      </c>
      <c r="D1727" s="20" t="s">
        <v>3016</v>
      </c>
      <c r="E1727" s="20">
        <v>9.19335925927E11</v>
      </c>
      <c r="F1727" s="21">
        <v>18060.0</v>
      </c>
      <c r="G1727" s="20"/>
      <c r="H1727" s="20" t="s">
        <v>3008</v>
      </c>
      <c r="I1727" s="20"/>
      <c r="J1727" s="20">
        <v>3.0</v>
      </c>
      <c r="K1727" s="20">
        <v>199.0</v>
      </c>
      <c r="L1727" s="20"/>
      <c r="M1727" s="20">
        <v>199.0</v>
      </c>
      <c r="N1727" s="5" t="s">
        <v>67</v>
      </c>
      <c r="O1727" s="20" t="b">
        <v>0</v>
      </c>
      <c r="P1727" s="20" t="s">
        <v>68</v>
      </c>
      <c r="Q1727" s="20" t="s">
        <v>69</v>
      </c>
      <c r="R1727" s="20" t="s">
        <v>3010</v>
      </c>
      <c r="T1727" s="20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</row>
    <row r="1728">
      <c r="A1728" s="15" t="s">
        <v>7700</v>
      </c>
      <c r="B1728" s="19" t="s">
        <v>4798</v>
      </c>
      <c r="C1728" s="20">
        <v>49996.0</v>
      </c>
      <c r="D1728" s="20" t="s">
        <v>4797</v>
      </c>
      <c r="E1728" s="20">
        <v>9.1970179779E11</v>
      </c>
      <c r="F1728" s="21">
        <v>18061.0</v>
      </c>
      <c r="G1728" s="20"/>
      <c r="H1728" s="20" t="s">
        <v>4796</v>
      </c>
      <c r="I1728" s="20"/>
      <c r="J1728" s="20">
        <v>1.0</v>
      </c>
      <c r="K1728" s="20">
        <v>99.0</v>
      </c>
      <c r="L1728" s="20"/>
      <c r="M1728" s="20">
        <v>99.0</v>
      </c>
      <c r="N1728" s="5" t="s">
        <v>67</v>
      </c>
      <c r="O1728" s="20" t="b">
        <v>0</v>
      </c>
      <c r="P1728" s="20" t="s">
        <v>68</v>
      </c>
      <c r="Q1728" s="20" t="s">
        <v>69</v>
      </c>
      <c r="R1728" s="20" t="s">
        <v>4799</v>
      </c>
      <c r="T1728" s="20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</row>
    <row r="1729">
      <c r="A1729" s="15" t="s">
        <v>7705</v>
      </c>
      <c r="B1729" s="19" t="s">
        <v>2716</v>
      </c>
      <c r="C1729" s="20">
        <v>50015.0</v>
      </c>
      <c r="D1729" s="20" t="s">
        <v>2715</v>
      </c>
      <c r="E1729" s="20">
        <v>9.17725919392E11</v>
      </c>
      <c r="F1729" s="21">
        <v>18063.0</v>
      </c>
      <c r="G1729" s="20"/>
      <c r="H1729" s="20" t="s">
        <v>2702</v>
      </c>
      <c r="I1729" s="20"/>
      <c r="J1729" s="20">
        <v>1.0</v>
      </c>
      <c r="K1729" s="20">
        <v>149.0</v>
      </c>
      <c r="L1729" s="20"/>
      <c r="M1729" s="20">
        <v>149.0</v>
      </c>
      <c r="N1729" s="5" t="s">
        <v>67</v>
      </c>
      <c r="O1729" s="20" t="b">
        <v>0</v>
      </c>
      <c r="P1729" s="20" t="s">
        <v>68</v>
      </c>
      <c r="Q1729" s="20" t="s">
        <v>69</v>
      </c>
      <c r="R1729" s="20" t="s">
        <v>2704</v>
      </c>
      <c r="T1729" s="20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</row>
    <row r="1730">
      <c r="A1730" s="15" t="s">
        <v>7704</v>
      </c>
      <c r="B1730" s="19" t="s">
        <v>2716</v>
      </c>
      <c r="C1730" s="20">
        <v>50054.0</v>
      </c>
      <c r="D1730" s="20" t="s">
        <v>5842</v>
      </c>
      <c r="E1730" s="20">
        <v>9.19818604766E11</v>
      </c>
      <c r="F1730" s="22" t="s">
        <v>12593</v>
      </c>
      <c r="G1730" s="20"/>
      <c r="H1730" s="20" t="s">
        <v>5822</v>
      </c>
      <c r="I1730" s="20"/>
      <c r="J1730" s="20">
        <v>3.0</v>
      </c>
      <c r="K1730" s="20">
        <v>199.0</v>
      </c>
      <c r="L1730" s="20"/>
      <c r="M1730" s="20">
        <v>199.0</v>
      </c>
      <c r="N1730" s="5" t="s">
        <v>67</v>
      </c>
      <c r="O1730" s="20" t="b">
        <v>0</v>
      </c>
      <c r="P1730" s="20" t="s">
        <v>74</v>
      </c>
      <c r="Q1730" s="20" t="s">
        <v>69</v>
      </c>
      <c r="R1730" s="20" t="s">
        <v>5824</v>
      </c>
      <c r="T1730" s="20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</row>
    <row r="1731">
      <c r="A1731" s="15" t="s">
        <v>7701</v>
      </c>
      <c r="B1731" s="19" t="s">
        <v>2714</v>
      </c>
      <c r="C1731" s="20">
        <v>50015.0</v>
      </c>
      <c r="D1731" s="20" t="s">
        <v>2713</v>
      </c>
      <c r="E1731" s="20">
        <v>9.17458863325E11</v>
      </c>
      <c r="F1731" s="21">
        <v>18062.0</v>
      </c>
      <c r="G1731" s="20"/>
      <c r="H1731" s="20" t="s">
        <v>2702</v>
      </c>
      <c r="I1731" s="20"/>
      <c r="J1731" s="20">
        <v>1.0</v>
      </c>
      <c r="K1731" s="20">
        <v>149.0</v>
      </c>
      <c r="L1731" s="20"/>
      <c r="M1731" s="20">
        <v>149.0</v>
      </c>
      <c r="N1731" s="5" t="s">
        <v>67</v>
      </c>
      <c r="O1731" s="20" t="b">
        <v>0</v>
      </c>
      <c r="P1731" s="20" t="s">
        <v>68</v>
      </c>
      <c r="Q1731" s="20" t="s">
        <v>69</v>
      </c>
      <c r="R1731" s="20" t="s">
        <v>2704</v>
      </c>
      <c r="T1731" s="20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</row>
    <row r="1732">
      <c r="A1732" s="15" t="s">
        <v>7706</v>
      </c>
      <c r="B1732" s="19" t="s">
        <v>3201</v>
      </c>
      <c r="C1732" s="20">
        <v>50047.0</v>
      </c>
      <c r="D1732" s="20" t="s">
        <v>3200</v>
      </c>
      <c r="E1732" s="20">
        <v>9.19790880026E11</v>
      </c>
      <c r="F1732" s="21">
        <v>18064.0</v>
      </c>
      <c r="G1732" s="20"/>
      <c r="H1732" s="20" t="s">
        <v>3195</v>
      </c>
      <c r="I1732" s="20"/>
      <c r="J1732" s="20">
        <v>3.0</v>
      </c>
      <c r="K1732" s="20">
        <v>799.0</v>
      </c>
      <c r="L1732" s="20"/>
      <c r="M1732" s="20">
        <v>799.0</v>
      </c>
      <c r="N1732" s="5" t="s">
        <v>67</v>
      </c>
      <c r="O1732" s="20" t="b">
        <v>0</v>
      </c>
      <c r="P1732" s="20" t="s">
        <v>68</v>
      </c>
      <c r="Q1732" s="20" t="s">
        <v>69</v>
      </c>
      <c r="R1732" s="20" t="s">
        <v>3197</v>
      </c>
      <c r="T1732" s="20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</row>
    <row r="1733">
      <c r="A1733" s="15" t="s">
        <v>7707</v>
      </c>
      <c r="B1733" s="19" t="s">
        <v>2781</v>
      </c>
      <c r="C1733" s="20">
        <v>50029.0</v>
      </c>
      <c r="D1733" s="20" t="s">
        <v>2780</v>
      </c>
      <c r="E1733" s="20">
        <v>9.19823895856E11</v>
      </c>
      <c r="F1733" s="21">
        <v>18069.0</v>
      </c>
      <c r="G1733" s="20"/>
      <c r="H1733" s="20" t="s">
        <v>2761</v>
      </c>
      <c r="I1733" s="20"/>
      <c r="J1733" s="20">
        <v>3.0</v>
      </c>
      <c r="K1733" s="20">
        <v>199.0</v>
      </c>
      <c r="L1733" s="20"/>
      <c r="M1733" s="20">
        <v>199.0</v>
      </c>
      <c r="N1733" s="5" t="s">
        <v>67</v>
      </c>
      <c r="O1733" s="20" t="b">
        <v>0</v>
      </c>
      <c r="P1733" s="20" t="s">
        <v>68</v>
      </c>
      <c r="Q1733" s="20" t="s">
        <v>69</v>
      </c>
      <c r="R1733" s="20" t="s">
        <v>2763</v>
      </c>
      <c r="T1733" s="20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</row>
    <row r="1734">
      <c r="A1734" s="15" t="s">
        <v>7712</v>
      </c>
      <c r="B1734" s="19" t="s">
        <v>5344</v>
      </c>
      <c r="C1734" s="20">
        <v>49995.0</v>
      </c>
      <c r="D1734" s="20" t="s">
        <v>5343</v>
      </c>
      <c r="E1734" s="20">
        <v>9.18524887557E11</v>
      </c>
      <c r="F1734" s="21">
        <v>18173.0</v>
      </c>
      <c r="G1734" s="20"/>
      <c r="H1734" s="20" t="s">
        <v>5321</v>
      </c>
      <c r="I1734" s="20"/>
      <c r="J1734" s="20">
        <v>1.0</v>
      </c>
      <c r="K1734" s="20">
        <v>99.0</v>
      </c>
      <c r="L1734" s="20"/>
      <c r="M1734" s="20">
        <v>99.0</v>
      </c>
      <c r="N1734" s="5" t="s">
        <v>67</v>
      </c>
      <c r="O1734" s="20" t="b">
        <v>0</v>
      </c>
      <c r="P1734" s="20" t="s">
        <v>74</v>
      </c>
      <c r="Q1734" s="20" t="s">
        <v>69</v>
      </c>
      <c r="R1734" s="20" t="s">
        <v>5323</v>
      </c>
      <c r="T1734" s="20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</row>
    <row r="1735">
      <c r="A1735" s="15" t="s">
        <v>7708</v>
      </c>
      <c r="B1735" s="19" t="s">
        <v>5410</v>
      </c>
      <c r="C1735" s="20">
        <v>50040.0</v>
      </c>
      <c r="D1735" s="20" t="s">
        <v>5409</v>
      </c>
      <c r="E1735" s="20">
        <v>9.19818251764E11</v>
      </c>
      <c r="F1735" s="22" t="s">
        <v>12593</v>
      </c>
      <c r="G1735" s="20"/>
      <c r="H1735" s="20" t="s">
        <v>5400</v>
      </c>
      <c r="I1735" s="20"/>
      <c r="J1735" s="20">
        <v>1.0</v>
      </c>
      <c r="K1735" s="20">
        <v>99.0</v>
      </c>
      <c r="L1735" s="20"/>
      <c r="M1735" s="20">
        <v>99.0</v>
      </c>
      <c r="N1735" s="5" t="s">
        <v>67</v>
      </c>
      <c r="O1735" s="20" t="b">
        <v>0</v>
      </c>
      <c r="P1735" s="20" t="s">
        <v>74</v>
      </c>
      <c r="Q1735" s="20" t="s">
        <v>69</v>
      </c>
      <c r="R1735" s="20" t="s">
        <v>5402</v>
      </c>
      <c r="T1735" s="20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</row>
    <row r="1736">
      <c r="A1736" s="15" t="s">
        <v>7709</v>
      </c>
      <c r="B1736" s="19" t="s">
        <v>5342</v>
      </c>
      <c r="C1736" s="20">
        <v>49995.0</v>
      </c>
      <c r="D1736" s="20" t="s">
        <v>5341</v>
      </c>
      <c r="E1736" s="20">
        <v>9.19994759191E11</v>
      </c>
      <c r="F1736" s="21">
        <v>18065.0</v>
      </c>
      <c r="G1736" s="20"/>
      <c r="H1736" s="20" t="s">
        <v>5321</v>
      </c>
      <c r="I1736" s="20"/>
      <c r="J1736" s="20">
        <v>6.0</v>
      </c>
      <c r="K1736" s="20">
        <v>349.0</v>
      </c>
      <c r="L1736" s="20"/>
      <c r="M1736" s="20">
        <v>349.0</v>
      </c>
      <c r="N1736" s="5" t="s">
        <v>67</v>
      </c>
      <c r="O1736" s="20" t="b">
        <v>0</v>
      </c>
      <c r="P1736" s="20" t="s">
        <v>74</v>
      </c>
      <c r="Q1736" s="20" t="s">
        <v>69</v>
      </c>
      <c r="R1736" s="20" t="s">
        <v>5323</v>
      </c>
      <c r="T1736" s="20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</row>
    <row r="1737">
      <c r="A1737" s="15" t="s">
        <v>7716</v>
      </c>
      <c r="B1737" s="19" t="s">
        <v>2931</v>
      </c>
      <c r="C1737" s="20">
        <v>50066.0</v>
      </c>
      <c r="D1737" s="20" t="s">
        <v>2930</v>
      </c>
      <c r="E1737" s="20">
        <v>9.71504815499E11</v>
      </c>
      <c r="F1737" s="21">
        <v>0.0</v>
      </c>
      <c r="G1737" s="20"/>
      <c r="H1737" s="20" t="s">
        <v>2911</v>
      </c>
      <c r="I1737" s="20"/>
      <c r="J1737" s="20">
        <v>6.0</v>
      </c>
      <c r="K1737" s="20">
        <v>599.0</v>
      </c>
      <c r="L1737" s="20"/>
      <c r="M1737" s="20">
        <v>599.0</v>
      </c>
      <c r="N1737" s="5" t="s">
        <v>67</v>
      </c>
      <c r="O1737" s="20" t="b">
        <v>0</v>
      </c>
      <c r="P1737" s="20" t="s">
        <v>97</v>
      </c>
      <c r="Q1737" s="20" t="s">
        <v>69</v>
      </c>
      <c r="R1737" s="20" t="s">
        <v>2913</v>
      </c>
      <c r="T1737" s="20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</row>
    <row r="1738">
      <c r="A1738" s="15" t="s">
        <v>7713</v>
      </c>
      <c r="B1738" s="19" t="s">
        <v>5844</v>
      </c>
      <c r="C1738" s="20">
        <v>50054.0</v>
      </c>
      <c r="D1738" s="20" t="s">
        <v>5843</v>
      </c>
      <c r="E1738" s="20">
        <v>9.19971389859E11</v>
      </c>
      <c r="F1738" s="21">
        <v>18067.0</v>
      </c>
      <c r="G1738" s="20"/>
      <c r="H1738" s="20" t="s">
        <v>5822</v>
      </c>
      <c r="I1738" s="20"/>
      <c r="J1738" s="20">
        <v>1.0</v>
      </c>
      <c r="K1738" s="20">
        <v>99.0</v>
      </c>
      <c r="L1738" s="20"/>
      <c r="M1738" s="20">
        <v>99.0</v>
      </c>
      <c r="N1738" s="5" t="s">
        <v>67</v>
      </c>
      <c r="O1738" s="20" t="b">
        <v>0</v>
      </c>
      <c r="P1738" s="20" t="s">
        <v>68</v>
      </c>
      <c r="Q1738" s="20" t="s">
        <v>69</v>
      </c>
      <c r="R1738" s="20" t="s">
        <v>5824</v>
      </c>
      <c r="T1738" s="20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</row>
    <row r="1739">
      <c r="A1739" s="15" t="s">
        <v>7717</v>
      </c>
      <c r="B1739" s="19" t="s">
        <v>2933</v>
      </c>
      <c r="C1739" s="20">
        <v>50066.0</v>
      </c>
      <c r="D1739" s="20" t="s">
        <v>2932</v>
      </c>
      <c r="E1739" s="20">
        <v>9.18897657529E11</v>
      </c>
      <c r="F1739" s="21">
        <v>18071.0</v>
      </c>
      <c r="G1739" s="20"/>
      <c r="H1739" s="20" t="s">
        <v>2911</v>
      </c>
      <c r="I1739" s="20"/>
      <c r="J1739" s="20">
        <v>6.0</v>
      </c>
      <c r="K1739" s="20">
        <v>599.0</v>
      </c>
      <c r="L1739" s="20"/>
      <c r="M1739" s="20">
        <v>599.0</v>
      </c>
      <c r="N1739" s="5" t="s">
        <v>67</v>
      </c>
      <c r="O1739" s="20" t="b">
        <v>0</v>
      </c>
      <c r="P1739" s="20" t="s">
        <v>68</v>
      </c>
      <c r="Q1739" s="20" t="s">
        <v>69</v>
      </c>
      <c r="R1739" s="20" t="s">
        <v>2913</v>
      </c>
      <c r="T1739" s="20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</row>
    <row r="1740">
      <c r="A1740" s="15" t="s">
        <v>7718</v>
      </c>
      <c r="B1740" s="19" t="s">
        <v>5131</v>
      </c>
      <c r="C1740" s="20">
        <v>49813.0</v>
      </c>
      <c r="D1740" s="20" t="s">
        <v>5130</v>
      </c>
      <c r="E1740" s="20">
        <v>9.17275024631E11</v>
      </c>
      <c r="F1740" s="21">
        <v>0.0</v>
      </c>
      <c r="G1740" s="20"/>
      <c r="H1740" s="20" t="s">
        <v>5114</v>
      </c>
      <c r="I1740" s="20"/>
      <c r="J1740" s="20">
        <v>1.0</v>
      </c>
      <c r="K1740" s="20">
        <v>299.0</v>
      </c>
      <c r="L1740" s="20"/>
      <c r="M1740" s="20">
        <v>299.0</v>
      </c>
      <c r="N1740" s="5" t="s">
        <v>67</v>
      </c>
      <c r="O1740" s="20" t="b">
        <v>0</v>
      </c>
      <c r="P1740" s="20" t="s">
        <v>68</v>
      </c>
      <c r="Q1740" s="20" t="s">
        <v>69</v>
      </c>
      <c r="R1740" s="20" t="s">
        <v>5116</v>
      </c>
      <c r="T1740" s="20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</row>
    <row r="1741">
      <c r="A1741" s="15" t="s">
        <v>7719</v>
      </c>
      <c r="B1741" s="19" t="s">
        <v>2935</v>
      </c>
      <c r="C1741" s="20">
        <v>50066.0</v>
      </c>
      <c r="D1741" s="20" t="s">
        <v>2934</v>
      </c>
      <c r="E1741" s="20">
        <v>9.19821470299E11</v>
      </c>
      <c r="F1741" s="21">
        <v>18073.0</v>
      </c>
      <c r="G1741" s="20"/>
      <c r="H1741" s="20" t="s">
        <v>2911</v>
      </c>
      <c r="I1741" s="20"/>
      <c r="J1741" s="20">
        <v>6.0</v>
      </c>
      <c r="K1741" s="20">
        <v>599.0</v>
      </c>
      <c r="L1741" s="20"/>
      <c r="M1741" s="20">
        <v>599.0</v>
      </c>
      <c r="N1741" s="5" t="s">
        <v>67</v>
      </c>
      <c r="O1741" s="20" t="b">
        <v>0</v>
      </c>
      <c r="P1741" s="20" t="s">
        <v>68</v>
      </c>
      <c r="Q1741" s="20" t="s">
        <v>69</v>
      </c>
      <c r="R1741" s="20" t="s">
        <v>2913</v>
      </c>
      <c r="T1741" s="20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</row>
    <row r="1742">
      <c r="A1742" s="15" t="s">
        <v>7725</v>
      </c>
      <c r="B1742" s="19" t="s">
        <v>2937</v>
      </c>
      <c r="C1742" s="20">
        <v>50040.0</v>
      </c>
      <c r="D1742" s="20" t="s">
        <v>5411</v>
      </c>
      <c r="E1742" s="20">
        <v>9.19999769481E11</v>
      </c>
      <c r="F1742" s="21">
        <v>18078.0</v>
      </c>
      <c r="G1742" s="20"/>
      <c r="H1742" s="20" t="s">
        <v>5400</v>
      </c>
      <c r="I1742" s="20"/>
      <c r="J1742" s="20">
        <v>3.0</v>
      </c>
      <c r="K1742" s="20">
        <v>199.0</v>
      </c>
      <c r="L1742" s="20"/>
      <c r="M1742" s="20">
        <v>199.0</v>
      </c>
      <c r="N1742" s="5" t="s">
        <v>67</v>
      </c>
      <c r="O1742" s="20" t="b">
        <v>0</v>
      </c>
      <c r="P1742" s="20" t="s">
        <v>68</v>
      </c>
      <c r="Q1742" s="20" t="s">
        <v>69</v>
      </c>
      <c r="R1742" s="20" t="s">
        <v>5402</v>
      </c>
      <c r="T1742" s="20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</row>
    <row r="1743">
      <c r="A1743" s="15" t="s">
        <v>7726</v>
      </c>
      <c r="B1743" s="19" t="s">
        <v>2937</v>
      </c>
      <c r="C1743" s="20">
        <v>50066.0</v>
      </c>
      <c r="D1743" s="20" t="s">
        <v>2936</v>
      </c>
      <c r="E1743" s="20">
        <v>9.19619615401E11</v>
      </c>
      <c r="F1743" s="21">
        <v>18076.0</v>
      </c>
      <c r="G1743" s="20"/>
      <c r="H1743" s="20" t="s">
        <v>2911</v>
      </c>
      <c r="I1743" s="20"/>
      <c r="J1743" s="20">
        <v>6.0</v>
      </c>
      <c r="K1743" s="20">
        <v>599.0</v>
      </c>
      <c r="L1743" s="20"/>
      <c r="M1743" s="20">
        <v>599.0</v>
      </c>
      <c r="N1743" s="5" t="s">
        <v>67</v>
      </c>
      <c r="O1743" s="20" t="b">
        <v>0</v>
      </c>
      <c r="P1743" s="20" t="s">
        <v>74</v>
      </c>
      <c r="Q1743" s="20" t="s">
        <v>69</v>
      </c>
      <c r="R1743" s="20" t="s">
        <v>2913</v>
      </c>
      <c r="T1743" s="20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</row>
    <row r="1744">
      <c r="A1744" s="15" t="s">
        <v>7730</v>
      </c>
      <c r="B1744" s="19" t="s">
        <v>6507</v>
      </c>
      <c r="C1744" s="20">
        <v>50073.0</v>
      </c>
      <c r="D1744" s="20" t="s">
        <v>2211</v>
      </c>
      <c r="E1744" s="20">
        <v>9.19830775774E11</v>
      </c>
      <c r="F1744" s="21">
        <v>17750.0</v>
      </c>
      <c r="G1744" s="20"/>
      <c r="H1744" s="20" t="s">
        <v>6466</v>
      </c>
      <c r="I1744" s="20"/>
      <c r="J1744" s="20">
        <v>3.0</v>
      </c>
      <c r="K1744" s="20">
        <v>1499.0</v>
      </c>
      <c r="L1744" s="20"/>
      <c r="M1744" s="20">
        <v>1499.0</v>
      </c>
      <c r="N1744" s="5" t="s">
        <v>67</v>
      </c>
      <c r="O1744" s="20" t="b">
        <v>0</v>
      </c>
      <c r="P1744" s="20" t="s">
        <v>74</v>
      </c>
      <c r="Q1744" s="20" t="s">
        <v>69</v>
      </c>
      <c r="R1744" s="20" t="s">
        <v>6497</v>
      </c>
      <c r="T1744" s="20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</row>
    <row r="1745">
      <c r="A1745" s="15" t="s">
        <v>7727</v>
      </c>
      <c r="B1745" s="19" t="s">
        <v>2939</v>
      </c>
      <c r="C1745" s="20">
        <v>50066.0</v>
      </c>
      <c r="D1745" s="20" t="s">
        <v>2938</v>
      </c>
      <c r="E1745" s="20">
        <v>9.19004601048E11</v>
      </c>
      <c r="F1745" s="22" t="s">
        <v>12593</v>
      </c>
      <c r="G1745" s="20"/>
      <c r="H1745" s="20" t="s">
        <v>2911</v>
      </c>
      <c r="I1745" s="20"/>
      <c r="J1745" s="20">
        <v>3.0</v>
      </c>
      <c r="K1745" s="20">
        <v>399.0</v>
      </c>
      <c r="L1745" s="20"/>
      <c r="M1745" s="20">
        <v>399.0</v>
      </c>
      <c r="N1745" s="5" t="s">
        <v>67</v>
      </c>
      <c r="O1745" s="20" t="b">
        <v>0</v>
      </c>
      <c r="P1745" s="20" t="s">
        <v>68</v>
      </c>
      <c r="Q1745" s="20" t="s">
        <v>69</v>
      </c>
      <c r="R1745" s="20" t="s">
        <v>2913</v>
      </c>
      <c r="T1745" s="20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</row>
    <row r="1746">
      <c r="A1746" s="15" t="s">
        <v>7728</v>
      </c>
      <c r="B1746" s="19" t="s">
        <v>6203</v>
      </c>
      <c r="C1746" s="20">
        <v>49835.0</v>
      </c>
      <c r="D1746" s="20" t="s">
        <v>6202</v>
      </c>
      <c r="E1746" s="20">
        <v>9.19810386533E11</v>
      </c>
      <c r="F1746" s="21">
        <v>18080.0</v>
      </c>
      <c r="G1746" s="20"/>
      <c r="H1746" s="20" t="s">
        <v>6198</v>
      </c>
      <c r="I1746" s="20"/>
      <c r="J1746" s="20">
        <v>3.0</v>
      </c>
      <c r="K1746" s="20">
        <v>99.0</v>
      </c>
      <c r="L1746" s="20"/>
      <c r="M1746" s="20">
        <v>99.0</v>
      </c>
      <c r="N1746" s="5" t="s">
        <v>67</v>
      </c>
      <c r="O1746" s="20" t="b">
        <v>0</v>
      </c>
      <c r="P1746" s="20" t="s">
        <v>68</v>
      </c>
      <c r="Q1746" s="20" t="s">
        <v>69</v>
      </c>
      <c r="R1746" s="20" t="s">
        <v>3888</v>
      </c>
      <c r="T1746" s="20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</row>
    <row r="1747">
      <c r="A1747" s="15" t="s">
        <v>7729</v>
      </c>
      <c r="B1747" s="19" t="s">
        <v>5413</v>
      </c>
      <c r="C1747" s="20">
        <v>50040.0</v>
      </c>
      <c r="D1747" s="20" t="s">
        <v>5412</v>
      </c>
      <c r="E1747" s="20">
        <v>9.1956004942E11</v>
      </c>
      <c r="F1747" s="21">
        <v>18081.0</v>
      </c>
      <c r="G1747" s="20"/>
      <c r="H1747" s="20" t="s">
        <v>5400</v>
      </c>
      <c r="I1747" s="20"/>
      <c r="J1747" s="20">
        <v>1.0</v>
      </c>
      <c r="K1747" s="20">
        <v>99.0</v>
      </c>
      <c r="L1747" s="20"/>
      <c r="M1747" s="20">
        <v>99.0</v>
      </c>
      <c r="N1747" s="5" t="s">
        <v>67</v>
      </c>
      <c r="O1747" s="20" t="b">
        <v>0</v>
      </c>
      <c r="P1747" s="20" t="s">
        <v>68</v>
      </c>
      <c r="Q1747" s="20" t="s">
        <v>69</v>
      </c>
      <c r="R1747" s="20" t="s">
        <v>5402</v>
      </c>
      <c r="T1747" s="20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</row>
    <row r="1748">
      <c r="A1748" s="15" t="s">
        <v>7733</v>
      </c>
      <c r="B1748" s="19" t="s">
        <v>6260</v>
      </c>
      <c r="C1748" s="20">
        <v>49998.0</v>
      </c>
      <c r="D1748" s="20" t="s">
        <v>6259</v>
      </c>
      <c r="E1748" s="20">
        <v>9.19036230336E11</v>
      </c>
      <c r="F1748" s="21">
        <v>18084.0</v>
      </c>
      <c r="G1748" s="20"/>
      <c r="H1748" s="20" t="s">
        <v>6250</v>
      </c>
      <c r="I1748" s="20"/>
      <c r="J1748" s="20">
        <v>1.0</v>
      </c>
      <c r="K1748" s="20">
        <v>99.0</v>
      </c>
      <c r="L1748" s="20"/>
      <c r="M1748" s="20">
        <v>99.0</v>
      </c>
      <c r="N1748" s="5" t="s">
        <v>67</v>
      </c>
      <c r="O1748" s="20" t="b">
        <v>0</v>
      </c>
      <c r="P1748" s="20" t="s">
        <v>68</v>
      </c>
      <c r="Q1748" s="20" t="s">
        <v>69</v>
      </c>
      <c r="R1748" s="20" t="s">
        <v>6252</v>
      </c>
      <c r="T1748" s="20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</row>
    <row r="1749">
      <c r="A1749" s="15" t="s">
        <v>7734</v>
      </c>
      <c r="B1749" s="19" t="s">
        <v>3374</v>
      </c>
      <c r="C1749" s="20">
        <v>50030.0</v>
      </c>
      <c r="D1749" s="20" t="s">
        <v>3373</v>
      </c>
      <c r="E1749" s="20">
        <v>9.17978907149E11</v>
      </c>
      <c r="F1749" s="21">
        <v>18083.0</v>
      </c>
      <c r="G1749" s="20"/>
      <c r="H1749" s="20" t="s">
        <v>3326</v>
      </c>
      <c r="I1749" s="20"/>
      <c r="J1749" s="20">
        <v>3.0</v>
      </c>
      <c r="K1749" s="20">
        <v>199.0</v>
      </c>
      <c r="L1749" s="20"/>
      <c r="M1749" s="20">
        <v>199.0</v>
      </c>
      <c r="N1749" s="5" t="s">
        <v>67</v>
      </c>
      <c r="O1749" s="20" t="b">
        <v>0</v>
      </c>
      <c r="P1749" s="20" t="s">
        <v>68</v>
      </c>
      <c r="Q1749" s="20" t="s">
        <v>69</v>
      </c>
      <c r="R1749" s="20" t="s">
        <v>3328</v>
      </c>
      <c r="T1749" s="20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</row>
    <row r="1750">
      <c r="A1750" s="15" t="s">
        <v>7739</v>
      </c>
      <c r="B1750" s="19" t="s">
        <v>2946</v>
      </c>
      <c r="C1750" s="20">
        <v>50066.0</v>
      </c>
      <c r="D1750" s="20" t="s">
        <v>2945</v>
      </c>
      <c r="E1750" s="20">
        <v>9.19732370358E11</v>
      </c>
      <c r="F1750" s="21">
        <v>18085.0</v>
      </c>
      <c r="G1750" s="20"/>
      <c r="H1750" s="20" t="s">
        <v>2911</v>
      </c>
      <c r="I1750" s="20"/>
      <c r="J1750" s="20">
        <v>6.0</v>
      </c>
      <c r="K1750" s="20">
        <v>599.0</v>
      </c>
      <c r="L1750" s="20"/>
      <c r="M1750" s="20">
        <v>599.0</v>
      </c>
      <c r="N1750" s="5" t="s">
        <v>67</v>
      </c>
      <c r="O1750" s="20" t="b">
        <v>0</v>
      </c>
      <c r="P1750" s="20" t="s">
        <v>74</v>
      </c>
      <c r="Q1750" s="20" t="s">
        <v>69</v>
      </c>
      <c r="R1750" s="20" t="s">
        <v>2913</v>
      </c>
      <c r="T1750" s="20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</row>
    <row r="1751">
      <c r="A1751" s="15" t="s">
        <v>7736</v>
      </c>
      <c r="B1751" s="19" t="s">
        <v>2941</v>
      </c>
      <c r="C1751" s="20">
        <v>50066.0</v>
      </c>
      <c r="D1751" s="20" t="s">
        <v>2940</v>
      </c>
      <c r="E1751" s="20">
        <v>9.19488846408E11</v>
      </c>
      <c r="F1751" s="21">
        <v>18087.0</v>
      </c>
      <c r="G1751" s="20"/>
      <c r="H1751" s="20" t="s">
        <v>2911</v>
      </c>
      <c r="I1751" s="20"/>
      <c r="J1751" s="20">
        <v>6.0</v>
      </c>
      <c r="K1751" s="20">
        <v>599.0</v>
      </c>
      <c r="L1751" s="20"/>
      <c r="M1751" s="20">
        <v>599.0</v>
      </c>
      <c r="N1751" s="5" t="s">
        <v>67</v>
      </c>
      <c r="O1751" s="20" t="b">
        <v>0</v>
      </c>
      <c r="P1751" s="20" t="s">
        <v>74</v>
      </c>
      <c r="Q1751" s="20" t="s">
        <v>69</v>
      </c>
      <c r="R1751" s="20" t="s">
        <v>2913</v>
      </c>
      <c r="T1751" s="20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</row>
    <row r="1752">
      <c r="A1752" s="15" t="s">
        <v>7740</v>
      </c>
      <c r="B1752" s="19" t="s">
        <v>2784</v>
      </c>
      <c r="C1752" s="20">
        <v>50029.0</v>
      </c>
      <c r="D1752" s="20" t="s">
        <v>2783</v>
      </c>
      <c r="E1752" s="20">
        <v>9.19390664591E11</v>
      </c>
      <c r="F1752" s="21">
        <v>18086.0</v>
      </c>
      <c r="G1752" s="20"/>
      <c r="H1752" s="20" t="s">
        <v>2761</v>
      </c>
      <c r="I1752" s="20"/>
      <c r="J1752" s="20">
        <v>1.0</v>
      </c>
      <c r="K1752" s="20">
        <v>99.0</v>
      </c>
      <c r="L1752" s="20"/>
      <c r="M1752" s="20">
        <v>99.0</v>
      </c>
      <c r="N1752" s="5" t="s">
        <v>67</v>
      </c>
      <c r="O1752" s="20" t="b">
        <v>0</v>
      </c>
      <c r="P1752" s="20" t="s">
        <v>68</v>
      </c>
      <c r="Q1752" s="20" t="s">
        <v>69</v>
      </c>
      <c r="R1752" s="20" t="s">
        <v>2763</v>
      </c>
      <c r="T1752" s="20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</row>
    <row r="1753">
      <c r="A1753" s="15" t="s">
        <v>7737</v>
      </c>
      <c r="B1753" s="19" t="s">
        <v>2943</v>
      </c>
      <c r="C1753" s="20">
        <v>50066.0</v>
      </c>
      <c r="D1753" s="20" t="s">
        <v>2942</v>
      </c>
      <c r="E1753" s="20">
        <v>9.19886757329E11</v>
      </c>
      <c r="F1753" s="21">
        <v>18251.0</v>
      </c>
      <c r="G1753" s="20"/>
      <c r="H1753" s="20" t="s">
        <v>2911</v>
      </c>
      <c r="I1753" s="20"/>
      <c r="J1753" s="20">
        <v>1.0</v>
      </c>
      <c r="K1753" s="20">
        <v>199.0</v>
      </c>
      <c r="L1753" s="20"/>
      <c r="M1753" s="20">
        <v>199.0</v>
      </c>
      <c r="N1753" s="5" t="s">
        <v>67</v>
      </c>
      <c r="O1753" s="20" t="b">
        <v>0</v>
      </c>
      <c r="P1753" s="20" t="s">
        <v>151</v>
      </c>
      <c r="Q1753" s="20" t="s">
        <v>69</v>
      </c>
      <c r="R1753" s="20" t="s">
        <v>2913</v>
      </c>
      <c r="T1753" s="20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</row>
    <row r="1754">
      <c r="A1754" s="15" t="s">
        <v>7738</v>
      </c>
      <c r="B1754" s="19" t="s">
        <v>2943</v>
      </c>
      <c r="C1754" s="20">
        <v>50066.0</v>
      </c>
      <c r="D1754" s="20" t="s">
        <v>2944</v>
      </c>
      <c r="E1754" s="20">
        <v>9.19648323842E11</v>
      </c>
      <c r="F1754" s="21">
        <v>18767.0</v>
      </c>
      <c r="G1754" s="20"/>
      <c r="H1754" s="20" t="s">
        <v>2911</v>
      </c>
      <c r="I1754" s="20"/>
      <c r="J1754" s="20">
        <v>6.0</v>
      </c>
      <c r="K1754" s="20">
        <v>599.0</v>
      </c>
      <c r="L1754" s="20"/>
      <c r="M1754" s="20">
        <v>599.0</v>
      </c>
      <c r="N1754" s="5" t="s">
        <v>67</v>
      </c>
      <c r="O1754" s="20" t="b">
        <v>0</v>
      </c>
      <c r="P1754" s="20" t="s">
        <v>68</v>
      </c>
      <c r="Q1754" s="20" t="s">
        <v>69</v>
      </c>
      <c r="R1754" s="20" t="s">
        <v>2913</v>
      </c>
      <c r="T1754" s="20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</row>
    <row r="1755">
      <c r="A1755" s="15" t="s">
        <v>7742</v>
      </c>
      <c r="B1755" s="19" t="s">
        <v>6509</v>
      </c>
      <c r="C1755" s="20">
        <v>50073.0</v>
      </c>
      <c r="D1755" s="20" t="s">
        <v>6508</v>
      </c>
      <c r="E1755" s="20">
        <v>9.19894070542E11</v>
      </c>
      <c r="F1755" s="21">
        <v>18088.0</v>
      </c>
      <c r="G1755" s="20"/>
      <c r="H1755" s="20" t="s">
        <v>6466</v>
      </c>
      <c r="I1755" s="20"/>
      <c r="J1755" s="20">
        <v>1.0</v>
      </c>
      <c r="K1755" s="20">
        <v>599.0</v>
      </c>
      <c r="L1755" s="20"/>
      <c r="M1755" s="20">
        <v>599.0</v>
      </c>
      <c r="N1755" s="5" t="s">
        <v>67</v>
      </c>
      <c r="O1755" s="20" t="b">
        <v>0</v>
      </c>
      <c r="P1755" s="20" t="s">
        <v>97</v>
      </c>
      <c r="Q1755" s="20" t="s">
        <v>69</v>
      </c>
      <c r="R1755" s="20" t="s">
        <v>6497</v>
      </c>
      <c r="T1755" s="20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</row>
    <row r="1756">
      <c r="A1756" s="15" t="s">
        <v>7743</v>
      </c>
      <c r="B1756" s="19" t="s">
        <v>2786</v>
      </c>
      <c r="C1756" s="20">
        <v>50029.0</v>
      </c>
      <c r="D1756" s="20" t="s">
        <v>2785</v>
      </c>
      <c r="E1756" s="20">
        <v>9.19899969848E11</v>
      </c>
      <c r="F1756" s="21">
        <v>18089.0</v>
      </c>
      <c r="G1756" s="20"/>
      <c r="H1756" s="20" t="s">
        <v>2761</v>
      </c>
      <c r="I1756" s="20"/>
      <c r="J1756" s="20">
        <v>3.0</v>
      </c>
      <c r="K1756" s="20">
        <v>199.0</v>
      </c>
      <c r="L1756" s="20"/>
      <c r="M1756" s="20">
        <v>199.0</v>
      </c>
      <c r="N1756" s="5" t="s">
        <v>67</v>
      </c>
      <c r="O1756" s="20" t="b">
        <v>0</v>
      </c>
      <c r="P1756" s="20" t="s">
        <v>151</v>
      </c>
      <c r="Q1756" s="20" t="s">
        <v>69</v>
      </c>
      <c r="R1756" s="20" t="s">
        <v>2763</v>
      </c>
      <c r="T1756" s="20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</row>
    <row r="1757">
      <c r="A1757" s="15" t="s">
        <v>7745</v>
      </c>
      <c r="B1757" s="19" t="s">
        <v>6262</v>
      </c>
      <c r="C1757" s="20">
        <v>49998.0</v>
      </c>
      <c r="D1757" s="20" t="s">
        <v>6261</v>
      </c>
      <c r="E1757" s="20">
        <v>9.17871725079E11</v>
      </c>
      <c r="F1757" s="21">
        <v>18243.0</v>
      </c>
      <c r="G1757" s="20"/>
      <c r="H1757" s="20" t="s">
        <v>6250</v>
      </c>
      <c r="I1757" s="20"/>
      <c r="J1757" s="20">
        <v>3.0</v>
      </c>
      <c r="K1757" s="20">
        <v>199.0</v>
      </c>
      <c r="L1757" s="20"/>
      <c r="M1757" s="20">
        <v>199.0</v>
      </c>
      <c r="N1757" s="5" t="s">
        <v>67</v>
      </c>
      <c r="O1757" s="20" t="b">
        <v>0</v>
      </c>
      <c r="P1757" s="20" t="s">
        <v>68</v>
      </c>
      <c r="Q1757" s="20" t="s">
        <v>69</v>
      </c>
      <c r="R1757" s="20" t="s">
        <v>6252</v>
      </c>
      <c r="T1757" s="20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</row>
    <row r="1758">
      <c r="A1758" s="15" t="s">
        <v>7746</v>
      </c>
      <c r="B1758" s="19" t="s">
        <v>2948</v>
      </c>
      <c r="C1758" s="20">
        <v>50066.0</v>
      </c>
      <c r="D1758" s="20" t="s">
        <v>2947</v>
      </c>
      <c r="E1758" s="20">
        <v>9.19849104433E11</v>
      </c>
      <c r="F1758" s="21">
        <v>18092.0</v>
      </c>
      <c r="G1758" s="20"/>
      <c r="H1758" s="20" t="s">
        <v>2911</v>
      </c>
      <c r="I1758" s="20"/>
      <c r="J1758" s="20">
        <v>6.0</v>
      </c>
      <c r="K1758" s="20">
        <v>599.0</v>
      </c>
      <c r="L1758" s="20"/>
      <c r="M1758" s="20">
        <v>599.0</v>
      </c>
      <c r="N1758" s="5" t="s">
        <v>67</v>
      </c>
      <c r="O1758" s="20" t="b">
        <v>0</v>
      </c>
      <c r="P1758" s="20" t="s">
        <v>97</v>
      </c>
      <c r="Q1758" s="20" t="s">
        <v>69</v>
      </c>
      <c r="R1758" s="20" t="s">
        <v>2913</v>
      </c>
      <c r="T1758" s="20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</row>
    <row r="1759">
      <c r="A1759" s="15" t="s">
        <v>7747</v>
      </c>
      <c r="B1759" s="19" t="s">
        <v>3067</v>
      </c>
      <c r="C1759" s="20">
        <v>49991.0</v>
      </c>
      <c r="D1759" s="20" t="s">
        <v>3066</v>
      </c>
      <c r="E1759" s="20">
        <v>9.17755913456E11</v>
      </c>
      <c r="F1759" s="21">
        <v>18093.0</v>
      </c>
      <c r="G1759" s="20"/>
      <c r="H1759" s="20" t="s">
        <v>3055</v>
      </c>
      <c r="I1759" s="20"/>
      <c r="J1759" s="20">
        <v>1.0</v>
      </c>
      <c r="K1759" s="20">
        <v>99.0</v>
      </c>
      <c r="L1759" s="20"/>
      <c r="M1759" s="20">
        <v>99.0</v>
      </c>
      <c r="N1759" s="5" t="s">
        <v>67</v>
      </c>
      <c r="O1759" s="20" t="b">
        <v>0</v>
      </c>
      <c r="P1759" s="20" t="s">
        <v>68</v>
      </c>
      <c r="Q1759" s="20" t="s">
        <v>69</v>
      </c>
      <c r="R1759" s="20" t="s">
        <v>3057</v>
      </c>
      <c r="T1759" s="20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</row>
    <row r="1760">
      <c r="A1760" s="15" t="s">
        <v>7748</v>
      </c>
      <c r="B1760" s="19" t="s">
        <v>3071</v>
      </c>
      <c r="C1760" s="20">
        <v>49991.0</v>
      </c>
      <c r="D1760" s="20" t="s">
        <v>3070</v>
      </c>
      <c r="E1760" s="20">
        <v>9.19492427301E11</v>
      </c>
      <c r="F1760" s="21">
        <v>18095.0</v>
      </c>
      <c r="G1760" s="20"/>
      <c r="H1760" s="20" t="s">
        <v>3055</v>
      </c>
      <c r="I1760" s="20"/>
      <c r="J1760" s="20">
        <v>1.0</v>
      </c>
      <c r="K1760" s="20">
        <v>99.0</v>
      </c>
      <c r="L1760" s="20"/>
      <c r="M1760" s="20">
        <v>99.0</v>
      </c>
      <c r="N1760" s="5" t="s">
        <v>67</v>
      </c>
      <c r="O1760" s="20" t="b">
        <v>0</v>
      </c>
      <c r="P1760" s="20" t="s">
        <v>68</v>
      </c>
      <c r="Q1760" s="20" t="s">
        <v>69</v>
      </c>
      <c r="R1760" s="20" t="s">
        <v>3057</v>
      </c>
      <c r="T1760" s="20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</row>
    <row r="1761">
      <c r="A1761" s="15" t="s">
        <v>7749</v>
      </c>
      <c r="B1761" s="19" t="s">
        <v>5415</v>
      </c>
      <c r="C1761" s="20">
        <v>50040.0</v>
      </c>
      <c r="D1761" s="20" t="s">
        <v>5414</v>
      </c>
      <c r="E1761" s="20">
        <v>9.19538494409E11</v>
      </c>
      <c r="F1761" s="21">
        <v>18096.0</v>
      </c>
      <c r="G1761" s="20"/>
      <c r="H1761" s="20" t="s">
        <v>5400</v>
      </c>
      <c r="I1761" s="20"/>
      <c r="J1761" s="20">
        <v>1.0</v>
      </c>
      <c r="K1761" s="20">
        <v>99.0</v>
      </c>
      <c r="L1761" s="20"/>
      <c r="M1761" s="20">
        <v>99.0</v>
      </c>
      <c r="N1761" s="5" t="s">
        <v>67</v>
      </c>
      <c r="O1761" s="20" t="b">
        <v>0</v>
      </c>
      <c r="P1761" s="20" t="s">
        <v>151</v>
      </c>
      <c r="Q1761" s="20" t="s">
        <v>69</v>
      </c>
      <c r="R1761" s="20" t="s">
        <v>5402</v>
      </c>
      <c r="T1761" s="20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</row>
    <row r="1762">
      <c r="A1762" s="15" t="s">
        <v>7751</v>
      </c>
      <c r="B1762" s="19" t="s">
        <v>2603</v>
      </c>
      <c r="C1762" s="20">
        <v>50065.0</v>
      </c>
      <c r="D1762" s="20" t="s">
        <v>2602</v>
      </c>
      <c r="E1762" s="20">
        <v>9.18975595892E11</v>
      </c>
      <c r="F1762" s="21">
        <v>18097.0</v>
      </c>
      <c r="G1762" s="20"/>
      <c r="H1762" s="20" t="s">
        <v>2601</v>
      </c>
      <c r="I1762" s="20"/>
      <c r="J1762" s="20">
        <v>1.0</v>
      </c>
      <c r="K1762" s="20">
        <v>99.0</v>
      </c>
      <c r="L1762" s="20"/>
      <c r="M1762" s="20">
        <v>99.0</v>
      </c>
      <c r="N1762" s="5" t="s">
        <v>67</v>
      </c>
      <c r="O1762" s="20" t="b">
        <v>0</v>
      </c>
      <c r="P1762" s="20" t="s">
        <v>74</v>
      </c>
      <c r="Q1762" s="20" t="s">
        <v>69</v>
      </c>
      <c r="R1762" s="20" t="s">
        <v>2604</v>
      </c>
      <c r="T1762" s="20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</row>
    <row r="1763">
      <c r="A1763" s="15" t="s">
        <v>7759</v>
      </c>
      <c r="B1763" s="19" t="s">
        <v>4584</v>
      </c>
      <c r="C1763" s="20">
        <v>50031.0</v>
      </c>
      <c r="D1763" s="20" t="s">
        <v>4583</v>
      </c>
      <c r="E1763" s="20">
        <v>9.19844400981E11</v>
      </c>
      <c r="F1763" s="21">
        <v>18126.0</v>
      </c>
      <c r="G1763" s="20"/>
      <c r="H1763" s="20" t="s">
        <v>4561</v>
      </c>
      <c r="I1763" s="20"/>
      <c r="J1763" s="20">
        <v>1.0</v>
      </c>
      <c r="K1763" s="20">
        <v>99.0</v>
      </c>
      <c r="L1763" s="20"/>
      <c r="M1763" s="20">
        <v>99.0</v>
      </c>
      <c r="N1763" s="5" t="s">
        <v>67</v>
      </c>
      <c r="O1763" s="20" t="b">
        <v>0</v>
      </c>
      <c r="P1763" s="20" t="s">
        <v>74</v>
      </c>
      <c r="Q1763" s="20" t="s">
        <v>69</v>
      </c>
      <c r="R1763" s="20" t="s">
        <v>4563</v>
      </c>
      <c r="T1763" s="20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</row>
    <row r="1764">
      <c r="A1764" s="15" t="s">
        <v>7757</v>
      </c>
      <c r="B1764" s="19" t="s">
        <v>3073</v>
      </c>
      <c r="C1764" s="20">
        <v>49991.0</v>
      </c>
      <c r="D1764" s="20" t="s">
        <v>3072</v>
      </c>
      <c r="E1764" s="20">
        <v>9.19032873077E11</v>
      </c>
      <c r="F1764" s="21">
        <v>18098.0</v>
      </c>
      <c r="G1764" s="20"/>
      <c r="H1764" s="20" t="s">
        <v>3055</v>
      </c>
      <c r="I1764" s="20"/>
      <c r="J1764" s="20">
        <v>1.0</v>
      </c>
      <c r="K1764" s="20">
        <v>99.0</v>
      </c>
      <c r="L1764" s="20"/>
      <c r="M1764" s="20">
        <v>99.0</v>
      </c>
      <c r="N1764" s="5" t="s">
        <v>67</v>
      </c>
      <c r="O1764" s="20" t="b">
        <v>0</v>
      </c>
      <c r="P1764" s="20" t="s">
        <v>68</v>
      </c>
      <c r="Q1764" s="20" t="s">
        <v>69</v>
      </c>
      <c r="R1764" s="20" t="s">
        <v>3057</v>
      </c>
      <c r="T1764" s="20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</row>
    <row r="1765">
      <c r="A1765" s="15" t="s">
        <v>7875</v>
      </c>
      <c r="B1765" s="19" t="s">
        <v>6225</v>
      </c>
      <c r="C1765" s="20">
        <v>50046.0</v>
      </c>
      <c r="D1765" s="20" t="s">
        <v>6224</v>
      </c>
      <c r="E1765" s="20">
        <v>9.19552525348E11</v>
      </c>
      <c r="F1765" s="22" t="s">
        <v>12593</v>
      </c>
      <c r="G1765" s="20"/>
      <c r="H1765" s="20" t="s">
        <v>6217</v>
      </c>
      <c r="I1765" s="20"/>
      <c r="J1765" s="20">
        <v>1.0</v>
      </c>
      <c r="K1765" s="20">
        <v>99.0</v>
      </c>
      <c r="L1765" s="20"/>
      <c r="M1765" s="20">
        <v>99.0</v>
      </c>
      <c r="N1765" s="5" t="s">
        <v>67</v>
      </c>
      <c r="O1765" s="20" t="b">
        <v>0</v>
      </c>
      <c r="P1765" s="20" t="s">
        <v>74</v>
      </c>
      <c r="Q1765" s="20" t="s">
        <v>69</v>
      </c>
      <c r="R1765" s="20" t="s">
        <v>6219</v>
      </c>
      <c r="T1765" s="20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</row>
    <row r="1766">
      <c r="A1766" s="15" t="s">
        <v>7758</v>
      </c>
      <c r="B1766" s="19" t="s">
        <v>3396</v>
      </c>
      <c r="C1766" s="20">
        <v>50030.0</v>
      </c>
      <c r="D1766" s="20" t="s">
        <v>3395</v>
      </c>
      <c r="E1766" s="20">
        <v>9.19921834904E11</v>
      </c>
      <c r="F1766" s="21">
        <v>4528.0</v>
      </c>
      <c r="G1766" s="20"/>
      <c r="H1766" s="20" t="s">
        <v>3326</v>
      </c>
      <c r="I1766" s="20"/>
      <c r="J1766" s="20">
        <v>1.0</v>
      </c>
      <c r="K1766" s="20">
        <v>99.0</v>
      </c>
      <c r="L1766" s="20"/>
      <c r="M1766" s="20">
        <v>99.0</v>
      </c>
      <c r="N1766" s="5" t="s">
        <v>67</v>
      </c>
      <c r="O1766" s="20" t="b">
        <v>0</v>
      </c>
      <c r="P1766" s="20" t="s">
        <v>68</v>
      </c>
      <c r="Q1766" s="20" t="s">
        <v>69</v>
      </c>
      <c r="R1766" s="20" t="s">
        <v>3328</v>
      </c>
      <c r="T1766" s="20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</row>
    <row r="1767">
      <c r="A1767" s="15" t="s">
        <v>7766</v>
      </c>
      <c r="B1767" s="19" t="s">
        <v>5761</v>
      </c>
      <c r="C1767" s="20">
        <v>50033.0</v>
      </c>
      <c r="D1767" s="20" t="s">
        <v>5760</v>
      </c>
      <c r="E1767" s="20">
        <v>9.19600072984E11</v>
      </c>
      <c r="F1767" s="21">
        <v>18100.0</v>
      </c>
      <c r="G1767" s="20"/>
      <c r="H1767" s="20" t="s">
        <v>1727</v>
      </c>
      <c r="I1767" s="20"/>
      <c r="J1767" s="20">
        <v>1.0</v>
      </c>
      <c r="K1767" s="20">
        <v>99.0</v>
      </c>
      <c r="L1767" s="20"/>
      <c r="M1767" s="20">
        <v>99.0</v>
      </c>
      <c r="N1767" s="5" t="s">
        <v>67</v>
      </c>
      <c r="O1767" s="20" t="b">
        <v>0</v>
      </c>
      <c r="P1767" s="20" t="s">
        <v>68</v>
      </c>
      <c r="Q1767" s="20" t="s">
        <v>69</v>
      </c>
      <c r="R1767" s="20" t="s">
        <v>5731</v>
      </c>
      <c r="T1767" s="20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</row>
    <row r="1768">
      <c r="A1768" s="15" t="s">
        <v>7767</v>
      </c>
      <c r="B1768" s="19" t="s">
        <v>2950</v>
      </c>
      <c r="C1768" s="20">
        <v>50066.0</v>
      </c>
      <c r="D1768" s="20" t="s">
        <v>2949</v>
      </c>
      <c r="E1768" s="20">
        <v>9.19869403282E11</v>
      </c>
      <c r="F1768" s="21">
        <v>18116.0</v>
      </c>
      <c r="G1768" s="20"/>
      <c r="H1768" s="20" t="s">
        <v>2911</v>
      </c>
      <c r="I1768" s="20"/>
      <c r="J1768" s="20">
        <v>1.0</v>
      </c>
      <c r="K1768" s="20">
        <v>199.0</v>
      </c>
      <c r="L1768" s="20"/>
      <c r="M1768" s="20">
        <v>199.0</v>
      </c>
      <c r="N1768" s="5" t="s">
        <v>67</v>
      </c>
      <c r="O1768" s="20" t="b">
        <v>0</v>
      </c>
      <c r="P1768" s="20" t="s">
        <v>68</v>
      </c>
      <c r="Q1768" s="20" t="s">
        <v>69</v>
      </c>
      <c r="R1768" s="20" t="s">
        <v>2913</v>
      </c>
      <c r="T1768" s="20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</row>
    <row r="1769">
      <c r="A1769" s="15" t="s">
        <v>7877</v>
      </c>
      <c r="B1769" s="19" t="s">
        <v>5783</v>
      </c>
      <c r="C1769" s="20">
        <v>50033.0</v>
      </c>
      <c r="D1769" s="20" t="s">
        <v>5782</v>
      </c>
      <c r="E1769" s="20">
        <v>9.18932903881E11</v>
      </c>
      <c r="F1769" s="21">
        <v>18192.0</v>
      </c>
      <c r="G1769" s="20"/>
      <c r="H1769" s="20" t="s">
        <v>1727</v>
      </c>
      <c r="I1769" s="20"/>
      <c r="J1769" s="20">
        <v>1.0</v>
      </c>
      <c r="K1769" s="20">
        <v>99.0</v>
      </c>
      <c r="L1769" s="20"/>
      <c r="M1769" s="20">
        <v>99.0</v>
      </c>
      <c r="N1769" s="5" t="s">
        <v>67</v>
      </c>
      <c r="O1769" s="20" t="b">
        <v>0</v>
      </c>
      <c r="P1769" s="20" t="s">
        <v>68</v>
      </c>
      <c r="Q1769" s="20" t="s">
        <v>69</v>
      </c>
      <c r="R1769" s="20" t="s">
        <v>5731</v>
      </c>
      <c r="T1769" s="20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</row>
    <row r="1770">
      <c r="A1770" s="15" t="s">
        <v>7878</v>
      </c>
      <c r="B1770" s="19" t="s">
        <v>5139</v>
      </c>
      <c r="C1770" s="20">
        <v>49813.0</v>
      </c>
      <c r="D1770" s="20" t="s">
        <v>5138</v>
      </c>
      <c r="E1770" s="20">
        <v>9.19910203221E11</v>
      </c>
      <c r="F1770" s="21">
        <v>18194.0</v>
      </c>
      <c r="G1770" s="20"/>
      <c r="H1770" s="20" t="s">
        <v>5114</v>
      </c>
      <c r="I1770" s="20"/>
      <c r="J1770" s="20">
        <v>1.0</v>
      </c>
      <c r="K1770" s="20">
        <v>299.0</v>
      </c>
      <c r="L1770" s="20"/>
      <c r="M1770" s="20">
        <v>299.0</v>
      </c>
      <c r="N1770" s="5" t="s">
        <v>67</v>
      </c>
      <c r="O1770" s="20" t="b">
        <v>0</v>
      </c>
      <c r="P1770" s="20" t="s">
        <v>68</v>
      </c>
      <c r="Q1770" s="20" t="s">
        <v>69</v>
      </c>
      <c r="R1770" s="20" t="s">
        <v>5116</v>
      </c>
      <c r="T1770" s="20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</row>
    <row r="1771">
      <c r="A1771" s="15" t="s">
        <v>7879</v>
      </c>
      <c r="B1771" s="19" t="s">
        <v>2718</v>
      </c>
      <c r="C1771" s="20">
        <v>50015.0</v>
      </c>
      <c r="D1771" s="20" t="s">
        <v>2717</v>
      </c>
      <c r="E1771" s="20">
        <v>9.19966828276E11</v>
      </c>
      <c r="F1771" s="21">
        <v>18195.0</v>
      </c>
      <c r="G1771" s="20"/>
      <c r="H1771" s="20" t="s">
        <v>2702</v>
      </c>
      <c r="I1771" s="20"/>
      <c r="J1771" s="20">
        <v>1.0</v>
      </c>
      <c r="K1771" s="20">
        <v>149.0</v>
      </c>
      <c r="L1771" s="20"/>
      <c r="M1771" s="20">
        <v>149.0</v>
      </c>
      <c r="N1771" s="5" t="s">
        <v>67</v>
      </c>
      <c r="O1771" s="20" t="b">
        <v>0</v>
      </c>
      <c r="P1771" s="20" t="s">
        <v>68</v>
      </c>
      <c r="Q1771" s="20" t="s">
        <v>69</v>
      </c>
      <c r="R1771" s="20" t="s">
        <v>2704</v>
      </c>
      <c r="T1771" s="20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</row>
    <row r="1772">
      <c r="A1772" s="15" t="s">
        <v>7885</v>
      </c>
      <c r="B1772" s="19" t="s">
        <v>2794</v>
      </c>
      <c r="C1772" s="20">
        <v>50029.0</v>
      </c>
      <c r="D1772" s="20" t="s">
        <v>2793</v>
      </c>
      <c r="E1772" s="20">
        <v>9.18448861208E11</v>
      </c>
      <c r="F1772" s="21">
        <v>18197.0</v>
      </c>
      <c r="G1772" s="20"/>
      <c r="H1772" s="20" t="s">
        <v>2761</v>
      </c>
      <c r="I1772" s="20"/>
      <c r="J1772" s="20">
        <v>1.0</v>
      </c>
      <c r="K1772" s="20">
        <v>99.0</v>
      </c>
      <c r="L1772" s="20"/>
      <c r="M1772" s="20">
        <v>99.0</v>
      </c>
      <c r="N1772" s="5" t="s">
        <v>67</v>
      </c>
      <c r="O1772" s="20" t="b">
        <v>0</v>
      </c>
      <c r="P1772" s="20" t="s">
        <v>74</v>
      </c>
      <c r="Q1772" s="20" t="s">
        <v>69</v>
      </c>
      <c r="R1772" s="20" t="s">
        <v>2763</v>
      </c>
      <c r="T1772" s="20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</row>
    <row r="1773">
      <c r="A1773" s="15" t="s">
        <v>7886</v>
      </c>
      <c r="B1773" s="19" t="s">
        <v>5201</v>
      </c>
      <c r="C1773" s="20">
        <v>50022.0</v>
      </c>
      <c r="D1773" s="20" t="s">
        <v>5200</v>
      </c>
      <c r="E1773" s="20">
        <v>9.18806666109E11</v>
      </c>
      <c r="F1773" s="21">
        <v>18224.0</v>
      </c>
      <c r="G1773" s="20"/>
      <c r="H1773" s="20" t="s">
        <v>5181</v>
      </c>
      <c r="I1773" s="20"/>
      <c r="J1773" s="20">
        <v>6.0</v>
      </c>
      <c r="K1773" s="20">
        <v>349.0</v>
      </c>
      <c r="L1773" s="20"/>
      <c r="M1773" s="20">
        <v>349.0</v>
      </c>
      <c r="N1773" s="5" t="s">
        <v>67</v>
      </c>
      <c r="O1773" s="20" t="b">
        <v>0</v>
      </c>
      <c r="P1773" s="20" t="s">
        <v>68</v>
      </c>
      <c r="Q1773" s="20" t="s">
        <v>69</v>
      </c>
      <c r="R1773" s="20" t="s">
        <v>5183</v>
      </c>
      <c r="T1773" s="20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</row>
    <row r="1774">
      <c r="A1774" s="15" t="s">
        <v>7887</v>
      </c>
      <c r="B1774" s="19" t="s">
        <v>2483</v>
      </c>
      <c r="C1774" s="20">
        <v>49997.0</v>
      </c>
      <c r="D1774" s="20" t="s">
        <v>2482</v>
      </c>
      <c r="E1774" s="20">
        <v>9.197394389E11</v>
      </c>
      <c r="F1774" s="21">
        <v>18199.0</v>
      </c>
      <c r="G1774" s="20"/>
      <c r="H1774" s="20" t="s">
        <v>2455</v>
      </c>
      <c r="I1774" s="20"/>
      <c r="J1774" s="20">
        <v>3.0</v>
      </c>
      <c r="K1774" s="20">
        <v>199.0</v>
      </c>
      <c r="L1774" s="20"/>
      <c r="M1774" s="20">
        <v>199.0</v>
      </c>
      <c r="N1774" s="5" t="s">
        <v>67</v>
      </c>
      <c r="O1774" s="20" t="b">
        <v>0</v>
      </c>
      <c r="P1774" s="20" t="s">
        <v>68</v>
      </c>
      <c r="Q1774" s="20" t="s">
        <v>69</v>
      </c>
      <c r="R1774" s="20" t="s">
        <v>2457</v>
      </c>
      <c r="T1774" s="20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</row>
    <row r="1775">
      <c r="A1775" s="15" t="s">
        <v>7770</v>
      </c>
      <c r="B1775" s="19" t="s">
        <v>3075</v>
      </c>
      <c r="C1775" s="20">
        <v>49991.0</v>
      </c>
      <c r="D1775" s="20" t="s">
        <v>3074</v>
      </c>
      <c r="E1775" s="20">
        <v>9.19121776076E11</v>
      </c>
      <c r="F1775" s="21">
        <v>0.0</v>
      </c>
      <c r="G1775" s="20"/>
      <c r="H1775" s="20" t="s">
        <v>3055</v>
      </c>
      <c r="I1775" s="20"/>
      <c r="J1775" s="20">
        <v>1.0</v>
      </c>
      <c r="K1775" s="20">
        <v>99.0</v>
      </c>
      <c r="L1775" s="20"/>
      <c r="M1775" s="20">
        <v>99.0</v>
      </c>
      <c r="N1775" s="5" t="s">
        <v>67</v>
      </c>
      <c r="O1775" s="20" t="b">
        <v>0</v>
      </c>
      <c r="P1775" s="20" t="s">
        <v>151</v>
      </c>
      <c r="Q1775" s="20" t="s">
        <v>69</v>
      </c>
      <c r="R1775" s="20" t="s">
        <v>3057</v>
      </c>
      <c r="T1775" s="20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</row>
    <row r="1776">
      <c r="A1776" s="15" t="s">
        <v>7774</v>
      </c>
      <c r="B1776" s="19" t="s">
        <v>4893</v>
      </c>
      <c r="C1776" s="20">
        <v>49951.0</v>
      </c>
      <c r="D1776" s="20" t="s">
        <v>4892</v>
      </c>
      <c r="E1776" s="20">
        <v>9.19987777281E11</v>
      </c>
      <c r="F1776" s="21">
        <v>8703.0</v>
      </c>
      <c r="G1776" s="20"/>
      <c r="H1776" s="20" t="s">
        <v>4887</v>
      </c>
      <c r="I1776" s="20"/>
      <c r="J1776" s="20">
        <v>3.0</v>
      </c>
      <c r="K1776" s="20">
        <v>199.0</v>
      </c>
      <c r="L1776" s="20"/>
      <c r="M1776" s="20">
        <v>199.0</v>
      </c>
      <c r="N1776" s="5" t="s">
        <v>67</v>
      </c>
      <c r="O1776" s="20" t="b">
        <v>0</v>
      </c>
      <c r="P1776" s="20" t="s">
        <v>68</v>
      </c>
      <c r="Q1776" s="20" t="s">
        <v>69</v>
      </c>
      <c r="R1776" s="20" t="s">
        <v>4889</v>
      </c>
      <c r="T1776" s="20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</row>
    <row r="1777">
      <c r="A1777" s="15" t="s">
        <v>7773</v>
      </c>
      <c r="B1777" s="19" t="s">
        <v>5345</v>
      </c>
      <c r="C1777" s="20">
        <v>49995.0</v>
      </c>
      <c r="D1777" s="20" t="s">
        <v>2111</v>
      </c>
      <c r="E1777" s="20">
        <v>9.19606619902E11</v>
      </c>
      <c r="F1777" s="21">
        <v>17313.0</v>
      </c>
      <c r="G1777" s="20"/>
      <c r="H1777" s="20" t="s">
        <v>5321</v>
      </c>
      <c r="I1777" s="20"/>
      <c r="J1777" s="20">
        <v>1.0</v>
      </c>
      <c r="K1777" s="20">
        <v>99.0</v>
      </c>
      <c r="L1777" s="20"/>
      <c r="M1777" s="20">
        <v>99.0</v>
      </c>
      <c r="N1777" s="5" t="s">
        <v>67</v>
      </c>
      <c r="O1777" s="20" t="b">
        <v>0</v>
      </c>
      <c r="P1777" s="20" t="s">
        <v>68</v>
      </c>
      <c r="Q1777" s="20" t="s">
        <v>69</v>
      </c>
      <c r="R1777" s="20" t="s">
        <v>5323</v>
      </c>
      <c r="T1777" s="20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</row>
    <row r="1778">
      <c r="A1778" s="15" t="s">
        <v>7775</v>
      </c>
      <c r="B1778" s="19" t="s">
        <v>4895</v>
      </c>
      <c r="C1778" s="20">
        <v>49951.0</v>
      </c>
      <c r="D1778" s="20" t="s">
        <v>4894</v>
      </c>
      <c r="E1778" s="20">
        <v>9.17669668688E11</v>
      </c>
      <c r="F1778" s="21">
        <v>18102.0</v>
      </c>
      <c r="G1778" s="20"/>
      <c r="H1778" s="20" t="s">
        <v>4887</v>
      </c>
      <c r="I1778" s="20"/>
      <c r="J1778" s="20">
        <v>1.0</v>
      </c>
      <c r="K1778" s="20">
        <v>99.0</v>
      </c>
      <c r="L1778" s="20"/>
      <c r="M1778" s="20">
        <v>99.0</v>
      </c>
      <c r="N1778" s="5" t="s">
        <v>67</v>
      </c>
      <c r="O1778" s="20" t="b">
        <v>0</v>
      </c>
      <c r="P1778" s="20" t="s">
        <v>74</v>
      </c>
      <c r="Q1778" s="20" t="s">
        <v>69</v>
      </c>
      <c r="R1778" s="20" t="s">
        <v>4889</v>
      </c>
      <c r="T1778" s="20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</row>
    <row r="1779">
      <c r="A1779" s="15" t="s">
        <v>7888</v>
      </c>
      <c r="B1779" s="19" t="s">
        <v>5855</v>
      </c>
      <c r="C1779" s="20">
        <v>50054.0</v>
      </c>
      <c r="D1779" s="20" t="s">
        <v>5854</v>
      </c>
      <c r="E1779" s="20">
        <v>9.18897543735E11</v>
      </c>
      <c r="F1779" s="21">
        <v>18204.0</v>
      </c>
      <c r="G1779" s="20"/>
      <c r="H1779" s="20" t="s">
        <v>5822</v>
      </c>
      <c r="I1779" s="20"/>
      <c r="J1779" s="20">
        <v>1.0</v>
      </c>
      <c r="K1779" s="20">
        <v>99.0</v>
      </c>
      <c r="L1779" s="20"/>
      <c r="M1779" s="20">
        <v>99.0</v>
      </c>
      <c r="N1779" s="5" t="s">
        <v>67</v>
      </c>
      <c r="O1779" s="20" t="b">
        <v>0</v>
      </c>
      <c r="P1779" s="20" t="s">
        <v>68</v>
      </c>
      <c r="Q1779" s="20" t="s">
        <v>69</v>
      </c>
      <c r="R1779" s="20" t="s">
        <v>5824</v>
      </c>
      <c r="T1779" s="20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</row>
    <row r="1780">
      <c r="A1780" s="15" t="s">
        <v>7889</v>
      </c>
      <c r="B1780" s="19" t="s">
        <v>5359</v>
      </c>
      <c r="C1780" s="20">
        <v>49995.0</v>
      </c>
      <c r="D1780" s="20" t="s">
        <v>5358</v>
      </c>
      <c r="E1780" s="20">
        <v>9.1994304195E11</v>
      </c>
      <c r="F1780" s="21">
        <v>18343.0</v>
      </c>
      <c r="G1780" s="20"/>
      <c r="H1780" s="20" t="s">
        <v>5321</v>
      </c>
      <c r="I1780" s="20"/>
      <c r="J1780" s="20">
        <v>1.0</v>
      </c>
      <c r="K1780" s="20">
        <v>99.0</v>
      </c>
      <c r="L1780" s="20"/>
      <c r="M1780" s="20">
        <v>99.0</v>
      </c>
      <c r="N1780" s="5" t="s">
        <v>67</v>
      </c>
      <c r="O1780" s="20" t="b">
        <v>0</v>
      </c>
      <c r="P1780" s="20" t="s">
        <v>74</v>
      </c>
      <c r="Q1780" s="20" t="s">
        <v>69</v>
      </c>
      <c r="R1780" s="20" t="s">
        <v>5323</v>
      </c>
      <c r="T1780" s="20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</row>
    <row r="1781">
      <c r="A1781" s="15" t="s">
        <v>7890</v>
      </c>
      <c r="B1781" s="19" t="s">
        <v>4646</v>
      </c>
      <c r="C1781" s="20">
        <v>49859.0</v>
      </c>
      <c r="D1781" s="20" t="s">
        <v>4645</v>
      </c>
      <c r="E1781" s="20">
        <v>9.17908490124E11</v>
      </c>
      <c r="F1781" s="21">
        <v>18203.0</v>
      </c>
      <c r="G1781" s="20"/>
      <c r="H1781" s="20" t="s">
        <v>1133</v>
      </c>
      <c r="I1781" s="20"/>
      <c r="J1781" s="20">
        <v>1.0</v>
      </c>
      <c r="K1781" s="20">
        <v>99.0</v>
      </c>
      <c r="L1781" s="20"/>
      <c r="M1781" s="20">
        <v>99.0</v>
      </c>
      <c r="N1781" s="5" t="s">
        <v>67</v>
      </c>
      <c r="O1781" s="20" t="b">
        <v>0</v>
      </c>
      <c r="P1781" s="20" t="s">
        <v>68</v>
      </c>
      <c r="Q1781" s="20" t="s">
        <v>69</v>
      </c>
      <c r="R1781" s="20" t="s">
        <v>4620</v>
      </c>
      <c r="T1781" s="20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</row>
    <row r="1782">
      <c r="A1782" s="15" t="s">
        <v>7776</v>
      </c>
      <c r="B1782" s="19" t="s">
        <v>6374</v>
      </c>
      <c r="C1782" s="20">
        <v>50043.0</v>
      </c>
      <c r="D1782" s="20" t="s">
        <v>6373</v>
      </c>
      <c r="E1782" s="20">
        <v>9.19818760906E11</v>
      </c>
      <c r="F1782" s="21">
        <v>18103.0</v>
      </c>
      <c r="G1782" s="20"/>
      <c r="H1782" s="20" t="s">
        <v>6367</v>
      </c>
      <c r="I1782" s="20"/>
      <c r="J1782" s="20">
        <v>1.0</v>
      </c>
      <c r="K1782" s="20">
        <v>99.0</v>
      </c>
      <c r="L1782" s="20"/>
      <c r="M1782" s="20">
        <v>99.0</v>
      </c>
      <c r="N1782" s="5" t="s">
        <v>67</v>
      </c>
      <c r="O1782" s="20" t="b">
        <v>0</v>
      </c>
      <c r="P1782" s="20" t="s">
        <v>68</v>
      </c>
      <c r="Q1782" s="20" t="s">
        <v>69</v>
      </c>
      <c r="R1782" s="20" t="s">
        <v>6369</v>
      </c>
      <c r="T1782" s="20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</row>
    <row r="1783">
      <c r="A1783" s="15" t="s">
        <v>7786</v>
      </c>
      <c r="B1783" s="19" t="s">
        <v>5423</v>
      </c>
      <c r="C1783" s="20">
        <v>50040.0</v>
      </c>
      <c r="D1783" s="20" t="s">
        <v>5422</v>
      </c>
      <c r="E1783" s="20">
        <v>9.18106251858E11</v>
      </c>
      <c r="F1783" s="21">
        <v>18106.0</v>
      </c>
      <c r="G1783" s="20"/>
      <c r="H1783" s="20" t="s">
        <v>5400</v>
      </c>
      <c r="I1783" s="20"/>
      <c r="J1783" s="20">
        <v>1.0</v>
      </c>
      <c r="K1783" s="20">
        <v>99.0</v>
      </c>
      <c r="L1783" s="20"/>
      <c r="M1783" s="20">
        <v>99.0</v>
      </c>
      <c r="N1783" s="5" t="s">
        <v>67</v>
      </c>
      <c r="O1783" s="20" t="b">
        <v>0</v>
      </c>
      <c r="P1783" s="20" t="s">
        <v>68</v>
      </c>
      <c r="Q1783" s="20" t="s">
        <v>69</v>
      </c>
      <c r="R1783" s="20" t="s">
        <v>5402</v>
      </c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</row>
    <row r="1784">
      <c r="A1784" s="15" t="s">
        <v>7777</v>
      </c>
      <c r="B1784" s="19" t="s">
        <v>3077</v>
      </c>
      <c r="C1784" s="20">
        <v>49991.0</v>
      </c>
      <c r="D1784" s="20" t="s">
        <v>3076</v>
      </c>
      <c r="E1784" s="20">
        <v>9.17004217876E11</v>
      </c>
      <c r="F1784" s="21">
        <v>18105.0</v>
      </c>
      <c r="G1784" s="20"/>
      <c r="H1784" s="20" t="s">
        <v>3055</v>
      </c>
      <c r="I1784" s="20"/>
      <c r="J1784" s="20">
        <v>1.0</v>
      </c>
      <c r="K1784" s="20">
        <v>99.0</v>
      </c>
      <c r="L1784" s="20"/>
      <c r="M1784" s="20">
        <v>99.0</v>
      </c>
      <c r="N1784" s="5" t="s">
        <v>67</v>
      </c>
      <c r="O1784" s="20" t="b">
        <v>0</v>
      </c>
      <c r="P1784" s="20" t="s">
        <v>68</v>
      </c>
      <c r="Q1784" s="20" t="s">
        <v>69</v>
      </c>
      <c r="R1784" s="20" t="s">
        <v>3057</v>
      </c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</row>
    <row r="1785">
      <c r="A1785" s="15" t="s">
        <v>7787</v>
      </c>
      <c r="B1785" s="19" t="s">
        <v>5773</v>
      </c>
      <c r="C1785" s="20">
        <v>50033.0</v>
      </c>
      <c r="D1785" s="20" t="s">
        <v>5772</v>
      </c>
      <c r="E1785" s="20">
        <v>9.16382080532E11</v>
      </c>
      <c r="F1785" s="21">
        <v>18128.0</v>
      </c>
      <c r="G1785" s="20"/>
      <c r="H1785" s="20" t="s">
        <v>1727</v>
      </c>
      <c r="I1785" s="20"/>
      <c r="J1785" s="20">
        <v>1.0</v>
      </c>
      <c r="K1785" s="20">
        <v>99.0</v>
      </c>
      <c r="L1785" s="20"/>
      <c r="M1785" s="20">
        <v>99.0</v>
      </c>
      <c r="N1785" s="5" t="s">
        <v>67</v>
      </c>
      <c r="O1785" s="20" t="b">
        <v>0</v>
      </c>
      <c r="P1785" s="20" t="s">
        <v>151</v>
      </c>
      <c r="Q1785" s="20" t="s">
        <v>69</v>
      </c>
      <c r="R1785" s="20" t="s">
        <v>5731</v>
      </c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</row>
    <row r="1786">
      <c r="A1786" s="15" t="s">
        <v>7779</v>
      </c>
      <c r="B1786" s="19" t="s">
        <v>2608</v>
      </c>
      <c r="C1786" s="20">
        <v>50065.0</v>
      </c>
      <c r="D1786" s="20" t="s">
        <v>2607</v>
      </c>
      <c r="E1786" s="20">
        <v>9.18130499381E11</v>
      </c>
      <c r="F1786" s="21">
        <v>18104.0</v>
      </c>
      <c r="G1786" s="20"/>
      <c r="H1786" s="20" t="s">
        <v>2601</v>
      </c>
      <c r="I1786" s="20"/>
      <c r="J1786" s="20">
        <v>6.0</v>
      </c>
      <c r="K1786" s="20">
        <v>349.0</v>
      </c>
      <c r="L1786" s="20"/>
      <c r="M1786" s="20">
        <v>349.0</v>
      </c>
      <c r="N1786" s="5" t="s">
        <v>67</v>
      </c>
      <c r="O1786" s="20" t="b">
        <v>0</v>
      </c>
      <c r="P1786" s="20" t="s">
        <v>68</v>
      </c>
      <c r="Q1786" s="20" t="s">
        <v>69</v>
      </c>
      <c r="R1786" s="20" t="s">
        <v>2604</v>
      </c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</row>
    <row r="1787">
      <c r="A1787" s="15" t="s">
        <v>7778</v>
      </c>
      <c r="B1787" s="19" t="s">
        <v>5963</v>
      </c>
      <c r="C1787" s="20">
        <v>50041.0</v>
      </c>
      <c r="D1787" s="20" t="s">
        <v>5962</v>
      </c>
      <c r="E1787" s="20">
        <v>9.17675978917E11</v>
      </c>
      <c r="F1787" s="21">
        <v>18228.0</v>
      </c>
      <c r="G1787" s="20"/>
      <c r="H1787" s="20" t="s">
        <v>5956</v>
      </c>
      <c r="I1787" s="20"/>
      <c r="J1787" s="20">
        <v>3.0</v>
      </c>
      <c r="K1787" s="20">
        <v>399.0</v>
      </c>
      <c r="L1787" s="20"/>
      <c r="M1787" s="20">
        <v>399.0</v>
      </c>
      <c r="N1787" s="5" t="s">
        <v>67</v>
      </c>
      <c r="O1787" s="20" t="b">
        <v>0</v>
      </c>
      <c r="P1787" s="20" t="s">
        <v>74</v>
      </c>
      <c r="Q1787" s="20" t="s">
        <v>69</v>
      </c>
      <c r="R1787" s="20" t="s">
        <v>5958</v>
      </c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</row>
    <row r="1788">
      <c r="A1788" s="15" t="s">
        <v>7891</v>
      </c>
      <c r="B1788" s="19" t="s">
        <v>5203</v>
      </c>
      <c r="C1788" s="20">
        <v>50022.0</v>
      </c>
      <c r="D1788" s="20" t="s">
        <v>5202</v>
      </c>
      <c r="E1788" s="20">
        <v>9.19444587152E11</v>
      </c>
      <c r="F1788" s="22" t="s">
        <v>12593</v>
      </c>
      <c r="G1788" s="20"/>
      <c r="H1788" s="20" t="s">
        <v>5181</v>
      </c>
      <c r="I1788" s="20"/>
      <c r="J1788" s="20">
        <v>3.0</v>
      </c>
      <c r="K1788" s="20">
        <v>199.0</v>
      </c>
      <c r="L1788" s="20"/>
      <c r="M1788" s="20">
        <v>199.0</v>
      </c>
      <c r="N1788" s="5" t="s">
        <v>67</v>
      </c>
      <c r="O1788" s="20" t="b">
        <v>0</v>
      </c>
      <c r="P1788" s="20" t="s">
        <v>68</v>
      </c>
      <c r="Q1788" s="20" t="s">
        <v>69</v>
      </c>
      <c r="R1788" s="20" t="s">
        <v>5183</v>
      </c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</row>
    <row r="1789">
      <c r="A1789" s="15" t="s">
        <v>7788</v>
      </c>
      <c r="B1789" s="19" t="s">
        <v>3392</v>
      </c>
      <c r="C1789" s="20">
        <v>50030.0</v>
      </c>
      <c r="D1789" s="20" t="s">
        <v>3391</v>
      </c>
      <c r="E1789" s="20">
        <v>9.18168592496E11</v>
      </c>
      <c r="F1789" s="21">
        <v>18107.0</v>
      </c>
      <c r="G1789" s="20"/>
      <c r="H1789" s="20" t="s">
        <v>3326</v>
      </c>
      <c r="I1789" s="20"/>
      <c r="J1789" s="20">
        <v>1.0</v>
      </c>
      <c r="K1789" s="20">
        <v>99.0</v>
      </c>
      <c r="L1789" s="20"/>
      <c r="M1789" s="20">
        <v>99.0</v>
      </c>
      <c r="N1789" s="5" t="s">
        <v>67</v>
      </c>
      <c r="O1789" s="20" t="b">
        <v>0</v>
      </c>
      <c r="P1789" s="20" t="s">
        <v>74</v>
      </c>
      <c r="Q1789" s="20" t="s">
        <v>69</v>
      </c>
      <c r="R1789" s="20" t="s">
        <v>3328</v>
      </c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</row>
    <row r="1790">
      <c r="A1790" s="15" t="s">
        <v>7893</v>
      </c>
      <c r="B1790" s="19" t="s">
        <v>2485</v>
      </c>
      <c r="C1790" s="20">
        <v>49997.0</v>
      </c>
      <c r="D1790" s="20" t="s">
        <v>2484</v>
      </c>
      <c r="E1790" s="20">
        <v>9.19818529598E11</v>
      </c>
      <c r="F1790" s="21">
        <v>18215.0</v>
      </c>
      <c r="G1790" s="20"/>
      <c r="H1790" s="20" t="s">
        <v>2455</v>
      </c>
      <c r="I1790" s="20"/>
      <c r="J1790" s="20">
        <v>3.0</v>
      </c>
      <c r="K1790" s="20">
        <v>199.0</v>
      </c>
      <c r="L1790" s="20"/>
      <c r="M1790" s="20">
        <v>199.0</v>
      </c>
      <c r="N1790" s="5" t="s">
        <v>67</v>
      </c>
      <c r="O1790" s="20" t="b">
        <v>0</v>
      </c>
      <c r="P1790" s="20" t="s">
        <v>74</v>
      </c>
      <c r="Q1790" s="20" t="s">
        <v>69</v>
      </c>
      <c r="R1790" s="20" t="s">
        <v>2457</v>
      </c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</row>
    <row r="1791">
      <c r="A1791" s="15" t="s">
        <v>7789</v>
      </c>
      <c r="B1791" s="19" t="s">
        <v>3394</v>
      </c>
      <c r="C1791" s="20">
        <v>50030.0</v>
      </c>
      <c r="D1791" s="20" t="s">
        <v>3393</v>
      </c>
      <c r="E1791" s="20">
        <v>9.19420147211E11</v>
      </c>
      <c r="F1791" s="21">
        <v>18108.0</v>
      </c>
      <c r="G1791" s="20"/>
      <c r="H1791" s="20" t="s">
        <v>3326</v>
      </c>
      <c r="I1791" s="20"/>
      <c r="J1791" s="20">
        <v>1.0</v>
      </c>
      <c r="K1791" s="20">
        <v>99.0</v>
      </c>
      <c r="L1791" s="20"/>
      <c r="M1791" s="20">
        <v>99.0</v>
      </c>
      <c r="N1791" s="5" t="s">
        <v>67</v>
      </c>
      <c r="O1791" s="20" t="b">
        <v>0</v>
      </c>
      <c r="P1791" s="20" t="s">
        <v>68</v>
      </c>
      <c r="Q1791" s="20" t="s">
        <v>69</v>
      </c>
      <c r="R1791" s="20" t="s">
        <v>3328</v>
      </c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</row>
    <row r="1792">
      <c r="A1792" s="15" t="s">
        <v>7897</v>
      </c>
      <c r="B1792" s="19" t="s">
        <v>5787</v>
      </c>
      <c r="C1792" s="20">
        <v>50033.0</v>
      </c>
      <c r="D1792" s="20" t="s">
        <v>5786</v>
      </c>
      <c r="E1792" s="20">
        <v>9.19160091366E11</v>
      </c>
      <c r="F1792" s="21">
        <v>18209.0</v>
      </c>
      <c r="G1792" s="20"/>
      <c r="H1792" s="20" t="s">
        <v>1727</v>
      </c>
      <c r="I1792" s="20"/>
      <c r="J1792" s="20">
        <v>1.0</v>
      </c>
      <c r="K1792" s="20">
        <v>99.0</v>
      </c>
      <c r="L1792" s="20"/>
      <c r="M1792" s="20">
        <v>99.0</v>
      </c>
      <c r="N1792" s="5" t="s">
        <v>67</v>
      </c>
      <c r="O1792" s="20" t="b">
        <v>0</v>
      </c>
      <c r="P1792" s="20" t="s">
        <v>68</v>
      </c>
      <c r="Q1792" s="20" t="s">
        <v>69</v>
      </c>
      <c r="R1792" s="20" t="s">
        <v>5731</v>
      </c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</row>
    <row r="1793">
      <c r="A1793" s="15" t="s">
        <v>7790</v>
      </c>
      <c r="B1793" s="19" t="s">
        <v>6191</v>
      </c>
      <c r="C1793" s="20">
        <v>49899.0</v>
      </c>
      <c r="D1793" s="20" t="s">
        <v>6190</v>
      </c>
      <c r="E1793" s="20">
        <v>9.19899327756E11</v>
      </c>
      <c r="F1793" s="21">
        <v>18109.0</v>
      </c>
      <c r="G1793" s="20"/>
      <c r="H1793" s="20" t="s">
        <v>1016</v>
      </c>
      <c r="I1793" s="20"/>
      <c r="J1793" s="20">
        <v>6.0</v>
      </c>
      <c r="K1793" s="20">
        <v>249.0</v>
      </c>
      <c r="L1793" s="20"/>
      <c r="M1793" s="20">
        <v>249.0</v>
      </c>
      <c r="N1793" s="5" t="s">
        <v>67</v>
      </c>
      <c r="O1793" s="20" t="b">
        <v>0</v>
      </c>
      <c r="P1793" s="20" t="s">
        <v>74</v>
      </c>
      <c r="Q1793" s="20" t="s">
        <v>69</v>
      </c>
      <c r="R1793" s="20" t="s">
        <v>6186</v>
      </c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</row>
    <row r="1794">
      <c r="A1794" s="15" t="s">
        <v>7896</v>
      </c>
      <c r="B1794" s="19" t="s">
        <v>6231</v>
      </c>
      <c r="C1794" s="20">
        <v>50046.0</v>
      </c>
      <c r="D1794" s="20" t="s">
        <v>6230</v>
      </c>
      <c r="E1794" s="20">
        <v>9.19945678119E11</v>
      </c>
      <c r="F1794" s="22" t="s">
        <v>12593</v>
      </c>
      <c r="G1794" s="20"/>
      <c r="H1794" s="20" t="s">
        <v>6217</v>
      </c>
      <c r="I1794" s="20"/>
      <c r="J1794" s="20">
        <v>1.0</v>
      </c>
      <c r="K1794" s="20">
        <v>99.0</v>
      </c>
      <c r="L1794" s="20"/>
      <c r="M1794" s="20">
        <v>99.0</v>
      </c>
      <c r="N1794" s="5" t="s">
        <v>67</v>
      </c>
      <c r="O1794" s="20" t="b">
        <v>0</v>
      </c>
      <c r="P1794" s="20" t="s">
        <v>68</v>
      </c>
      <c r="Q1794" s="20" t="s">
        <v>69</v>
      </c>
      <c r="R1794" s="20" t="s">
        <v>6219</v>
      </c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</row>
    <row r="1795">
      <c r="A1795" s="15" t="s">
        <v>7900</v>
      </c>
      <c r="B1795" s="19" t="s">
        <v>2982</v>
      </c>
      <c r="C1795" s="20">
        <v>50066.0</v>
      </c>
      <c r="D1795" s="20" t="s">
        <v>2981</v>
      </c>
      <c r="E1795" s="20">
        <v>9.19819784355E11</v>
      </c>
      <c r="F1795" s="21">
        <v>18229.0</v>
      </c>
      <c r="G1795" s="20"/>
      <c r="H1795" s="20" t="s">
        <v>2911</v>
      </c>
      <c r="I1795" s="20"/>
      <c r="J1795" s="20">
        <v>6.0</v>
      </c>
      <c r="K1795" s="20">
        <v>599.0</v>
      </c>
      <c r="L1795" s="20"/>
      <c r="M1795" s="20">
        <v>599.0</v>
      </c>
      <c r="N1795" s="5" t="s">
        <v>67</v>
      </c>
      <c r="O1795" s="20" t="b">
        <v>0</v>
      </c>
      <c r="P1795" s="20" t="s">
        <v>97</v>
      </c>
      <c r="Q1795" s="20" t="s">
        <v>69</v>
      </c>
      <c r="R1795" s="20" t="s">
        <v>2913</v>
      </c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</row>
    <row r="1796">
      <c r="A1796" s="15" t="s">
        <v>7902</v>
      </c>
      <c r="B1796" s="19" t="s">
        <v>4807</v>
      </c>
      <c r="C1796" s="20">
        <v>49996.0</v>
      </c>
      <c r="D1796" s="20" t="s">
        <v>4806</v>
      </c>
      <c r="E1796" s="20">
        <v>9.17405871754E11</v>
      </c>
      <c r="F1796" s="21">
        <v>18216.0</v>
      </c>
      <c r="G1796" s="20"/>
      <c r="H1796" s="20" t="s">
        <v>4796</v>
      </c>
      <c r="I1796" s="20"/>
      <c r="J1796" s="20">
        <v>1.0</v>
      </c>
      <c r="K1796" s="20">
        <v>99.0</v>
      </c>
      <c r="L1796" s="20"/>
      <c r="M1796" s="20">
        <v>99.0</v>
      </c>
      <c r="N1796" s="5" t="s">
        <v>67</v>
      </c>
      <c r="O1796" s="20" t="b">
        <v>0</v>
      </c>
      <c r="P1796" s="20" t="s">
        <v>68</v>
      </c>
      <c r="Q1796" s="20" t="s">
        <v>69</v>
      </c>
      <c r="R1796" s="20" t="s">
        <v>4799</v>
      </c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</row>
    <row r="1797">
      <c r="A1797" s="15" t="s">
        <v>7901</v>
      </c>
      <c r="B1797" s="19" t="s">
        <v>4590</v>
      </c>
      <c r="C1797" s="20">
        <v>50031.0</v>
      </c>
      <c r="D1797" s="20" t="s">
        <v>4589</v>
      </c>
      <c r="E1797" s="20">
        <v>9.19742818903E11</v>
      </c>
      <c r="F1797" s="21">
        <v>18281.0</v>
      </c>
      <c r="G1797" s="20"/>
      <c r="H1797" s="20" t="s">
        <v>4561</v>
      </c>
      <c r="I1797" s="20"/>
      <c r="J1797" s="20">
        <v>1.0</v>
      </c>
      <c r="K1797" s="20">
        <v>99.0</v>
      </c>
      <c r="L1797" s="20"/>
      <c r="M1797" s="20">
        <v>99.0</v>
      </c>
      <c r="N1797" s="5" t="s">
        <v>67</v>
      </c>
      <c r="O1797" s="20" t="b">
        <v>0</v>
      </c>
      <c r="P1797" s="20" t="s">
        <v>68</v>
      </c>
      <c r="Q1797" s="20" t="s">
        <v>69</v>
      </c>
      <c r="R1797" s="20" t="s">
        <v>4563</v>
      </c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</row>
    <row r="1798">
      <c r="A1798" s="15" t="s">
        <v>7793</v>
      </c>
      <c r="B1798" s="19" t="s">
        <v>4352</v>
      </c>
      <c r="C1798" s="20">
        <v>50039.0</v>
      </c>
      <c r="D1798" s="20" t="s">
        <v>4351</v>
      </c>
      <c r="E1798" s="20">
        <v>9.198449974E11</v>
      </c>
      <c r="F1798" s="21">
        <v>0.0</v>
      </c>
      <c r="G1798" s="20"/>
      <c r="H1798" s="20" t="s">
        <v>4341</v>
      </c>
      <c r="I1798" s="20"/>
      <c r="J1798" s="20">
        <v>6.0</v>
      </c>
      <c r="K1798" s="20">
        <v>349.0</v>
      </c>
      <c r="L1798" s="20"/>
      <c r="M1798" s="20">
        <v>349.0</v>
      </c>
      <c r="N1798" s="5" t="s">
        <v>67</v>
      </c>
      <c r="O1798" s="20" t="b">
        <v>0</v>
      </c>
      <c r="P1798" s="20" t="s">
        <v>68</v>
      </c>
      <c r="Q1798" s="20" t="s">
        <v>69</v>
      </c>
      <c r="R1798" s="20" t="s">
        <v>4343</v>
      </c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</row>
    <row r="1799">
      <c r="A1799" s="15" t="s">
        <v>7910</v>
      </c>
      <c r="B1799" s="19" t="s">
        <v>6523</v>
      </c>
      <c r="C1799" s="20">
        <v>50073.0</v>
      </c>
      <c r="D1799" s="20" t="s">
        <v>6522</v>
      </c>
      <c r="E1799" s="20">
        <v>9.1981143766E11</v>
      </c>
      <c r="F1799" s="21">
        <v>18934.0</v>
      </c>
      <c r="G1799" s="20"/>
      <c r="H1799" s="20" t="s">
        <v>6466</v>
      </c>
      <c r="I1799" s="20"/>
      <c r="J1799" s="20">
        <v>1.0</v>
      </c>
      <c r="K1799" s="20">
        <v>599.0</v>
      </c>
      <c r="L1799" s="20"/>
      <c r="M1799" s="20">
        <v>599.0</v>
      </c>
      <c r="N1799" s="5" t="s">
        <v>67</v>
      </c>
      <c r="O1799" s="20" t="b">
        <v>0</v>
      </c>
      <c r="P1799" s="20" t="s">
        <v>97</v>
      </c>
      <c r="Q1799" s="20" t="s">
        <v>69</v>
      </c>
      <c r="R1799" s="20" t="s">
        <v>6497</v>
      </c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</row>
    <row r="1800">
      <c r="A1800" s="15" t="s">
        <v>7906</v>
      </c>
      <c r="B1800" s="19" t="s">
        <v>5775</v>
      </c>
      <c r="C1800" s="20">
        <v>50033.0</v>
      </c>
      <c r="D1800" s="20" t="s">
        <v>5774</v>
      </c>
      <c r="E1800" s="20">
        <v>9.19585863236E11</v>
      </c>
      <c r="F1800" s="21">
        <v>18213.0</v>
      </c>
      <c r="G1800" s="20"/>
      <c r="H1800" s="20" t="s">
        <v>1727</v>
      </c>
      <c r="I1800" s="20"/>
      <c r="J1800" s="20">
        <v>3.0</v>
      </c>
      <c r="K1800" s="20">
        <v>199.0</v>
      </c>
      <c r="L1800" s="20"/>
      <c r="M1800" s="20">
        <v>199.0</v>
      </c>
      <c r="N1800" s="5" t="s">
        <v>67</v>
      </c>
      <c r="O1800" s="20" t="b">
        <v>0</v>
      </c>
      <c r="P1800" s="20" t="s">
        <v>68</v>
      </c>
      <c r="Q1800" s="20" t="s">
        <v>69</v>
      </c>
      <c r="R1800" s="20" t="s">
        <v>5731</v>
      </c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</row>
    <row r="1801">
      <c r="A1801" s="15" t="s">
        <v>7907</v>
      </c>
      <c r="B1801" s="19" t="s">
        <v>2612</v>
      </c>
      <c r="C1801" s="20">
        <v>50065.0</v>
      </c>
      <c r="D1801" s="20" t="s">
        <v>2611</v>
      </c>
      <c r="E1801" s="20">
        <v>9.18101831766E11</v>
      </c>
      <c r="F1801" s="21">
        <v>18214.0</v>
      </c>
      <c r="G1801" s="20"/>
      <c r="H1801" s="20" t="s">
        <v>2601</v>
      </c>
      <c r="I1801" s="20"/>
      <c r="J1801" s="20">
        <v>3.0</v>
      </c>
      <c r="K1801" s="20">
        <v>199.0</v>
      </c>
      <c r="L1801" s="20"/>
      <c r="M1801" s="20">
        <v>199.0</v>
      </c>
      <c r="N1801" s="5" t="s">
        <v>67</v>
      </c>
      <c r="O1801" s="20" t="b">
        <v>0</v>
      </c>
      <c r="P1801" s="20" t="s">
        <v>68</v>
      </c>
      <c r="Q1801" s="20" t="s">
        <v>69</v>
      </c>
      <c r="R1801" s="20" t="s">
        <v>2604</v>
      </c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</row>
    <row r="1802">
      <c r="A1802" s="15" t="s">
        <v>7911</v>
      </c>
      <c r="B1802" s="19" t="s">
        <v>6266</v>
      </c>
      <c r="C1802" s="20">
        <v>49998.0</v>
      </c>
      <c r="D1802" s="20" t="s">
        <v>6265</v>
      </c>
      <c r="E1802" s="20">
        <v>9.17645063008E11</v>
      </c>
      <c r="F1802" s="21">
        <v>18223.0</v>
      </c>
      <c r="G1802" s="20"/>
      <c r="H1802" s="20" t="s">
        <v>6250</v>
      </c>
      <c r="I1802" s="20"/>
      <c r="J1802" s="20">
        <v>1.0</v>
      </c>
      <c r="K1802" s="20">
        <v>99.0</v>
      </c>
      <c r="L1802" s="20"/>
      <c r="M1802" s="20">
        <v>99.0</v>
      </c>
      <c r="N1802" s="5" t="s">
        <v>67</v>
      </c>
      <c r="O1802" s="20" t="b">
        <v>0</v>
      </c>
      <c r="P1802" s="20" t="s">
        <v>74</v>
      </c>
      <c r="Q1802" s="20" t="s">
        <v>69</v>
      </c>
      <c r="R1802" s="20" t="s">
        <v>6252</v>
      </c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</row>
    <row r="1803">
      <c r="A1803" s="15" t="s">
        <v>7912</v>
      </c>
      <c r="B1803" s="19" t="s">
        <v>2614</v>
      </c>
      <c r="C1803" s="20">
        <v>50065.0</v>
      </c>
      <c r="D1803" s="20" t="s">
        <v>2613</v>
      </c>
      <c r="E1803" s="20">
        <v>9.18055101999E11</v>
      </c>
      <c r="F1803" s="21">
        <v>18217.0</v>
      </c>
      <c r="G1803" s="20"/>
      <c r="H1803" s="20" t="s">
        <v>2601</v>
      </c>
      <c r="I1803" s="20"/>
      <c r="J1803" s="20">
        <v>6.0</v>
      </c>
      <c r="K1803" s="20">
        <v>349.0</v>
      </c>
      <c r="L1803" s="20"/>
      <c r="M1803" s="20">
        <v>349.0</v>
      </c>
      <c r="N1803" s="5" t="s">
        <v>67</v>
      </c>
      <c r="O1803" s="20" t="b">
        <v>0</v>
      </c>
      <c r="P1803" s="20" t="s">
        <v>68</v>
      </c>
      <c r="Q1803" s="20" t="s">
        <v>69</v>
      </c>
      <c r="R1803" s="20" t="s">
        <v>2604</v>
      </c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</row>
    <row r="1804">
      <c r="A1804" s="15" t="s">
        <v>7915</v>
      </c>
      <c r="B1804" s="19" t="s">
        <v>2790</v>
      </c>
      <c r="C1804" s="20">
        <v>50029.0</v>
      </c>
      <c r="D1804" s="20" t="s">
        <v>2789</v>
      </c>
      <c r="E1804" s="20">
        <v>9.19884384943E11</v>
      </c>
      <c r="F1804" s="21">
        <v>0.0</v>
      </c>
      <c r="G1804" s="20"/>
      <c r="H1804" s="20" t="s">
        <v>2761</v>
      </c>
      <c r="I1804" s="20"/>
      <c r="J1804" s="20">
        <v>1.0</v>
      </c>
      <c r="K1804" s="20">
        <v>99.0</v>
      </c>
      <c r="L1804" s="20"/>
      <c r="M1804" s="20">
        <v>99.0</v>
      </c>
      <c r="N1804" s="5" t="s">
        <v>67</v>
      </c>
      <c r="O1804" s="20" t="b">
        <v>0</v>
      </c>
      <c r="P1804" s="20" t="s">
        <v>68</v>
      </c>
      <c r="Q1804" s="20" t="s">
        <v>69</v>
      </c>
      <c r="R1804" s="20" t="s">
        <v>2763</v>
      </c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</row>
    <row r="1805">
      <c r="A1805" s="15" t="s">
        <v>7916</v>
      </c>
      <c r="B1805" s="19" t="s">
        <v>4642</v>
      </c>
      <c r="C1805" s="20">
        <v>49859.0</v>
      </c>
      <c r="D1805" s="20" t="s">
        <v>4641</v>
      </c>
      <c r="E1805" s="20">
        <v>9.19941040811E11</v>
      </c>
      <c r="F1805" s="22" t="s">
        <v>12593</v>
      </c>
      <c r="G1805" s="20"/>
      <c r="H1805" s="20" t="s">
        <v>1133</v>
      </c>
      <c r="I1805" s="20"/>
      <c r="J1805" s="20">
        <v>1.0</v>
      </c>
      <c r="K1805" s="20">
        <v>99.0</v>
      </c>
      <c r="L1805" s="20"/>
      <c r="M1805" s="20">
        <v>99.0</v>
      </c>
      <c r="N1805" s="5" t="s">
        <v>67</v>
      </c>
      <c r="O1805" s="20" t="b">
        <v>0</v>
      </c>
      <c r="P1805" s="20" t="s">
        <v>68</v>
      </c>
      <c r="Q1805" s="20" t="s">
        <v>69</v>
      </c>
      <c r="R1805" s="20" t="s">
        <v>4620</v>
      </c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</row>
    <row r="1806">
      <c r="A1806" s="15" t="s">
        <v>7917</v>
      </c>
      <c r="B1806" s="19" t="s">
        <v>5777</v>
      </c>
      <c r="C1806" s="20">
        <v>50033.0</v>
      </c>
      <c r="D1806" s="20" t="s">
        <v>5776</v>
      </c>
      <c r="E1806" s="20">
        <v>9.18499888338E11</v>
      </c>
      <c r="F1806" s="21">
        <v>18219.0</v>
      </c>
      <c r="G1806" s="20"/>
      <c r="H1806" s="20" t="s">
        <v>1727</v>
      </c>
      <c r="I1806" s="20"/>
      <c r="J1806" s="20">
        <v>1.0</v>
      </c>
      <c r="K1806" s="20">
        <v>99.0</v>
      </c>
      <c r="L1806" s="20"/>
      <c r="M1806" s="20">
        <v>99.0</v>
      </c>
      <c r="N1806" s="5" t="s">
        <v>67</v>
      </c>
      <c r="O1806" s="20" t="b">
        <v>0</v>
      </c>
      <c r="P1806" s="20" t="s">
        <v>68</v>
      </c>
      <c r="Q1806" s="20" t="s">
        <v>69</v>
      </c>
      <c r="R1806" s="20" t="s">
        <v>5731</v>
      </c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</row>
    <row r="1807">
      <c r="A1807" s="15" t="s">
        <v>7924</v>
      </c>
      <c r="B1807" s="19" t="s">
        <v>5851</v>
      </c>
      <c r="C1807" s="20">
        <v>50054.0</v>
      </c>
      <c r="D1807" s="20" t="s">
        <v>5850</v>
      </c>
      <c r="E1807" s="20">
        <v>9.18806611556E11</v>
      </c>
      <c r="F1807" s="21">
        <v>18225.0</v>
      </c>
      <c r="G1807" s="20"/>
      <c r="H1807" s="20" t="s">
        <v>5822</v>
      </c>
      <c r="I1807" s="20"/>
      <c r="J1807" s="20">
        <v>6.0</v>
      </c>
      <c r="K1807" s="20">
        <v>349.0</v>
      </c>
      <c r="L1807" s="20"/>
      <c r="M1807" s="20">
        <v>349.0</v>
      </c>
      <c r="N1807" s="5" t="s">
        <v>67</v>
      </c>
      <c r="O1807" s="20" t="b">
        <v>0</v>
      </c>
      <c r="P1807" s="20" t="s">
        <v>68</v>
      </c>
      <c r="Q1807" s="20" t="s">
        <v>69</v>
      </c>
      <c r="R1807" s="20" t="s">
        <v>5824</v>
      </c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</row>
    <row r="1808">
      <c r="A1808" s="15" t="s">
        <v>7795</v>
      </c>
      <c r="B1808" s="19" t="s">
        <v>4803</v>
      </c>
      <c r="C1808" s="20">
        <v>49996.0</v>
      </c>
      <c r="D1808" s="20" t="s">
        <v>4802</v>
      </c>
      <c r="E1808" s="20">
        <v>9.19444690098E11</v>
      </c>
      <c r="F1808" s="21">
        <v>18125.0</v>
      </c>
      <c r="G1808" s="20"/>
      <c r="H1808" s="20" t="s">
        <v>4796</v>
      </c>
      <c r="I1808" s="20"/>
      <c r="J1808" s="20">
        <v>1.0</v>
      </c>
      <c r="K1808" s="20">
        <v>99.0</v>
      </c>
      <c r="L1808" s="20"/>
      <c r="M1808" s="20">
        <v>99.0</v>
      </c>
      <c r="N1808" s="5" t="s">
        <v>67</v>
      </c>
      <c r="O1808" s="20" t="b">
        <v>0</v>
      </c>
      <c r="P1808" s="20" t="s">
        <v>68</v>
      </c>
      <c r="Q1808" s="20" t="s">
        <v>69</v>
      </c>
      <c r="R1808" s="20" t="s">
        <v>4799</v>
      </c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</row>
    <row r="1809">
      <c r="A1809" s="15" t="s">
        <v>7919</v>
      </c>
      <c r="B1809" s="19" t="s">
        <v>3019</v>
      </c>
      <c r="C1809" s="20">
        <v>50020.0</v>
      </c>
      <c r="D1809" s="20" t="s">
        <v>3018</v>
      </c>
      <c r="E1809" s="20">
        <v>9.18341799731E11</v>
      </c>
      <c r="F1809" s="21">
        <v>0.0</v>
      </c>
      <c r="G1809" s="20"/>
      <c r="H1809" s="20" t="s">
        <v>3008</v>
      </c>
      <c r="I1809" s="20"/>
      <c r="J1809" s="20">
        <v>1.0</v>
      </c>
      <c r="K1809" s="20">
        <v>99.0</v>
      </c>
      <c r="L1809" s="20"/>
      <c r="M1809" s="20">
        <v>99.0</v>
      </c>
      <c r="N1809" s="5" t="s">
        <v>67</v>
      </c>
      <c r="O1809" s="20" t="b">
        <v>0</v>
      </c>
      <c r="P1809" s="20" t="s">
        <v>68</v>
      </c>
      <c r="Q1809" s="20" t="s">
        <v>69</v>
      </c>
      <c r="R1809" s="20" t="s">
        <v>3010</v>
      </c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</row>
    <row r="1810">
      <c r="A1810" s="15" t="s">
        <v>7799</v>
      </c>
      <c r="B1810" s="19" t="s">
        <v>5846</v>
      </c>
      <c r="C1810" s="20">
        <v>50054.0</v>
      </c>
      <c r="D1810" s="20" t="s">
        <v>5845</v>
      </c>
      <c r="E1810" s="20">
        <v>9.19987090322E11</v>
      </c>
      <c r="F1810" s="21">
        <v>18127.0</v>
      </c>
      <c r="G1810" s="20"/>
      <c r="H1810" s="20" t="s">
        <v>5822</v>
      </c>
      <c r="I1810" s="20"/>
      <c r="J1810" s="20">
        <v>1.0</v>
      </c>
      <c r="K1810" s="20">
        <v>99.0</v>
      </c>
      <c r="L1810" s="20"/>
      <c r="M1810" s="20">
        <v>99.0</v>
      </c>
      <c r="N1810" s="5" t="s">
        <v>67</v>
      </c>
      <c r="O1810" s="20" t="b">
        <v>0</v>
      </c>
      <c r="P1810" s="20" t="s">
        <v>74</v>
      </c>
      <c r="Q1810" s="20" t="s">
        <v>69</v>
      </c>
      <c r="R1810" s="20" t="s">
        <v>5824</v>
      </c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</row>
    <row r="1811">
      <c r="A1811" s="15" t="s">
        <v>7920</v>
      </c>
      <c r="B1811" s="19" t="s">
        <v>5779</v>
      </c>
      <c r="C1811" s="20">
        <v>50033.0</v>
      </c>
      <c r="D1811" s="20" t="s">
        <v>5778</v>
      </c>
      <c r="E1811" s="20">
        <v>9.18074303019E11</v>
      </c>
      <c r="F1811" s="21">
        <v>0.0</v>
      </c>
      <c r="G1811" s="20"/>
      <c r="H1811" s="20" t="s">
        <v>1727</v>
      </c>
      <c r="I1811" s="20"/>
      <c r="J1811" s="20">
        <v>1.0</v>
      </c>
      <c r="K1811" s="20">
        <v>99.0</v>
      </c>
      <c r="L1811" s="20"/>
      <c r="M1811" s="20">
        <v>99.0</v>
      </c>
      <c r="N1811" s="5" t="s">
        <v>67</v>
      </c>
      <c r="O1811" s="20" t="b">
        <v>0</v>
      </c>
      <c r="P1811" s="20" t="s">
        <v>68</v>
      </c>
      <c r="Q1811" s="20" t="s">
        <v>69</v>
      </c>
      <c r="R1811" s="20" t="s">
        <v>5731</v>
      </c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</row>
    <row r="1812">
      <c r="A1812" s="15" t="s">
        <v>7800</v>
      </c>
      <c r="B1812" s="19" t="s">
        <v>5714</v>
      </c>
      <c r="C1812" s="20">
        <v>50036.0</v>
      </c>
      <c r="D1812" s="20" t="s">
        <v>5713</v>
      </c>
      <c r="E1812" s="20">
        <v>9.1933821445E11</v>
      </c>
      <c r="F1812" s="21">
        <v>0.0</v>
      </c>
      <c r="G1812" s="20"/>
      <c r="H1812" s="20" t="s">
        <v>1320</v>
      </c>
      <c r="I1812" s="20"/>
      <c r="J1812" s="20">
        <v>1.0</v>
      </c>
      <c r="K1812" s="20">
        <v>199.0</v>
      </c>
      <c r="L1812" s="20"/>
      <c r="M1812" s="20">
        <v>199.0</v>
      </c>
      <c r="N1812" s="5" t="s">
        <v>67</v>
      </c>
      <c r="O1812" s="20" t="b">
        <v>0</v>
      </c>
      <c r="P1812" s="20" t="s">
        <v>68</v>
      </c>
      <c r="Q1812" s="20" t="s">
        <v>69</v>
      </c>
      <c r="R1812" s="20" t="s">
        <v>5709</v>
      </c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</row>
    <row r="1813">
      <c r="A1813" s="15" t="s">
        <v>7802</v>
      </c>
      <c r="B1813" s="19" t="s">
        <v>3388</v>
      </c>
      <c r="C1813" s="20">
        <v>50030.0</v>
      </c>
      <c r="D1813" s="20" t="s">
        <v>3387</v>
      </c>
      <c r="E1813" s="20">
        <v>9.19831992287E11</v>
      </c>
      <c r="F1813" s="22" t="s">
        <v>12593</v>
      </c>
      <c r="G1813" s="20"/>
      <c r="H1813" s="20" t="s">
        <v>3326</v>
      </c>
      <c r="I1813" s="20"/>
      <c r="J1813" s="20">
        <v>1.0</v>
      </c>
      <c r="K1813" s="20">
        <v>99.0</v>
      </c>
      <c r="L1813" s="20"/>
      <c r="M1813" s="20">
        <v>99.0</v>
      </c>
      <c r="N1813" s="5" t="s">
        <v>67</v>
      </c>
      <c r="O1813" s="20" t="b">
        <v>0</v>
      </c>
      <c r="P1813" s="20" t="s">
        <v>68</v>
      </c>
      <c r="Q1813" s="20" t="s">
        <v>69</v>
      </c>
      <c r="R1813" s="20" t="s">
        <v>3328</v>
      </c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</row>
    <row r="1814">
      <c r="A1814" s="15" t="s">
        <v>7801</v>
      </c>
      <c r="B1814" s="19" t="s">
        <v>6511</v>
      </c>
      <c r="C1814" s="20">
        <v>50073.0</v>
      </c>
      <c r="D1814" s="20" t="s">
        <v>6510</v>
      </c>
      <c r="E1814" s="20">
        <v>9.19500100504E11</v>
      </c>
      <c r="F1814" s="21">
        <v>18193.0</v>
      </c>
      <c r="G1814" s="20"/>
      <c r="H1814" s="20" t="s">
        <v>6466</v>
      </c>
      <c r="I1814" s="20"/>
      <c r="J1814" s="20">
        <v>1.0</v>
      </c>
      <c r="K1814" s="20">
        <v>599.0</v>
      </c>
      <c r="L1814" s="20"/>
      <c r="M1814" s="20">
        <v>599.0</v>
      </c>
      <c r="N1814" s="5" t="s">
        <v>67</v>
      </c>
      <c r="O1814" s="20" t="b">
        <v>0</v>
      </c>
      <c r="P1814" s="20" t="s">
        <v>68</v>
      </c>
      <c r="Q1814" s="20" t="s">
        <v>69</v>
      </c>
      <c r="R1814" s="20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</row>
    <row r="1815">
      <c r="A1815" s="15" t="s">
        <v>7803</v>
      </c>
      <c r="B1815" s="19" t="s">
        <v>3390</v>
      </c>
      <c r="C1815" s="20">
        <v>50030.0</v>
      </c>
      <c r="D1815" s="20" t="s">
        <v>3389</v>
      </c>
      <c r="E1815" s="20">
        <v>9.19737405025E11</v>
      </c>
      <c r="F1815" s="22" t="s">
        <v>12593</v>
      </c>
      <c r="G1815" s="20"/>
      <c r="H1815" s="20" t="s">
        <v>3326</v>
      </c>
      <c r="I1815" s="20"/>
      <c r="J1815" s="20">
        <v>6.0</v>
      </c>
      <c r="K1815" s="20">
        <v>349.0</v>
      </c>
      <c r="L1815" s="20"/>
      <c r="M1815" s="20">
        <v>349.0</v>
      </c>
      <c r="N1815" s="5" t="s">
        <v>67</v>
      </c>
      <c r="O1815" s="20" t="b">
        <v>0</v>
      </c>
      <c r="P1815" s="20" t="s">
        <v>68</v>
      </c>
      <c r="Q1815" s="20" t="s">
        <v>69</v>
      </c>
      <c r="R1815" s="20" t="s">
        <v>3328</v>
      </c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</row>
    <row r="1816">
      <c r="A1816" s="15" t="s">
        <v>7927</v>
      </c>
      <c r="B1816" s="19" t="s">
        <v>4805</v>
      </c>
      <c r="C1816" s="20">
        <v>49996.0</v>
      </c>
      <c r="D1816" s="20" t="s">
        <v>4804</v>
      </c>
      <c r="E1816" s="20">
        <v>9.19948774134E11</v>
      </c>
      <c r="F1816" s="21">
        <v>18226.0</v>
      </c>
      <c r="G1816" s="20"/>
      <c r="H1816" s="20" t="s">
        <v>4796</v>
      </c>
      <c r="I1816" s="20"/>
      <c r="J1816" s="20">
        <v>1.0</v>
      </c>
      <c r="K1816" s="20">
        <v>99.0</v>
      </c>
      <c r="L1816" s="20"/>
      <c r="M1816" s="20">
        <v>99.0</v>
      </c>
      <c r="N1816" s="5" t="s">
        <v>67</v>
      </c>
      <c r="O1816" s="20" t="b">
        <v>0</v>
      </c>
      <c r="P1816" s="20" t="s">
        <v>68</v>
      </c>
      <c r="Q1816" s="20" t="s">
        <v>69</v>
      </c>
      <c r="R1816" s="20" t="s">
        <v>4799</v>
      </c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</row>
    <row r="1817">
      <c r="A1817" s="15" t="s">
        <v>7804</v>
      </c>
      <c r="B1817" s="19" t="s">
        <v>5419</v>
      </c>
      <c r="C1817" s="20">
        <v>50040.0</v>
      </c>
      <c r="D1817" s="20" t="s">
        <v>5418</v>
      </c>
      <c r="E1817" s="20">
        <v>9.18399944838E11</v>
      </c>
      <c r="F1817" s="21">
        <v>18132.0</v>
      </c>
      <c r="G1817" s="20"/>
      <c r="H1817" s="20" t="s">
        <v>5400</v>
      </c>
      <c r="I1817" s="20"/>
      <c r="J1817" s="20">
        <v>6.0</v>
      </c>
      <c r="K1817" s="20">
        <v>349.0</v>
      </c>
      <c r="L1817" s="20"/>
      <c r="M1817" s="20">
        <v>349.0</v>
      </c>
      <c r="N1817" s="5" t="s">
        <v>67</v>
      </c>
      <c r="O1817" s="20" t="b">
        <v>0</v>
      </c>
      <c r="P1817" s="20" t="s">
        <v>68</v>
      </c>
      <c r="Q1817" s="20" t="s">
        <v>69</v>
      </c>
      <c r="R1817" s="20" t="s">
        <v>5402</v>
      </c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</row>
    <row r="1818">
      <c r="A1818" s="15" t="s">
        <v>7928</v>
      </c>
      <c r="B1818" s="19" t="s">
        <v>5853</v>
      </c>
      <c r="C1818" s="20">
        <v>50054.0</v>
      </c>
      <c r="D1818" s="20" t="s">
        <v>5852</v>
      </c>
      <c r="E1818" s="20">
        <v>9.17980951261E11</v>
      </c>
      <c r="F1818" s="21">
        <v>18227.0</v>
      </c>
      <c r="G1818" s="20"/>
      <c r="H1818" s="20" t="s">
        <v>5822</v>
      </c>
      <c r="I1818" s="20"/>
      <c r="J1818" s="20">
        <v>3.0</v>
      </c>
      <c r="K1818" s="20">
        <v>199.0</v>
      </c>
      <c r="L1818" s="20"/>
      <c r="M1818" s="20">
        <v>199.0</v>
      </c>
      <c r="N1818" s="5" t="s">
        <v>67</v>
      </c>
      <c r="O1818" s="20" t="b">
        <v>0</v>
      </c>
      <c r="P1818" s="20" t="s">
        <v>68</v>
      </c>
      <c r="Q1818" s="20" t="s">
        <v>69</v>
      </c>
      <c r="R1818" s="20" t="s">
        <v>5824</v>
      </c>
      <c r="T1818" s="20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</row>
    <row r="1819">
      <c r="A1819" s="15" t="s">
        <v>7932</v>
      </c>
      <c r="B1819" s="19" t="s">
        <v>2792</v>
      </c>
      <c r="C1819" s="20">
        <v>50029.0</v>
      </c>
      <c r="D1819" s="20" t="s">
        <v>2791</v>
      </c>
      <c r="E1819" s="20">
        <v>9.19840103528E11</v>
      </c>
      <c r="F1819" s="22" t="s">
        <v>12593</v>
      </c>
      <c r="G1819" s="20"/>
      <c r="H1819" s="20" t="s">
        <v>2761</v>
      </c>
      <c r="I1819" s="20"/>
      <c r="J1819" s="20">
        <v>6.0</v>
      </c>
      <c r="K1819" s="20">
        <v>349.0</v>
      </c>
      <c r="L1819" s="20"/>
      <c r="M1819" s="20">
        <v>349.0</v>
      </c>
      <c r="N1819" s="5" t="s">
        <v>67</v>
      </c>
      <c r="O1819" s="20" t="b">
        <v>0</v>
      </c>
      <c r="P1819" s="20" t="s">
        <v>68</v>
      </c>
      <c r="Q1819" s="20" t="s">
        <v>69</v>
      </c>
      <c r="R1819" s="20" t="s">
        <v>2763</v>
      </c>
      <c r="T1819" s="20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</row>
    <row r="1820">
      <c r="A1820" s="15" t="s">
        <v>7806</v>
      </c>
      <c r="B1820" s="19" t="s">
        <v>2606</v>
      </c>
      <c r="C1820" s="20">
        <v>50065.0</v>
      </c>
      <c r="D1820" s="20" t="s">
        <v>2605</v>
      </c>
      <c r="E1820" s="20">
        <v>9.1987323257E11</v>
      </c>
      <c r="F1820" s="21">
        <v>18155.0</v>
      </c>
      <c r="G1820" s="20"/>
      <c r="H1820" s="20" t="s">
        <v>2601</v>
      </c>
      <c r="I1820" s="20"/>
      <c r="J1820" s="20">
        <v>1.0</v>
      </c>
      <c r="K1820" s="20">
        <v>99.0</v>
      </c>
      <c r="L1820" s="20"/>
      <c r="M1820" s="20">
        <v>99.0</v>
      </c>
      <c r="N1820" s="5" t="s">
        <v>67</v>
      </c>
      <c r="O1820" s="20" t="b">
        <v>0</v>
      </c>
      <c r="P1820" s="20" t="s">
        <v>68</v>
      </c>
      <c r="Q1820" s="20" t="s">
        <v>69</v>
      </c>
      <c r="R1820" s="20" t="s">
        <v>2604</v>
      </c>
      <c r="T1820" s="20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</row>
    <row r="1821">
      <c r="A1821" s="15" t="s">
        <v>7935</v>
      </c>
      <c r="B1821" s="19" t="s">
        <v>4644</v>
      </c>
      <c r="C1821" s="20">
        <v>49859.0</v>
      </c>
      <c r="D1821" s="20" t="s">
        <v>1966</v>
      </c>
      <c r="E1821" s="20">
        <v>9.19873171765E11</v>
      </c>
      <c r="F1821" s="22" t="s">
        <v>12593</v>
      </c>
      <c r="G1821" s="20"/>
      <c r="H1821" s="20" t="s">
        <v>1133</v>
      </c>
      <c r="I1821" s="20"/>
      <c r="J1821" s="20">
        <v>1.0</v>
      </c>
      <c r="K1821" s="20">
        <v>99.0</v>
      </c>
      <c r="L1821" s="20"/>
      <c r="M1821" s="20">
        <v>99.0</v>
      </c>
      <c r="N1821" s="5" t="s">
        <v>67</v>
      </c>
      <c r="O1821" s="20" t="b">
        <v>0</v>
      </c>
      <c r="P1821" s="20" t="s">
        <v>68</v>
      </c>
      <c r="Q1821" s="20" t="s">
        <v>69</v>
      </c>
      <c r="R1821" s="20" t="s">
        <v>4620</v>
      </c>
      <c r="T1821" s="20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</row>
    <row r="1822">
      <c r="A1822" s="15" t="s">
        <v>7933</v>
      </c>
      <c r="B1822" s="19" t="s">
        <v>3021</v>
      </c>
      <c r="C1822" s="20">
        <v>50020.0</v>
      </c>
      <c r="D1822" s="20" t="s">
        <v>3020</v>
      </c>
      <c r="E1822" s="20">
        <v>9.19850880232E11</v>
      </c>
      <c r="F1822" s="22" t="s">
        <v>12593</v>
      </c>
      <c r="G1822" s="20"/>
      <c r="H1822" s="20" t="s">
        <v>3008</v>
      </c>
      <c r="I1822" s="20"/>
      <c r="J1822" s="20">
        <v>1.0</v>
      </c>
      <c r="K1822" s="20">
        <v>99.0</v>
      </c>
      <c r="L1822" s="20"/>
      <c r="M1822" s="20">
        <v>99.0</v>
      </c>
      <c r="N1822" s="5" t="s">
        <v>67</v>
      </c>
      <c r="O1822" s="20" t="b">
        <v>0</v>
      </c>
      <c r="P1822" s="20" t="s">
        <v>68</v>
      </c>
      <c r="Q1822" s="20" t="s">
        <v>69</v>
      </c>
      <c r="R1822" s="20" t="s">
        <v>3010</v>
      </c>
      <c r="T1822" s="20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</row>
    <row r="1823">
      <c r="A1823" s="15" t="s">
        <v>7807</v>
      </c>
      <c r="B1823" s="19" t="s">
        <v>5763</v>
      </c>
      <c r="C1823" s="20">
        <v>50033.0</v>
      </c>
      <c r="D1823" s="20" t="s">
        <v>5762</v>
      </c>
      <c r="E1823" s="20">
        <v>9.1720719798E11</v>
      </c>
      <c r="F1823" s="21">
        <v>18135.0</v>
      </c>
      <c r="G1823" s="20"/>
      <c r="H1823" s="20" t="s">
        <v>1727</v>
      </c>
      <c r="I1823" s="20"/>
      <c r="J1823" s="20">
        <v>6.0</v>
      </c>
      <c r="K1823" s="20">
        <v>349.0</v>
      </c>
      <c r="L1823" s="20"/>
      <c r="M1823" s="20">
        <v>349.0</v>
      </c>
      <c r="N1823" s="5" t="s">
        <v>67</v>
      </c>
      <c r="O1823" s="20" t="b">
        <v>0</v>
      </c>
      <c r="P1823" s="20" t="s">
        <v>68</v>
      </c>
      <c r="Q1823" s="20" t="s">
        <v>69</v>
      </c>
      <c r="R1823" s="20" t="s">
        <v>5731</v>
      </c>
      <c r="T1823" s="20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</row>
    <row r="1824">
      <c r="A1824" s="15" t="s">
        <v>7934</v>
      </c>
      <c r="B1824" s="19" t="s">
        <v>5353</v>
      </c>
      <c r="C1824" s="20">
        <v>49995.0</v>
      </c>
      <c r="D1824" s="20" t="s">
        <v>5352</v>
      </c>
      <c r="E1824" s="20">
        <v>9.17978906395E11</v>
      </c>
      <c r="F1824" s="21">
        <v>18234.0</v>
      </c>
      <c r="G1824" s="20"/>
      <c r="H1824" s="20" t="s">
        <v>5321</v>
      </c>
      <c r="I1824" s="20"/>
      <c r="J1824" s="20">
        <v>1.0</v>
      </c>
      <c r="K1824" s="20">
        <v>99.0</v>
      </c>
      <c r="L1824" s="20"/>
      <c r="M1824" s="20">
        <v>99.0</v>
      </c>
      <c r="N1824" s="5" t="s">
        <v>67</v>
      </c>
      <c r="O1824" s="20" t="b">
        <v>0</v>
      </c>
      <c r="P1824" s="20" t="s">
        <v>68</v>
      </c>
      <c r="Q1824" s="20" t="s">
        <v>69</v>
      </c>
      <c r="R1824" s="20" t="s">
        <v>5323</v>
      </c>
      <c r="T1824" s="20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</row>
    <row r="1825">
      <c r="A1825" s="15" t="s">
        <v>7808</v>
      </c>
      <c r="B1825" s="19" t="s">
        <v>6207</v>
      </c>
      <c r="C1825" s="20">
        <v>49835.0</v>
      </c>
      <c r="D1825" s="20" t="s">
        <v>6206</v>
      </c>
      <c r="E1825" s="20">
        <v>9.19972039931E11</v>
      </c>
      <c r="F1825" s="21">
        <v>18136.0</v>
      </c>
      <c r="G1825" s="20"/>
      <c r="H1825" s="20" t="s">
        <v>6198</v>
      </c>
      <c r="I1825" s="20"/>
      <c r="J1825" s="20">
        <v>3.0</v>
      </c>
      <c r="K1825" s="20">
        <v>99.0</v>
      </c>
      <c r="L1825" s="20"/>
      <c r="M1825" s="20">
        <v>99.0</v>
      </c>
      <c r="N1825" s="5" t="s">
        <v>67</v>
      </c>
      <c r="O1825" s="20" t="b">
        <v>0</v>
      </c>
      <c r="P1825" s="20" t="s">
        <v>68</v>
      </c>
      <c r="Q1825" s="20" t="s">
        <v>69</v>
      </c>
      <c r="R1825" s="20" t="s">
        <v>3888</v>
      </c>
      <c r="T1825" s="20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</row>
    <row r="1826">
      <c r="A1826" s="15" t="s">
        <v>7810</v>
      </c>
      <c r="B1826" s="19" t="s">
        <v>6515</v>
      </c>
      <c r="C1826" s="20">
        <v>50073.0</v>
      </c>
      <c r="D1826" s="20" t="s">
        <v>6514</v>
      </c>
      <c r="E1826" s="20">
        <v>9.19460030274E11</v>
      </c>
      <c r="F1826" s="21">
        <v>18198.0</v>
      </c>
      <c r="G1826" s="20"/>
      <c r="H1826" s="20" t="s">
        <v>6466</v>
      </c>
      <c r="I1826" s="20"/>
      <c r="J1826" s="20">
        <v>1.0</v>
      </c>
      <c r="K1826" s="20">
        <v>599.0</v>
      </c>
      <c r="L1826" s="20"/>
      <c r="M1826" s="20">
        <v>599.0</v>
      </c>
      <c r="N1826" s="5" t="s">
        <v>67</v>
      </c>
      <c r="O1826" s="20" t="b">
        <v>0</v>
      </c>
      <c r="P1826" s="20" t="s">
        <v>68</v>
      </c>
      <c r="Q1826" s="20" t="s">
        <v>69</v>
      </c>
      <c r="R1826" s="20" t="s">
        <v>6497</v>
      </c>
      <c r="T1826" s="20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</row>
    <row r="1827">
      <c r="A1827" s="15" t="s">
        <v>7813</v>
      </c>
      <c r="B1827" s="19" t="s">
        <v>5965</v>
      </c>
      <c r="C1827" s="20">
        <v>50041.0</v>
      </c>
      <c r="D1827" s="20" t="s">
        <v>5964</v>
      </c>
      <c r="E1827" s="20">
        <v>9.19008073399E11</v>
      </c>
      <c r="F1827" s="21">
        <v>18408.0</v>
      </c>
      <c r="G1827" s="20"/>
      <c r="H1827" s="20" t="s">
        <v>5956</v>
      </c>
      <c r="I1827" s="20"/>
      <c r="J1827" s="20">
        <v>3.0</v>
      </c>
      <c r="K1827" s="20">
        <v>399.0</v>
      </c>
      <c r="L1827" s="20"/>
      <c r="M1827" s="20">
        <v>399.0</v>
      </c>
      <c r="N1827" s="5" t="s">
        <v>67</v>
      </c>
      <c r="O1827" s="20" t="b">
        <v>0</v>
      </c>
      <c r="P1827" s="20" t="s">
        <v>151</v>
      </c>
      <c r="Q1827" s="20" t="s">
        <v>69</v>
      </c>
      <c r="R1827" s="20" t="s">
        <v>5958</v>
      </c>
      <c r="T1827" s="20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</row>
    <row r="1828">
      <c r="A1828" s="15" t="s">
        <v>7814</v>
      </c>
      <c r="B1828" s="19" t="s">
        <v>6209</v>
      </c>
      <c r="C1828" s="20">
        <v>49835.0</v>
      </c>
      <c r="D1828" s="20" t="s">
        <v>6208</v>
      </c>
      <c r="E1828" s="20">
        <v>9.19029362879E11</v>
      </c>
      <c r="F1828" s="21">
        <v>18142.0</v>
      </c>
      <c r="G1828" s="20"/>
      <c r="H1828" s="20" t="s">
        <v>6198</v>
      </c>
      <c r="I1828" s="20"/>
      <c r="J1828" s="20">
        <v>3.0</v>
      </c>
      <c r="K1828" s="20">
        <v>99.0</v>
      </c>
      <c r="L1828" s="20"/>
      <c r="M1828" s="20">
        <v>99.0</v>
      </c>
      <c r="N1828" s="5" t="s">
        <v>67</v>
      </c>
      <c r="O1828" s="20" t="b">
        <v>0</v>
      </c>
      <c r="P1828" s="20" t="s">
        <v>68</v>
      </c>
      <c r="Q1828" s="20" t="s">
        <v>69</v>
      </c>
      <c r="R1828" s="20" t="s">
        <v>3888</v>
      </c>
      <c r="T1828" s="20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</row>
    <row r="1829">
      <c r="A1829" s="15" t="s">
        <v>7817</v>
      </c>
      <c r="B1829" s="19" t="s">
        <v>6211</v>
      </c>
      <c r="C1829" s="20">
        <v>49835.0</v>
      </c>
      <c r="D1829" s="20" t="s">
        <v>6210</v>
      </c>
      <c r="E1829" s="20">
        <v>9.19952820016E11</v>
      </c>
      <c r="F1829" s="21">
        <v>18145.0</v>
      </c>
      <c r="G1829" s="20"/>
      <c r="H1829" s="20" t="s">
        <v>6198</v>
      </c>
      <c r="I1829" s="20"/>
      <c r="J1829" s="20">
        <v>3.0</v>
      </c>
      <c r="K1829" s="20">
        <v>99.0</v>
      </c>
      <c r="L1829" s="20"/>
      <c r="M1829" s="20">
        <v>99.0</v>
      </c>
      <c r="N1829" s="5" t="s">
        <v>67</v>
      </c>
      <c r="O1829" s="20" t="b">
        <v>0</v>
      </c>
      <c r="P1829" s="20" t="s">
        <v>74</v>
      </c>
      <c r="Q1829" s="20" t="s">
        <v>69</v>
      </c>
      <c r="R1829" s="20" t="s">
        <v>3888</v>
      </c>
      <c r="T1829" s="20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</row>
    <row r="1830">
      <c r="A1830" s="15" t="s">
        <v>7818</v>
      </c>
      <c r="B1830" s="19" t="s">
        <v>5195</v>
      </c>
      <c r="C1830" s="20">
        <v>50022.0</v>
      </c>
      <c r="D1830" s="20" t="s">
        <v>5194</v>
      </c>
      <c r="E1830" s="20">
        <v>9.19589008911E11</v>
      </c>
      <c r="F1830" s="21">
        <v>18144.0</v>
      </c>
      <c r="G1830" s="20"/>
      <c r="H1830" s="20" t="s">
        <v>5181</v>
      </c>
      <c r="I1830" s="20"/>
      <c r="J1830" s="20">
        <v>6.0</v>
      </c>
      <c r="K1830" s="20">
        <v>349.0</v>
      </c>
      <c r="L1830" s="20"/>
      <c r="M1830" s="20">
        <v>349.0</v>
      </c>
      <c r="N1830" s="5" t="s">
        <v>67</v>
      </c>
      <c r="O1830" s="20" t="b">
        <v>0</v>
      </c>
      <c r="P1830" s="20" t="s">
        <v>68</v>
      </c>
      <c r="Q1830" s="20" t="s">
        <v>69</v>
      </c>
      <c r="R1830" s="20" t="s">
        <v>5183</v>
      </c>
      <c r="T1830" s="20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</row>
    <row r="1831">
      <c r="A1831" s="15" t="s">
        <v>7819</v>
      </c>
      <c r="B1831" s="19" t="s">
        <v>5765</v>
      </c>
      <c r="C1831" s="20">
        <v>50033.0</v>
      </c>
      <c r="D1831" s="20" t="s">
        <v>5764</v>
      </c>
      <c r="E1831" s="20">
        <v>9.19246464653E11</v>
      </c>
      <c r="F1831" s="21">
        <v>18614.0</v>
      </c>
      <c r="G1831" s="20"/>
      <c r="H1831" s="20" t="s">
        <v>1727</v>
      </c>
      <c r="I1831" s="20"/>
      <c r="J1831" s="20">
        <v>1.0</v>
      </c>
      <c r="K1831" s="20">
        <v>99.0</v>
      </c>
      <c r="L1831" s="20"/>
      <c r="M1831" s="20">
        <v>99.0</v>
      </c>
      <c r="N1831" s="5" t="s">
        <v>67</v>
      </c>
      <c r="O1831" s="20" t="b">
        <v>0</v>
      </c>
      <c r="P1831" s="20" t="s">
        <v>68</v>
      </c>
      <c r="Q1831" s="20" t="s">
        <v>69</v>
      </c>
      <c r="R1831" s="20" t="s">
        <v>5731</v>
      </c>
      <c r="T1831" s="20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</row>
    <row r="1832">
      <c r="A1832" s="15" t="s">
        <v>7936</v>
      </c>
      <c r="B1832" s="19" t="s">
        <v>5197</v>
      </c>
      <c r="C1832" s="20">
        <v>50022.0</v>
      </c>
      <c r="D1832" s="20" t="s">
        <v>5196</v>
      </c>
      <c r="E1832" s="20">
        <v>9.19841039449E11</v>
      </c>
      <c r="F1832" s="21">
        <v>18236.0</v>
      </c>
      <c r="G1832" s="20"/>
      <c r="H1832" s="20" t="s">
        <v>5181</v>
      </c>
      <c r="I1832" s="20"/>
      <c r="J1832" s="20">
        <v>3.0</v>
      </c>
      <c r="K1832" s="20">
        <v>199.0</v>
      </c>
      <c r="L1832" s="20"/>
      <c r="M1832" s="20">
        <v>199.0</v>
      </c>
      <c r="N1832" s="5" t="s">
        <v>67</v>
      </c>
      <c r="O1832" s="20" t="b">
        <v>0</v>
      </c>
      <c r="P1832" s="20" t="s">
        <v>68</v>
      </c>
      <c r="Q1832" s="20" t="s">
        <v>69</v>
      </c>
      <c r="R1832" s="20" t="s">
        <v>5183</v>
      </c>
      <c r="T1832" s="20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</row>
    <row r="1833">
      <c r="A1833" s="15" t="s">
        <v>7937</v>
      </c>
      <c r="B1833" s="19" t="s">
        <v>5781</v>
      </c>
      <c r="C1833" s="20">
        <v>50033.0</v>
      </c>
      <c r="D1833" s="20" t="s">
        <v>5780</v>
      </c>
      <c r="E1833" s="20">
        <v>9.17706069096E11</v>
      </c>
      <c r="F1833" s="21">
        <v>18237.0</v>
      </c>
      <c r="G1833" s="20"/>
      <c r="H1833" s="20" t="s">
        <v>1727</v>
      </c>
      <c r="I1833" s="20"/>
      <c r="J1833" s="20">
        <v>3.0</v>
      </c>
      <c r="K1833" s="20">
        <v>199.0</v>
      </c>
      <c r="L1833" s="20"/>
      <c r="M1833" s="20">
        <v>199.0</v>
      </c>
      <c r="N1833" s="5" t="s">
        <v>67</v>
      </c>
      <c r="O1833" s="20" t="b">
        <v>0</v>
      </c>
      <c r="P1833" s="20" t="s">
        <v>68</v>
      </c>
      <c r="Q1833" s="20" t="s">
        <v>69</v>
      </c>
      <c r="R1833" s="20" t="s">
        <v>5731</v>
      </c>
      <c r="T1833" s="20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</row>
    <row r="1834">
      <c r="A1834" s="15" t="s">
        <v>7938</v>
      </c>
      <c r="B1834" s="19" t="s">
        <v>5199</v>
      </c>
      <c r="C1834" s="20">
        <v>50022.0</v>
      </c>
      <c r="D1834" s="20" t="s">
        <v>5198</v>
      </c>
      <c r="E1834" s="20">
        <v>9.16283424691E11</v>
      </c>
      <c r="F1834" s="21">
        <v>18286.0</v>
      </c>
      <c r="G1834" s="20"/>
      <c r="H1834" s="20" t="s">
        <v>5181</v>
      </c>
      <c r="I1834" s="20"/>
      <c r="J1834" s="20">
        <v>3.0</v>
      </c>
      <c r="K1834" s="20">
        <v>199.0</v>
      </c>
      <c r="L1834" s="20"/>
      <c r="M1834" s="20">
        <v>199.0</v>
      </c>
      <c r="N1834" s="5" t="s">
        <v>67</v>
      </c>
      <c r="O1834" s="20" t="b">
        <v>0</v>
      </c>
      <c r="P1834" s="20" t="s">
        <v>68</v>
      </c>
      <c r="Q1834" s="20" t="s">
        <v>69</v>
      </c>
      <c r="R1834" s="20" t="s">
        <v>5183</v>
      </c>
      <c r="T1834" s="20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</row>
    <row r="1835">
      <c r="A1835" s="15" t="s">
        <v>7821</v>
      </c>
      <c r="B1835" s="19" t="s">
        <v>2952</v>
      </c>
      <c r="C1835" s="20">
        <v>50066.0</v>
      </c>
      <c r="D1835" s="20" t="s">
        <v>2951</v>
      </c>
      <c r="E1835" s="20">
        <v>9.19535574231E11</v>
      </c>
      <c r="F1835" s="21">
        <v>18255.0</v>
      </c>
      <c r="G1835" s="20"/>
      <c r="H1835" s="20" t="s">
        <v>2911</v>
      </c>
      <c r="I1835" s="20"/>
      <c r="J1835" s="20">
        <v>6.0</v>
      </c>
      <c r="K1835" s="20">
        <v>599.0</v>
      </c>
      <c r="L1835" s="20"/>
      <c r="M1835" s="20">
        <v>599.0</v>
      </c>
      <c r="N1835" s="5" t="s">
        <v>67</v>
      </c>
      <c r="O1835" s="20" t="b">
        <v>0</v>
      </c>
      <c r="P1835" s="20" t="s">
        <v>97</v>
      </c>
      <c r="Q1835" s="20" t="s">
        <v>69</v>
      </c>
      <c r="R1835" s="20" t="s">
        <v>2913</v>
      </c>
      <c r="T1835" s="20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</row>
    <row r="1836">
      <c r="A1836" s="15" t="s">
        <v>7940</v>
      </c>
      <c r="B1836" s="19" t="s">
        <v>3203</v>
      </c>
      <c r="C1836" s="20">
        <v>50047.0</v>
      </c>
      <c r="D1836" s="20" t="s">
        <v>3202</v>
      </c>
      <c r="E1836" s="20">
        <v>9.19681181123E11</v>
      </c>
      <c r="F1836" s="21">
        <v>18239.0</v>
      </c>
      <c r="G1836" s="20"/>
      <c r="H1836" s="20" t="s">
        <v>3195</v>
      </c>
      <c r="I1836" s="20"/>
      <c r="J1836" s="20">
        <v>6.0</v>
      </c>
      <c r="K1836" s="20">
        <v>299.0</v>
      </c>
      <c r="L1836" s="20"/>
      <c r="M1836" s="20">
        <v>299.0</v>
      </c>
      <c r="N1836" s="5" t="s">
        <v>67</v>
      </c>
      <c r="O1836" s="20" t="b">
        <v>0</v>
      </c>
      <c r="P1836" s="20" t="s">
        <v>74</v>
      </c>
      <c r="Q1836" s="20" t="s">
        <v>69</v>
      </c>
      <c r="R1836" s="20" t="s">
        <v>3197</v>
      </c>
      <c r="T1836" s="20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</row>
    <row r="1837">
      <c r="A1837" s="15" t="s">
        <v>7828</v>
      </c>
      <c r="B1837" s="19" t="s">
        <v>6264</v>
      </c>
      <c r="C1837" s="20">
        <v>49998.0</v>
      </c>
      <c r="D1837" s="20" t="s">
        <v>6263</v>
      </c>
      <c r="E1837" s="20">
        <v>9.18125184631E11</v>
      </c>
      <c r="F1837" s="21">
        <v>18151.0</v>
      </c>
      <c r="G1837" s="20"/>
      <c r="H1837" s="20" t="s">
        <v>6250</v>
      </c>
      <c r="I1837" s="20"/>
      <c r="J1837" s="20">
        <v>3.0</v>
      </c>
      <c r="K1837" s="20">
        <v>199.0</v>
      </c>
      <c r="L1837" s="20"/>
      <c r="M1837" s="20">
        <v>199.0</v>
      </c>
      <c r="N1837" s="5" t="s">
        <v>67</v>
      </c>
      <c r="O1837" s="20" t="b">
        <v>0</v>
      </c>
      <c r="P1837" s="20" t="s">
        <v>68</v>
      </c>
      <c r="Q1837" s="20" t="s">
        <v>69</v>
      </c>
      <c r="R1837" s="20" t="s">
        <v>6252</v>
      </c>
      <c r="T1837" s="20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</row>
    <row r="1838">
      <c r="A1838" s="15" t="s">
        <v>7822</v>
      </c>
      <c r="B1838" s="19" t="s">
        <v>2954</v>
      </c>
      <c r="C1838" s="20">
        <v>50066.0</v>
      </c>
      <c r="D1838" s="20" t="s">
        <v>2953</v>
      </c>
      <c r="E1838" s="20">
        <v>9.17007650421E11</v>
      </c>
      <c r="F1838" s="21">
        <v>18147.0</v>
      </c>
      <c r="G1838" s="20"/>
      <c r="H1838" s="20" t="s">
        <v>2911</v>
      </c>
      <c r="I1838" s="20"/>
      <c r="J1838" s="20">
        <v>3.0</v>
      </c>
      <c r="K1838" s="20">
        <v>399.0</v>
      </c>
      <c r="L1838" s="20"/>
      <c r="M1838" s="20">
        <v>399.0</v>
      </c>
      <c r="N1838" s="5" t="s">
        <v>67</v>
      </c>
      <c r="O1838" s="20" t="b">
        <v>0</v>
      </c>
      <c r="P1838" s="20" t="s">
        <v>68</v>
      </c>
      <c r="Q1838" s="20" t="s">
        <v>69</v>
      </c>
      <c r="R1838" s="20" t="s">
        <v>2913</v>
      </c>
      <c r="T1838" s="20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</row>
    <row r="1839">
      <c r="A1839" s="15" t="s">
        <v>7823</v>
      </c>
      <c r="B1839" s="19" t="s">
        <v>4426</v>
      </c>
      <c r="C1839" s="20">
        <v>50026.0</v>
      </c>
      <c r="D1839" s="20" t="s">
        <v>4425</v>
      </c>
      <c r="E1839" s="20">
        <v>9.19899259874E11</v>
      </c>
      <c r="F1839" s="21">
        <v>18149.0</v>
      </c>
      <c r="G1839" s="20"/>
      <c r="H1839" s="20" t="s">
        <v>4422</v>
      </c>
      <c r="I1839" s="20"/>
      <c r="J1839" s="20">
        <v>1.0</v>
      </c>
      <c r="K1839" s="20">
        <v>999.0</v>
      </c>
      <c r="L1839" s="20"/>
      <c r="M1839" s="20">
        <v>999.0</v>
      </c>
      <c r="N1839" s="5" t="s">
        <v>67</v>
      </c>
      <c r="O1839" s="20" t="b">
        <v>0</v>
      </c>
      <c r="P1839" s="20" t="s">
        <v>68</v>
      </c>
      <c r="Q1839" s="20" t="s">
        <v>69</v>
      </c>
      <c r="R1839" s="20" t="s">
        <v>4424</v>
      </c>
      <c r="T1839" s="20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</row>
    <row r="1840">
      <c r="A1840" s="15" t="s">
        <v>7827</v>
      </c>
      <c r="B1840" s="19" t="s">
        <v>4426</v>
      </c>
      <c r="C1840" s="20">
        <v>49899.0</v>
      </c>
      <c r="D1840" s="20" t="s">
        <v>6187</v>
      </c>
      <c r="E1840" s="20">
        <v>9.198865732E11</v>
      </c>
      <c r="F1840" s="21">
        <v>18148.0</v>
      </c>
      <c r="G1840" s="20"/>
      <c r="H1840" s="20" t="s">
        <v>1016</v>
      </c>
      <c r="I1840" s="20"/>
      <c r="J1840" s="20">
        <v>6.0</v>
      </c>
      <c r="K1840" s="20">
        <v>249.0</v>
      </c>
      <c r="L1840" s="20"/>
      <c r="M1840" s="20">
        <v>249.0</v>
      </c>
      <c r="N1840" s="5" t="s">
        <v>67</v>
      </c>
      <c r="O1840" s="20" t="b">
        <v>0</v>
      </c>
      <c r="P1840" s="20" t="s">
        <v>74</v>
      </c>
      <c r="Q1840" s="20" t="s">
        <v>69</v>
      </c>
      <c r="R1840" s="20" t="s">
        <v>6186</v>
      </c>
      <c r="T1840" s="20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</row>
    <row r="1841">
      <c r="A1841" s="15" t="s">
        <v>7830</v>
      </c>
      <c r="B1841" s="19" t="s">
        <v>6189</v>
      </c>
      <c r="C1841" s="20">
        <v>49899.0</v>
      </c>
      <c r="D1841" s="20" t="s">
        <v>6188</v>
      </c>
      <c r="E1841" s="20">
        <v>9.19002860215E11</v>
      </c>
      <c r="F1841" s="21">
        <v>18153.0</v>
      </c>
      <c r="G1841" s="20"/>
      <c r="H1841" s="20" t="s">
        <v>1016</v>
      </c>
      <c r="I1841" s="20"/>
      <c r="J1841" s="20">
        <v>1.0</v>
      </c>
      <c r="K1841" s="20">
        <v>99.0</v>
      </c>
      <c r="L1841" s="20"/>
      <c r="M1841" s="20">
        <v>99.0</v>
      </c>
      <c r="N1841" s="5" t="s">
        <v>67</v>
      </c>
      <c r="O1841" s="20" t="b">
        <v>0</v>
      </c>
      <c r="P1841" s="20" t="s">
        <v>68</v>
      </c>
      <c r="Q1841" s="20" t="s">
        <v>69</v>
      </c>
      <c r="R1841" s="20" t="s">
        <v>6186</v>
      </c>
      <c r="T1841" s="20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</row>
    <row r="1842">
      <c r="A1842" s="15" t="s">
        <v>7945</v>
      </c>
      <c r="B1842" s="19" t="s">
        <v>6213</v>
      </c>
      <c r="C1842" s="20">
        <v>49835.0</v>
      </c>
      <c r="D1842" s="20" t="s">
        <v>6212</v>
      </c>
      <c r="E1842" s="20">
        <v>9.17019924818E11</v>
      </c>
      <c r="F1842" s="21">
        <v>0.0</v>
      </c>
      <c r="G1842" s="20"/>
      <c r="H1842" s="20" t="s">
        <v>6198</v>
      </c>
      <c r="I1842" s="20"/>
      <c r="J1842" s="20">
        <v>3.0</v>
      </c>
      <c r="K1842" s="20">
        <v>99.0</v>
      </c>
      <c r="L1842" s="20"/>
      <c r="M1842" s="20">
        <v>99.0</v>
      </c>
      <c r="N1842" s="5" t="s">
        <v>67</v>
      </c>
      <c r="O1842" s="20" t="b">
        <v>0</v>
      </c>
      <c r="P1842" s="20" t="s">
        <v>68</v>
      </c>
      <c r="Q1842" s="20" t="s">
        <v>69</v>
      </c>
      <c r="R1842" s="20" t="s">
        <v>3888</v>
      </c>
      <c r="T1842" s="20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</row>
    <row r="1843">
      <c r="A1843" s="15" t="s">
        <v>7835</v>
      </c>
      <c r="B1843" s="19" t="s">
        <v>5421</v>
      </c>
      <c r="C1843" s="20">
        <v>50040.0</v>
      </c>
      <c r="D1843" s="20" t="s">
        <v>5420</v>
      </c>
      <c r="E1843" s="20">
        <v>9.19830125433E11</v>
      </c>
      <c r="F1843" s="21">
        <v>0.0</v>
      </c>
      <c r="G1843" s="20"/>
      <c r="H1843" s="20" t="s">
        <v>5400</v>
      </c>
      <c r="I1843" s="20"/>
      <c r="J1843" s="20">
        <v>1.0</v>
      </c>
      <c r="K1843" s="20">
        <v>99.0</v>
      </c>
      <c r="L1843" s="20"/>
      <c r="M1843" s="20">
        <v>99.0</v>
      </c>
      <c r="N1843" s="5" t="s">
        <v>67</v>
      </c>
      <c r="O1843" s="20" t="b">
        <v>0</v>
      </c>
      <c r="P1843" s="20" t="s">
        <v>68</v>
      </c>
      <c r="Q1843" s="20" t="s">
        <v>69</v>
      </c>
      <c r="R1843" s="20" t="s">
        <v>5402</v>
      </c>
      <c r="T1843" s="20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</row>
    <row r="1844">
      <c r="A1844" s="15" t="s">
        <v>7834</v>
      </c>
      <c r="B1844" s="19" t="s">
        <v>5716</v>
      </c>
      <c r="C1844" s="20">
        <v>50036.0</v>
      </c>
      <c r="D1844" s="20" t="s">
        <v>5715</v>
      </c>
      <c r="E1844" s="20">
        <v>9.17533851002E11</v>
      </c>
      <c r="F1844" s="21">
        <v>18156.0</v>
      </c>
      <c r="G1844" s="20"/>
      <c r="H1844" s="20" t="s">
        <v>1320</v>
      </c>
      <c r="I1844" s="20"/>
      <c r="J1844" s="20">
        <v>1.0</v>
      </c>
      <c r="K1844" s="20">
        <v>199.0</v>
      </c>
      <c r="L1844" s="20"/>
      <c r="M1844" s="20">
        <v>199.0</v>
      </c>
      <c r="N1844" s="5" t="s">
        <v>67</v>
      </c>
      <c r="O1844" s="20" t="b">
        <v>0</v>
      </c>
      <c r="P1844" s="20" t="s">
        <v>68</v>
      </c>
      <c r="Q1844" s="20" t="s">
        <v>69</v>
      </c>
      <c r="R1844" s="20" t="s">
        <v>5709</v>
      </c>
      <c r="T1844" s="20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</row>
    <row r="1845">
      <c r="A1845" s="15" t="s">
        <v>7947</v>
      </c>
      <c r="B1845" s="19" t="s">
        <v>4586</v>
      </c>
      <c r="C1845" s="20">
        <v>50031.0</v>
      </c>
      <c r="D1845" s="20" t="s">
        <v>4585</v>
      </c>
      <c r="E1845" s="20">
        <v>9.1766651655E11</v>
      </c>
      <c r="F1845" s="21">
        <v>0.0</v>
      </c>
      <c r="G1845" s="20"/>
      <c r="H1845" s="20" t="s">
        <v>4561</v>
      </c>
      <c r="I1845" s="20"/>
      <c r="J1845" s="20">
        <v>1.0</v>
      </c>
      <c r="K1845" s="20">
        <v>99.0</v>
      </c>
      <c r="L1845" s="20"/>
      <c r="M1845" s="20">
        <v>99.0</v>
      </c>
      <c r="N1845" s="5" t="s">
        <v>67</v>
      </c>
      <c r="O1845" s="20" t="b">
        <v>0</v>
      </c>
      <c r="P1845" s="20" t="s">
        <v>68</v>
      </c>
      <c r="Q1845" s="20" t="s">
        <v>69</v>
      </c>
      <c r="R1845" s="20" t="s">
        <v>4563</v>
      </c>
      <c r="T1845" s="20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</row>
    <row r="1846">
      <c r="A1846" s="15" t="s">
        <v>7949</v>
      </c>
      <c r="B1846" s="19" t="s">
        <v>2958</v>
      </c>
      <c r="C1846" s="20">
        <v>50066.0</v>
      </c>
      <c r="D1846" s="20" t="s">
        <v>2957</v>
      </c>
      <c r="E1846" s="20">
        <v>9.19620901806E11</v>
      </c>
      <c r="F1846" s="21">
        <v>18346.0</v>
      </c>
      <c r="G1846" s="20"/>
      <c r="H1846" s="20" t="s">
        <v>2911</v>
      </c>
      <c r="I1846" s="20"/>
      <c r="J1846" s="20">
        <v>6.0</v>
      </c>
      <c r="K1846" s="20">
        <v>599.0</v>
      </c>
      <c r="L1846" s="20"/>
      <c r="M1846" s="20">
        <v>599.0</v>
      </c>
      <c r="N1846" s="5" t="s">
        <v>67</v>
      </c>
      <c r="O1846" s="20" t="b">
        <v>0</v>
      </c>
      <c r="P1846" s="20" t="s">
        <v>74</v>
      </c>
      <c r="Q1846" s="20" t="s">
        <v>69</v>
      </c>
      <c r="R1846" s="20" t="s">
        <v>2913</v>
      </c>
      <c r="T1846" s="20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</row>
    <row r="1847">
      <c r="A1847" s="15" t="s">
        <v>7950</v>
      </c>
      <c r="B1847" s="19" t="s">
        <v>4588</v>
      </c>
      <c r="C1847" s="20">
        <v>50031.0</v>
      </c>
      <c r="D1847" s="20" t="s">
        <v>4587</v>
      </c>
      <c r="E1847" s="20">
        <v>9.19739654501E11</v>
      </c>
      <c r="F1847" s="21">
        <v>18246.0</v>
      </c>
      <c r="G1847" s="20"/>
      <c r="H1847" s="20" t="s">
        <v>4561</v>
      </c>
      <c r="I1847" s="20"/>
      <c r="J1847" s="20">
        <v>1.0</v>
      </c>
      <c r="K1847" s="20">
        <v>99.0</v>
      </c>
      <c r="L1847" s="20"/>
      <c r="M1847" s="20">
        <v>99.0</v>
      </c>
      <c r="N1847" s="5" t="s">
        <v>67</v>
      </c>
      <c r="O1847" s="20" t="b">
        <v>0</v>
      </c>
      <c r="P1847" s="20" t="s">
        <v>68</v>
      </c>
      <c r="Q1847" s="20" t="s">
        <v>69</v>
      </c>
      <c r="R1847" s="20" t="s">
        <v>4563</v>
      </c>
      <c r="T1847" s="20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</row>
    <row r="1848">
      <c r="A1848" s="15" t="s">
        <v>7951</v>
      </c>
      <c r="B1848" s="19" t="s">
        <v>2962</v>
      </c>
      <c r="C1848" s="20">
        <v>50066.0</v>
      </c>
      <c r="D1848" s="20" t="s">
        <v>2961</v>
      </c>
      <c r="E1848" s="20">
        <v>9.18420072488E11</v>
      </c>
      <c r="F1848" s="21">
        <v>18260.0</v>
      </c>
      <c r="G1848" s="20"/>
      <c r="H1848" s="20" t="s">
        <v>2911</v>
      </c>
      <c r="I1848" s="20"/>
      <c r="J1848" s="20">
        <v>6.0</v>
      </c>
      <c r="K1848" s="20">
        <v>599.0</v>
      </c>
      <c r="L1848" s="20"/>
      <c r="M1848" s="20">
        <v>599.0</v>
      </c>
      <c r="N1848" s="5" t="s">
        <v>67</v>
      </c>
      <c r="O1848" s="20" t="b">
        <v>0</v>
      </c>
      <c r="P1848" s="20" t="s">
        <v>74</v>
      </c>
      <c r="Q1848" s="20" t="s">
        <v>69</v>
      </c>
      <c r="R1848" s="20" t="s">
        <v>2913</v>
      </c>
      <c r="T1848" s="20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</row>
    <row r="1849">
      <c r="A1849" s="15" t="s">
        <v>7952</v>
      </c>
      <c r="B1849" s="19" t="s">
        <v>2960</v>
      </c>
      <c r="C1849" s="20">
        <v>50066.0</v>
      </c>
      <c r="D1849" s="20" t="s">
        <v>2959</v>
      </c>
      <c r="E1849" s="20">
        <v>9.18401072115E11</v>
      </c>
      <c r="F1849" s="21">
        <v>18342.0</v>
      </c>
      <c r="G1849" s="20"/>
      <c r="H1849" s="20" t="s">
        <v>2911</v>
      </c>
      <c r="I1849" s="20"/>
      <c r="J1849" s="20">
        <v>6.0</v>
      </c>
      <c r="K1849" s="20">
        <v>599.0</v>
      </c>
      <c r="L1849" s="20"/>
      <c r="M1849" s="20">
        <v>599.0</v>
      </c>
      <c r="N1849" s="5" t="s">
        <v>67</v>
      </c>
      <c r="O1849" s="20" t="b">
        <v>0</v>
      </c>
      <c r="P1849" s="20" t="s">
        <v>97</v>
      </c>
      <c r="Q1849" s="20" t="s">
        <v>69</v>
      </c>
      <c r="R1849" s="20" t="s">
        <v>2913</v>
      </c>
      <c r="T1849" s="20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</row>
    <row r="1850">
      <c r="A1850" s="15" t="s">
        <v>7962</v>
      </c>
      <c r="B1850" s="19" t="s">
        <v>2984</v>
      </c>
      <c r="C1850" s="20">
        <v>50066.0</v>
      </c>
      <c r="D1850" s="20" t="s">
        <v>2983</v>
      </c>
      <c r="E1850" s="20">
        <v>9.19810341232E11</v>
      </c>
      <c r="F1850" s="21">
        <v>18277.0</v>
      </c>
      <c r="G1850" s="20"/>
      <c r="H1850" s="20" t="s">
        <v>2911</v>
      </c>
      <c r="I1850" s="20"/>
      <c r="J1850" s="20">
        <v>3.0</v>
      </c>
      <c r="K1850" s="20">
        <v>399.0</v>
      </c>
      <c r="L1850" s="20"/>
      <c r="M1850" s="20">
        <v>399.0</v>
      </c>
      <c r="N1850" s="5" t="s">
        <v>67</v>
      </c>
      <c r="O1850" s="20" t="b">
        <v>0</v>
      </c>
      <c r="P1850" s="20" t="s">
        <v>74</v>
      </c>
      <c r="Q1850" s="20" t="s">
        <v>69</v>
      </c>
      <c r="R1850" s="20" t="s">
        <v>2913</v>
      </c>
      <c r="T1850" s="20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</row>
    <row r="1851">
      <c r="A1851" s="15" t="s">
        <v>7963</v>
      </c>
      <c r="B1851" s="19" t="s">
        <v>6326</v>
      </c>
      <c r="C1851" s="20">
        <v>50044.0</v>
      </c>
      <c r="D1851" s="20" t="s">
        <v>6325</v>
      </c>
      <c r="E1851" s="20">
        <v>9.19900969993E11</v>
      </c>
      <c r="F1851" s="21">
        <v>16634.0</v>
      </c>
      <c r="G1851" s="20"/>
      <c r="H1851" s="20" t="s">
        <v>6320</v>
      </c>
      <c r="I1851" s="20"/>
      <c r="J1851" s="20">
        <v>1.0</v>
      </c>
      <c r="K1851" s="20">
        <v>349.0</v>
      </c>
      <c r="L1851" s="20"/>
      <c r="M1851" s="20">
        <v>349.0</v>
      </c>
      <c r="N1851" s="5" t="s">
        <v>67</v>
      </c>
      <c r="O1851" s="20" t="b">
        <v>0</v>
      </c>
      <c r="P1851" s="20" t="s">
        <v>74</v>
      </c>
      <c r="Q1851" s="20" t="s">
        <v>69</v>
      </c>
      <c r="R1851" s="20" t="s">
        <v>6322</v>
      </c>
      <c r="T1851" s="20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</row>
    <row r="1852">
      <c r="A1852" s="15" t="s">
        <v>7954</v>
      </c>
      <c r="B1852" s="19" t="s">
        <v>2964</v>
      </c>
      <c r="C1852" s="20">
        <v>50066.0</v>
      </c>
      <c r="D1852" s="20" t="s">
        <v>2963</v>
      </c>
      <c r="E1852" s="20">
        <v>9.19743567339E11</v>
      </c>
      <c r="F1852" s="21">
        <v>18250.0</v>
      </c>
      <c r="G1852" s="20"/>
      <c r="H1852" s="20" t="s">
        <v>2911</v>
      </c>
      <c r="I1852" s="20"/>
      <c r="J1852" s="20">
        <v>3.0</v>
      </c>
      <c r="K1852" s="20">
        <v>399.0</v>
      </c>
      <c r="L1852" s="20"/>
      <c r="M1852" s="20">
        <v>399.0</v>
      </c>
      <c r="N1852" s="5" t="s">
        <v>67</v>
      </c>
      <c r="O1852" s="20" t="b">
        <v>0</v>
      </c>
      <c r="P1852" s="20" t="s">
        <v>74</v>
      </c>
      <c r="Q1852" s="20" t="s">
        <v>69</v>
      </c>
      <c r="R1852" s="20" t="s">
        <v>2913</v>
      </c>
      <c r="T1852" s="20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</row>
    <row r="1853">
      <c r="A1853" s="15" t="s">
        <v>7955</v>
      </c>
      <c r="B1853" s="19" t="s">
        <v>2964</v>
      </c>
      <c r="C1853" s="20">
        <v>50066.0</v>
      </c>
      <c r="D1853" s="20" t="s">
        <v>2965</v>
      </c>
      <c r="E1853" s="20">
        <v>9.19820734962E11</v>
      </c>
      <c r="F1853" s="21">
        <v>18247.0</v>
      </c>
      <c r="G1853" s="20"/>
      <c r="H1853" s="20" t="s">
        <v>2911</v>
      </c>
      <c r="I1853" s="20"/>
      <c r="J1853" s="20">
        <v>6.0</v>
      </c>
      <c r="K1853" s="20">
        <v>599.0</v>
      </c>
      <c r="L1853" s="20"/>
      <c r="M1853" s="20">
        <v>599.0</v>
      </c>
      <c r="N1853" s="5" t="s">
        <v>67</v>
      </c>
      <c r="O1853" s="20" t="b">
        <v>0</v>
      </c>
      <c r="P1853" s="20" t="s">
        <v>74</v>
      </c>
      <c r="Q1853" s="20" t="s">
        <v>69</v>
      </c>
      <c r="R1853" s="20" t="s">
        <v>2913</v>
      </c>
      <c r="T1853" s="20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</row>
    <row r="1854">
      <c r="A1854" s="15" t="s">
        <v>7966</v>
      </c>
      <c r="B1854" s="19" t="s">
        <v>6525</v>
      </c>
      <c r="C1854" s="20">
        <v>50073.0</v>
      </c>
      <c r="D1854" s="20" t="s">
        <v>6524</v>
      </c>
      <c r="E1854" s="20">
        <v>9.19819333766E11</v>
      </c>
      <c r="F1854" s="21">
        <v>17763.0</v>
      </c>
      <c r="G1854" s="20"/>
      <c r="H1854" s="20" t="s">
        <v>6466</v>
      </c>
      <c r="I1854" s="20"/>
      <c r="J1854" s="20">
        <v>1.0</v>
      </c>
      <c r="K1854" s="20">
        <v>599.0</v>
      </c>
      <c r="L1854" s="20"/>
      <c r="M1854" s="20">
        <v>599.0</v>
      </c>
      <c r="N1854" s="5" t="s">
        <v>67</v>
      </c>
      <c r="O1854" s="20" t="b">
        <v>0</v>
      </c>
      <c r="P1854" s="20" t="s">
        <v>74</v>
      </c>
      <c r="Q1854" s="20" t="s">
        <v>69</v>
      </c>
      <c r="R1854" s="20"/>
      <c r="T1854" s="20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</row>
    <row r="1855">
      <c r="A1855" s="15" t="s">
        <v>7956</v>
      </c>
      <c r="B1855" s="19" t="s">
        <v>2967</v>
      </c>
      <c r="C1855" s="20">
        <v>50066.0</v>
      </c>
      <c r="D1855" s="20" t="s">
        <v>2966</v>
      </c>
      <c r="E1855" s="20">
        <v>6.0123542236E10</v>
      </c>
      <c r="F1855" s="21">
        <v>18332.0</v>
      </c>
      <c r="G1855" s="20"/>
      <c r="H1855" s="20" t="s">
        <v>2911</v>
      </c>
      <c r="I1855" s="20"/>
      <c r="J1855" s="20">
        <v>6.0</v>
      </c>
      <c r="K1855" s="20">
        <v>599.0</v>
      </c>
      <c r="L1855" s="20"/>
      <c r="M1855" s="20">
        <v>599.0</v>
      </c>
      <c r="N1855" s="5" t="s">
        <v>67</v>
      </c>
      <c r="O1855" s="20" t="b">
        <v>0</v>
      </c>
      <c r="P1855" s="20" t="s">
        <v>74</v>
      </c>
      <c r="Q1855" s="20" t="s">
        <v>69</v>
      </c>
      <c r="R1855" s="20" t="s">
        <v>2913</v>
      </c>
      <c r="T1855" s="20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</row>
    <row r="1856">
      <c r="A1856" s="15" t="s">
        <v>7838</v>
      </c>
      <c r="B1856" s="19" t="s">
        <v>5767</v>
      </c>
      <c r="C1856" s="20">
        <v>50033.0</v>
      </c>
      <c r="D1856" s="20" t="s">
        <v>5766</v>
      </c>
      <c r="E1856" s="20">
        <v>9.19007284107E11</v>
      </c>
      <c r="F1856" s="21">
        <v>18161.0</v>
      </c>
      <c r="G1856" s="20"/>
      <c r="H1856" s="20" t="s">
        <v>1727</v>
      </c>
      <c r="I1856" s="20"/>
      <c r="J1856" s="20">
        <v>1.0</v>
      </c>
      <c r="K1856" s="20">
        <v>99.0</v>
      </c>
      <c r="L1856" s="20"/>
      <c r="M1856" s="20">
        <v>99.0</v>
      </c>
      <c r="N1856" s="5" t="s">
        <v>67</v>
      </c>
      <c r="O1856" s="20" t="b">
        <v>0</v>
      </c>
      <c r="P1856" s="20" t="s">
        <v>68</v>
      </c>
      <c r="Q1856" s="20" t="s">
        <v>69</v>
      </c>
      <c r="R1856" s="20" t="s">
        <v>5731</v>
      </c>
      <c r="T1856" s="20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</row>
    <row r="1857">
      <c r="A1857" s="15" t="s">
        <v>7839</v>
      </c>
      <c r="B1857" s="19" t="s">
        <v>5347</v>
      </c>
      <c r="C1857" s="20">
        <v>49995.0</v>
      </c>
      <c r="D1857" s="20" t="s">
        <v>5346</v>
      </c>
      <c r="E1857" s="20">
        <v>9.18448759224E11</v>
      </c>
      <c r="F1857" s="22" t="s">
        <v>12593</v>
      </c>
      <c r="G1857" s="20"/>
      <c r="H1857" s="20" t="s">
        <v>5321</v>
      </c>
      <c r="I1857" s="20"/>
      <c r="J1857" s="20">
        <v>1.0</v>
      </c>
      <c r="K1857" s="20">
        <v>99.0</v>
      </c>
      <c r="L1857" s="20"/>
      <c r="M1857" s="20">
        <v>99.0</v>
      </c>
      <c r="N1857" s="5" t="s">
        <v>67</v>
      </c>
      <c r="O1857" s="20" t="b">
        <v>0</v>
      </c>
      <c r="P1857" s="20" t="s">
        <v>68</v>
      </c>
      <c r="Q1857" s="20" t="s">
        <v>69</v>
      </c>
      <c r="R1857" s="20" t="s">
        <v>5323</v>
      </c>
      <c r="T1857" s="20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</row>
    <row r="1858">
      <c r="A1858" s="15" t="s">
        <v>7957</v>
      </c>
      <c r="B1858" s="19" t="s">
        <v>2971</v>
      </c>
      <c r="C1858" s="20">
        <v>50066.0</v>
      </c>
      <c r="D1858" s="20" t="s">
        <v>2972</v>
      </c>
      <c r="E1858" s="20">
        <v>9.19998011449E11</v>
      </c>
      <c r="F1858" s="21">
        <v>18256.0</v>
      </c>
      <c r="G1858" s="20"/>
      <c r="H1858" s="20" t="s">
        <v>2911</v>
      </c>
      <c r="I1858" s="20"/>
      <c r="J1858" s="20">
        <v>6.0</v>
      </c>
      <c r="K1858" s="20">
        <v>599.0</v>
      </c>
      <c r="L1858" s="20"/>
      <c r="M1858" s="20">
        <v>599.0</v>
      </c>
      <c r="N1858" s="5" t="s">
        <v>67</v>
      </c>
      <c r="O1858" s="20" t="b">
        <v>0</v>
      </c>
      <c r="P1858" s="20" t="s">
        <v>97</v>
      </c>
      <c r="Q1858" s="20" t="s">
        <v>69</v>
      </c>
      <c r="R1858" s="20" t="s">
        <v>2913</v>
      </c>
      <c r="T1858" s="20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</row>
    <row r="1859">
      <c r="A1859" s="15" t="s">
        <v>7959</v>
      </c>
      <c r="B1859" s="19" t="s">
        <v>2969</v>
      </c>
      <c r="C1859" s="20">
        <v>50066.0</v>
      </c>
      <c r="D1859" s="20" t="s">
        <v>2968</v>
      </c>
      <c r="E1859" s="20">
        <v>9.19886154272E11</v>
      </c>
      <c r="F1859" s="21">
        <v>18253.0</v>
      </c>
      <c r="G1859" s="20"/>
      <c r="H1859" s="20" t="s">
        <v>2911</v>
      </c>
      <c r="I1859" s="20"/>
      <c r="J1859" s="20">
        <v>6.0</v>
      </c>
      <c r="K1859" s="20">
        <v>599.0</v>
      </c>
      <c r="L1859" s="20"/>
      <c r="M1859" s="20">
        <v>599.0</v>
      </c>
      <c r="N1859" s="5" t="s">
        <v>67</v>
      </c>
      <c r="O1859" s="20" t="b">
        <v>0</v>
      </c>
      <c r="P1859" s="20" t="s">
        <v>97</v>
      </c>
      <c r="Q1859" s="20" t="s">
        <v>69</v>
      </c>
      <c r="R1859" s="20" t="s">
        <v>2913</v>
      </c>
      <c r="T1859" s="20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</row>
    <row r="1860">
      <c r="A1860" s="15" t="s">
        <v>7958</v>
      </c>
      <c r="B1860" s="19" t="s">
        <v>2974</v>
      </c>
      <c r="C1860" s="20">
        <v>50066.0</v>
      </c>
      <c r="D1860" s="20" t="s">
        <v>2973</v>
      </c>
      <c r="E1860" s="20">
        <v>9.19821156059E11</v>
      </c>
      <c r="F1860" s="21">
        <v>18272.0</v>
      </c>
      <c r="G1860" s="20"/>
      <c r="H1860" s="20" t="s">
        <v>2911</v>
      </c>
      <c r="I1860" s="20"/>
      <c r="J1860" s="20">
        <v>6.0</v>
      </c>
      <c r="K1860" s="20">
        <v>599.0</v>
      </c>
      <c r="L1860" s="20"/>
      <c r="M1860" s="20">
        <v>599.0</v>
      </c>
      <c r="N1860" s="5" t="s">
        <v>67</v>
      </c>
      <c r="O1860" s="20" t="b">
        <v>0</v>
      </c>
      <c r="P1860" s="20" t="s">
        <v>97</v>
      </c>
      <c r="Q1860" s="20" t="s">
        <v>69</v>
      </c>
      <c r="R1860" s="20" t="s">
        <v>2913</v>
      </c>
      <c r="T1860" s="20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</row>
    <row r="1861">
      <c r="A1861" s="15" t="s">
        <v>7960</v>
      </c>
      <c r="B1861" s="19" t="s">
        <v>2971</v>
      </c>
      <c r="C1861" s="20">
        <v>50066.0</v>
      </c>
      <c r="D1861" s="20" t="s">
        <v>2970</v>
      </c>
      <c r="E1861" s="20">
        <v>9.19916011116E11</v>
      </c>
      <c r="F1861" s="21">
        <v>18252.0</v>
      </c>
      <c r="G1861" s="20"/>
      <c r="H1861" s="20" t="s">
        <v>2911</v>
      </c>
      <c r="I1861" s="20"/>
      <c r="J1861" s="20">
        <v>6.0</v>
      </c>
      <c r="K1861" s="20">
        <v>599.0</v>
      </c>
      <c r="L1861" s="20"/>
      <c r="M1861" s="20">
        <v>599.0</v>
      </c>
      <c r="N1861" s="5" t="s">
        <v>67</v>
      </c>
      <c r="O1861" s="20" t="b">
        <v>0</v>
      </c>
      <c r="P1861" s="20" t="s">
        <v>97</v>
      </c>
      <c r="Q1861" s="20" t="s">
        <v>69</v>
      </c>
      <c r="R1861" s="20" t="s">
        <v>2913</v>
      </c>
      <c r="T1861" s="20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</row>
    <row r="1862">
      <c r="A1862" s="15" t="s">
        <v>7961</v>
      </c>
      <c r="B1862" s="19" t="s">
        <v>2976</v>
      </c>
      <c r="C1862" s="20">
        <v>50066.0</v>
      </c>
      <c r="D1862" s="20" t="s">
        <v>2975</v>
      </c>
      <c r="E1862" s="20">
        <v>9.19819148445E11</v>
      </c>
      <c r="F1862" s="21">
        <v>18254.0</v>
      </c>
      <c r="G1862" s="20"/>
      <c r="H1862" s="20" t="s">
        <v>2911</v>
      </c>
      <c r="I1862" s="20"/>
      <c r="J1862" s="20">
        <v>6.0</v>
      </c>
      <c r="K1862" s="20">
        <v>599.0</v>
      </c>
      <c r="L1862" s="20"/>
      <c r="M1862" s="20">
        <v>599.0</v>
      </c>
      <c r="N1862" s="5" t="s">
        <v>67</v>
      </c>
      <c r="O1862" s="20" t="b">
        <v>0</v>
      </c>
      <c r="P1862" s="20" t="s">
        <v>68</v>
      </c>
      <c r="Q1862" s="20" t="s">
        <v>69</v>
      </c>
      <c r="R1862" s="20" t="s">
        <v>2913</v>
      </c>
      <c r="T1862" s="20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</row>
    <row r="1863">
      <c r="A1863" s="15" t="s">
        <v>7840</v>
      </c>
      <c r="B1863" s="19" t="s">
        <v>2956</v>
      </c>
      <c r="C1863" s="20">
        <v>50066.0</v>
      </c>
      <c r="D1863" s="20" t="s">
        <v>2955</v>
      </c>
      <c r="E1863" s="20">
        <v>9.19901478725E11</v>
      </c>
      <c r="F1863" s="21">
        <v>18077.0</v>
      </c>
      <c r="G1863" s="20"/>
      <c r="H1863" s="20" t="s">
        <v>2911</v>
      </c>
      <c r="I1863" s="20"/>
      <c r="J1863" s="20">
        <v>6.0</v>
      </c>
      <c r="K1863" s="20">
        <v>599.0</v>
      </c>
      <c r="L1863" s="20"/>
      <c r="M1863" s="20">
        <v>599.0</v>
      </c>
      <c r="N1863" s="5" t="s">
        <v>67</v>
      </c>
      <c r="O1863" s="20" t="b">
        <v>0</v>
      </c>
      <c r="P1863" s="20" t="s">
        <v>97</v>
      </c>
      <c r="Q1863" s="20" t="s">
        <v>69</v>
      </c>
      <c r="R1863" s="20" t="s">
        <v>2913</v>
      </c>
      <c r="T1863" s="20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</row>
    <row r="1864">
      <c r="A1864" s="15" t="s">
        <v>7841</v>
      </c>
      <c r="B1864" s="19" t="s">
        <v>5769</v>
      </c>
      <c r="C1864" s="20">
        <v>50033.0</v>
      </c>
      <c r="D1864" s="20" t="s">
        <v>5768</v>
      </c>
      <c r="E1864" s="20">
        <v>9.18105131224E11</v>
      </c>
      <c r="F1864" s="21">
        <v>18165.0</v>
      </c>
      <c r="G1864" s="20"/>
      <c r="H1864" s="20" t="s">
        <v>1727</v>
      </c>
      <c r="I1864" s="20"/>
      <c r="J1864" s="20">
        <v>1.0</v>
      </c>
      <c r="K1864" s="20">
        <v>99.0</v>
      </c>
      <c r="L1864" s="20"/>
      <c r="M1864" s="20">
        <v>99.0</v>
      </c>
      <c r="N1864" s="5" t="s">
        <v>67</v>
      </c>
      <c r="O1864" s="20" t="b">
        <v>0</v>
      </c>
      <c r="P1864" s="20" t="s">
        <v>68</v>
      </c>
      <c r="Q1864" s="20" t="s">
        <v>69</v>
      </c>
      <c r="R1864" s="20" t="s">
        <v>5731</v>
      </c>
      <c r="T1864" s="20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</row>
    <row r="1865">
      <c r="A1865" s="15" t="s">
        <v>7971</v>
      </c>
      <c r="B1865" s="19" t="s">
        <v>5785</v>
      </c>
      <c r="C1865" s="20">
        <v>50033.0</v>
      </c>
      <c r="D1865" s="20" t="s">
        <v>5784</v>
      </c>
      <c r="E1865" s="20">
        <v>9.19004784288E11</v>
      </c>
      <c r="F1865" s="21">
        <v>18259.0</v>
      </c>
      <c r="G1865" s="20"/>
      <c r="H1865" s="20" t="s">
        <v>1727</v>
      </c>
      <c r="I1865" s="20"/>
      <c r="J1865" s="20">
        <v>1.0</v>
      </c>
      <c r="K1865" s="20">
        <v>99.0</v>
      </c>
      <c r="L1865" s="20"/>
      <c r="M1865" s="20">
        <v>99.0</v>
      </c>
      <c r="N1865" s="5" t="s">
        <v>67</v>
      </c>
      <c r="O1865" s="20" t="b">
        <v>0</v>
      </c>
      <c r="P1865" s="20" t="s">
        <v>68</v>
      </c>
      <c r="Q1865" s="20" t="s">
        <v>69</v>
      </c>
      <c r="R1865" s="20" t="s">
        <v>5731</v>
      </c>
      <c r="T1865" s="20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</row>
    <row r="1866">
      <c r="A1866" s="15" t="s">
        <v>7972</v>
      </c>
      <c r="B1866" s="19" t="s">
        <v>2978</v>
      </c>
      <c r="C1866" s="20">
        <v>50066.0</v>
      </c>
      <c r="D1866" s="20" t="s">
        <v>2977</v>
      </c>
      <c r="E1866" s="20">
        <v>9.19223248831E11</v>
      </c>
      <c r="F1866" s="21">
        <v>18258.0</v>
      </c>
      <c r="G1866" s="20"/>
      <c r="H1866" s="20" t="s">
        <v>2911</v>
      </c>
      <c r="I1866" s="20"/>
      <c r="J1866" s="20">
        <v>3.0</v>
      </c>
      <c r="K1866" s="20">
        <v>399.0</v>
      </c>
      <c r="L1866" s="20"/>
      <c r="M1866" s="20">
        <v>399.0</v>
      </c>
      <c r="N1866" s="5" t="s">
        <v>67</v>
      </c>
      <c r="O1866" s="20" t="b">
        <v>0</v>
      </c>
      <c r="P1866" s="20" t="s">
        <v>97</v>
      </c>
      <c r="Q1866" s="20" t="s">
        <v>69</v>
      </c>
      <c r="R1866" s="20" t="s">
        <v>2913</v>
      </c>
      <c r="T1866" s="20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</row>
    <row r="1867">
      <c r="A1867" s="15" t="s">
        <v>7974</v>
      </c>
      <c r="B1867" s="19" t="s">
        <v>5857</v>
      </c>
      <c r="C1867" s="20">
        <v>50054.0</v>
      </c>
      <c r="D1867" s="20" t="s">
        <v>5856</v>
      </c>
      <c r="E1867" s="20">
        <v>9.1850489113E11</v>
      </c>
      <c r="F1867" s="21">
        <v>18263.0</v>
      </c>
      <c r="G1867" s="20"/>
      <c r="H1867" s="20" t="s">
        <v>5822</v>
      </c>
      <c r="I1867" s="20"/>
      <c r="J1867" s="20">
        <v>1.0</v>
      </c>
      <c r="K1867" s="20">
        <v>99.0</v>
      </c>
      <c r="L1867" s="20"/>
      <c r="M1867" s="20">
        <v>99.0</v>
      </c>
      <c r="N1867" s="5" t="s">
        <v>67</v>
      </c>
      <c r="O1867" s="20" t="b">
        <v>0</v>
      </c>
      <c r="P1867" s="20" t="s">
        <v>68</v>
      </c>
      <c r="Q1867" s="20" t="s">
        <v>69</v>
      </c>
      <c r="R1867" s="20" t="s">
        <v>5824</v>
      </c>
      <c r="T1867" s="20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</row>
    <row r="1868">
      <c r="A1868" s="15" t="s">
        <v>7975</v>
      </c>
      <c r="B1868" s="19" t="s">
        <v>3079</v>
      </c>
      <c r="C1868" s="20">
        <v>49991.0</v>
      </c>
      <c r="D1868" s="20" t="s">
        <v>3078</v>
      </c>
      <c r="E1868" s="20">
        <v>9.19182272042E11</v>
      </c>
      <c r="F1868" s="21">
        <v>18265.0</v>
      </c>
      <c r="G1868" s="20"/>
      <c r="H1868" s="20" t="s">
        <v>3055</v>
      </c>
      <c r="I1868" s="20"/>
      <c r="J1868" s="20">
        <v>6.0</v>
      </c>
      <c r="K1868" s="20">
        <v>349.0</v>
      </c>
      <c r="L1868" s="20"/>
      <c r="M1868" s="20">
        <v>349.0</v>
      </c>
      <c r="N1868" s="5" t="s">
        <v>67</v>
      </c>
      <c r="O1868" s="20" t="b">
        <v>0</v>
      </c>
      <c r="P1868" s="20" t="s">
        <v>68</v>
      </c>
      <c r="Q1868" s="20" t="s">
        <v>69</v>
      </c>
      <c r="R1868" s="20" t="s">
        <v>3057</v>
      </c>
      <c r="T1868" s="20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</row>
    <row r="1869">
      <c r="A1869" s="15" t="s">
        <v>7855</v>
      </c>
      <c r="B1869" s="19" t="s">
        <v>6521</v>
      </c>
      <c r="C1869" s="20">
        <v>50073.0</v>
      </c>
      <c r="D1869" s="20" t="s">
        <v>6520</v>
      </c>
      <c r="E1869" s="20">
        <v>9.19490710175E11</v>
      </c>
      <c r="F1869" s="22" t="s">
        <v>12593</v>
      </c>
      <c r="G1869" s="20"/>
      <c r="H1869" s="20" t="s">
        <v>6466</v>
      </c>
      <c r="I1869" s="20"/>
      <c r="J1869" s="20">
        <v>1.0</v>
      </c>
      <c r="K1869" s="20">
        <v>599.0</v>
      </c>
      <c r="L1869" s="20"/>
      <c r="M1869" s="20">
        <v>599.0</v>
      </c>
      <c r="N1869" s="5" t="s">
        <v>67</v>
      </c>
      <c r="O1869" s="20" t="b">
        <v>0</v>
      </c>
      <c r="P1869" s="20" t="s">
        <v>68</v>
      </c>
      <c r="Q1869" s="20" t="s">
        <v>69</v>
      </c>
      <c r="R1869" s="20" t="s">
        <v>6497</v>
      </c>
      <c r="T1869" s="20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</row>
    <row r="1870">
      <c r="A1870" s="15" t="s">
        <v>7976</v>
      </c>
      <c r="B1870" s="19" t="s">
        <v>6227</v>
      </c>
      <c r="C1870" s="20">
        <v>50046.0</v>
      </c>
      <c r="D1870" s="20" t="s">
        <v>6226</v>
      </c>
      <c r="E1870" s="20">
        <v>9.17744007007E11</v>
      </c>
      <c r="F1870" s="21">
        <v>18361.0</v>
      </c>
      <c r="G1870" s="20"/>
      <c r="H1870" s="20" t="s">
        <v>6217</v>
      </c>
      <c r="I1870" s="20"/>
      <c r="J1870" s="20">
        <v>1.0</v>
      </c>
      <c r="K1870" s="20">
        <v>99.0</v>
      </c>
      <c r="L1870" s="20"/>
      <c r="M1870" s="20">
        <v>99.0</v>
      </c>
      <c r="N1870" s="5" t="s">
        <v>67</v>
      </c>
      <c r="O1870" s="20" t="b">
        <v>0</v>
      </c>
      <c r="P1870" s="20" t="s">
        <v>68</v>
      </c>
      <c r="Q1870" s="20" t="s">
        <v>69</v>
      </c>
      <c r="R1870" s="20" t="s">
        <v>6219</v>
      </c>
      <c r="T1870" s="20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</row>
    <row r="1871">
      <c r="A1871" s="15" t="s">
        <v>7852</v>
      </c>
      <c r="B1871" s="19" t="s">
        <v>6517</v>
      </c>
      <c r="C1871" s="20">
        <v>50073.0</v>
      </c>
      <c r="D1871" s="20" t="s">
        <v>6516</v>
      </c>
      <c r="E1871" s="20">
        <v>9.1897477379E11</v>
      </c>
      <c r="F1871" s="21">
        <v>18205.0</v>
      </c>
      <c r="G1871" s="20"/>
      <c r="H1871" s="20" t="s">
        <v>6466</v>
      </c>
      <c r="I1871" s="20"/>
      <c r="J1871" s="20">
        <v>1.0</v>
      </c>
      <c r="K1871" s="20">
        <v>599.0</v>
      </c>
      <c r="L1871" s="20"/>
      <c r="M1871" s="20">
        <v>599.0</v>
      </c>
      <c r="N1871" s="5" t="s">
        <v>67</v>
      </c>
      <c r="O1871" s="20" t="b">
        <v>0</v>
      </c>
      <c r="P1871" s="20" t="s">
        <v>68</v>
      </c>
      <c r="Q1871" s="20" t="s">
        <v>69</v>
      </c>
      <c r="R1871" s="20" t="s">
        <v>6497</v>
      </c>
      <c r="T1871" s="20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</row>
    <row r="1872">
      <c r="A1872" s="15" t="s">
        <v>7853</v>
      </c>
      <c r="B1872" s="19" t="s">
        <v>5349</v>
      </c>
      <c r="C1872" s="20">
        <v>49995.0</v>
      </c>
      <c r="D1872" s="20" t="s">
        <v>5348</v>
      </c>
      <c r="E1872" s="20">
        <v>9.18414908487E11</v>
      </c>
      <c r="F1872" s="21">
        <v>18175.0</v>
      </c>
      <c r="G1872" s="20"/>
      <c r="H1872" s="20" t="s">
        <v>5321</v>
      </c>
      <c r="I1872" s="20"/>
      <c r="J1872" s="20">
        <v>1.0</v>
      </c>
      <c r="K1872" s="20">
        <v>99.0</v>
      </c>
      <c r="L1872" s="20"/>
      <c r="M1872" s="20">
        <v>99.0</v>
      </c>
      <c r="N1872" s="5" t="s">
        <v>67</v>
      </c>
      <c r="O1872" s="20" t="b">
        <v>0</v>
      </c>
      <c r="P1872" s="20" t="s">
        <v>151</v>
      </c>
      <c r="Q1872" s="20" t="s">
        <v>69</v>
      </c>
      <c r="R1872" s="20" t="s">
        <v>5323</v>
      </c>
      <c r="T1872" s="20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</row>
    <row r="1873">
      <c r="A1873" s="15" t="s">
        <v>7854</v>
      </c>
      <c r="B1873" s="19" t="s">
        <v>6519</v>
      </c>
      <c r="C1873" s="20">
        <v>50073.0</v>
      </c>
      <c r="D1873" s="20" t="s">
        <v>6518</v>
      </c>
      <c r="E1873" s="20">
        <v>9.18146310036E11</v>
      </c>
      <c r="F1873" s="21">
        <v>18174.0</v>
      </c>
      <c r="G1873" s="20"/>
      <c r="H1873" s="20" t="s">
        <v>6466</v>
      </c>
      <c r="I1873" s="20"/>
      <c r="J1873" s="20">
        <v>1.0</v>
      </c>
      <c r="K1873" s="20">
        <v>599.0</v>
      </c>
      <c r="L1873" s="20"/>
      <c r="M1873" s="20">
        <v>599.0</v>
      </c>
      <c r="N1873" s="5" t="s">
        <v>67</v>
      </c>
      <c r="O1873" s="20" t="b">
        <v>0</v>
      </c>
      <c r="P1873" s="20" t="s">
        <v>74</v>
      </c>
      <c r="Q1873" s="20" t="s">
        <v>69</v>
      </c>
      <c r="R1873" s="20" t="s">
        <v>6497</v>
      </c>
      <c r="T1873" s="20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</row>
    <row r="1874">
      <c r="A1874" s="15" t="s">
        <v>7977</v>
      </c>
      <c r="B1874" s="19" t="s">
        <v>2980</v>
      </c>
      <c r="C1874" s="20">
        <v>50066.0</v>
      </c>
      <c r="D1874" s="20" t="s">
        <v>2979</v>
      </c>
      <c r="E1874" s="20">
        <v>9.19821269901E11</v>
      </c>
      <c r="F1874" s="21">
        <v>0.0</v>
      </c>
      <c r="G1874" s="20"/>
      <c r="H1874" s="20" t="s">
        <v>2911</v>
      </c>
      <c r="I1874" s="20"/>
      <c r="J1874" s="20">
        <v>1.0</v>
      </c>
      <c r="K1874" s="20">
        <v>199.0</v>
      </c>
      <c r="L1874" s="20"/>
      <c r="M1874" s="20">
        <v>199.0</v>
      </c>
      <c r="N1874" s="5" t="s">
        <v>67</v>
      </c>
      <c r="O1874" s="20" t="b">
        <v>0</v>
      </c>
      <c r="P1874" s="20" t="s">
        <v>68</v>
      </c>
      <c r="Q1874" s="20" t="s">
        <v>69</v>
      </c>
      <c r="R1874" s="20" t="s">
        <v>2913</v>
      </c>
      <c r="T1874" s="20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</row>
    <row r="1875">
      <c r="A1875" s="15" t="s">
        <v>7857</v>
      </c>
      <c r="B1875" s="19" t="s">
        <v>5771</v>
      </c>
      <c r="C1875" s="20">
        <v>50033.0</v>
      </c>
      <c r="D1875" s="20" t="s">
        <v>5770</v>
      </c>
      <c r="E1875" s="20">
        <v>9.18805407352E11</v>
      </c>
      <c r="F1875" s="21">
        <v>18188.0</v>
      </c>
      <c r="G1875" s="20"/>
      <c r="H1875" s="20" t="s">
        <v>1727</v>
      </c>
      <c r="I1875" s="20"/>
      <c r="J1875" s="20">
        <v>6.0</v>
      </c>
      <c r="K1875" s="20">
        <v>349.0</v>
      </c>
      <c r="L1875" s="20"/>
      <c r="M1875" s="20">
        <v>349.0</v>
      </c>
      <c r="N1875" s="5" t="s">
        <v>67</v>
      </c>
      <c r="O1875" s="20" t="b">
        <v>0</v>
      </c>
      <c r="P1875" s="20" t="s">
        <v>74</v>
      </c>
      <c r="Q1875" s="20" t="s">
        <v>69</v>
      </c>
      <c r="R1875" s="20" t="s">
        <v>5731</v>
      </c>
      <c r="T1875" s="20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</row>
    <row r="1876">
      <c r="A1876" s="15" t="s">
        <v>7859</v>
      </c>
      <c r="B1876" s="19" t="s">
        <v>5771</v>
      </c>
      <c r="C1876" s="20">
        <v>50054.0</v>
      </c>
      <c r="D1876" s="20" t="s">
        <v>5847</v>
      </c>
      <c r="E1876" s="20">
        <v>9.19986777072E11</v>
      </c>
      <c r="F1876" s="21">
        <v>18176.0</v>
      </c>
      <c r="G1876" s="20"/>
      <c r="H1876" s="20" t="s">
        <v>5822</v>
      </c>
      <c r="I1876" s="20"/>
      <c r="J1876" s="20">
        <v>6.0</v>
      </c>
      <c r="K1876" s="20">
        <v>349.0</v>
      </c>
      <c r="L1876" s="20"/>
      <c r="M1876" s="20">
        <v>349.0</v>
      </c>
      <c r="N1876" s="5" t="s">
        <v>67</v>
      </c>
      <c r="O1876" s="20" t="b">
        <v>0</v>
      </c>
      <c r="P1876" s="20" t="s">
        <v>68</v>
      </c>
      <c r="Q1876" s="20" t="s">
        <v>69</v>
      </c>
      <c r="R1876" s="20" t="s">
        <v>5824</v>
      </c>
      <c r="T1876" s="20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</row>
    <row r="1877">
      <c r="A1877" s="15" t="s">
        <v>7860</v>
      </c>
      <c r="B1877" s="19" t="s">
        <v>5137</v>
      </c>
      <c r="C1877" s="20">
        <v>49813.0</v>
      </c>
      <c r="D1877" s="20" t="s">
        <v>5136</v>
      </c>
      <c r="E1877" s="20">
        <v>9.18335898058E11</v>
      </c>
      <c r="F1877" s="21">
        <v>18196.0</v>
      </c>
      <c r="G1877" s="20"/>
      <c r="H1877" s="20" t="s">
        <v>5114</v>
      </c>
      <c r="I1877" s="20"/>
      <c r="J1877" s="20">
        <v>1.0</v>
      </c>
      <c r="K1877" s="20">
        <v>299.0</v>
      </c>
      <c r="L1877" s="20"/>
      <c r="M1877" s="20">
        <v>299.0</v>
      </c>
      <c r="N1877" s="5" t="s">
        <v>67</v>
      </c>
      <c r="O1877" s="20" t="b">
        <v>0</v>
      </c>
      <c r="P1877" s="20" t="s">
        <v>68</v>
      </c>
      <c r="Q1877" s="20" t="s">
        <v>69</v>
      </c>
      <c r="R1877" s="20" t="s">
        <v>5116</v>
      </c>
      <c r="T1877" s="20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</row>
    <row r="1878">
      <c r="A1878" s="15" t="s">
        <v>7861</v>
      </c>
      <c r="B1878" s="19" t="s">
        <v>5849</v>
      </c>
      <c r="C1878" s="20">
        <v>50054.0</v>
      </c>
      <c r="D1878" s="20" t="s">
        <v>5848</v>
      </c>
      <c r="E1878" s="20">
        <v>9.1910666261E11</v>
      </c>
      <c r="F1878" s="21">
        <v>0.0</v>
      </c>
      <c r="G1878" s="20"/>
      <c r="H1878" s="20" t="s">
        <v>5822</v>
      </c>
      <c r="I1878" s="20"/>
      <c r="J1878" s="20">
        <v>3.0</v>
      </c>
      <c r="K1878" s="20">
        <v>199.0</v>
      </c>
      <c r="L1878" s="20"/>
      <c r="M1878" s="20">
        <v>199.0</v>
      </c>
      <c r="N1878" s="5" t="s">
        <v>67</v>
      </c>
      <c r="O1878" s="20" t="b">
        <v>0</v>
      </c>
      <c r="P1878" s="20" t="s">
        <v>68</v>
      </c>
      <c r="Q1878" s="20" t="s">
        <v>69</v>
      </c>
      <c r="R1878" s="20" t="s">
        <v>5824</v>
      </c>
      <c r="T1878" s="20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</row>
    <row r="1879">
      <c r="A1879" s="15" t="s">
        <v>7863</v>
      </c>
      <c r="B1879" s="19" t="s">
        <v>5351</v>
      </c>
      <c r="C1879" s="20">
        <v>49995.0</v>
      </c>
      <c r="D1879" s="20" t="s">
        <v>5350</v>
      </c>
      <c r="E1879" s="20">
        <v>9.18095609662E11</v>
      </c>
      <c r="F1879" s="21">
        <v>18235.0</v>
      </c>
      <c r="G1879" s="20"/>
      <c r="H1879" s="20" t="s">
        <v>5321</v>
      </c>
      <c r="I1879" s="20"/>
      <c r="J1879" s="20">
        <v>1.0</v>
      </c>
      <c r="K1879" s="20">
        <v>99.0</v>
      </c>
      <c r="L1879" s="20"/>
      <c r="M1879" s="20">
        <v>99.0</v>
      </c>
      <c r="N1879" s="5" t="s">
        <v>67</v>
      </c>
      <c r="O1879" s="20" t="b">
        <v>0</v>
      </c>
      <c r="P1879" s="20" t="s">
        <v>68</v>
      </c>
      <c r="Q1879" s="20" t="s">
        <v>69</v>
      </c>
      <c r="R1879" s="20" t="s">
        <v>5323</v>
      </c>
      <c r="T1879" s="20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</row>
    <row r="1880">
      <c r="A1880" s="15" t="s">
        <v>7865</v>
      </c>
      <c r="B1880" s="19" t="s">
        <v>4582</v>
      </c>
      <c r="C1880" s="20">
        <v>50031.0</v>
      </c>
      <c r="D1880" s="20" t="s">
        <v>4581</v>
      </c>
      <c r="E1880" s="20">
        <v>9.193233023E11</v>
      </c>
      <c r="F1880" s="21">
        <v>18179.0</v>
      </c>
      <c r="G1880" s="20"/>
      <c r="H1880" s="20" t="s">
        <v>4561</v>
      </c>
      <c r="I1880" s="20"/>
      <c r="J1880" s="20">
        <v>1.0</v>
      </c>
      <c r="K1880" s="20">
        <v>99.0</v>
      </c>
      <c r="L1880" s="20"/>
      <c r="M1880" s="20">
        <v>99.0</v>
      </c>
      <c r="N1880" s="5" t="s">
        <v>67</v>
      </c>
      <c r="O1880" s="20" t="b">
        <v>0</v>
      </c>
      <c r="P1880" s="20" t="s">
        <v>74</v>
      </c>
      <c r="Q1880" s="20" t="s">
        <v>69</v>
      </c>
      <c r="R1880" s="20" t="s">
        <v>4563</v>
      </c>
      <c r="T1880" s="20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</row>
    <row r="1881">
      <c r="A1881" s="15" t="s">
        <v>7866</v>
      </c>
      <c r="B1881" s="19" t="s">
        <v>2610</v>
      </c>
      <c r="C1881" s="20">
        <v>50065.0</v>
      </c>
      <c r="D1881" s="20" t="s">
        <v>2609</v>
      </c>
      <c r="E1881" s="20">
        <v>9.19029034977E11</v>
      </c>
      <c r="F1881" s="21">
        <v>18178.0</v>
      </c>
      <c r="G1881" s="20"/>
      <c r="H1881" s="20" t="s">
        <v>2601</v>
      </c>
      <c r="I1881" s="20"/>
      <c r="J1881" s="20">
        <v>6.0</v>
      </c>
      <c r="K1881" s="20">
        <v>349.0</v>
      </c>
      <c r="L1881" s="20"/>
      <c r="M1881" s="20">
        <v>349.0</v>
      </c>
      <c r="N1881" s="5" t="s">
        <v>67</v>
      </c>
      <c r="O1881" s="20" t="b">
        <v>0</v>
      </c>
      <c r="P1881" s="20" t="s">
        <v>68</v>
      </c>
      <c r="Q1881" s="20" t="s">
        <v>69</v>
      </c>
      <c r="R1881" s="20" t="s">
        <v>2604</v>
      </c>
      <c r="T1881" s="20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</row>
    <row r="1882">
      <c r="A1882" s="15" t="s">
        <v>7978</v>
      </c>
      <c r="B1882" s="19" t="s">
        <v>3023</v>
      </c>
      <c r="C1882" s="20">
        <v>50020.0</v>
      </c>
      <c r="D1882" s="20" t="s">
        <v>3022</v>
      </c>
      <c r="E1882" s="20">
        <v>9.1981866139E11</v>
      </c>
      <c r="F1882" s="21">
        <v>18266.0</v>
      </c>
      <c r="G1882" s="20"/>
      <c r="H1882" s="20" t="s">
        <v>3008</v>
      </c>
      <c r="I1882" s="20"/>
      <c r="J1882" s="20">
        <v>3.0</v>
      </c>
      <c r="K1882" s="20">
        <v>199.0</v>
      </c>
      <c r="L1882" s="20"/>
      <c r="M1882" s="20">
        <v>199.0</v>
      </c>
      <c r="N1882" s="5" t="s">
        <v>67</v>
      </c>
      <c r="O1882" s="20" t="b">
        <v>0</v>
      </c>
      <c r="P1882" s="20" t="s">
        <v>74</v>
      </c>
      <c r="Q1882" s="20" t="s">
        <v>69</v>
      </c>
      <c r="R1882" s="20" t="s">
        <v>3010</v>
      </c>
      <c r="T1882" s="20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</row>
    <row r="1883">
      <c r="A1883" s="15" t="s">
        <v>7979</v>
      </c>
      <c r="B1883" s="19" t="s">
        <v>4594</v>
      </c>
      <c r="C1883" s="20">
        <v>50031.0</v>
      </c>
      <c r="D1883" s="20" t="s">
        <v>4593</v>
      </c>
      <c r="E1883" s="20">
        <v>9.19999002861E11</v>
      </c>
      <c r="F1883" s="21">
        <v>18267.0</v>
      </c>
      <c r="G1883" s="20"/>
      <c r="H1883" s="20" t="s">
        <v>4561</v>
      </c>
      <c r="I1883" s="20"/>
      <c r="J1883" s="20">
        <v>1.0</v>
      </c>
      <c r="K1883" s="20">
        <v>99.0</v>
      </c>
      <c r="L1883" s="20"/>
      <c r="M1883" s="20">
        <v>99.0</v>
      </c>
      <c r="N1883" s="5" t="s">
        <v>67</v>
      </c>
      <c r="O1883" s="20" t="b">
        <v>0</v>
      </c>
      <c r="P1883" s="20" t="s">
        <v>68</v>
      </c>
      <c r="Q1883" s="20" t="s">
        <v>69</v>
      </c>
      <c r="R1883" s="20" t="s">
        <v>4563</v>
      </c>
      <c r="T1883" s="20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</row>
    <row r="1884">
      <c r="A1884" s="15" t="s">
        <v>7980</v>
      </c>
      <c r="B1884" s="19" t="s">
        <v>2616</v>
      </c>
      <c r="C1884" s="20">
        <v>50065.0</v>
      </c>
      <c r="D1884" s="20" t="s">
        <v>2615</v>
      </c>
      <c r="E1884" s="20">
        <v>9.1944434545E11</v>
      </c>
      <c r="F1884" s="21">
        <v>18268.0</v>
      </c>
      <c r="G1884" s="20"/>
      <c r="H1884" s="20" t="s">
        <v>2601</v>
      </c>
      <c r="I1884" s="20"/>
      <c r="J1884" s="20">
        <v>1.0</v>
      </c>
      <c r="K1884" s="20">
        <v>99.0</v>
      </c>
      <c r="L1884" s="20"/>
      <c r="M1884" s="20">
        <v>99.0</v>
      </c>
      <c r="N1884" s="5" t="s">
        <v>67</v>
      </c>
      <c r="O1884" s="20" t="b">
        <v>0</v>
      </c>
      <c r="P1884" s="20" t="s">
        <v>68</v>
      </c>
      <c r="Q1884" s="20" t="s">
        <v>69</v>
      </c>
      <c r="R1884" s="20" t="s">
        <v>2604</v>
      </c>
      <c r="T1884" s="20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</row>
    <row r="1885">
      <c r="A1885" s="15" t="s">
        <v>7981</v>
      </c>
      <c r="B1885" s="19" t="s">
        <v>5809</v>
      </c>
      <c r="C1885" s="20">
        <v>50033.0</v>
      </c>
      <c r="D1885" s="20" t="s">
        <v>5808</v>
      </c>
      <c r="E1885" s="20">
        <v>9.18553620735E11</v>
      </c>
      <c r="F1885" s="21">
        <v>18269.0</v>
      </c>
      <c r="G1885" s="20"/>
      <c r="H1885" s="20" t="s">
        <v>1727</v>
      </c>
      <c r="I1885" s="20"/>
      <c r="J1885" s="20">
        <v>1.0</v>
      </c>
      <c r="K1885" s="20">
        <v>99.0</v>
      </c>
      <c r="L1885" s="20"/>
      <c r="M1885" s="20">
        <v>99.0</v>
      </c>
      <c r="N1885" s="5" t="s">
        <v>67</v>
      </c>
      <c r="O1885" s="20" t="b">
        <v>0</v>
      </c>
      <c r="P1885" s="20" t="s">
        <v>68</v>
      </c>
      <c r="Q1885" s="20" t="s">
        <v>69</v>
      </c>
      <c r="R1885" s="20" t="s">
        <v>5731</v>
      </c>
      <c r="T1885" s="20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</row>
    <row r="1886">
      <c r="A1886" s="15" t="s">
        <v>7870</v>
      </c>
      <c r="B1886" s="19" t="s">
        <v>5425</v>
      </c>
      <c r="C1886" s="20">
        <v>50040.0</v>
      </c>
      <c r="D1886" s="20" t="s">
        <v>5424</v>
      </c>
      <c r="E1886" s="20">
        <v>9.19967023145E11</v>
      </c>
      <c r="F1886" s="21">
        <v>0.0</v>
      </c>
      <c r="G1886" s="20"/>
      <c r="H1886" s="20" t="s">
        <v>5400</v>
      </c>
      <c r="I1886" s="20"/>
      <c r="J1886" s="20">
        <v>1.0</v>
      </c>
      <c r="K1886" s="20">
        <v>99.0</v>
      </c>
      <c r="L1886" s="20"/>
      <c r="M1886" s="20">
        <v>99.0</v>
      </c>
      <c r="N1886" s="5" t="s">
        <v>67</v>
      </c>
      <c r="O1886" s="20" t="b">
        <v>0</v>
      </c>
      <c r="P1886" s="20" t="s">
        <v>68</v>
      </c>
      <c r="Q1886" s="20" t="s">
        <v>69</v>
      </c>
      <c r="R1886" s="20" t="s">
        <v>5402</v>
      </c>
      <c r="T1886" s="20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</row>
    <row r="1887">
      <c r="A1887" s="15" t="s">
        <v>7867</v>
      </c>
      <c r="B1887" s="19" t="s">
        <v>3292</v>
      </c>
      <c r="C1887" s="20">
        <v>49992.0</v>
      </c>
      <c r="D1887" s="20" t="s">
        <v>3291</v>
      </c>
      <c r="E1887" s="20">
        <v>9.19162098228E11</v>
      </c>
      <c r="F1887" s="21">
        <v>18183.0</v>
      </c>
      <c r="G1887" s="20"/>
      <c r="H1887" s="20" t="s">
        <v>3286</v>
      </c>
      <c r="I1887" s="20"/>
      <c r="J1887" s="20">
        <v>3.0</v>
      </c>
      <c r="K1887" s="20">
        <v>199.0</v>
      </c>
      <c r="L1887" s="20"/>
      <c r="M1887" s="20">
        <v>199.0</v>
      </c>
      <c r="N1887" s="5" t="s">
        <v>67</v>
      </c>
      <c r="O1887" s="20" t="b">
        <v>0</v>
      </c>
      <c r="P1887" s="20" t="s">
        <v>68</v>
      </c>
      <c r="Q1887" s="20" t="s">
        <v>69</v>
      </c>
      <c r="R1887" s="20" t="s">
        <v>3288</v>
      </c>
      <c r="T1887" s="20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</row>
    <row r="1888">
      <c r="A1888" s="15" t="s">
        <v>7868</v>
      </c>
      <c r="B1888" s="19" t="s">
        <v>4801</v>
      </c>
      <c r="C1888" s="20">
        <v>49996.0</v>
      </c>
      <c r="D1888" s="20" t="s">
        <v>4800</v>
      </c>
      <c r="E1888" s="20">
        <v>9.1965770366E11</v>
      </c>
      <c r="F1888" s="21">
        <v>18185.0</v>
      </c>
      <c r="G1888" s="20"/>
      <c r="H1888" s="20" t="s">
        <v>4796</v>
      </c>
      <c r="I1888" s="20"/>
      <c r="J1888" s="20">
        <v>1.0</v>
      </c>
      <c r="K1888" s="20">
        <v>99.0</v>
      </c>
      <c r="L1888" s="20"/>
      <c r="M1888" s="20">
        <v>99.0</v>
      </c>
      <c r="N1888" s="5" t="s">
        <v>67</v>
      </c>
      <c r="O1888" s="20" t="b">
        <v>0</v>
      </c>
      <c r="P1888" s="20" t="s">
        <v>68</v>
      </c>
      <c r="Q1888" s="20" t="s">
        <v>69</v>
      </c>
      <c r="R1888" s="20" t="s">
        <v>4799</v>
      </c>
      <c r="T1888" s="20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</row>
    <row r="1889">
      <c r="A1889" s="15" t="s">
        <v>7869</v>
      </c>
      <c r="B1889" s="19" t="s">
        <v>4801</v>
      </c>
      <c r="C1889" s="20">
        <v>50043.0</v>
      </c>
      <c r="D1889" s="20" t="s">
        <v>6375</v>
      </c>
      <c r="E1889" s="20">
        <v>9.18801850101E11</v>
      </c>
      <c r="F1889" s="21">
        <v>18184.0</v>
      </c>
      <c r="G1889" s="20"/>
      <c r="H1889" s="20" t="s">
        <v>6367</v>
      </c>
      <c r="I1889" s="20"/>
      <c r="J1889" s="20">
        <v>1.0</v>
      </c>
      <c r="K1889" s="20">
        <v>99.0</v>
      </c>
      <c r="L1889" s="20"/>
      <c r="M1889" s="20">
        <v>99.0</v>
      </c>
      <c r="N1889" s="5" t="s">
        <v>67</v>
      </c>
      <c r="O1889" s="20" t="b">
        <v>0</v>
      </c>
      <c r="P1889" s="20" t="s">
        <v>151</v>
      </c>
      <c r="Q1889" s="20" t="s">
        <v>69</v>
      </c>
      <c r="R1889" s="20" t="s">
        <v>6369</v>
      </c>
      <c r="T1889" s="20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</row>
    <row r="1890">
      <c r="A1890" s="15" t="s">
        <v>7984</v>
      </c>
      <c r="B1890" s="19" t="s">
        <v>2618</v>
      </c>
      <c r="C1890" s="20">
        <v>50065.0</v>
      </c>
      <c r="D1890" s="20" t="s">
        <v>2617</v>
      </c>
      <c r="E1890" s="20">
        <v>9.19825043461E11</v>
      </c>
      <c r="F1890" s="21">
        <v>18302.0</v>
      </c>
      <c r="G1890" s="20"/>
      <c r="H1890" s="20" t="s">
        <v>2601</v>
      </c>
      <c r="I1890" s="20"/>
      <c r="J1890" s="20">
        <v>6.0</v>
      </c>
      <c r="K1890" s="20">
        <v>349.0</v>
      </c>
      <c r="L1890" s="20"/>
      <c r="M1890" s="20">
        <v>349.0</v>
      </c>
      <c r="N1890" s="5" t="s">
        <v>67</v>
      </c>
      <c r="O1890" s="20" t="b">
        <v>0</v>
      </c>
      <c r="P1890" s="20" t="s">
        <v>74</v>
      </c>
      <c r="Q1890" s="20" t="s">
        <v>69</v>
      </c>
      <c r="R1890" s="20" t="s">
        <v>2604</v>
      </c>
      <c r="T1890" s="20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</row>
    <row r="1891">
      <c r="A1891" s="15" t="s">
        <v>7985</v>
      </c>
      <c r="B1891" s="19" t="s">
        <v>5795</v>
      </c>
      <c r="C1891" s="20">
        <v>50033.0</v>
      </c>
      <c r="D1891" s="20" t="s">
        <v>5794</v>
      </c>
      <c r="E1891" s="20">
        <v>9.19573955523E11</v>
      </c>
      <c r="F1891" s="21">
        <v>18270.0</v>
      </c>
      <c r="G1891" s="20"/>
      <c r="H1891" s="20" t="s">
        <v>1727</v>
      </c>
      <c r="I1891" s="20"/>
      <c r="J1891" s="20">
        <v>1.0</v>
      </c>
      <c r="K1891" s="20">
        <v>99.0</v>
      </c>
      <c r="L1891" s="20"/>
      <c r="M1891" s="20">
        <v>99.0</v>
      </c>
      <c r="N1891" s="5" t="s">
        <v>67</v>
      </c>
      <c r="O1891" s="20" t="b">
        <v>0</v>
      </c>
      <c r="P1891" s="20" t="s">
        <v>68</v>
      </c>
      <c r="Q1891" s="20" t="s">
        <v>69</v>
      </c>
      <c r="R1891" s="20" t="s">
        <v>5731</v>
      </c>
      <c r="T1891" s="20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</row>
    <row r="1892">
      <c r="A1892" s="15" t="s">
        <v>7986</v>
      </c>
      <c r="B1892" s="19" t="s">
        <v>4809</v>
      </c>
      <c r="C1892" s="20">
        <v>49996.0</v>
      </c>
      <c r="D1892" s="20" t="s">
        <v>4808</v>
      </c>
      <c r="E1892" s="20">
        <v>9.19814812512E11</v>
      </c>
      <c r="F1892" s="21">
        <v>18271.0</v>
      </c>
      <c r="G1892" s="20"/>
      <c r="H1892" s="20" t="s">
        <v>4796</v>
      </c>
      <c r="I1892" s="20"/>
      <c r="J1892" s="20">
        <v>1.0</v>
      </c>
      <c r="K1892" s="20">
        <v>99.0</v>
      </c>
      <c r="L1892" s="20"/>
      <c r="M1892" s="20">
        <v>99.0</v>
      </c>
      <c r="N1892" s="5" t="s">
        <v>67</v>
      </c>
      <c r="O1892" s="20" t="b">
        <v>0</v>
      </c>
      <c r="P1892" s="20" t="s">
        <v>151</v>
      </c>
      <c r="Q1892" s="20" t="s">
        <v>69</v>
      </c>
      <c r="R1892" s="20" t="s">
        <v>4799</v>
      </c>
      <c r="T1892" s="20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</row>
    <row r="1893">
      <c r="A1893" s="15" t="s">
        <v>7987</v>
      </c>
      <c r="B1893" s="19" t="s">
        <v>3080</v>
      </c>
      <c r="C1893" s="20">
        <v>49991.0</v>
      </c>
      <c r="D1893" s="20" t="s">
        <v>329</v>
      </c>
      <c r="E1893" s="20">
        <v>9.18492928227E11</v>
      </c>
      <c r="F1893" s="21">
        <v>17103.0</v>
      </c>
      <c r="G1893" s="20"/>
      <c r="H1893" s="20" t="s">
        <v>3055</v>
      </c>
      <c r="I1893" s="20"/>
      <c r="J1893" s="20">
        <v>3.0</v>
      </c>
      <c r="K1893" s="20">
        <v>199.0</v>
      </c>
      <c r="L1893" s="20"/>
      <c r="M1893" s="20">
        <v>199.0</v>
      </c>
      <c r="N1893" s="5" t="s">
        <v>67</v>
      </c>
      <c r="O1893" s="20" t="b">
        <v>0</v>
      </c>
      <c r="P1893" s="20" t="s">
        <v>74</v>
      </c>
      <c r="Q1893" s="20" t="s">
        <v>69</v>
      </c>
      <c r="R1893" s="20" t="s">
        <v>3057</v>
      </c>
      <c r="T1893" s="20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</row>
    <row r="1894">
      <c r="A1894" s="15" t="s">
        <v>7988</v>
      </c>
      <c r="B1894" s="19" t="s">
        <v>6214</v>
      </c>
      <c r="C1894" s="20">
        <v>49835.0</v>
      </c>
      <c r="D1894" s="20" t="s">
        <v>1607</v>
      </c>
      <c r="E1894" s="20">
        <v>9.19811238689E11</v>
      </c>
      <c r="F1894" s="21">
        <v>17047.0</v>
      </c>
      <c r="G1894" s="20"/>
      <c r="H1894" s="20" t="s">
        <v>6198</v>
      </c>
      <c r="I1894" s="20"/>
      <c r="J1894" s="20">
        <v>3.0</v>
      </c>
      <c r="K1894" s="20">
        <v>99.0</v>
      </c>
      <c r="L1894" s="20"/>
      <c r="M1894" s="20">
        <v>99.0</v>
      </c>
      <c r="N1894" s="5" t="s">
        <v>67</v>
      </c>
      <c r="O1894" s="20" t="b">
        <v>0</v>
      </c>
      <c r="P1894" s="20" t="s">
        <v>68</v>
      </c>
      <c r="Q1894" s="20" t="s">
        <v>69</v>
      </c>
      <c r="R1894" s="20" t="s">
        <v>3888</v>
      </c>
      <c r="T1894" s="20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</row>
    <row r="1895">
      <c r="A1895" s="15" t="s">
        <v>7994</v>
      </c>
      <c r="B1895" s="19" t="s">
        <v>6330</v>
      </c>
      <c r="C1895" s="20">
        <v>50044.0</v>
      </c>
      <c r="D1895" s="20" t="s">
        <v>6329</v>
      </c>
      <c r="E1895" s="20">
        <v>9.19910133144E11</v>
      </c>
      <c r="F1895" s="21">
        <v>18273.0</v>
      </c>
      <c r="G1895" s="20"/>
      <c r="H1895" s="20" t="s">
        <v>6320</v>
      </c>
      <c r="I1895" s="20"/>
      <c r="J1895" s="20">
        <v>1.0</v>
      </c>
      <c r="K1895" s="20">
        <v>599.0</v>
      </c>
      <c r="L1895" s="20"/>
      <c r="M1895" s="20">
        <v>599.0</v>
      </c>
      <c r="N1895" s="5" t="s">
        <v>67</v>
      </c>
      <c r="O1895" s="20" t="b">
        <v>0</v>
      </c>
      <c r="P1895" s="20" t="s">
        <v>68</v>
      </c>
      <c r="Q1895" s="20" t="s">
        <v>69</v>
      </c>
      <c r="R1895" s="20" t="s">
        <v>6322</v>
      </c>
      <c r="T1895" s="20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</row>
    <row r="1896">
      <c r="A1896" s="15" t="s">
        <v>7996</v>
      </c>
      <c r="B1896" s="19" t="s">
        <v>5799</v>
      </c>
      <c r="C1896" s="20">
        <v>50033.0</v>
      </c>
      <c r="D1896" s="20" t="s">
        <v>5798</v>
      </c>
      <c r="E1896" s="20">
        <v>9.17506182957E11</v>
      </c>
      <c r="F1896" s="21">
        <v>18274.0</v>
      </c>
      <c r="G1896" s="20"/>
      <c r="H1896" s="20" t="s">
        <v>1727</v>
      </c>
      <c r="I1896" s="20"/>
      <c r="J1896" s="20">
        <v>1.0</v>
      </c>
      <c r="K1896" s="20">
        <v>99.0</v>
      </c>
      <c r="L1896" s="20"/>
      <c r="M1896" s="20">
        <v>99.0</v>
      </c>
      <c r="N1896" s="5" t="s">
        <v>67</v>
      </c>
      <c r="O1896" s="20" t="b">
        <v>0</v>
      </c>
      <c r="P1896" s="20" t="s">
        <v>68</v>
      </c>
      <c r="Q1896" s="20" t="s">
        <v>69</v>
      </c>
      <c r="R1896" s="20" t="s">
        <v>5731</v>
      </c>
      <c r="T1896" s="20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</row>
    <row r="1897">
      <c r="A1897" s="15" t="s">
        <v>7998</v>
      </c>
      <c r="B1897" s="19" t="s">
        <v>5801</v>
      </c>
      <c r="C1897" s="20">
        <v>50033.0</v>
      </c>
      <c r="D1897" s="20" t="s">
        <v>5800</v>
      </c>
      <c r="E1897" s="20">
        <v>9.18850229627E11</v>
      </c>
      <c r="F1897" s="21">
        <v>18279.0</v>
      </c>
      <c r="G1897" s="20"/>
      <c r="H1897" s="20" t="s">
        <v>1727</v>
      </c>
      <c r="I1897" s="20"/>
      <c r="J1897" s="20">
        <v>1.0</v>
      </c>
      <c r="K1897" s="20">
        <v>99.0</v>
      </c>
      <c r="L1897" s="20"/>
      <c r="M1897" s="20">
        <v>99.0</v>
      </c>
      <c r="N1897" s="5" t="s">
        <v>67</v>
      </c>
      <c r="O1897" s="20" t="b">
        <v>0</v>
      </c>
      <c r="P1897" s="20" t="s">
        <v>68</v>
      </c>
      <c r="Q1897" s="20" t="s">
        <v>69</v>
      </c>
      <c r="R1897" s="20" t="s">
        <v>5731</v>
      </c>
      <c r="T1897" s="20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</row>
    <row r="1898">
      <c r="A1898" s="15" t="s">
        <v>8001</v>
      </c>
      <c r="B1898" s="19" t="s">
        <v>5861</v>
      </c>
      <c r="C1898" s="20">
        <v>50054.0</v>
      </c>
      <c r="D1898" s="20" t="s">
        <v>5860</v>
      </c>
      <c r="E1898" s="20">
        <v>9.19000775707E11</v>
      </c>
      <c r="F1898" s="21">
        <v>18276.0</v>
      </c>
      <c r="G1898" s="20"/>
      <c r="H1898" s="20" t="s">
        <v>5822</v>
      </c>
      <c r="I1898" s="20"/>
      <c r="J1898" s="20">
        <v>6.0</v>
      </c>
      <c r="K1898" s="20">
        <v>349.0</v>
      </c>
      <c r="L1898" s="20"/>
      <c r="M1898" s="20">
        <v>349.0</v>
      </c>
      <c r="N1898" s="5" t="s">
        <v>67</v>
      </c>
      <c r="O1898" s="20" t="b">
        <v>0</v>
      </c>
      <c r="P1898" s="20" t="s">
        <v>68</v>
      </c>
      <c r="Q1898" s="20" t="s">
        <v>69</v>
      </c>
      <c r="R1898" s="20" t="s">
        <v>5824</v>
      </c>
      <c r="T1898" s="20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</row>
    <row r="1899">
      <c r="A1899" s="15" t="s">
        <v>8002</v>
      </c>
      <c r="B1899" s="19" t="s">
        <v>3025</v>
      </c>
      <c r="C1899" s="20">
        <v>50020.0</v>
      </c>
      <c r="D1899" s="20" t="s">
        <v>3024</v>
      </c>
      <c r="E1899" s="20">
        <v>9.17006391899E11</v>
      </c>
      <c r="F1899" s="21">
        <v>18352.0</v>
      </c>
      <c r="G1899" s="20"/>
      <c r="H1899" s="20" t="s">
        <v>3008</v>
      </c>
      <c r="I1899" s="20"/>
      <c r="J1899" s="20">
        <v>1.0</v>
      </c>
      <c r="K1899" s="20">
        <v>99.0</v>
      </c>
      <c r="L1899" s="20"/>
      <c r="M1899" s="20">
        <v>99.0</v>
      </c>
      <c r="N1899" s="5" t="s">
        <v>67</v>
      </c>
      <c r="O1899" s="20" t="b">
        <v>0</v>
      </c>
      <c r="P1899" s="20" t="s">
        <v>74</v>
      </c>
      <c r="Q1899" s="20" t="s">
        <v>69</v>
      </c>
      <c r="R1899" s="20" t="s">
        <v>3010</v>
      </c>
      <c r="T1899" s="20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</row>
    <row r="1900">
      <c r="A1900" s="15" t="s">
        <v>8005</v>
      </c>
      <c r="B1900" s="19" t="s">
        <v>5207</v>
      </c>
      <c r="C1900" s="20">
        <v>50022.0</v>
      </c>
      <c r="D1900" s="20" t="s">
        <v>5206</v>
      </c>
      <c r="E1900" s="20">
        <v>9.19820008542E11</v>
      </c>
      <c r="F1900" s="21">
        <v>18340.0</v>
      </c>
      <c r="G1900" s="20"/>
      <c r="H1900" s="20" t="s">
        <v>5181</v>
      </c>
      <c r="I1900" s="20"/>
      <c r="J1900" s="20">
        <v>3.0</v>
      </c>
      <c r="K1900" s="20">
        <v>199.0</v>
      </c>
      <c r="L1900" s="20"/>
      <c r="M1900" s="20">
        <v>199.0</v>
      </c>
      <c r="N1900" s="5" t="s">
        <v>67</v>
      </c>
      <c r="O1900" s="20" t="b">
        <v>0</v>
      </c>
      <c r="P1900" s="20" t="s">
        <v>74</v>
      </c>
      <c r="Q1900" s="20" t="s">
        <v>69</v>
      </c>
      <c r="R1900" s="20" t="s">
        <v>5183</v>
      </c>
      <c r="T1900" s="20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</row>
    <row r="1901">
      <c r="A1901" s="15" t="s">
        <v>8003</v>
      </c>
      <c r="B1901" s="19" t="s">
        <v>3081</v>
      </c>
      <c r="C1901" s="20">
        <v>49991.0</v>
      </c>
      <c r="D1901" s="20" t="s">
        <v>297</v>
      </c>
      <c r="E1901" s="20">
        <v>9.19866723714E11</v>
      </c>
      <c r="F1901" s="21">
        <v>17028.0</v>
      </c>
      <c r="G1901" s="20"/>
      <c r="H1901" s="20" t="s">
        <v>3055</v>
      </c>
      <c r="I1901" s="20"/>
      <c r="J1901" s="20">
        <v>1.0</v>
      </c>
      <c r="K1901" s="20">
        <v>99.0</v>
      </c>
      <c r="L1901" s="20"/>
      <c r="M1901" s="20">
        <v>99.0</v>
      </c>
      <c r="N1901" s="5" t="s">
        <v>67</v>
      </c>
      <c r="O1901" s="20" t="b">
        <v>0</v>
      </c>
      <c r="P1901" s="20" t="s">
        <v>68</v>
      </c>
      <c r="Q1901" s="20" t="s">
        <v>69</v>
      </c>
      <c r="R1901" s="20" t="s">
        <v>3057</v>
      </c>
      <c r="T1901" s="20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</row>
    <row r="1902">
      <c r="A1902" s="15" t="s">
        <v>8011</v>
      </c>
      <c r="B1902" s="19" t="s">
        <v>5805</v>
      </c>
      <c r="C1902" s="20">
        <v>50033.0</v>
      </c>
      <c r="D1902" s="20" t="s">
        <v>5804</v>
      </c>
      <c r="E1902" s="20">
        <v>9.19448697744E11</v>
      </c>
      <c r="F1902" s="21">
        <v>18280.0</v>
      </c>
      <c r="G1902" s="20"/>
      <c r="H1902" s="20" t="s">
        <v>1727</v>
      </c>
      <c r="I1902" s="20"/>
      <c r="J1902" s="20">
        <v>1.0</v>
      </c>
      <c r="K1902" s="20">
        <v>99.0</v>
      </c>
      <c r="L1902" s="20"/>
      <c r="M1902" s="20">
        <v>99.0</v>
      </c>
      <c r="N1902" s="5" t="s">
        <v>67</v>
      </c>
      <c r="O1902" s="20" t="b">
        <v>0</v>
      </c>
      <c r="P1902" s="20" t="s">
        <v>68</v>
      </c>
      <c r="Q1902" s="20" t="s">
        <v>69</v>
      </c>
      <c r="R1902" s="20" t="s">
        <v>5731</v>
      </c>
      <c r="T1902" s="20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</row>
    <row r="1903">
      <c r="A1903" s="15" t="s">
        <v>8004</v>
      </c>
      <c r="B1903" s="19" t="s">
        <v>5803</v>
      </c>
      <c r="C1903" s="20">
        <v>50033.0</v>
      </c>
      <c r="D1903" s="20" t="s">
        <v>5802</v>
      </c>
      <c r="E1903" s="20">
        <v>9.19515989352E11</v>
      </c>
      <c r="F1903" s="21">
        <v>18278.0</v>
      </c>
      <c r="G1903" s="20"/>
      <c r="H1903" s="20" t="s">
        <v>1727</v>
      </c>
      <c r="I1903" s="20"/>
      <c r="J1903" s="20">
        <v>1.0</v>
      </c>
      <c r="K1903" s="20">
        <v>99.0</v>
      </c>
      <c r="L1903" s="20"/>
      <c r="M1903" s="20">
        <v>99.0</v>
      </c>
      <c r="N1903" s="5" t="s">
        <v>67</v>
      </c>
      <c r="O1903" s="20" t="b">
        <v>0</v>
      </c>
      <c r="P1903" s="20" t="s">
        <v>68</v>
      </c>
      <c r="Q1903" s="20" t="s">
        <v>69</v>
      </c>
      <c r="R1903" s="20" t="s">
        <v>5731</v>
      </c>
      <c r="T1903" s="20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</row>
    <row r="1904">
      <c r="A1904" s="15" t="s">
        <v>8014</v>
      </c>
      <c r="B1904" s="19" t="s">
        <v>5807</v>
      </c>
      <c r="C1904" s="20">
        <v>50033.0</v>
      </c>
      <c r="D1904" s="20" t="s">
        <v>5806</v>
      </c>
      <c r="E1904" s="20">
        <v>9.17678111688E11</v>
      </c>
      <c r="F1904" s="21">
        <v>18282.0</v>
      </c>
      <c r="G1904" s="20"/>
      <c r="H1904" s="20" t="s">
        <v>1727</v>
      </c>
      <c r="I1904" s="20"/>
      <c r="J1904" s="20">
        <v>1.0</v>
      </c>
      <c r="K1904" s="20">
        <v>99.0</v>
      </c>
      <c r="L1904" s="20"/>
      <c r="M1904" s="20">
        <v>99.0</v>
      </c>
      <c r="N1904" s="5" t="s">
        <v>67</v>
      </c>
      <c r="O1904" s="20" t="b">
        <v>0</v>
      </c>
      <c r="P1904" s="20" t="s">
        <v>68</v>
      </c>
      <c r="Q1904" s="20" t="s">
        <v>69</v>
      </c>
      <c r="R1904" s="20" t="s">
        <v>5731</v>
      </c>
      <c r="T1904" s="20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</row>
    <row r="1905">
      <c r="A1905" s="15" t="s">
        <v>8017</v>
      </c>
      <c r="B1905" s="19" t="s">
        <v>4592</v>
      </c>
      <c r="C1905" s="20">
        <v>50031.0</v>
      </c>
      <c r="D1905" s="20" t="s">
        <v>4591</v>
      </c>
      <c r="E1905" s="20">
        <v>9.1782788808E11</v>
      </c>
      <c r="F1905" s="21">
        <v>18283.0</v>
      </c>
      <c r="G1905" s="20"/>
      <c r="H1905" s="20" t="s">
        <v>4561</v>
      </c>
      <c r="I1905" s="20"/>
      <c r="J1905" s="20">
        <v>1.0</v>
      </c>
      <c r="K1905" s="20">
        <v>99.0</v>
      </c>
      <c r="L1905" s="20"/>
      <c r="M1905" s="20">
        <v>99.0</v>
      </c>
      <c r="N1905" s="5" t="s">
        <v>67</v>
      </c>
      <c r="O1905" s="20" t="b">
        <v>0</v>
      </c>
      <c r="P1905" s="20" t="s">
        <v>68</v>
      </c>
      <c r="Q1905" s="20" t="s">
        <v>69</v>
      </c>
      <c r="R1905" s="20" t="s">
        <v>4563</v>
      </c>
      <c r="T1905" s="20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</row>
    <row r="1906">
      <c r="A1906" s="15" t="s">
        <v>8018</v>
      </c>
      <c r="B1906" s="19" t="s">
        <v>4648</v>
      </c>
      <c r="C1906" s="20">
        <v>49859.0</v>
      </c>
      <c r="D1906" s="20" t="s">
        <v>4647</v>
      </c>
      <c r="E1906" s="20">
        <v>9.19436213925E11</v>
      </c>
      <c r="F1906" s="21">
        <v>18284.0</v>
      </c>
      <c r="G1906" s="20"/>
      <c r="H1906" s="20" t="s">
        <v>1133</v>
      </c>
      <c r="I1906" s="20"/>
      <c r="J1906" s="20">
        <v>3.0</v>
      </c>
      <c r="K1906" s="20">
        <v>199.0</v>
      </c>
      <c r="L1906" s="20"/>
      <c r="M1906" s="20">
        <v>199.0</v>
      </c>
      <c r="N1906" s="5" t="s">
        <v>67</v>
      </c>
      <c r="O1906" s="20" t="b">
        <v>0</v>
      </c>
      <c r="P1906" s="20" t="s">
        <v>68</v>
      </c>
      <c r="Q1906" s="20" t="s">
        <v>69</v>
      </c>
      <c r="R1906" s="20" t="s">
        <v>4620</v>
      </c>
      <c r="T1906" s="20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</row>
    <row r="1907">
      <c r="A1907" s="15" t="s">
        <v>8028</v>
      </c>
      <c r="B1907" s="19" t="s">
        <v>5797</v>
      </c>
      <c r="C1907" s="20">
        <v>50033.0</v>
      </c>
      <c r="D1907" s="20" t="s">
        <v>5796</v>
      </c>
      <c r="E1907" s="20">
        <v>9.19884832784E11</v>
      </c>
      <c r="F1907" s="21">
        <v>18299.0</v>
      </c>
      <c r="G1907" s="20"/>
      <c r="H1907" s="20" t="s">
        <v>1727</v>
      </c>
      <c r="I1907" s="20"/>
      <c r="J1907" s="20">
        <v>1.0</v>
      </c>
      <c r="K1907" s="20">
        <v>99.0</v>
      </c>
      <c r="L1907" s="20"/>
      <c r="M1907" s="20">
        <v>99.0</v>
      </c>
      <c r="N1907" s="5" t="s">
        <v>67</v>
      </c>
      <c r="O1907" s="20" t="b">
        <v>0</v>
      </c>
      <c r="P1907" s="20" t="s">
        <v>74</v>
      </c>
      <c r="Q1907" s="20" t="s">
        <v>69</v>
      </c>
      <c r="R1907" s="20" t="s">
        <v>5731</v>
      </c>
      <c r="T1907" s="20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</row>
    <row r="1908">
      <c r="A1908" s="15" t="s">
        <v>8031</v>
      </c>
      <c r="B1908" s="19" t="s">
        <v>3400</v>
      </c>
      <c r="C1908" s="20">
        <v>50030.0</v>
      </c>
      <c r="D1908" s="20" t="s">
        <v>3399</v>
      </c>
      <c r="E1908" s="20">
        <v>9.18489914323E11</v>
      </c>
      <c r="F1908" s="21">
        <v>18285.0</v>
      </c>
      <c r="G1908" s="20"/>
      <c r="H1908" s="20" t="s">
        <v>3326</v>
      </c>
      <c r="I1908" s="20"/>
      <c r="J1908" s="20">
        <v>3.0</v>
      </c>
      <c r="K1908" s="20">
        <v>597.0</v>
      </c>
      <c r="L1908" s="20"/>
      <c r="M1908" s="20">
        <v>597.0</v>
      </c>
      <c r="N1908" s="5" t="s">
        <v>67</v>
      </c>
      <c r="O1908" s="20" t="b">
        <v>0</v>
      </c>
      <c r="P1908" s="20" t="s">
        <v>74</v>
      </c>
      <c r="Q1908" s="20" t="s">
        <v>69</v>
      </c>
      <c r="R1908" s="20" t="s">
        <v>3328</v>
      </c>
      <c r="T1908" s="20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</row>
    <row r="1909">
      <c r="A1909" s="15" t="s">
        <v>8032</v>
      </c>
      <c r="B1909" s="19" t="s">
        <v>5789</v>
      </c>
      <c r="C1909" s="20">
        <v>50033.0</v>
      </c>
      <c r="D1909" s="20" t="s">
        <v>5788</v>
      </c>
      <c r="E1909" s="20">
        <v>9.17013767675E11</v>
      </c>
      <c r="F1909" s="21">
        <v>18287.0</v>
      </c>
      <c r="G1909" s="20"/>
      <c r="H1909" s="20" t="s">
        <v>1727</v>
      </c>
      <c r="I1909" s="20"/>
      <c r="J1909" s="20">
        <v>1.0</v>
      </c>
      <c r="K1909" s="20">
        <v>99.0</v>
      </c>
      <c r="L1909" s="20"/>
      <c r="M1909" s="20">
        <v>99.0</v>
      </c>
      <c r="N1909" s="5" t="s">
        <v>67</v>
      </c>
      <c r="O1909" s="20" t="b">
        <v>0</v>
      </c>
      <c r="P1909" s="20" t="s">
        <v>68</v>
      </c>
      <c r="Q1909" s="20" t="s">
        <v>69</v>
      </c>
      <c r="R1909" s="20" t="s">
        <v>5731</v>
      </c>
      <c r="T1909" s="20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</row>
    <row r="1910">
      <c r="A1910" s="26" t="s">
        <v>8122</v>
      </c>
      <c r="B1910" s="19" t="s">
        <v>3296</v>
      </c>
      <c r="C1910" s="20">
        <v>49992.0</v>
      </c>
      <c r="D1910" s="20" t="s">
        <v>3295</v>
      </c>
      <c r="E1910" s="20">
        <v>9.19978799E11</v>
      </c>
      <c r="F1910" s="21">
        <v>18333.0</v>
      </c>
      <c r="G1910" s="20"/>
      <c r="H1910" s="20" t="s">
        <v>3286</v>
      </c>
      <c r="I1910" s="20"/>
      <c r="J1910" s="20">
        <v>3.0</v>
      </c>
      <c r="K1910" s="20">
        <v>199.0</v>
      </c>
      <c r="L1910" s="20"/>
      <c r="M1910" s="20">
        <v>199.0</v>
      </c>
      <c r="N1910" s="5" t="s">
        <v>67</v>
      </c>
      <c r="O1910" s="20" t="b">
        <v>0</v>
      </c>
      <c r="P1910" s="20" t="s">
        <v>74</v>
      </c>
      <c r="Q1910" s="20" t="s">
        <v>69</v>
      </c>
      <c r="R1910" s="20" t="s">
        <v>3288</v>
      </c>
      <c r="T1910" s="20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</row>
    <row r="1911">
      <c r="A1911" s="26" t="s">
        <v>8712</v>
      </c>
      <c r="B1911" s="19" t="s">
        <v>5106</v>
      </c>
      <c r="C1911" s="20">
        <v>50078.0</v>
      </c>
      <c r="D1911" s="20" t="s">
        <v>3295</v>
      </c>
      <c r="E1911" s="20">
        <v>9.19978799E11</v>
      </c>
      <c r="F1911" s="21">
        <v>18333.0</v>
      </c>
      <c r="G1911" s="20"/>
      <c r="H1911" s="20" t="s">
        <v>5105</v>
      </c>
      <c r="I1911" s="20"/>
      <c r="J1911" s="20">
        <v>1.0</v>
      </c>
      <c r="K1911" s="20">
        <v>300.0</v>
      </c>
      <c r="L1911" s="20"/>
      <c r="M1911" s="20">
        <v>300.0</v>
      </c>
      <c r="N1911" s="5" t="s">
        <v>67</v>
      </c>
      <c r="O1911" s="20" t="b">
        <v>0</v>
      </c>
      <c r="P1911" s="20" t="s">
        <v>74</v>
      </c>
      <c r="Q1911" s="20" t="s">
        <v>69</v>
      </c>
      <c r="R1911" s="20" t="s">
        <v>5107</v>
      </c>
      <c r="T1911" s="20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</row>
    <row r="1912">
      <c r="A1912" s="26" t="s">
        <v>8199</v>
      </c>
      <c r="B1912" s="19" t="s">
        <v>3207</v>
      </c>
      <c r="C1912" s="20">
        <v>49813.0</v>
      </c>
      <c r="D1912" s="20" t="s">
        <v>3295</v>
      </c>
      <c r="E1912" s="20">
        <v>9.19978799E11</v>
      </c>
      <c r="F1912" s="21">
        <v>18333.0</v>
      </c>
      <c r="G1912" s="20"/>
      <c r="H1912" s="20" t="s">
        <v>5114</v>
      </c>
      <c r="I1912" s="20"/>
      <c r="J1912" s="20">
        <v>1.0</v>
      </c>
      <c r="K1912" s="20">
        <v>299.0</v>
      </c>
      <c r="L1912" s="20"/>
      <c r="M1912" s="20">
        <v>299.0</v>
      </c>
      <c r="N1912" s="5" t="s">
        <v>67</v>
      </c>
      <c r="O1912" s="20" t="b">
        <v>0</v>
      </c>
      <c r="P1912" s="20" t="s">
        <v>74</v>
      </c>
      <c r="Q1912" s="20" t="s">
        <v>69</v>
      </c>
      <c r="R1912" s="20" t="s">
        <v>5116</v>
      </c>
      <c r="T1912" s="20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</row>
    <row r="1913">
      <c r="A1913" s="26" t="s">
        <v>11256</v>
      </c>
      <c r="B1913" s="19">
        <v>44506.90902777778</v>
      </c>
      <c r="C1913" s="20">
        <v>50110.0</v>
      </c>
      <c r="D1913" s="20" t="s">
        <v>4414</v>
      </c>
      <c r="E1913" s="5">
        <v>9.18754541518E11</v>
      </c>
      <c r="F1913" s="21">
        <v>18339.0</v>
      </c>
      <c r="G1913" s="20"/>
      <c r="H1913" s="20" t="s">
        <v>4399</v>
      </c>
      <c r="I1913" s="5"/>
      <c r="J1913" s="20">
        <v>6.0</v>
      </c>
      <c r="K1913" s="20">
        <v>349.0</v>
      </c>
      <c r="L1913" s="20"/>
      <c r="M1913" s="20">
        <v>349.0</v>
      </c>
      <c r="N1913" s="5" t="s">
        <v>67</v>
      </c>
      <c r="O1913" s="20" t="b">
        <v>0</v>
      </c>
      <c r="P1913" s="20" t="s">
        <v>68</v>
      </c>
      <c r="Q1913" s="20" t="s">
        <v>69</v>
      </c>
      <c r="R1913" s="20" t="s">
        <v>4402</v>
      </c>
      <c r="T1913" s="20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</row>
    <row r="1914">
      <c r="A1914" s="14" t="s">
        <v>8121</v>
      </c>
      <c r="B1914" s="19" t="s">
        <v>4601</v>
      </c>
      <c r="C1914" s="20">
        <v>50031.0</v>
      </c>
      <c r="D1914" s="20" t="s">
        <v>4414</v>
      </c>
      <c r="E1914" s="20">
        <v>9.18754541518E11</v>
      </c>
      <c r="F1914" s="21">
        <v>18339.0</v>
      </c>
      <c r="G1914" s="20"/>
      <c r="H1914" s="20" t="s">
        <v>4561</v>
      </c>
      <c r="I1914" s="20"/>
      <c r="J1914" s="20">
        <v>3.0</v>
      </c>
      <c r="K1914" s="20">
        <v>199.0</v>
      </c>
      <c r="L1914" s="20"/>
      <c r="M1914" s="20">
        <v>199.0</v>
      </c>
      <c r="N1914" s="5" t="s">
        <v>67</v>
      </c>
      <c r="O1914" s="20" t="b">
        <v>0</v>
      </c>
      <c r="P1914" s="20" t="s">
        <v>68</v>
      </c>
      <c r="Q1914" s="20" t="s">
        <v>69</v>
      </c>
      <c r="R1914" s="20" t="s">
        <v>4563</v>
      </c>
      <c r="T1914" s="20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</row>
    <row r="1915">
      <c r="A1915" s="26" t="s">
        <v>12215</v>
      </c>
      <c r="B1915" s="19" t="s">
        <v>6672</v>
      </c>
      <c r="C1915" s="20">
        <v>49994.0</v>
      </c>
      <c r="D1915" s="20" t="s">
        <v>4414</v>
      </c>
      <c r="E1915" s="5">
        <v>9.18754541518E11</v>
      </c>
      <c r="F1915" s="21">
        <v>18339.0</v>
      </c>
      <c r="G1915" s="20"/>
      <c r="H1915" s="20" t="s">
        <v>1264</v>
      </c>
      <c r="I1915" s="5"/>
      <c r="J1915" s="20">
        <v>6.0</v>
      </c>
      <c r="K1915" s="20">
        <v>349.0</v>
      </c>
      <c r="L1915" s="20"/>
      <c r="M1915" s="20">
        <v>349.0</v>
      </c>
      <c r="N1915" s="5" t="s">
        <v>67</v>
      </c>
      <c r="O1915" s="20" t="b">
        <v>0</v>
      </c>
      <c r="P1915" s="20" t="s">
        <v>68</v>
      </c>
      <c r="Q1915" s="20" t="s">
        <v>69</v>
      </c>
      <c r="R1915" s="20" t="s">
        <v>6615</v>
      </c>
      <c r="T1915" s="20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</row>
    <row r="1916">
      <c r="A1916" s="15" t="s">
        <v>8037</v>
      </c>
      <c r="B1916" s="19" t="s">
        <v>5427</v>
      </c>
      <c r="C1916" s="20">
        <v>50040.0</v>
      </c>
      <c r="D1916" s="20" t="s">
        <v>5426</v>
      </c>
      <c r="E1916" s="20">
        <v>9.19999443105E11</v>
      </c>
      <c r="F1916" s="21">
        <v>18292.0</v>
      </c>
      <c r="G1916" s="20"/>
      <c r="H1916" s="20" t="s">
        <v>5400</v>
      </c>
      <c r="I1916" s="20"/>
      <c r="J1916" s="20">
        <v>1.0</v>
      </c>
      <c r="K1916" s="20">
        <v>99.0</v>
      </c>
      <c r="L1916" s="20"/>
      <c r="M1916" s="20">
        <v>99.0</v>
      </c>
      <c r="N1916" s="5" t="s">
        <v>67</v>
      </c>
      <c r="O1916" s="20" t="b">
        <v>0</v>
      </c>
      <c r="P1916" s="20" t="s">
        <v>68</v>
      </c>
      <c r="Q1916" s="20" t="s">
        <v>69</v>
      </c>
      <c r="R1916" s="20" t="s">
        <v>5402</v>
      </c>
      <c r="T1916" s="20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</row>
    <row r="1917">
      <c r="A1917" s="15" t="s">
        <v>8033</v>
      </c>
      <c r="B1917" s="19" t="s">
        <v>6328</v>
      </c>
      <c r="C1917" s="20">
        <v>50044.0</v>
      </c>
      <c r="D1917" s="20" t="s">
        <v>6327</v>
      </c>
      <c r="E1917" s="20">
        <v>9.18697728601E11</v>
      </c>
      <c r="F1917" s="21">
        <v>18289.0</v>
      </c>
      <c r="G1917" s="20"/>
      <c r="H1917" s="20" t="s">
        <v>6320</v>
      </c>
      <c r="I1917" s="20"/>
      <c r="J1917" s="20">
        <v>1.0</v>
      </c>
      <c r="K1917" s="20">
        <v>349.0</v>
      </c>
      <c r="L1917" s="20"/>
      <c r="M1917" s="20">
        <v>349.0</v>
      </c>
      <c r="N1917" s="5" t="s">
        <v>67</v>
      </c>
      <c r="O1917" s="20" t="b">
        <v>0</v>
      </c>
      <c r="P1917" s="20" t="s">
        <v>74</v>
      </c>
      <c r="Q1917" s="20" t="s">
        <v>69</v>
      </c>
      <c r="R1917" s="20" t="s">
        <v>6322</v>
      </c>
      <c r="T1917" s="20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</row>
    <row r="1918">
      <c r="A1918" s="15" t="s">
        <v>8034</v>
      </c>
      <c r="B1918" s="19" t="s">
        <v>5859</v>
      </c>
      <c r="C1918" s="20">
        <v>50054.0</v>
      </c>
      <c r="D1918" s="20" t="s">
        <v>5858</v>
      </c>
      <c r="E1918" s="20">
        <v>9.19567976696E11</v>
      </c>
      <c r="F1918" s="21">
        <v>18290.0</v>
      </c>
      <c r="G1918" s="20"/>
      <c r="H1918" s="20" t="s">
        <v>5822</v>
      </c>
      <c r="I1918" s="20"/>
      <c r="J1918" s="20">
        <v>3.0</v>
      </c>
      <c r="K1918" s="20">
        <v>199.0</v>
      </c>
      <c r="L1918" s="20"/>
      <c r="M1918" s="20">
        <v>199.0</v>
      </c>
      <c r="N1918" s="5" t="s">
        <v>67</v>
      </c>
      <c r="O1918" s="20" t="b">
        <v>0</v>
      </c>
      <c r="P1918" s="20" t="s">
        <v>68</v>
      </c>
      <c r="Q1918" s="20" t="s">
        <v>69</v>
      </c>
      <c r="R1918" s="20" t="s">
        <v>5824</v>
      </c>
      <c r="T1918" s="20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</row>
    <row r="1919">
      <c r="A1919" s="15" t="s">
        <v>8042</v>
      </c>
      <c r="B1919" s="19" t="s">
        <v>3294</v>
      </c>
      <c r="C1919" s="20">
        <v>49992.0</v>
      </c>
      <c r="D1919" s="20" t="s">
        <v>3293</v>
      </c>
      <c r="E1919" s="20">
        <v>9.19625381774E11</v>
      </c>
      <c r="F1919" s="21">
        <v>18294.0</v>
      </c>
      <c r="G1919" s="20"/>
      <c r="H1919" s="20" t="s">
        <v>3286</v>
      </c>
      <c r="I1919" s="20"/>
      <c r="J1919" s="20">
        <v>3.0</v>
      </c>
      <c r="K1919" s="20">
        <v>199.0</v>
      </c>
      <c r="L1919" s="20"/>
      <c r="M1919" s="20">
        <v>199.0</v>
      </c>
      <c r="N1919" s="5" t="s">
        <v>67</v>
      </c>
      <c r="O1919" s="20" t="b">
        <v>0</v>
      </c>
      <c r="P1919" s="20" t="s">
        <v>74</v>
      </c>
      <c r="Q1919" s="20" t="s">
        <v>69</v>
      </c>
      <c r="R1919" s="20" t="s">
        <v>3288</v>
      </c>
      <c r="T1919" s="20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</row>
    <row r="1920">
      <c r="A1920" s="15" t="s">
        <v>8044</v>
      </c>
      <c r="B1920" s="19" t="s">
        <v>5793</v>
      </c>
      <c r="C1920" s="20">
        <v>50033.0</v>
      </c>
      <c r="D1920" s="20" t="s">
        <v>5792</v>
      </c>
      <c r="E1920" s="20">
        <v>9.17737533313E11</v>
      </c>
      <c r="F1920" s="22" t="s">
        <v>12593</v>
      </c>
      <c r="G1920" s="20"/>
      <c r="H1920" s="20" t="s">
        <v>1727</v>
      </c>
      <c r="I1920" s="20"/>
      <c r="J1920" s="20">
        <v>1.0</v>
      </c>
      <c r="K1920" s="20">
        <v>99.0</v>
      </c>
      <c r="L1920" s="20"/>
      <c r="M1920" s="20">
        <v>99.0</v>
      </c>
      <c r="N1920" s="5" t="s">
        <v>67</v>
      </c>
      <c r="O1920" s="20" t="b">
        <v>0</v>
      </c>
      <c r="P1920" s="20" t="s">
        <v>68</v>
      </c>
      <c r="Q1920" s="20" t="s">
        <v>69</v>
      </c>
      <c r="R1920" s="20" t="s">
        <v>5731</v>
      </c>
      <c r="T1920" s="20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</row>
    <row r="1921">
      <c r="A1921" s="15" t="s">
        <v>8129</v>
      </c>
      <c r="B1921" s="19" t="s">
        <v>2994</v>
      </c>
      <c r="C1921" s="20">
        <v>50066.0</v>
      </c>
      <c r="D1921" s="20" t="s">
        <v>2993</v>
      </c>
      <c r="E1921" s="20">
        <v>9.17039019353E11</v>
      </c>
      <c r="F1921" s="21">
        <v>18334.0</v>
      </c>
      <c r="G1921" s="20"/>
      <c r="H1921" s="20" t="s">
        <v>2911</v>
      </c>
      <c r="I1921" s="20"/>
      <c r="J1921" s="20">
        <v>6.0</v>
      </c>
      <c r="K1921" s="20">
        <v>599.0</v>
      </c>
      <c r="L1921" s="20"/>
      <c r="M1921" s="20">
        <v>599.0</v>
      </c>
      <c r="N1921" s="5" t="s">
        <v>67</v>
      </c>
      <c r="O1921" s="20" t="b">
        <v>0</v>
      </c>
      <c r="P1921" s="20" t="s">
        <v>68</v>
      </c>
      <c r="Q1921" s="20" t="s">
        <v>69</v>
      </c>
      <c r="R1921" s="20" t="s">
        <v>2913</v>
      </c>
      <c r="T1921" s="20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</row>
    <row r="1922">
      <c r="A1922" s="15" t="s">
        <v>8130</v>
      </c>
      <c r="B1922" s="19" t="s">
        <v>4074</v>
      </c>
      <c r="C1922" s="20">
        <v>49833.0</v>
      </c>
      <c r="D1922" s="20" t="s">
        <v>4073</v>
      </c>
      <c r="E1922" s="20">
        <v>9.1994087306E11</v>
      </c>
      <c r="F1922" s="21">
        <v>18690.0</v>
      </c>
      <c r="G1922" s="20"/>
      <c r="H1922" s="20" t="s">
        <v>4030</v>
      </c>
      <c r="I1922" s="20"/>
      <c r="J1922" s="20">
        <v>3.0</v>
      </c>
      <c r="K1922" s="20">
        <v>199.0</v>
      </c>
      <c r="L1922" s="20"/>
      <c r="M1922" s="20">
        <v>199.0</v>
      </c>
      <c r="N1922" s="5" t="s">
        <v>67</v>
      </c>
      <c r="O1922" s="20" t="b">
        <v>0</v>
      </c>
      <c r="P1922" s="20" t="s">
        <v>74</v>
      </c>
      <c r="Q1922" s="20" t="s">
        <v>69</v>
      </c>
      <c r="R1922" s="20" t="s">
        <v>4033</v>
      </c>
      <c r="T1922" s="20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</row>
    <row r="1923">
      <c r="A1923" s="15" t="s">
        <v>8133</v>
      </c>
      <c r="B1923" s="19" t="s">
        <v>2996</v>
      </c>
      <c r="C1923" s="20">
        <v>50066.0</v>
      </c>
      <c r="D1923" s="20" t="s">
        <v>2995</v>
      </c>
      <c r="E1923" s="20">
        <v>9.19822457246E11</v>
      </c>
      <c r="F1923" s="21">
        <v>0.0</v>
      </c>
      <c r="G1923" s="20"/>
      <c r="H1923" s="20" t="s">
        <v>2911</v>
      </c>
      <c r="I1923" s="20"/>
      <c r="J1923" s="20">
        <v>6.0</v>
      </c>
      <c r="K1923" s="20">
        <v>599.0</v>
      </c>
      <c r="L1923" s="20"/>
      <c r="M1923" s="20">
        <v>599.0</v>
      </c>
      <c r="N1923" s="5" t="s">
        <v>67</v>
      </c>
      <c r="O1923" s="20" t="b">
        <v>0</v>
      </c>
      <c r="P1923" s="20" t="s">
        <v>68</v>
      </c>
      <c r="Q1923" s="20" t="s">
        <v>69</v>
      </c>
      <c r="R1923" s="20" t="s">
        <v>2913</v>
      </c>
      <c r="T1923" s="20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</row>
    <row r="1924">
      <c r="A1924" s="15" t="s">
        <v>8043</v>
      </c>
      <c r="B1924" s="19" t="s">
        <v>5791</v>
      </c>
      <c r="C1924" s="20">
        <v>50033.0</v>
      </c>
      <c r="D1924" s="20" t="s">
        <v>5790</v>
      </c>
      <c r="E1924" s="20">
        <v>9.17200287691E11</v>
      </c>
      <c r="F1924" s="21">
        <v>18295.0</v>
      </c>
      <c r="G1924" s="20"/>
      <c r="H1924" s="20" t="s">
        <v>1727</v>
      </c>
      <c r="I1924" s="20"/>
      <c r="J1924" s="20">
        <v>1.0</v>
      </c>
      <c r="K1924" s="20">
        <v>99.0</v>
      </c>
      <c r="L1924" s="20"/>
      <c r="M1924" s="20">
        <v>99.0</v>
      </c>
      <c r="N1924" s="5" t="s">
        <v>67</v>
      </c>
      <c r="O1924" s="20" t="b">
        <v>0</v>
      </c>
      <c r="P1924" s="20" t="s">
        <v>68</v>
      </c>
      <c r="Q1924" s="20" t="s">
        <v>69</v>
      </c>
      <c r="R1924" s="20" t="s">
        <v>5731</v>
      </c>
      <c r="T1924" s="20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</row>
    <row r="1925">
      <c r="A1925" s="15" t="s">
        <v>8127</v>
      </c>
      <c r="B1925" s="19" t="s">
        <v>2996</v>
      </c>
      <c r="C1925" s="20">
        <v>50066.0</v>
      </c>
      <c r="D1925" s="20" t="s">
        <v>2997</v>
      </c>
      <c r="E1925" s="20">
        <v>9.18779149037E11</v>
      </c>
      <c r="F1925" s="21">
        <v>18335.0</v>
      </c>
      <c r="G1925" s="20"/>
      <c r="H1925" s="20" t="s">
        <v>2911</v>
      </c>
      <c r="I1925" s="20"/>
      <c r="J1925" s="20">
        <v>6.0</v>
      </c>
      <c r="K1925" s="20">
        <v>599.0</v>
      </c>
      <c r="L1925" s="20"/>
      <c r="M1925" s="20">
        <v>599.0</v>
      </c>
      <c r="N1925" s="5" t="s">
        <v>67</v>
      </c>
      <c r="O1925" s="20" t="b">
        <v>0</v>
      </c>
      <c r="P1925" s="20" t="s">
        <v>68</v>
      </c>
      <c r="Q1925" s="20" t="s">
        <v>69</v>
      </c>
      <c r="R1925" s="20" t="s">
        <v>2913</v>
      </c>
      <c r="T1925" s="20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</row>
    <row r="1926">
      <c r="A1926" s="15" t="s">
        <v>8134</v>
      </c>
      <c r="B1926" s="19" t="s">
        <v>2999</v>
      </c>
      <c r="C1926" s="20">
        <v>50066.0</v>
      </c>
      <c r="D1926" s="20" t="s">
        <v>2998</v>
      </c>
      <c r="E1926" s="20">
        <v>9.19959516713E11</v>
      </c>
      <c r="F1926" s="21">
        <v>18338.0</v>
      </c>
      <c r="G1926" s="20"/>
      <c r="H1926" s="20" t="s">
        <v>2911</v>
      </c>
      <c r="I1926" s="20"/>
      <c r="J1926" s="20">
        <v>3.0</v>
      </c>
      <c r="K1926" s="20">
        <v>399.0</v>
      </c>
      <c r="L1926" s="20"/>
      <c r="M1926" s="20">
        <v>399.0</v>
      </c>
      <c r="N1926" s="5" t="s">
        <v>67</v>
      </c>
      <c r="O1926" s="20" t="b">
        <v>0</v>
      </c>
      <c r="P1926" s="20" t="s">
        <v>74</v>
      </c>
      <c r="Q1926" s="20" t="s">
        <v>69</v>
      </c>
      <c r="R1926" s="20" t="s">
        <v>2913</v>
      </c>
      <c r="T1926" s="20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</row>
    <row r="1927">
      <c r="A1927" s="15" t="s">
        <v>8047</v>
      </c>
      <c r="B1927" s="19" t="s">
        <v>6216</v>
      </c>
      <c r="C1927" s="20">
        <v>49835.0</v>
      </c>
      <c r="D1927" s="20" t="s">
        <v>6215</v>
      </c>
      <c r="E1927" s="20">
        <v>9.17741972081E11</v>
      </c>
      <c r="F1927" s="21">
        <v>18301.0</v>
      </c>
      <c r="G1927" s="20"/>
      <c r="H1927" s="20" t="s">
        <v>6198</v>
      </c>
      <c r="I1927" s="20"/>
      <c r="J1927" s="20">
        <v>3.0</v>
      </c>
      <c r="K1927" s="20">
        <v>99.0</v>
      </c>
      <c r="L1927" s="20"/>
      <c r="M1927" s="20">
        <v>99.0</v>
      </c>
      <c r="N1927" s="5" t="s">
        <v>67</v>
      </c>
      <c r="O1927" s="20" t="b">
        <v>0</v>
      </c>
      <c r="P1927" s="20" t="s">
        <v>74</v>
      </c>
      <c r="Q1927" s="20" t="s">
        <v>69</v>
      </c>
      <c r="R1927" s="20" t="s">
        <v>3888</v>
      </c>
      <c r="T1927" s="20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</row>
    <row r="1928">
      <c r="A1928" s="15" t="s">
        <v>8138</v>
      </c>
      <c r="B1928" s="19" t="s">
        <v>2626</v>
      </c>
      <c r="C1928" s="20">
        <v>50065.0</v>
      </c>
      <c r="D1928" s="20" t="s">
        <v>2625</v>
      </c>
      <c r="E1928" s="20">
        <v>9.19146332493E11</v>
      </c>
      <c r="F1928" s="21">
        <v>18341.0</v>
      </c>
      <c r="G1928" s="20"/>
      <c r="H1928" s="20" t="s">
        <v>2601</v>
      </c>
      <c r="I1928" s="20"/>
      <c r="J1928" s="20">
        <v>6.0</v>
      </c>
      <c r="K1928" s="20">
        <v>349.0</v>
      </c>
      <c r="L1928" s="20"/>
      <c r="M1928" s="20">
        <v>349.0</v>
      </c>
      <c r="N1928" s="5" t="s">
        <v>67</v>
      </c>
      <c r="O1928" s="20" t="b">
        <v>0</v>
      </c>
      <c r="P1928" s="20" t="s">
        <v>68</v>
      </c>
      <c r="Q1928" s="20" t="s">
        <v>69</v>
      </c>
      <c r="R1928" s="20" t="s">
        <v>2604</v>
      </c>
      <c r="T1928" s="20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</row>
    <row r="1929">
      <c r="A1929" s="15" t="s">
        <v>8048</v>
      </c>
      <c r="B1929" s="19" t="s">
        <v>2618</v>
      </c>
      <c r="C1929" s="20">
        <v>49991.0</v>
      </c>
      <c r="D1929" s="20" t="s">
        <v>3082</v>
      </c>
      <c r="E1929" s="20">
        <v>9.19024596452E11</v>
      </c>
      <c r="F1929" s="21">
        <v>18303.0</v>
      </c>
      <c r="G1929" s="20"/>
      <c r="H1929" s="20" t="s">
        <v>3055</v>
      </c>
      <c r="I1929" s="20"/>
      <c r="J1929" s="20">
        <v>1.0</v>
      </c>
      <c r="K1929" s="20">
        <v>99.0</v>
      </c>
      <c r="L1929" s="20"/>
      <c r="M1929" s="20">
        <v>99.0</v>
      </c>
      <c r="N1929" s="5" t="s">
        <v>67</v>
      </c>
      <c r="O1929" s="20" t="b">
        <v>0</v>
      </c>
      <c r="P1929" s="20" t="s">
        <v>68</v>
      </c>
      <c r="Q1929" s="20" t="s">
        <v>69</v>
      </c>
      <c r="R1929" s="20" t="s">
        <v>3057</v>
      </c>
      <c r="T1929" s="20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</row>
    <row r="1930">
      <c r="A1930" s="15" t="s">
        <v>8046</v>
      </c>
      <c r="B1930" s="19" t="s">
        <v>2487</v>
      </c>
      <c r="C1930" s="20">
        <v>49997.0</v>
      </c>
      <c r="D1930" s="20" t="s">
        <v>2486</v>
      </c>
      <c r="E1930" s="20">
        <v>9.18425046969E11</v>
      </c>
      <c r="F1930" s="21">
        <v>18325.0</v>
      </c>
      <c r="G1930" s="20"/>
      <c r="H1930" s="20" t="s">
        <v>2455</v>
      </c>
      <c r="I1930" s="20"/>
      <c r="J1930" s="20">
        <v>3.0</v>
      </c>
      <c r="K1930" s="20">
        <v>199.0</v>
      </c>
      <c r="L1930" s="20"/>
      <c r="M1930" s="20">
        <v>199.0</v>
      </c>
      <c r="N1930" s="5" t="s">
        <v>67</v>
      </c>
      <c r="O1930" s="20" t="b">
        <v>0</v>
      </c>
      <c r="P1930" s="20" t="s">
        <v>68</v>
      </c>
      <c r="Q1930" s="20" t="s">
        <v>69</v>
      </c>
      <c r="R1930" s="20" t="s">
        <v>2457</v>
      </c>
      <c r="T1930" s="20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</row>
    <row r="1931">
      <c r="A1931" s="15" t="s">
        <v>8052</v>
      </c>
      <c r="B1931" s="19" t="s">
        <v>5811</v>
      </c>
      <c r="C1931" s="20">
        <v>50033.0</v>
      </c>
      <c r="D1931" s="20" t="s">
        <v>5810</v>
      </c>
      <c r="E1931" s="20">
        <v>9.18454804369E11</v>
      </c>
      <c r="F1931" s="21">
        <v>18306.0</v>
      </c>
      <c r="G1931" s="20"/>
      <c r="H1931" s="20" t="s">
        <v>1727</v>
      </c>
      <c r="I1931" s="20"/>
      <c r="J1931" s="20">
        <v>1.0</v>
      </c>
      <c r="K1931" s="20">
        <v>99.0</v>
      </c>
      <c r="L1931" s="20"/>
      <c r="M1931" s="20">
        <v>99.0</v>
      </c>
      <c r="N1931" s="5" t="s">
        <v>67</v>
      </c>
      <c r="O1931" s="20" t="b">
        <v>0</v>
      </c>
      <c r="P1931" s="20" t="s">
        <v>68</v>
      </c>
      <c r="Q1931" s="20" t="s">
        <v>69</v>
      </c>
      <c r="R1931" s="20" t="s">
        <v>5731</v>
      </c>
      <c r="T1931" s="20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</row>
    <row r="1932">
      <c r="A1932" s="15" t="s">
        <v>8055</v>
      </c>
      <c r="B1932" s="19" t="s">
        <v>4596</v>
      </c>
      <c r="C1932" s="20">
        <v>50031.0</v>
      </c>
      <c r="D1932" s="20" t="s">
        <v>4595</v>
      </c>
      <c r="E1932" s="20">
        <v>9.19049070044E11</v>
      </c>
      <c r="F1932" s="21">
        <v>18307.0</v>
      </c>
      <c r="G1932" s="20"/>
      <c r="H1932" s="20" t="s">
        <v>4561</v>
      </c>
      <c r="I1932" s="20"/>
      <c r="J1932" s="20">
        <v>1.0</v>
      </c>
      <c r="K1932" s="20">
        <v>99.0</v>
      </c>
      <c r="L1932" s="20"/>
      <c r="M1932" s="20">
        <v>99.0</v>
      </c>
      <c r="N1932" s="5" t="s">
        <v>67</v>
      </c>
      <c r="O1932" s="20" t="b">
        <v>0</v>
      </c>
      <c r="P1932" s="20" t="s">
        <v>68</v>
      </c>
      <c r="Q1932" s="20" t="s">
        <v>69</v>
      </c>
      <c r="R1932" s="20" t="s">
        <v>4563</v>
      </c>
      <c r="T1932" s="20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</row>
    <row r="1933">
      <c r="A1933" s="15" t="s">
        <v>8053</v>
      </c>
      <c r="B1933" s="19" t="s">
        <v>2992</v>
      </c>
      <c r="C1933" s="20">
        <v>50066.0</v>
      </c>
      <c r="D1933" s="20" t="s">
        <v>2991</v>
      </c>
      <c r="E1933" s="20">
        <v>9.19930333673E11</v>
      </c>
      <c r="F1933" s="21">
        <v>18330.0</v>
      </c>
      <c r="G1933" s="20"/>
      <c r="H1933" s="20" t="s">
        <v>2911</v>
      </c>
      <c r="I1933" s="20"/>
      <c r="J1933" s="20">
        <v>3.0</v>
      </c>
      <c r="K1933" s="20">
        <v>399.0</v>
      </c>
      <c r="L1933" s="20"/>
      <c r="M1933" s="20">
        <v>399.0</v>
      </c>
      <c r="N1933" s="5" t="s">
        <v>67</v>
      </c>
      <c r="O1933" s="20" t="b">
        <v>0</v>
      </c>
      <c r="P1933" s="20" t="s">
        <v>97</v>
      </c>
      <c r="Q1933" s="20" t="s">
        <v>69</v>
      </c>
      <c r="R1933" s="20" t="s">
        <v>2913</v>
      </c>
      <c r="T1933" s="20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</row>
    <row r="1934">
      <c r="A1934" s="15" t="s">
        <v>8148</v>
      </c>
      <c r="B1934" s="19" t="s">
        <v>5209</v>
      </c>
      <c r="C1934" s="20">
        <v>50022.0</v>
      </c>
      <c r="D1934" s="20" t="s">
        <v>5208</v>
      </c>
      <c r="E1934" s="20">
        <v>9.19119393172E11</v>
      </c>
      <c r="F1934" s="21">
        <v>18347.0</v>
      </c>
      <c r="G1934" s="20"/>
      <c r="H1934" s="20" t="s">
        <v>5181</v>
      </c>
      <c r="I1934" s="20"/>
      <c r="J1934" s="20">
        <v>3.0</v>
      </c>
      <c r="K1934" s="20">
        <v>199.0</v>
      </c>
      <c r="L1934" s="20"/>
      <c r="M1934" s="20">
        <v>199.0</v>
      </c>
      <c r="N1934" s="5" t="s">
        <v>67</v>
      </c>
      <c r="O1934" s="20" t="b">
        <v>0</v>
      </c>
      <c r="P1934" s="20" t="s">
        <v>68</v>
      </c>
      <c r="Q1934" s="20" t="s">
        <v>69</v>
      </c>
      <c r="R1934" s="20" t="s">
        <v>5183</v>
      </c>
      <c r="T1934" s="20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</row>
    <row r="1935">
      <c r="A1935" s="15" t="s">
        <v>8158</v>
      </c>
      <c r="B1935" s="19" t="s">
        <v>5361</v>
      </c>
      <c r="C1935" s="20">
        <v>49995.0</v>
      </c>
      <c r="D1935" s="20" t="s">
        <v>5360</v>
      </c>
      <c r="E1935" s="20">
        <v>9.19804232486E11</v>
      </c>
      <c r="F1935" s="21">
        <v>18345.0</v>
      </c>
      <c r="G1935" s="20"/>
      <c r="H1935" s="20" t="s">
        <v>5321</v>
      </c>
      <c r="I1935" s="20"/>
      <c r="J1935" s="20">
        <v>1.0</v>
      </c>
      <c r="K1935" s="20">
        <v>99.0</v>
      </c>
      <c r="L1935" s="20"/>
      <c r="M1935" s="20">
        <v>99.0</v>
      </c>
      <c r="N1935" s="5" t="s">
        <v>67</v>
      </c>
      <c r="O1935" s="20" t="b">
        <v>0</v>
      </c>
      <c r="P1935" s="20" t="s">
        <v>68</v>
      </c>
      <c r="Q1935" s="20" t="s">
        <v>69</v>
      </c>
      <c r="R1935" s="20" t="s">
        <v>5323</v>
      </c>
      <c r="T1935" s="20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</row>
    <row r="1936">
      <c r="A1936" s="15" t="s">
        <v>8164</v>
      </c>
      <c r="B1936" s="19" t="s">
        <v>6529</v>
      </c>
      <c r="C1936" s="20">
        <v>50073.0</v>
      </c>
      <c r="D1936" s="20" t="s">
        <v>6528</v>
      </c>
      <c r="E1936" s="20">
        <v>9.1917111266E11</v>
      </c>
      <c r="F1936" s="21">
        <v>0.0</v>
      </c>
      <c r="G1936" s="20"/>
      <c r="H1936" s="20" t="s">
        <v>6466</v>
      </c>
      <c r="I1936" s="20"/>
      <c r="J1936" s="20">
        <v>1.0</v>
      </c>
      <c r="K1936" s="20">
        <v>599.0</v>
      </c>
      <c r="L1936" s="20"/>
      <c r="M1936" s="20">
        <v>599.0</v>
      </c>
      <c r="N1936" s="5" t="s">
        <v>67</v>
      </c>
      <c r="O1936" s="20" t="b">
        <v>0</v>
      </c>
      <c r="P1936" s="20" t="s">
        <v>68</v>
      </c>
      <c r="Q1936" s="20" t="s">
        <v>69</v>
      </c>
      <c r="R1936" s="20" t="s">
        <v>6497</v>
      </c>
      <c r="T1936" s="20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</row>
    <row r="1937">
      <c r="A1937" s="15" t="s">
        <v>8061</v>
      </c>
      <c r="B1937" s="19" t="s">
        <v>4811</v>
      </c>
      <c r="C1937" s="20">
        <v>49996.0</v>
      </c>
      <c r="D1937" s="20" t="s">
        <v>4810</v>
      </c>
      <c r="E1937" s="20">
        <v>9.19769472787E11</v>
      </c>
      <c r="F1937" s="21">
        <v>18331.0</v>
      </c>
      <c r="G1937" s="20"/>
      <c r="H1937" s="20" t="s">
        <v>4796</v>
      </c>
      <c r="I1937" s="20"/>
      <c r="J1937" s="20">
        <v>1.0</v>
      </c>
      <c r="K1937" s="20">
        <v>99.0</v>
      </c>
      <c r="L1937" s="20"/>
      <c r="M1937" s="20">
        <v>99.0</v>
      </c>
      <c r="N1937" s="5" t="s">
        <v>67</v>
      </c>
      <c r="O1937" s="20" t="b">
        <v>0</v>
      </c>
      <c r="P1937" s="20" t="s">
        <v>68</v>
      </c>
      <c r="Q1937" s="20" t="s">
        <v>69</v>
      </c>
      <c r="R1937" s="20" t="s">
        <v>4799</v>
      </c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</row>
    <row r="1938">
      <c r="A1938" s="15" t="s">
        <v>8160</v>
      </c>
      <c r="B1938" s="19" t="s">
        <v>6527</v>
      </c>
      <c r="C1938" s="20">
        <v>50073.0</v>
      </c>
      <c r="D1938" s="20" t="s">
        <v>6526</v>
      </c>
      <c r="E1938" s="20">
        <v>9.19999304427E11</v>
      </c>
      <c r="F1938" s="21">
        <v>18559.0</v>
      </c>
      <c r="G1938" s="20"/>
      <c r="H1938" s="20" t="s">
        <v>6466</v>
      </c>
      <c r="I1938" s="20"/>
      <c r="J1938" s="20">
        <v>1.0</v>
      </c>
      <c r="K1938" s="20">
        <v>599.0</v>
      </c>
      <c r="L1938" s="20"/>
      <c r="M1938" s="20">
        <v>599.0</v>
      </c>
      <c r="N1938" s="5" t="s">
        <v>67</v>
      </c>
      <c r="O1938" s="20" t="b">
        <v>0</v>
      </c>
      <c r="P1938" s="20" t="s">
        <v>68</v>
      </c>
      <c r="Q1938" s="20" t="s">
        <v>69</v>
      </c>
      <c r="R1938" s="20" t="s">
        <v>6497</v>
      </c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</row>
    <row r="1939">
      <c r="A1939" s="15" t="s">
        <v>8060</v>
      </c>
      <c r="B1939" s="19" t="s">
        <v>5718</v>
      </c>
      <c r="C1939" s="20">
        <v>50036.0</v>
      </c>
      <c r="D1939" s="20" t="s">
        <v>5717</v>
      </c>
      <c r="E1939" s="20">
        <v>9.17680997878E11</v>
      </c>
      <c r="F1939" s="21">
        <v>18308.0</v>
      </c>
      <c r="G1939" s="20"/>
      <c r="H1939" s="20" t="s">
        <v>1320</v>
      </c>
      <c r="I1939" s="20"/>
      <c r="J1939" s="20">
        <v>1.0</v>
      </c>
      <c r="K1939" s="20">
        <v>199.0</v>
      </c>
      <c r="L1939" s="20"/>
      <c r="M1939" s="20">
        <v>199.0</v>
      </c>
      <c r="N1939" s="5" t="s">
        <v>67</v>
      </c>
      <c r="O1939" s="20" t="b">
        <v>0</v>
      </c>
      <c r="P1939" s="20" t="s">
        <v>68</v>
      </c>
      <c r="Q1939" s="20" t="s">
        <v>69</v>
      </c>
      <c r="R1939" s="20" t="s">
        <v>5709</v>
      </c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</row>
    <row r="1940">
      <c r="A1940" s="15" t="s">
        <v>8066</v>
      </c>
      <c r="B1940" s="19" t="s">
        <v>6268</v>
      </c>
      <c r="C1940" s="20">
        <v>49998.0</v>
      </c>
      <c r="D1940" s="20" t="s">
        <v>6267</v>
      </c>
      <c r="E1940" s="20">
        <v>9.18105675089E11</v>
      </c>
      <c r="F1940" s="21">
        <v>0.0</v>
      </c>
      <c r="G1940" s="20"/>
      <c r="H1940" s="20" t="s">
        <v>6250</v>
      </c>
      <c r="I1940" s="20"/>
      <c r="J1940" s="20">
        <v>3.0</v>
      </c>
      <c r="K1940" s="20">
        <v>199.0</v>
      </c>
      <c r="L1940" s="20"/>
      <c r="M1940" s="20">
        <v>199.0</v>
      </c>
      <c r="N1940" s="5" t="s">
        <v>67</v>
      </c>
      <c r="O1940" s="20" t="b">
        <v>0</v>
      </c>
      <c r="P1940" s="20" t="s">
        <v>68</v>
      </c>
      <c r="Q1940" s="20" t="s">
        <v>69</v>
      </c>
      <c r="R1940" s="20" t="s">
        <v>6252</v>
      </c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</row>
    <row r="1941">
      <c r="A1941" s="15" t="s">
        <v>8072</v>
      </c>
      <c r="B1941" s="19" t="s">
        <v>2620</v>
      </c>
      <c r="C1941" s="20">
        <v>50065.0</v>
      </c>
      <c r="D1941" s="20" t="s">
        <v>2619</v>
      </c>
      <c r="E1941" s="20">
        <v>9.19711075336E11</v>
      </c>
      <c r="F1941" s="21">
        <v>0.0</v>
      </c>
      <c r="G1941" s="20"/>
      <c r="H1941" s="20" t="s">
        <v>2601</v>
      </c>
      <c r="I1941" s="20"/>
      <c r="J1941" s="20">
        <v>3.0</v>
      </c>
      <c r="K1941" s="20">
        <v>199.0</v>
      </c>
      <c r="L1941" s="20"/>
      <c r="M1941" s="20">
        <v>199.0</v>
      </c>
      <c r="N1941" s="5" t="s">
        <v>67</v>
      </c>
      <c r="O1941" s="20" t="b">
        <v>0</v>
      </c>
      <c r="P1941" s="20" t="s">
        <v>68</v>
      </c>
      <c r="Q1941" s="20" t="s">
        <v>69</v>
      </c>
      <c r="R1941" s="20" t="s">
        <v>2604</v>
      </c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</row>
    <row r="1942">
      <c r="A1942" s="15" t="s">
        <v>8169</v>
      </c>
      <c r="B1942" s="19" t="s">
        <v>6531</v>
      </c>
      <c r="C1942" s="20">
        <v>50073.0</v>
      </c>
      <c r="D1942" s="20" t="s">
        <v>6530</v>
      </c>
      <c r="E1942" s="20">
        <v>9.19036404634E11</v>
      </c>
      <c r="F1942" s="22" t="s">
        <v>12593</v>
      </c>
      <c r="G1942" s="20"/>
      <c r="H1942" s="20" t="s">
        <v>6466</v>
      </c>
      <c r="I1942" s="20"/>
      <c r="J1942" s="20">
        <v>1.0</v>
      </c>
      <c r="K1942" s="20">
        <v>599.0</v>
      </c>
      <c r="L1942" s="20"/>
      <c r="M1942" s="20">
        <v>599.0</v>
      </c>
      <c r="N1942" s="5" t="s">
        <v>67</v>
      </c>
      <c r="O1942" s="20" t="b">
        <v>0</v>
      </c>
      <c r="P1942" s="20" t="s">
        <v>68</v>
      </c>
      <c r="Q1942" s="20" t="s">
        <v>69</v>
      </c>
      <c r="R1942" s="20" t="s">
        <v>6497</v>
      </c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</row>
    <row r="1943">
      <c r="A1943" s="15" t="s">
        <v>8070</v>
      </c>
      <c r="B1943" s="19" t="s">
        <v>5112</v>
      </c>
      <c r="C1943" s="20">
        <v>50051.0</v>
      </c>
      <c r="D1943" s="20" t="s">
        <v>5111</v>
      </c>
      <c r="E1943" s="20">
        <v>9.19666445582E11</v>
      </c>
      <c r="F1943" s="21">
        <v>18311.0</v>
      </c>
      <c r="G1943" s="20"/>
      <c r="H1943" s="20" t="s">
        <v>5110</v>
      </c>
      <c r="I1943" s="20"/>
      <c r="J1943" s="20">
        <v>1.0</v>
      </c>
      <c r="K1943" s="20">
        <v>199.0</v>
      </c>
      <c r="L1943" s="20"/>
      <c r="M1943" s="20">
        <v>199.0</v>
      </c>
      <c r="N1943" s="5" t="s">
        <v>67</v>
      </c>
      <c r="O1943" s="20" t="b">
        <v>0</v>
      </c>
      <c r="P1943" s="20" t="s">
        <v>74</v>
      </c>
      <c r="Q1943" s="20" t="s">
        <v>69</v>
      </c>
      <c r="R1943" s="20" t="s">
        <v>5113</v>
      </c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</row>
    <row r="1944">
      <c r="A1944" s="15" t="s">
        <v>8071</v>
      </c>
      <c r="B1944" s="19" t="s">
        <v>4598</v>
      </c>
      <c r="C1944" s="20">
        <v>50031.0</v>
      </c>
      <c r="D1944" s="20" t="s">
        <v>4597</v>
      </c>
      <c r="E1944" s="20">
        <v>9.19971476969E11</v>
      </c>
      <c r="F1944" s="21">
        <v>18310.0</v>
      </c>
      <c r="G1944" s="20"/>
      <c r="H1944" s="20" t="s">
        <v>4561</v>
      </c>
      <c r="I1944" s="20"/>
      <c r="J1944" s="20">
        <v>1.0</v>
      </c>
      <c r="K1944" s="20">
        <v>99.0</v>
      </c>
      <c r="L1944" s="20"/>
      <c r="M1944" s="20">
        <v>99.0</v>
      </c>
      <c r="N1944" s="5" t="s">
        <v>67</v>
      </c>
      <c r="O1944" s="20" t="b">
        <v>0</v>
      </c>
      <c r="P1944" s="20" t="s">
        <v>97</v>
      </c>
      <c r="Q1944" s="20" t="s">
        <v>69</v>
      </c>
      <c r="R1944" s="20" t="s">
        <v>4563</v>
      </c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</row>
    <row r="1945">
      <c r="A1945" s="15" t="s">
        <v>8075</v>
      </c>
      <c r="B1945" s="19" t="s">
        <v>4032</v>
      </c>
      <c r="C1945" s="20">
        <v>49833.0</v>
      </c>
      <c r="D1945" s="20" t="s">
        <v>4031</v>
      </c>
      <c r="E1945" s="20">
        <v>9.17259561002E11</v>
      </c>
      <c r="F1945" s="21">
        <v>9533.0</v>
      </c>
      <c r="G1945" s="20"/>
      <c r="H1945" s="20" t="s">
        <v>4030</v>
      </c>
      <c r="I1945" s="20"/>
      <c r="J1945" s="20">
        <v>3.0</v>
      </c>
      <c r="K1945" s="20">
        <v>199.0</v>
      </c>
      <c r="L1945" s="20"/>
      <c r="M1945" s="20">
        <v>199.0</v>
      </c>
      <c r="N1945" s="5" t="s">
        <v>67</v>
      </c>
      <c r="O1945" s="20" t="b">
        <v>0</v>
      </c>
      <c r="P1945" s="20" t="s">
        <v>151</v>
      </c>
      <c r="Q1945" s="20" t="s">
        <v>69</v>
      </c>
      <c r="R1945" s="20" t="s">
        <v>4033</v>
      </c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</row>
    <row r="1946">
      <c r="A1946" s="15" t="s">
        <v>8172</v>
      </c>
      <c r="B1946" s="19" t="s">
        <v>3893</v>
      </c>
      <c r="C1946" s="20">
        <v>49835.0</v>
      </c>
      <c r="D1946" s="20" t="s">
        <v>3892</v>
      </c>
      <c r="E1946" s="20">
        <v>9.19949426879E11</v>
      </c>
      <c r="F1946" s="21">
        <v>18349.0</v>
      </c>
      <c r="G1946" s="20"/>
      <c r="H1946" s="20" t="s">
        <v>680</v>
      </c>
      <c r="I1946" s="20"/>
      <c r="J1946" s="20">
        <v>1.0</v>
      </c>
      <c r="K1946" s="20">
        <v>99.0</v>
      </c>
      <c r="L1946" s="20"/>
      <c r="M1946" s="20">
        <v>99.0</v>
      </c>
      <c r="N1946" s="5" t="s">
        <v>67</v>
      </c>
      <c r="O1946" s="20" t="b">
        <v>0</v>
      </c>
      <c r="P1946" s="20" t="s">
        <v>151</v>
      </c>
      <c r="Q1946" s="20" t="s">
        <v>69</v>
      </c>
      <c r="R1946" s="20" t="s">
        <v>3888</v>
      </c>
      <c r="T1946" s="20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</row>
    <row r="1947">
      <c r="A1947" s="15" t="s">
        <v>8078</v>
      </c>
      <c r="B1947" s="19" t="s">
        <v>3084</v>
      </c>
      <c r="C1947" s="20">
        <v>49991.0</v>
      </c>
      <c r="D1947" s="20" t="s">
        <v>3083</v>
      </c>
      <c r="E1947" s="20">
        <v>9.19711131631E11</v>
      </c>
      <c r="F1947" s="21">
        <v>18312.0</v>
      </c>
      <c r="G1947" s="20"/>
      <c r="H1947" s="20" t="s">
        <v>3055</v>
      </c>
      <c r="I1947" s="20"/>
      <c r="J1947" s="20">
        <v>6.0</v>
      </c>
      <c r="K1947" s="20">
        <v>349.0</v>
      </c>
      <c r="L1947" s="20"/>
      <c r="M1947" s="20">
        <v>349.0</v>
      </c>
      <c r="N1947" s="5" t="s">
        <v>67</v>
      </c>
      <c r="O1947" s="20" t="b">
        <v>0</v>
      </c>
      <c r="P1947" s="20" t="s">
        <v>68</v>
      </c>
      <c r="Q1947" s="20" t="s">
        <v>69</v>
      </c>
      <c r="R1947" s="20" t="s">
        <v>3057</v>
      </c>
      <c r="T1947" s="20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</row>
    <row r="1948">
      <c r="A1948" s="15" t="s">
        <v>8077</v>
      </c>
      <c r="B1948" s="19" t="s">
        <v>5355</v>
      </c>
      <c r="C1948" s="20">
        <v>49995.0</v>
      </c>
      <c r="D1948" s="20" t="s">
        <v>5354</v>
      </c>
      <c r="E1948" s="20">
        <v>9.18287024066E11</v>
      </c>
      <c r="F1948" s="21">
        <v>0.0</v>
      </c>
      <c r="G1948" s="20"/>
      <c r="H1948" s="20" t="s">
        <v>5321</v>
      </c>
      <c r="I1948" s="20"/>
      <c r="J1948" s="20">
        <v>1.0</v>
      </c>
      <c r="K1948" s="20">
        <v>99.0</v>
      </c>
      <c r="L1948" s="20"/>
      <c r="M1948" s="20">
        <v>99.0</v>
      </c>
      <c r="N1948" s="5" t="s">
        <v>67</v>
      </c>
      <c r="O1948" s="20" t="b">
        <v>0</v>
      </c>
      <c r="P1948" s="20" t="s">
        <v>68</v>
      </c>
      <c r="Q1948" s="20" t="s">
        <v>69</v>
      </c>
      <c r="R1948" s="20" t="s">
        <v>5323</v>
      </c>
      <c r="T1948" s="20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</row>
    <row r="1949">
      <c r="A1949" s="15" t="s">
        <v>8174</v>
      </c>
      <c r="B1949" s="19" t="s">
        <v>2800</v>
      </c>
      <c r="C1949" s="20">
        <v>50029.0</v>
      </c>
      <c r="D1949" s="20" t="s">
        <v>2799</v>
      </c>
      <c r="E1949" s="20">
        <v>9.19100161455E11</v>
      </c>
      <c r="F1949" s="21">
        <v>18354.0</v>
      </c>
      <c r="G1949" s="20"/>
      <c r="H1949" s="20" t="s">
        <v>2761</v>
      </c>
      <c r="I1949" s="20"/>
      <c r="J1949" s="20">
        <v>6.0</v>
      </c>
      <c r="K1949" s="20">
        <v>349.0</v>
      </c>
      <c r="L1949" s="20"/>
      <c r="M1949" s="20">
        <v>349.0</v>
      </c>
      <c r="N1949" s="5" t="s">
        <v>67</v>
      </c>
      <c r="O1949" s="20" t="b">
        <v>0</v>
      </c>
      <c r="P1949" s="20" t="s">
        <v>68</v>
      </c>
      <c r="Q1949" s="20" t="s">
        <v>69</v>
      </c>
      <c r="R1949" s="20" t="s">
        <v>2763</v>
      </c>
      <c r="T1949" s="20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</row>
    <row r="1950">
      <c r="A1950" s="15" t="s">
        <v>8079</v>
      </c>
      <c r="B1950" s="19" t="s">
        <v>5205</v>
      </c>
      <c r="C1950" s="20">
        <v>50022.0</v>
      </c>
      <c r="D1950" s="20" t="s">
        <v>5204</v>
      </c>
      <c r="E1950" s="20">
        <v>9.1936511249E11</v>
      </c>
      <c r="F1950" s="22" t="s">
        <v>12593</v>
      </c>
      <c r="G1950" s="20"/>
      <c r="H1950" s="20" t="s">
        <v>5181</v>
      </c>
      <c r="I1950" s="20"/>
      <c r="J1950" s="20">
        <v>3.0</v>
      </c>
      <c r="K1950" s="20">
        <v>199.0</v>
      </c>
      <c r="L1950" s="20"/>
      <c r="M1950" s="20">
        <v>199.0</v>
      </c>
      <c r="N1950" s="5" t="s">
        <v>67</v>
      </c>
      <c r="O1950" s="20" t="b">
        <v>0</v>
      </c>
      <c r="P1950" s="20" t="s">
        <v>68</v>
      </c>
      <c r="Q1950" s="20" t="s">
        <v>69</v>
      </c>
      <c r="R1950" s="20" t="s">
        <v>5183</v>
      </c>
      <c r="T1950" s="20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</row>
    <row r="1951">
      <c r="A1951" s="15" t="s">
        <v>8082</v>
      </c>
      <c r="B1951" s="19" t="s">
        <v>2986</v>
      </c>
      <c r="C1951" s="20">
        <v>50066.0</v>
      </c>
      <c r="D1951" s="20" t="s">
        <v>2985</v>
      </c>
      <c r="E1951" s="20">
        <v>9.19591545209E11</v>
      </c>
      <c r="F1951" s="21">
        <v>18314.0</v>
      </c>
      <c r="G1951" s="20"/>
      <c r="H1951" s="20" t="s">
        <v>2911</v>
      </c>
      <c r="I1951" s="20"/>
      <c r="J1951" s="20">
        <v>6.0</v>
      </c>
      <c r="K1951" s="20">
        <v>599.0</v>
      </c>
      <c r="L1951" s="20"/>
      <c r="M1951" s="20">
        <v>599.0</v>
      </c>
      <c r="N1951" s="5" t="s">
        <v>67</v>
      </c>
      <c r="O1951" s="20" t="b">
        <v>0</v>
      </c>
      <c r="P1951" s="20" t="s">
        <v>68</v>
      </c>
      <c r="Q1951" s="20" t="s">
        <v>69</v>
      </c>
      <c r="R1951" s="20" t="s">
        <v>2913</v>
      </c>
      <c r="T1951" s="20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</row>
    <row r="1952">
      <c r="A1952" s="15" t="s">
        <v>8083</v>
      </c>
      <c r="B1952" s="19" t="s">
        <v>4428</v>
      </c>
      <c r="C1952" s="20">
        <v>50026.0</v>
      </c>
      <c r="D1952" s="20" t="s">
        <v>4427</v>
      </c>
      <c r="E1952" s="20">
        <v>9.19448378204E11</v>
      </c>
      <c r="F1952" s="21">
        <v>18315.0</v>
      </c>
      <c r="G1952" s="20"/>
      <c r="H1952" s="20" t="s">
        <v>4422</v>
      </c>
      <c r="I1952" s="20"/>
      <c r="J1952" s="20">
        <v>1.0</v>
      </c>
      <c r="K1952" s="20">
        <v>999.0</v>
      </c>
      <c r="L1952" s="20"/>
      <c r="M1952" s="20">
        <v>999.0</v>
      </c>
      <c r="N1952" s="5" t="s">
        <v>67</v>
      </c>
      <c r="O1952" s="20" t="b">
        <v>0</v>
      </c>
      <c r="P1952" s="20" t="s">
        <v>68</v>
      </c>
      <c r="Q1952" s="20" t="s">
        <v>69</v>
      </c>
      <c r="R1952" s="20" t="s">
        <v>4424</v>
      </c>
      <c r="T1952" s="20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</row>
    <row r="1953">
      <c r="A1953" s="15" t="s">
        <v>8084</v>
      </c>
      <c r="B1953" s="19" t="s">
        <v>2988</v>
      </c>
      <c r="C1953" s="20">
        <v>50066.0</v>
      </c>
      <c r="D1953" s="20" t="s">
        <v>2987</v>
      </c>
      <c r="E1953" s="20">
        <v>9.1982309932E11</v>
      </c>
      <c r="F1953" s="21">
        <v>18316.0</v>
      </c>
      <c r="G1953" s="20"/>
      <c r="H1953" s="20" t="s">
        <v>2911</v>
      </c>
      <c r="I1953" s="20"/>
      <c r="J1953" s="20">
        <v>6.0</v>
      </c>
      <c r="K1953" s="20">
        <v>599.0</v>
      </c>
      <c r="L1953" s="20"/>
      <c r="M1953" s="20">
        <v>599.0</v>
      </c>
      <c r="N1953" s="5" t="s">
        <v>67</v>
      </c>
      <c r="O1953" s="20" t="b">
        <v>0</v>
      </c>
      <c r="P1953" s="20" t="s">
        <v>74</v>
      </c>
      <c r="Q1953" s="20" t="s">
        <v>69</v>
      </c>
      <c r="R1953" s="20" t="s">
        <v>2913</v>
      </c>
      <c r="T1953" s="20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</row>
    <row r="1954">
      <c r="A1954" s="15" t="s">
        <v>8087</v>
      </c>
      <c r="B1954" s="19" t="s">
        <v>2990</v>
      </c>
      <c r="C1954" s="20">
        <v>50066.0</v>
      </c>
      <c r="D1954" s="20" t="s">
        <v>2989</v>
      </c>
      <c r="E1954" s="20">
        <v>9.19619069662E11</v>
      </c>
      <c r="F1954" s="22" t="s">
        <v>12593</v>
      </c>
      <c r="G1954" s="20"/>
      <c r="H1954" s="20" t="s">
        <v>2911</v>
      </c>
      <c r="I1954" s="20"/>
      <c r="J1954" s="20">
        <v>6.0</v>
      </c>
      <c r="K1954" s="20">
        <v>599.0</v>
      </c>
      <c r="L1954" s="20"/>
      <c r="M1954" s="20">
        <v>599.0</v>
      </c>
      <c r="N1954" s="5" t="s">
        <v>67</v>
      </c>
      <c r="O1954" s="20" t="b">
        <v>0</v>
      </c>
      <c r="P1954" s="20" t="s">
        <v>97</v>
      </c>
      <c r="Q1954" s="20" t="s">
        <v>69</v>
      </c>
      <c r="R1954" s="20" t="s">
        <v>2913</v>
      </c>
      <c r="T1954" s="20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</row>
    <row r="1955">
      <c r="A1955" s="15" t="s">
        <v>8184</v>
      </c>
      <c r="B1955" s="19" t="s">
        <v>2628</v>
      </c>
      <c r="C1955" s="20">
        <v>50065.0</v>
      </c>
      <c r="D1955" s="20" t="s">
        <v>2627</v>
      </c>
      <c r="E1955" s="20">
        <v>9.19108627981E11</v>
      </c>
      <c r="F1955" s="21">
        <v>0.0</v>
      </c>
      <c r="G1955" s="20"/>
      <c r="H1955" s="20" t="s">
        <v>2601</v>
      </c>
      <c r="I1955" s="20"/>
      <c r="J1955" s="20">
        <v>6.0</v>
      </c>
      <c r="K1955" s="20">
        <v>349.0</v>
      </c>
      <c r="L1955" s="20"/>
      <c r="M1955" s="20">
        <v>349.0</v>
      </c>
      <c r="N1955" s="5" t="s">
        <v>67</v>
      </c>
      <c r="O1955" s="20" t="b">
        <v>0</v>
      </c>
      <c r="P1955" s="20" t="s">
        <v>74</v>
      </c>
      <c r="Q1955" s="20" t="s">
        <v>69</v>
      </c>
      <c r="R1955" s="20" t="s">
        <v>2604</v>
      </c>
      <c r="T1955" s="20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</row>
    <row r="1956">
      <c r="A1956" s="15" t="s">
        <v>8185</v>
      </c>
      <c r="B1956" s="19" t="s">
        <v>5865</v>
      </c>
      <c r="C1956" s="20">
        <v>50054.0</v>
      </c>
      <c r="D1956" s="20" t="s">
        <v>5864</v>
      </c>
      <c r="E1956" s="20">
        <v>9.19845018723E11</v>
      </c>
      <c r="F1956" s="22" t="s">
        <v>12593</v>
      </c>
      <c r="G1956" s="20"/>
      <c r="H1956" s="20" t="s">
        <v>5822</v>
      </c>
      <c r="I1956" s="20"/>
      <c r="J1956" s="20">
        <v>1.0</v>
      </c>
      <c r="K1956" s="20">
        <v>99.0</v>
      </c>
      <c r="L1956" s="20"/>
      <c r="M1956" s="20">
        <v>99.0</v>
      </c>
      <c r="N1956" s="5" t="s">
        <v>67</v>
      </c>
      <c r="O1956" s="20" t="b">
        <v>0</v>
      </c>
      <c r="P1956" s="20" t="s">
        <v>68</v>
      </c>
      <c r="Q1956" s="20" t="s">
        <v>69</v>
      </c>
      <c r="R1956" s="20" t="s">
        <v>5824</v>
      </c>
      <c r="T1956" s="20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</row>
    <row r="1957">
      <c r="A1957" s="14" t="s">
        <v>9047</v>
      </c>
      <c r="B1957" s="19" t="s">
        <v>2845</v>
      </c>
      <c r="C1957" s="20">
        <v>50029.0</v>
      </c>
      <c r="D1957" s="20" t="s">
        <v>2844</v>
      </c>
      <c r="E1957" s="20">
        <v>9.17093081109E11</v>
      </c>
      <c r="F1957" s="21">
        <v>18359.0</v>
      </c>
      <c r="G1957" s="20"/>
      <c r="H1957" s="20" t="s">
        <v>2761</v>
      </c>
      <c r="I1957" s="20"/>
      <c r="J1957" s="20">
        <v>1.0</v>
      </c>
      <c r="K1957" s="20">
        <v>99.0</v>
      </c>
      <c r="L1957" s="20"/>
      <c r="M1957" s="20">
        <v>99.0</v>
      </c>
      <c r="N1957" s="5" t="s">
        <v>67</v>
      </c>
      <c r="O1957" s="20" t="b">
        <v>0</v>
      </c>
      <c r="P1957" s="20" t="s">
        <v>97</v>
      </c>
      <c r="Q1957" s="20" t="s">
        <v>69</v>
      </c>
      <c r="R1957" s="20" t="s">
        <v>2763</v>
      </c>
      <c r="T1957" s="20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</row>
    <row r="1958">
      <c r="A1958" s="14" t="s">
        <v>8188</v>
      </c>
      <c r="B1958" s="19" t="s">
        <v>3090</v>
      </c>
      <c r="C1958" s="20">
        <v>49991.0</v>
      </c>
      <c r="D1958" s="20" t="s">
        <v>2844</v>
      </c>
      <c r="E1958" s="20">
        <v>9.17093081109E11</v>
      </c>
      <c r="F1958" s="21">
        <v>18359.0</v>
      </c>
      <c r="G1958" s="20"/>
      <c r="H1958" s="20" t="s">
        <v>3055</v>
      </c>
      <c r="I1958" s="20"/>
      <c r="J1958" s="20">
        <v>6.0</v>
      </c>
      <c r="K1958" s="20">
        <v>349.0</v>
      </c>
      <c r="L1958" s="20"/>
      <c r="M1958" s="20">
        <v>349.0</v>
      </c>
      <c r="N1958" s="5" t="s">
        <v>67</v>
      </c>
      <c r="O1958" s="20" t="b">
        <v>0</v>
      </c>
      <c r="P1958" s="20" t="s">
        <v>97</v>
      </c>
      <c r="Q1958" s="20" t="s">
        <v>69</v>
      </c>
      <c r="R1958" s="20" t="s">
        <v>3057</v>
      </c>
      <c r="T1958" s="20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</row>
    <row r="1959">
      <c r="A1959" s="14" t="s">
        <v>10029</v>
      </c>
      <c r="B1959" s="19">
        <v>44202.64513888889</v>
      </c>
      <c r="C1959" s="20">
        <v>49859.0</v>
      </c>
      <c r="D1959" s="20" t="s">
        <v>2844</v>
      </c>
      <c r="E1959" s="5">
        <v>9.17093081109E11</v>
      </c>
      <c r="F1959" s="21">
        <v>18359.0</v>
      </c>
      <c r="G1959" s="20"/>
      <c r="H1959" s="20" t="s">
        <v>1133</v>
      </c>
      <c r="I1959" s="5"/>
      <c r="J1959" s="20">
        <v>6.0</v>
      </c>
      <c r="K1959" s="20">
        <v>349.0</v>
      </c>
      <c r="L1959" s="20"/>
      <c r="M1959" s="20">
        <v>349.0</v>
      </c>
      <c r="N1959" s="5" t="s">
        <v>67</v>
      </c>
      <c r="O1959" s="20" t="b">
        <v>0</v>
      </c>
      <c r="P1959" s="20" t="s">
        <v>97</v>
      </c>
      <c r="Q1959" s="20" t="s">
        <v>69</v>
      </c>
      <c r="R1959" s="20" t="s">
        <v>4620</v>
      </c>
      <c r="T1959" s="20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</row>
    <row r="1960">
      <c r="A1960" s="14" t="s">
        <v>11038</v>
      </c>
      <c r="B1960" s="19">
        <v>44475.60208333333</v>
      </c>
      <c r="C1960" s="20">
        <v>50094.0</v>
      </c>
      <c r="D1960" s="20" t="s">
        <v>2844</v>
      </c>
      <c r="E1960" s="5">
        <v>9.17093081109E11</v>
      </c>
      <c r="F1960" s="21">
        <v>18359.0</v>
      </c>
      <c r="G1960" s="20"/>
      <c r="H1960" s="20" t="s">
        <v>4942</v>
      </c>
      <c r="I1960" s="5"/>
      <c r="J1960" s="20">
        <v>6.0</v>
      </c>
      <c r="K1960" s="20">
        <v>599.0</v>
      </c>
      <c r="L1960" s="20"/>
      <c r="M1960" s="20">
        <v>599.0</v>
      </c>
      <c r="N1960" s="5" t="s">
        <v>67</v>
      </c>
      <c r="O1960" s="20" t="b">
        <v>0</v>
      </c>
      <c r="P1960" s="20" t="s">
        <v>97</v>
      </c>
      <c r="Q1960" s="20" t="s">
        <v>69</v>
      </c>
      <c r="R1960" s="20" t="s">
        <v>5054</v>
      </c>
      <c r="T1960" s="20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</row>
    <row r="1961">
      <c r="A1961" s="14" t="s">
        <v>11626</v>
      </c>
      <c r="B1961" s="19" t="s">
        <v>6248</v>
      </c>
      <c r="C1961" s="20">
        <v>50046.0</v>
      </c>
      <c r="D1961" s="20" t="s">
        <v>2844</v>
      </c>
      <c r="E1961" s="5">
        <v>9.17093081109E11</v>
      </c>
      <c r="F1961" s="21">
        <v>18359.0</v>
      </c>
      <c r="G1961" s="20"/>
      <c r="H1961" s="20" t="s">
        <v>6217</v>
      </c>
      <c r="I1961" s="5"/>
      <c r="J1961" s="20">
        <v>6.0</v>
      </c>
      <c r="K1961" s="20">
        <v>349.0</v>
      </c>
      <c r="L1961" s="20"/>
      <c r="M1961" s="20">
        <v>349.0</v>
      </c>
      <c r="N1961" s="5" t="s">
        <v>67</v>
      </c>
      <c r="O1961" s="20" t="b">
        <v>0</v>
      </c>
      <c r="P1961" s="20" t="s">
        <v>97</v>
      </c>
      <c r="Q1961" s="20" t="s">
        <v>69</v>
      </c>
      <c r="R1961" s="20" t="s">
        <v>6219</v>
      </c>
      <c r="T1961" s="20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</row>
    <row r="1962">
      <c r="A1962" s="15" t="s">
        <v>8099</v>
      </c>
      <c r="B1962" s="19" t="s">
        <v>6270</v>
      </c>
      <c r="C1962" s="20">
        <v>49998.0</v>
      </c>
      <c r="D1962" s="20" t="s">
        <v>6269</v>
      </c>
      <c r="E1962" s="20">
        <v>9.19398365395E11</v>
      </c>
      <c r="F1962" s="21">
        <v>18321.0</v>
      </c>
      <c r="G1962" s="20"/>
      <c r="H1962" s="20" t="s">
        <v>6250</v>
      </c>
      <c r="I1962" s="20"/>
      <c r="J1962" s="20">
        <v>3.0</v>
      </c>
      <c r="K1962" s="20">
        <v>199.0</v>
      </c>
      <c r="L1962" s="20"/>
      <c r="M1962" s="20">
        <v>199.0</v>
      </c>
      <c r="N1962" s="5" t="s">
        <v>67</v>
      </c>
      <c r="O1962" s="20" t="b">
        <v>0</v>
      </c>
      <c r="P1962" s="20" t="s">
        <v>68</v>
      </c>
      <c r="Q1962" s="20" t="s">
        <v>69</v>
      </c>
      <c r="R1962" s="20" t="s">
        <v>6252</v>
      </c>
      <c r="T1962" s="20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</row>
    <row r="1963">
      <c r="A1963" s="15" t="s">
        <v>8189</v>
      </c>
      <c r="B1963" s="19" t="s">
        <v>6533</v>
      </c>
      <c r="C1963" s="20">
        <v>50073.0</v>
      </c>
      <c r="D1963" s="20" t="s">
        <v>6532</v>
      </c>
      <c r="E1963" s="20">
        <v>6.4226701308E10</v>
      </c>
      <c r="F1963" s="21">
        <v>6768.0</v>
      </c>
      <c r="G1963" s="20"/>
      <c r="H1963" s="20" t="s">
        <v>6466</v>
      </c>
      <c r="I1963" s="20"/>
      <c r="J1963" s="20">
        <v>3.0</v>
      </c>
      <c r="K1963" s="20">
        <v>1499.0</v>
      </c>
      <c r="L1963" s="20"/>
      <c r="M1963" s="20">
        <v>1499.0</v>
      </c>
      <c r="N1963" s="5" t="s">
        <v>67</v>
      </c>
      <c r="O1963" s="20" t="b">
        <v>0</v>
      </c>
      <c r="P1963" s="20" t="s">
        <v>74</v>
      </c>
      <c r="Q1963" s="20" t="s">
        <v>69</v>
      </c>
      <c r="R1963" s="20" t="s">
        <v>6497</v>
      </c>
      <c r="T1963" s="20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</row>
    <row r="1964">
      <c r="A1964" s="15" t="s">
        <v>8100</v>
      </c>
      <c r="B1964" s="19" t="s">
        <v>2622</v>
      </c>
      <c r="C1964" s="20">
        <v>50065.0</v>
      </c>
      <c r="D1964" s="20" t="s">
        <v>2621</v>
      </c>
      <c r="E1964" s="20">
        <v>9.18777742505E11</v>
      </c>
      <c r="F1964" s="21">
        <v>18322.0</v>
      </c>
      <c r="G1964" s="20"/>
      <c r="H1964" s="20" t="s">
        <v>2601</v>
      </c>
      <c r="I1964" s="20"/>
      <c r="J1964" s="20">
        <v>1.0</v>
      </c>
      <c r="K1964" s="20">
        <v>99.0</v>
      </c>
      <c r="L1964" s="20"/>
      <c r="M1964" s="20">
        <v>99.0</v>
      </c>
      <c r="N1964" s="5" t="s">
        <v>67</v>
      </c>
      <c r="O1964" s="20" t="b">
        <v>0</v>
      </c>
      <c r="P1964" s="20" t="s">
        <v>68</v>
      </c>
      <c r="Q1964" s="20" t="s">
        <v>69</v>
      </c>
      <c r="R1964" s="20" t="s">
        <v>2604</v>
      </c>
      <c r="T1964" s="20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</row>
    <row r="1965">
      <c r="A1965" s="15" t="s">
        <v>8190</v>
      </c>
      <c r="B1965" s="19" t="s">
        <v>3205</v>
      </c>
      <c r="C1965" s="20">
        <v>50047.0</v>
      </c>
      <c r="D1965" s="20" t="s">
        <v>3204</v>
      </c>
      <c r="E1965" s="20">
        <v>9.19008764932E11</v>
      </c>
      <c r="F1965" s="21">
        <v>18362.0</v>
      </c>
      <c r="G1965" s="20"/>
      <c r="H1965" s="20" t="s">
        <v>3195</v>
      </c>
      <c r="I1965" s="20"/>
      <c r="J1965" s="20">
        <v>3.0</v>
      </c>
      <c r="K1965" s="20">
        <v>199.0</v>
      </c>
      <c r="L1965" s="20"/>
      <c r="M1965" s="20">
        <v>199.0</v>
      </c>
      <c r="N1965" s="5" t="s">
        <v>67</v>
      </c>
      <c r="O1965" s="20" t="b">
        <v>0</v>
      </c>
      <c r="P1965" s="20" t="s">
        <v>68</v>
      </c>
      <c r="Q1965" s="20" t="s">
        <v>69</v>
      </c>
      <c r="R1965" s="20" t="s">
        <v>3197</v>
      </c>
      <c r="T1965" s="20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</row>
    <row r="1966">
      <c r="A1966" s="15" t="s">
        <v>8102</v>
      </c>
      <c r="B1966" s="19" t="s">
        <v>2798</v>
      </c>
      <c r="C1966" s="20">
        <v>50029.0</v>
      </c>
      <c r="D1966" s="20" t="s">
        <v>2797</v>
      </c>
      <c r="E1966" s="20">
        <v>9.18693075945E11</v>
      </c>
      <c r="F1966" s="21">
        <v>18324.0</v>
      </c>
      <c r="G1966" s="20"/>
      <c r="H1966" s="20" t="s">
        <v>2761</v>
      </c>
      <c r="I1966" s="20"/>
      <c r="J1966" s="20">
        <v>3.0</v>
      </c>
      <c r="K1966" s="20">
        <v>199.0</v>
      </c>
      <c r="L1966" s="20"/>
      <c r="M1966" s="20">
        <v>199.0</v>
      </c>
      <c r="N1966" s="5" t="s">
        <v>67</v>
      </c>
      <c r="O1966" s="20" t="b">
        <v>0</v>
      </c>
      <c r="P1966" s="20" t="s">
        <v>68</v>
      </c>
      <c r="Q1966" s="20" t="s">
        <v>69</v>
      </c>
      <c r="R1966" s="20" t="s">
        <v>2763</v>
      </c>
      <c r="T1966" s="20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</row>
    <row r="1967">
      <c r="A1967" s="15" t="s">
        <v>8192</v>
      </c>
      <c r="B1967" s="19" t="s">
        <v>6274</v>
      </c>
      <c r="C1967" s="20">
        <v>49998.0</v>
      </c>
      <c r="D1967" s="20" t="s">
        <v>6273</v>
      </c>
      <c r="E1967" s="20">
        <v>9.17973408661E11</v>
      </c>
      <c r="F1967" s="21">
        <v>0.0</v>
      </c>
      <c r="G1967" s="20"/>
      <c r="H1967" s="20" t="s">
        <v>6250</v>
      </c>
      <c r="I1967" s="20"/>
      <c r="J1967" s="20">
        <v>3.0</v>
      </c>
      <c r="K1967" s="20">
        <v>199.0</v>
      </c>
      <c r="L1967" s="20"/>
      <c r="M1967" s="20">
        <v>199.0</v>
      </c>
      <c r="N1967" s="5" t="s">
        <v>67</v>
      </c>
      <c r="O1967" s="20" t="b">
        <v>0</v>
      </c>
      <c r="P1967" s="20" t="s">
        <v>74</v>
      </c>
      <c r="Q1967" s="20" t="s">
        <v>69</v>
      </c>
      <c r="R1967" s="20" t="s">
        <v>6252</v>
      </c>
      <c r="T1967" s="20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</row>
    <row r="1968">
      <c r="A1968" s="15" t="s">
        <v>8101</v>
      </c>
      <c r="B1968" s="19" t="s">
        <v>6272</v>
      </c>
      <c r="C1968" s="20">
        <v>49998.0</v>
      </c>
      <c r="D1968" s="20" t="s">
        <v>6271</v>
      </c>
      <c r="E1968" s="20">
        <v>9.18760646622E11</v>
      </c>
      <c r="F1968" s="21">
        <v>18323.0</v>
      </c>
      <c r="G1968" s="20"/>
      <c r="H1968" s="20" t="s">
        <v>6250</v>
      </c>
      <c r="I1968" s="20"/>
      <c r="J1968" s="20">
        <v>3.0</v>
      </c>
      <c r="K1968" s="20">
        <v>199.0</v>
      </c>
      <c r="L1968" s="20"/>
      <c r="M1968" s="20">
        <v>199.0</v>
      </c>
      <c r="N1968" s="5" t="s">
        <v>67</v>
      </c>
      <c r="O1968" s="20" t="b">
        <v>0</v>
      </c>
      <c r="P1968" s="20" t="s">
        <v>68</v>
      </c>
      <c r="Q1968" s="20" t="s">
        <v>69</v>
      </c>
      <c r="R1968" s="20" t="s">
        <v>6252</v>
      </c>
      <c r="T1968" s="20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</row>
    <row r="1969">
      <c r="A1969" s="15" t="s">
        <v>8103</v>
      </c>
      <c r="B1969" s="19" t="s">
        <v>2624</v>
      </c>
      <c r="C1969" s="20">
        <v>50065.0</v>
      </c>
      <c r="D1969" s="20" t="s">
        <v>2623</v>
      </c>
      <c r="E1969" s="20">
        <v>9.17876045967E11</v>
      </c>
      <c r="F1969" s="21">
        <v>18326.0</v>
      </c>
      <c r="G1969" s="20"/>
      <c r="H1969" s="20" t="s">
        <v>2601</v>
      </c>
      <c r="I1969" s="20"/>
      <c r="J1969" s="20">
        <v>1.0</v>
      </c>
      <c r="K1969" s="20">
        <v>99.0</v>
      </c>
      <c r="L1969" s="20"/>
      <c r="M1969" s="20">
        <v>99.0</v>
      </c>
      <c r="N1969" s="5" t="s">
        <v>67</v>
      </c>
      <c r="O1969" s="20" t="b">
        <v>0</v>
      </c>
      <c r="P1969" s="20" t="s">
        <v>68</v>
      </c>
      <c r="Q1969" s="20" t="s">
        <v>69</v>
      </c>
      <c r="R1969" s="20" t="s">
        <v>2604</v>
      </c>
      <c r="T1969" s="20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</row>
    <row r="1970">
      <c r="A1970" s="14" t="s">
        <v>8214</v>
      </c>
      <c r="B1970" s="19" t="s">
        <v>4649</v>
      </c>
      <c r="C1970" s="20">
        <v>49859.0</v>
      </c>
      <c r="D1970" s="20" t="s">
        <v>1525</v>
      </c>
      <c r="E1970" s="20">
        <v>9.19815577304E11</v>
      </c>
      <c r="F1970" s="21">
        <v>17013.0</v>
      </c>
      <c r="G1970" s="20"/>
      <c r="H1970" s="20" t="s">
        <v>1133</v>
      </c>
      <c r="I1970" s="20"/>
      <c r="J1970" s="20">
        <v>1.0</v>
      </c>
      <c r="K1970" s="20">
        <v>99.0</v>
      </c>
      <c r="L1970" s="20"/>
      <c r="M1970" s="20">
        <v>99.0</v>
      </c>
      <c r="N1970" s="5" t="s">
        <v>67</v>
      </c>
      <c r="O1970" s="20" t="b">
        <v>0</v>
      </c>
      <c r="P1970" s="20" t="s">
        <v>74</v>
      </c>
      <c r="Q1970" s="20" t="s">
        <v>69</v>
      </c>
      <c r="R1970" s="20" t="s">
        <v>4620</v>
      </c>
      <c r="T1970" s="20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</row>
    <row r="1971">
      <c r="A1971" s="27" t="s">
        <v>11733</v>
      </c>
      <c r="B1971" s="19" t="s">
        <v>4767</v>
      </c>
      <c r="C1971" s="20">
        <v>49859.0</v>
      </c>
      <c r="D1971" s="20" t="s">
        <v>1525</v>
      </c>
      <c r="E1971" s="5">
        <v>9.19815577304E11</v>
      </c>
      <c r="F1971" s="21">
        <v>17013.0</v>
      </c>
      <c r="G1971" s="20"/>
      <c r="H1971" s="20" t="s">
        <v>1133</v>
      </c>
      <c r="I1971" s="5"/>
      <c r="J1971" s="20">
        <v>6.0</v>
      </c>
      <c r="K1971" s="20">
        <v>349.0</v>
      </c>
      <c r="L1971" s="20"/>
      <c r="M1971" s="20">
        <v>349.0</v>
      </c>
      <c r="N1971" s="5" t="s">
        <v>67</v>
      </c>
      <c r="O1971" s="20" t="b">
        <v>0</v>
      </c>
      <c r="P1971" s="20" t="s">
        <v>74</v>
      </c>
      <c r="Q1971" s="20" t="s">
        <v>69</v>
      </c>
      <c r="R1971" s="20" t="s">
        <v>4620</v>
      </c>
      <c r="T1971" s="20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</row>
    <row r="1972">
      <c r="A1972" s="27" t="s">
        <v>8197</v>
      </c>
      <c r="B1972" s="19" t="s">
        <v>5719</v>
      </c>
      <c r="C1972" s="20">
        <v>50036.0</v>
      </c>
      <c r="D1972" s="20" t="s">
        <v>1525</v>
      </c>
      <c r="E1972" s="20">
        <v>9.19815577304E11</v>
      </c>
      <c r="F1972" s="21">
        <v>17013.0</v>
      </c>
      <c r="G1972" s="20"/>
      <c r="H1972" s="20" t="s">
        <v>1320</v>
      </c>
      <c r="I1972" s="20"/>
      <c r="J1972" s="20">
        <v>3.0</v>
      </c>
      <c r="K1972" s="20">
        <v>399.0</v>
      </c>
      <c r="L1972" s="20"/>
      <c r="M1972" s="20">
        <v>399.0</v>
      </c>
      <c r="N1972" s="5" t="s">
        <v>67</v>
      </c>
      <c r="O1972" s="20" t="b">
        <v>0</v>
      </c>
      <c r="P1972" s="20" t="s">
        <v>74</v>
      </c>
      <c r="Q1972" s="20" t="s">
        <v>69</v>
      </c>
      <c r="R1972" s="20" t="s">
        <v>5709</v>
      </c>
      <c r="T1972" s="20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</row>
    <row r="1973">
      <c r="A1973" s="15" t="s">
        <v>8200</v>
      </c>
      <c r="B1973" s="19" t="s">
        <v>3207</v>
      </c>
      <c r="C1973" s="20">
        <v>50047.0</v>
      </c>
      <c r="D1973" s="20" t="s">
        <v>3206</v>
      </c>
      <c r="E1973" s="20">
        <v>9.18277456229E11</v>
      </c>
      <c r="F1973" s="21">
        <v>18365.0</v>
      </c>
      <c r="G1973" s="20"/>
      <c r="H1973" s="20" t="s">
        <v>3195</v>
      </c>
      <c r="I1973" s="20"/>
      <c r="J1973" s="20">
        <v>6.0</v>
      </c>
      <c r="K1973" s="20">
        <v>299.0</v>
      </c>
      <c r="L1973" s="20"/>
      <c r="M1973" s="20">
        <v>299.0</v>
      </c>
      <c r="N1973" s="5" t="s">
        <v>67</v>
      </c>
      <c r="O1973" s="20" t="b">
        <v>0</v>
      </c>
      <c r="P1973" s="20" t="s">
        <v>68</v>
      </c>
      <c r="Q1973" s="20" t="s">
        <v>69</v>
      </c>
      <c r="R1973" s="20" t="s">
        <v>3197</v>
      </c>
      <c r="T1973" s="20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</row>
    <row r="1974">
      <c r="A1974" s="15" t="s">
        <v>8109</v>
      </c>
      <c r="B1974" s="19" t="s">
        <v>5357</v>
      </c>
      <c r="C1974" s="20">
        <v>49995.0</v>
      </c>
      <c r="D1974" s="20" t="s">
        <v>5356</v>
      </c>
      <c r="E1974" s="20">
        <v>9.17338767219E11</v>
      </c>
      <c r="F1974" s="21">
        <v>18328.0</v>
      </c>
      <c r="G1974" s="20"/>
      <c r="H1974" s="20" t="s">
        <v>5321</v>
      </c>
      <c r="I1974" s="20"/>
      <c r="J1974" s="20">
        <v>1.0</v>
      </c>
      <c r="K1974" s="20">
        <v>99.0</v>
      </c>
      <c r="L1974" s="20"/>
      <c r="M1974" s="20">
        <v>99.0</v>
      </c>
      <c r="N1974" s="5" t="s">
        <v>67</v>
      </c>
      <c r="O1974" s="20" t="b">
        <v>0</v>
      </c>
      <c r="P1974" s="20" t="s">
        <v>68</v>
      </c>
      <c r="Q1974" s="20" t="s">
        <v>69</v>
      </c>
      <c r="R1974" s="20" t="s">
        <v>5323</v>
      </c>
      <c r="T1974" s="20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</row>
    <row r="1975">
      <c r="A1975" s="15" t="s">
        <v>8201</v>
      </c>
      <c r="B1975" s="19" t="s">
        <v>6155</v>
      </c>
      <c r="C1975" s="20">
        <v>49978.0</v>
      </c>
      <c r="D1975" s="20" t="s">
        <v>6154</v>
      </c>
      <c r="E1975" s="20">
        <v>9.19810052053E11</v>
      </c>
      <c r="F1975" s="22" t="s">
        <v>12593</v>
      </c>
      <c r="G1975" s="20"/>
      <c r="H1975" s="20" t="s">
        <v>2150</v>
      </c>
      <c r="I1975" s="20"/>
      <c r="J1975" s="20">
        <v>6.0</v>
      </c>
      <c r="K1975" s="20">
        <v>299.0</v>
      </c>
      <c r="L1975" s="20"/>
      <c r="M1975" s="20">
        <v>299.0</v>
      </c>
      <c r="N1975" s="5" t="s">
        <v>67</v>
      </c>
      <c r="O1975" s="20" t="b">
        <v>0</v>
      </c>
      <c r="P1975" s="20" t="s">
        <v>68</v>
      </c>
      <c r="Q1975" s="20" t="s">
        <v>69</v>
      </c>
      <c r="R1975" s="20" t="s">
        <v>6156</v>
      </c>
      <c r="T1975" s="20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</row>
    <row r="1976">
      <c r="A1976" s="15" t="s">
        <v>8111</v>
      </c>
      <c r="B1976" s="19" t="s">
        <v>3398</v>
      </c>
      <c r="C1976" s="20">
        <v>50030.0</v>
      </c>
      <c r="D1976" s="20" t="s">
        <v>3397</v>
      </c>
      <c r="E1976" s="20">
        <v>9.18093785688E11</v>
      </c>
      <c r="F1976" s="21">
        <v>18327.0</v>
      </c>
      <c r="G1976" s="20"/>
      <c r="H1976" s="20" t="s">
        <v>3326</v>
      </c>
      <c r="I1976" s="20"/>
      <c r="J1976" s="20">
        <v>1.0</v>
      </c>
      <c r="K1976" s="20">
        <v>99.0</v>
      </c>
      <c r="L1976" s="20"/>
      <c r="M1976" s="20">
        <v>99.0</v>
      </c>
      <c r="N1976" s="5" t="s">
        <v>67</v>
      </c>
      <c r="O1976" s="20" t="b">
        <v>0</v>
      </c>
      <c r="P1976" s="20" t="s">
        <v>68</v>
      </c>
      <c r="Q1976" s="20" t="s">
        <v>69</v>
      </c>
      <c r="R1976" s="20" t="s">
        <v>3328</v>
      </c>
      <c r="T1976" s="20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</row>
    <row r="1977">
      <c r="A1977" s="15" t="s">
        <v>8105</v>
      </c>
      <c r="B1977" s="19" t="s">
        <v>4600</v>
      </c>
      <c r="C1977" s="20">
        <v>50031.0</v>
      </c>
      <c r="D1977" s="20" t="s">
        <v>4599</v>
      </c>
      <c r="E1977" s="20">
        <v>9.19972852522E11</v>
      </c>
      <c r="F1977" s="21">
        <v>0.0</v>
      </c>
      <c r="G1977" s="20"/>
      <c r="H1977" s="20" t="s">
        <v>4561</v>
      </c>
      <c r="I1977" s="20"/>
      <c r="J1977" s="20">
        <v>1.0</v>
      </c>
      <c r="K1977" s="20">
        <v>99.0</v>
      </c>
      <c r="L1977" s="20"/>
      <c r="M1977" s="20">
        <v>99.0</v>
      </c>
      <c r="N1977" s="5" t="s">
        <v>67</v>
      </c>
      <c r="O1977" s="20" t="b">
        <v>0</v>
      </c>
      <c r="P1977" s="20" t="s">
        <v>68</v>
      </c>
      <c r="Q1977" s="20" t="s">
        <v>69</v>
      </c>
      <c r="R1977" s="20" t="s">
        <v>4563</v>
      </c>
      <c r="T1977" s="20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</row>
    <row r="1978">
      <c r="A1978" s="15" t="s">
        <v>8202</v>
      </c>
      <c r="B1978" s="19" t="s">
        <v>5211</v>
      </c>
      <c r="C1978" s="20">
        <v>50022.0</v>
      </c>
      <c r="D1978" s="20" t="s">
        <v>5210</v>
      </c>
      <c r="E1978" s="20">
        <v>9.19903863033E11</v>
      </c>
      <c r="F1978" s="21">
        <v>0.0</v>
      </c>
      <c r="G1978" s="20"/>
      <c r="H1978" s="20" t="s">
        <v>5181</v>
      </c>
      <c r="I1978" s="20"/>
      <c r="J1978" s="20">
        <v>1.0</v>
      </c>
      <c r="K1978" s="20">
        <v>99.0</v>
      </c>
      <c r="L1978" s="20"/>
      <c r="M1978" s="20">
        <v>99.0</v>
      </c>
      <c r="N1978" s="5" t="s">
        <v>67</v>
      </c>
      <c r="O1978" s="20" t="b">
        <v>0</v>
      </c>
      <c r="P1978" s="20" t="s">
        <v>68</v>
      </c>
      <c r="Q1978" s="20" t="s">
        <v>69</v>
      </c>
      <c r="R1978" s="20" t="s">
        <v>5183</v>
      </c>
      <c r="T1978" s="20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</row>
    <row r="1979">
      <c r="A1979" s="15" t="s">
        <v>8114</v>
      </c>
      <c r="B1979" s="19" t="s">
        <v>3402</v>
      </c>
      <c r="C1979" s="20">
        <v>50030.0</v>
      </c>
      <c r="D1979" s="20" t="s">
        <v>3401</v>
      </c>
      <c r="E1979" s="20">
        <v>9.19897045822E11</v>
      </c>
      <c r="F1979" s="21">
        <v>16865.0</v>
      </c>
      <c r="G1979" s="20"/>
      <c r="H1979" s="20" t="s">
        <v>3326</v>
      </c>
      <c r="I1979" s="20"/>
      <c r="J1979" s="20">
        <v>1.0</v>
      </c>
      <c r="K1979" s="20">
        <v>197.0</v>
      </c>
      <c r="L1979" s="20"/>
      <c r="M1979" s="20">
        <v>197.0</v>
      </c>
      <c r="N1979" s="5" t="s">
        <v>67</v>
      </c>
      <c r="O1979" s="20" t="b">
        <v>0</v>
      </c>
      <c r="P1979" s="20" t="s">
        <v>74</v>
      </c>
      <c r="Q1979" s="20" t="s">
        <v>69</v>
      </c>
      <c r="R1979" s="20" t="s">
        <v>3328</v>
      </c>
      <c r="T1979" s="20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</row>
    <row r="1980">
      <c r="A1980" s="15" t="s">
        <v>8207</v>
      </c>
      <c r="B1980" s="19" t="s">
        <v>5213</v>
      </c>
      <c r="C1980" s="20">
        <v>50022.0</v>
      </c>
      <c r="D1980" s="20" t="s">
        <v>5212</v>
      </c>
      <c r="E1980" s="20">
        <v>9.19999796877E11</v>
      </c>
      <c r="F1980" s="21">
        <v>18368.0</v>
      </c>
      <c r="G1980" s="20"/>
      <c r="H1980" s="20" t="s">
        <v>5181</v>
      </c>
      <c r="I1980" s="20"/>
      <c r="J1980" s="20">
        <v>3.0</v>
      </c>
      <c r="K1980" s="20">
        <v>199.0</v>
      </c>
      <c r="L1980" s="20"/>
      <c r="M1980" s="20">
        <v>199.0</v>
      </c>
      <c r="N1980" s="5" t="s">
        <v>67</v>
      </c>
      <c r="O1980" s="20" t="b">
        <v>0</v>
      </c>
      <c r="P1980" s="20" t="s">
        <v>68</v>
      </c>
      <c r="Q1980" s="20" t="s">
        <v>69</v>
      </c>
      <c r="R1980" s="20" t="s">
        <v>5183</v>
      </c>
      <c r="T1980" s="20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</row>
    <row r="1981">
      <c r="A1981" s="15" t="s">
        <v>8210</v>
      </c>
      <c r="B1981" s="19" t="s">
        <v>2630</v>
      </c>
      <c r="C1981" s="20">
        <v>50065.0</v>
      </c>
      <c r="D1981" s="20" t="s">
        <v>2629</v>
      </c>
      <c r="E1981" s="20">
        <v>9.18291404395E11</v>
      </c>
      <c r="F1981" s="21">
        <v>18369.0</v>
      </c>
      <c r="G1981" s="20"/>
      <c r="H1981" s="20" t="s">
        <v>2601</v>
      </c>
      <c r="I1981" s="20"/>
      <c r="J1981" s="20">
        <v>1.0</v>
      </c>
      <c r="K1981" s="20">
        <v>99.0</v>
      </c>
      <c r="L1981" s="20"/>
      <c r="M1981" s="20">
        <v>99.0</v>
      </c>
      <c r="N1981" s="5" t="s">
        <v>67</v>
      </c>
      <c r="O1981" s="20" t="b">
        <v>0</v>
      </c>
      <c r="P1981" s="20" t="s">
        <v>68</v>
      </c>
      <c r="Q1981" s="20" t="s">
        <v>69</v>
      </c>
      <c r="R1981" s="20" t="s">
        <v>2604</v>
      </c>
      <c r="T1981" s="20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</row>
    <row r="1982">
      <c r="A1982" s="15" t="s">
        <v>8216</v>
      </c>
      <c r="B1982" s="19" t="s">
        <v>3027</v>
      </c>
      <c r="C1982" s="20">
        <v>50020.0</v>
      </c>
      <c r="D1982" s="20" t="s">
        <v>3026</v>
      </c>
      <c r="E1982" s="20">
        <v>9.18667724397E11</v>
      </c>
      <c r="F1982" s="21">
        <v>18567.0</v>
      </c>
      <c r="G1982" s="20"/>
      <c r="H1982" s="20" t="s">
        <v>3008</v>
      </c>
      <c r="I1982" s="20"/>
      <c r="J1982" s="20">
        <v>1.0</v>
      </c>
      <c r="K1982" s="20">
        <v>99.0</v>
      </c>
      <c r="L1982" s="20"/>
      <c r="M1982" s="20">
        <v>99.0</v>
      </c>
      <c r="N1982" s="5" t="s">
        <v>67</v>
      </c>
      <c r="O1982" s="20" t="b">
        <v>0</v>
      </c>
      <c r="P1982" s="20" t="s">
        <v>68</v>
      </c>
      <c r="Q1982" s="20" t="s">
        <v>69</v>
      </c>
      <c r="R1982" s="20" t="s">
        <v>3010</v>
      </c>
      <c r="T1982" s="20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</row>
    <row r="1983">
      <c r="A1983" s="15" t="s">
        <v>8118</v>
      </c>
      <c r="B1983" s="19" t="s">
        <v>3086</v>
      </c>
      <c r="C1983" s="20">
        <v>49991.0</v>
      </c>
      <c r="D1983" s="20" t="s">
        <v>3085</v>
      </c>
      <c r="E1983" s="20">
        <v>9.19987202924E11</v>
      </c>
      <c r="F1983" s="21">
        <v>18329.0</v>
      </c>
      <c r="G1983" s="20"/>
      <c r="H1983" s="20" t="s">
        <v>3055</v>
      </c>
      <c r="I1983" s="20"/>
      <c r="J1983" s="20">
        <v>6.0</v>
      </c>
      <c r="K1983" s="20">
        <v>349.0</v>
      </c>
      <c r="L1983" s="20"/>
      <c r="M1983" s="20">
        <v>349.0</v>
      </c>
      <c r="N1983" s="5" t="s">
        <v>67</v>
      </c>
      <c r="O1983" s="20" t="b">
        <v>0</v>
      </c>
      <c r="P1983" s="20" t="s">
        <v>68</v>
      </c>
      <c r="Q1983" s="20" t="s">
        <v>69</v>
      </c>
      <c r="R1983" s="20" t="s">
        <v>3057</v>
      </c>
      <c r="T1983" s="20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</row>
    <row r="1984">
      <c r="A1984" s="15" t="s">
        <v>8219</v>
      </c>
      <c r="B1984" s="19" t="s">
        <v>4944</v>
      </c>
      <c r="C1984" s="20">
        <v>50094.0</v>
      </c>
      <c r="D1984" s="20" t="s">
        <v>4943</v>
      </c>
      <c r="E1984" s="20">
        <v>9.19175417828E11</v>
      </c>
      <c r="F1984" s="21">
        <v>18376.0</v>
      </c>
      <c r="G1984" s="20"/>
      <c r="H1984" s="20" t="s">
        <v>4942</v>
      </c>
      <c r="I1984" s="20"/>
      <c r="J1984" s="20">
        <v>1.0</v>
      </c>
      <c r="K1984" s="20">
        <v>199.0</v>
      </c>
      <c r="L1984" s="20"/>
      <c r="M1984" s="20">
        <v>199.0</v>
      </c>
      <c r="N1984" s="5" t="s">
        <v>67</v>
      </c>
      <c r="O1984" s="20" t="b">
        <v>0</v>
      </c>
      <c r="P1984" s="20" t="s">
        <v>68</v>
      </c>
      <c r="Q1984" s="20" t="s">
        <v>69</v>
      </c>
      <c r="R1984" s="20" t="s">
        <v>4945</v>
      </c>
      <c r="T1984" s="20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</row>
    <row r="1985">
      <c r="A1985" s="15" t="s">
        <v>8224</v>
      </c>
      <c r="B1985" s="19" t="s">
        <v>4813</v>
      </c>
      <c r="C1985" s="20">
        <v>49996.0</v>
      </c>
      <c r="D1985" s="20" t="s">
        <v>4812</v>
      </c>
      <c r="E1985" s="20">
        <v>9.19579765697E11</v>
      </c>
      <c r="F1985" s="21">
        <v>16599.0</v>
      </c>
      <c r="G1985" s="20"/>
      <c r="H1985" s="20" t="s">
        <v>4796</v>
      </c>
      <c r="I1985" s="20"/>
      <c r="J1985" s="20">
        <v>3.0</v>
      </c>
      <c r="K1985" s="20">
        <v>199.0</v>
      </c>
      <c r="L1985" s="20"/>
      <c r="M1985" s="20">
        <v>199.0</v>
      </c>
      <c r="N1985" s="5" t="s">
        <v>67</v>
      </c>
      <c r="O1985" s="20" t="b">
        <v>0</v>
      </c>
      <c r="P1985" s="20" t="s">
        <v>68</v>
      </c>
      <c r="Q1985" s="20" t="s">
        <v>69</v>
      </c>
      <c r="R1985" s="20" t="s">
        <v>4799</v>
      </c>
      <c r="T1985" s="20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</row>
    <row r="1986">
      <c r="A1986" s="15" t="s">
        <v>8228</v>
      </c>
      <c r="B1986" s="19" t="s">
        <v>2802</v>
      </c>
      <c r="C1986" s="20">
        <v>50029.0</v>
      </c>
      <c r="D1986" s="20" t="s">
        <v>2801</v>
      </c>
      <c r="E1986" s="20">
        <v>9.18957959326E11</v>
      </c>
      <c r="F1986" s="21">
        <v>0.0</v>
      </c>
      <c r="G1986" s="20"/>
      <c r="H1986" s="20" t="s">
        <v>2761</v>
      </c>
      <c r="I1986" s="20"/>
      <c r="J1986" s="20">
        <v>1.0</v>
      </c>
      <c r="K1986" s="20">
        <v>99.0</v>
      </c>
      <c r="L1986" s="20"/>
      <c r="M1986" s="20">
        <v>99.0</v>
      </c>
      <c r="N1986" s="5" t="s">
        <v>67</v>
      </c>
      <c r="O1986" s="20" t="b">
        <v>0</v>
      </c>
      <c r="P1986" s="20" t="s">
        <v>68</v>
      </c>
      <c r="Q1986" s="20" t="s">
        <v>69</v>
      </c>
      <c r="R1986" s="20" t="s">
        <v>2763</v>
      </c>
      <c r="T1986" s="20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</row>
    <row r="1987">
      <c r="A1987" s="15" t="s">
        <v>8226</v>
      </c>
      <c r="B1987" s="19" t="s">
        <v>5429</v>
      </c>
      <c r="C1987" s="20">
        <v>50040.0</v>
      </c>
      <c r="D1987" s="20" t="s">
        <v>5428</v>
      </c>
      <c r="E1987" s="20">
        <v>9.1756799996E11</v>
      </c>
      <c r="F1987" s="21">
        <v>18134.0</v>
      </c>
      <c r="G1987" s="20"/>
      <c r="H1987" s="20" t="s">
        <v>5400</v>
      </c>
      <c r="I1987" s="20"/>
      <c r="J1987" s="20">
        <v>6.0</v>
      </c>
      <c r="K1987" s="20">
        <v>349.0</v>
      </c>
      <c r="L1987" s="20"/>
      <c r="M1987" s="20">
        <v>349.0</v>
      </c>
      <c r="N1987" s="5" t="s">
        <v>67</v>
      </c>
      <c r="O1987" s="20" t="b">
        <v>0</v>
      </c>
      <c r="P1987" s="20" t="s">
        <v>74</v>
      </c>
      <c r="Q1987" s="20" t="s">
        <v>69</v>
      </c>
      <c r="R1987" s="20" t="s">
        <v>5402</v>
      </c>
      <c r="T1987" s="20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</row>
    <row r="1988">
      <c r="A1988" s="15" t="s">
        <v>8236</v>
      </c>
      <c r="B1988" s="19" t="s">
        <v>4283</v>
      </c>
      <c r="C1988" s="20">
        <v>50079.0</v>
      </c>
      <c r="D1988" s="20" t="s">
        <v>4282</v>
      </c>
      <c r="E1988" s="20">
        <v>9.19006060531E11</v>
      </c>
      <c r="F1988" s="21">
        <v>18385.0</v>
      </c>
      <c r="G1988" s="20"/>
      <c r="H1988" s="20" t="s">
        <v>4281</v>
      </c>
      <c r="I1988" s="20"/>
      <c r="J1988" s="20">
        <v>1.0</v>
      </c>
      <c r="K1988" s="20">
        <v>99.0</v>
      </c>
      <c r="L1988" s="20"/>
      <c r="M1988" s="20">
        <v>99.0</v>
      </c>
      <c r="N1988" s="5" t="s">
        <v>67</v>
      </c>
      <c r="O1988" s="20" t="b">
        <v>0</v>
      </c>
      <c r="P1988" s="20" t="s">
        <v>68</v>
      </c>
      <c r="Q1988" s="20" t="s">
        <v>69</v>
      </c>
      <c r="R1988" s="20" t="s">
        <v>4284</v>
      </c>
      <c r="T1988" s="20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</row>
    <row r="1989">
      <c r="A1989" s="15" t="s">
        <v>8239</v>
      </c>
      <c r="B1989" s="19" t="s">
        <v>2632</v>
      </c>
      <c r="C1989" s="20">
        <v>50065.0</v>
      </c>
      <c r="D1989" s="20" t="s">
        <v>2631</v>
      </c>
      <c r="E1989" s="20">
        <v>9.19409212575E11</v>
      </c>
      <c r="F1989" s="21">
        <v>18387.0</v>
      </c>
      <c r="G1989" s="20"/>
      <c r="H1989" s="20" t="s">
        <v>2601</v>
      </c>
      <c r="I1989" s="20"/>
      <c r="J1989" s="20">
        <v>1.0</v>
      </c>
      <c r="K1989" s="20">
        <v>99.0</v>
      </c>
      <c r="L1989" s="20"/>
      <c r="M1989" s="20">
        <v>99.0</v>
      </c>
      <c r="N1989" s="5" t="s">
        <v>67</v>
      </c>
      <c r="O1989" s="20" t="b">
        <v>0</v>
      </c>
      <c r="P1989" s="20" t="s">
        <v>68</v>
      </c>
      <c r="Q1989" s="20" t="s">
        <v>69</v>
      </c>
      <c r="R1989" s="20" t="s">
        <v>2604</v>
      </c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</row>
    <row r="1990">
      <c r="A1990" s="15" t="s">
        <v>8240</v>
      </c>
      <c r="B1990" s="19" t="s">
        <v>3209</v>
      </c>
      <c r="C1990" s="20">
        <v>50047.0</v>
      </c>
      <c r="D1990" s="20" t="s">
        <v>3208</v>
      </c>
      <c r="E1990" s="20">
        <v>9.19829530536E11</v>
      </c>
      <c r="F1990" s="21">
        <v>18388.0</v>
      </c>
      <c r="G1990" s="20"/>
      <c r="H1990" s="20" t="s">
        <v>3195</v>
      </c>
      <c r="I1990" s="20"/>
      <c r="J1990" s="20">
        <v>3.0</v>
      </c>
      <c r="K1990" s="20">
        <v>199.0</v>
      </c>
      <c r="L1990" s="20"/>
      <c r="M1990" s="20">
        <v>199.0</v>
      </c>
      <c r="N1990" s="5" t="s">
        <v>67</v>
      </c>
      <c r="O1990" s="20" t="b">
        <v>0</v>
      </c>
      <c r="P1990" s="20" t="s">
        <v>151</v>
      </c>
      <c r="Q1990" s="20" t="s">
        <v>69</v>
      </c>
      <c r="R1990" s="20" t="s">
        <v>3197</v>
      </c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</row>
    <row r="1991">
      <c r="A1991" s="15" t="s">
        <v>8241</v>
      </c>
      <c r="B1991" s="19" t="s">
        <v>5142</v>
      </c>
      <c r="C1991" s="20">
        <v>49813.0</v>
      </c>
      <c r="D1991" s="20" t="s">
        <v>5141</v>
      </c>
      <c r="E1991" s="20">
        <v>9.19900429246E11</v>
      </c>
      <c r="F1991" s="21">
        <v>18393.0</v>
      </c>
      <c r="G1991" s="20"/>
      <c r="H1991" s="20" t="s">
        <v>5114</v>
      </c>
      <c r="I1991" s="20"/>
      <c r="J1991" s="20">
        <v>6.0</v>
      </c>
      <c r="K1991" s="20">
        <v>799.0</v>
      </c>
      <c r="L1991" s="20"/>
      <c r="M1991" s="20">
        <v>799.0</v>
      </c>
      <c r="N1991" s="5" t="s">
        <v>67</v>
      </c>
      <c r="O1991" s="20" t="b">
        <v>0</v>
      </c>
      <c r="P1991" s="20" t="s">
        <v>68</v>
      </c>
      <c r="Q1991" s="20" t="s">
        <v>69</v>
      </c>
      <c r="R1991" s="20" t="s">
        <v>5116</v>
      </c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</row>
    <row r="1992">
      <c r="A1992" s="15" t="s">
        <v>8244</v>
      </c>
      <c r="B1992" s="19" t="s">
        <v>3404</v>
      </c>
      <c r="C1992" s="20">
        <v>50030.0</v>
      </c>
      <c r="D1992" s="20" t="s">
        <v>3403</v>
      </c>
      <c r="E1992" s="20">
        <v>9.19538000167E11</v>
      </c>
      <c r="F1992" s="21">
        <v>18435.0</v>
      </c>
      <c r="G1992" s="20"/>
      <c r="H1992" s="20" t="s">
        <v>3326</v>
      </c>
      <c r="I1992" s="20"/>
      <c r="J1992" s="20">
        <v>3.0</v>
      </c>
      <c r="K1992" s="20">
        <v>199.0</v>
      </c>
      <c r="L1992" s="20"/>
      <c r="M1992" s="20">
        <v>199.0</v>
      </c>
      <c r="N1992" s="5" t="s">
        <v>67</v>
      </c>
      <c r="O1992" s="20" t="b">
        <v>0</v>
      </c>
      <c r="P1992" s="20" t="s">
        <v>74</v>
      </c>
      <c r="Q1992" s="20" t="s">
        <v>69</v>
      </c>
      <c r="R1992" s="20" t="s">
        <v>3328</v>
      </c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</row>
    <row r="1993">
      <c r="A1993" s="15" t="s">
        <v>8245</v>
      </c>
      <c r="B1993" s="19" t="s">
        <v>5813</v>
      </c>
      <c r="C1993" s="20">
        <v>50033.0</v>
      </c>
      <c r="D1993" s="20" t="s">
        <v>5812</v>
      </c>
      <c r="E1993" s="20">
        <v>9.19654014083E11</v>
      </c>
      <c r="F1993" s="21">
        <v>18398.0</v>
      </c>
      <c r="G1993" s="20"/>
      <c r="H1993" s="20" t="s">
        <v>1727</v>
      </c>
      <c r="I1993" s="20"/>
      <c r="J1993" s="20">
        <v>1.0</v>
      </c>
      <c r="K1993" s="20">
        <v>99.0</v>
      </c>
      <c r="L1993" s="20"/>
      <c r="M1993" s="20">
        <v>99.0</v>
      </c>
      <c r="N1993" s="5" t="s">
        <v>67</v>
      </c>
      <c r="O1993" s="20" t="b">
        <v>0</v>
      </c>
      <c r="P1993" s="20" t="s">
        <v>68</v>
      </c>
      <c r="Q1993" s="20" t="s">
        <v>69</v>
      </c>
      <c r="R1993" s="20" t="s">
        <v>5731</v>
      </c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</row>
    <row r="1994">
      <c r="A1994" s="15" t="s">
        <v>8252</v>
      </c>
      <c r="B1994" s="19" t="s">
        <v>2634</v>
      </c>
      <c r="C1994" s="20">
        <v>50065.0</v>
      </c>
      <c r="D1994" s="20" t="s">
        <v>2633</v>
      </c>
      <c r="E1994" s="20">
        <v>9.18870485956E11</v>
      </c>
      <c r="F1994" s="21">
        <v>18404.0</v>
      </c>
      <c r="G1994" s="20"/>
      <c r="H1994" s="20" t="s">
        <v>2601</v>
      </c>
      <c r="I1994" s="20"/>
      <c r="J1994" s="20">
        <v>1.0</v>
      </c>
      <c r="K1994" s="20">
        <v>99.0</v>
      </c>
      <c r="L1994" s="20"/>
      <c r="M1994" s="20">
        <v>99.0</v>
      </c>
      <c r="N1994" s="5" t="s">
        <v>67</v>
      </c>
      <c r="O1994" s="20" t="b">
        <v>0</v>
      </c>
      <c r="P1994" s="20" t="s">
        <v>68</v>
      </c>
      <c r="Q1994" s="20" t="s">
        <v>69</v>
      </c>
      <c r="R1994" s="20" t="s">
        <v>2604</v>
      </c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</row>
    <row r="1995">
      <c r="A1995" s="15" t="s">
        <v>8253</v>
      </c>
      <c r="B1995" s="19" t="s">
        <v>5215</v>
      </c>
      <c r="C1995" s="20">
        <v>50022.0</v>
      </c>
      <c r="D1995" s="20" t="s">
        <v>5214</v>
      </c>
      <c r="E1995" s="20">
        <v>9.19987491199E11</v>
      </c>
      <c r="F1995" s="21">
        <v>18403.0</v>
      </c>
      <c r="G1995" s="20"/>
      <c r="H1995" s="20" t="s">
        <v>5181</v>
      </c>
      <c r="I1995" s="20"/>
      <c r="J1995" s="20">
        <v>1.0</v>
      </c>
      <c r="K1995" s="20">
        <v>99.0</v>
      </c>
      <c r="L1995" s="20"/>
      <c r="M1995" s="20">
        <v>99.0</v>
      </c>
      <c r="N1995" s="5" t="s">
        <v>67</v>
      </c>
      <c r="O1995" s="20" t="b">
        <v>0</v>
      </c>
      <c r="P1995" s="20" t="s">
        <v>68</v>
      </c>
      <c r="Q1995" s="20" t="s">
        <v>69</v>
      </c>
      <c r="R1995" s="20" t="s">
        <v>5183</v>
      </c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</row>
    <row r="1996">
      <c r="A1996" s="15" t="s">
        <v>8254</v>
      </c>
      <c r="B1996" s="19" t="s">
        <v>4603</v>
      </c>
      <c r="C1996" s="20">
        <v>50031.0</v>
      </c>
      <c r="D1996" s="20" t="s">
        <v>4602</v>
      </c>
      <c r="E1996" s="20">
        <v>9.17231919191E11</v>
      </c>
      <c r="F1996" s="21">
        <v>18405.0</v>
      </c>
      <c r="G1996" s="20"/>
      <c r="H1996" s="20" t="s">
        <v>4561</v>
      </c>
      <c r="I1996" s="20"/>
      <c r="J1996" s="20">
        <v>1.0</v>
      </c>
      <c r="K1996" s="20">
        <v>99.0</v>
      </c>
      <c r="L1996" s="20"/>
      <c r="M1996" s="20">
        <v>99.0</v>
      </c>
      <c r="N1996" s="5" t="s">
        <v>67</v>
      </c>
      <c r="O1996" s="20" t="b">
        <v>0</v>
      </c>
      <c r="P1996" s="20" t="s">
        <v>68</v>
      </c>
      <c r="Q1996" s="20" t="s">
        <v>69</v>
      </c>
      <c r="R1996" s="20" t="s">
        <v>4563</v>
      </c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</row>
    <row r="1997">
      <c r="A1997" s="15" t="s">
        <v>8249</v>
      </c>
      <c r="B1997" s="19" t="s">
        <v>5815</v>
      </c>
      <c r="C1997" s="20">
        <v>50033.0</v>
      </c>
      <c r="D1997" s="20" t="s">
        <v>5814</v>
      </c>
      <c r="E1997" s="20">
        <v>9.17020038294E11</v>
      </c>
      <c r="F1997" s="21">
        <v>18407.0</v>
      </c>
      <c r="G1997" s="20"/>
      <c r="H1997" s="20" t="s">
        <v>1727</v>
      </c>
      <c r="I1997" s="20"/>
      <c r="J1997" s="20">
        <v>1.0</v>
      </c>
      <c r="K1997" s="20">
        <v>99.0</v>
      </c>
      <c r="L1997" s="20"/>
      <c r="M1997" s="20">
        <v>99.0</v>
      </c>
      <c r="N1997" s="5" t="s">
        <v>67</v>
      </c>
      <c r="O1997" s="20" t="b">
        <v>0</v>
      </c>
      <c r="P1997" s="20" t="s">
        <v>68</v>
      </c>
      <c r="Q1997" s="20" t="s">
        <v>69</v>
      </c>
      <c r="R1997" s="20" t="s">
        <v>5731</v>
      </c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</row>
    <row r="1998">
      <c r="A1998" s="15" t="s">
        <v>8262</v>
      </c>
      <c r="B1998" s="19" t="s">
        <v>3211</v>
      </c>
      <c r="C1998" s="20">
        <v>50047.0</v>
      </c>
      <c r="D1998" s="20" t="s">
        <v>3210</v>
      </c>
      <c r="E1998" s="20">
        <v>9.17978153635E11</v>
      </c>
      <c r="F1998" s="21">
        <v>18406.0</v>
      </c>
      <c r="G1998" s="20"/>
      <c r="H1998" s="20" t="s">
        <v>3195</v>
      </c>
      <c r="I1998" s="20"/>
      <c r="J1998" s="20">
        <v>3.0</v>
      </c>
      <c r="K1998" s="20">
        <v>199.0</v>
      </c>
      <c r="L1998" s="20"/>
      <c r="M1998" s="20">
        <v>199.0</v>
      </c>
      <c r="N1998" s="5" t="s">
        <v>67</v>
      </c>
      <c r="O1998" s="20" t="b">
        <v>0</v>
      </c>
      <c r="P1998" s="20" t="s">
        <v>68</v>
      </c>
      <c r="Q1998" s="20" t="s">
        <v>69</v>
      </c>
      <c r="R1998" s="20" t="s">
        <v>3197</v>
      </c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</row>
    <row r="1999">
      <c r="A1999" s="15" t="s">
        <v>8277</v>
      </c>
      <c r="B1999" s="19" t="s">
        <v>5817</v>
      </c>
      <c r="C1999" s="20">
        <v>50033.0</v>
      </c>
      <c r="D1999" s="20" t="s">
        <v>5816</v>
      </c>
      <c r="E1999" s="20">
        <v>9.17349638927E11</v>
      </c>
      <c r="F1999" s="21">
        <v>18411.0</v>
      </c>
      <c r="G1999" s="20"/>
      <c r="H1999" s="20" t="s">
        <v>1727</v>
      </c>
      <c r="I1999" s="20"/>
      <c r="J1999" s="20">
        <v>1.0</v>
      </c>
      <c r="K1999" s="20">
        <v>99.0</v>
      </c>
      <c r="L1999" s="20"/>
      <c r="M1999" s="20">
        <v>99.0</v>
      </c>
      <c r="N1999" s="5" t="s">
        <v>67</v>
      </c>
      <c r="O1999" s="20" t="b">
        <v>0</v>
      </c>
      <c r="P1999" s="20" t="s">
        <v>68</v>
      </c>
      <c r="Q1999" s="20" t="s">
        <v>69</v>
      </c>
      <c r="R1999" s="20" t="s">
        <v>5731</v>
      </c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</row>
    <row r="2000">
      <c r="A2000" s="15" t="s">
        <v>8280</v>
      </c>
      <c r="B2000" s="19" t="s">
        <v>5867</v>
      </c>
      <c r="C2000" s="20">
        <v>50054.0</v>
      </c>
      <c r="D2000" s="20" t="s">
        <v>5866</v>
      </c>
      <c r="E2000" s="20">
        <v>9.19899065855E11</v>
      </c>
      <c r="F2000" s="21">
        <v>18412.0</v>
      </c>
      <c r="G2000" s="20"/>
      <c r="H2000" s="20" t="s">
        <v>5822</v>
      </c>
      <c r="I2000" s="20"/>
      <c r="J2000" s="20">
        <v>1.0</v>
      </c>
      <c r="K2000" s="20">
        <v>99.0</v>
      </c>
      <c r="L2000" s="20"/>
      <c r="M2000" s="20">
        <v>99.0</v>
      </c>
      <c r="N2000" s="5" t="s">
        <v>67</v>
      </c>
      <c r="O2000" s="20" t="b">
        <v>0</v>
      </c>
      <c r="P2000" s="20" t="s">
        <v>68</v>
      </c>
      <c r="Q2000" s="20" t="s">
        <v>69</v>
      </c>
      <c r="R2000" s="20" t="s">
        <v>5824</v>
      </c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</row>
    <row r="2001">
      <c r="A2001" s="15" t="s">
        <v>8281</v>
      </c>
      <c r="B2001" s="19" t="s">
        <v>3092</v>
      </c>
      <c r="C2001" s="20">
        <v>49991.0</v>
      </c>
      <c r="D2001" s="20" t="s">
        <v>3091</v>
      </c>
      <c r="E2001" s="20">
        <v>9.18130856083E11</v>
      </c>
      <c r="F2001" s="21">
        <v>18413.0</v>
      </c>
      <c r="G2001" s="20"/>
      <c r="H2001" s="20" t="s">
        <v>3055</v>
      </c>
      <c r="I2001" s="20"/>
      <c r="J2001" s="20">
        <v>1.0</v>
      </c>
      <c r="K2001" s="20">
        <v>99.0</v>
      </c>
      <c r="L2001" s="20"/>
      <c r="M2001" s="20">
        <v>99.0</v>
      </c>
      <c r="N2001" s="5" t="s">
        <v>67</v>
      </c>
      <c r="O2001" s="20" t="b">
        <v>0</v>
      </c>
      <c r="P2001" s="20" t="s">
        <v>68</v>
      </c>
      <c r="Q2001" s="20" t="s">
        <v>69</v>
      </c>
      <c r="R2001" s="20" t="s">
        <v>3057</v>
      </c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</row>
    <row r="2002">
      <c r="A2002" s="15" t="s">
        <v>8283</v>
      </c>
      <c r="B2002" s="19" t="s">
        <v>2804</v>
      </c>
      <c r="C2002" s="20">
        <v>50029.0</v>
      </c>
      <c r="D2002" s="20" t="s">
        <v>2803</v>
      </c>
      <c r="E2002" s="20">
        <v>9.18210973552E11</v>
      </c>
      <c r="F2002" s="22" t="s">
        <v>12593</v>
      </c>
      <c r="G2002" s="20"/>
      <c r="H2002" s="20" t="s">
        <v>2761</v>
      </c>
      <c r="I2002" s="20"/>
      <c r="J2002" s="20">
        <v>1.0</v>
      </c>
      <c r="K2002" s="20">
        <v>99.0</v>
      </c>
      <c r="L2002" s="20"/>
      <c r="M2002" s="20">
        <v>99.0</v>
      </c>
      <c r="N2002" s="5" t="s">
        <v>67</v>
      </c>
      <c r="O2002" s="20" t="b">
        <v>0</v>
      </c>
      <c r="P2002" s="20" t="s">
        <v>74</v>
      </c>
      <c r="Q2002" s="20" t="s">
        <v>69</v>
      </c>
      <c r="R2002" s="20" t="s">
        <v>2763</v>
      </c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</row>
    <row r="2003">
      <c r="A2003" s="15" t="s">
        <v>8407</v>
      </c>
      <c r="B2003" s="19" t="s">
        <v>3029</v>
      </c>
      <c r="C2003" s="20">
        <v>50020.0</v>
      </c>
      <c r="D2003" s="20" t="s">
        <v>3028</v>
      </c>
      <c r="E2003" s="20">
        <v>9.19971234747E11</v>
      </c>
      <c r="F2003" s="21">
        <v>18484.0</v>
      </c>
      <c r="G2003" s="20"/>
      <c r="H2003" s="20" t="s">
        <v>3008</v>
      </c>
      <c r="I2003" s="20"/>
      <c r="J2003" s="20">
        <v>1.0</v>
      </c>
      <c r="K2003" s="20">
        <v>99.0</v>
      </c>
      <c r="L2003" s="20"/>
      <c r="M2003" s="20">
        <v>99.0</v>
      </c>
      <c r="N2003" s="5" t="s">
        <v>67</v>
      </c>
      <c r="O2003" s="20" t="b">
        <v>0</v>
      </c>
      <c r="P2003" s="20" t="s">
        <v>74</v>
      </c>
      <c r="Q2003" s="20" t="s">
        <v>69</v>
      </c>
      <c r="R2003" s="20" t="s">
        <v>3010</v>
      </c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</row>
    <row r="2004">
      <c r="A2004" s="15" t="s">
        <v>8293</v>
      </c>
      <c r="B2004" s="19" t="s">
        <v>4442</v>
      </c>
      <c r="C2004" s="20">
        <v>50052.0</v>
      </c>
      <c r="D2004" s="20" t="s">
        <v>4441</v>
      </c>
      <c r="E2004" s="20">
        <v>9.17566189836E11</v>
      </c>
      <c r="F2004" s="21">
        <v>18415.0</v>
      </c>
      <c r="G2004" s="20"/>
      <c r="H2004" s="20" t="s">
        <v>4433</v>
      </c>
      <c r="I2004" s="20"/>
      <c r="J2004" s="20">
        <v>6.0</v>
      </c>
      <c r="K2004" s="20">
        <v>349.0</v>
      </c>
      <c r="L2004" s="20"/>
      <c r="M2004" s="20">
        <v>349.0</v>
      </c>
      <c r="N2004" s="5" t="s">
        <v>67</v>
      </c>
      <c r="O2004" s="20" t="b">
        <v>0</v>
      </c>
      <c r="P2004" s="20" t="s">
        <v>68</v>
      </c>
      <c r="Q2004" s="20" t="s">
        <v>69</v>
      </c>
      <c r="R2004" s="20" t="s">
        <v>4435</v>
      </c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</row>
    <row r="2005">
      <c r="A2005" s="15" t="s">
        <v>8412</v>
      </c>
      <c r="B2005" s="19" t="s">
        <v>5721</v>
      </c>
      <c r="C2005" s="20">
        <v>50036.0</v>
      </c>
      <c r="D2005" s="20" t="s">
        <v>5720</v>
      </c>
      <c r="E2005" s="20">
        <v>9.1700316726E11</v>
      </c>
      <c r="F2005" s="21">
        <v>18470.0</v>
      </c>
      <c r="G2005" s="20"/>
      <c r="H2005" s="20" t="s">
        <v>1320</v>
      </c>
      <c r="I2005" s="20"/>
      <c r="J2005" s="20">
        <v>1.0</v>
      </c>
      <c r="K2005" s="20">
        <v>199.0</v>
      </c>
      <c r="L2005" s="20"/>
      <c r="M2005" s="20">
        <v>199.0</v>
      </c>
      <c r="N2005" s="5" t="s">
        <v>67</v>
      </c>
      <c r="O2005" s="20" t="b">
        <v>0</v>
      </c>
      <c r="P2005" s="20" t="s">
        <v>97</v>
      </c>
      <c r="Q2005" s="20" t="s">
        <v>69</v>
      </c>
      <c r="R2005" s="20" t="s">
        <v>5709</v>
      </c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</row>
    <row r="2006">
      <c r="A2006" s="15" t="s">
        <v>8298</v>
      </c>
      <c r="B2006" s="19" t="s">
        <v>5986</v>
      </c>
      <c r="C2006" s="20">
        <v>50076.0</v>
      </c>
      <c r="D2006" s="20" t="s">
        <v>5985</v>
      </c>
      <c r="E2006" s="20">
        <v>9.19962886963E11</v>
      </c>
      <c r="F2006" s="21">
        <v>18416.0</v>
      </c>
      <c r="G2006" s="20"/>
      <c r="H2006" s="20" t="s">
        <v>5984</v>
      </c>
      <c r="I2006" s="20"/>
      <c r="J2006" s="20">
        <v>1.0</v>
      </c>
      <c r="K2006" s="20">
        <v>99.0</v>
      </c>
      <c r="L2006" s="20"/>
      <c r="M2006" s="20">
        <v>99.0</v>
      </c>
      <c r="N2006" s="5" t="s">
        <v>67</v>
      </c>
      <c r="O2006" s="20" t="b">
        <v>0</v>
      </c>
      <c r="P2006" s="20" t="s">
        <v>68</v>
      </c>
      <c r="Q2006" s="20" t="s">
        <v>69</v>
      </c>
      <c r="R2006" s="20" t="s">
        <v>5987</v>
      </c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</row>
    <row r="2007">
      <c r="A2007" s="15" t="s">
        <v>8413</v>
      </c>
      <c r="B2007" s="19" t="s">
        <v>2638</v>
      </c>
      <c r="C2007" s="20">
        <v>50065.0</v>
      </c>
      <c r="D2007" s="20" t="s">
        <v>2637</v>
      </c>
      <c r="E2007" s="20">
        <v>9.19834613419E11</v>
      </c>
      <c r="F2007" s="21">
        <v>11734.0</v>
      </c>
      <c r="G2007" s="20"/>
      <c r="H2007" s="20" t="s">
        <v>2601</v>
      </c>
      <c r="I2007" s="20"/>
      <c r="J2007" s="20">
        <v>6.0</v>
      </c>
      <c r="K2007" s="20">
        <v>349.0</v>
      </c>
      <c r="L2007" s="20"/>
      <c r="M2007" s="20">
        <v>349.0</v>
      </c>
      <c r="N2007" s="5" t="s">
        <v>67</v>
      </c>
      <c r="O2007" s="20" t="b">
        <v>0</v>
      </c>
      <c r="P2007" s="20" t="s">
        <v>68</v>
      </c>
      <c r="Q2007" s="20" t="s">
        <v>69</v>
      </c>
      <c r="R2007" s="20" t="s">
        <v>2604</v>
      </c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</row>
    <row r="2008">
      <c r="A2008" s="15" t="s">
        <v>8416</v>
      </c>
      <c r="B2008" s="19" t="s">
        <v>4815</v>
      </c>
      <c r="C2008" s="20">
        <v>49996.0</v>
      </c>
      <c r="D2008" s="20" t="s">
        <v>4814</v>
      </c>
      <c r="E2008" s="20">
        <v>9.17798926894E11</v>
      </c>
      <c r="F2008" s="21">
        <v>18472.0</v>
      </c>
      <c r="G2008" s="20"/>
      <c r="H2008" s="20" t="s">
        <v>4796</v>
      </c>
      <c r="I2008" s="20"/>
      <c r="J2008" s="20">
        <v>1.0</v>
      </c>
      <c r="K2008" s="20">
        <v>99.0</v>
      </c>
      <c r="L2008" s="20"/>
      <c r="M2008" s="20">
        <v>99.0</v>
      </c>
      <c r="N2008" s="5" t="s">
        <v>67</v>
      </c>
      <c r="O2008" s="20" t="b">
        <v>0</v>
      </c>
      <c r="P2008" s="20" t="s">
        <v>68</v>
      </c>
      <c r="Q2008" s="20" t="s">
        <v>69</v>
      </c>
      <c r="R2008" s="20" t="s">
        <v>4799</v>
      </c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</row>
    <row r="2009">
      <c r="A2009" s="15" t="s">
        <v>8419</v>
      </c>
      <c r="B2009" s="19" t="s">
        <v>4949</v>
      </c>
      <c r="C2009" s="20">
        <v>50094.0</v>
      </c>
      <c r="D2009" s="20" t="s">
        <v>4948</v>
      </c>
      <c r="E2009" s="20">
        <v>9.17878141211E11</v>
      </c>
      <c r="F2009" s="21">
        <v>18473.0</v>
      </c>
      <c r="G2009" s="20"/>
      <c r="H2009" s="20" t="s">
        <v>4942</v>
      </c>
      <c r="I2009" s="20"/>
      <c r="J2009" s="20">
        <v>1.0</v>
      </c>
      <c r="K2009" s="20">
        <v>199.0</v>
      </c>
      <c r="L2009" s="20"/>
      <c r="M2009" s="20">
        <v>199.0</v>
      </c>
      <c r="N2009" s="5" t="s">
        <v>67</v>
      </c>
      <c r="O2009" s="20" t="b">
        <v>0</v>
      </c>
      <c r="P2009" s="20" t="s">
        <v>68</v>
      </c>
      <c r="Q2009" s="20" t="s">
        <v>69</v>
      </c>
      <c r="R2009" s="20" t="s">
        <v>4945</v>
      </c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</row>
    <row r="2010">
      <c r="A2010" s="15" t="s">
        <v>8420</v>
      </c>
      <c r="B2010" s="19" t="s">
        <v>3412</v>
      </c>
      <c r="C2010" s="20">
        <v>50030.0</v>
      </c>
      <c r="D2010" s="20" t="s">
        <v>3411</v>
      </c>
      <c r="E2010" s="20">
        <v>9.19847222503E11</v>
      </c>
      <c r="F2010" s="21">
        <v>18474.0</v>
      </c>
      <c r="G2010" s="20"/>
      <c r="H2010" s="20" t="s">
        <v>3326</v>
      </c>
      <c r="I2010" s="20"/>
      <c r="J2010" s="20">
        <v>1.0</v>
      </c>
      <c r="K2010" s="20">
        <v>99.0</v>
      </c>
      <c r="L2010" s="20"/>
      <c r="M2010" s="20">
        <v>99.0</v>
      </c>
      <c r="N2010" s="5" t="s">
        <v>67</v>
      </c>
      <c r="O2010" s="20" t="b">
        <v>0</v>
      </c>
      <c r="P2010" s="20" t="s">
        <v>68</v>
      </c>
      <c r="Q2010" s="20" t="s">
        <v>69</v>
      </c>
      <c r="R2010" s="20" t="s">
        <v>3328</v>
      </c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</row>
    <row r="2011">
      <c r="A2011" s="15" t="s">
        <v>8421</v>
      </c>
      <c r="B2011" s="19" t="s">
        <v>6594</v>
      </c>
      <c r="C2011" s="20">
        <v>49958.0</v>
      </c>
      <c r="D2011" s="20" t="s">
        <v>6593</v>
      </c>
      <c r="E2011" s="20">
        <v>9.18239934922E11</v>
      </c>
      <c r="F2011" s="21">
        <v>14266.0</v>
      </c>
      <c r="G2011" s="20"/>
      <c r="H2011" s="20" t="s">
        <v>6592</v>
      </c>
      <c r="I2011" s="20"/>
      <c r="J2011" s="20">
        <v>3.0</v>
      </c>
      <c r="K2011" s="20">
        <v>199.0</v>
      </c>
      <c r="L2011" s="20"/>
      <c r="M2011" s="20">
        <v>199.0</v>
      </c>
      <c r="N2011" s="5" t="s">
        <v>67</v>
      </c>
      <c r="O2011" s="20" t="b">
        <v>0</v>
      </c>
      <c r="P2011" s="20" t="s">
        <v>68</v>
      </c>
      <c r="Q2011" s="20" t="s">
        <v>69</v>
      </c>
      <c r="R2011" s="20" t="s">
        <v>6591</v>
      </c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</row>
    <row r="2012">
      <c r="A2012" s="15" t="s">
        <v>8430</v>
      </c>
      <c r="B2012" s="19" t="s">
        <v>4951</v>
      </c>
      <c r="C2012" s="20">
        <v>50094.0</v>
      </c>
      <c r="D2012" s="20" t="s">
        <v>4950</v>
      </c>
      <c r="E2012" s="20">
        <v>9.18106234469E11</v>
      </c>
      <c r="F2012" s="21">
        <v>18477.0</v>
      </c>
      <c r="G2012" s="20"/>
      <c r="H2012" s="20" t="s">
        <v>4942</v>
      </c>
      <c r="I2012" s="20"/>
      <c r="J2012" s="20">
        <v>1.0</v>
      </c>
      <c r="K2012" s="20">
        <v>199.0</v>
      </c>
      <c r="L2012" s="20"/>
      <c r="M2012" s="20">
        <v>199.0</v>
      </c>
      <c r="N2012" s="5" t="s">
        <v>67</v>
      </c>
      <c r="O2012" s="20" t="b">
        <v>0</v>
      </c>
      <c r="P2012" s="20" t="s">
        <v>74</v>
      </c>
      <c r="Q2012" s="20" t="s">
        <v>69</v>
      </c>
      <c r="R2012" s="20" t="s">
        <v>4945</v>
      </c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</row>
    <row r="2013">
      <c r="A2013" s="15" t="s">
        <v>8299</v>
      </c>
      <c r="B2013" s="19" t="s">
        <v>4285</v>
      </c>
      <c r="C2013" s="20">
        <v>50079.0</v>
      </c>
      <c r="D2013" s="20" t="s">
        <v>1078</v>
      </c>
      <c r="E2013" s="20">
        <v>9.19182641223E11</v>
      </c>
      <c r="F2013" s="21">
        <v>16787.0</v>
      </c>
      <c r="G2013" s="20"/>
      <c r="H2013" s="20" t="s">
        <v>4281</v>
      </c>
      <c r="I2013" s="20"/>
      <c r="J2013" s="20">
        <v>1.0</v>
      </c>
      <c r="K2013" s="20">
        <v>99.0</v>
      </c>
      <c r="L2013" s="20"/>
      <c r="M2013" s="20">
        <v>99.0</v>
      </c>
      <c r="N2013" s="5" t="s">
        <v>67</v>
      </c>
      <c r="O2013" s="20" t="b">
        <v>0</v>
      </c>
      <c r="P2013" s="20" t="s">
        <v>68</v>
      </c>
      <c r="Q2013" s="20" t="s">
        <v>69</v>
      </c>
      <c r="R2013" s="20" t="s">
        <v>4284</v>
      </c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</row>
    <row r="2014">
      <c r="A2014" s="15" t="s">
        <v>8426</v>
      </c>
      <c r="B2014" s="19" t="s">
        <v>6377</v>
      </c>
      <c r="C2014" s="20">
        <v>50043.0</v>
      </c>
      <c r="D2014" s="20" t="s">
        <v>6376</v>
      </c>
      <c r="E2014" s="20">
        <v>9.19829070084E11</v>
      </c>
      <c r="F2014" s="21">
        <v>18475.0</v>
      </c>
      <c r="G2014" s="20"/>
      <c r="H2014" s="20" t="s">
        <v>6367</v>
      </c>
      <c r="I2014" s="20"/>
      <c r="J2014" s="20">
        <v>6.0</v>
      </c>
      <c r="K2014" s="20">
        <v>349.0</v>
      </c>
      <c r="L2014" s="20"/>
      <c r="M2014" s="20">
        <v>349.0</v>
      </c>
      <c r="N2014" s="5" t="s">
        <v>67</v>
      </c>
      <c r="O2014" s="20" t="b">
        <v>0</v>
      </c>
      <c r="P2014" s="20" t="s">
        <v>68</v>
      </c>
      <c r="Q2014" s="20" t="s">
        <v>69</v>
      </c>
      <c r="R2014" s="20" t="s">
        <v>6369</v>
      </c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</row>
    <row r="2015">
      <c r="A2015" s="15" t="s">
        <v>8428</v>
      </c>
      <c r="B2015" s="19" t="s">
        <v>5374</v>
      </c>
      <c r="C2015" s="20">
        <v>49995.0</v>
      </c>
      <c r="D2015" s="20" t="s">
        <v>5373</v>
      </c>
      <c r="E2015" s="20">
        <v>9.18287105839E11</v>
      </c>
      <c r="F2015" s="21">
        <v>18476.0</v>
      </c>
      <c r="G2015" s="20"/>
      <c r="H2015" s="20" t="s">
        <v>5321</v>
      </c>
      <c r="I2015" s="20"/>
      <c r="J2015" s="20">
        <v>3.0</v>
      </c>
      <c r="K2015" s="20">
        <v>199.0</v>
      </c>
      <c r="L2015" s="20"/>
      <c r="M2015" s="20">
        <v>199.0</v>
      </c>
      <c r="N2015" s="5" t="s">
        <v>67</v>
      </c>
      <c r="O2015" s="20" t="b">
        <v>0</v>
      </c>
      <c r="P2015" s="20" t="s">
        <v>68</v>
      </c>
      <c r="Q2015" s="20" t="s">
        <v>69</v>
      </c>
      <c r="R2015" s="20" t="s">
        <v>5323</v>
      </c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</row>
    <row r="2016">
      <c r="A2016" s="15" t="s">
        <v>8435</v>
      </c>
      <c r="B2016" s="19" t="s">
        <v>4953</v>
      </c>
      <c r="C2016" s="20">
        <v>50094.0</v>
      </c>
      <c r="D2016" s="20" t="s">
        <v>4952</v>
      </c>
      <c r="E2016" s="20">
        <v>9.1996340211E11</v>
      </c>
      <c r="F2016" s="21">
        <v>18478.0</v>
      </c>
      <c r="G2016" s="20"/>
      <c r="H2016" s="20" t="s">
        <v>4942</v>
      </c>
      <c r="I2016" s="20"/>
      <c r="J2016" s="20">
        <v>1.0</v>
      </c>
      <c r="K2016" s="20">
        <v>199.0</v>
      </c>
      <c r="L2016" s="20"/>
      <c r="M2016" s="20">
        <v>199.0</v>
      </c>
      <c r="N2016" s="5" t="s">
        <v>67</v>
      </c>
      <c r="O2016" s="20" t="b">
        <v>0</v>
      </c>
      <c r="P2016" s="20" t="s">
        <v>68</v>
      </c>
      <c r="Q2016" s="20" t="s">
        <v>69</v>
      </c>
      <c r="R2016" s="20" t="s">
        <v>4945</v>
      </c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</row>
    <row r="2017">
      <c r="A2017" s="15" t="s">
        <v>8300</v>
      </c>
      <c r="B2017" s="19" t="s">
        <v>6048</v>
      </c>
      <c r="C2017" s="20">
        <v>50076.0</v>
      </c>
      <c r="D2017" s="20" t="s">
        <v>6047</v>
      </c>
      <c r="E2017" s="20">
        <v>9.16392061126E11</v>
      </c>
      <c r="F2017" s="21">
        <v>18653.0</v>
      </c>
      <c r="G2017" s="20"/>
      <c r="H2017" s="20" t="s">
        <v>5984</v>
      </c>
      <c r="I2017" s="20"/>
      <c r="J2017" s="20">
        <v>1.0</v>
      </c>
      <c r="K2017" s="20">
        <v>99.0</v>
      </c>
      <c r="L2017" s="20"/>
      <c r="M2017" s="20">
        <v>99.0</v>
      </c>
      <c r="N2017" s="5" t="s">
        <v>67</v>
      </c>
      <c r="O2017" s="20" t="b">
        <v>0</v>
      </c>
      <c r="P2017" s="20" t="s">
        <v>74</v>
      </c>
      <c r="Q2017" s="20" t="s">
        <v>69</v>
      </c>
      <c r="R2017" s="20" t="s">
        <v>5987</v>
      </c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</row>
    <row r="2018">
      <c r="A2018" s="15" t="s">
        <v>8303</v>
      </c>
      <c r="B2018" s="19" t="s">
        <v>4605</v>
      </c>
      <c r="C2018" s="20">
        <v>50031.0</v>
      </c>
      <c r="D2018" s="20" t="s">
        <v>4604</v>
      </c>
      <c r="E2018" s="20">
        <v>9.19971999058E11</v>
      </c>
      <c r="F2018" s="21">
        <v>0.0</v>
      </c>
      <c r="G2018" s="20"/>
      <c r="H2018" s="20" t="s">
        <v>4561</v>
      </c>
      <c r="I2018" s="20"/>
      <c r="J2018" s="20">
        <v>1.0</v>
      </c>
      <c r="K2018" s="20">
        <v>99.0</v>
      </c>
      <c r="L2018" s="20"/>
      <c r="M2018" s="20">
        <v>99.0</v>
      </c>
      <c r="N2018" s="5" t="s">
        <v>67</v>
      </c>
      <c r="O2018" s="20" t="b">
        <v>0</v>
      </c>
      <c r="P2018" s="20" t="s">
        <v>68</v>
      </c>
      <c r="Q2018" s="20" t="s">
        <v>69</v>
      </c>
      <c r="R2018" s="20" t="s">
        <v>4563</v>
      </c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</row>
    <row r="2019">
      <c r="A2019" s="15" t="s">
        <v>8436</v>
      </c>
      <c r="B2019" s="19" t="s">
        <v>5722</v>
      </c>
      <c r="C2019" s="20">
        <v>50036.0</v>
      </c>
      <c r="D2019" s="20" t="s">
        <v>1629</v>
      </c>
      <c r="E2019" s="20">
        <v>9.19819617103E11</v>
      </c>
      <c r="F2019" s="21">
        <v>18479.0</v>
      </c>
      <c r="G2019" s="20"/>
      <c r="H2019" s="20" t="s">
        <v>1320</v>
      </c>
      <c r="I2019" s="20"/>
      <c r="J2019" s="20">
        <v>3.0</v>
      </c>
      <c r="K2019" s="20">
        <v>399.0</v>
      </c>
      <c r="L2019" s="20"/>
      <c r="M2019" s="20">
        <v>399.0</v>
      </c>
      <c r="N2019" s="5" t="s">
        <v>67</v>
      </c>
      <c r="O2019" s="20" t="b">
        <v>0</v>
      </c>
      <c r="P2019" s="20" t="s">
        <v>68</v>
      </c>
      <c r="Q2019" s="20" t="s">
        <v>69</v>
      </c>
      <c r="R2019" s="20" t="s">
        <v>5709</v>
      </c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</row>
    <row r="2020">
      <c r="A2020" s="15" t="s">
        <v>8439</v>
      </c>
      <c r="B2020" s="19" t="s">
        <v>5376</v>
      </c>
      <c r="C2020" s="20">
        <v>49995.0</v>
      </c>
      <c r="D2020" s="20" t="s">
        <v>5375</v>
      </c>
      <c r="E2020" s="20">
        <v>9.19366050662E11</v>
      </c>
      <c r="F2020" s="22" t="s">
        <v>12593</v>
      </c>
      <c r="G2020" s="20"/>
      <c r="H2020" s="20" t="s">
        <v>5321</v>
      </c>
      <c r="I2020" s="20"/>
      <c r="J2020" s="20">
        <v>1.0</v>
      </c>
      <c r="K2020" s="20">
        <v>99.0</v>
      </c>
      <c r="L2020" s="20"/>
      <c r="M2020" s="20">
        <v>99.0</v>
      </c>
      <c r="N2020" s="5" t="s">
        <v>67</v>
      </c>
      <c r="O2020" s="20" t="b">
        <v>0</v>
      </c>
      <c r="P2020" s="20" t="s">
        <v>74</v>
      </c>
      <c r="Q2020" s="20" t="s">
        <v>69</v>
      </c>
      <c r="R2020" s="20" t="s">
        <v>5323</v>
      </c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</row>
    <row r="2021">
      <c r="A2021" s="15" t="s">
        <v>8302</v>
      </c>
      <c r="B2021" s="19" t="s">
        <v>5989</v>
      </c>
      <c r="C2021" s="20">
        <v>50076.0</v>
      </c>
      <c r="D2021" s="20" t="s">
        <v>5988</v>
      </c>
      <c r="E2021" s="20">
        <v>9.17975350286E11</v>
      </c>
      <c r="F2021" s="21">
        <v>18417.0</v>
      </c>
      <c r="G2021" s="20"/>
      <c r="H2021" s="20" t="s">
        <v>5984</v>
      </c>
      <c r="I2021" s="20"/>
      <c r="J2021" s="20">
        <v>1.0</v>
      </c>
      <c r="K2021" s="20">
        <v>99.0</v>
      </c>
      <c r="L2021" s="20"/>
      <c r="M2021" s="20">
        <v>99.0</v>
      </c>
      <c r="N2021" s="5" t="s">
        <v>67</v>
      </c>
      <c r="O2021" s="20" t="b">
        <v>0</v>
      </c>
      <c r="P2021" s="20" t="s">
        <v>68</v>
      </c>
      <c r="Q2021" s="20" t="s">
        <v>69</v>
      </c>
      <c r="R2021" s="20" t="s">
        <v>5987</v>
      </c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</row>
    <row r="2022">
      <c r="A2022" s="15" t="s">
        <v>8442</v>
      </c>
      <c r="B2022" s="19" t="s">
        <v>5431</v>
      </c>
      <c r="C2022" s="20">
        <v>50040.0</v>
      </c>
      <c r="D2022" s="20" t="s">
        <v>5430</v>
      </c>
      <c r="E2022" s="20">
        <v>9.17970341379E11</v>
      </c>
      <c r="F2022" s="21">
        <v>18481.0</v>
      </c>
      <c r="G2022" s="20"/>
      <c r="H2022" s="20" t="s">
        <v>5400</v>
      </c>
      <c r="I2022" s="20"/>
      <c r="J2022" s="20">
        <v>1.0</v>
      </c>
      <c r="K2022" s="20">
        <v>99.0</v>
      </c>
      <c r="L2022" s="20"/>
      <c r="M2022" s="20">
        <v>99.0</v>
      </c>
      <c r="N2022" s="5" t="s">
        <v>67</v>
      </c>
      <c r="O2022" s="20" t="b">
        <v>0</v>
      </c>
      <c r="P2022" s="20" t="s">
        <v>68</v>
      </c>
      <c r="Q2022" s="20" t="s">
        <v>69</v>
      </c>
      <c r="R2022" s="20" t="s">
        <v>5402</v>
      </c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</row>
    <row r="2023">
      <c r="A2023" s="15" t="s">
        <v>8305</v>
      </c>
      <c r="B2023" s="19" t="s">
        <v>2806</v>
      </c>
      <c r="C2023" s="20">
        <v>50029.0</v>
      </c>
      <c r="D2023" s="20" t="s">
        <v>2805</v>
      </c>
      <c r="E2023" s="20">
        <v>9.19776871667E11</v>
      </c>
      <c r="F2023" s="21">
        <v>18421.0</v>
      </c>
      <c r="G2023" s="20"/>
      <c r="H2023" s="20" t="s">
        <v>2761</v>
      </c>
      <c r="I2023" s="20"/>
      <c r="J2023" s="20">
        <v>1.0</v>
      </c>
      <c r="K2023" s="20">
        <v>99.0</v>
      </c>
      <c r="L2023" s="20"/>
      <c r="M2023" s="20">
        <v>99.0</v>
      </c>
      <c r="N2023" s="5" t="s">
        <v>67</v>
      </c>
      <c r="O2023" s="20" t="b">
        <v>0</v>
      </c>
      <c r="P2023" s="20" t="s">
        <v>68</v>
      </c>
      <c r="Q2023" s="20" t="s">
        <v>69</v>
      </c>
      <c r="R2023" s="20" t="s">
        <v>2763</v>
      </c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</row>
    <row r="2024">
      <c r="A2024" s="15" t="s">
        <v>8446</v>
      </c>
      <c r="B2024" s="19" t="s">
        <v>5432</v>
      </c>
      <c r="C2024" s="20">
        <v>50040.0</v>
      </c>
      <c r="D2024" s="20" t="s">
        <v>2036</v>
      </c>
      <c r="E2024" s="20">
        <v>9.19665337579E11</v>
      </c>
      <c r="F2024" s="21">
        <v>17301.0</v>
      </c>
      <c r="G2024" s="20"/>
      <c r="H2024" s="20" t="s">
        <v>5400</v>
      </c>
      <c r="I2024" s="20"/>
      <c r="J2024" s="20">
        <v>1.0</v>
      </c>
      <c r="K2024" s="20">
        <v>99.0</v>
      </c>
      <c r="L2024" s="20"/>
      <c r="M2024" s="20">
        <v>99.0</v>
      </c>
      <c r="N2024" s="5" t="s">
        <v>67</v>
      </c>
      <c r="O2024" s="20" t="b">
        <v>0</v>
      </c>
      <c r="P2024" s="20" t="s">
        <v>68</v>
      </c>
      <c r="Q2024" s="20" t="s">
        <v>69</v>
      </c>
      <c r="R2024" s="20" t="s">
        <v>5402</v>
      </c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</row>
    <row r="2025">
      <c r="A2025" s="15" t="s">
        <v>8447</v>
      </c>
      <c r="B2025" s="19" t="s">
        <v>5378</v>
      </c>
      <c r="C2025" s="20">
        <v>49995.0</v>
      </c>
      <c r="D2025" s="20" t="s">
        <v>5377</v>
      </c>
      <c r="E2025" s="20">
        <v>9.18530360909E11</v>
      </c>
      <c r="F2025" s="21">
        <v>18489.0</v>
      </c>
      <c r="G2025" s="20"/>
      <c r="H2025" s="20" t="s">
        <v>5321</v>
      </c>
      <c r="I2025" s="20"/>
      <c r="J2025" s="20">
        <v>1.0</v>
      </c>
      <c r="K2025" s="20">
        <v>99.0</v>
      </c>
      <c r="L2025" s="20"/>
      <c r="M2025" s="20">
        <v>99.0</v>
      </c>
      <c r="N2025" s="5" t="s">
        <v>67</v>
      </c>
      <c r="O2025" s="20" t="b">
        <v>0</v>
      </c>
      <c r="P2025" s="20" t="s">
        <v>68</v>
      </c>
      <c r="Q2025" s="20" t="s">
        <v>69</v>
      </c>
      <c r="R2025" s="20" t="s">
        <v>5323</v>
      </c>
      <c r="T2025" s="20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</row>
    <row r="2026">
      <c r="A2026" s="15" t="s">
        <v>8448</v>
      </c>
      <c r="B2026" s="19" t="s">
        <v>5378</v>
      </c>
      <c r="C2026" s="20">
        <v>50040.0</v>
      </c>
      <c r="D2026" s="20" t="s">
        <v>5433</v>
      </c>
      <c r="E2026" s="20">
        <v>9.1910117906E11</v>
      </c>
      <c r="F2026" s="21">
        <v>18510.0</v>
      </c>
      <c r="G2026" s="20"/>
      <c r="H2026" s="20" t="s">
        <v>5400</v>
      </c>
      <c r="I2026" s="20"/>
      <c r="J2026" s="20">
        <v>1.0</v>
      </c>
      <c r="K2026" s="20">
        <v>99.0</v>
      </c>
      <c r="L2026" s="20"/>
      <c r="M2026" s="20">
        <v>99.0</v>
      </c>
      <c r="N2026" s="5" t="s">
        <v>67</v>
      </c>
      <c r="O2026" s="20" t="b">
        <v>0</v>
      </c>
      <c r="P2026" s="20" t="s">
        <v>68</v>
      </c>
      <c r="Q2026" s="20" t="s">
        <v>69</v>
      </c>
      <c r="R2026" s="20" t="s">
        <v>5402</v>
      </c>
      <c r="T2026" s="20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</row>
    <row r="2027">
      <c r="A2027" s="15" t="s">
        <v>8449</v>
      </c>
      <c r="B2027" s="19" t="s">
        <v>4446</v>
      </c>
      <c r="C2027" s="20">
        <v>50076.0</v>
      </c>
      <c r="D2027" s="20" t="s">
        <v>6001</v>
      </c>
      <c r="E2027" s="20">
        <v>9.17209881512E11</v>
      </c>
      <c r="F2027" s="21">
        <v>18490.0</v>
      </c>
      <c r="G2027" s="20"/>
      <c r="H2027" s="20" t="s">
        <v>5984</v>
      </c>
      <c r="I2027" s="20"/>
      <c r="J2027" s="20">
        <v>3.0</v>
      </c>
      <c r="K2027" s="20">
        <v>199.0</v>
      </c>
      <c r="L2027" s="20"/>
      <c r="M2027" s="20">
        <v>199.0</v>
      </c>
      <c r="N2027" s="5" t="s">
        <v>67</v>
      </c>
      <c r="O2027" s="20" t="b">
        <v>0</v>
      </c>
      <c r="P2027" s="20" t="s">
        <v>68</v>
      </c>
      <c r="Q2027" s="20" t="s">
        <v>69</v>
      </c>
      <c r="R2027" s="20" t="s">
        <v>5987</v>
      </c>
      <c r="T2027" s="20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</row>
    <row r="2028">
      <c r="A2028" s="15" t="s">
        <v>8450</v>
      </c>
      <c r="B2028" s="19" t="s">
        <v>4446</v>
      </c>
      <c r="C2028" s="20">
        <v>50052.0</v>
      </c>
      <c r="D2028" s="20" t="s">
        <v>4445</v>
      </c>
      <c r="E2028" s="20">
        <v>9.1851282857E11</v>
      </c>
      <c r="F2028" s="21">
        <v>18488.0</v>
      </c>
      <c r="G2028" s="20"/>
      <c r="H2028" s="20" t="s">
        <v>4433</v>
      </c>
      <c r="I2028" s="20"/>
      <c r="J2028" s="20">
        <v>1.0</v>
      </c>
      <c r="K2028" s="20">
        <v>99.0</v>
      </c>
      <c r="L2028" s="20"/>
      <c r="M2028" s="20">
        <v>99.0</v>
      </c>
      <c r="N2028" s="5" t="s">
        <v>67</v>
      </c>
      <c r="O2028" s="20" t="b">
        <v>0</v>
      </c>
      <c r="P2028" s="20" t="s">
        <v>68</v>
      </c>
      <c r="Q2028" s="20" t="s">
        <v>69</v>
      </c>
      <c r="R2028" s="20" t="s">
        <v>4435</v>
      </c>
      <c r="T2028" s="20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</row>
    <row r="2029">
      <c r="A2029" s="15" t="s">
        <v>8307</v>
      </c>
      <c r="B2029" s="19" t="s">
        <v>5991</v>
      </c>
      <c r="C2029" s="20">
        <v>50076.0</v>
      </c>
      <c r="D2029" s="20" t="s">
        <v>5990</v>
      </c>
      <c r="E2029" s="20">
        <v>9.16382958196E11</v>
      </c>
      <c r="F2029" s="21">
        <v>18418.0</v>
      </c>
      <c r="G2029" s="20"/>
      <c r="H2029" s="20" t="s">
        <v>5984</v>
      </c>
      <c r="I2029" s="20"/>
      <c r="J2029" s="20">
        <v>1.0</v>
      </c>
      <c r="K2029" s="20">
        <v>99.0</v>
      </c>
      <c r="L2029" s="20"/>
      <c r="M2029" s="20">
        <v>99.0</v>
      </c>
      <c r="N2029" s="5" t="s">
        <v>67</v>
      </c>
      <c r="O2029" s="20" t="b">
        <v>0</v>
      </c>
      <c r="P2029" s="20" t="s">
        <v>68</v>
      </c>
      <c r="Q2029" s="20" t="s">
        <v>69</v>
      </c>
      <c r="R2029" s="20" t="s">
        <v>5987</v>
      </c>
      <c r="T2029" s="20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</row>
    <row r="2030">
      <c r="A2030" s="15" t="s">
        <v>8451</v>
      </c>
      <c r="B2030" s="19" t="s">
        <v>6379</v>
      </c>
      <c r="C2030" s="20">
        <v>50043.0</v>
      </c>
      <c r="D2030" s="20" t="s">
        <v>6378</v>
      </c>
      <c r="E2030" s="20">
        <v>9.17387808003E11</v>
      </c>
      <c r="F2030" s="21">
        <v>18514.0</v>
      </c>
      <c r="G2030" s="20"/>
      <c r="H2030" s="20" t="s">
        <v>6367</v>
      </c>
      <c r="I2030" s="20"/>
      <c r="J2030" s="20">
        <v>3.0</v>
      </c>
      <c r="K2030" s="20">
        <v>199.0</v>
      </c>
      <c r="L2030" s="20"/>
      <c r="M2030" s="20">
        <v>199.0</v>
      </c>
      <c r="N2030" s="5" t="s">
        <v>67</v>
      </c>
      <c r="O2030" s="20" t="b">
        <v>0</v>
      </c>
      <c r="P2030" s="20" t="s">
        <v>68</v>
      </c>
      <c r="Q2030" s="20" t="s">
        <v>69</v>
      </c>
      <c r="R2030" s="20" t="s">
        <v>6369</v>
      </c>
      <c r="T2030" s="20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</row>
    <row r="2031">
      <c r="A2031" s="15" t="s">
        <v>8443</v>
      </c>
      <c r="B2031" s="19" t="s">
        <v>4607</v>
      </c>
      <c r="C2031" s="20">
        <v>50031.0</v>
      </c>
      <c r="D2031" s="20" t="s">
        <v>4606</v>
      </c>
      <c r="E2031" s="20">
        <v>9.19920024034E11</v>
      </c>
      <c r="F2031" s="21">
        <v>18485.0</v>
      </c>
      <c r="G2031" s="20"/>
      <c r="H2031" s="20" t="s">
        <v>4561</v>
      </c>
      <c r="I2031" s="20"/>
      <c r="J2031" s="20">
        <v>1.0</v>
      </c>
      <c r="K2031" s="20">
        <v>99.0</v>
      </c>
      <c r="L2031" s="20"/>
      <c r="M2031" s="20">
        <v>99.0</v>
      </c>
      <c r="N2031" s="5" t="s">
        <v>67</v>
      </c>
      <c r="O2031" s="20" t="b">
        <v>0</v>
      </c>
      <c r="P2031" s="20" t="s">
        <v>68</v>
      </c>
      <c r="Q2031" s="20" t="s">
        <v>69</v>
      </c>
      <c r="R2031" s="20" t="s">
        <v>4563</v>
      </c>
      <c r="T2031" s="20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</row>
    <row r="2032">
      <c r="A2032" s="15" t="s">
        <v>8445</v>
      </c>
      <c r="B2032" s="19" t="s">
        <v>4041</v>
      </c>
      <c r="C2032" s="20">
        <v>49833.0</v>
      </c>
      <c r="D2032" s="20" t="s">
        <v>4040</v>
      </c>
      <c r="E2032" s="20">
        <v>9.18978090564E11</v>
      </c>
      <c r="F2032" s="21">
        <v>18486.0</v>
      </c>
      <c r="G2032" s="20"/>
      <c r="H2032" s="20" t="s">
        <v>4030</v>
      </c>
      <c r="I2032" s="20"/>
      <c r="J2032" s="20">
        <v>1.0</v>
      </c>
      <c r="K2032" s="20">
        <v>99.0</v>
      </c>
      <c r="L2032" s="20"/>
      <c r="M2032" s="20">
        <v>99.0</v>
      </c>
      <c r="N2032" s="5" t="s">
        <v>67</v>
      </c>
      <c r="O2032" s="20" t="b">
        <v>0</v>
      </c>
      <c r="P2032" s="20" t="s">
        <v>68</v>
      </c>
      <c r="Q2032" s="20" t="s">
        <v>69</v>
      </c>
      <c r="R2032" s="20" t="s">
        <v>4033</v>
      </c>
      <c r="T2032" s="20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</row>
    <row r="2033">
      <c r="A2033" s="15" t="s">
        <v>8444</v>
      </c>
      <c r="B2033" s="19" t="s">
        <v>4039</v>
      </c>
      <c r="C2033" s="20">
        <v>49833.0</v>
      </c>
      <c r="D2033" s="20" t="s">
        <v>4038</v>
      </c>
      <c r="E2033" s="20">
        <v>9.19347914978E11</v>
      </c>
      <c r="F2033" s="21">
        <v>18491.0</v>
      </c>
      <c r="G2033" s="20"/>
      <c r="H2033" s="20" t="s">
        <v>4030</v>
      </c>
      <c r="I2033" s="20"/>
      <c r="J2033" s="20">
        <v>1.0</v>
      </c>
      <c r="K2033" s="20">
        <v>99.0</v>
      </c>
      <c r="L2033" s="20"/>
      <c r="M2033" s="20">
        <v>99.0</v>
      </c>
      <c r="N2033" s="5" t="s">
        <v>67</v>
      </c>
      <c r="O2033" s="20" t="b">
        <v>0</v>
      </c>
      <c r="P2033" s="20" t="s">
        <v>68</v>
      </c>
      <c r="Q2033" s="20" t="s">
        <v>69</v>
      </c>
      <c r="R2033" s="20" t="s">
        <v>4033</v>
      </c>
      <c r="T2033" s="20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</row>
    <row r="2034">
      <c r="A2034" s="15" t="s">
        <v>8457</v>
      </c>
      <c r="B2034" s="19" t="s">
        <v>5515</v>
      </c>
      <c r="C2034" s="20">
        <v>50023.0</v>
      </c>
      <c r="D2034" s="20" t="s">
        <v>5514</v>
      </c>
      <c r="E2034" s="20">
        <v>9.19958579459E11</v>
      </c>
      <c r="F2034" s="21">
        <v>18538.0</v>
      </c>
      <c r="G2034" s="20"/>
      <c r="H2034" s="20" t="s">
        <v>5508</v>
      </c>
      <c r="I2034" s="20"/>
      <c r="J2034" s="20">
        <v>1.0</v>
      </c>
      <c r="K2034" s="20">
        <v>99.0</v>
      </c>
      <c r="L2034" s="20"/>
      <c r="M2034" s="20">
        <v>99.0</v>
      </c>
      <c r="N2034" s="5" t="s">
        <v>67</v>
      </c>
      <c r="O2034" s="20" t="b">
        <v>0</v>
      </c>
      <c r="P2034" s="20" t="s">
        <v>151</v>
      </c>
      <c r="Q2034" s="20" t="s">
        <v>69</v>
      </c>
      <c r="R2034" s="20" t="s">
        <v>5510</v>
      </c>
      <c r="T2034" s="20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</row>
    <row r="2035">
      <c r="A2035" s="15" t="s">
        <v>8460</v>
      </c>
      <c r="B2035" s="19" t="s">
        <v>5144</v>
      </c>
      <c r="C2035" s="20">
        <v>49813.0</v>
      </c>
      <c r="D2035" s="20" t="s">
        <v>5143</v>
      </c>
      <c r="E2035" s="20">
        <v>9.199453847E11</v>
      </c>
      <c r="F2035" s="22" t="s">
        <v>12593</v>
      </c>
      <c r="G2035" s="20"/>
      <c r="H2035" s="20" t="s">
        <v>5114</v>
      </c>
      <c r="I2035" s="20"/>
      <c r="J2035" s="20">
        <v>1.0</v>
      </c>
      <c r="K2035" s="20">
        <v>299.0</v>
      </c>
      <c r="L2035" s="20"/>
      <c r="M2035" s="20">
        <v>299.0</v>
      </c>
      <c r="N2035" s="5" t="s">
        <v>67</v>
      </c>
      <c r="O2035" s="20" t="b">
        <v>0</v>
      </c>
      <c r="P2035" s="20" t="s">
        <v>68</v>
      </c>
      <c r="Q2035" s="20" t="s">
        <v>69</v>
      </c>
      <c r="R2035" s="20" t="s">
        <v>5116</v>
      </c>
      <c r="T2035" s="20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</row>
    <row r="2036">
      <c r="A2036" s="15" t="s">
        <v>8454</v>
      </c>
      <c r="B2036" s="19" t="s">
        <v>3780</v>
      </c>
      <c r="C2036" s="20">
        <v>49907.0</v>
      </c>
      <c r="D2036" s="20" t="s">
        <v>3779</v>
      </c>
      <c r="E2036" s="20">
        <v>9.19599140413E11</v>
      </c>
      <c r="F2036" s="21">
        <v>18493.0</v>
      </c>
      <c r="G2036" s="20"/>
      <c r="H2036" s="20" t="s">
        <v>587</v>
      </c>
      <c r="I2036" s="20"/>
      <c r="J2036" s="20">
        <v>6.0</v>
      </c>
      <c r="K2036" s="20">
        <v>349.0</v>
      </c>
      <c r="L2036" s="20"/>
      <c r="M2036" s="20">
        <v>349.0</v>
      </c>
      <c r="N2036" s="5" t="s">
        <v>67</v>
      </c>
      <c r="O2036" s="20" t="b">
        <v>0</v>
      </c>
      <c r="P2036" s="20" t="s">
        <v>68</v>
      </c>
      <c r="Q2036" s="20" t="s">
        <v>69</v>
      </c>
      <c r="R2036" s="20" t="s">
        <v>3774</v>
      </c>
      <c r="T2036" s="20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</row>
    <row r="2037">
      <c r="A2037" s="15" t="s">
        <v>8311</v>
      </c>
      <c r="B2037" s="19" t="s">
        <v>4651</v>
      </c>
      <c r="C2037" s="20">
        <v>49859.0</v>
      </c>
      <c r="D2037" s="20" t="s">
        <v>4650</v>
      </c>
      <c r="E2037" s="20">
        <v>9.19121385521E11</v>
      </c>
      <c r="F2037" s="21">
        <v>18422.0</v>
      </c>
      <c r="G2037" s="20"/>
      <c r="H2037" s="20" t="s">
        <v>1133</v>
      </c>
      <c r="I2037" s="20"/>
      <c r="J2037" s="20">
        <v>1.0</v>
      </c>
      <c r="K2037" s="20">
        <v>99.0</v>
      </c>
      <c r="L2037" s="20"/>
      <c r="M2037" s="20">
        <v>99.0</v>
      </c>
      <c r="N2037" s="5" t="s">
        <v>67</v>
      </c>
      <c r="O2037" s="20" t="b">
        <v>0</v>
      </c>
      <c r="P2037" s="20" t="s">
        <v>68</v>
      </c>
      <c r="Q2037" s="20" t="s">
        <v>69</v>
      </c>
      <c r="R2037" s="20" t="s">
        <v>4620</v>
      </c>
      <c r="T2037" s="20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</row>
    <row r="2038">
      <c r="A2038" s="15" t="s">
        <v>8455</v>
      </c>
      <c r="B2038" s="19" t="s">
        <v>4289</v>
      </c>
      <c r="C2038" s="20">
        <v>50079.0</v>
      </c>
      <c r="D2038" s="20" t="s">
        <v>4288</v>
      </c>
      <c r="E2038" s="20">
        <v>9.18719838363E11</v>
      </c>
      <c r="F2038" s="21">
        <v>18494.0</v>
      </c>
      <c r="G2038" s="20"/>
      <c r="H2038" s="20" t="s">
        <v>4281</v>
      </c>
      <c r="I2038" s="20"/>
      <c r="J2038" s="20">
        <v>1.0</v>
      </c>
      <c r="K2038" s="20">
        <v>99.0</v>
      </c>
      <c r="L2038" s="20"/>
      <c r="M2038" s="20">
        <v>99.0</v>
      </c>
      <c r="N2038" s="5" t="s">
        <v>67</v>
      </c>
      <c r="O2038" s="20" t="b">
        <v>0</v>
      </c>
      <c r="P2038" s="20" t="s">
        <v>68</v>
      </c>
      <c r="Q2038" s="20" t="s">
        <v>69</v>
      </c>
      <c r="R2038" s="20" t="s">
        <v>4284</v>
      </c>
      <c r="T2038" s="20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</row>
    <row r="2039">
      <c r="A2039" s="15" t="s">
        <v>8310</v>
      </c>
      <c r="B2039" s="19" t="s">
        <v>5993</v>
      </c>
      <c r="C2039" s="20">
        <v>50076.0</v>
      </c>
      <c r="D2039" s="20" t="s">
        <v>5992</v>
      </c>
      <c r="E2039" s="20">
        <v>9.17738876901E11</v>
      </c>
      <c r="F2039" s="21">
        <v>18420.0</v>
      </c>
      <c r="G2039" s="20"/>
      <c r="H2039" s="20" t="s">
        <v>5984</v>
      </c>
      <c r="I2039" s="20"/>
      <c r="J2039" s="20">
        <v>1.0</v>
      </c>
      <c r="K2039" s="20">
        <v>99.0</v>
      </c>
      <c r="L2039" s="20"/>
      <c r="M2039" s="20">
        <v>99.0</v>
      </c>
      <c r="N2039" s="5" t="s">
        <v>67</v>
      </c>
      <c r="O2039" s="20" t="b">
        <v>0</v>
      </c>
      <c r="P2039" s="20" t="s">
        <v>68</v>
      </c>
      <c r="Q2039" s="20" t="s">
        <v>69</v>
      </c>
      <c r="R2039" s="20" t="s">
        <v>5987</v>
      </c>
      <c r="T2039" s="20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</row>
    <row r="2040">
      <c r="A2040" s="15" t="s">
        <v>8316</v>
      </c>
      <c r="B2040" s="19" t="s">
        <v>2489</v>
      </c>
      <c r="C2040" s="20">
        <v>49997.0</v>
      </c>
      <c r="D2040" s="20" t="s">
        <v>2488</v>
      </c>
      <c r="E2040" s="20">
        <v>9.19011926939E11</v>
      </c>
      <c r="F2040" s="21">
        <v>18424.0</v>
      </c>
      <c r="G2040" s="20"/>
      <c r="H2040" s="20" t="s">
        <v>2455</v>
      </c>
      <c r="I2040" s="20"/>
      <c r="J2040" s="20">
        <v>1.0</v>
      </c>
      <c r="K2040" s="20">
        <v>99.0</v>
      </c>
      <c r="L2040" s="20"/>
      <c r="M2040" s="20">
        <v>99.0</v>
      </c>
      <c r="N2040" s="5" t="s">
        <v>67</v>
      </c>
      <c r="O2040" s="20" t="b">
        <v>0</v>
      </c>
      <c r="P2040" s="20" t="s">
        <v>68</v>
      </c>
      <c r="Q2040" s="20" t="s">
        <v>69</v>
      </c>
      <c r="R2040" s="20" t="s">
        <v>2457</v>
      </c>
      <c r="T2040" s="20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</row>
    <row r="2041">
      <c r="A2041" s="15" t="s">
        <v>8461</v>
      </c>
      <c r="B2041" s="19" t="s">
        <v>5871</v>
      </c>
      <c r="C2041" s="20">
        <v>50054.0</v>
      </c>
      <c r="D2041" s="20" t="s">
        <v>5870</v>
      </c>
      <c r="E2041" s="20">
        <v>9.18057140627E11</v>
      </c>
      <c r="F2041" s="21">
        <v>18506.0</v>
      </c>
      <c r="G2041" s="20"/>
      <c r="H2041" s="20" t="s">
        <v>5822</v>
      </c>
      <c r="I2041" s="20"/>
      <c r="J2041" s="20">
        <v>3.0</v>
      </c>
      <c r="K2041" s="20">
        <v>199.0</v>
      </c>
      <c r="L2041" s="20"/>
      <c r="M2041" s="20">
        <v>199.0</v>
      </c>
      <c r="N2041" s="5" t="s">
        <v>67</v>
      </c>
      <c r="O2041" s="20" t="b">
        <v>0</v>
      </c>
      <c r="P2041" s="20" t="s">
        <v>97</v>
      </c>
      <c r="Q2041" s="20" t="s">
        <v>69</v>
      </c>
      <c r="R2041" s="20" t="s">
        <v>5824</v>
      </c>
      <c r="T2041" s="20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</row>
    <row r="2042">
      <c r="A2042" s="15" t="s">
        <v>8462</v>
      </c>
      <c r="B2042" s="19" t="s">
        <v>3617</v>
      </c>
      <c r="C2042" s="20">
        <v>49992.0</v>
      </c>
      <c r="D2042" s="20" t="s">
        <v>3616</v>
      </c>
      <c r="E2042" s="20">
        <v>9.18530358886E11</v>
      </c>
      <c r="F2042" s="21">
        <v>18504.0</v>
      </c>
      <c r="G2042" s="20"/>
      <c r="H2042" s="20" t="s">
        <v>3610</v>
      </c>
      <c r="I2042" s="20"/>
      <c r="J2042" s="20">
        <v>1.0</v>
      </c>
      <c r="K2042" s="20">
        <v>99.0</v>
      </c>
      <c r="L2042" s="20"/>
      <c r="M2042" s="20">
        <v>99.0</v>
      </c>
      <c r="N2042" s="5" t="s">
        <v>67</v>
      </c>
      <c r="O2042" s="20" t="b">
        <v>0</v>
      </c>
      <c r="P2042" s="20" t="s">
        <v>68</v>
      </c>
      <c r="Q2042" s="20" t="s">
        <v>69</v>
      </c>
      <c r="R2042" s="20" t="s">
        <v>3288</v>
      </c>
      <c r="T2042" s="20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</row>
    <row r="2043">
      <c r="A2043" s="15" t="s">
        <v>8464</v>
      </c>
      <c r="B2043" s="19" t="s">
        <v>5380</v>
      </c>
      <c r="C2043" s="20">
        <v>49995.0</v>
      </c>
      <c r="D2043" s="20" t="s">
        <v>5379</v>
      </c>
      <c r="E2043" s="20">
        <v>9.19873345664E11</v>
      </c>
      <c r="F2043" s="21">
        <v>18500.0</v>
      </c>
      <c r="G2043" s="20"/>
      <c r="H2043" s="20" t="s">
        <v>5321</v>
      </c>
      <c r="I2043" s="20"/>
      <c r="J2043" s="20">
        <v>3.0</v>
      </c>
      <c r="K2043" s="20">
        <v>199.0</v>
      </c>
      <c r="L2043" s="20"/>
      <c r="M2043" s="20">
        <v>199.0</v>
      </c>
      <c r="N2043" s="5" t="s">
        <v>67</v>
      </c>
      <c r="O2043" s="20" t="b">
        <v>0</v>
      </c>
      <c r="P2043" s="20" t="s">
        <v>68</v>
      </c>
      <c r="Q2043" s="20" t="s">
        <v>69</v>
      </c>
      <c r="R2043" s="20" t="s">
        <v>5323</v>
      </c>
      <c r="T2043" s="20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</row>
    <row r="2044">
      <c r="A2044" s="15" t="s">
        <v>8470</v>
      </c>
      <c r="B2044" s="19" t="s">
        <v>6003</v>
      </c>
      <c r="C2044" s="20">
        <v>50076.0</v>
      </c>
      <c r="D2044" s="20" t="s">
        <v>6002</v>
      </c>
      <c r="E2044" s="20">
        <v>9.17409337787E11</v>
      </c>
      <c r="F2044" s="21">
        <v>18507.0</v>
      </c>
      <c r="G2044" s="20"/>
      <c r="H2044" s="20" t="s">
        <v>5984</v>
      </c>
      <c r="I2044" s="20"/>
      <c r="J2044" s="20">
        <v>1.0</v>
      </c>
      <c r="K2044" s="20">
        <v>99.0</v>
      </c>
      <c r="L2044" s="20"/>
      <c r="M2044" s="20">
        <v>99.0</v>
      </c>
      <c r="N2044" s="5" t="s">
        <v>67</v>
      </c>
      <c r="O2044" s="20" t="b">
        <v>0</v>
      </c>
      <c r="P2044" s="20" t="s">
        <v>68</v>
      </c>
      <c r="Q2044" s="20" t="s">
        <v>69</v>
      </c>
      <c r="R2044" s="20" t="s">
        <v>5987</v>
      </c>
      <c r="T2044" s="20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</row>
    <row r="2045">
      <c r="A2045" s="15" t="s">
        <v>8467</v>
      </c>
      <c r="B2045" s="19" t="s">
        <v>3617</v>
      </c>
      <c r="C2045" s="20">
        <v>49813.0</v>
      </c>
      <c r="D2045" s="20" t="s">
        <v>5145</v>
      </c>
      <c r="E2045" s="20">
        <v>9.19199430164E11</v>
      </c>
      <c r="F2045" s="21">
        <v>18520.0</v>
      </c>
      <c r="G2045" s="20"/>
      <c r="H2045" s="20" t="s">
        <v>5114</v>
      </c>
      <c r="I2045" s="20"/>
      <c r="J2045" s="20">
        <v>1.0</v>
      </c>
      <c r="K2045" s="20">
        <v>299.0</v>
      </c>
      <c r="L2045" s="20"/>
      <c r="M2045" s="20">
        <v>299.0</v>
      </c>
      <c r="N2045" s="5" t="s">
        <v>67</v>
      </c>
      <c r="O2045" s="20" t="b">
        <v>0</v>
      </c>
      <c r="P2045" s="20" t="s">
        <v>68</v>
      </c>
      <c r="Q2045" s="20" t="s">
        <v>69</v>
      </c>
      <c r="R2045" s="20" t="s">
        <v>5116</v>
      </c>
      <c r="T2045" s="20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</row>
    <row r="2046">
      <c r="A2046" s="15" t="s">
        <v>8471</v>
      </c>
      <c r="B2046" s="19" t="s">
        <v>3414</v>
      </c>
      <c r="C2046" s="20">
        <v>50030.0</v>
      </c>
      <c r="D2046" s="20" t="s">
        <v>3413</v>
      </c>
      <c r="E2046" s="20">
        <v>9.18076029328E11</v>
      </c>
      <c r="F2046" s="21">
        <v>18508.0</v>
      </c>
      <c r="G2046" s="20"/>
      <c r="H2046" s="20" t="s">
        <v>3326</v>
      </c>
      <c r="I2046" s="20"/>
      <c r="J2046" s="20">
        <v>1.0</v>
      </c>
      <c r="K2046" s="20">
        <v>99.0</v>
      </c>
      <c r="L2046" s="20"/>
      <c r="M2046" s="20">
        <v>99.0</v>
      </c>
      <c r="N2046" s="5" t="s">
        <v>67</v>
      </c>
      <c r="O2046" s="20" t="b">
        <v>0</v>
      </c>
      <c r="P2046" s="20" t="s">
        <v>68</v>
      </c>
      <c r="Q2046" s="20" t="s">
        <v>69</v>
      </c>
      <c r="R2046" s="20" t="s">
        <v>3328</v>
      </c>
      <c r="T2046" s="20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</row>
    <row r="2047">
      <c r="A2047" s="15" t="s">
        <v>8321</v>
      </c>
      <c r="B2047" s="19" t="s">
        <v>2491</v>
      </c>
      <c r="C2047" s="20">
        <v>49997.0</v>
      </c>
      <c r="D2047" s="20" t="s">
        <v>2490</v>
      </c>
      <c r="E2047" s="20">
        <v>9.19810957676E11</v>
      </c>
      <c r="F2047" s="21">
        <v>18437.0</v>
      </c>
      <c r="G2047" s="20"/>
      <c r="H2047" s="20" t="s">
        <v>2455</v>
      </c>
      <c r="I2047" s="20"/>
      <c r="J2047" s="20">
        <v>1.0</v>
      </c>
      <c r="K2047" s="20">
        <v>99.0</v>
      </c>
      <c r="L2047" s="20"/>
      <c r="M2047" s="20">
        <v>99.0</v>
      </c>
      <c r="N2047" s="5" t="s">
        <v>67</v>
      </c>
      <c r="O2047" s="20" t="b">
        <v>0</v>
      </c>
      <c r="P2047" s="20" t="s">
        <v>68</v>
      </c>
      <c r="Q2047" s="20" t="s">
        <v>69</v>
      </c>
      <c r="R2047" s="20" t="s">
        <v>2457</v>
      </c>
      <c r="T2047" s="20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</row>
    <row r="2048">
      <c r="A2048" s="15" t="s">
        <v>8474</v>
      </c>
      <c r="B2048" s="19" t="s">
        <v>3037</v>
      </c>
      <c r="C2048" s="20">
        <v>50020.0</v>
      </c>
      <c r="D2048" s="20" t="s">
        <v>3036</v>
      </c>
      <c r="E2048" s="20">
        <v>9.19004973905E11</v>
      </c>
      <c r="F2048" s="21">
        <v>0.0</v>
      </c>
      <c r="G2048" s="20"/>
      <c r="H2048" s="20" t="s">
        <v>3008</v>
      </c>
      <c r="I2048" s="20"/>
      <c r="J2048" s="20">
        <v>6.0</v>
      </c>
      <c r="K2048" s="20">
        <v>349.0</v>
      </c>
      <c r="L2048" s="20"/>
      <c r="M2048" s="20">
        <v>349.0</v>
      </c>
      <c r="N2048" s="5" t="s">
        <v>67</v>
      </c>
      <c r="O2048" s="20" t="b">
        <v>0</v>
      </c>
      <c r="P2048" s="20" t="s">
        <v>151</v>
      </c>
      <c r="Q2048" s="20" t="s">
        <v>69</v>
      </c>
      <c r="R2048" s="20" t="s">
        <v>3010</v>
      </c>
      <c r="T2048" s="20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</row>
    <row r="2049">
      <c r="A2049" s="15" t="s">
        <v>8473</v>
      </c>
      <c r="B2049" s="19" t="s">
        <v>3094</v>
      </c>
      <c r="C2049" s="20">
        <v>49991.0</v>
      </c>
      <c r="D2049" s="20" t="s">
        <v>3093</v>
      </c>
      <c r="E2049" s="20">
        <v>9.17489026376E11</v>
      </c>
      <c r="F2049" s="21">
        <v>18513.0</v>
      </c>
      <c r="G2049" s="20"/>
      <c r="H2049" s="20" t="s">
        <v>3055</v>
      </c>
      <c r="I2049" s="20"/>
      <c r="J2049" s="20">
        <v>1.0</v>
      </c>
      <c r="K2049" s="20">
        <v>99.0</v>
      </c>
      <c r="L2049" s="20"/>
      <c r="M2049" s="20">
        <v>99.0</v>
      </c>
      <c r="N2049" s="5" t="s">
        <v>67</v>
      </c>
      <c r="O2049" s="20" t="b">
        <v>0</v>
      </c>
      <c r="P2049" s="20" t="s">
        <v>68</v>
      </c>
      <c r="Q2049" s="20" t="s">
        <v>69</v>
      </c>
      <c r="R2049" s="20" t="s">
        <v>3057</v>
      </c>
      <c r="T2049" s="20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</row>
    <row r="2050">
      <c r="A2050" s="15" t="s">
        <v>8478</v>
      </c>
      <c r="B2050" s="19" t="s">
        <v>5221</v>
      </c>
      <c r="C2050" s="20">
        <v>50022.0</v>
      </c>
      <c r="D2050" s="20" t="s">
        <v>5220</v>
      </c>
      <c r="E2050" s="20">
        <v>9.19868066666E11</v>
      </c>
      <c r="F2050" s="22" t="s">
        <v>12593</v>
      </c>
      <c r="G2050" s="20"/>
      <c r="H2050" s="20" t="s">
        <v>5181</v>
      </c>
      <c r="I2050" s="20"/>
      <c r="J2050" s="20">
        <v>1.0</v>
      </c>
      <c r="K2050" s="20">
        <v>99.0</v>
      </c>
      <c r="L2050" s="20"/>
      <c r="M2050" s="20">
        <v>99.0</v>
      </c>
      <c r="N2050" s="5" t="s">
        <v>67</v>
      </c>
      <c r="O2050" s="20" t="b">
        <v>0</v>
      </c>
      <c r="P2050" s="20" t="s">
        <v>68</v>
      </c>
      <c r="Q2050" s="20" t="s">
        <v>69</v>
      </c>
      <c r="R2050" s="20" t="s">
        <v>5183</v>
      </c>
      <c r="T2050" s="20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</row>
    <row r="2051">
      <c r="A2051" s="15" t="s">
        <v>8476</v>
      </c>
      <c r="B2051" s="19" t="s">
        <v>3416</v>
      </c>
      <c r="C2051" s="20">
        <v>50030.0</v>
      </c>
      <c r="D2051" s="20" t="s">
        <v>3415</v>
      </c>
      <c r="E2051" s="20">
        <v>9.17017531711E11</v>
      </c>
      <c r="F2051" s="21">
        <v>18512.0</v>
      </c>
      <c r="G2051" s="20"/>
      <c r="H2051" s="20" t="s">
        <v>3326</v>
      </c>
      <c r="I2051" s="20"/>
      <c r="J2051" s="20">
        <v>1.0</v>
      </c>
      <c r="K2051" s="20">
        <v>99.0</v>
      </c>
      <c r="L2051" s="20"/>
      <c r="M2051" s="20">
        <v>99.0</v>
      </c>
      <c r="N2051" s="5" t="s">
        <v>67</v>
      </c>
      <c r="O2051" s="20" t="b">
        <v>0</v>
      </c>
      <c r="P2051" s="20" t="s">
        <v>68</v>
      </c>
      <c r="Q2051" s="20" t="s">
        <v>69</v>
      </c>
      <c r="R2051" s="20" t="s">
        <v>3328</v>
      </c>
      <c r="T2051" s="20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</row>
    <row r="2052">
      <c r="A2052" s="15" t="s">
        <v>8477</v>
      </c>
      <c r="B2052" s="19" t="s">
        <v>6007</v>
      </c>
      <c r="C2052" s="20">
        <v>50076.0</v>
      </c>
      <c r="D2052" s="20" t="s">
        <v>6006</v>
      </c>
      <c r="E2052" s="20">
        <v>9.18476914344E11</v>
      </c>
      <c r="F2052" s="21">
        <v>18511.0</v>
      </c>
      <c r="G2052" s="20"/>
      <c r="H2052" s="20" t="s">
        <v>5984</v>
      </c>
      <c r="I2052" s="20"/>
      <c r="J2052" s="20">
        <v>1.0</v>
      </c>
      <c r="K2052" s="20">
        <v>99.0</v>
      </c>
      <c r="L2052" s="20"/>
      <c r="M2052" s="20">
        <v>99.0</v>
      </c>
      <c r="N2052" s="5" t="s">
        <v>67</v>
      </c>
      <c r="O2052" s="20" t="b">
        <v>0</v>
      </c>
      <c r="P2052" s="20" t="s">
        <v>68</v>
      </c>
      <c r="Q2052" s="20" t="s">
        <v>69</v>
      </c>
      <c r="R2052" s="20" t="s">
        <v>5987</v>
      </c>
      <c r="T2052" s="20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</row>
    <row r="2053">
      <c r="A2053" s="15" t="s">
        <v>8322</v>
      </c>
      <c r="B2053" s="19" t="s">
        <v>2492</v>
      </c>
      <c r="C2053" s="20">
        <v>49997.0</v>
      </c>
      <c r="D2053" s="20" t="s">
        <v>1730</v>
      </c>
      <c r="E2053" s="20">
        <v>9.19997428605E11</v>
      </c>
      <c r="F2053" s="21">
        <v>17241.0</v>
      </c>
      <c r="G2053" s="20"/>
      <c r="H2053" s="20" t="s">
        <v>2455</v>
      </c>
      <c r="I2053" s="20"/>
      <c r="J2053" s="20">
        <v>3.0</v>
      </c>
      <c r="K2053" s="20">
        <v>199.0</v>
      </c>
      <c r="L2053" s="20"/>
      <c r="M2053" s="20">
        <v>199.0</v>
      </c>
      <c r="N2053" s="5" t="s">
        <v>67</v>
      </c>
      <c r="O2053" s="20" t="b">
        <v>0</v>
      </c>
      <c r="P2053" s="20" t="s">
        <v>68</v>
      </c>
      <c r="Q2053" s="20" t="s">
        <v>69</v>
      </c>
      <c r="R2053" s="20" t="s">
        <v>2457</v>
      </c>
      <c r="T2053" s="20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</row>
    <row r="2054">
      <c r="A2054" s="15" t="s">
        <v>8481</v>
      </c>
      <c r="B2054" s="19" t="s">
        <v>5223</v>
      </c>
      <c r="C2054" s="20">
        <v>50022.0</v>
      </c>
      <c r="D2054" s="20" t="s">
        <v>5222</v>
      </c>
      <c r="E2054" s="20">
        <v>9.19096758759E11</v>
      </c>
      <c r="F2054" s="21">
        <v>18516.0</v>
      </c>
      <c r="G2054" s="20"/>
      <c r="H2054" s="20" t="s">
        <v>5181</v>
      </c>
      <c r="I2054" s="20"/>
      <c r="J2054" s="20">
        <v>3.0</v>
      </c>
      <c r="K2054" s="20">
        <v>199.0</v>
      </c>
      <c r="L2054" s="20"/>
      <c r="M2054" s="20">
        <v>199.0</v>
      </c>
      <c r="N2054" s="5" t="s">
        <v>67</v>
      </c>
      <c r="O2054" s="20" t="b">
        <v>0</v>
      </c>
      <c r="P2054" s="20" t="s">
        <v>74</v>
      </c>
      <c r="Q2054" s="20" t="s">
        <v>69</v>
      </c>
      <c r="R2054" s="20" t="s">
        <v>5183</v>
      </c>
      <c r="T2054" s="20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</row>
    <row r="2055">
      <c r="A2055" s="15" t="s">
        <v>8320</v>
      </c>
      <c r="B2055" s="19" t="s">
        <v>6332</v>
      </c>
      <c r="C2055" s="20">
        <v>50044.0</v>
      </c>
      <c r="D2055" s="20" t="s">
        <v>6331</v>
      </c>
      <c r="E2055" s="20">
        <v>9.19818657517E11</v>
      </c>
      <c r="F2055" s="21">
        <v>19263.0</v>
      </c>
      <c r="G2055" s="20"/>
      <c r="H2055" s="20" t="s">
        <v>6320</v>
      </c>
      <c r="I2055" s="20"/>
      <c r="J2055" s="20">
        <v>3.0</v>
      </c>
      <c r="K2055" s="20">
        <v>599.0</v>
      </c>
      <c r="L2055" s="20"/>
      <c r="M2055" s="20">
        <v>599.0</v>
      </c>
      <c r="N2055" s="5" t="s">
        <v>67</v>
      </c>
      <c r="O2055" s="20" t="b">
        <v>0</v>
      </c>
      <c r="P2055" s="20" t="s">
        <v>74</v>
      </c>
      <c r="Q2055" s="20" t="s">
        <v>69</v>
      </c>
      <c r="R2055" s="20" t="s">
        <v>6322</v>
      </c>
      <c r="T2055" s="20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</row>
    <row r="2056">
      <c r="A2056" s="15" t="s">
        <v>8323</v>
      </c>
      <c r="B2056" s="19" t="s">
        <v>4287</v>
      </c>
      <c r="C2056" s="20">
        <v>50079.0</v>
      </c>
      <c r="D2056" s="20" t="s">
        <v>4286</v>
      </c>
      <c r="E2056" s="20">
        <v>9.197186869E11</v>
      </c>
      <c r="F2056" s="21">
        <v>0.0</v>
      </c>
      <c r="G2056" s="20"/>
      <c r="H2056" s="20" t="s">
        <v>4281</v>
      </c>
      <c r="I2056" s="20"/>
      <c r="J2056" s="20">
        <v>1.0</v>
      </c>
      <c r="K2056" s="20">
        <v>99.0</v>
      </c>
      <c r="L2056" s="20"/>
      <c r="M2056" s="20">
        <v>99.0</v>
      </c>
      <c r="N2056" s="5" t="s">
        <v>67</v>
      </c>
      <c r="O2056" s="20" t="b">
        <v>0</v>
      </c>
      <c r="P2056" s="20" t="s">
        <v>68</v>
      </c>
      <c r="Q2056" s="20" t="s">
        <v>69</v>
      </c>
      <c r="R2056" s="20" t="s">
        <v>4284</v>
      </c>
      <c r="T2056" s="20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</row>
    <row r="2057">
      <c r="A2057" s="15" t="s">
        <v>8324</v>
      </c>
      <c r="B2057" s="19" t="s">
        <v>5995</v>
      </c>
      <c r="C2057" s="20">
        <v>50076.0</v>
      </c>
      <c r="D2057" s="20" t="s">
        <v>5994</v>
      </c>
      <c r="E2057" s="20">
        <v>9.18075796676E11</v>
      </c>
      <c r="F2057" s="21">
        <v>18431.0</v>
      </c>
      <c r="G2057" s="20"/>
      <c r="H2057" s="20" t="s">
        <v>5984</v>
      </c>
      <c r="I2057" s="20"/>
      <c r="J2057" s="20">
        <v>1.0</v>
      </c>
      <c r="K2057" s="20">
        <v>99.0</v>
      </c>
      <c r="L2057" s="20"/>
      <c r="M2057" s="20">
        <v>99.0</v>
      </c>
      <c r="N2057" s="5" t="s">
        <v>67</v>
      </c>
      <c r="O2057" s="20" t="b">
        <v>0</v>
      </c>
      <c r="P2057" s="20" t="s">
        <v>68</v>
      </c>
      <c r="Q2057" s="20" t="s">
        <v>69</v>
      </c>
      <c r="R2057" s="20" t="s">
        <v>5987</v>
      </c>
      <c r="T2057" s="20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</row>
    <row r="2058">
      <c r="A2058" s="15" t="s">
        <v>8484</v>
      </c>
      <c r="B2058" s="19" t="s">
        <v>4897</v>
      </c>
      <c r="C2058" s="20">
        <v>49951.0</v>
      </c>
      <c r="D2058" s="20" t="s">
        <v>4896</v>
      </c>
      <c r="E2058" s="20">
        <v>9.1907454343E11</v>
      </c>
      <c r="F2058" s="21">
        <v>18517.0</v>
      </c>
      <c r="G2058" s="20"/>
      <c r="H2058" s="20" t="s">
        <v>4887</v>
      </c>
      <c r="I2058" s="20"/>
      <c r="J2058" s="20">
        <v>1.0</v>
      </c>
      <c r="K2058" s="20">
        <v>99.0</v>
      </c>
      <c r="L2058" s="20"/>
      <c r="M2058" s="20">
        <v>99.0</v>
      </c>
      <c r="N2058" s="5" t="s">
        <v>67</v>
      </c>
      <c r="O2058" s="20" t="b">
        <v>0</v>
      </c>
      <c r="P2058" s="20" t="s">
        <v>68</v>
      </c>
      <c r="Q2058" s="20" t="s">
        <v>69</v>
      </c>
      <c r="R2058" s="20" t="s">
        <v>4889</v>
      </c>
      <c r="T2058" s="20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</row>
    <row r="2059">
      <c r="A2059" s="15" t="s">
        <v>8328</v>
      </c>
      <c r="B2059" s="19" t="s">
        <v>5368</v>
      </c>
      <c r="C2059" s="20">
        <v>49995.0</v>
      </c>
      <c r="D2059" s="20" t="s">
        <v>5367</v>
      </c>
      <c r="E2059" s="20">
        <v>9.19870589666E11</v>
      </c>
      <c r="F2059" s="22" t="s">
        <v>12593</v>
      </c>
      <c r="G2059" s="20"/>
      <c r="H2059" s="20" t="s">
        <v>5321</v>
      </c>
      <c r="I2059" s="20"/>
      <c r="J2059" s="20">
        <v>6.0</v>
      </c>
      <c r="K2059" s="20">
        <v>349.0</v>
      </c>
      <c r="L2059" s="20"/>
      <c r="M2059" s="20">
        <v>349.0</v>
      </c>
      <c r="N2059" s="5" t="s">
        <v>67</v>
      </c>
      <c r="O2059" s="20" t="b">
        <v>0</v>
      </c>
      <c r="P2059" s="20" t="s">
        <v>74</v>
      </c>
      <c r="Q2059" s="20" t="s">
        <v>69</v>
      </c>
      <c r="R2059" s="20" t="s">
        <v>5323</v>
      </c>
      <c r="T2059" s="20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</row>
    <row r="2060">
      <c r="A2060" s="15" t="s">
        <v>8482</v>
      </c>
      <c r="B2060" s="19" t="s">
        <v>4609</v>
      </c>
      <c r="C2060" s="20">
        <v>50031.0</v>
      </c>
      <c r="D2060" s="20" t="s">
        <v>4608</v>
      </c>
      <c r="E2060" s="20">
        <v>9.18307001108E11</v>
      </c>
      <c r="F2060" s="21">
        <v>0.0</v>
      </c>
      <c r="G2060" s="20"/>
      <c r="H2060" s="20" t="s">
        <v>4561</v>
      </c>
      <c r="I2060" s="20"/>
      <c r="J2060" s="20">
        <v>1.0</v>
      </c>
      <c r="K2060" s="20">
        <v>99.0</v>
      </c>
      <c r="L2060" s="20"/>
      <c r="M2060" s="20">
        <v>99.0</v>
      </c>
      <c r="N2060" s="5" t="s">
        <v>67</v>
      </c>
      <c r="O2060" s="20" t="b">
        <v>0</v>
      </c>
      <c r="P2060" s="20" t="s">
        <v>68</v>
      </c>
      <c r="Q2060" s="20" t="s">
        <v>69</v>
      </c>
      <c r="R2060" s="20" t="s">
        <v>4563</v>
      </c>
      <c r="T2060" s="20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</row>
    <row r="2061">
      <c r="A2061" s="15" t="s">
        <v>8326</v>
      </c>
      <c r="B2061" s="19" t="s">
        <v>5869</v>
      </c>
      <c r="C2061" s="20">
        <v>50054.0</v>
      </c>
      <c r="D2061" s="20" t="s">
        <v>5868</v>
      </c>
      <c r="E2061" s="20">
        <v>9.1809589967E11</v>
      </c>
      <c r="F2061" s="21">
        <v>18440.0</v>
      </c>
      <c r="G2061" s="20"/>
      <c r="H2061" s="20" t="s">
        <v>5822</v>
      </c>
      <c r="I2061" s="20"/>
      <c r="J2061" s="20">
        <v>1.0</v>
      </c>
      <c r="K2061" s="20">
        <v>99.0</v>
      </c>
      <c r="L2061" s="20"/>
      <c r="M2061" s="20">
        <v>99.0</v>
      </c>
      <c r="N2061" s="5" t="s">
        <v>67</v>
      </c>
      <c r="O2061" s="20" t="b">
        <v>0</v>
      </c>
      <c r="P2061" s="20" t="s">
        <v>68</v>
      </c>
      <c r="Q2061" s="20" t="s">
        <v>69</v>
      </c>
      <c r="R2061" s="20" t="s">
        <v>5824</v>
      </c>
      <c r="T2061" s="20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</row>
    <row r="2062">
      <c r="A2062" s="15" t="s">
        <v>8485</v>
      </c>
      <c r="B2062" s="19" t="s">
        <v>2494</v>
      </c>
      <c r="C2062" s="20">
        <v>49997.0</v>
      </c>
      <c r="D2062" s="20" t="s">
        <v>2493</v>
      </c>
      <c r="E2062" s="20">
        <v>9.16393992744E11</v>
      </c>
      <c r="F2062" s="21">
        <v>18518.0</v>
      </c>
      <c r="G2062" s="20"/>
      <c r="H2062" s="20" t="s">
        <v>2455</v>
      </c>
      <c r="I2062" s="20"/>
      <c r="J2062" s="20">
        <v>1.0</v>
      </c>
      <c r="K2062" s="20">
        <v>99.0</v>
      </c>
      <c r="L2062" s="20"/>
      <c r="M2062" s="20">
        <v>99.0</v>
      </c>
      <c r="N2062" s="5" t="s">
        <v>67</v>
      </c>
      <c r="O2062" s="20" t="b">
        <v>0</v>
      </c>
      <c r="P2062" s="20" t="s">
        <v>68</v>
      </c>
      <c r="Q2062" s="20" t="s">
        <v>69</v>
      </c>
      <c r="R2062" s="20" t="s">
        <v>2457</v>
      </c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</row>
    <row r="2063">
      <c r="A2063" s="15" t="s">
        <v>8331</v>
      </c>
      <c r="B2063" s="19" t="s">
        <v>4035</v>
      </c>
      <c r="C2063" s="20">
        <v>49833.0</v>
      </c>
      <c r="D2063" s="20" t="s">
        <v>4034</v>
      </c>
      <c r="E2063" s="20">
        <v>9.1982041619E11</v>
      </c>
      <c r="F2063" s="21">
        <v>11655.0</v>
      </c>
      <c r="G2063" s="20"/>
      <c r="H2063" s="20" t="s">
        <v>4030</v>
      </c>
      <c r="I2063" s="20"/>
      <c r="J2063" s="20">
        <v>6.0</v>
      </c>
      <c r="K2063" s="20">
        <v>349.0</v>
      </c>
      <c r="L2063" s="20"/>
      <c r="M2063" s="20">
        <v>349.0</v>
      </c>
      <c r="N2063" s="5" t="s">
        <v>67</v>
      </c>
      <c r="O2063" s="20" t="b">
        <v>0</v>
      </c>
      <c r="P2063" s="20" t="s">
        <v>68</v>
      </c>
      <c r="Q2063" s="20" t="s">
        <v>69</v>
      </c>
      <c r="R2063" s="20" t="s">
        <v>4033</v>
      </c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</row>
    <row r="2064">
      <c r="A2064" s="15" t="s">
        <v>8486</v>
      </c>
      <c r="B2064" s="19" t="s">
        <v>4957</v>
      </c>
      <c r="C2064" s="20">
        <v>50094.0</v>
      </c>
      <c r="D2064" s="20" t="s">
        <v>4956</v>
      </c>
      <c r="E2064" s="20">
        <v>9.19600017323E11</v>
      </c>
      <c r="F2064" s="21">
        <v>0.0</v>
      </c>
      <c r="G2064" s="20"/>
      <c r="H2064" s="20" t="s">
        <v>4942</v>
      </c>
      <c r="I2064" s="20"/>
      <c r="J2064" s="20">
        <v>1.0</v>
      </c>
      <c r="K2064" s="20">
        <v>199.0</v>
      </c>
      <c r="L2064" s="20"/>
      <c r="M2064" s="20">
        <v>199.0</v>
      </c>
      <c r="N2064" s="5" t="s">
        <v>67</v>
      </c>
      <c r="O2064" s="20" t="b">
        <v>0</v>
      </c>
      <c r="P2064" s="20" t="s">
        <v>74</v>
      </c>
      <c r="Q2064" s="20" t="s">
        <v>69</v>
      </c>
      <c r="R2064" s="20" t="s">
        <v>4945</v>
      </c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</row>
    <row r="2065">
      <c r="A2065" s="15" t="s">
        <v>8332</v>
      </c>
      <c r="B2065" s="19" t="s">
        <v>3001</v>
      </c>
      <c r="C2065" s="20">
        <v>50066.0</v>
      </c>
      <c r="D2065" s="20" t="s">
        <v>3000</v>
      </c>
      <c r="E2065" s="20">
        <v>9.19312664365E11</v>
      </c>
      <c r="F2065" s="21">
        <v>18449.0</v>
      </c>
      <c r="G2065" s="20"/>
      <c r="H2065" s="20" t="s">
        <v>2911</v>
      </c>
      <c r="I2065" s="20"/>
      <c r="J2065" s="20">
        <v>6.0</v>
      </c>
      <c r="K2065" s="20">
        <v>2359.0</v>
      </c>
      <c r="L2065" s="20"/>
      <c r="M2065" s="20">
        <v>2359.0</v>
      </c>
      <c r="N2065" s="5" t="s">
        <v>67</v>
      </c>
      <c r="O2065" s="20" t="b">
        <v>0</v>
      </c>
      <c r="P2065" s="20" t="s">
        <v>97</v>
      </c>
      <c r="Q2065" s="20" t="s">
        <v>69</v>
      </c>
      <c r="R2065" s="20" t="s">
        <v>2913</v>
      </c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</row>
    <row r="2066">
      <c r="A2066" s="15" t="s">
        <v>8491</v>
      </c>
      <c r="B2066" s="19" t="s">
        <v>4611</v>
      </c>
      <c r="C2066" s="20">
        <v>50031.0</v>
      </c>
      <c r="D2066" s="20" t="s">
        <v>4610</v>
      </c>
      <c r="E2066" s="20">
        <v>9.18374934363E11</v>
      </c>
      <c r="F2066" s="21">
        <v>18523.0</v>
      </c>
      <c r="G2066" s="20"/>
      <c r="H2066" s="20" t="s">
        <v>4561</v>
      </c>
      <c r="I2066" s="20"/>
      <c r="J2066" s="20">
        <v>1.0</v>
      </c>
      <c r="K2066" s="20">
        <v>99.0</v>
      </c>
      <c r="L2066" s="20"/>
      <c r="M2066" s="20">
        <v>99.0</v>
      </c>
      <c r="N2066" s="5" t="s">
        <v>67</v>
      </c>
      <c r="O2066" s="20" t="b">
        <v>0</v>
      </c>
      <c r="P2066" s="20" t="s">
        <v>68</v>
      </c>
      <c r="Q2066" s="20" t="s">
        <v>69</v>
      </c>
      <c r="R2066" s="20" t="s">
        <v>4563</v>
      </c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</row>
    <row r="2067">
      <c r="A2067" s="15" t="s">
        <v>8333</v>
      </c>
      <c r="B2067" s="19" t="s">
        <v>5370</v>
      </c>
      <c r="C2067" s="20">
        <v>49995.0</v>
      </c>
      <c r="D2067" s="20" t="s">
        <v>5369</v>
      </c>
      <c r="E2067" s="20">
        <v>9.18007969876E11</v>
      </c>
      <c r="F2067" s="21">
        <v>18436.0</v>
      </c>
      <c r="G2067" s="20"/>
      <c r="H2067" s="20" t="s">
        <v>5321</v>
      </c>
      <c r="I2067" s="20"/>
      <c r="J2067" s="20">
        <v>1.0</v>
      </c>
      <c r="K2067" s="20">
        <v>99.0</v>
      </c>
      <c r="L2067" s="20"/>
      <c r="M2067" s="20">
        <v>99.0</v>
      </c>
      <c r="N2067" s="5" t="s">
        <v>67</v>
      </c>
      <c r="O2067" s="20" t="b">
        <v>0</v>
      </c>
      <c r="P2067" s="20" t="s">
        <v>68</v>
      </c>
      <c r="Q2067" s="20" t="s">
        <v>69</v>
      </c>
      <c r="R2067" s="20" t="s">
        <v>5323</v>
      </c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</row>
    <row r="2068">
      <c r="A2068" s="15" t="s">
        <v>8487</v>
      </c>
      <c r="B2068" s="19" t="s">
        <v>4817</v>
      </c>
      <c r="C2068" s="20">
        <v>49996.0</v>
      </c>
      <c r="D2068" s="20" t="s">
        <v>4816</v>
      </c>
      <c r="E2068" s="20">
        <v>9.17011496396E11</v>
      </c>
      <c r="F2068" s="21">
        <v>18522.0</v>
      </c>
      <c r="G2068" s="20"/>
      <c r="H2068" s="20" t="s">
        <v>4796</v>
      </c>
      <c r="I2068" s="20"/>
      <c r="J2068" s="20">
        <v>1.0</v>
      </c>
      <c r="K2068" s="20">
        <v>99.0</v>
      </c>
      <c r="L2068" s="20"/>
      <c r="M2068" s="20">
        <v>99.0</v>
      </c>
      <c r="N2068" s="5" t="s">
        <v>67</v>
      </c>
      <c r="O2068" s="20" t="b">
        <v>0</v>
      </c>
      <c r="P2068" s="20" t="s">
        <v>68</v>
      </c>
      <c r="Q2068" s="20" t="s">
        <v>69</v>
      </c>
      <c r="R2068" s="20" t="s">
        <v>4799</v>
      </c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</row>
    <row r="2069">
      <c r="A2069" s="15" t="s">
        <v>8337</v>
      </c>
      <c r="B2069" s="19" t="s">
        <v>2808</v>
      </c>
      <c r="C2069" s="20">
        <v>50029.0</v>
      </c>
      <c r="D2069" s="20" t="s">
        <v>2807</v>
      </c>
      <c r="E2069" s="20">
        <v>9.18726705763E11</v>
      </c>
      <c r="F2069" s="21">
        <v>18456.0</v>
      </c>
      <c r="G2069" s="20"/>
      <c r="H2069" s="20" t="s">
        <v>2761</v>
      </c>
      <c r="I2069" s="20"/>
      <c r="J2069" s="20">
        <v>1.0</v>
      </c>
      <c r="K2069" s="20">
        <v>99.0</v>
      </c>
      <c r="L2069" s="20"/>
      <c r="M2069" s="20">
        <v>99.0</v>
      </c>
      <c r="N2069" s="5" t="s">
        <v>67</v>
      </c>
      <c r="O2069" s="20" t="b">
        <v>0</v>
      </c>
      <c r="P2069" s="20" t="s">
        <v>68</v>
      </c>
      <c r="Q2069" s="20" t="s">
        <v>69</v>
      </c>
      <c r="R2069" s="20" t="s">
        <v>2763</v>
      </c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</row>
    <row r="2070">
      <c r="A2070" s="15" t="s">
        <v>8488</v>
      </c>
      <c r="B2070" s="19" t="s">
        <v>3096</v>
      </c>
      <c r="C2070" s="20">
        <v>49991.0</v>
      </c>
      <c r="D2070" s="20" t="s">
        <v>3095</v>
      </c>
      <c r="E2070" s="20">
        <v>9.19648994488E11</v>
      </c>
      <c r="F2070" s="21">
        <v>18521.0</v>
      </c>
      <c r="G2070" s="20"/>
      <c r="H2070" s="20" t="s">
        <v>3055</v>
      </c>
      <c r="I2070" s="20"/>
      <c r="J2070" s="20">
        <v>1.0</v>
      </c>
      <c r="K2070" s="20">
        <v>99.0</v>
      </c>
      <c r="L2070" s="20"/>
      <c r="M2070" s="20">
        <v>99.0</v>
      </c>
      <c r="N2070" s="5" t="s">
        <v>67</v>
      </c>
      <c r="O2070" s="20" t="b">
        <v>0</v>
      </c>
      <c r="P2070" s="20" t="s">
        <v>68</v>
      </c>
      <c r="Q2070" s="20" t="s">
        <v>69</v>
      </c>
      <c r="R2070" s="20" t="s">
        <v>3057</v>
      </c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</row>
    <row r="2071">
      <c r="A2071" s="15" t="s">
        <v>8338</v>
      </c>
      <c r="B2071" s="19" t="s">
        <v>2808</v>
      </c>
      <c r="C2071" s="20">
        <v>50086.0</v>
      </c>
      <c r="D2071" s="20" t="s">
        <v>3987</v>
      </c>
      <c r="E2071" s="20">
        <v>9.18866669652E11</v>
      </c>
      <c r="F2071" s="21">
        <v>3912.0</v>
      </c>
      <c r="G2071" s="20"/>
      <c r="H2071" s="20" t="s">
        <v>3986</v>
      </c>
      <c r="I2071" s="20"/>
      <c r="J2071" s="20">
        <v>3.0</v>
      </c>
      <c r="K2071" s="20">
        <v>599.0</v>
      </c>
      <c r="L2071" s="20"/>
      <c r="M2071" s="20">
        <v>599.0</v>
      </c>
      <c r="N2071" s="5" t="s">
        <v>67</v>
      </c>
      <c r="O2071" s="20" t="b">
        <v>0</v>
      </c>
      <c r="P2071" s="20" t="s">
        <v>74</v>
      </c>
      <c r="Q2071" s="20" t="s">
        <v>69</v>
      </c>
      <c r="R2071" s="20" t="s">
        <v>3988</v>
      </c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</row>
    <row r="2072">
      <c r="A2072" s="15" t="s">
        <v>8492</v>
      </c>
      <c r="B2072" s="19" t="s">
        <v>4076</v>
      </c>
      <c r="C2072" s="20">
        <v>49833.0</v>
      </c>
      <c r="D2072" s="20" t="s">
        <v>4075</v>
      </c>
      <c r="E2072" s="20">
        <v>9.19001189722E11</v>
      </c>
      <c r="F2072" s="21">
        <v>12340.0</v>
      </c>
      <c r="G2072" s="20"/>
      <c r="H2072" s="20" t="s">
        <v>4030</v>
      </c>
      <c r="I2072" s="20"/>
      <c r="J2072" s="20">
        <v>3.0</v>
      </c>
      <c r="K2072" s="20">
        <v>199.0</v>
      </c>
      <c r="L2072" s="20"/>
      <c r="M2072" s="20">
        <v>199.0</v>
      </c>
      <c r="N2072" s="5" t="s">
        <v>67</v>
      </c>
      <c r="O2072" s="20" t="b">
        <v>0</v>
      </c>
      <c r="P2072" s="20" t="s">
        <v>68</v>
      </c>
      <c r="Q2072" s="20" t="s">
        <v>69</v>
      </c>
      <c r="R2072" s="20" t="s">
        <v>4033</v>
      </c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</row>
    <row r="2073">
      <c r="A2073" s="15" t="s">
        <v>8493</v>
      </c>
      <c r="B2073" s="19" t="s">
        <v>2810</v>
      </c>
      <c r="C2073" s="20">
        <v>50029.0</v>
      </c>
      <c r="D2073" s="20" t="s">
        <v>2809</v>
      </c>
      <c r="E2073" s="20">
        <v>9.17986646235E11</v>
      </c>
      <c r="F2073" s="21">
        <v>18525.0</v>
      </c>
      <c r="G2073" s="20"/>
      <c r="H2073" s="20" t="s">
        <v>2761</v>
      </c>
      <c r="I2073" s="20"/>
      <c r="J2073" s="20">
        <v>1.0</v>
      </c>
      <c r="K2073" s="20">
        <v>99.0</v>
      </c>
      <c r="L2073" s="20"/>
      <c r="M2073" s="20">
        <v>99.0</v>
      </c>
      <c r="N2073" s="5" t="s">
        <v>67</v>
      </c>
      <c r="O2073" s="20" t="b">
        <v>0</v>
      </c>
      <c r="P2073" s="20" t="s">
        <v>74</v>
      </c>
      <c r="Q2073" s="20" t="s">
        <v>69</v>
      </c>
      <c r="R2073" s="20" t="s">
        <v>2763</v>
      </c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</row>
    <row r="2074">
      <c r="A2074" s="15" t="s">
        <v>8489</v>
      </c>
      <c r="B2074" s="19" t="s">
        <v>6009</v>
      </c>
      <c r="C2074" s="20">
        <v>50076.0</v>
      </c>
      <c r="D2074" s="20" t="s">
        <v>6008</v>
      </c>
      <c r="E2074" s="20">
        <v>9.19633051142E11</v>
      </c>
      <c r="F2074" s="21">
        <v>18524.0</v>
      </c>
      <c r="G2074" s="20"/>
      <c r="H2074" s="20" t="s">
        <v>5984</v>
      </c>
      <c r="I2074" s="20"/>
      <c r="J2074" s="20">
        <v>1.0</v>
      </c>
      <c r="K2074" s="20">
        <v>99.0</v>
      </c>
      <c r="L2074" s="20"/>
      <c r="M2074" s="20">
        <v>99.0</v>
      </c>
      <c r="N2074" s="5" t="s">
        <v>67</v>
      </c>
      <c r="O2074" s="20" t="b">
        <v>0</v>
      </c>
      <c r="P2074" s="20" t="s">
        <v>68</v>
      </c>
      <c r="Q2074" s="20" t="s">
        <v>69</v>
      </c>
      <c r="R2074" s="20" t="s">
        <v>5987</v>
      </c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</row>
    <row r="2075">
      <c r="A2075" s="15" t="s">
        <v>8340</v>
      </c>
      <c r="B2075" s="19" t="s">
        <v>5997</v>
      </c>
      <c r="C2075" s="20">
        <v>50076.0</v>
      </c>
      <c r="D2075" s="20" t="s">
        <v>5996</v>
      </c>
      <c r="E2075" s="20">
        <v>9.18589896283E11</v>
      </c>
      <c r="F2075" s="21">
        <v>0.0</v>
      </c>
      <c r="G2075" s="20"/>
      <c r="H2075" s="20" t="s">
        <v>5984</v>
      </c>
      <c r="I2075" s="20"/>
      <c r="J2075" s="20">
        <v>1.0</v>
      </c>
      <c r="K2075" s="20">
        <v>99.0</v>
      </c>
      <c r="L2075" s="20"/>
      <c r="M2075" s="20">
        <v>99.0</v>
      </c>
      <c r="N2075" s="5" t="s">
        <v>67</v>
      </c>
      <c r="O2075" s="20" t="b">
        <v>0</v>
      </c>
      <c r="P2075" s="20" t="s">
        <v>68</v>
      </c>
      <c r="Q2075" s="20" t="s">
        <v>69</v>
      </c>
      <c r="R2075" s="20" t="s">
        <v>5987</v>
      </c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</row>
    <row r="2076">
      <c r="A2076" s="15" t="s">
        <v>8495</v>
      </c>
      <c r="B2076" s="19" t="s">
        <v>4291</v>
      </c>
      <c r="C2076" s="20">
        <v>50079.0</v>
      </c>
      <c r="D2076" s="20" t="s">
        <v>4290</v>
      </c>
      <c r="E2076" s="20">
        <v>9.19989948146E11</v>
      </c>
      <c r="F2076" s="21">
        <v>0.0</v>
      </c>
      <c r="G2076" s="20"/>
      <c r="H2076" s="20" t="s">
        <v>4281</v>
      </c>
      <c r="I2076" s="20"/>
      <c r="J2076" s="20">
        <v>1.0</v>
      </c>
      <c r="K2076" s="20">
        <v>99.0</v>
      </c>
      <c r="L2076" s="20"/>
      <c r="M2076" s="20">
        <v>99.0</v>
      </c>
      <c r="N2076" s="5" t="s">
        <v>67</v>
      </c>
      <c r="O2076" s="20" t="b">
        <v>0</v>
      </c>
      <c r="P2076" s="20" t="s">
        <v>74</v>
      </c>
      <c r="Q2076" s="20" t="s">
        <v>69</v>
      </c>
      <c r="R2076" s="20" t="s">
        <v>4284</v>
      </c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</row>
    <row r="2077">
      <c r="A2077" s="15" t="s">
        <v>8496</v>
      </c>
      <c r="B2077" s="19" t="s">
        <v>6389</v>
      </c>
      <c r="C2077" s="20">
        <v>50043.0</v>
      </c>
      <c r="D2077" s="20" t="s">
        <v>6388</v>
      </c>
      <c r="E2077" s="20">
        <v>9.19739672482E11</v>
      </c>
      <c r="F2077" s="21">
        <v>18750.0</v>
      </c>
      <c r="G2077" s="20"/>
      <c r="H2077" s="20" t="s">
        <v>6367</v>
      </c>
      <c r="I2077" s="20"/>
      <c r="J2077" s="20">
        <v>1.0</v>
      </c>
      <c r="K2077" s="20">
        <v>99.0</v>
      </c>
      <c r="L2077" s="20"/>
      <c r="M2077" s="20">
        <v>99.0</v>
      </c>
      <c r="N2077" s="5" t="s">
        <v>67</v>
      </c>
      <c r="O2077" s="20" t="b">
        <v>0</v>
      </c>
      <c r="P2077" s="20" t="s">
        <v>68</v>
      </c>
      <c r="Q2077" s="20" t="s">
        <v>69</v>
      </c>
      <c r="R2077" s="20" t="s">
        <v>6369</v>
      </c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</row>
    <row r="2078">
      <c r="A2078" s="15" t="s">
        <v>8341</v>
      </c>
      <c r="B2078" s="19" t="s">
        <v>4356</v>
      </c>
      <c r="C2078" s="20">
        <v>50039.0</v>
      </c>
      <c r="D2078" s="20" t="s">
        <v>4355</v>
      </c>
      <c r="E2078" s="20">
        <v>9.19811613676E11</v>
      </c>
      <c r="F2078" s="21">
        <v>18438.0</v>
      </c>
      <c r="G2078" s="20"/>
      <c r="H2078" s="20" t="s">
        <v>4341</v>
      </c>
      <c r="I2078" s="20"/>
      <c r="J2078" s="20">
        <v>3.0</v>
      </c>
      <c r="K2078" s="20">
        <v>199.0</v>
      </c>
      <c r="L2078" s="20"/>
      <c r="M2078" s="20">
        <v>199.0</v>
      </c>
      <c r="N2078" s="5" t="s">
        <v>67</v>
      </c>
      <c r="O2078" s="20" t="b">
        <v>0</v>
      </c>
      <c r="P2078" s="20" t="s">
        <v>151</v>
      </c>
      <c r="Q2078" s="20" t="s">
        <v>69</v>
      </c>
      <c r="R2078" s="20" t="s">
        <v>4343</v>
      </c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</row>
    <row r="2079">
      <c r="A2079" s="15" t="s">
        <v>8345</v>
      </c>
      <c r="B2079" s="19" t="s">
        <v>5998</v>
      </c>
      <c r="C2079" s="20">
        <v>50076.0</v>
      </c>
      <c r="D2079" s="20" t="s">
        <v>5060</v>
      </c>
      <c r="E2079" s="20">
        <v>9.19483347663E11</v>
      </c>
      <c r="F2079" s="21">
        <v>18439.0</v>
      </c>
      <c r="G2079" s="20"/>
      <c r="H2079" s="20" t="s">
        <v>5984</v>
      </c>
      <c r="I2079" s="20"/>
      <c r="J2079" s="20">
        <v>1.0</v>
      </c>
      <c r="K2079" s="20">
        <v>99.0</v>
      </c>
      <c r="L2079" s="20"/>
      <c r="M2079" s="20">
        <v>99.0</v>
      </c>
      <c r="N2079" s="5" t="s">
        <v>67</v>
      </c>
      <c r="O2079" s="20" t="b">
        <v>0</v>
      </c>
      <c r="P2079" s="20" t="s">
        <v>74</v>
      </c>
      <c r="Q2079" s="20" t="s">
        <v>69</v>
      </c>
      <c r="R2079" s="20" t="s">
        <v>5987</v>
      </c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</row>
    <row r="2080">
      <c r="A2080" s="15" t="s">
        <v>8346</v>
      </c>
      <c r="B2080" s="19" t="s">
        <v>5217</v>
      </c>
      <c r="C2080" s="20">
        <v>50022.0</v>
      </c>
      <c r="D2080" s="20" t="s">
        <v>5216</v>
      </c>
      <c r="E2080" s="20">
        <v>9.19535703752E11</v>
      </c>
      <c r="F2080" s="21">
        <v>18450.0</v>
      </c>
      <c r="G2080" s="20"/>
      <c r="H2080" s="20" t="s">
        <v>5181</v>
      </c>
      <c r="I2080" s="20"/>
      <c r="J2080" s="20">
        <v>1.0</v>
      </c>
      <c r="K2080" s="20">
        <v>99.0</v>
      </c>
      <c r="L2080" s="20"/>
      <c r="M2080" s="20">
        <v>99.0</v>
      </c>
      <c r="N2080" s="5" t="s">
        <v>67</v>
      </c>
      <c r="O2080" s="20" t="b">
        <v>0</v>
      </c>
      <c r="P2080" s="20" t="s">
        <v>68</v>
      </c>
      <c r="Q2080" s="20" t="s">
        <v>69</v>
      </c>
      <c r="R2080" s="20" t="s">
        <v>5183</v>
      </c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</row>
    <row r="2081">
      <c r="A2081" s="15" t="s">
        <v>8342</v>
      </c>
      <c r="B2081" s="19" t="s">
        <v>2636</v>
      </c>
      <c r="C2081" s="20">
        <v>50065.0</v>
      </c>
      <c r="D2081" s="20" t="s">
        <v>2635</v>
      </c>
      <c r="E2081" s="20">
        <v>9.19480772621E11</v>
      </c>
      <c r="F2081" s="21">
        <v>18441.0</v>
      </c>
      <c r="G2081" s="20"/>
      <c r="H2081" s="20" t="s">
        <v>2601</v>
      </c>
      <c r="I2081" s="20"/>
      <c r="J2081" s="20">
        <v>3.0</v>
      </c>
      <c r="K2081" s="20">
        <v>199.0</v>
      </c>
      <c r="L2081" s="20"/>
      <c r="M2081" s="20">
        <v>199.0</v>
      </c>
      <c r="N2081" s="5" t="s">
        <v>67</v>
      </c>
      <c r="O2081" s="20" t="b">
        <v>0</v>
      </c>
      <c r="P2081" s="20" t="s">
        <v>68</v>
      </c>
      <c r="Q2081" s="20" t="s">
        <v>69</v>
      </c>
      <c r="R2081" s="20" t="s">
        <v>2604</v>
      </c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</row>
    <row r="2082">
      <c r="A2082" s="15" t="s">
        <v>8502</v>
      </c>
      <c r="B2082" s="19" t="s">
        <v>4362</v>
      </c>
      <c r="C2082" s="20">
        <v>50039.0</v>
      </c>
      <c r="D2082" s="20" t="s">
        <v>4361</v>
      </c>
      <c r="E2082" s="20">
        <v>9.19848062362E11</v>
      </c>
      <c r="F2082" s="21">
        <v>18526.0</v>
      </c>
      <c r="G2082" s="20"/>
      <c r="H2082" s="20" t="s">
        <v>4341</v>
      </c>
      <c r="I2082" s="20"/>
      <c r="J2082" s="20">
        <v>1.0</v>
      </c>
      <c r="K2082" s="20">
        <v>99.0</v>
      </c>
      <c r="L2082" s="20"/>
      <c r="M2082" s="20">
        <v>99.0</v>
      </c>
      <c r="N2082" s="5" t="s">
        <v>67</v>
      </c>
      <c r="O2082" s="20" t="b">
        <v>0</v>
      </c>
      <c r="P2082" s="20" t="s">
        <v>68</v>
      </c>
      <c r="Q2082" s="20" t="s">
        <v>69</v>
      </c>
      <c r="R2082" s="20" t="s">
        <v>4343</v>
      </c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</row>
    <row r="2083">
      <c r="A2083" s="15" t="s">
        <v>8501</v>
      </c>
      <c r="B2083" s="19" t="s">
        <v>5155</v>
      </c>
      <c r="C2083" s="20">
        <v>49813.0</v>
      </c>
      <c r="D2083" s="20" t="s">
        <v>5154</v>
      </c>
      <c r="E2083" s="20">
        <v>9.19810678181E11</v>
      </c>
      <c r="F2083" s="21">
        <v>18720.0</v>
      </c>
      <c r="G2083" s="20"/>
      <c r="H2083" s="20" t="s">
        <v>5114</v>
      </c>
      <c r="I2083" s="20"/>
      <c r="J2083" s="20">
        <v>1.0</v>
      </c>
      <c r="K2083" s="20">
        <v>299.0</v>
      </c>
      <c r="L2083" s="20"/>
      <c r="M2083" s="20">
        <v>299.0</v>
      </c>
      <c r="N2083" s="5" t="s">
        <v>67</v>
      </c>
      <c r="O2083" s="20" t="b">
        <v>0</v>
      </c>
      <c r="P2083" s="20" t="s">
        <v>74</v>
      </c>
      <c r="Q2083" s="20" t="s">
        <v>69</v>
      </c>
      <c r="R2083" s="20" t="s">
        <v>5116</v>
      </c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</row>
    <row r="2084">
      <c r="A2084" s="15" t="s">
        <v>8505</v>
      </c>
      <c r="B2084" s="19" t="s">
        <v>4613</v>
      </c>
      <c r="C2084" s="20">
        <v>50031.0</v>
      </c>
      <c r="D2084" s="20" t="s">
        <v>4612</v>
      </c>
      <c r="E2084" s="20">
        <v>9.19886728386E11</v>
      </c>
      <c r="F2084" s="21">
        <v>18527.0</v>
      </c>
      <c r="G2084" s="20"/>
      <c r="H2084" s="20" t="s">
        <v>4561</v>
      </c>
      <c r="I2084" s="20"/>
      <c r="J2084" s="20">
        <v>1.0</v>
      </c>
      <c r="K2084" s="20">
        <v>99.0</v>
      </c>
      <c r="L2084" s="20"/>
      <c r="M2084" s="20">
        <v>99.0</v>
      </c>
      <c r="N2084" s="5" t="s">
        <v>67</v>
      </c>
      <c r="O2084" s="20" t="b">
        <v>0</v>
      </c>
      <c r="P2084" s="20" t="s">
        <v>68</v>
      </c>
      <c r="Q2084" s="20" t="s">
        <v>69</v>
      </c>
      <c r="R2084" s="20" t="s">
        <v>4563</v>
      </c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</row>
    <row r="2085">
      <c r="A2085" s="15" t="s">
        <v>8508</v>
      </c>
      <c r="B2085" s="19" t="s">
        <v>6381</v>
      </c>
      <c r="C2085" s="20">
        <v>50043.0</v>
      </c>
      <c r="D2085" s="20" t="s">
        <v>6380</v>
      </c>
      <c r="E2085" s="20">
        <v>9.18308894321E11</v>
      </c>
      <c r="F2085" s="21">
        <v>18528.0</v>
      </c>
      <c r="G2085" s="20"/>
      <c r="H2085" s="20" t="s">
        <v>6367</v>
      </c>
      <c r="I2085" s="20"/>
      <c r="J2085" s="20">
        <v>3.0</v>
      </c>
      <c r="K2085" s="20">
        <v>199.0</v>
      </c>
      <c r="L2085" s="20"/>
      <c r="M2085" s="20">
        <v>199.0</v>
      </c>
      <c r="N2085" s="5" t="s">
        <v>67</v>
      </c>
      <c r="O2085" s="20" t="b">
        <v>0</v>
      </c>
      <c r="P2085" s="20" t="s">
        <v>68</v>
      </c>
      <c r="Q2085" s="20" t="s">
        <v>69</v>
      </c>
      <c r="R2085" s="20" t="s">
        <v>6369</v>
      </c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</row>
    <row r="2086">
      <c r="A2086" s="15" t="s">
        <v>8352</v>
      </c>
      <c r="B2086" s="19" t="s">
        <v>4358</v>
      </c>
      <c r="C2086" s="20">
        <v>50039.0</v>
      </c>
      <c r="D2086" s="20" t="s">
        <v>4357</v>
      </c>
      <c r="E2086" s="20">
        <v>9.17827174844E11</v>
      </c>
      <c r="F2086" s="22" t="s">
        <v>12593</v>
      </c>
      <c r="G2086" s="20"/>
      <c r="H2086" s="20" t="s">
        <v>4341</v>
      </c>
      <c r="I2086" s="20"/>
      <c r="J2086" s="20">
        <v>1.0</v>
      </c>
      <c r="K2086" s="20">
        <v>99.0</v>
      </c>
      <c r="L2086" s="20"/>
      <c r="M2086" s="20">
        <v>99.0</v>
      </c>
      <c r="N2086" s="5" t="s">
        <v>67</v>
      </c>
      <c r="O2086" s="20" t="b">
        <v>0</v>
      </c>
      <c r="P2086" s="20" t="s">
        <v>68</v>
      </c>
      <c r="Q2086" s="20" t="s">
        <v>69</v>
      </c>
      <c r="R2086" s="20" t="s">
        <v>4343</v>
      </c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</row>
    <row r="2087">
      <c r="A2087" s="15" t="s">
        <v>8509</v>
      </c>
      <c r="B2087" s="19" t="s">
        <v>2811</v>
      </c>
      <c r="C2087" s="20">
        <v>50029.0</v>
      </c>
      <c r="D2087" s="20" t="s">
        <v>908</v>
      </c>
      <c r="E2087" s="20">
        <v>9.19562106297E11</v>
      </c>
      <c r="F2087" s="21">
        <v>18168.0</v>
      </c>
      <c r="G2087" s="20"/>
      <c r="H2087" s="20" t="s">
        <v>2761</v>
      </c>
      <c r="I2087" s="20"/>
      <c r="J2087" s="20">
        <v>6.0</v>
      </c>
      <c r="K2087" s="20">
        <v>349.0</v>
      </c>
      <c r="L2087" s="20"/>
      <c r="M2087" s="20">
        <v>349.0</v>
      </c>
      <c r="N2087" s="5" t="s">
        <v>67</v>
      </c>
      <c r="O2087" s="20" t="b">
        <v>0</v>
      </c>
      <c r="P2087" s="20" t="s">
        <v>68</v>
      </c>
      <c r="Q2087" s="20" t="s">
        <v>69</v>
      </c>
      <c r="R2087" s="20" t="s">
        <v>2763</v>
      </c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</row>
    <row r="2088">
      <c r="A2088" s="15" t="s">
        <v>8510</v>
      </c>
      <c r="B2088" s="19" t="s">
        <v>4955</v>
      </c>
      <c r="C2088" s="20">
        <v>50094.0</v>
      </c>
      <c r="D2088" s="20" t="s">
        <v>4954</v>
      </c>
      <c r="E2088" s="20">
        <v>9.18882590045E11</v>
      </c>
      <c r="F2088" s="21">
        <v>18530.0</v>
      </c>
      <c r="G2088" s="20"/>
      <c r="H2088" s="20" t="s">
        <v>4942</v>
      </c>
      <c r="I2088" s="20"/>
      <c r="J2088" s="20">
        <v>1.0</v>
      </c>
      <c r="K2088" s="20">
        <v>199.0</v>
      </c>
      <c r="L2088" s="20"/>
      <c r="M2088" s="20">
        <v>199.0</v>
      </c>
      <c r="N2088" s="5" t="s">
        <v>67</v>
      </c>
      <c r="O2088" s="20" t="b">
        <v>0</v>
      </c>
      <c r="P2088" s="20" t="s">
        <v>68</v>
      </c>
      <c r="Q2088" s="20" t="s">
        <v>69</v>
      </c>
      <c r="R2088" s="20" t="s">
        <v>4945</v>
      </c>
      <c r="T2088" s="20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</row>
    <row r="2089">
      <c r="A2089" s="15" t="s">
        <v>8513</v>
      </c>
      <c r="B2089" s="19" t="s">
        <v>2813</v>
      </c>
      <c r="C2089" s="20">
        <v>50029.0</v>
      </c>
      <c r="D2089" s="20" t="s">
        <v>2812</v>
      </c>
      <c r="E2089" s="20">
        <v>9.19872443409E11</v>
      </c>
      <c r="F2089" s="21">
        <v>18531.0</v>
      </c>
      <c r="G2089" s="20"/>
      <c r="H2089" s="20" t="s">
        <v>2761</v>
      </c>
      <c r="I2089" s="20"/>
      <c r="J2089" s="20">
        <v>1.0</v>
      </c>
      <c r="K2089" s="20">
        <v>99.0</v>
      </c>
      <c r="L2089" s="20"/>
      <c r="M2089" s="20">
        <v>99.0</v>
      </c>
      <c r="N2089" s="5" t="s">
        <v>67</v>
      </c>
      <c r="O2089" s="20" t="b">
        <v>0</v>
      </c>
      <c r="P2089" s="20" t="s">
        <v>68</v>
      </c>
      <c r="Q2089" s="20" t="s">
        <v>69</v>
      </c>
      <c r="R2089" s="20" t="s">
        <v>2763</v>
      </c>
      <c r="T2089" s="20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</row>
    <row r="2090">
      <c r="A2090" s="15" t="s">
        <v>8514</v>
      </c>
      <c r="B2090" s="19" t="s">
        <v>6011</v>
      </c>
      <c r="C2090" s="20">
        <v>50076.0</v>
      </c>
      <c r="D2090" s="20" t="s">
        <v>6010</v>
      </c>
      <c r="E2090" s="20">
        <v>9.17745837929E11</v>
      </c>
      <c r="F2090" s="21">
        <v>18532.0</v>
      </c>
      <c r="G2090" s="20"/>
      <c r="H2090" s="20" t="s">
        <v>5984</v>
      </c>
      <c r="I2090" s="20"/>
      <c r="J2090" s="20">
        <v>1.0</v>
      </c>
      <c r="K2090" s="20">
        <v>99.0</v>
      </c>
      <c r="L2090" s="20"/>
      <c r="M2090" s="20">
        <v>99.0</v>
      </c>
      <c r="N2090" s="5" t="s">
        <v>67</v>
      </c>
      <c r="O2090" s="20" t="b">
        <v>0</v>
      </c>
      <c r="P2090" s="20" t="s">
        <v>74</v>
      </c>
      <c r="Q2090" s="20" t="s">
        <v>69</v>
      </c>
      <c r="R2090" s="20" t="s">
        <v>5987</v>
      </c>
      <c r="T2090" s="20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</row>
    <row r="2091">
      <c r="A2091" s="15" t="s">
        <v>8515</v>
      </c>
      <c r="B2091" s="19" t="s">
        <v>3031</v>
      </c>
      <c r="C2091" s="20">
        <v>50020.0</v>
      </c>
      <c r="D2091" s="20" t="s">
        <v>3030</v>
      </c>
      <c r="E2091" s="20">
        <v>9.1812146107E11</v>
      </c>
      <c r="F2091" s="21">
        <v>18533.0</v>
      </c>
      <c r="G2091" s="20"/>
      <c r="H2091" s="20" t="s">
        <v>3008</v>
      </c>
      <c r="I2091" s="20"/>
      <c r="J2091" s="20">
        <v>1.0</v>
      </c>
      <c r="K2091" s="20">
        <v>99.0</v>
      </c>
      <c r="L2091" s="20"/>
      <c r="M2091" s="20">
        <v>99.0</v>
      </c>
      <c r="N2091" s="5" t="s">
        <v>67</v>
      </c>
      <c r="O2091" s="20" t="b">
        <v>0</v>
      </c>
      <c r="P2091" s="20" t="s">
        <v>151</v>
      </c>
      <c r="Q2091" s="20" t="s">
        <v>69</v>
      </c>
      <c r="R2091" s="20" t="s">
        <v>3010</v>
      </c>
      <c r="T2091" s="20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</row>
    <row r="2092">
      <c r="A2092" s="15" t="s">
        <v>8353</v>
      </c>
      <c r="B2092" s="19" t="s">
        <v>4360</v>
      </c>
      <c r="C2092" s="20">
        <v>50039.0</v>
      </c>
      <c r="D2092" s="20" t="s">
        <v>4359</v>
      </c>
      <c r="E2092" s="20">
        <v>9.19321982105E11</v>
      </c>
      <c r="F2092" s="22" t="s">
        <v>12593</v>
      </c>
      <c r="G2092" s="20"/>
      <c r="H2092" s="20" t="s">
        <v>4341</v>
      </c>
      <c r="I2092" s="20"/>
      <c r="J2092" s="20">
        <v>1.0</v>
      </c>
      <c r="K2092" s="20">
        <v>99.0</v>
      </c>
      <c r="L2092" s="20"/>
      <c r="M2092" s="20">
        <v>99.0</v>
      </c>
      <c r="N2092" s="5" t="s">
        <v>67</v>
      </c>
      <c r="O2092" s="20" t="b">
        <v>0</v>
      </c>
      <c r="P2092" s="20" t="s">
        <v>68</v>
      </c>
      <c r="Q2092" s="20" t="s">
        <v>69</v>
      </c>
      <c r="R2092" s="20" t="s">
        <v>4343</v>
      </c>
      <c r="T2092" s="20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</row>
    <row r="2093">
      <c r="A2093" s="15" t="s">
        <v>8517</v>
      </c>
      <c r="B2093" s="19" t="s">
        <v>6535</v>
      </c>
      <c r="C2093" s="20">
        <v>50073.0</v>
      </c>
      <c r="D2093" s="20" t="s">
        <v>6534</v>
      </c>
      <c r="E2093" s="20">
        <v>9.19874419504E11</v>
      </c>
      <c r="F2093" s="21">
        <v>18535.0</v>
      </c>
      <c r="G2093" s="20"/>
      <c r="H2093" s="20" t="s">
        <v>6466</v>
      </c>
      <c r="I2093" s="20"/>
      <c r="J2093" s="20">
        <v>3.0</v>
      </c>
      <c r="K2093" s="20">
        <v>1499.0</v>
      </c>
      <c r="L2093" s="20"/>
      <c r="M2093" s="20">
        <v>1499.0</v>
      </c>
      <c r="N2093" s="5" t="s">
        <v>67</v>
      </c>
      <c r="O2093" s="20" t="b">
        <v>0</v>
      </c>
      <c r="P2093" s="20" t="s">
        <v>74</v>
      </c>
      <c r="Q2093" s="20" t="s">
        <v>69</v>
      </c>
      <c r="R2093" s="20" t="s">
        <v>6497</v>
      </c>
      <c r="T2093" s="20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</row>
    <row r="2094">
      <c r="A2094" s="15" t="s">
        <v>8522</v>
      </c>
      <c r="B2094" s="19" t="s">
        <v>4043</v>
      </c>
      <c r="C2094" s="20">
        <v>49833.0</v>
      </c>
      <c r="D2094" s="20" t="s">
        <v>4042</v>
      </c>
      <c r="E2094" s="20">
        <v>9.19712920305E11</v>
      </c>
      <c r="F2094" s="21">
        <v>18552.0</v>
      </c>
      <c r="G2094" s="20"/>
      <c r="H2094" s="20" t="s">
        <v>4030</v>
      </c>
      <c r="I2094" s="20"/>
      <c r="J2094" s="20">
        <v>1.0</v>
      </c>
      <c r="K2094" s="20">
        <v>99.0</v>
      </c>
      <c r="L2094" s="20"/>
      <c r="M2094" s="20">
        <v>99.0</v>
      </c>
      <c r="N2094" s="5" t="s">
        <v>67</v>
      </c>
      <c r="O2094" s="20" t="b">
        <v>0</v>
      </c>
      <c r="P2094" s="20" t="s">
        <v>68</v>
      </c>
      <c r="Q2094" s="20" t="s">
        <v>69</v>
      </c>
      <c r="R2094" s="20" t="s">
        <v>4033</v>
      </c>
      <c r="T2094" s="20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</row>
    <row r="2095">
      <c r="A2095" s="15" t="s">
        <v>8523</v>
      </c>
      <c r="B2095" s="19" t="s">
        <v>6013</v>
      </c>
      <c r="C2095" s="20">
        <v>50076.0</v>
      </c>
      <c r="D2095" s="20" t="s">
        <v>6012</v>
      </c>
      <c r="E2095" s="20">
        <v>9.19003961117E11</v>
      </c>
      <c r="F2095" s="21">
        <v>18539.0</v>
      </c>
      <c r="G2095" s="20"/>
      <c r="H2095" s="20" t="s">
        <v>5984</v>
      </c>
      <c r="I2095" s="20"/>
      <c r="J2095" s="20">
        <v>1.0</v>
      </c>
      <c r="K2095" s="20">
        <v>99.0</v>
      </c>
      <c r="L2095" s="20"/>
      <c r="M2095" s="20">
        <v>99.0</v>
      </c>
      <c r="N2095" s="5" t="s">
        <v>67</v>
      </c>
      <c r="O2095" s="20" t="b">
        <v>0</v>
      </c>
      <c r="P2095" s="20" t="s">
        <v>68</v>
      </c>
      <c r="Q2095" s="20" t="s">
        <v>69</v>
      </c>
      <c r="R2095" s="20" t="s">
        <v>5987</v>
      </c>
      <c r="T2095" s="20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</row>
    <row r="2096">
      <c r="A2096" s="15" t="s">
        <v>8358</v>
      </c>
      <c r="B2096" s="19" t="s">
        <v>3213</v>
      </c>
      <c r="C2096" s="20">
        <v>50047.0</v>
      </c>
      <c r="D2096" s="20" t="s">
        <v>3212</v>
      </c>
      <c r="E2096" s="20">
        <v>9.18850942461E11</v>
      </c>
      <c r="F2096" s="21">
        <v>18445.0</v>
      </c>
      <c r="G2096" s="20"/>
      <c r="H2096" s="20" t="s">
        <v>3195</v>
      </c>
      <c r="I2096" s="20"/>
      <c r="J2096" s="20">
        <v>3.0</v>
      </c>
      <c r="K2096" s="20">
        <v>199.0</v>
      </c>
      <c r="L2096" s="20"/>
      <c r="M2096" s="20">
        <v>199.0</v>
      </c>
      <c r="N2096" s="5" t="s">
        <v>67</v>
      </c>
      <c r="O2096" s="20" t="b">
        <v>0</v>
      </c>
      <c r="P2096" s="20" t="s">
        <v>68</v>
      </c>
      <c r="Q2096" s="20" t="s">
        <v>69</v>
      </c>
      <c r="R2096" s="20" t="s">
        <v>3197</v>
      </c>
      <c r="T2096" s="20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</row>
    <row r="2097">
      <c r="A2097" s="15" t="s">
        <v>8356</v>
      </c>
      <c r="B2097" s="19" t="s">
        <v>4444</v>
      </c>
      <c r="C2097" s="20">
        <v>50052.0</v>
      </c>
      <c r="D2097" s="20" t="s">
        <v>4443</v>
      </c>
      <c r="E2097" s="20">
        <v>9.19480137751E11</v>
      </c>
      <c r="F2097" s="21">
        <v>18444.0</v>
      </c>
      <c r="G2097" s="20"/>
      <c r="H2097" s="20" t="s">
        <v>4433</v>
      </c>
      <c r="I2097" s="20"/>
      <c r="J2097" s="20">
        <v>3.0</v>
      </c>
      <c r="K2097" s="20">
        <v>199.0</v>
      </c>
      <c r="L2097" s="20"/>
      <c r="M2097" s="20">
        <v>199.0</v>
      </c>
      <c r="N2097" s="5" t="s">
        <v>67</v>
      </c>
      <c r="O2097" s="20" t="b">
        <v>0</v>
      </c>
      <c r="P2097" s="20" t="s">
        <v>68</v>
      </c>
      <c r="Q2097" s="20" t="s">
        <v>69</v>
      </c>
      <c r="R2097" s="20" t="s">
        <v>4435</v>
      </c>
      <c r="T2097" s="20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</row>
    <row r="2098">
      <c r="A2098" s="15" t="s">
        <v>8520</v>
      </c>
      <c r="B2098" s="19" t="s">
        <v>2496</v>
      </c>
      <c r="C2098" s="20">
        <v>49997.0</v>
      </c>
      <c r="D2098" s="20" t="s">
        <v>2495</v>
      </c>
      <c r="E2098" s="20">
        <v>9.19810766029E11</v>
      </c>
      <c r="F2098" s="22" t="s">
        <v>12593</v>
      </c>
      <c r="G2098" s="20"/>
      <c r="H2098" s="20" t="s">
        <v>2455</v>
      </c>
      <c r="I2098" s="20"/>
      <c r="J2098" s="20">
        <v>1.0</v>
      </c>
      <c r="K2098" s="20">
        <v>99.0</v>
      </c>
      <c r="L2098" s="20"/>
      <c r="M2098" s="20">
        <v>99.0</v>
      </c>
      <c r="N2098" s="5" t="s">
        <v>67</v>
      </c>
      <c r="O2098" s="20" t="b">
        <v>0</v>
      </c>
      <c r="P2098" s="20" t="s">
        <v>68</v>
      </c>
      <c r="Q2098" s="20" t="s">
        <v>69</v>
      </c>
      <c r="R2098" s="20" t="s">
        <v>2457</v>
      </c>
      <c r="T2098" s="20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</row>
    <row r="2099">
      <c r="A2099" s="15" t="s">
        <v>8357</v>
      </c>
      <c r="B2099" s="19" t="s">
        <v>5372</v>
      </c>
      <c r="C2099" s="20">
        <v>49995.0</v>
      </c>
      <c r="D2099" s="20" t="s">
        <v>5371</v>
      </c>
      <c r="E2099" s="20">
        <v>9.17567075433E11</v>
      </c>
      <c r="F2099" s="21">
        <v>0.0</v>
      </c>
      <c r="G2099" s="20"/>
      <c r="H2099" s="20" t="s">
        <v>5321</v>
      </c>
      <c r="I2099" s="20"/>
      <c r="J2099" s="20">
        <v>6.0</v>
      </c>
      <c r="K2099" s="20">
        <v>349.0</v>
      </c>
      <c r="L2099" s="20"/>
      <c r="M2099" s="20">
        <v>349.0</v>
      </c>
      <c r="N2099" s="5" t="s">
        <v>67</v>
      </c>
      <c r="O2099" s="20" t="b">
        <v>0</v>
      </c>
      <c r="P2099" s="20" t="s">
        <v>68</v>
      </c>
      <c r="Q2099" s="20" t="s">
        <v>69</v>
      </c>
      <c r="R2099" s="20" t="s">
        <v>5323</v>
      </c>
      <c r="T2099" s="20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</row>
    <row r="2100">
      <c r="A2100" s="15" t="s">
        <v>8524</v>
      </c>
      <c r="B2100" s="19" t="s">
        <v>4045</v>
      </c>
      <c r="C2100" s="20">
        <v>49833.0</v>
      </c>
      <c r="D2100" s="20" t="s">
        <v>4044</v>
      </c>
      <c r="E2100" s="20">
        <v>9.19167405403E11</v>
      </c>
      <c r="F2100" s="21">
        <v>18540.0</v>
      </c>
      <c r="G2100" s="20"/>
      <c r="H2100" s="20" t="s">
        <v>4030</v>
      </c>
      <c r="I2100" s="20"/>
      <c r="J2100" s="20">
        <v>1.0</v>
      </c>
      <c r="K2100" s="20">
        <v>99.0</v>
      </c>
      <c r="L2100" s="20"/>
      <c r="M2100" s="20">
        <v>99.0</v>
      </c>
      <c r="N2100" s="5" t="s">
        <v>67</v>
      </c>
      <c r="O2100" s="20" t="b">
        <v>0</v>
      </c>
      <c r="P2100" s="20" t="s">
        <v>74</v>
      </c>
      <c r="Q2100" s="20" t="s">
        <v>69</v>
      </c>
      <c r="R2100" s="20" t="s">
        <v>4033</v>
      </c>
      <c r="T2100" s="20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</row>
    <row r="2101">
      <c r="A2101" s="15" t="s">
        <v>8525</v>
      </c>
      <c r="B2101" s="19" t="s">
        <v>6383</v>
      </c>
      <c r="C2101" s="20">
        <v>50043.0</v>
      </c>
      <c r="D2101" s="20" t="s">
        <v>6382</v>
      </c>
      <c r="E2101" s="20">
        <v>9.17875605357E11</v>
      </c>
      <c r="F2101" s="21">
        <v>18541.0</v>
      </c>
      <c r="G2101" s="20"/>
      <c r="H2101" s="20" t="s">
        <v>6367</v>
      </c>
      <c r="I2101" s="20"/>
      <c r="J2101" s="20">
        <v>1.0</v>
      </c>
      <c r="K2101" s="20">
        <v>99.0</v>
      </c>
      <c r="L2101" s="20"/>
      <c r="M2101" s="20">
        <v>99.0</v>
      </c>
      <c r="N2101" s="5" t="s">
        <v>67</v>
      </c>
      <c r="O2101" s="20" t="b">
        <v>0</v>
      </c>
      <c r="P2101" s="20" t="s">
        <v>68</v>
      </c>
      <c r="Q2101" s="20" t="s">
        <v>69</v>
      </c>
      <c r="R2101" s="20" t="s">
        <v>6369</v>
      </c>
      <c r="T2101" s="20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</row>
    <row r="2102">
      <c r="A2102" s="15" t="s">
        <v>8364</v>
      </c>
      <c r="B2102" s="19" t="s">
        <v>3408</v>
      </c>
      <c r="C2102" s="20">
        <v>50030.0</v>
      </c>
      <c r="D2102" s="20" t="s">
        <v>3407</v>
      </c>
      <c r="E2102" s="20">
        <v>9.19833833899E11</v>
      </c>
      <c r="F2102" s="22" t="s">
        <v>12593</v>
      </c>
      <c r="G2102" s="20"/>
      <c r="H2102" s="20" t="s">
        <v>3326</v>
      </c>
      <c r="I2102" s="20"/>
      <c r="J2102" s="20">
        <v>1.0</v>
      </c>
      <c r="K2102" s="20">
        <v>99.0</v>
      </c>
      <c r="L2102" s="20"/>
      <c r="M2102" s="20">
        <v>99.0</v>
      </c>
      <c r="N2102" s="5" t="s">
        <v>67</v>
      </c>
      <c r="O2102" s="20" t="b">
        <v>0</v>
      </c>
      <c r="P2102" s="20" t="s">
        <v>74</v>
      </c>
      <c r="Q2102" s="20" t="s">
        <v>69</v>
      </c>
      <c r="R2102" s="20" t="s">
        <v>3328</v>
      </c>
      <c r="T2102" s="20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</row>
    <row r="2103">
      <c r="A2103" s="15" t="s">
        <v>8526</v>
      </c>
      <c r="B2103" s="19" t="s">
        <v>2815</v>
      </c>
      <c r="C2103" s="20">
        <v>50029.0</v>
      </c>
      <c r="D2103" s="20" t="s">
        <v>2814</v>
      </c>
      <c r="E2103" s="20">
        <v>9.18709528371E11</v>
      </c>
      <c r="F2103" s="21">
        <v>18544.0</v>
      </c>
      <c r="G2103" s="20"/>
      <c r="H2103" s="20" t="s">
        <v>2761</v>
      </c>
      <c r="I2103" s="20"/>
      <c r="J2103" s="20">
        <v>1.0</v>
      </c>
      <c r="K2103" s="20">
        <v>99.0</v>
      </c>
      <c r="L2103" s="20"/>
      <c r="M2103" s="20">
        <v>99.0</v>
      </c>
      <c r="N2103" s="5" t="s">
        <v>67</v>
      </c>
      <c r="O2103" s="20" t="b">
        <v>0</v>
      </c>
      <c r="P2103" s="20" t="s">
        <v>68</v>
      </c>
      <c r="Q2103" s="20" t="s">
        <v>69</v>
      </c>
      <c r="R2103" s="20" t="s">
        <v>2763</v>
      </c>
      <c r="T2103" s="20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</row>
    <row r="2104">
      <c r="A2104" s="15" t="s">
        <v>8527</v>
      </c>
      <c r="B2104" s="19" t="s">
        <v>4899</v>
      </c>
      <c r="C2104" s="20">
        <v>49951.0</v>
      </c>
      <c r="D2104" s="20" t="s">
        <v>4898</v>
      </c>
      <c r="E2104" s="20">
        <v>9.19810612213E11</v>
      </c>
      <c r="F2104" s="21">
        <v>18545.0</v>
      </c>
      <c r="G2104" s="20"/>
      <c r="H2104" s="20" t="s">
        <v>4887</v>
      </c>
      <c r="I2104" s="20"/>
      <c r="J2104" s="20">
        <v>1.0</v>
      </c>
      <c r="K2104" s="20">
        <v>99.0</v>
      </c>
      <c r="L2104" s="20"/>
      <c r="M2104" s="20">
        <v>99.0</v>
      </c>
      <c r="N2104" s="5" t="s">
        <v>67</v>
      </c>
      <c r="O2104" s="20" t="b">
        <v>0</v>
      </c>
      <c r="P2104" s="20" t="s">
        <v>68</v>
      </c>
      <c r="Q2104" s="20" t="s">
        <v>69</v>
      </c>
      <c r="R2104" s="20" t="s">
        <v>4889</v>
      </c>
      <c r="T2104" s="20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</row>
    <row r="2105">
      <c r="A2105" s="15" t="s">
        <v>8528</v>
      </c>
      <c r="B2105" s="19" t="s">
        <v>4653</v>
      </c>
      <c r="C2105" s="20">
        <v>49859.0</v>
      </c>
      <c r="D2105" s="20" t="s">
        <v>4652</v>
      </c>
      <c r="E2105" s="20">
        <v>9.175338688E11</v>
      </c>
      <c r="F2105" s="21">
        <v>0.0</v>
      </c>
      <c r="G2105" s="20"/>
      <c r="H2105" s="20" t="s">
        <v>1133</v>
      </c>
      <c r="I2105" s="20"/>
      <c r="J2105" s="20">
        <v>1.0</v>
      </c>
      <c r="K2105" s="20">
        <v>99.0</v>
      </c>
      <c r="L2105" s="20"/>
      <c r="M2105" s="20">
        <v>99.0</v>
      </c>
      <c r="N2105" s="5" t="s">
        <v>67</v>
      </c>
      <c r="O2105" s="20" t="b">
        <v>0</v>
      </c>
      <c r="P2105" s="20" t="s">
        <v>68</v>
      </c>
      <c r="Q2105" s="20" t="s">
        <v>69</v>
      </c>
      <c r="R2105" s="20" t="s">
        <v>4620</v>
      </c>
      <c r="T2105" s="20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</row>
    <row r="2106">
      <c r="A2106" s="15" t="s">
        <v>8531</v>
      </c>
      <c r="B2106" s="19" t="s">
        <v>3215</v>
      </c>
      <c r="C2106" s="20">
        <v>50047.0</v>
      </c>
      <c r="D2106" s="20" t="s">
        <v>3214</v>
      </c>
      <c r="E2106" s="20">
        <v>9.18497041814E11</v>
      </c>
      <c r="F2106" s="21">
        <v>18547.0</v>
      </c>
      <c r="G2106" s="20"/>
      <c r="H2106" s="20" t="s">
        <v>3195</v>
      </c>
      <c r="I2106" s="20"/>
      <c r="J2106" s="20">
        <v>3.0</v>
      </c>
      <c r="K2106" s="20">
        <v>199.0</v>
      </c>
      <c r="L2106" s="20"/>
      <c r="M2106" s="20">
        <v>199.0</v>
      </c>
      <c r="N2106" s="5" t="s">
        <v>67</v>
      </c>
      <c r="O2106" s="20" t="b">
        <v>0</v>
      </c>
      <c r="P2106" s="20" t="s">
        <v>68</v>
      </c>
      <c r="Q2106" s="20" t="s">
        <v>69</v>
      </c>
      <c r="R2106" s="20" t="s">
        <v>3197</v>
      </c>
      <c r="T2106" s="20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</row>
    <row r="2107">
      <c r="A2107" s="15" t="s">
        <v>8533</v>
      </c>
      <c r="B2107" s="19" t="s">
        <v>3217</v>
      </c>
      <c r="C2107" s="20">
        <v>50047.0</v>
      </c>
      <c r="D2107" s="20" t="s">
        <v>3216</v>
      </c>
      <c r="E2107" s="20">
        <v>9.19840692634E11</v>
      </c>
      <c r="F2107" s="21">
        <v>18549.0</v>
      </c>
      <c r="G2107" s="20"/>
      <c r="H2107" s="20" t="s">
        <v>3195</v>
      </c>
      <c r="I2107" s="20"/>
      <c r="J2107" s="20">
        <v>3.0</v>
      </c>
      <c r="K2107" s="20">
        <v>199.0</v>
      </c>
      <c r="L2107" s="20"/>
      <c r="M2107" s="20">
        <v>199.0</v>
      </c>
      <c r="N2107" s="5" t="s">
        <v>67</v>
      </c>
      <c r="O2107" s="20" t="b">
        <v>0</v>
      </c>
      <c r="P2107" s="20" t="s">
        <v>68</v>
      </c>
      <c r="Q2107" s="20" t="s">
        <v>69</v>
      </c>
      <c r="R2107" s="20" t="s">
        <v>3197</v>
      </c>
      <c r="T2107" s="20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</row>
    <row r="2108">
      <c r="A2108" s="15" t="s">
        <v>8374</v>
      </c>
      <c r="B2108" s="19" t="s">
        <v>6000</v>
      </c>
      <c r="C2108" s="20">
        <v>50076.0</v>
      </c>
      <c r="D2108" s="20" t="s">
        <v>5999</v>
      </c>
      <c r="E2108" s="20">
        <v>9.18015778075E11</v>
      </c>
      <c r="F2108" s="22" t="s">
        <v>12593</v>
      </c>
      <c r="G2108" s="20"/>
      <c r="H2108" s="20" t="s">
        <v>5984</v>
      </c>
      <c r="I2108" s="20"/>
      <c r="J2108" s="20">
        <v>1.0</v>
      </c>
      <c r="K2108" s="20">
        <v>99.0</v>
      </c>
      <c r="L2108" s="20"/>
      <c r="M2108" s="20">
        <v>99.0</v>
      </c>
      <c r="N2108" s="5" t="s">
        <v>67</v>
      </c>
      <c r="O2108" s="20" t="b">
        <v>0</v>
      </c>
      <c r="P2108" s="20" t="s">
        <v>68</v>
      </c>
      <c r="Q2108" s="20" t="s">
        <v>69</v>
      </c>
      <c r="R2108" s="20" t="s">
        <v>5987</v>
      </c>
      <c r="T2108" s="20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</row>
    <row r="2109">
      <c r="A2109" s="15" t="s">
        <v>8532</v>
      </c>
      <c r="B2109" s="19" t="s">
        <v>4448</v>
      </c>
      <c r="C2109" s="20">
        <v>50052.0</v>
      </c>
      <c r="D2109" s="20" t="s">
        <v>4447</v>
      </c>
      <c r="E2109" s="20">
        <v>9.18655668068E11</v>
      </c>
      <c r="F2109" s="21">
        <v>18548.0</v>
      </c>
      <c r="G2109" s="20"/>
      <c r="H2109" s="20" t="s">
        <v>4433</v>
      </c>
      <c r="I2109" s="20"/>
      <c r="J2109" s="20">
        <v>1.0</v>
      </c>
      <c r="K2109" s="20">
        <v>99.0</v>
      </c>
      <c r="L2109" s="20"/>
      <c r="M2109" s="20">
        <v>99.0</v>
      </c>
      <c r="N2109" s="5" t="s">
        <v>67</v>
      </c>
      <c r="O2109" s="20" t="b">
        <v>0</v>
      </c>
      <c r="P2109" s="20" t="s">
        <v>68</v>
      </c>
      <c r="Q2109" s="20" t="s">
        <v>69</v>
      </c>
      <c r="R2109" s="20" t="s">
        <v>4435</v>
      </c>
      <c r="T2109" s="20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</row>
    <row r="2110">
      <c r="A2110" s="15" t="s">
        <v>8378</v>
      </c>
      <c r="B2110" s="19" t="s">
        <v>6691</v>
      </c>
      <c r="C2110" s="20">
        <v>50058.0</v>
      </c>
      <c r="D2110" s="20" t="s">
        <v>6690</v>
      </c>
      <c r="E2110" s="20">
        <v>9.1992081606E11</v>
      </c>
      <c r="F2110" s="21">
        <v>18453.0</v>
      </c>
      <c r="G2110" s="20"/>
      <c r="H2110" s="20" t="s">
        <v>6689</v>
      </c>
      <c r="I2110" s="20"/>
      <c r="J2110" s="20">
        <v>1.0</v>
      </c>
      <c r="K2110" s="20">
        <v>599.0</v>
      </c>
      <c r="L2110" s="20"/>
      <c r="M2110" s="20">
        <v>599.0</v>
      </c>
      <c r="N2110" s="5" t="s">
        <v>67</v>
      </c>
      <c r="O2110" s="20" t="b">
        <v>0</v>
      </c>
      <c r="P2110" s="20" t="s">
        <v>68</v>
      </c>
      <c r="Q2110" s="20" t="s">
        <v>69</v>
      </c>
      <c r="R2110" s="20" t="s">
        <v>6692</v>
      </c>
      <c r="T2110" s="20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</row>
    <row r="2111">
      <c r="A2111" s="15" t="s">
        <v>8536</v>
      </c>
      <c r="B2111" s="19" t="s">
        <v>6620</v>
      </c>
      <c r="C2111" s="20">
        <v>49994.0</v>
      </c>
      <c r="D2111" s="20" t="s">
        <v>6619</v>
      </c>
      <c r="E2111" s="20">
        <v>9.19886441771E11</v>
      </c>
      <c r="F2111" s="21">
        <v>18551.0</v>
      </c>
      <c r="G2111" s="20"/>
      <c r="H2111" s="20" t="s">
        <v>1264</v>
      </c>
      <c r="I2111" s="20"/>
      <c r="J2111" s="20">
        <v>1.0</v>
      </c>
      <c r="K2111" s="20">
        <v>99.0</v>
      </c>
      <c r="L2111" s="20"/>
      <c r="M2111" s="20">
        <v>99.0</v>
      </c>
      <c r="N2111" s="5" t="s">
        <v>67</v>
      </c>
      <c r="O2111" s="20" t="b">
        <v>0</v>
      </c>
      <c r="P2111" s="20" t="s">
        <v>74</v>
      </c>
      <c r="Q2111" s="20" t="s">
        <v>69</v>
      </c>
      <c r="R2111" s="20" t="s">
        <v>6615</v>
      </c>
      <c r="T2111" s="20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</row>
    <row r="2112">
      <c r="A2112" s="15" t="s">
        <v>8547</v>
      </c>
      <c r="B2112" s="19" t="s">
        <v>3098</v>
      </c>
      <c r="C2112" s="20">
        <v>49991.0</v>
      </c>
      <c r="D2112" s="20" t="s">
        <v>3097</v>
      </c>
      <c r="E2112" s="20">
        <v>9.19986438166E11</v>
      </c>
      <c r="F2112" s="21">
        <v>18553.0</v>
      </c>
      <c r="G2112" s="20"/>
      <c r="H2112" s="20" t="s">
        <v>3055</v>
      </c>
      <c r="I2112" s="20"/>
      <c r="J2112" s="20">
        <v>1.0</v>
      </c>
      <c r="K2112" s="20">
        <v>99.0</v>
      </c>
      <c r="L2112" s="20"/>
      <c r="M2112" s="20">
        <v>99.0</v>
      </c>
      <c r="N2112" s="5" t="s">
        <v>67</v>
      </c>
      <c r="O2112" s="20" t="b">
        <v>0</v>
      </c>
      <c r="P2112" s="20" t="s">
        <v>68</v>
      </c>
      <c r="Q2112" s="20" t="s">
        <v>69</v>
      </c>
      <c r="R2112" s="20" t="s">
        <v>3057</v>
      </c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</row>
    <row r="2113">
      <c r="A2113" s="15" t="s">
        <v>8550</v>
      </c>
      <c r="B2113" s="19" t="s">
        <v>6276</v>
      </c>
      <c r="C2113" s="20">
        <v>49998.0</v>
      </c>
      <c r="D2113" s="20" t="s">
        <v>6275</v>
      </c>
      <c r="E2113" s="20">
        <v>9.19398214671E11</v>
      </c>
      <c r="F2113" s="21">
        <v>18554.0</v>
      </c>
      <c r="G2113" s="20"/>
      <c r="H2113" s="20" t="s">
        <v>6250</v>
      </c>
      <c r="I2113" s="20"/>
      <c r="J2113" s="20">
        <v>1.0</v>
      </c>
      <c r="K2113" s="20">
        <v>99.0</v>
      </c>
      <c r="L2113" s="20"/>
      <c r="M2113" s="20">
        <v>99.0</v>
      </c>
      <c r="N2113" s="5" t="s">
        <v>67</v>
      </c>
      <c r="O2113" s="20" t="b">
        <v>0</v>
      </c>
      <c r="P2113" s="20" t="s">
        <v>68</v>
      </c>
      <c r="Q2113" s="20" t="s">
        <v>69</v>
      </c>
      <c r="R2113" s="20" t="s">
        <v>6252</v>
      </c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</row>
    <row r="2114">
      <c r="A2114" s="15" t="s">
        <v>8551</v>
      </c>
      <c r="B2114" s="19" t="s">
        <v>3033</v>
      </c>
      <c r="C2114" s="20">
        <v>50020.0</v>
      </c>
      <c r="D2114" s="20" t="s">
        <v>3032</v>
      </c>
      <c r="E2114" s="20">
        <v>9.19870672128E11</v>
      </c>
      <c r="F2114" s="21">
        <v>18556.0</v>
      </c>
      <c r="G2114" s="20"/>
      <c r="H2114" s="20" t="s">
        <v>3008</v>
      </c>
      <c r="I2114" s="20"/>
      <c r="J2114" s="20">
        <v>1.0</v>
      </c>
      <c r="K2114" s="20">
        <v>99.0</v>
      </c>
      <c r="L2114" s="20"/>
      <c r="M2114" s="20">
        <v>99.0</v>
      </c>
      <c r="N2114" s="5" t="s">
        <v>67</v>
      </c>
      <c r="O2114" s="20" t="b">
        <v>0</v>
      </c>
      <c r="P2114" s="20" t="s">
        <v>68</v>
      </c>
      <c r="Q2114" s="20" t="s">
        <v>69</v>
      </c>
      <c r="R2114" s="20" t="s">
        <v>3010</v>
      </c>
      <c r="T2114" s="20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</row>
    <row r="2115">
      <c r="A2115" s="15" t="s">
        <v>8389</v>
      </c>
      <c r="B2115" s="19" t="s">
        <v>5219</v>
      </c>
      <c r="C2115" s="20">
        <v>50022.0</v>
      </c>
      <c r="D2115" s="20" t="s">
        <v>5218</v>
      </c>
      <c r="E2115" s="20">
        <v>9.19172127573E11</v>
      </c>
      <c r="F2115" s="21">
        <v>18459.0</v>
      </c>
      <c r="G2115" s="20"/>
      <c r="H2115" s="20" t="s">
        <v>5181</v>
      </c>
      <c r="I2115" s="20"/>
      <c r="J2115" s="20">
        <v>1.0</v>
      </c>
      <c r="K2115" s="20">
        <v>99.0</v>
      </c>
      <c r="L2115" s="20"/>
      <c r="M2115" s="20">
        <v>99.0</v>
      </c>
      <c r="N2115" s="5" t="s">
        <v>67</v>
      </c>
      <c r="O2115" s="20" t="b">
        <v>0</v>
      </c>
      <c r="P2115" s="20" t="s">
        <v>68</v>
      </c>
      <c r="Q2115" s="20" t="s">
        <v>69</v>
      </c>
      <c r="R2115" s="20" t="s">
        <v>5183</v>
      </c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</row>
    <row r="2116">
      <c r="A2116" s="15" t="s">
        <v>8556</v>
      </c>
      <c r="B2116" s="19" t="s">
        <v>4450</v>
      </c>
      <c r="C2116" s="20">
        <v>50054.0</v>
      </c>
      <c r="D2116" s="20" t="s">
        <v>5872</v>
      </c>
      <c r="E2116" s="20">
        <v>9.19711397307E11</v>
      </c>
      <c r="F2116" s="21">
        <v>18576.0</v>
      </c>
      <c r="G2116" s="20"/>
      <c r="H2116" s="20" t="s">
        <v>5822</v>
      </c>
      <c r="I2116" s="20"/>
      <c r="J2116" s="20">
        <v>6.0</v>
      </c>
      <c r="K2116" s="20">
        <v>349.0</v>
      </c>
      <c r="L2116" s="20"/>
      <c r="M2116" s="20">
        <v>349.0</v>
      </c>
      <c r="N2116" s="5" t="s">
        <v>67</v>
      </c>
      <c r="O2116" s="20" t="b">
        <v>0</v>
      </c>
      <c r="P2116" s="20" t="s">
        <v>68</v>
      </c>
      <c r="Q2116" s="20" t="s">
        <v>69</v>
      </c>
      <c r="R2116" s="20" t="s">
        <v>5824</v>
      </c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</row>
    <row r="2117">
      <c r="A2117" s="15" t="s">
        <v>8558</v>
      </c>
      <c r="B2117" s="19" t="s">
        <v>6278</v>
      </c>
      <c r="C2117" s="20">
        <v>49998.0</v>
      </c>
      <c r="D2117" s="20" t="s">
        <v>6277</v>
      </c>
      <c r="E2117" s="20">
        <v>9.17337798333E11</v>
      </c>
      <c r="F2117" s="21">
        <v>18558.0</v>
      </c>
      <c r="G2117" s="20"/>
      <c r="H2117" s="20" t="s">
        <v>6250</v>
      </c>
      <c r="I2117" s="20"/>
      <c r="J2117" s="20">
        <v>1.0</v>
      </c>
      <c r="K2117" s="20">
        <v>99.0</v>
      </c>
      <c r="L2117" s="20"/>
      <c r="M2117" s="20">
        <v>99.0</v>
      </c>
      <c r="N2117" s="5" t="s">
        <v>67</v>
      </c>
      <c r="O2117" s="20" t="b">
        <v>0</v>
      </c>
      <c r="P2117" s="20" t="s">
        <v>74</v>
      </c>
      <c r="Q2117" s="20" t="s">
        <v>69</v>
      </c>
      <c r="R2117" s="20" t="s">
        <v>6252</v>
      </c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</row>
    <row r="2118">
      <c r="A2118" s="15" t="s">
        <v>8555</v>
      </c>
      <c r="B2118" s="19" t="s">
        <v>4450</v>
      </c>
      <c r="C2118" s="20">
        <v>50052.0</v>
      </c>
      <c r="D2118" s="20" t="s">
        <v>4449</v>
      </c>
      <c r="E2118" s="20">
        <v>9.19347728954E11</v>
      </c>
      <c r="F2118" s="21">
        <v>18557.0</v>
      </c>
      <c r="G2118" s="20"/>
      <c r="H2118" s="20" t="s">
        <v>4433</v>
      </c>
      <c r="I2118" s="20"/>
      <c r="J2118" s="20">
        <v>1.0</v>
      </c>
      <c r="K2118" s="20">
        <v>99.0</v>
      </c>
      <c r="L2118" s="20"/>
      <c r="M2118" s="20">
        <v>99.0</v>
      </c>
      <c r="N2118" s="5" t="s">
        <v>67</v>
      </c>
      <c r="O2118" s="20" t="b">
        <v>0</v>
      </c>
      <c r="P2118" s="20" t="s">
        <v>68</v>
      </c>
      <c r="Q2118" s="20" t="s">
        <v>69</v>
      </c>
      <c r="R2118" s="20" t="s">
        <v>4435</v>
      </c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</row>
    <row r="2119">
      <c r="A2119" s="15" t="s">
        <v>8559</v>
      </c>
      <c r="B2119" s="19" t="s">
        <v>5819</v>
      </c>
      <c r="C2119" s="20">
        <v>50033.0</v>
      </c>
      <c r="D2119" s="20" t="s">
        <v>5818</v>
      </c>
      <c r="E2119" s="20">
        <v>9.18951496116E11</v>
      </c>
      <c r="F2119" s="21">
        <v>18561.0</v>
      </c>
      <c r="G2119" s="20"/>
      <c r="H2119" s="20" t="s">
        <v>1727</v>
      </c>
      <c r="I2119" s="20"/>
      <c r="J2119" s="20">
        <v>1.0</v>
      </c>
      <c r="K2119" s="20">
        <v>99.0</v>
      </c>
      <c r="L2119" s="20"/>
      <c r="M2119" s="20">
        <v>99.0</v>
      </c>
      <c r="N2119" s="5" t="s">
        <v>67</v>
      </c>
      <c r="O2119" s="20" t="b">
        <v>0</v>
      </c>
      <c r="P2119" s="20" t="s">
        <v>68</v>
      </c>
      <c r="Q2119" s="20" t="s">
        <v>69</v>
      </c>
      <c r="R2119" s="20" t="s">
        <v>5731</v>
      </c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</row>
    <row r="2120">
      <c r="A2120" s="15" t="s">
        <v>8567</v>
      </c>
      <c r="B2120" s="19" t="s">
        <v>6017</v>
      </c>
      <c r="C2120" s="20">
        <v>50076.0</v>
      </c>
      <c r="D2120" s="20" t="s">
        <v>6016</v>
      </c>
      <c r="E2120" s="20">
        <v>9.18709071685E11</v>
      </c>
      <c r="F2120" s="21">
        <v>18563.0</v>
      </c>
      <c r="G2120" s="20"/>
      <c r="H2120" s="20" t="s">
        <v>5984</v>
      </c>
      <c r="I2120" s="20"/>
      <c r="J2120" s="20">
        <v>1.0</v>
      </c>
      <c r="K2120" s="20">
        <v>99.0</v>
      </c>
      <c r="L2120" s="20"/>
      <c r="M2120" s="20">
        <v>99.0</v>
      </c>
      <c r="N2120" s="5" t="s">
        <v>67</v>
      </c>
      <c r="O2120" s="20" t="b">
        <v>0</v>
      </c>
      <c r="P2120" s="20" t="s">
        <v>68</v>
      </c>
      <c r="Q2120" s="20" t="s">
        <v>69</v>
      </c>
      <c r="R2120" s="20" t="s">
        <v>5987</v>
      </c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</row>
    <row r="2121">
      <c r="A2121" s="15" t="s">
        <v>8563</v>
      </c>
      <c r="B2121" s="19" t="s">
        <v>6015</v>
      </c>
      <c r="C2121" s="20">
        <v>50076.0</v>
      </c>
      <c r="D2121" s="20" t="s">
        <v>6014</v>
      </c>
      <c r="E2121" s="20">
        <v>9.16206128016E11</v>
      </c>
      <c r="F2121" s="21">
        <v>18560.0</v>
      </c>
      <c r="G2121" s="20"/>
      <c r="H2121" s="20" t="s">
        <v>5984</v>
      </c>
      <c r="I2121" s="20"/>
      <c r="J2121" s="20">
        <v>1.0</v>
      </c>
      <c r="K2121" s="20">
        <v>99.0</v>
      </c>
      <c r="L2121" s="20"/>
      <c r="M2121" s="20">
        <v>99.0</v>
      </c>
      <c r="N2121" s="5" t="s">
        <v>67</v>
      </c>
      <c r="O2121" s="20" t="b">
        <v>0</v>
      </c>
      <c r="P2121" s="20" t="s">
        <v>68</v>
      </c>
      <c r="Q2121" s="20" t="s">
        <v>69</v>
      </c>
      <c r="R2121" s="20" t="s">
        <v>5987</v>
      </c>
      <c r="T2121" s="20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</row>
    <row r="2122">
      <c r="A2122" s="15" t="s">
        <v>8571</v>
      </c>
      <c r="B2122" s="19" t="s">
        <v>3039</v>
      </c>
      <c r="C2122" s="20">
        <v>50020.0</v>
      </c>
      <c r="D2122" s="20" t="s">
        <v>3038</v>
      </c>
      <c r="E2122" s="20">
        <v>9.19833199273E11</v>
      </c>
      <c r="F2122" s="21">
        <v>0.0</v>
      </c>
      <c r="G2122" s="20"/>
      <c r="H2122" s="20" t="s">
        <v>3008</v>
      </c>
      <c r="I2122" s="20"/>
      <c r="J2122" s="20">
        <v>3.0</v>
      </c>
      <c r="K2122" s="20">
        <v>199.0</v>
      </c>
      <c r="L2122" s="20"/>
      <c r="M2122" s="20">
        <v>199.0</v>
      </c>
      <c r="N2122" s="5" t="s">
        <v>67</v>
      </c>
      <c r="O2122" s="20" t="b">
        <v>0</v>
      </c>
      <c r="P2122" s="20" t="s">
        <v>74</v>
      </c>
      <c r="Q2122" s="20" t="s">
        <v>69</v>
      </c>
      <c r="R2122" s="20" t="s">
        <v>3010</v>
      </c>
      <c r="T2122" s="20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</row>
    <row r="2123">
      <c r="A2123" s="15" t="s">
        <v>8570</v>
      </c>
      <c r="B2123" s="19" t="s">
        <v>2642</v>
      </c>
      <c r="C2123" s="20">
        <v>50065.0</v>
      </c>
      <c r="D2123" s="20" t="s">
        <v>2641</v>
      </c>
      <c r="E2123" s="20">
        <v>9.19954521721E11</v>
      </c>
      <c r="F2123" s="22" t="s">
        <v>12593</v>
      </c>
      <c r="G2123" s="20"/>
      <c r="H2123" s="20" t="s">
        <v>2601</v>
      </c>
      <c r="I2123" s="20"/>
      <c r="J2123" s="20">
        <v>1.0</v>
      </c>
      <c r="K2123" s="20">
        <v>99.0</v>
      </c>
      <c r="L2123" s="20"/>
      <c r="M2123" s="20">
        <v>99.0</v>
      </c>
      <c r="N2123" s="5" t="s">
        <v>67</v>
      </c>
      <c r="O2123" s="20" t="b">
        <v>0</v>
      </c>
      <c r="P2123" s="20" t="s">
        <v>68</v>
      </c>
      <c r="Q2123" s="20" t="s">
        <v>69</v>
      </c>
      <c r="R2123" s="20" t="s">
        <v>2604</v>
      </c>
      <c r="T2123" s="20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</row>
    <row r="2124">
      <c r="A2124" s="15" t="s">
        <v>8400</v>
      </c>
      <c r="B2124" s="19" t="s">
        <v>3410</v>
      </c>
      <c r="C2124" s="20">
        <v>50030.0</v>
      </c>
      <c r="D2124" s="20" t="s">
        <v>3409</v>
      </c>
      <c r="E2124" s="20">
        <v>9.18792841622E11</v>
      </c>
      <c r="F2124" s="21">
        <v>18529.0</v>
      </c>
      <c r="G2124" s="20"/>
      <c r="H2124" s="20" t="s">
        <v>3326</v>
      </c>
      <c r="I2124" s="20"/>
      <c r="J2124" s="20">
        <v>6.0</v>
      </c>
      <c r="K2124" s="20">
        <v>349.0</v>
      </c>
      <c r="L2124" s="20"/>
      <c r="M2124" s="20">
        <v>349.0</v>
      </c>
      <c r="N2124" s="5" t="s">
        <v>67</v>
      </c>
      <c r="O2124" s="20" t="b">
        <v>0</v>
      </c>
      <c r="P2124" s="20" t="s">
        <v>68</v>
      </c>
      <c r="Q2124" s="20" t="s">
        <v>69</v>
      </c>
      <c r="R2124" s="20" t="s">
        <v>3328</v>
      </c>
      <c r="T2124" s="20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</row>
    <row r="2125">
      <c r="A2125" s="15" t="s">
        <v>8574</v>
      </c>
      <c r="B2125" s="19" t="s">
        <v>5225</v>
      </c>
      <c r="C2125" s="20">
        <v>50022.0</v>
      </c>
      <c r="D2125" s="20" t="s">
        <v>5224</v>
      </c>
      <c r="E2125" s="20">
        <v>9.19970186839E11</v>
      </c>
      <c r="F2125" s="21">
        <v>18565.0</v>
      </c>
      <c r="G2125" s="20"/>
      <c r="H2125" s="20" t="s">
        <v>5181</v>
      </c>
      <c r="I2125" s="20"/>
      <c r="J2125" s="20">
        <v>1.0</v>
      </c>
      <c r="K2125" s="20">
        <v>99.0</v>
      </c>
      <c r="L2125" s="20"/>
      <c r="M2125" s="20">
        <v>99.0</v>
      </c>
      <c r="N2125" s="5" t="s">
        <v>67</v>
      </c>
      <c r="O2125" s="20" t="b">
        <v>0</v>
      </c>
      <c r="P2125" s="20" t="s">
        <v>68</v>
      </c>
      <c r="Q2125" s="20" t="s">
        <v>69</v>
      </c>
      <c r="R2125" s="20" t="s">
        <v>5183</v>
      </c>
      <c r="T2125" s="20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</row>
    <row r="2126">
      <c r="A2126" s="15" t="s">
        <v>8577</v>
      </c>
      <c r="B2126" s="19" t="s">
        <v>3219</v>
      </c>
      <c r="C2126" s="20">
        <v>50047.0</v>
      </c>
      <c r="D2126" s="20" t="s">
        <v>3218</v>
      </c>
      <c r="E2126" s="20">
        <v>9.18600591437E11</v>
      </c>
      <c r="F2126" s="21">
        <v>18568.0</v>
      </c>
      <c r="G2126" s="20"/>
      <c r="H2126" s="20" t="s">
        <v>3195</v>
      </c>
      <c r="I2126" s="20"/>
      <c r="J2126" s="20">
        <v>3.0</v>
      </c>
      <c r="K2126" s="20">
        <v>199.0</v>
      </c>
      <c r="L2126" s="20"/>
      <c r="M2126" s="20">
        <v>199.0</v>
      </c>
      <c r="N2126" s="5" t="s">
        <v>67</v>
      </c>
      <c r="O2126" s="20" t="b">
        <v>0</v>
      </c>
      <c r="P2126" s="20" t="s">
        <v>68</v>
      </c>
      <c r="Q2126" s="20" t="s">
        <v>69</v>
      </c>
      <c r="R2126" s="20" t="s">
        <v>3197</v>
      </c>
      <c r="T2126" s="20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</row>
    <row r="2127">
      <c r="A2127" s="15" t="s">
        <v>8579</v>
      </c>
      <c r="B2127" s="19" t="s">
        <v>4959</v>
      </c>
      <c r="C2127" s="20">
        <v>50022.0</v>
      </c>
      <c r="D2127" s="20" t="s">
        <v>5226</v>
      </c>
      <c r="E2127" s="20">
        <v>9.19829512688E11</v>
      </c>
      <c r="F2127" s="21">
        <v>18570.0</v>
      </c>
      <c r="G2127" s="20"/>
      <c r="H2127" s="20" t="s">
        <v>5181</v>
      </c>
      <c r="I2127" s="20"/>
      <c r="J2127" s="20">
        <v>1.0</v>
      </c>
      <c r="K2127" s="20">
        <v>99.0</v>
      </c>
      <c r="L2127" s="20"/>
      <c r="M2127" s="20">
        <v>99.0</v>
      </c>
      <c r="N2127" s="5" t="s">
        <v>67</v>
      </c>
      <c r="O2127" s="20" t="b">
        <v>0</v>
      </c>
      <c r="P2127" s="20" t="s">
        <v>68</v>
      </c>
      <c r="Q2127" s="20" t="s">
        <v>69</v>
      </c>
      <c r="R2127" s="20" t="s">
        <v>5183</v>
      </c>
      <c r="T2127" s="20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</row>
    <row r="2128">
      <c r="A2128" s="15" t="s">
        <v>8580</v>
      </c>
      <c r="B2128" s="19" t="s">
        <v>4959</v>
      </c>
      <c r="C2128" s="20">
        <v>50094.0</v>
      </c>
      <c r="D2128" s="20" t="s">
        <v>4958</v>
      </c>
      <c r="E2128" s="20">
        <v>9.17043335745E11</v>
      </c>
      <c r="F2128" s="21">
        <v>18569.0</v>
      </c>
      <c r="G2128" s="20"/>
      <c r="H2128" s="20" t="s">
        <v>4942</v>
      </c>
      <c r="I2128" s="20"/>
      <c r="J2128" s="20">
        <v>1.0</v>
      </c>
      <c r="K2128" s="20">
        <v>199.0</v>
      </c>
      <c r="L2128" s="20"/>
      <c r="M2128" s="20">
        <v>199.0</v>
      </c>
      <c r="N2128" s="5" t="s">
        <v>67</v>
      </c>
      <c r="O2128" s="20" t="b">
        <v>0</v>
      </c>
      <c r="P2128" s="20" t="s">
        <v>68</v>
      </c>
      <c r="Q2128" s="20" t="s">
        <v>69</v>
      </c>
      <c r="R2128" s="20" t="s">
        <v>4945</v>
      </c>
      <c r="T2128" s="20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</row>
    <row r="2129">
      <c r="A2129" s="15" t="s">
        <v>8583</v>
      </c>
      <c r="B2129" s="19" t="s">
        <v>2817</v>
      </c>
      <c r="C2129" s="20">
        <v>50029.0</v>
      </c>
      <c r="D2129" s="20" t="s">
        <v>2816</v>
      </c>
      <c r="E2129" s="20">
        <v>9.19036003236E11</v>
      </c>
      <c r="F2129" s="21">
        <v>18573.0</v>
      </c>
      <c r="G2129" s="20"/>
      <c r="H2129" s="20" t="s">
        <v>2761</v>
      </c>
      <c r="I2129" s="20"/>
      <c r="J2129" s="20">
        <v>1.0</v>
      </c>
      <c r="K2129" s="20">
        <v>99.0</v>
      </c>
      <c r="L2129" s="20"/>
      <c r="M2129" s="20">
        <v>99.0</v>
      </c>
      <c r="N2129" s="5" t="s">
        <v>67</v>
      </c>
      <c r="O2129" s="20" t="b">
        <v>0</v>
      </c>
      <c r="P2129" s="20" t="s">
        <v>68</v>
      </c>
      <c r="Q2129" s="20" t="s">
        <v>69</v>
      </c>
      <c r="R2129" s="20" t="s">
        <v>2763</v>
      </c>
      <c r="T2129" s="20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</row>
    <row r="2130">
      <c r="A2130" s="15" t="s">
        <v>8584</v>
      </c>
      <c r="B2130" s="19" t="s">
        <v>5147</v>
      </c>
      <c r="C2130" s="20">
        <v>49813.0</v>
      </c>
      <c r="D2130" s="20" t="s">
        <v>5146</v>
      </c>
      <c r="E2130" s="20">
        <v>9.19909931363E11</v>
      </c>
      <c r="F2130" s="22" t="s">
        <v>12593</v>
      </c>
      <c r="G2130" s="20"/>
      <c r="H2130" s="20" t="s">
        <v>5114</v>
      </c>
      <c r="I2130" s="20"/>
      <c r="J2130" s="20">
        <v>3.0</v>
      </c>
      <c r="K2130" s="20">
        <v>499.0</v>
      </c>
      <c r="L2130" s="20"/>
      <c r="M2130" s="20">
        <v>499.0</v>
      </c>
      <c r="N2130" s="5" t="s">
        <v>67</v>
      </c>
      <c r="O2130" s="20" t="b">
        <v>0</v>
      </c>
      <c r="P2130" s="20" t="s">
        <v>151</v>
      </c>
      <c r="Q2130" s="20" t="s">
        <v>69</v>
      </c>
      <c r="R2130" s="20" t="s">
        <v>5116</v>
      </c>
      <c r="T2130" s="20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</row>
    <row r="2131">
      <c r="A2131" s="15" t="s">
        <v>8586</v>
      </c>
      <c r="B2131" s="19" t="s">
        <v>4961</v>
      </c>
      <c r="C2131" s="20">
        <v>50094.0</v>
      </c>
      <c r="D2131" s="20" t="s">
        <v>4960</v>
      </c>
      <c r="E2131" s="20">
        <v>9.18143689189E11</v>
      </c>
      <c r="F2131" s="22" t="s">
        <v>12593</v>
      </c>
      <c r="G2131" s="20"/>
      <c r="H2131" s="20" t="s">
        <v>4942</v>
      </c>
      <c r="I2131" s="20"/>
      <c r="J2131" s="20">
        <v>1.0</v>
      </c>
      <c r="K2131" s="20">
        <v>199.0</v>
      </c>
      <c r="L2131" s="20"/>
      <c r="M2131" s="20">
        <v>199.0</v>
      </c>
      <c r="N2131" s="5" t="s">
        <v>67</v>
      </c>
      <c r="O2131" s="20" t="b">
        <v>0</v>
      </c>
      <c r="P2131" s="20" t="s">
        <v>151</v>
      </c>
      <c r="Q2131" s="20" t="s">
        <v>69</v>
      </c>
      <c r="R2131" s="20" t="s">
        <v>4945</v>
      </c>
      <c r="T2131" s="20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</row>
    <row r="2132">
      <c r="A2132" s="15" t="s">
        <v>8590</v>
      </c>
      <c r="B2132" s="19" t="s">
        <v>3418</v>
      </c>
      <c r="C2132" s="20">
        <v>50030.0</v>
      </c>
      <c r="D2132" s="20" t="s">
        <v>3417</v>
      </c>
      <c r="E2132" s="20">
        <v>9.19789864634E11</v>
      </c>
      <c r="F2132" s="21">
        <v>18574.0</v>
      </c>
      <c r="G2132" s="20"/>
      <c r="H2132" s="20" t="s">
        <v>3326</v>
      </c>
      <c r="I2132" s="20"/>
      <c r="J2132" s="20">
        <v>3.0</v>
      </c>
      <c r="K2132" s="20">
        <v>199.0</v>
      </c>
      <c r="L2132" s="20"/>
      <c r="M2132" s="20">
        <v>199.0</v>
      </c>
      <c r="N2132" s="5" t="s">
        <v>67</v>
      </c>
      <c r="O2132" s="20" t="b">
        <v>0</v>
      </c>
      <c r="P2132" s="20" t="s">
        <v>68</v>
      </c>
      <c r="Q2132" s="20" t="s">
        <v>69</v>
      </c>
      <c r="R2132" s="20" t="s">
        <v>3328</v>
      </c>
      <c r="T2132" s="20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</row>
    <row r="2133">
      <c r="A2133" s="15" t="s">
        <v>8587</v>
      </c>
      <c r="B2133" s="19" t="s">
        <v>6019</v>
      </c>
      <c r="C2133" s="20">
        <v>50076.0</v>
      </c>
      <c r="D2133" s="20" t="s">
        <v>6018</v>
      </c>
      <c r="E2133" s="20">
        <v>9.19510951497E11</v>
      </c>
      <c r="F2133" s="21">
        <v>18572.0</v>
      </c>
      <c r="G2133" s="20"/>
      <c r="H2133" s="20" t="s">
        <v>5984</v>
      </c>
      <c r="I2133" s="20"/>
      <c r="J2133" s="20">
        <v>1.0</v>
      </c>
      <c r="K2133" s="20">
        <v>99.0</v>
      </c>
      <c r="L2133" s="20"/>
      <c r="M2133" s="20">
        <v>99.0</v>
      </c>
      <c r="N2133" s="5" t="s">
        <v>67</v>
      </c>
      <c r="O2133" s="20" t="b">
        <v>0</v>
      </c>
      <c r="P2133" s="20" t="s">
        <v>68</v>
      </c>
      <c r="Q2133" s="20" t="s">
        <v>69</v>
      </c>
      <c r="R2133" s="20" t="s">
        <v>5987</v>
      </c>
      <c r="T2133" s="20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</row>
    <row r="2134">
      <c r="A2134" s="15" t="s">
        <v>8593</v>
      </c>
      <c r="B2134" s="19" t="s">
        <v>4047</v>
      </c>
      <c r="C2134" s="20">
        <v>49833.0</v>
      </c>
      <c r="D2134" s="20" t="s">
        <v>4046</v>
      </c>
      <c r="E2134" s="20">
        <v>9.18310390152E11</v>
      </c>
      <c r="F2134" s="21">
        <v>18575.0</v>
      </c>
      <c r="G2134" s="20"/>
      <c r="H2134" s="20" t="s">
        <v>4030</v>
      </c>
      <c r="I2134" s="20"/>
      <c r="J2134" s="20">
        <v>3.0</v>
      </c>
      <c r="K2134" s="20">
        <v>199.0</v>
      </c>
      <c r="L2134" s="20"/>
      <c r="M2134" s="20">
        <v>199.0</v>
      </c>
      <c r="N2134" s="5" t="s">
        <v>67</v>
      </c>
      <c r="O2134" s="20" t="b">
        <v>0</v>
      </c>
      <c r="P2134" s="20" t="s">
        <v>68</v>
      </c>
      <c r="Q2134" s="20" t="s">
        <v>69</v>
      </c>
      <c r="R2134" s="20" t="s">
        <v>4033</v>
      </c>
      <c r="T2134" s="20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</row>
    <row r="2135">
      <c r="A2135" s="15" t="s">
        <v>8601</v>
      </c>
      <c r="B2135" s="19" t="s">
        <v>6021</v>
      </c>
      <c r="C2135" s="20">
        <v>50076.0</v>
      </c>
      <c r="D2135" s="20" t="s">
        <v>6020</v>
      </c>
      <c r="E2135" s="20">
        <v>9.18780265642E11</v>
      </c>
      <c r="F2135" s="21">
        <v>18577.0</v>
      </c>
      <c r="G2135" s="20"/>
      <c r="H2135" s="20" t="s">
        <v>5984</v>
      </c>
      <c r="I2135" s="20"/>
      <c r="J2135" s="20">
        <v>1.0</v>
      </c>
      <c r="K2135" s="20">
        <v>99.0</v>
      </c>
      <c r="L2135" s="20"/>
      <c r="M2135" s="20">
        <v>99.0</v>
      </c>
      <c r="N2135" s="5" t="s">
        <v>67</v>
      </c>
      <c r="O2135" s="20" t="b">
        <v>0</v>
      </c>
      <c r="P2135" s="20" t="s">
        <v>68</v>
      </c>
      <c r="Q2135" s="20" t="s">
        <v>69</v>
      </c>
      <c r="R2135" s="20" t="s">
        <v>5987</v>
      </c>
      <c r="T2135" s="20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</row>
    <row r="2136">
      <c r="A2136" s="15" t="s">
        <v>8603</v>
      </c>
      <c r="B2136" s="19" t="s">
        <v>3895</v>
      </c>
      <c r="C2136" s="20">
        <v>49835.0</v>
      </c>
      <c r="D2136" s="20" t="s">
        <v>3894</v>
      </c>
      <c r="E2136" s="20">
        <v>9.1902174547E11</v>
      </c>
      <c r="F2136" s="21">
        <v>18578.0</v>
      </c>
      <c r="G2136" s="20"/>
      <c r="H2136" s="20" t="s">
        <v>680</v>
      </c>
      <c r="I2136" s="20"/>
      <c r="J2136" s="20">
        <v>1.0</v>
      </c>
      <c r="K2136" s="20">
        <v>99.0</v>
      </c>
      <c r="L2136" s="20"/>
      <c r="M2136" s="20">
        <v>99.0</v>
      </c>
      <c r="N2136" s="5" t="s">
        <v>67</v>
      </c>
      <c r="O2136" s="20" t="b">
        <v>0</v>
      </c>
      <c r="P2136" s="20" t="s">
        <v>74</v>
      </c>
      <c r="Q2136" s="20" t="s">
        <v>69</v>
      </c>
      <c r="R2136" s="20" t="s">
        <v>3888</v>
      </c>
      <c r="T2136" s="20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</row>
    <row r="2137">
      <c r="A2137" s="15" t="s">
        <v>8605</v>
      </c>
      <c r="B2137" s="19" t="s">
        <v>6280</v>
      </c>
      <c r="C2137" s="20">
        <v>49998.0</v>
      </c>
      <c r="D2137" s="20" t="s">
        <v>6279</v>
      </c>
      <c r="E2137" s="20">
        <v>9.19110701239E11</v>
      </c>
      <c r="F2137" s="21">
        <v>18579.0</v>
      </c>
      <c r="G2137" s="20"/>
      <c r="H2137" s="20" t="s">
        <v>6250</v>
      </c>
      <c r="I2137" s="20"/>
      <c r="J2137" s="20">
        <v>1.0</v>
      </c>
      <c r="K2137" s="20">
        <v>99.0</v>
      </c>
      <c r="L2137" s="20"/>
      <c r="M2137" s="20">
        <v>99.0</v>
      </c>
      <c r="N2137" s="5" t="s">
        <v>67</v>
      </c>
      <c r="O2137" s="20" t="b">
        <v>0</v>
      </c>
      <c r="P2137" s="20" t="s">
        <v>68</v>
      </c>
      <c r="Q2137" s="20" t="s">
        <v>69</v>
      </c>
      <c r="R2137" s="20" t="s">
        <v>6252</v>
      </c>
      <c r="T2137" s="20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</row>
    <row r="2138">
      <c r="A2138" s="15" t="s">
        <v>8606</v>
      </c>
      <c r="B2138" s="19" t="s">
        <v>6023</v>
      </c>
      <c r="C2138" s="20">
        <v>50076.0</v>
      </c>
      <c r="D2138" s="20" t="s">
        <v>6022</v>
      </c>
      <c r="E2138" s="20">
        <v>9.19336305896E11</v>
      </c>
      <c r="F2138" s="21">
        <v>18580.0</v>
      </c>
      <c r="G2138" s="20"/>
      <c r="H2138" s="20" t="s">
        <v>5984</v>
      </c>
      <c r="I2138" s="20"/>
      <c r="J2138" s="20">
        <v>1.0</v>
      </c>
      <c r="K2138" s="20">
        <v>99.0</v>
      </c>
      <c r="L2138" s="20"/>
      <c r="M2138" s="20">
        <v>99.0</v>
      </c>
      <c r="N2138" s="5" t="s">
        <v>67</v>
      </c>
      <c r="O2138" s="20" t="b">
        <v>0</v>
      </c>
      <c r="P2138" s="20" t="s">
        <v>68</v>
      </c>
      <c r="Q2138" s="20" t="s">
        <v>69</v>
      </c>
      <c r="R2138" s="20" t="s">
        <v>5987</v>
      </c>
      <c r="T2138" s="20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</row>
    <row r="2139">
      <c r="A2139" s="15" t="s">
        <v>8607</v>
      </c>
      <c r="B2139" s="19" t="s">
        <v>4819</v>
      </c>
      <c r="C2139" s="20">
        <v>49996.0</v>
      </c>
      <c r="D2139" s="20" t="s">
        <v>4818</v>
      </c>
      <c r="E2139" s="20">
        <v>9.19971885672E11</v>
      </c>
      <c r="F2139" s="21">
        <v>18581.0</v>
      </c>
      <c r="G2139" s="20"/>
      <c r="H2139" s="20" t="s">
        <v>4796</v>
      </c>
      <c r="I2139" s="20"/>
      <c r="J2139" s="20">
        <v>1.0</v>
      </c>
      <c r="K2139" s="20">
        <v>99.0</v>
      </c>
      <c r="L2139" s="20"/>
      <c r="M2139" s="20">
        <v>99.0</v>
      </c>
      <c r="N2139" s="5" t="s">
        <v>67</v>
      </c>
      <c r="O2139" s="20" t="b">
        <v>0</v>
      </c>
      <c r="P2139" s="20" t="s">
        <v>68</v>
      </c>
      <c r="Q2139" s="20" t="s">
        <v>69</v>
      </c>
      <c r="R2139" s="20" t="s">
        <v>4799</v>
      </c>
      <c r="T2139" s="20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</row>
    <row r="2140">
      <c r="A2140" s="15" t="s">
        <v>8608</v>
      </c>
      <c r="B2140" s="19" t="s">
        <v>4963</v>
      </c>
      <c r="C2140" s="20">
        <v>50094.0</v>
      </c>
      <c r="D2140" s="20" t="s">
        <v>4962</v>
      </c>
      <c r="E2140" s="20">
        <v>9.17387884516E11</v>
      </c>
      <c r="F2140" s="21">
        <v>18582.0</v>
      </c>
      <c r="G2140" s="20"/>
      <c r="H2140" s="20" t="s">
        <v>4942</v>
      </c>
      <c r="I2140" s="20"/>
      <c r="J2140" s="20">
        <v>1.0</v>
      </c>
      <c r="K2140" s="20">
        <v>199.0</v>
      </c>
      <c r="L2140" s="20"/>
      <c r="M2140" s="20">
        <v>199.0</v>
      </c>
      <c r="N2140" s="5" t="s">
        <v>67</v>
      </c>
      <c r="O2140" s="20" t="b">
        <v>0</v>
      </c>
      <c r="P2140" s="20" t="s">
        <v>68</v>
      </c>
      <c r="Q2140" s="20" t="s">
        <v>69</v>
      </c>
      <c r="R2140" s="20" t="s">
        <v>4945</v>
      </c>
      <c r="T2140" s="20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</row>
    <row r="2141">
      <c r="A2141" s="15" t="s">
        <v>8614</v>
      </c>
      <c r="B2141" s="19" t="s">
        <v>4965</v>
      </c>
      <c r="C2141" s="20">
        <v>50094.0</v>
      </c>
      <c r="D2141" s="20" t="s">
        <v>4964</v>
      </c>
      <c r="E2141" s="20">
        <v>9.17337464892E11</v>
      </c>
      <c r="F2141" s="21">
        <v>18587.0</v>
      </c>
      <c r="G2141" s="20"/>
      <c r="H2141" s="20" t="s">
        <v>4942</v>
      </c>
      <c r="I2141" s="20"/>
      <c r="J2141" s="20">
        <v>1.0</v>
      </c>
      <c r="K2141" s="20">
        <v>199.0</v>
      </c>
      <c r="L2141" s="20"/>
      <c r="M2141" s="20">
        <v>199.0</v>
      </c>
      <c r="N2141" s="5" t="s">
        <v>67</v>
      </c>
      <c r="O2141" s="20" t="b">
        <v>0</v>
      </c>
      <c r="P2141" s="20" t="s">
        <v>68</v>
      </c>
      <c r="Q2141" s="20" t="s">
        <v>69</v>
      </c>
      <c r="R2141" s="20" t="s">
        <v>4945</v>
      </c>
      <c r="T2141" s="20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</row>
    <row r="2142">
      <c r="A2142" s="15" t="s">
        <v>8609</v>
      </c>
      <c r="B2142" s="19" t="s">
        <v>5228</v>
      </c>
      <c r="C2142" s="20">
        <v>50022.0</v>
      </c>
      <c r="D2142" s="20" t="s">
        <v>5227</v>
      </c>
      <c r="E2142" s="20">
        <v>9.19842884818E11</v>
      </c>
      <c r="F2142" s="21">
        <v>18584.0</v>
      </c>
      <c r="G2142" s="20"/>
      <c r="H2142" s="20" t="s">
        <v>5181</v>
      </c>
      <c r="I2142" s="20"/>
      <c r="J2142" s="20">
        <v>1.0</v>
      </c>
      <c r="K2142" s="20">
        <v>99.0</v>
      </c>
      <c r="L2142" s="20"/>
      <c r="M2142" s="20">
        <v>99.0</v>
      </c>
      <c r="N2142" s="5" t="s">
        <v>67</v>
      </c>
      <c r="O2142" s="20" t="b">
        <v>0</v>
      </c>
      <c r="P2142" s="20" t="s">
        <v>68</v>
      </c>
      <c r="Q2142" s="20" t="s">
        <v>69</v>
      </c>
      <c r="R2142" s="20" t="s">
        <v>5183</v>
      </c>
      <c r="T2142" s="20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</row>
    <row r="2143">
      <c r="A2143" s="15" t="s">
        <v>8610</v>
      </c>
      <c r="B2143" s="19" t="s">
        <v>5228</v>
      </c>
      <c r="C2143" s="20">
        <v>50076.0</v>
      </c>
      <c r="D2143" s="20" t="s">
        <v>6024</v>
      </c>
      <c r="E2143" s="20">
        <v>9.17654551089E11</v>
      </c>
      <c r="F2143" s="21">
        <v>18583.0</v>
      </c>
      <c r="G2143" s="20"/>
      <c r="H2143" s="20" t="s">
        <v>5984</v>
      </c>
      <c r="I2143" s="20"/>
      <c r="J2143" s="20">
        <v>1.0</v>
      </c>
      <c r="K2143" s="20">
        <v>99.0</v>
      </c>
      <c r="L2143" s="20"/>
      <c r="M2143" s="20">
        <v>99.0</v>
      </c>
      <c r="N2143" s="5" t="s">
        <v>67</v>
      </c>
      <c r="O2143" s="20" t="b">
        <v>0</v>
      </c>
      <c r="P2143" s="20" t="s">
        <v>68</v>
      </c>
      <c r="Q2143" s="20" t="s">
        <v>69</v>
      </c>
      <c r="R2143" s="20" t="s">
        <v>5987</v>
      </c>
      <c r="T2143" s="20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</row>
    <row r="2144">
      <c r="A2144" s="15" t="s">
        <v>8615</v>
      </c>
      <c r="B2144" s="19" t="s">
        <v>6026</v>
      </c>
      <c r="C2144" s="20">
        <v>50076.0</v>
      </c>
      <c r="D2144" s="20" t="s">
        <v>6025</v>
      </c>
      <c r="E2144" s="20">
        <v>9.18957352184E11</v>
      </c>
      <c r="F2144" s="21">
        <v>18588.0</v>
      </c>
      <c r="G2144" s="20"/>
      <c r="H2144" s="20" t="s">
        <v>5984</v>
      </c>
      <c r="I2144" s="20"/>
      <c r="J2144" s="20">
        <v>1.0</v>
      </c>
      <c r="K2144" s="20">
        <v>99.0</v>
      </c>
      <c r="L2144" s="20"/>
      <c r="M2144" s="20">
        <v>99.0</v>
      </c>
      <c r="N2144" s="5" t="s">
        <v>67</v>
      </c>
      <c r="O2144" s="20" t="b">
        <v>0</v>
      </c>
      <c r="P2144" s="20" t="s">
        <v>68</v>
      </c>
      <c r="Q2144" s="20" t="s">
        <v>69</v>
      </c>
      <c r="R2144" s="20" t="s">
        <v>5987</v>
      </c>
      <c r="T2144" s="20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</row>
    <row r="2145">
      <c r="A2145" s="15" t="s">
        <v>8611</v>
      </c>
      <c r="B2145" s="19" t="s">
        <v>3221</v>
      </c>
      <c r="C2145" s="20">
        <v>50047.0</v>
      </c>
      <c r="D2145" s="20" t="s">
        <v>3220</v>
      </c>
      <c r="E2145" s="20">
        <v>9.19365094516E11</v>
      </c>
      <c r="F2145" s="21">
        <v>18586.0</v>
      </c>
      <c r="G2145" s="20"/>
      <c r="H2145" s="20" t="s">
        <v>3195</v>
      </c>
      <c r="I2145" s="20"/>
      <c r="J2145" s="20">
        <v>3.0</v>
      </c>
      <c r="K2145" s="20">
        <v>199.0</v>
      </c>
      <c r="L2145" s="20"/>
      <c r="M2145" s="20">
        <v>199.0</v>
      </c>
      <c r="N2145" s="5" t="s">
        <v>67</v>
      </c>
      <c r="O2145" s="20" t="b">
        <v>0</v>
      </c>
      <c r="P2145" s="20" t="s">
        <v>68</v>
      </c>
      <c r="Q2145" s="20" t="s">
        <v>69</v>
      </c>
      <c r="R2145" s="20" t="s">
        <v>3197</v>
      </c>
      <c r="T2145" s="20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</row>
    <row r="2146">
      <c r="A2146" s="15" t="s">
        <v>8612</v>
      </c>
      <c r="B2146" s="19" t="s">
        <v>4049</v>
      </c>
      <c r="C2146" s="20">
        <v>49833.0</v>
      </c>
      <c r="D2146" s="20" t="s">
        <v>4048</v>
      </c>
      <c r="E2146" s="20">
        <v>9.18130586081E11</v>
      </c>
      <c r="F2146" s="21">
        <v>18585.0</v>
      </c>
      <c r="G2146" s="20"/>
      <c r="H2146" s="20" t="s">
        <v>4030</v>
      </c>
      <c r="I2146" s="20"/>
      <c r="J2146" s="20">
        <v>1.0</v>
      </c>
      <c r="K2146" s="20">
        <v>99.0</v>
      </c>
      <c r="L2146" s="20"/>
      <c r="M2146" s="20">
        <v>99.0</v>
      </c>
      <c r="N2146" s="5" t="s">
        <v>67</v>
      </c>
      <c r="O2146" s="20" t="b">
        <v>0</v>
      </c>
      <c r="P2146" s="20" t="s">
        <v>68</v>
      </c>
      <c r="Q2146" s="20" t="s">
        <v>69</v>
      </c>
      <c r="R2146" s="20" t="s">
        <v>4033</v>
      </c>
      <c r="T2146" s="20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</row>
    <row r="2147">
      <c r="A2147" s="15" t="s">
        <v>8616</v>
      </c>
      <c r="B2147" s="19" t="s">
        <v>6028</v>
      </c>
      <c r="C2147" s="20">
        <v>50076.0</v>
      </c>
      <c r="D2147" s="20" t="s">
        <v>6027</v>
      </c>
      <c r="E2147" s="20">
        <v>9.1706052643E11</v>
      </c>
      <c r="F2147" s="21">
        <v>18589.0</v>
      </c>
      <c r="G2147" s="20"/>
      <c r="H2147" s="20" t="s">
        <v>5984</v>
      </c>
      <c r="I2147" s="20"/>
      <c r="J2147" s="20">
        <v>3.0</v>
      </c>
      <c r="K2147" s="20">
        <v>199.0</v>
      </c>
      <c r="L2147" s="20"/>
      <c r="M2147" s="20">
        <v>199.0</v>
      </c>
      <c r="N2147" s="5" t="s">
        <v>67</v>
      </c>
      <c r="O2147" s="20" t="b">
        <v>0</v>
      </c>
      <c r="P2147" s="20" t="s">
        <v>68</v>
      </c>
      <c r="Q2147" s="20" t="s">
        <v>69</v>
      </c>
      <c r="R2147" s="20" t="s">
        <v>5987</v>
      </c>
      <c r="T2147" s="20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</row>
    <row r="2148">
      <c r="A2148" s="15" t="s">
        <v>8623</v>
      </c>
      <c r="B2148" s="19" t="s">
        <v>6030</v>
      </c>
      <c r="C2148" s="20">
        <v>50076.0</v>
      </c>
      <c r="D2148" s="20" t="s">
        <v>6029</v>
      </c>
      <c r="E2148" s="20">
        <v>9.1735525801E11</v>
      </c>
      <c r="F2148" s="21">
        <v>0.0</v>
      </c>
      <c r="G2148" s="20"/>
      <c r="H2148" s="20" t="s">
        <v>5984</v>
      </c>
      <c r="I2148" s="20"/>
      <c r="J2148" s="20">
        <v>1.0</v>
      </c>
      <c r="K2148" s="20">
        <v>99.0</v>
      </c>
      <c r="L2148" s="20"/>
      <c r="M2148" s="20">
        <v>99.0</v>
      </c>
      <c r="N2148" s="5" t="s">
        <v>67</v>
      </c>
      <c r="O2148" s="20" t="b">
        <v>0</v>
      </c>
      <c r="P2148" s="20" t="s">
        <v>68</v>
      </c>
      <c r="Q2148" s="20" t="s">
        <v>69</v>
      </c>
      <c r="R2148" s="20" t="s">
        <v>5987</v>
      </c>
      <c r="T2148" s="20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</row>
    <row r="2149">
      <c r="A2149" s="15" t="s">
        <v>8617</v>
      </c>
      <c r="B2149" s="19" t="s">
        <v>5230</v>
      </c>
      <c r="C2149" s="20">
        <v>50022.0</v>
      </c>
      <c r="D2149" s="20" t="s">
        <v>5229</v>
      </c>
      <c r="E2149" s="20">
        <v>9.1730468676E11</v>
      </c>
      <c r="F2149" s="21">
        <v>18590.0</v>
      </c>
      <c r="G2149" s="20"/>
      <c r="H2149" s="20" t="s">
        <v>5181</v>
      </c>
      <c r="I2149" s="20"/>
      <c r="J2149" s="20">
        <v>1.0</v>
      </c>
      <c r="K2149" s="20">
        <v>99.0</v>
      </c>
      <c r="L2149" s="20"/>
      <c r="M2149" s="20">
        <v>99.0</v>
      </c>
      <c r="N2149" s="5" t="s">
        <v>67</v>
      </c>
      <c r="O2149" s="20" t="b">
        <v>0</v>
      </c>
      <c r="P2149" s="20" t="s">
        <v>68</v>
      </c>
      <c r="Q2149" s="20" t="s">
        <v>69</v>
      </c>
      <c r="R2149" s="20" t="s">
        <v>5183</v>
      </c>
      <c r="T2149" s="20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</row>
    <row r="2150">
      <c r="A2150" s="15" t="s">
        <v>8618</v>
      </c>
      <c r="B2150" s="19" t="s">
        <v>4078</v>
      </c>
      <c r="C2150" s="20">
        <v>50094.0</v>
      </c>
      <c r="D2150" s="20" t="s">
        <v>4979</v>
      </c>
      <c r="E2150" s="20">
        <v>9.19011010337E11</v>
      </c>
      <c r="F2150" s="21">
        <v>18697.0</v>
      </c>
      <c r="G2150" s="20"/>
      <c r="H2150" s="20" t="s">
        <v>4942</v>
      </c>
      <c r="I2150" s="20"/>
      <c r="J2150" s="20">
        <v>1.0</v>
      </c>
      <c r="K2150" s="20">
        <v>199.0</v>
      </c>
      <c r="L2150" s="20"/>
      <c r="M2150" s="20">
        <v>199.0</v>
      </c>
      <c r="N2150" s="5" t="s">
        <v>67</v>
      </c>
      <c r="O2150" s="20" t="b">
        <v>0</v>
      </c>
      <c r="P2150" s="20" t="s">
        <v>68</v>
      </c>
      <c r="Q2150" s="20" t="s">
        <v>69</v>
      </c>
      <c r="R2150" s="20" t="s">
        <v>4945</v>
      </c>
      <c r="T2150" s="20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</row>
    <row r="2151">
      <c r="A2151" s="15" t="s">
        <v>8629</v>
      </c>
      <c r="B2151" s="19" t="s">
        <v>4821</v>
      </c>
      <c r="C2151" s="20">
        <v>49996.0</v>
      </c>
      <c r="D2151" s="20" t="s">
        <v>4820</v>
      </c>
      <c r="E2151" s="20">
        <v>9.19555504027E11</v>
      </c>
      <c r="F2151" s="21">
        <v>18592.0</v>
      </c>
      <c r="G2151" s="20"/>
      <c r="H2151" s="20" t="s">
        <v>4796</v>
      </c>
      <c r="I2151" s="20"/>
      <c r="J2151" s="20">
        <v>1.0</v>
      </c>
      <c r="K2151" s="20">
        <v>99.0</v>
      </c>
      <c r="L2151" s="20"/>
      <c r="M2151" s="20">
        <v>99.0</v>
      </c>
      <c r="N2151" s="5" t="s">
        <v>67</v>
      </c>
      <c r="O2151" s="20" t="b">
        <v>0</v>
      </c>
      <c r="P2151" s="20" t="s">
        <v>68</v>
      </c>
      <c r="Q2151" s="20" t="s">
        <v>69</v>
      </c>
      <c r="R2151" s="20" t="s">
        <v>4799</v>
      </c>
      <c r="T2151" s="20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</row>
    <row r="2152">
      <c r="A2152" s="15" t="s">
        <v>8630</v>
      </c>
      <c r="B2152" s="19" t="s">
        <v>4051</v>
      </c>
      <c r="C2152" s="20">
        <v>49833.0</v>
      </c>
      <c r="D2152" s="20" t="s">
        <v>4050</v>
      </c>
      <c r="E2152" s="20">
        <v>9.19213237389E11</v>
      </c>
      <c r="F2152" s="21">
        <v>18593.0</v>
      </c>
      <c r="G2152" s="20"/>
      <c r="H2152" s="20" t="s">
        <v>4030</v>
      </c>
      <c r="I2152" s="20"/>
      <c r="J2152" s="20">
        <v>6.0</v>
      </c>
      <c r="K2152" s="20">
        <v>349.0</v>
      </c>
      <c r="L2152" s="20"/>
      <c r="M2152" s="20">
        <v>349.0</v>
      </c>
      <c r="N2152" s="5" t="s">
        <v>67</v>
      </c>
      <c r="O2152" s="20" t="b">
        <v>0</v>
      </c>
      <c r="P2152" s="20" t="s">
        <v>68</v>
      </c>
      <c r="Q2152" s="20" t="s">
        <v>69</v>
      </c>
      <c r="R2152" s="20" t="s">
        <v>4033</v>
      </c>
      <c r="T2152" s="20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</row>
    <row r="2153">
      <c r="A2153" s="15" t="s">
        <v>8631</v>
      </c>
      <c r="B2153" s="19" t="s">
        <v>5232</v>
      </c>
      <c r="C2153" s="20">
        <v>50022.0</v>
      </c>
      <c r="D2153" s="20" t="s">
        <v>5231</v>
      </c>
      <c r="E2153" s="20">
        <v>9.19820851898E11</v>
      </c>
      <c r="F2153" s="21">
        <v>18595.0</v>
      </c>
      <c r="G2153" s="20"/>
      <c r="H2153" s="20" t="s">
        <v>5181</v>
      </c>
      <c r="I2153" s="20"/>
      <c r="J2153" s="20">
        <v>6.0</v>
      </c>
      <c r="K2153" s="20">
        <v>349.0</v>
      </c>
      <c r="L2153" s="20"/>
      <c r="M2153" s="20">
        <v>349.0</v>
      </c>
      <c r="N2153" s="5" t="s">
        <v>67</v>
      </c>
      <c r="O2153" s="20" t="b">
        <v>0</v>
      </c>
      <c r="P2153" s="20" t="s">
        <v>74</v>
      </c>
      <c r="Q2153" s="20" t="s">
        <v>69</v>
      </c>
      <c r="R2153" s="20" t="s">
        <v>5183</v>
      </c>
      <c r="T2153" s="20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</row>
    <row r="2154">
      <c r="A2154" s="15" t="s">
        <v>8633</v>
      </c>
      <c r="B2154" s="19" t="s">
        <v>4295</v>
      </c>
      <c r="C2154" s="20">
        <v>50079.0</v>
      </c>
      <c r="D2154" s="20" t="s">
        <v>4294</v>
      </c>
      <c r="E2154" s="20">
        <v>9.19325873738E11</v>
      </c>
      <c r="F2154" s="21">
        <v>18594.0</v>
      </c>
      <c r="G2154" s="20"/>
      <c r="H2154" s="20" t="s">
        <v>4281</v>
      </c>
      <c r="I2154" s="20"/>
      <c r="J2154" s="20">
        <v>1.0</v>
      </c>
      <c r="K2154" s="20">
        <v>99.0</v>
      </c>
      <c r="L2154" s="20"/>
      <c r="M2154" s="20">
        <v>99.0</v>
      </c>
      <c r="N2154" s="5" t="s">
        <v>67</v>
      </c>
      <c r="O2154" s="20" t="b">
        <v>0</v>
      </c>
      <c r="P2154" s="20" t="s">
        <v>68</v>
      </c>
      <c r="Q2154" s="20" t="s">
        <v>69</v>
      </c>
      <c r="R2154" s="20" t="s">
        <v>4284</v>
      </c>
      <c r="T2154" s="20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</row>
    <row r="2155">
      <c r="A2155" s="15" t="s">
        <v>8636</v>
      </c>
      <c r="B2155" s="19" t="s">
        <v>5967</v>
      </c>
      <c r="C2155" s="20">
        <v>50041.0</v>
      </c>
      <c r="D2155" s="20" t="s">
        <v>5966</v>
      </c>
      <c r="E2155" s="20">
        <v>9.1880039788E11</v>
      </c>
      <c r="F2155" s="21">
        <v>18596.0</v>
      </c>
      <c r="G2155" s="20"/>
      <c r="H2155" s="20" t="s">
        <v>5956</v>
      </c>
      <c r="I2155" s="20"/>
      <c r="J2155" s="20">
        <v>3.0</v>
      </c>
      <c r="K2155" s="20">
        <v>399.0</v>
      </c>
      <c r="L2155" s="20"/>
      <c r="M2155" s="20">
        <v>399.0</v>
      </c>
      <c r="N2155" s="5" t="s">
        <v>67</v>
      </c>
      <c r="O2155" s="20" t="b">
        <v>0</v>
      </c>
      <c r="P2155" s="20" t="s">
        <v>68</v>
      </c>
      <c r="Q2155" s="20" t="s">
        <v>69</v>
      </c>
      <c r="R2155" s="20" t="s">
        <v>5958</v>
      </c>
      <c r="T2155" s="20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</row>
    <row r="2156">
      <c r="A2156" s="15" t="s">
        <v>8637</v>
      </c>
      <c r="B2156" s="19" t="s">
        <v>4053</v>
      </c>
      <c r="C2156" s="20">
        <v>49833.0</v>
      </c>
      <c r="D2156" s="20" t="s">
        <v>4052</v>
      </c>
      <c r="E2156" s="20">
        <v>9.17373070134E11</v>
      </c>
      <c r="F2156" s="21">
        <v>18598.0</v>
      </c>
      <c r="G2156" s="20"/>
      <c r="H2156" s="20" t="s">
        <v>4030</v>
      </c>
      <c r="I2156" s="20"/>
      <c r="J2156" s="20">
        <v>1.0</v>
      </c>
      <c r="K2156" s="20">
        <v>99.0</v>
      </c>
      <c r="L2156" s="20"/>
      <c r="M2156" s="20">
        <v>99.0</v>
      </c>
      <c r="N2156" s="5" t="s">
        <v>67</v>
      </c>
      <c r="O2156" s="20" t="b">
        <v>0</v>
      </c>
      <c r="P2156" s="20" t="s">
        <v>74</v>
      </c>
      <c r="Q2156" s="20" t="s">
        <v>69</v>
      </c>
      <c r="R2156" s="20" t="s">
        <v>4033</v>
      </c>
      <c r="T2156" s="20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</row>
    <row r="2157">
      <c r="A2157" s="15" t="s">
        <v>8811</v>
      </c>
      <c r="B2157" s="19" t="s">
        <v>4661</v>
      </c>
      <c r="C2157" s="20">
        <v>49859.0</v>
      </c>
      <c r="D2157" s="20" t="s">
        <v>4660</v>
      </c>
      <c r="E2157" s="20">
        <v>9.17982986266E11</v>
      </c>
      <c r="F2157" s="21">
        <v>18687.0</v>
      </c>
      <c r="G2157" s="20"/>
      <c r="H2157" s="20" t="s">
        <v>1133</v>
      </c>
      <c r="I2157" s="20"/>
      <c r="J2157" s="20">
        <v>1.0</v>
      </c>
      <c r="K2157" s="20">
        <v>99.0</v>
      </c>
      <c r="L2157" s="20"/>
      <c r="M2157" s="20">
        <v>99.0</v>
      </c>
      <c r="N2157" s="5" t="s">
        <v>67</v>
      </c>
      <c r="O2157" s="20" t="b">
        <v>0</v>
      </c>
      <c r="P2157" s="20" t="s">
        <v>68</v>
      </c>
      <c r="Q2157" s="20" t="s">
        <v>69</v>
      </c>
      <c r="R2157" s="20" t="s">
        <v>4620</v>
      </c>
      <c r="T2157" s="20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</row>
    <row r="2158">
      <c r="A2158" s="15" t="s">
        <v>8638</v>
      </c>
      <c r="B2158" s="19" t="s">
        <v>3782</v>
      </c>
      <c r="C2158" s="20">
        <v>49907.0</v>
      </c>
      <c r="D2158" s="20" t="s">
        <v>3781</v>
      </c>
      <c r="E2158" s="20">
        <v>9.18197617453E11</v>
      </c>
      <c r="F2158" s="21">
        <v>18602.0</v>
      </c>
      <c r="G2158" s="20"/>
      <c r="H2158" s="20" t="s">
        <v>587</v>
      </c>
      <c r="I2158" s="20"/>
      <c r="J2158" s="20">
        <v>3.0</v>
      </c>
      <c r="K2158" s="20">
        <v>199.0</v>
      </c>
      <c r="L2158" s="20"/>
      <c r="M2158" s="20">
        <v>199.0</v>
      </c>
      <c r="N2158" s="5" t="s">
        <v>67</v>
      </c>
      <c r="O2158" s="20" t="b">
        <v>0</v>
      </c>
      <c r="P2158" s="20" t="s">
        <v>151</v>
      </c>
      <c r="Q2158" s="20" t="s">
        <v>69</v>
      </c>
      <c r="R2158" s="20" t="s">
        <v>3774</v>
      </c>
      <c r="T2158" s="20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</row>
    <row r="2159">
      <c r="A2159" s="15" t="s">
        <v>8642</v>
      </c>
      <c r="B2159" s="19" t="s">
        <v>4655</v>
      </c>
      <c r="C2159" s="20">
        <v>49859.0</v>
      </c>
      <c r="D2159" s="20" t="s">
        <v>4654</v>
      </c>
      <c r="E2159" s="20">
        <v>9.18760031202E11</v>
      </c>
      <c r="F2159" s="21">
        <v>18600.0</v>
      </c>
      <c r="G2159" s="20"/>
      <c r="H2159" s="20" t="s">
        <v>1133</v>
      </c>
      <c r="I2159" s="20"/>
      <c r="J2159" s="20">
        <v>1.0</v>
      </c>
      <c r="K2159" s="20">
        <v>99.0</v>
      </c>
      <c r="L2159" s="20"/>
      <c r="M2159" s="20">
        <v>99.0</v>
      </c>
      <c r="N2159" s="5" t="s">
        <v>67</v>
      </c>
      <c r="O2159" s="20" t="b">
        <v>0</v>
      </c>
      <c r="P2159" s="20" t="s">
        <v>68</v>
      </c>
      <c r="Q2159" s="20" t="s">
        <v>69</v>
      </c>
      <c r="R2159" s="20" t="s">
        <v>4620</v>
      </c>
      <c r="T2159" s="20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</row>
    <row r="2160">
      <c r="A2160" s="15" t="s">
        <v>8816</v>
      </c>
      <c r="B2160" s="19" t="s">
        <v>2833</v>
      </c>
      <c r="C2160" s="20">
        <v>50029.0</v>
      </c>
      <c r="D2160" s="20" t="s">
        <v>2832</v>
      </c>
      <c r="E2160" s="20">
        <v>9.19176685727E11</v>
      </c>
      <c r="F2160" s="21">
        <v>18689.0</v>
      </c>
      <c r="G2160" s="20"/>
      <c r="H2160" s="20" t="s">
        <v>2761</v>
      </c>
      <c r="I2160" s="20"/>
      <c r="J2160" s="20">
        <v>1.0</v>
      </c>
      <c r="K2160" s="20">
        <v>99.0</v>
      </c>
      <c r="L2160" s="20"/>
      <c r="M2160" s="20">
        <v>99.0</v>
      </c>
      <c r="N2160" s="5" t="s">
        <v>67</v>
      </c>
      <c r="O2160" s="20" t="b">
        <v>0</v>
      </c>
      <c r="P2160" s="20" t="s">
        <v>68</v>
      </c>
      <c r="Q2160" s="20" t="s">
        <v>69</v>
      </c>
      <c r="R2160" s="20" t="s">
        <v>2763</v>
      </c>
      <c r="T2160" s="20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</row>
    <row r="2161">
      <c r="A2161" s="15" t="s">
        <v>8817</v>
      </c>
      <c r="B2161" s="19" t="s">
        <v>3233</v>
      </c>
      <c r="C2161" s="20">
        <v>50047.0</v>
      </c>
      <c r="D2161" s="20" t="s">
        <v>3232</v>
      </c>
      <c r="E2161" s="20">
        <v>9.17842233099E11</v>
      </c>
      <c r="F2161" s="21">
        <v>18688.0</v>
      </c>
      <c r="G2161" s="20"/>
      <c r="H2161" s="20" t="s">
        <v>3195</v>
      </c>
      <c r="I2161" s="20"/>
      <c r="J2161" s="20">
        <v>3.0</v>
      </c>
      <c r="K2161" s="20">
        <v>199.0</v>
      </c>
      <c r="L2161" s="20"/>
      <c r="M2161" s="20">
        <v>199.0</v>
      </c>
      <c r="N2161" s="5" t="s">
        <v>67</v>
      </c>
      <c r="O2161" s="20" t="b">
        <v>0</v>
      </c>
      <c r="P2161" s="20" t="s">
        <v>151</v>
      </c>
      <c r="Q2161" s="20" t="s">
        <v>69</v>
      </c>
      <c r="R2161" s="20" t="s">
        <v>3197</v>
      </c>
      <c r="T2161" s="20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</row>
    <row r="2162">
      <c r="A2162" s="15" t="s">
        <v>8644</v>
      </c>
      <c r="B2162" s="19" t="s">
        <v>2823</v>
      </c>
      <c r="C2162" s="20">
        <v>50029.0</v>
      </c>
      <c r="D2162" s="20" t="s">
        <v>2822</v>
      </c>
      <c r="E2162" s="20">
        <v>9.19163408023E11</v>
      </c>
      <c r="F2162" s="21">
        <v>18601.0</v>
      </c>
      <c r="G2162" s="20"/>
      <c r="H2162" s="20" t="s">
        <v>2761</v>
      </c>
      <c r="I2162" s="20"/>
      <c r="J2162" s="20">
        <v>1.0</v>
      </c>
      <c r="K2162" s="20">
        <v>99.0</v>
      </c>
      <c r="L2162" s="20"/>
      <c r="M2162" s="20">
        <v>99.0</v>
      </c>
      <c r="N2162" s="5" t="s">
        <v>67</v>
      </c>
      <c r="O2162" s="20" t="b">
        <v>0</v>
      </c>
      <c r="P2162" s="20" t="s">
        <v>68</v>
      </c>
      <c r="Q2162" s="20" t="s">
        <v>69</v>
      </c>
      <c r="R2162" s="20" t="s">
        <v>2763</v>
      </c>
      <c r="T2162" s="20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</row>
    <row r="2163">
      <c r="A2163" s="15" t="s">
        <v>8818</v>
      </c>
      <c r="B2163" s="19" t="s">
        <v>3233</v>
      </c>
      <c r="C2163" s="20">
        <v>50094.0</v>
      </c>
      <c r="D2163" s="20" t="s">
        <v>4976</v>
      </c>
      <c r="E2163" s="20">
        <v>9.17877699937E11</v>
      </c>
      <c r="F2163" s="21">
        <v>18691.0</v>
      </c>
      <c r="G2163" s="20"/>
      <c r="H2163" s="20" t="s">
        <v>4942</v>
      </c>
      <c r="I2163" s="20"/>
      <c r="J2163" s="20">
        <v>1.0</v>
      </c>
      <c r="K2163" s="20">
        <v>199.0</v>
      </c>
      <c r="L2163" s="20"/>
      <c r="M2163" s="20">
        <v>199.0</v>
      </c>
      <c r="N2163" s="5" t="s">
        <v>67</v>
      </c>
      <c r="O2163" s="20" t="b">
        <v>0</v>
      </c>
      <c r="P2163" s="20" t="s">
        <v>68</v>
      </c>
      <c r="Q2163" s="20" t="s">
        <v>69</v>
      </c>
      <c r="R2163" s="20" t="s">
        <v>4945</v>
      </c>
      <c r="T2163" s="20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</row>
    <row r="2164">
      <c r="A2164" s="15" t="s">
        <v>8647</v>
      </c>
      <c r="B2164" s="19" t="s">
        <v>3100</v>
      </c>
      <c r="C2164" s="20">
        <v>49991.0</v>
      </c>
      <c r="D2164" s="20" t="s">
        <v>3099</v>
      </c>
      <c r="E2164" s="20">
        <v>9.16204516196E11</v>
      </c>
      <c r="F2164" s="21">
        <v>13315.0</v>
      </c>
      <c r="G2164" s="20"/>
      <c r="H2164" s="20" t="s">
        <v>3055</v>
      </c>
      <c r="I2164" s="20"/>
      <c r="J2164" s="20">
        <v>3.0</v>
      </c>
      <c r="K2164" s="20">
        <v>199.0</v>
      </c>
      <c r="L2164" s="20"/>
      <c r="M2164" s="20">
        <v>199.0</v>
      </c>
      <c r="N2164" s="5" t="s">
        <v>67</v>
      </c>
      <c r="O2164" s="20" t="b">
        <v>0</v>
      </c>
      <c r="P2164" s="20" t="s">
        <v>68</v>
      </c>
      <c r="Q2164" s="20" t="s">
        <v>69</v>
      </c>
      <c r="R2164" s="20" t="s">
        <v>3057</v>
      </c>
      <c r="T2164" s="20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</row>
    <row r="2165">
      <c r="A2165" s="15" t="s">
        <v>8641</v>
      </c>
      <c r="B2165" s="19" t="s">
        <v>2821</v>
      </c>
      <c r="C2165" s="20">
        <v>50029.0</v>
      </c>
      <c r="D2165" s="20" t="s">
        <v>2820</v>
      </c>
      <c r="E2165" s="20">
        <v>9.18469545958E11</v>
      </c>
      <c r="F2165" s="21">
        <v>18599.0</v>
      </c>
      <c r="G2165" s="20"/>
      <c r="H2165" s="20" t="s">
        <v>2761</v>
      </c>
      <c r="I2165" s="20"/>
      <c r="J2165" s="20">
        <v>1.0</v>
      </c>
      <c r="K2165" s="20">
        <v>99.0</v>
      </c>
      <c r="L2165" s="20"/>
      <c r="M2165" s="20">
        <v>99.0</v>
      </c>
      <c r="N2165" s="5" t="s">
        <v>67</v>
      </c>
      <c r="O2165" s="20" t="b">
        <v>0</v>
      </c>
      <c r="P2165" s="20" t="s">
        <v>68</v>
      </c>
      <c r="Q2165" s="20" t="s">
        <v>69</v>
      </c>
      <c r="R2165" s="20" t="s">
        <v>2763</v>
      </c>
      <c r="T2165" s="20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</row>
    <row r="2166">
      <c r="A2166" s="15" t="s">
        <v>8815</v>
      </c>
      <c r="B2166" s="19" t="s">
        <v>5238</v>
      </c>
      <c r="C2166" s="20">
        <v>50022.0</v>
      </c>
      <c r="D2166" s="20" t="s">
        <v>5237</v>
      </c>
      <c r="E2166" s="20">
        <v>9.1954015285E11</v>
      </c>
      <c r="F2166" s="21">
        <v>18779.0</v>
      </c>
      <c r="G2166" s="20"/>
      <c r="H2166" s="20" t="s">
        <v>5181</v>
      </c>
      <c r="I2166" s="20"/>
      <c r="J2166" s="20">
        <v>1.0</v>
      </c>
      <c r="K2166" s="20">
        <v>99.0</v>
      </c>
      <c r="L2166" s="20"/>
      <c r="M2166" s="20">
        <v>99.0</v>
      </c>
      <c r="N2166" s="5" t="s">
        <v>67</v>
      </c>
      <c r="O2166" s="20" t="b">
        <v>0</v>
      </c>
      <c r="P2166" s="20" t="s">
        <v>68</v>
      </c>
      <c r="Q2166" s="20" t="s">
        <v>69</v>
      </c>
      <c r="R2166" s="20" t="s">
        <v>5183</v>
      </c>
      <c r="T2166" s="20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</row>
    <row r="2167">
      <c r="A2167" s="15" t="s">
        <v>8822</v>
      </c>
      <c r="B2167" s="19" t="s">
        <v>5240</v>
      </c>
      <c r="C2167" s="20">
        <v>50022.0</v>
      </c>
      <c r="D2167" s="20" t="s">
        <v>5239</v>
      </c>
      <c r="E2167" s="20">
        <v>9.194275294E11</v>
      </c>
      <c r="F2167" s="21">
        <v>18692.0</v>
      </c>
      <c r="G2167" s="20"/>
      <c r="H2167" s="20" t="s">
        <v>5181</v>
      </c>
      <c r="I2167" s="20"/>
      <c r="J2167" s="20">
        <v>1.0</v>
      </c>
      <c r="K2167" s="20">
        <v>99.0</v>
      </c>
      <c r="L2167" s="20"/>
      <c r="M2167" s="20">
        <v>99.0</v>
      </c>
      <c r="N2167" s="5" t="s">
        <v>67</v>
      </c>
      <c r="O2167" s="20" t="b">
        <v>0</v>
      </c>
      <c r="P2167" s="20" t="s">
        <v>68</v>
      </c>
      <c r="Q2167" s="20" t="s">
        <v>69</v>
      </c>
      <c r="R2167" s="20" t="s">
        <v>5183</v>
      </c>
      <c r="T2167" s="20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</row>
    <row r="2168">
      <c r="A2168" s="15" t="s">
        <v>8833</v>
      </c>
      <c r="B2168" s="19" t="s">
        <v>3110</v>
      </c>
      <c r="C2168" s="20">
        <v>49991.0</v>
      </c>
      <c r="D2168" s="20" t="s">
        <v>3109</v>
      </c>
      <c r="E2168" s="20">
        <v>9.17083433883E11</v>
      </c>
      <c r="F2168" s="21">
        <v>18695.0</v>
      </c>
      <c r="G2168" s="20"/>
      <c r="H2168" s="20" t="s">
        <v>3055</v>
      </c>
      <c r="I2168" s="20"/>
      <c r="J2168" s="20">
        <v>1.0</v>
      </c>
      <c r="K2168" s="20">
        <v>99.0</v>
      </c>
      <c r="L2168" s="20"/>
      <c r="M2168" s="20">
        <v>99.0</v>
      </c>
      <c r="N2168" s="5" t="s">
        <v>67</v>
      </c>
      <c r="O2168" s="20" t="b">
        <v>0</v>
      </c>
      <c r="P2168" s="20" t="s">
        <v>68</v>
      </c>
      <c r="Q2168" s="20" t="s">
        <v>69</v>
      </c>
      <c r="R2168" s="20" t="s">
        <v>3057</v>
      </c>
      <c r="T2168" s="20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</row>
    <row r="2169">
      <c r="A2169" s="15" t="s">
        <v>8652</v>
      </c>
      <c r="B2169" s="19" t="s">
        <v>4055</v>
      </c>
      <c r="C2169" s="20">
        <v>49833.0</v>
      </c>
      <c r="D2169" s="20" t="s">
        <v>4054</v>
      </c>
      <c r="E2169" s="20">
        <v>9.18527009579E11</v>
      </c>
      <c r="F2169" s="21">
        <v>18605.0</v>
      </c>
      <c r="G2169" s="20"/>
      <c r="H2169" s="20" t="s">
        <v>4030</v>
      </c>
      <c r="I2169" s="20"/>
      <c r="J2169" s="20">
        <v>1.0</v>
      </c>
      <c r="K2169" s="20">
        <v>99.0</v>
      </c>
      <c r="L2169" s="20"/>
      <c r="M2169" s="20">
        <v>99.0</v>
      </c>
      <c r="N2169" s="5" t="s">
        <v>67</v>
      </c>
      <c r="O2169" s="20" t="b">
        <v>0</v>
      </c>
      <c r="P2169" s="20" t="s">
        <v>74</v>
      </c>
      <c r="Q2169" s="20" t="s">
        <v>69</v>
      </c>
      <c r="R2169" s="20" t="s">
        <v>4033</v>
      </c>
      <c r="T2169" s="20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</row>
    <row r="2170">
      <c r="A2170" s="15" t="s">
        <v>8829</v>
      </c>
      <c r="B2170" s="19" t="s">
        <v>5242</v>
      </c>
      <c r="C2170" s="20">
        <v>50076.0</v>
      </c>
      <c r="D2170" s="20" t="s">
        <v>6068</v>
      </c>
      <c r="E2170" s="20">
        <v>9.19049006233E11</v>
      </c>
      <c r="F2170" s="21">
        <v>18714.0</v>
      </c>
      <c r="G2170" s="20"/>
      <c r="H2170" s="20" t="s">
        <v>5984</v>
      </c>
      <c r="I2170" s="20"/>
      <c r="J2170" s="20">
        <v>1.0</v>
      </c>
      <c r="K2170" s="20">
        <v>99.0</v>
      </c>
      <c r="L2170" s="20"/>
      <c r="M2170" s="20">
        <v>99.0</v>
      </c>
      <c r="N2170" s="5" t="s">
        <v>67</v>
      </c>
      <c r="O2170" s="20" t="b">
        <v>0</v>
      </c>
      <c r="P2170" s="20" t="s">
        <v>68</v>
      </c>
      <c r="Q2170" s="20" t="s">
        <v>69</v>
      </c>
      <c r="R2170" s="20" t="s">
        <v>5987</v>
      </c>
      <c r="T2170" s="20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</row>
    <row r="2171">
      <c r="A2171" s="15" t="s">
        <v>8831</v>
      </c>
      <c r="B2171" s="19" t="s">
        <v>5242</v>
      </c>
      <c r="C2171" s="20">
        <v>50022.0</v>
      </c>
      <c r="D2171" s="20" t="s">
        <v>5241</v>
      </c>
      <c r="E2171" s="20">
        <v>9.18618578954E11</v>
      </c>
      <c r="F2171" s="21">
        <v>18693.0</v>
      </c>
      <c r="G2171" s="20"/>
      <c r="H2171" s="20" t="s">
        <v>5181</v>
      </c>
      <c r="I2171" s="20"/>
      <c r="J2171" s="20">
        <v>1.0</v>
      </c>
      <c r="K2171" s="20">
        <v>99.0</v>
      </c>
      <c r="L2171" s="20"/>
      <c r="M2171" s="20">
        <v>99.0</v>
      </c>
      <c r="N2171" s="5" t="s">
        <v>67</v>
      </c>
      <c r="O2171" s="20" t="b">
        <v>0</v>
      </c>
      <c r="P2171" s="20" t="s">
        <v>68</v>
      </c>
      <c r="Q2171" s="20" t="s">
        <v>69</v>
      </c>
      <c r="R2171" s="20" t="s">
        <v>5183</v>
      </c>
      <c r="T2171" s="20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</row>
    <row r="2172">
      <c r="A2172" s="15" t="s">
        <v>8656</v>
      </c>
      <c r="B2172" s="19" t="s">
        <v>5383</v>
      </c>
      <c r="C2172" s="20">
        <v>49995.0</v>
      </c>
      <c r="D2172" s="20" t="s">
        <v>5382</v>
      </c>
      <c r="E2172" s="20">
        <v>9.19989403E11</v>
      </c>
      <c r="F2172" s="21">
        <v>18603.0</v>
      </c>
      <c r="G2172" s="20"/>
      <c r="H2172" s="20" t="s">
        <v>5321</v>
      </c>
      <c r="I2172" s="20"/>
      <c r="J2172" s="20">
        <v>1.0</v>
      </c>
      <c r="K2172" s="20">
        <v>99.0</v>
      </c>
      <c r="L2172" s="20"/>
      <c r="M2172" s="20">
        <v>99.0</v>
      </c>
      <c r="N2172" s="5" t="s">
        <v>67</v>
      </c>
      <c r="O2172" s="20" t="b">
        <v>0</v>
      </c>
      <c r="P2172" s="20" t="s">
        <v>68</v>
      </c>
      <c r="Q2172" s="20" t="s">
        <v>69</v>
      </c>
      <c r="R2172" s="20" t="s">
        <v>5323</v>
      </c>
      <c r="T2172" s="20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</row>
    <row r="2173">
      <c r="A2173" s="15" t="s">
        <v>8832</v>
      </c>
      <c r="B2173" s="19" t="s">
        <v>4978</v>
      </c>
      <c r="C2173" s="20">
        <v>50094.0</v>
      </c>
      <c r="D2173" s="20" t="s">
        <v>4977</v>
      </c>
      <c r="E2173" s="20">
        <v>9.19309728226E11</v>
      </c>
      <c r="F2173" s="22" t="s">
        <v>12593</v>
      </c>
      <c r="G2173" s="20"/>
      <c r="H2173" s="20" t="s">
        <v>4942</v>
      </c>
      <c r="I2173" s="20"/>
      <c r="J2173" s="20">
        <v>1.0</v>
      </c>
      <c r="K2173" s="20">
        <v>199.0</v>
      </c>
      <c r="L2173" s="20"/>
      <c r="M2173" s="20">
        <v>199.0</v>
      </c>
      <c r="N2173" s="5" t="s">
        <v>67</v>
      </c>
      <c r="O2173" s="20" t="b">
        <v>0</v>
      </c>
      <c r="P2173" s="20" t="s">
        <v>68</v>
      </c>
      <c r="Q2173" s="20" t="s">
        <v>69</v>
      </c>
      <c r="R2173" s="20" t="s">
        <v>4945</v>
      </c>
      <c r="T2173" s="20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</row>
    <row r="2174">
      <c r="A2174" s="15" t="s">
        <v>8657</v>
      </c>
      <c r="B2174" s="19" t="s">
        <v>3223</v>
      </c>
      <c r="C2174" s="20">
        <v>50047.0</v>
      </c>
      <c r="D2174" s="20" t="s">
        <v>3222</v>
      </c>
      <c r="E2174" s="20">
        <v>9.1773898795E11</v>
      </c>
      <c r="F2174" s="21">
        <v>18606.0</v>
      </c>
      <c r="G2174" s="20"/>
      <c r="H2174" s="20" t="s">
        <v>3195</v>
      </c>
      <c r="I2174" s="20"/>
      <c r="J2174" s="20">
        <v>6.0</v>
      </c>
      <c r="K2174" s="20">
        <v>299.0</v>
      </c>
      <c r="L2174" s="20"/>
      <c r="M2174" s="20">
        <v>299.0</v>
      </c>
      <c r="N2174" s="5" t="s">
        <v>67</v>
      </c>
      <c r="O2174" s="20" t="b">
        <v>0</v>
      </c>
      <c r="P2174" s="20" t="s">
        <v>68</v>
      </c>
      <c r="Q2174" s="20" t="s">
        <v>69</v>
      </c>
      <c r="R2174" s="20" t="s">
        <v>3197</v>
      </c>
      <c r="T2174" s="20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</row>
    <row r="2175">
      <c r="A2175" s="15" t="s">
        <v>8848</v>
      </c>
      <c r="B2175" s="19" t="s">
        <v>4297</v>
      </c>
      <c r="C2175" s="20">
        <v>50079.0</v>
      </c>
      <c r="D2175" s="20" t="s">
        <v>4296</v>
      </c>
      <c r="E2175" s="20">
        <v>9.19411463675E11</v>
      </c>
      <c r="F2175" s="21">
        <v>18703.0</v>
      </c>
      <c r="G2175" s="20"/>
      <c r="H2175" s="20" t="s">
        <v>4281</v>
      </c>
      <c r="I2175" s="20"/>
      <c r="J2175" s="20">
        <v>1.0</v>
      </c>
      <c r="K2175" s="20">
        <v>99.0</v>
      </c>
      <c r="L2175" s="20"/>
      <c r="M2175" s="20">
        <v>99.0</v>
      </c>
      <c r="N2175" s="5" t="s">
        <v>67</v>
      </c>
      <c r="O2175" s="20" t="b">
        <v>0</v>
      </c>
      <c r="P2175" s="20" t="s">
        <v>68</v>
      </c>
      <c r="Q2175" s="20" t="s">
        <v>69</v>
      </c>
      <c r="R2175" s="20" t="s">
        <v>4284</v>
      </c>
      <c r="T2175" s="20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</row>
    <row r="2176">
      <c r="A2176" s="15" t="s">
        <v>8840</v>
      </c>
      <c r="B2176" s="19" t="s">
        <v>6539</v>
      </c>
      <c r="C2176" s="20">
        <v>50073.0</v>
      </c>
      <c r="D2176" s="20" t="s">
        <v>2357</v>
      </c>
      <c r="E2176" s="20">
        <v>9.17088871551E11</v>
      </c>
      <c r="F2176" s="21">
        <v>0.0</v>
      </c>
      <c r="G2176" s="20"/>
      <c r="H2176" s="20" t="s">
        <v>6466</v>
      </c>
      <c r="I2176" s="20"/>
      <c r="J2176" s="20">
        <v>1.0</v>
      </c>
      <c r="K2176" s="20">
        <v>599.0</v>
      </c>
      <c r="L2176" s="20"/>
      <c r="M2176" s="20">
        <v>599.0</v>
      </c>
      <c r="N2176" s="5" t="s">
        <v>67</v>
      </c>
      <c r="O2176" s="20" t="b">
        <v>0</v>
      </c>
      <c r="P2176" s="20" t="s">
        <v>74</v>
      </c>
      <c r="Q2176" s="20" t="s">
        <v>69</v>
      </c>
      <c r="R2176" s="20" t="s">
        <v>6497</v>
      </c>
      <c r="T2176" s="20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</row>
    <row r="2177">
      <c r="A2177" s="15" t="s">
        <v>8841</v>
      </c>
      <c r="B2177" s="19" t="s">
        <v>4078</v>
      </c>
      <c r="C2177" s="20">
        <v>49833.0</v>
      </c>
      <c r="D2177" s="20" t="s">
        <v>4077</v>
      </c>
      <c r="E2177" s="20">
        <v>9.1981166709E11</v>
      </c>
      <c r="F2177" s="21">
        <v>18696.0</v>
      </c>
      <c r="G2177" s="20"/>
      <c r="H2177" s="20" t="s">
        <v>4030</v>
      </c>
      <c r="I2177" s="20"/>
      <c r="J2177" s="20">
        <v>1.0</v>
      </c>
      <c r="K2177" s="20">
        <v>99.0</v>
      </c>
      <c r="L2177" s="20"/>
      <c r="M2177" s="20">
        <v>99.0</v>
      </c>
      <c r="N2177" s="5" t="s">
        <v>67</v>
      </c>
      <c r="O2177" s="20" t="b">
        <v>0</v>
      </c>
      <c r="P2177" s="20" t="s">
        <v>68</v>
      </c>
      <c r="Q2177" s="20" t="s">
        <v>69</v>
      </c>
      <c r="R2177" s="20" t="s">
        <v>4033</v>
      </c>
      <c r="T2177" s="20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</row>
    <row r="2178">
      <c r="A2178" s="15" t="s">
        <v>8842</v>
      </c>
      <c r="B2178" s="19" t="s">
        <v>6070</v>
      </c>
      <c r="C2178" s="20">
        <v>50076.0</v>
      </c>
      <c r="D2178" s="20" t="s">
        <v>6069</v>
      </c>
      <c r="E2178" s="20">
        <v>9.19813751391E11</v>
      </c>
      <c r="F2178" s="21">
        <v>18700.0</v>
      </c>
      <c r="G2178" s="20"/>
      <c r="H2178" s="20" t="s">
        <v>5984</v>
      </c>
      <c r="I2178" s="20"/>
      <c r="J2178" s="20">
        <v>1.0</v>
      </c>
      <c r="K2178" s="20">
        <v>99.0</v>
      </c>
      <c r="L2178" s="20"/>
      <c r="M2178" s="20">
        <v>99.0</v>
      </c>
      <c r="N2178" s="5" t="s">
        <v>67</v>
      </c>
      <c r="O2178" s="20" t="b">
        <v>0</v>
      </c>
      <c r="P2178" s="20" t="s">
        <v>68</v>
      </c>
      <c r="Q2178" s="20" t="s">
        <v>69</v>
      </c>
      <c r="R2178" s="20" t="s">
        <v>5987</v>
      </c>
      <c r="T2178" s="20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</row>
    <row r="2179">
      <c r="A2179" s="15" t="s">
        <v>8658</v>
      </c>
      <c r="B2179" s="19" t="s">
        <v>5234</v>
      </c>
      <c r="C2179" s="20">
        <v>50022.0</v>
      </c>
      <c r="D2179" s="20" t="s">
        <v>5233</v>
      </c>
      <c r="E2179" s="20">
        <v>9.19980017939E11</v>
      </c>
      <c r="F2179" s="21">
        <v>18608.0</v>
      </c>
      <c r="G2179" s="20"/>
      <c r="H2179" s="20" t="s">
        <v>5181</v>
      </c>
      <c r="I2179" s="20"/>
      <c r="J2179" s="20">
        <v>3.0</v>
      </c>
      <c r="K2179" s="20">
        <v>199.0</v>
      </c>
      <c r="L2179" s="20"/>
      <c r="M2179" s="20">
        <v>199.0</v>
      </c>
      <c r="N2179" s="5" t="s">
        <v>67</v>
      </c>
      <c r="O2179" s="20" t="b">
        <v>0</v>
      </c>
      <c r="P2179" s="20" t="s">
        <v>68</v>
      </c>
      <c r="Q2179" s="20" t="s">
        <v>69</v>
      </c>
      <c r="R2179" s="20" t="s">
        <v>5183</v>
      </c>
      <c r="T2179" s="20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</row>
    <row r="2180">
      <c r="A2180" s="15" t="s">
        <v>8843</v>
      </c>
      <c r="B2180" s="19" t="s">
        <v>3429</v>
      </c>
      <c r="C2180" s="20">
        <v>50030.0</v>
      </c>
      <c r="D2180" s="20" t="s">
        <v>3428</v>
      </c>
      <c r="E2180" s="20">
        <v>9.17415506133E11</v>
      </c>
      <c r="F2180" s="21">
        <v>18698.0</v>
      </c>
      <c r="G2180" s="20"/>
      <c r="H2180" s="20" t="s">
        <v>3326</v>
      </c>
      <c r="I2180" s="20"/>
      <c r="J2180" s="20">
        <v>6.0</v>
      </c>
      <c r="K2180" s="20">
        <v>349.0</v>
      </c>
      <c r="L2180" s="20"/>
      <c r="M2180" s="20">
        <v>349.0</v>
      </c>
      <c r="N2180" s="5" t="s">
        <v>67</v>
      </c>
      <c r="O2180" s="20" t="b">
        <v>0</v>
      </c>
      <c r="P2180" s="20" t="s">
        <v>68</v>
      </c>
      <c r="Q2180" s="20" t="s">
        <v>69</v>
      </c>
      <c r="R2180" s="20" t="s">
        <v>3328</v>
      </c>
      <c r="T2180" s="20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</row>
    <row r="2181">
      <c r="A2181" s="15" t="s">
        <v>8844</v>
      </c>
      <c r="B2181" s="19" t="s">
        <v>4080</v>
      </c>
      <c r="C2181" s="20">
        <v>49833.0</v>
      </c>
      <c r="D2181" s="20" t="s">
        <v>4079</v>
      </c>
      <c r="E2181" s="20">
        <v>9.19344517411E11</v>
      </c>
      <c r="F2181" s="21">
        <v>10588.0</v>
      </c>
      <c r="G2181" s="20"/>
      <c r="H2181" s="20" t="s">
        <v>4030</v>
      </c>
      <c r="I2181" s="20"/>
      <c r="J2181" s="20">
        <v>1.0</v>
      </c>
      <c r="K2181" s="20">
        <v>99.0</v>
      </c>
      <c r="L2181" s="20"/>
      <c r="M2181" s="20">
        <v>99.0</v>
      </c>
      <c r="N2181" s="5" t="s">
        <v>67</v>
      </c>
      <c r="O2181" s="20" t="b">
        <v>0</v>
      </c>
      <c r="P2181" s="20" t="s">
        <v>68</v>
      </c>
      <c r="Q2181" s="20" t="s">
        <v>69</v>
      </c>
      <c r="R2181" s="20" t="s">
        <v>4033</v>
      </c>
      <c r="T2181" s="20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</row>
    <row r="2182">
      <c r="A2182" s="15" t="s">
        <v>8660</v>
      </c>
      <c r="B2182" s="19" t="s">
        <v>5385</v>
      </c>
      <c r="C2182" s="20">
        <v>49995.0</v>
      </c>
      <c r="D2182" s="20" t="s">
        <v>5384</v>
      </c>
      <c r="E2182" s="20">
        <v>9.18131060633E11</v>
      </c>
      <c r="F2182" s="21">
        <v>18609.0</v>
      </c>
      <c r="G2182" s="20"/>
      <c r="H2182" s="20" t="s">
        <v>5321</v>
      </c>
      <c r="I2182" s="20"/>
      <c r="J2182" s="20">
        <v>1.0</v>
      </c>
      <c r="K2182" s="20">
        <v>99.0</v>
      </c>
      <c r="L2182" s="20"/>
      <c r="M2182" s="20">
        <v>99.0</v>
      </c>
      <c r="N2182" s="5" t="s">
        <v>67</v>
      </c>
      <c r="O2182" s="20" t="b">
        <v>0</v>
      </c>
      <c r="P2182" s="20" t="s">
        <v>68</v>
      </c>
      <c r="Q2182" s="20" t="s">
        <v>69</v>
      </c>
      <c r="R2182" s="20" t="s">
        <v>5323</v>
      </c>
      <c r="T2182" s="20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</row>
    <row r="2183">
      <c r="A2183" s="15" t="s">
        <v>8659</v>
      </c>
      <c r="B2183" s="19" t="s">
        <v>6282</v>
      </c>
      <c r="C2183" s="20">
        <v>49998.0</v>
      </c>
      <c r="D2183" s="20" t="s">
        <v>6281</v>
      </c>
      <c r="E2183" s="20">
        <v>9.19626507533E11</v>
      </c>
      <c r="F2183" s="21">
        <v>18610.0</v>
      </c>
      <c r="G2183" s="20"/>
      <c r="H2183" s="20" t="s">
        <v>6250</v>
      </c>
      <c r="I2183" s="20"/>
      <c r="J2183" s="20">
        <v>1.0</v>
      </c>
      <c r="K2183" s="20">
        <v>99.0</v>
      </c>
      <c r="L2183" s="20"/>
      <c r="M2183" s="20">
        <v>99.0</v>
      </c>
      <c r="N2183" s="5" t="s">
        <v>67</v>
      </c>
      <c r="O2183" s="20" t="b">
        <v>0</v>
      </c>
      <c r="P2183" s="20" t="s">
        <v>68</v>
      </c>
      <c r="Q2183" s="20" t="s">
        <v>69</v>
      </c>
      <c r="R2183" s="20" t="s">
        <v>6252</v>
      </c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</row>
    <row r="2184">
      <c r="A2184" s="15" t="s">
        <v>8845</v>
      </c>
      <c r="B2184" s="19" t="s">
        <v>4981</v>
      </c>
      <c r="C2184" s="20">
        <v>50094.0</v>
      </c>
      <c r="D2184" s="20" t="s">
        <v>4980</v>
      </c>
      <c r="E2184" s="20">
        <v>9.19072826014E11</v>
      </c>
      <c r="F2184" s="21">
        <v>18699.0</v>
      </c>
      <c r="G2184" s="20"/>
      <c r="H2184" s="20" t="s">
        <v>4942</v>
      </c>
      <c r="I2184" s="20"/>
      <c r="J2184" s="20">
        <v>3.0</v>
      </c>
      <c r="K2184" s="20">
        <v>399.0</v>
      </c>
      <c r="L2184" s="20"/>
      <c r="M2184" s="20">
        <v>399.0</v>
      </c>
      <c r="N2184" s="5" t="s">
        <v>67</v>
      </c>
      <c r="O2184" s="20" t="b">
        <v>0</v>
      </c>
      <c r="P2184" s="20" t="s">
        <v>68</v>
      </c>
      <c r="Q2184" s="20" t="s">
        <v>69</v>
      </c>
      <c r="R2184" s="20" t="s">
        <v>4945</v>
      </c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</row>
    <row r="2185">
      <c r="A2185" s="15" t="s">
        <v>8854</v>
      </c>
      <c r="B2185" s="19" t="s">
        <v>6072</v>
      </c>
      <c r="C2185" s="20">
        <v>50076.0</v>
      </c>
      <c r="D2185" s="20" t="s">
        <v>6071</v>
      </c>
      <c r="E2185" s="20">
        <v>9.18794064972E11</v>
      </c>
      <c r="F2185" s="21">
        <v>18917.0</v>
      </c>
      <c r="G2185" s="20"/>
      <c r="H2185" s="20" t="s">
        <v>5984</v>
      </c>
      <c r="I2185" s="20"/>
      <c r="J2185" s="20">
        <v>1.0</v>
      </c>
      <c r="K2185" s="20">
        <v>99.0</v>
      </c>
      <c r="L2185" s="20"/>
      <c r="M2185" s="20">
        <v>99.0</v>
      </c>
      <c r="N2185" s="5" t="s">
        <v>67</v>
      </c>
      <c r="O2185" s="20" t="b">
        <v>0</v>
      </c>
      <c r="P2185" s="20" t="s">
        <v>68</v>
      </c>
      <c r="Q2185" s="20" t="s">
        <v>69</v>
      </c>
      <c r="R2185" s="20" t="s">
        <v>5987</v>
      </c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</row>
    <row r="2186">
      <c r="A2186" s="15" t="s">
        <v>8663</v>
      </c>
      <c r="B2186" s="19" t="s">
        <v>3225</v>
      </c>
      <c r="C2186" s="20">
        <v>50047.0</v>
      </c>
      <c r="D2186" s="20" t="s">
        <v>3224</v>
      </c>
      <c r="E2186" s="20">
        <v>9.19972504265E11</v>
      </c>
      <c r="F2186" s="21">
        <v>18613.0</v>
      </c>
      <c r="G2186" s="20"/>
      <c r="H2186" s="20" t="s">
        <v>3195</v>
      </c>
      <c r="I2186" s="20"/>
      <c r="J2186" s="20">
        <v>6.0</v>
      </c>
      <c r="K2186" s="20">
        <v>299.0</v>
      </c>
      <c r="L2186" s="20"/>
      <c r="M2186" s="20">
        <v>299.0</v>
      </c>
      <c r="N2186" s="5" t="s">
        <v>67</v>
      </c>
      <c r="O2186" s="20" t="b">
        <v>0</v>
      </c>
      <c r="P2186" s="20" t="s">
        <v>68</v>
      </c>
      <c r="Q2186" s="20" t="s">
        <v>69</v>
      </c>
      <c r="R2186" s="20" t="s">
        <v>3197</v>
      </c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</row>
    <row r="2187">
      <c r="A2187" s="15" t="s">
        <v>8665</v>
      </c>
      <c r="B2187" s="19" t="s">
        <v>4901</v>
      </c>
      <c r="C2187" s="20">
        <v>49951.0</v>
      </c>
      <c r="D2187" s="20" t="s">
        <v>4900</v>
      </c>
      <c r="E2187" s="20">
        <v>9.19538232106E11</v>
      </c>
      <c r="F2187" s="21">
        <v>18611.0</v>
      </c>
      <c r="G2187" s="20"/>
      <c r="H2187" s="20" t="s">
        <v>4887</v>
      </c>
      <c r="I2187" s="20"/>
      <c r="J2187" s="20">
        <v>3.0</v>
      </c>
      <c r="K2187" s="20">
        <v>199.0</v>
      </c>
      <c r="L2187" s="20"/>
      <c r="M2187" s="20">
        <v>199.0</v>
      </c>
      <c r="N2187" s="5" t="s">
        <v>67</v>
      </c>
      <c r="O2187" s="20" t="b">
        <v>0</v>
      </c>
      <c r="P2187" s="20" t="s">
        <v>68</v>
      </c>
      <c r="Q2187" s="20" t="s">
        <v>69</v>
      </c>
      <c r="R2187" s="20" t="s">
        <v>4889</v>
      </c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</row>
    <row r="2188">
      <c r="A2188" s="15" t="s">
        <v>8856</v>
      </c>
      <c r="B2188" s="19" t="s">
        <v>4989</v>
      </c>
      <c r="C2188" s="20">
        <v>50094.0</v>
      </c>
      <c r="D2188" s="20" t="s">
        <v>4988</v>
      </c>
      <c r="E2188" s="20">
        <v>9.19654420504E11</v>
      </c>
      <c r="F2188" s="21">
        <v>18773.0</v>
      </c>
      <c r="G2188" s="20"/>
      <c r="H2188" s="20" t="s">
        <v>4942</v>
      </c>
      <c r="I2188" s="20"/>
      <c r="J2188" s="20">
        <v>1.0</v>
      </c>
      <c r="K2188" s="20">
        <v>199.0</v>
      </c>
      <c r="L2188" s="20"/>
      <c r="M2188" s="20">
        <v>199.0</v>
      </c>
      <c r="N2188" s="5" t="s">
        <v>67</v>
      </c>
      <c r="O2188" s="20" t="b">
        <v>0</v>
      </c>
      <c r="P2188" s="20" t="s">
        <v>74</v>
      </c>
      <c r="Q2188" s="20" t="s">
        <v>69</v>
      </c>
      <c r="R2188" s="20" t="s">
        <v>4945</v>
      </c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</row>
    <row r="2189">
      <c r="A2189" s="15" t="s">
        <v>8666</v>
      </c>
      <c r="B2189" s="19" t="s">
        <v>6032</v>
      </c>
      <c r="C2189" s="20">
        <v>50076.0</v>
      </c>
      <c r="D2189" s="20" t="s">
        <v>6031</v>
      </c>
      <c r="E2189" s="20">
        <v>9.17731886811E11</v>
      </c>
      <c r="F2189" s="21">
        <v>18612.0</v>
      </c>
      <c r="G2189" s="20"/>
      <c r="H2189" s="20" t="s">
        <v>5984</v>
      </c>
      <c r="I2189" s="20"/>
      <c r="J2189" s="20">
        <v>1.0</v>
      </c>
      <c r="K2189" s="20">
        <v>99.0</v>
      </c>
      <c r="L2189" s="20"/>
      <c r="M2189" s="20">
        <v>99.0</v>
      </c>
      <c r="N2189" s="5" t="s">
        <v>67</v>
      </c>
      <c r="O2189" s="20" t="b">
        <v>0</v>
      </c>
      <c r="P2189" s="20" t="s">
        <v>68</v>
      </c>
      <c r="Q2189" s="20" t="s">
        <v>69</v>
      </c>
      <c r="R2189" s="20" t="s">
        <v>5987</v>
      </c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</row>
    <row r="2190">
      <c r="A2190" s="15" t="s">
        <v>8857</v>
      </c>
      <c r="B2190" s="19" t="s">
        <v>6076</v>
      </c>
      <c r="C2190" s="20">
        <v>50076.0</v>
      </c>
      <c r="D2190" s="20" t="s">
        <v>6075</v>
      </c>
      <c r="E2190" s="20">
        <v>9.19100273646E11</v>
      </c>
      <c r="F2190" s="21">
        <v>18705.0</v>
      </c>
      <c r="G2190" s="20"/>
      <c r="H2190" s="20" t="s">
        <v>5984</v>
      </c>
      <c r="I2190" s="20"/>
      <c r="J2190" s="20">
        <v>1.0</v>
      </c>
      <c r="K2190" s="20">
        <v>99.0</v>
      </c>
      <c r="L2190" s="20"/>
      <c r="M2190" s="20">
        <v>99.0</v>
      </c>
      <c r="N2190" s="5" t="s">
        <v>67</v>
      </c>
      <c r="O2190" s="20" t="b">
        <v>0</v>
      </c>
      <c r="P2190" s="20" t="s">
        <v>68</v>
      </c>
      <c r="Q2190" s="20" t="s">
        <v>69</v>
      </c>
      <c r="R2190" s="20" t="s">
        <v>5987</v>
      </c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</row>
    <row r="2191">
      <c r="A2191" s="15" t="s">
        <v>8667</v>
      </c>
      <c r="B2191" s="19" t="s">
        <v>4057</v>
      </c>
      <c r="C2191" s="20">
        <v>49833.0</v>
      </c>
      <c r="D2191" s="20" t="s">
        <v>4056</v>
      </c>
      <c r="E2191" s="20">
        <v>9.18803010369E11</v>
      </c>
      <c r="F2191" s="21">
        <v>8988.0</v>
      </c>
      <c r="G2191" s="20"/>
      <c r="H2191" s="20" t="s">
        <v>4030</v>
      </c>
      <c r="I2191" s="20"/>
      <c r="J2191" s="20">
        <v>1.0</v>
      </c>
      <c r="K2191" s="20">
        <v>99.0</v>
      </c>
      <c r="L2191" s="20"/>
      <c r="M2191" s="20">
        <v>99.0</v>
      </c>
      <c r="N2191" s="5" t="s">
        <v>67</v>
      </c>
      <c r="O2191" s="20" t="b">
        <v>0</v>
      </c>
      <c r="P2191" s="20" t="s">
        <v>68</v>
      </c>
      <c r="Q2191" s="20" t="s">
        <v>69</v>
      </c>
      <c r="R2191" s="20" t="s">
        <v>4033</v>
      </c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</row>
    <row r="2192">
      <c r="A2192" s="15" t="s">
        <v>8860</v>
      </c>
      <c r="B2192" s="19" t="s">
        <v>4366</v>
      </c>
      <c r="C2192" s="20">
        <v>50039.0</v>
      </c>
      <c r="D2192" s="20" t="s">
        <v>4365</v>
      </c>
      <c r="E2192" s="20">
        <v>9.19030513605E11</v>
      </c>
      <c r="F2192" s="21">
        <v>18704.0</v>
      </c>
      <c r="G2192" s="20"/>
      <c r="H2192" s="20" t="s">
        <v>4341</v>
      </c>
      <c r="I2192" s="20"/>
      <c r="J2192" s="20">
        <v>3.0</v>
      </c>
      <c r="K2192" s="20">
        <v>199.0</v>
      </c>
      <c r="L2192" s="20"/>
      <c r="M2192" s="20">
        <v>199.0</v>
      </c>
      <c r="N2192" s="5" t="s">
        <v>67</v>
      </c>
      <c r="O2192" s="20" t="b">
        <v>0</v>
      </c>
      <c r="P2192" s="20" t="s">
        <v>68</v>
      </c>
      <c r="Q2192" s="20" t="s">
        <v>69</v>
      </c>
      <c r="R2192" s="20" t="s">
        <v>4343</v>
      </c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</row>
    <row r="2193">
      <c r="A2193" s="15" t="s">
        <v>8671</v>
      </c>
      <c r="B2193" s="19" t="s">
        <v>3102</v>
      </c>
      <c r="C2193" s="20">
        <v>49991.0</v>
      </c>
      <c r="D2193" s="20" t="s">
        <v>3101</v>
      </c>
      <c r="E2193" s="20">
        <v>9.19498031217E11</v>
      </c>
      <c r="F2193" s="21">
        <v>18616.0</v>
      </c>
      <c r="G2193" s="20"/>
      <c r="H2193" s="20" t="s">
        <v>3055</v>
      </c>
      <c r="I2193" s="20"/>
      <c r="J2193" s="20">
        <v>3.0</v>
      </c>
      <c r="K2193" s="20">
        <v>199.0</v>
      </c>
      <c r="L2193" s="20"/>
      <c r="M2193" s="20">
        <v>199.0</v>
      </c>
      <c r="N2193" s="5" t="s">
        <v>67</v>
      </c>
      <c r="O2193" s="20" t="b">
        <v>0</v>
      </c>
      <c r="P2193" s="20" t="s">
        <v>68</v>
      </c>
      <c r="Q2193" s="20" t="s">
        <v>69</v>
      </c>
      <c r="R2193" s="20" t="s">
        <v>3057</v>
      </c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</row>
    <row r="2194">
      <c r="A2194" s="15" t="s">
        <v>8867</v>
      </c>
      <c r="B2194" s="19" t="s">
        <v>2835</v>
      </c>
      <c r="C2194" s="20">
        <v>50029.0</v>
      </c>
      <c r="D2194" s="20" t="s">
        <v>2834</v>
      </c>
      <c r="E2194" s="20">
        <v>9.19980549117E11</v>
      </c>
      <c r="F2194" s="21">
        <v>0.0</v>
      </c>
      <c r="G2194" s="20"/>
      <c r="H2194" s="20" t="s">
        <v>2761</v>
      </c>
      <c r="I2194" s="20"/>
      <c r="J2194" s="20">
        <v>1.0</v>
      </c>
      <c r="K2194" s="20">
        <v>99.0</v>
      </c>
      <c r="L2194" s="20"/>
      <c r="M2194" s="20">
        <v>99.0</v>
      </c>
      <c r="N2194" s="5" t="s">
        <v>67</v>
      </c>
      <c r="O2194" s="20" t="b">
        <v>0</v>
      </c>
      <c r="P2194" s="20" t="s">
        <v>74</v>
      </c>
      <c r="Q2194" s="20" t="s">
        <v>69</v>
      </c>
      <c r="R2194" s="20" t="s">
        <v>2763</v>
      </c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</row>
    <row r="2195">
      <c r="A2195" s="15" t="s">
        <v>8668</v>
      </c>
      <c r="B2195" s="19" t="s">
        <v>6622</v>
      </c>
      <c r="C2195" s="20">
        <v>49994.0</v>
      </c>
      <c r="D2195" s="20" t="s">
        <v>6621</v>
      </c>
      <c r="E2195" s="20">
        <v>9.19049680756E11</v>
      </c>
      <c r="F2195" s="21">
        <v>18615.0</v>
      </c>
      <c r="G2195" s="20"/>
      <c r="H2195" s="20" t="s">
        <v>1264</v>
      </c>
      <c r="I2195" s="20"/>
      <c r="J2195" s="20">
        <v>1.0</v>
      </c>
      <c r="K2195" s="20">
        <v>99.0</v>
      </c>
      <c r="L2195" s="20"/>
      <c r="M2195" s="20">
        <v>99.0</v>
      </c>
      <c r="N2195" s="5" t="s">
        <v>67</v>
      </c>
      <c r="O2195" s="20" t="b">
        <v>0</v>
      </c>
      <c r="P2195" s="20" t="s">
        <v>74</v>
      </c>
      <c r="Q2195" s="20" t="s">
        <v>69</v>
      </c>
      <c r="R2195" s="20" t="s">
        <v>6615</v>
      </c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</row>
    <row r="2196">
      <c r="A2196" s="15" t="s">
        <v>8868</v>
      </c>
      <c r="B2196" s="19" t="s">
        <v>3235</v>
      </c>
      <c r="C2196" s="20">
        <v>50047.0</v>
      </c>
      <c r="D2196" s="20" t="s">
        <v>3234</v>
      </c>
      <c r="E2196" s="20">
        <v>9.17506464369E11</v>
      </c>
      <c r="F2196" s="21">
        <v>18719.0</v>
      </c>
      <c r="G2196" s="20"/>
      <c r="H2196" s="20" t="s">
        <v>3195</v>
      </c>
      <c r="I2196" s="20"/>
      <c r="J2196" s="20">
        <v>3.0</v>
      </c>
      <c r="K2196" s="20">
        <v>199.0</v>
      </c>
      <c r="L2196" s="20"/>
      <c r="M2196" s="20">
        <v>199.0</v>
      </c>
      <c r="N2196" s="5" t="s">
        <v>67</v>
      </c>
      <c r="O2196" s="20" t="b">
        <v>0</v>
      </c>
      <c r="P2196" s="20" t="s">
        <v>68</v>
      </c>
      <c r="Q2196" s="20" t="s">
        <v>69</v>
      </c>
      <c r="R2196" s="20" t="s">
        <v>3197</v>
      </c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</row>
    <row r="2197">
      <c r="A2197" s="15" t="s">
        <v>8865</v>
      </c>
      <c r="B2197" s="19" t="s">
        <v>5244</v>
      </c>
      <c r="C2197" s="20">
        <v>50022.0</v>
      </c>
      <c r="D2197" s="20" t="s">
        <v>5243</v>
      </c>
      <c r="E2197" s="20">
        <v>9.19487905625E11</v>
      </c>
      <c r="F2197" s="21">
        <v>18708.0</v>
      </c>
      <c r="G2197" s="20"/>
      <c r="H2197" s="20" t="s">
        <v>5181</v>
      </c>
      <c r="I2197" s="20"/>
      <c r="J2197" s="20">
        <v>1.0</v>
      </c>
      <c r="K2197" s="20">
        <v>99.0</v>
      </c>
      <c r="L2197" s="20"/>
      <c r="M2197" s="20">
        <v>99.0</v>
      </c>
      <c r="N2197" s="5" t="s">
        <v>67</v>
      </c>
      <c r="O2197" s="20" t="b">
        <v>0</v>
      </c>
      <c r="P2197" s="20" t="s">
        <v>68</v>
      </c>
      <c r="Q2197" s="20" t="s">
        <v>69</v>
      </c>
      <c r="R2197" s="20" t="s">
        <v>5183</v>
      </c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</row>
    <row r="2198">
      <c r="A2198" s="15" t="s">
        <v>8866</v>
      </c>
      <c r="B2198" s="19" t="s">
        <v>4299</v>
      </c>
      <c r="C2198" s="20">
        <v>50079.0</v>
      </c>
      <c r="D2198" s="20" t="s">
        <v>4298</v>
      </c>
      <c r="E2198" s="20">
        <v>9.17799082763E11</v>
      </c>
      <c r="F2198" s="21">
        <v>18710.0</v>
      </c>
      <c r="G2198" s="20"/>
      <c r="H2198" s="20" t="s">
        <v>4281</v>
      </c>
      <c r="I2198" s="20"/>
      <c r="J2198" s="20">
        <v>1.0</v>
      </c>
      <c r="K2198" s="20">
        <v>199.0</v>
      </c>
      <c r="L2198" s="20"/>
      <c r="M2198" s="20">
        <v>199.0</v>
      </c>
      <c r="N2198" s="5" t="s">
        <v>67</v>
      </c>
      <c r="O2198" s="20" t="b">
        <v>0</v>
      </c>
      <c r="P2198" s="20" t="s">
        <v>74</v>
      </c>
      <c r="Q2198" s="20" t="s">
        <v>69</v>
      </c>
      <c r="R2198" s="20" t="s">
        <v>4284</v>
      </c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</row>
    <row r="2199">
      <c r="A2199" s="15" t="s">
        <v>8877</v>
      </c>
      <c r="B2199" s="19" t="s">
        <v>6079</v>
      </c>
      <c r="C2199" s="20">
        <v>50076.0</v>
      </c>
      <c r="D2199" s="20" t="s">
        <v>6078</v>
      </c>
      <c r="E2199" s="20">
        <v>9.19340582989E11</v>
      </c>
      <c r="F2199" s="21">
        <v>18712.0</v>
      </c>
      <c r="G2199" s="20"/>
      <c r="H2199" s="20" t="s">
        <v>5984</v>
      </c>
      <c r="I2199" s="20"/>
      <c r="J2199" s="20">
        <v>1.0</v>
      </c>
      <c r="K2199" s="20">
        <v>99.0</v>
      </c>
      <c r="L2199" s="20"/>
      <c r="M2199" s="20">
        <v>99.0</v>
      </c>
      <c r="N2199" s="5" t="s">
        <v>67</v>
      </c>
      <c r="O2199" s="20" t="b">
        <v>0</v>
      </c>
      <c r="P2199" s="20" t="s">
        <v>151</v>
      </c>
      <c r="Q2199" s="20" t="s">
        <v>69</v>
      </c>
      <c r="R2199" s="20" t="s">
        <v>5987</v>
      </c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</row>
    <row r="2200">
      <c r="A2200" s="15" t="s">
        <v>8878</v>
      </c>
      <c r="B2200" s="19" t="s">
        <v>3431</v>
      </c>
      <c r="C2200" s="20">
        <v>50030.0</v>
      </c>
      <c r="D2200" s="20" t="s">
        <v>3430</v>
      </c>
      <c r="E2200" s="20">
        <v>9.18826229592E11</v>
      </c>
      <c r="F2200" s="21">
        <v>18711.0</v>
      </c>
      <c r="G2200" s="20"/>
      <c r="H2200" s="20" t="s">
        <v>3326</v>
      </c>
      <c r="I2200" s="20"/>
      <c r="J2200" s="20">
        <v>1.0</v>
      </c>
      <c r="K2200" s="20">
        <v>99.0</v>
      </c>
      <c r="L2200" s="20"/>
      <c r="M2200" s="20">
        <v>99.0</v>
      </c>
      <c r="N2200" s="5" t="s">
        <v>67</v>
      </c>
      <c r="O2200" s="20" t="b">
        <v>0</v>
      </c>
      <c r="P2200" s="20" t="s">
        <v>68</v>
      </c>
      <c r="Q2200" s="20" t="s">
        <v>69</v>
      </c>
      <c r="R2200" s="20" t="s">
        <v>3328</v>
      </c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</row>
    <row r="2201">
      <c r="A2201" s="15" t="s">
        <v>8889</v>
      </c>
      <c r="B2201" s="19" t="s">
        <v>3784</v>
      </c>
      <c r="C2201" s="20">
        <v>49907.0</v>
      </c>
      <c r="D2201" s="20" t="s">
        <v>662</v>
      </c>
      <c r="E2201" s="20">
        <v>9.19014649905E11</v>
      </c>
      <c r="F2201" s="21">
        <v>17020.0</v>
      </c>
      <c r="G2201" s="20"/>
      <c r="H2201" s="20" t="s">
        <v>587</v>
      </c>
      <c r="I2201" s="20"/>
      <c r="J2201" s="20">
        <v>6.0</v>
      </c>
      <c r="K2201" s="20">
        <v>349.0</v>
      </c>
      <c r="L2201" s="20"/>
      <c r="M2201" s="20">
        <v>349.0</v>
      </c>
      <c r="N2201" s="5" t="s">
        <v>67</v>
      </c>
      <c r="O2201" s="20" t="b">
        <v>0</v>
      </c>
      <c r="P2201" s="20" t="s">
        <v>68</v>
      </c>
      <c r="Q2201" s="20" t="s">
        <v>69</v>
      </c>
      <c r="R2201" s="20" t="s">
        <v>3774</v>
      </c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</row>
    <row r="2202">
      <c r="A2202" s="15" t="s">
        <v>8674</v>
      </c>
      <c r="B2202" s="19" t="s">
        <v>4615</v>
      </c>
      <c r="C2202" s="20">
        <v>50031.0</v>
      </c>
      <c r="D2202" s="20" t="s">
        <v>4614</v>
      </c>
      <c r="E2202" s="20">
        <v>9.19926394648E11</v>
      </c>
      <c r="F2202" s="21">
        <v>18622.0</v>
      </c>
      <c r="G2202" s="20"/>
      <c r="H2202" s="20" t="s">
        <v>4561</v>
      </c>
      <c r="I2202" s="20"/>
      <c r="J2202" s="20">
        <v>1.0</v>
      </c>
      <c r="K2202" s="20">
        <v>99.0</v>
      </c>
      <c r="L2202" s="20"/>
      <c r="M2202" s="20">
        <v>99.0</v>
      </c>
      <c r="N2202" s="5" t="s">
        <v>67</v>
      </c>
      <c r="O2202" s="20" t="b">
        <v>0</v>
      </c>
      <c r="P2202" s="20" t="s">
        <v>68</v>
      </c>
      <c r="Q2202" s="20" t="s">
        <v>69</v>
      </c>
      <c r="R2202" s="20" t="s">
        <v>4563</v>
      </c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</row>
    <row r="2203">
      <c r="A2203" s="15" t="s">
        <v>8675</v>
      </c>
      <c r="B2203" s="19" t="s">
        <v>4364</v>
      </c>
      <c r="C2203" s="20">
        <v>50039.0</v>
      </c>
      <c r="D2203" s="20" t="s">
        <v>4363</v>
      </c>
      <c r="E2203" s="20">
        <v>9.19811200929E11</v>
      </c>
      <c r="F2203" s="21">
        <v>18625.0</v>
      </c>
      <c r="G2203" s="20"/>
      <c r="H2203" s="20" t="s">
        <v>4341</v>
      </c>
      <c r="I2203" s="20"/>
      <c r="J2203" s="20">
        <v>6.0</v>
      </c>
      <c r="K2203" s="20">
        <v>349.0</v>
      </c>
      <c r="L2203" s="20"/>
      <c r="M2203" s="20">
        <v>349.0</v>
      </c>
      <c r="N2203" s="5" t="s">
        <v>67</v>
      </c>
      <c r="O2203" s="20" t="b">
        <v>0</v>
      </c>
      <c r="P2203" s="20" t="s">
        <v>74</v>
      </c>
      <c r="Q2203" s="20" t="s">
        <v>69</v>
      </c>
      <c r="R2203" s="20" t="s">
        <v>4343</v>
      </c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</row>
    <row r="2204">
      <c r="A2204" s="15" t="s">
        <v>8884</v>
      </c>
      <c r="B2204" s="19" t="s">
        <v>2500</v>
      </c>
      <c r="C2204" s="20">
        <v>49997.0</v>
      </c>
      <c r="D2204" s="20" t="s">
        <v>2499</v>
      </c>
      <c r="E2204" s="20">
        <v>9.18200598533E11</v>
      </c>
      <c r="F2204" s="21">
        <v>18715.0</v>
      </c>
      <c r="G2204" s="20"/>
      <c r="H2204" s="20" t="s">
        <v>2455</v>
      </c>
      <c r="I2204" s="20"/>
      <c r="J2204" s="20">
        <v>1.0</v>
      </c>
      <c r="K2204" s="20">
        <v>99.0</v>
      </c>
      <c r="L2204" s="20"/>
      <c r="M2204" s="20">
        <v>99.0</v>
      </c>
      <c r="N2204" s="5" t="s">
        <v>67</v>
      </c>
      <c r="O2204" s="20" t="b">
        <v>0</v>
      </c>
      <c r="P2204" s="20" t="s">
        <v>74</v>
      </c>
      <c r="Q2204" s="20" t="s">
        <v>69</v>
      </c>
      <c r="R2204" s="20" t="s">
        <v>2457</v>
      </c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</row>
    <row r="2205">
      <c r="A2205" s="15" t="s">
        <v>8676</v>
      </c>
      <c r="B2205" s="19" t="s">
        <v>6284</v>
      </c>
      <c r="C2205" s="20">
        <v>49998.0</v>
      </c>
      <c r="D2205" s="20" t="s">
        <v>6283</v>
      </c>
      <c r="E2205" s="20">
        <v>9.195783E11</v>
      </c>
      <c r="F2205" s="21">
        <v>18621.0</v>
      </c>
      <c r="G2205" s="20"/>
      <c r="H2205" s="20" t="s">
        <v>6250</v>
      </c>
      <c r="I2205" s="20"/>
      <c r="J2205" s="20">
        <v>1.0</v>
      </c>
      <c r="K2205" s="20">
        <v>99.0</v>
      </c>
      <c r="L2205" s="20"/>
      <c r="M2205" s="20">
        <v>99.0</v>
      </c>
      <c r="N2205" s="5" t="s">
        <v>67</v>
      </c>
      <c r="O2205" s="20" t="b">
        <v>0</v>
      </c>
      <c r="P2205" s="20" t="s">
        <v>74</v>
      </c>
      <c r="Q2205" s="20" t="s">
        <v>69</v>
      </c>
      <c r="R2205" s="20" t="s">
        <v>6252</v>
      </c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</row>
    <row r="2206">
      <c r="A2206" s="15" t="s">
        <v>8677</v>
      </c>
      <c r="B2206" s="19" t="s">
        <v>6034</v>
      </c>
      <c r="C2206" s="20">
        <v>50076.0</v>
      </c>
      <c r="D2206" s="20" t="s">
        <v>6033</v>
      </c>
      <c r="E2206" s="20">
        <v>9.1701547623E11</v>
      </c>
      <c r="F2206" s="21">
        <v>18624.0</v>
      </c>
      <c r="G2206" s="20"/>
      <c r="H2206" s="20" t="s">
        <v>5984</v>
      </c>
      <c r="I2206" s="20"/>
      <c r="J2206" s="20">
        <v>1.0</v>
      </c>
      <c r="K2206" s="20">
        <v>99.0</v>
      </c>
      <c r="L2206" s="20"/>
      <c r="M2206" s="20">
        <v>99.0</v>
      </c>
      <c r="N2206" s="5" t="s">
        <v>67</v>
      </c>
      <c r="O2206" s="20" t="b">
        <v>0</v>
      </c>
      <c r="P2206" s="20" t="s">
        <v>74</v>
      </c>
      <c r="Q2206" s="20" t="s">
        <v>69</v>
      </c>
      <c r="R2206" s="20" t="s">
        <v>5987</v>
      </c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</row>
    <row r="2207">
      <c r="A2207" s="15" t="s">
        <v>8891</v>
      </c>
      <c r="B2207" s="19" t="s">
        <v>2502</v>
      </c>
      <c r="C2207" s="20">
        <v>49997.0</v>
      </c>
      <c r="D2207" s="20" t="s">
        <v>2501</v>
      </c>
      <c r="E2207" s="20">
        <v>9.1935410207E11</v>
      </c>
      <c r="F2207" s="21">
        <v>18717.0</v>
      </c>
      <c r="G2207" s="20"/>
      <c r="H2207" s="20" t="s">
        <v>2455</v>
      </c>
      <c r="I2207" s="20"/>
      <c r="J2207" s="20">
        <v>1.0</v>
      </c>
      <c r="K2207" s="20">
        <v>99.0</v>
      </c>
      <c r="L2207" s="20"/>
      <c r="M2207" s="20">
        <v>99.0</v>
      </c>
      <c r="N2207" s="5" t="s">
        <v>67</v>
      </c>
      <c r="O2207" s="20" t="b">
        <v>0</v>
      </c>
      <c r="P2207" s="20" t="s">
        <v>68</v>
      </c>
      <c r="Q2207" s="20" t="s">
        <v>69</v>
      </c>
      <c r="R2207" s="20" t="s">
        <v>2457</v>
      </c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</row>
    <row r="2208">
      <c r="A2208" s="15" t="s">
        <v>8673</v>
      </c>
      <c r="B2208" s="19" t="s">
        <v>4967</v>
      </c>
      <c r="C2208" s="20">
        <v>50094.0</v>
      </c>
      <c r="D2208" s="20" t="s">
        <v>4966</v>
      </c>
      <c r="E2208" s="20">
        <v>9.19736533666E11</v>
      </c>
      <c r="F2208" s="21">
        <v>18620.0</v>
      </c>
      <c r="G2208" s="20"/>
      <c r="H2208" s="20" t="s">
        <v>4942</v>
      </c>
      <c r="I2208" s="20"/>
      <c r="J2208" s="20">
        <v>1.0</v>
      </c>
      <c r="K2208" s="20">
        <v>199.0</v>
      </c>
      <c r="L2208" s="20"/>
      <c r="M2208" s="20">
        <v>199.0</v>
      </c>
      <c r="N2208" s="5" t="s">
        <v>67</v>
      </c>
      <c r="O2208" s="20" t="b">
        <v>0</v>
      </c>
      <c r="P2208" s="20" t="s">
        <v>68</v>
      </c>
      <c r="Q2208" s="20" t="s">
        <v>69</v>
      </c>
      <c r="R2208" s="20" t="s">
        <v>4945</v>
      </c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</row>
    <row r="2209">
      <c r="A2209" s="15" t="s">
        <v>8678</v>
      </c>
      <c r="B2209" s="19" t="s">
        <v>2722</v>
      </c>
      <c r="C2209" s="20">
        <v>50015.0</v>
      </c>
      <c r="D2209" s="20" t="s">
        <v>2721</v>
      </c>
      <c r="E2209" s="20">
        <v>9.18249377793E11</v>
      </c>
      <c r="F2209" s="21">
        <v>18623.0</v>
      </c>
      <c r="G2209" s="20"/>
      <c r="H2209" s="20" t="s">
        <v>2702</v>
      </c>
      <c r="I2209" s="20"/>
      <c r="J2209" s="20">
        <v>3.0</v>
      </c>
      <c r="K2209" s="20">
        <v>349.0</v>
      </c>
      <c r="L2209" s="20"/>
      <c r="M2209" s="20">
        <v>349.0</v>
      </c>
      <c r="N2209" s="5" t="s">
        <v>67</v>
      </c>
      <c r="O2209" s="20" t="b">
        <v>0</v>
      </c>
      <c r="P2209" s="20" t="s">
        <v>68</v>
      </c>
      <c r="Q2209" s="20" t="s">
        <v>69</v>
      </c>
      <c r="R2209" s="20" t="s">
        <v>2704</v>
      </c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</row>
    <row r="2210">
      <c r="A2210" s="15" t="s">
        <v>8886</v>
      </c>
      <c r="B2210" s="19" t="s">
        <v>6081</v>
      </c>
      <c r="C2210" s="20">
        <v>50076.0</v>
      </c>
      <c r="D2210" s="20" t="s">
        <v>6080</v>
      </c>
      <c r="E2210" s="20">
        <v>9.17745014565E11</v>
      </c>
      <c r="F2210" s="21">
        <v>18716.0</v>
      </c>
      <c r="G2210" s="20"/>
      <c r="H2210" s="20" t="s">
        <v>5984</v>
      </c>
      <c r="I2210" s="20"/>
      <c r="J2210" s="20">
        <v>1.0</v>
      </c>
      <c r="K2210" s="20">
        <v>99.0</v>
      </c>
      <c r="L2210" s="20"/>
      <c r="M2210" s="20">
        <v>99.0</v>
      </c>
      <c r="N2210" s="5" t="s">
        <v>67</v>
      </c>
      <c r="O2210" s="20" t="b">
        <v>0</v>
      </c>
      <c r="P2210" s="20" t="s">
        <v>68</v>
      </c>
      <c r="Q2210" s="20" t="s">
        <v>69</v>
      </c>
      <c r="R2210" s="20" t="s">
        <v>5987</v>
      </c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</row>
    <row r="2211">
      <c r="A2211" s="15" t="s">
        <v>8892</v>
      </c>
      <c r="B2211" s="19" t="s">
        <v>4663</v>
      </c>
      <c r="C2211" s="20">
        <v>49859.0</v>
      </c>
      <c r="D2211" s="20" t="s">
        <v>4662</v>
      </c>
      <c r="E2211" s="20">
        <v>9.17723954357E11</v>
      </c>
      <c r="F2211" s="21">
        <v>18718.0</v>
      </c>
      <c r="G2211" s="20"/>
      <c r="H2211" s="20" t="s">
        <v>1133</v>
      </c>
      <c r="I2211" s="20"/>
      <c r="J2211" s="20">
        <v>1.0</v>
      </c>
      <c r="K2211" s="20">
        <v>99.0</v>
      </c>
      <c r="L2211" s="20"/>
      <c r="M2211" s="20">
        <v>99.0</v>
      </c>
      <c r="N2211" s="5" t="s">
        <v>67</v>
      </c>
      <c r="O2211" s="20" t="b">
        <v>0</v>
      </c>
      <c r="P2211" s="20" t="s">
        <v>68</v>
      </c>
      <c r="Q2211" s="20" t="s">
        <v>69</v>
      </c>
      <c r="R2211" s="20" t="s">
        <v>4620</v>
      </c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</row>
    <row r="2212">
      <c r="A2212" s="15" t="s">
        <v>8893</v>
      </c>
      <c r="B2212" s="19" t="s">
        <v>5517</v>
      </c>
      <c r="C2212" s="20">
        <v>50023.0</v>
      </c>
      <c r="D2212" s="20" t="s">
        <v>5516</v>
      </c>
      <c r="E2212" s="20">
        <v>9.18932942995E11</v>
      </c>
      <c r="F2212" s="21">
        <v>18721.0</v>
      </c>
      <c r="G2212" s="20"/>
      <c r="H2212" s="20" t="s">
        <v>5508</v>
      </c>
      <c r="I2212" s="20"/>
      <c r="J2212" s="20">
        <v>1.0</v>
      </c>
      <c r="K2212" s="20">
        <v>99.0</v>
      </c>
      <c r="L2212" s="20"/>
      <c r="M2212" s="20">
        <v>99.0</v>
      </c>
      <c r="N2212" s="5" t="s">
        <v>67</v>
      </c>
      <c r="O2212" s="20" t="b">
        <v>0</v>
      </c>
      <c r="P2212" s="20" t="s">
        <v>68</v>
      </c>
      <c r="Q2212" s="20" t="s">
        <v>69</v>
      </c>
      <c r="R2212" s="20" t="s">
        <v>5510</v>
      </c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</row>
    <row r="2213">
      <c r="A2213" s="15" t="s">
        <v>8681</v>
      </c>
      <c r="B2213" s="19" t="s">
        <v>6036</v>
      </c>
      <c r="C2213" s="20">
        <v>50076.0</v>
      </c>
      <c r="D2213" s="20" t="s">
        <v>6035</v>
      </c>
      <c r="E2213" s="20">
        <v>9.19560638763E11</v>
      </c>
      <c r="F2213" s="21">
        <v>18626.0</v>
      </c>
      <c r="G2213" s="20"/>
      <c r="H2213" s="20" t="s">
        <v>5984</v>
      </c>
      <c r="I2213" s="20"/>
      <c r="J2213" s="20">
        <v>1.0</v>
      </c>
      <c r="K2213" s="20">
        <v>99.0</v>
      </c>
      <c r="L2213" s="20"/>
      <c r="M2213" s="20">
        <v>99.0</v>
      </c>
      <c r="N2213" s="5" t="s">
        <v>67</v>
      </c>
      <c r="O2213" s="20" t="b">
        <v>0</v>
      </c>
      <c r="P2213" s="20" t="s">
        <v>68</v>
      </c>
      <c r="Q2213" s="20" t="s">
        <v>69</v>
      </c>
      <c r="R2213" s="20" t="s">
        <v>5987</v>
      </c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</row>
    <row r="2214">
      <c r="A2214" s="15" t="s">
        <v>8682</v>
      </c>
      <c r="B2214" s="19" t="s">
        <v>2644</v>
      </c>
      <c r="C2214" s="20">
        <v>50065.0</v>
      </c>
      <c r="D2214" s="20" t="s">
        <v>2643</v>
      </c>
      <c r="E2214" s="20">
        <v>9.16380675455E11</v>
      </c>
      <c r="F2214" s="21">
        <v>18627.0</v>
      </c>
      <c r="G2214" s="20"/>
      <c r="H2214" s="20" t="s">
        <v>2601</v>
      </c>
      <c r="I2214" s="20"/>
      <c r="J2214" s="20">
        <v>3.0</v>
      </c>
      <c r="K2214" s="20">
        <v>199.0</v>
      </c>
      <c r="L2214" s="20"/>
      <c r="M2214" s="20">
        <v>199.0</v>
      </c>
      <c r="N2214" s="5" t="s">
        <v>67</v>
      </c>
      <c r="O2214" s="20" t="b">
        <v>0</v>
      </c>
      <c r="P2214" s="20" t="s">
        <v>68</v>
      </c>
      <c r="Q2214" s="20" t="s">
        <v>69</v>
      </c>
      <c r="R2214" s="20" t="s">
        <v>2604</v>
      </c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</row>
    <row r="2215">
      <c r="A2215" s="15" t="s">
        <v>8894</v>
      </c>
      <c r="B2215" s="19" t="s">
        <v>5437</v>
      </c>
      <c r="C2215" s="20">
        <v>50040.0</v>
      </c>
      <c r="D2215" s="20" t="s">
        <v>5436</v>
      </c>
      <c r="E2215" s="20">
        <v>9.18800718652E11</v>
      </c>
      <c r="F2215" s="21">
        <v>18722.0</v>
      </c>
      <c r="G2215" s="20"/>
      <c r="H2215" s="20" t="s">
        <v>5400</v>
      </c>
      <c r="I2215" s="20"/>
      <c r="J2215" s="20">
        <v>1.0</v>
      </c>
      <c r="K2215" s="20">
        <v>99.0</v>
      </c>
      <c r="L2215" s="20"/>
      <c r="M2215" s="20">
        <v>99.0</v>
      </c>
      <c r="N2215" s="5" t="s">
        <v>67</v>
      </c>
      <c r="O2215" s="20" t="b">
        <v>0</v>
      </c>
      <c r="P2215" s="20" t="s">
        <v>68</v>
      </c>
      <c r="Q2215" s="20" t="s">
        <v>69</v>
      </c>
      <c r="R2215" s="20" t="s">
        <v>5402</v>
      </c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</row>
    <row r="2216">
      <c r="A2216" s="15" t="s">
        <v>8688</v>
      </c>
      <c r="B2216" s="19" t="s">
        <v>4059</v>
      </c>
      <c r="C2216" s="20">
        <v>49833.0</v>
      </c>
      <c r="D2216" s="20" t="s">
        <v>4058</v>
      </c>
      <c r="E2216" s="20">
        <v>9.19320539733E11</v>
      </c>
      <c r="F2216" s="21">
        <v>18632.0</v>
      </c>
      <c r="G2216" s="20"/>
      <c r="H2216" s="20" t="s">
        <v>4030</v>
      </c>
      <c r="I2216" s="20"/>
      <c r="J2216" s="20">
        <v>1.0</v>
      </c>
      <c r="K2216" s="20">
        <v>99.0</v>
      </c>
      <c r="L2216" s="20"/>
      <c r="M2216" s="20">
        <v>99.0</v>
      </c>
      <c r="N2216" s="5" t="s">
        <v>67</v>
      </c>
      <c r="O2216" s="20" t="b">
        <v>0</v>
      </c>
      <c r="P2216" s="20" t="s">
        <v>74</v>
      </c>
      <c r="Q2216" s="20" t="s">
        <v>69</v>
      </c>
      <c r="R2216" s="20" t="s">
        <v>4033</v>
      </c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</row>
    <row r="2217">
      <c r="A2217" s="15" t="s">
        <v>8896</v>
      </c>
      <c r="B2217" s="19" t="s">
        <v>6335</v>
      </c>
      <c r="C2217" s="20">
        <v>50044.0</v>
      </c>
      <c r="D2217" s="20" t="s">
        <v>6334</v>
      </c>
      <c r="E2217" s="20">
        <v>9.19873787781E11</v>
      </c>
      <c r="F2217" s="21">
        <v>18725.0</v>
      </c>
      <c r="G2217" s="20"/>
      <c r="H2217" s="20" t="s">
        <v>6320</v>
      </c>
      <c r="I2217" s="20"/>
      <c r="J2217" s="20">
        <v>1.0</v>
      </c>
      <c r="K2217" s="20">
        <v>349.0</v>
      </c>
      <c r="L2217" s="20"/>
      <c r="M2217" s="20">
        <v>349.0</v>
      </c>
      <c r="N2217" s="5" t="s">
        <v>67</v>
      </c>
      <c r="O2217" s="20" t="b">
        <v>0</v>
      </c>
      <c r="P2217" s="20" t="s">
        <v>68</v>
      </c>
      <c r="Q2217" s="20" t="s">
        <v>69</v>
      </c>
      <c r="R2217" s="20" t="s">
        <v>6322</v>
      </c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</row>
    <row r="2218">
      <c r="A2218" s="15" t="s">
        <v>8689</v>
      </c>
      <c r="B2218" s="19" t="s">
        <v>5387</v>
      </c>
      <c r="C2218" s="20">
        <v>49995.0</v>
      </c>
      <c r="D2218" s="20" t="s">
        <v>5386</v>
      </c>
      <c r="E2218" s="20">
        <v>9.19500088992E11</v>
      </c>
      <c r="F2218" s="21">
        <v>18629.0</v>
      </c>
      <c r="G2218" s="20"/>
      <c r="H2218" s="20" t="s">
        <v>5321</v>
      </c>
      <c r="I2218" s="20"/>
      <c r="J2218" s="20">
        <v>1.0</v>
      </c>
      <c r="K2218" s="20">
        <v>99.0</v>
      </c>
      <c r="L2218" s="20"/>
      <c r="M2218" s="20">
        <v>99.0</v>
      </c>
      <c r="N2218" s="5" t="s">
        <v>67</v>
      </c>
      <c r="O2218" s="20" t="b">
        <v>0</v>
      </c>
      <c r="P2218" s="20" t="s">
        <v>68</v>
      </c>
      <c r="Q2218" s="20" t="s">
        <v>69</v>
      </c>
      <c r="R2218" s="20" t="s">
        <v>5323</v>
      </c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</row>
    <row r="2219">
      <c r="A2219" s="15" t="s">
        <v>8895</v>
      </c>
      <c r="B2219" s="19" t="s">
        <v>3041</v>
      </c>
      <c r="C2219" s="20">
        <v>50020.0</v>
      </c>
      <c r="D2219" s="20" t="s">
        <v>3040</v>
      </c>
      <c r="E2219" s="20">
        <v>9.19823440365E11</v>
      </c>
      <c r="F2219" s="21">
        <v>18724.0</v>
      </c>
      <c r="G2219" s="20"/>
      <c r="H2219" s="20" t="s">
        <v>3008</v>
      </c>
      <c r="I2219" s="20"/>
      <c r="J2219" s="20">
        <v>1.0</v>
      </c>
      <c r="K2219" s="20">
        <v>99.0</v>
      </c>
      <c r="L2219" s="20"/>
      <c r="M2219" s="20">
        <v>99.0</v>
      </c>
      <c r="N2219" s="5" t="s">
        <v>67</v>
      </c>
      <c r="O2219" s="20" t="b">
        <v>0</v>
      </c>
      <c r="P2219" s="20" t="s">
        <v>68</v>
      </c>
      <c r="Q2219" s="20" t="s">
        <v>69</v>
      </c>
      <c r="R2219" s="20" t="s">
        <v>3010</v>
      </c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</row>
    <row r="2220">
      <c r="A2220" s="15" t="s">
        <v>8692</v>
      </c>
      <c r="B2220" s="19" t="s">
        <v>6038</v>
      </c>
      <c r="C2220" s="20">
        <v>50076.0</v>
      </c>
      <c r="D2220" s="20" t="s">
        <v>6037</v>
      </c>
      <c r="E2220" s="20">
        <v>9.19156645656E11</v>
      </c>
      <c r="F2220" s="21">
        <v>18630.0</v>
      </c>
      <c r="G2220" s="20"/>
      <c r="H2220" s="20" t="s">
        <v>5984</v>
      </c>
      <c r="I2220" s="20"/>
      <c r="J2220" s="20">
        <v>1.0</v>
      </c>
      <c r="K2220" s="20">
        <v>99.0</v>
      </c>
      <c r="L2220" s="20"/>
      <c r="M2220" s="20">
        <v>99.0</v>
      </c>
      <c r="N2220" s="5" t="s">
        <v>67</v>
      </c>
      <c r="O2220" s="20" t="b">
        <v>0</v>
      </c>
      <c r="P2220" s="20" t="s">
        <v>68</v>
      </c>
      <c r="Q2220" s="20" t="s">
        <v>69</v>
      </c>
      <c r="R2220" s="20" t="s">
        <v>5987</v>
      </c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</row>
    <row r="2221">
      <c r="A2221" s="15" t="s">
        <v>8696</v>
      </c>
      <c r="B2221" s="19" t="s">
        <v>6236</v>
      </c>
      <c r="C2221" s="20">
        <v>50046.0</v>
      </c>
      <c r="D2221" s="20" t="s">
        <v>6235</v>
      </c>
      <c r="E2221" s="20">
        <v>9.19873822436E11</v>
      </c>
      <c r="F2221" s="21">
        <v>18633.0</v>
      </c>
      <c r="G2221" s="20"/>
      <c r="H2221" s="20" t="s">
        <v>6217</v>
      </c>
      <c r="I2221" s="20"/>
      <c r="J2221" s="20">
        <v>1.0</v>
      </c>
      <c r="K2221" s="20">
        <v>99.0</v>
      </c>
      <c r="L2221" s="20"/>
      <c r="M2221" s="20">
        <v>99.0</v>
      </c>
      <c r="N2221" s="5" t="s">
        <v>67</v>
      </c>
      <c r="O2221" s="20" t="b">
        <v>0</v>
      </c>
      <c r="P2221" s="20" t="s">
        <v>68</v>
      </c>
      <c r="Q2221" s="20" t="s">
        <v>69</v>
      </c>
      <c r="R2221" s="20" t="s">
        <v>6219</v>
      </c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</row>
    <row r="2222">
      <c r="A2222" s="15" t="s">
        <v>8693</v>
      </c>
      <c r="B2222" s="19" t="s">
        <v>6040</v>
      </c>
      <c r="C2222" s="20">
        <v>50076.0</v>
      </c>
      <c r="D2222" s="20" t="s">
        <v>6039</v>
      </c>
      <c r="E2222" s="20">
        <v>9.19910734382E11</v>
      </c>
      <c r="F2222" s="21">
        <v>18631.0</v>
      </c>
      <c r="G2222" s="20"/>
      <c r="H2222" s="20" t="s">
        <v>5984</v>
      </c>
      <c r="I2222" s="20"/>
      <c r="J2222" s="20">
        <v>1.0</v>
      </c>
      <c r="K2222" s="20">
        <v>99.0</v>
      </c>
      <c r="L2222" s="20"/>
      <c r="M2222" s="20">
        <v>99.0</v>
      </c>
      <c r="N2222" s="5" t="s">
        <v>67</v>
      </c>
      <c r="O2222" s="20" t="b">
        <v>0</v>
      </c>
      <c r="P2222" s="20" t="s">
        <v>74</v>
      </c>
      <c r="Q2222" s="20" t="s">
        <v>69</v>
      </c>
      <c r="R2222" s="20" t="s">
        <v>5987</v>
      </c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</row>
    <row r="2223">
      <c r="A2223" s="15" t="s">
        <v>8900</v>
      </c>
      <c r="B2223" s="19" t="s">
        <v>2837</v>
      </c>
      <c r="C2223" s="20">
        <v>50029.0</v>
      </c>
      <c r="D2223" s="20" t="s">
        <v>2836</v>
      </c>
      <c r="E2223" s="20">
        <v>9.19599831074E11</v>
      </c>
      <c r="F2223" s="21">
        <v>18726.0</v>
      </c>
      <c r="G2223" s="20"/>
      <c r="H2223" s="20" t="s">
        <v>2761</v>
      </c>
      <c r="I2223" s="20"/>
      <c r="J2223" s="20">
        <v>1.0</v>
      </c>
      <c r="K2223" s="20">
        <v>99.0</v>
      </c>
      <c r="L2223" s="20"/>
      <c r="M2223" s="20">
        <v>99.0</v>
      </c>
      <c r="N2223" s="5" t="s">
        <v>67</v>
      </c>
      <c r="O2223" s="20" t="b">
        <v>0</v>
      </c>
      <c r="P2223" s="20" t="s">
        <v>68</v>
      </c>
      <c r="Q2223" s="20" t="s">
        <v>69</v>
      </c>
      <c r="R2223" s="20" t="s">
        <v>2763</v>
      </c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</row>
    <row r="2224">
      <c r="A2224" s="15" t="s">
        <v>8695</v>
      </c>
      <c r="B2224" s="19" t="s">
        <v>3420</v>
      </c>
      <c r="C2224" s="20">
        <v>50030.0</v>
      </c>
      <c r="D2224" s="20" t="s">
        <v>3419</v>
      </c>
      <c r="E2224" s="20">
        <v>9.19954245724E11</v>
      </c>
      <c r="F2224" s="21">
        <v>18636.0</v>
      </c>
      <c r="G2224" s="20"/>
      <c r="H2224" s="20" t="s">
        <v>3326</v>
      </c>
      <c r="I2224" s="20"/>
      <c r="J2224" s="20">
        <v>1.0</v>
      </c>
      <c r="K2224" s="20">
        <v>99.0</v>
      </c>
      <c r="L2224" s="20"/>
      <c r="M2224" s="20">
        <v>99.0</v>
      </c>
      <c r="N2224" s="5" t="s">
        <v>67</v>
      </c>
      <c r="O2224" s="20" t="b">
        <v>0</v>
      </c>
      <c r="P2224" s="20" t="s">
        <v>151</v>
      </c>
      <c r="Q2224" s="20" t="s">
        <v>69</v>
      </c>
      <c r="R2224" s="20" t="s">
        <v>3328</v>
      </c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</row>
    <row r="2225">
      <c r="A2225" s="15" t="s">
        <v>8697</v>
      </c>
      <c r="B2225" s="19" t="s">
        <v>5821</v>
      </c>
      <c r="C2225" s="20">
        <v>50033.0</v>
      </c>
      <c r="D2225" s="20" t="s">
        <v>5820</v>
      </c>
      <c r="E2225" s="20">
        <v>9.19133628608E11</v>
      </c>
      <c r="F2225" s="21">
        <v>0.0</v>
      </c>
      <c r="G2225" s="20"/>
      <c r="H2225" s="20" t="s">
        <v>1727</v>
      </c>
      <c r="I2225" s="20"/>
      <c r="J2225" s="20">
        <v>1.0</v>
      </c>
      <c r="K2225" s="20">
        <v>99.0</v>
      </c>
      <c r="L2225" s="20"/>
      <c r="M2225" s="20">
        <v>99.0</v>
      </c>
      <c r="N2225" s="5" t="s">
        <v>67</v>
      </c>
      <c r="O2225" s="20" t="b">
        <v>0</v>
      </c>
      <c r="P2225" s="20" t="s">
        <v>68</v>
      </c>
      <c r="Q2225" s="20" t="s">
        <v>69</v>
      </c>
      <c r="R2225" s="20" t="s">
        <v>5731</v>
      </c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</row>
    <row r="2226">
      <c r="A2226" s="15" t="s">
        <v>8901</v>
      </c>
      <c r="B2226" s="19" t="s">
        <v>4368</v>
      </c>
      <c r="C2226" s="20">
        <v>50039.0</v>
      </c>
      <c r="D2226" s="20" t="s">
        <v>4367</v>
      </c>
      <c r="E2226" s="20">
        <v>9.19975672777E11</v>
      </c>
      <c r="F2226" s="21">
        <v>18727.0</v>
      </c>
      <c r="G2226" s="20"/>
      <c r="H2226" s="20" t="s">
        <v>4341</v>
      </c>
      <c r="I2226" s="20"/>
      <c r="J2226" s="20">
        <v>1.0</v>
      </c>
      <c r="K2226" s="20">
        <v>99.0</v>
      </c>
      <c r="L2226" s="20"/>
      <c r="M2226" s="20">
        <v>99.0</v>
      </c>
      <c r="N2226" s="5" t="s">
        <v>67</v>
      </c>
      <c r="O2226" s="20" t="b">
        <v>0</v>
      </c>
      <c r="P2226" s="20" t="s">
        <v>68</v>
      </c>
      <c r="Q2226" s="20" t="s">
        <v>69</v>
      </c>
      <c r="R2226" s="20" t="s">
        <v>4343</v>
      </c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</row>
    <row r="2227">
      <c r="A2227" s="15" t="s">
        <v>8698</v>
      </c>
      <c r="B2227" s="19" t="s">
        <v>6042</v>
      </c>
      <c r="C2227" s="20">
        <v>50076.0</v>
      </c>
      <c r="D2227" s="20" t="s">
        <v>6041</v>
      </c>
      <c r="E2227" s="20">
        <v>9.19097748054E11</v>
      </c>
      <c r="F2227" s="21">
        <v>18635.0</v>
      </c>
      <c r="G2227" s="20"/>
      <c r="H2227" s="20" t="s">
        <v>5984</v>
      </c>
      <c r="I2227" s="20"/>
      <c r="J2227" s="20">
        <v>3.0</v>
      </c>
      <c r="K2227" s="20">
        <v>199.0</v>
      </c>
      <c r="L2227" s="20"/>
      <c r="M2227" s="20">
        <v>199.0</v>
      </c>
      <c r="N2227" s="5" t="s">
        <v>67</v>
      </c>
      <c r="O2227" s="20" t="b">
        <v>0</v>
      </c>
      <c r="P2227" s="20" t="s">
        <v>68</v>
      </c>
      <c r="Q2227" s="20" t="s">
        <v>69</v>
      </c>
      <c r="R2227" s="20" t="s">
        <v>5987</v>
      </c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</row>
    <row r="2228">
      <c r="A2228" s="15" t="s">
        <v>8701</v>
      </c>
      <c r="B2228" s="19" t="s">
        <v>4657</v>
      </c>
      <c r="C2228" s="20">
        <v>49859.0</v>
      </c>
      <c r="D2228" s="20" t="s">
        <v>4656</v>
      </c>
      <c r="E2228" s="20">
        <v>9.19730590769E11</v>
      </c>
      <c r="F2228" s="21">
        <v>18637.0</v>
      </c>
      <c r="G2228" s="20"/>
      <c r="H2228" s="20" t="s">
        <v>1133</v>
      </c>
      <c r="I2228" s="20"/>
      <c r="J2228" s="20">
        <v>3.0</v>
      </c>
      <c r="K2228" s="20">
        <v>199.0</v>
      </c>
      <c r="L2228" s="20"/>
      <c r="M2228" s="20">
        <v>199.0</v>
      </c>
      <c r="N2228" s="5" t="s">
        <v>67</v>
      </c>
      <c r="O2228" s="20" t="b">
        <v>0</v>
      </c>
      <c r="P2228" s="20" t="s">
        <v>68</v>
      </c>
      <c r="Q2228" s="20" t="s">
        <v>69</v>
      </c>
      <c r="R2228" s="20" t="s">
        <v>4620</v>
      </c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</row>
    <row r="2229">
      <c r="A2229" s="15" t="s">
        <v>8702</v>
      </c>
      <c r="B2229" s="19" t="s">
        <v>4675</v>
      </c>
      <c r="C2229" s="20">
        <v>49859.0</v>
      </c>
      <c r="D2229" s="20" t="s">
        <v>4674</v>
      </c>
      <c r="E2229" s="5">
        <v>9.19769705556E11</v>
      </c>
      <c r="F2229" s="21">
        <v>18806.0</v>
      </c>
      <c r="G2229" s="20"/>
      <c r="H2229" s="20" t="s">
        <v>1133</v>
      </c>
      <c r="I2229" s="5"/>
      <c r="J2229" s="20">
        <v>6.0</v>
      </c>
      <c r="K2229" s="20">
        <v>349.0</v>
      </c>
      <c r="L2229" s="20"/>
      <c r="M2229" s="20">
        <v>349.0</v>
      </c>
      <c r="N2229" s="5" t="s">
        <v>67</v>
      </c>
      <c r="O2229" s="20" t="b">
        <v>0</v>
      </c>
      <c r="P2229" s="20" t="s">
        <v>74</v>
      </c>
      <c r="Q2229" s="20" t="s">
        <v>69</v>
      </c>
      <c r="R2229" s="20" t="s">
        <v>4620</v>
      </c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</row>
    <row r="2230">
      <c r="A2230" s="15" t="s">
        <v>8904</v>
      </c>
      <c r="B2230" s="19" t="s">
        <v>4082</v>
      </c>
      <c r="C2230" s="20">
        <v>49833.0</v>
      </c>
      <c r="D2230" s="20" t="s">
        <v>4081</v>
      </c>
      <c r="E2230" s="20">
        <v>9.19365081094E11</v>
      </c>
      <c r="F2230" s="21">
        <v>18728.0</v>
      </c>
      <c r="G2230" s="20"/>
      <c r="H2230" s="20" t="s">
        <v>4030</v>
      </c>
      <c r="I2230" s="20"/>
      <c r="J2230" s="20">
        <v>1.0</v>
      </c>
      <c r="K2230" s="20">
        <v>99.0</v>
      </c>
      <c r="L2230" s="20"/>
      <c r="M2230" s="20">
        <v>99.0</v>
      </c>
      <c r="N2230" s="5" t="s">
        <v>67</v>
      </c>
      <c r="O2230" s="20" t="b">
        <v>0</v>
      </c>
      <c r="P2230" s="20" t="s">
        <v>68</v>
      </c>
      <c r="Q2230" s="20" t="s">
        <v>69</v>
      </c>
      <c r="R2230" s="20" t="s">
        <v>4033</v>
      </c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</row>
    <row r="2231">
      <c r="A2231" s="15" t="s">
        <v>8705</v>
      </c>
      <c r="B2231" s="19" t="s">
        <v>3897</v>
      </c>
      <c r="C2231" s="20">
        <v>49835.0</v>
      </c>
      <c r="D2231" s="20" t="s">
        <v>3896</v>
      </c>
      <c r="E2231" s="20">
        <v>9.19945999306E11</v>
      </c>
      <c r="F2231" s="21">
        <v>18638.0</v>
      </c>
      <c r="G2231" s="20"/>
      <c r="H2231" s="20" t="s">
        <v>680</v>
      </c>
      <c r="I2231" s="20"/>
      <c r="J2231" s="20">
        <v>6.0</v>
      </c>
      <c r="K2231" s="20">
        <v>349.0</v>
      </c>
      <c r="L2231" s="20"/>
      <c r="M2231" s="20">
        <v>349.0</v>
      </c>
      <c r="N2231" s="5" t="s">
        <v>67</v>
      </c>
      <c r="O2231" s="20" t="b">
        <v>0</v>
      </c>
      <c r="P2231" s="20" t="s">
        <v>68</v>
      </c>
      <c r="Q2231" s="20" t="s">
        <v>69</v>
      </c>
      <c r="R2231" s="20" t="s">
        <v>3888</v>
      </c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</row>
    <row r="2232">
      <c r="A2232" s="15" t="s">
        <v>8908</v>
      </c>
      <c r="B2232" s="19" t="s">
        <v>5439</v>
      </c>
      <c r="C2232" s="20">
        <v>50040.0</v>
      </c>
      <c r="D2232" s="20" t="s">
        <v>5438</v>
      </c>
      <c r="E2232" s="20">
        <v>9.1973948167E11</v>
      </c>
      <c r="F2232" s="21">
        <v>18729.0</v>
      </c>
      <c r="G2232" s="20"/>
      <c r="H2232" s="20" t="s">
        <v>5400</v>
      </c>
      <c r="I2232" s="20"/>
      <c r="J2232" s="20">
        <v>3.0</v>
      </c>
      <c r="K2232" s="20">
        <v>199.0</v>
      </c>
      <c r="L2232" s="20"/>
      <c r="M2232" s="20">
        <v>199.0</v>
      </c>
      <c r="N2232" s="5" t="s">
        <v>67</v>
      </c>
      <c r="O2232" s="20" t="b">
        <v>0</v>
      </c>
      <c r="P2232" s="20" t="s">
        <v>68</v>
      </c>
      <c r="Q2232" s="20" t="s">
        <v>69</v>
      </c>
      <c r="R2232" s="20" t="s">
        <v>5402</v>
      </c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</row>
    <row r="2233">
      <c r="A2233" s="15" t="s">
        <v>8915</v>
      </c>
      <c r="B2233" s="19" t="s">
        <v>3433</v>
      </c>
      <c r="C2233" s="20">
        <v>50030.0</v>
      </c>
      <c r="D2233" s="20" t="s">
        <v>3432</v>
      </c>
      <c r="E2233" s="20">
        <v>9.19000993239E11</v>
      </c>
      <c r="F2233" s="21">
        <v>18732.0</v>
      </c>
      <c r="G2233" s="20"/>
      <c r="H2233" s="20" t="s">
        <v>3326</v>
      </c>
      <c r="I2233" s="20"/>
      <c r="J2233" s="20">
        <v>6.0</v>
      </c>
      <c r="K2233" s="20">
        <v>349.0</v>
      </c>
      <c r="L2233" s="20"/>
      <c r="M2233" s="20">
        <v>349.0</v>
      </c>
      <c r="N2233" s="5" t="s">
        <v>67</v>
      </c>
      <c r="O2233" s="20" t="b">
        <v>0</v>
      </c>
      <c r="P2233" s="20" t="s">
        <v>151</v>
      </c>
      <c r="Q2233" s="20" t="s">
        <v>69</v>
      </c>
      <c r="R2233" s="20" t="s">
        <v>3328</v>
      </c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</row>
    <row r="2234">
      <c r="A2234" s="15" t="s">
        <v>8706</v>
      </c>
      <c r="B2234" s="19" t="s">
        <v>3104</v>
      </c>
      <c r="C2234" s="20">
        <v>49991.0</v>
      </c>
      <c r="D2234" s="20" t="s">
        <v>3103</v>
      </c>
      <c r="E2234" s="20">
        <v>9.18746065777E11</v>
      </c>
      <c r="F2234" s="21">
        <v>18639.0</v>
      </c>
      <c r="G2234" s="20"/>
      <c r="H2234" s="20" t="s">
        <v>3055</v>
      </c>
      <c r="I2234" s="20"/>
      <c r="J2234" s="20">
        <v>1.0</v>
      </c>
      <c r="K2234" s="20">
        <v>99.0</v>
      </c>
      <c r="L2234" s="20"/>
      <c r="M2234" s="20">
        <v>99.0</v>
      </c>
      <c r="N2234" s="5" t="s">
        <v>67</v>
      </c>
      <c r="O2234" s="20" t="b">
        <v>0</v>
      </c>
      <c r="P2234" s="20" t="s">
        <v>74</v>
      </c>
      <c r="Q2234" s="20" t="s">
        <v>69</v>
      </c>
      <c r="R2234" s="20" t="s">
        <v>3057</v>
      </c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</row>
    <row r="2235">
      <c r="A2235" s="15" t="s">
        <v>8707</v>
      </c>
      <c r="B2235" s="19" t="s">
        <v>4903</v>
      </c>
      <c r="C2235" s="20">
        <v>49951.0</v>
      </c>
      <c r="D2235" s="20" t="s">
        <v>4902</v>
      </c>
      <c r="E2235" s="20">
        <v>9.17024460636E11</v>
      </c>
      <c r="F2235" s="21">
        <v>18683.0</v>
      </c>
      <c r="G2235" s="20"/>
      <c r="H2235" s="20" t="s">
        <v>4887</v>
      </c>
      <c r="I2235" s="20"/>
      <c r="J2235" s="20">
        <v>1.0</v>
      </c>
      <c r="K2235" s="20">
        <v>99.0</v>
      </c>
      <c r="L2235" s="20"/>
      <c r="M2235" s="20">
        <v>99.0</v>
      </c>
      <c r="N2235" s="5" t="s">
        <v>67</v>
      </c>
      <c r="O2235" s="20" t="b">
        <v>0</v>
      </c>
      <c r="P2235" s="20" t="s">
        <v>68</v>
      </c>
      <c r="Q2235" s="20" t="s">
        <v>69</v>
      </c>
      <c r="R2235" s="20" t="s">
        <v>4889</v>
      </c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</row>
    <row r="2236">
      <c r="A2236" s="15" t="s">
        <v>8911</v>
      </c>
      <c r="B2236" s="19" t="s">
        <v>4983</v>
      </c>
      <c r="C2236" s="20">
        <v>50094.0</v>
      </c>
      <c r="D2236" s="20" t="s">
        <v>4982</v>
      </c>
      <c r="E2236" s="20">
        <v>9.18699952797E11</v>
      </c>
      <c r="F2236" s="21">
        <v>18731.0</v>
      </c>
      <c r="G2236" s="20"/>
      <c r="H2236" s="20" t="s">
        <v>4942</v>
      </c>
      <c r="I2236" s="20"/>
      <c r="J2236" s="20">
        <v>1.0</v>
      </c>
      <c r="K2236" s="20">
        <v>199.0</v>
      </c>
      <c r="L2236" s="20"/>
      <c r="M2236" s="20">
        <v>199.0</v>
      </c>
      <c r="N2236" s="5" t="s">
        <v>67</v>
      </c>
      <c r="O2236" s="20" t="b">
        <v>0</v>
      </c>
      <c r="P2236" s="20" t="s">
        <v>151</v>
      </c>
      <c r="Q2236" s="20" t="s">
        <v>69</v>
      </c>
      <c r="R2236" s="20" t="s">
        <v>4945</v>
      </c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</row>
    <row r="2237">
      <c r="A2237" s="15" t="s">
        <v>8710</v>
      </c>
      <c r="B2237" s="19" t="s">
        <v>6044</v>
      </c>
      <c r="C2237" s="20">
        <v>50076.0</v>
      </c>
      <c r="D2237" s="20" t="s">
        <v>6043</v>
      </c>
      <c r="E2237" s="20">
        <v>9.19119376499E11</v>
      </c>
      <c r="F2237" s="21">
        <v>18641.0</v>
      </c>
      <c r="G2237" s="20"/>
      <c r="H2237" s="20" t="s">
        <v>5984</v>
      </c>
      <c r="I2237" s="20"/>
      <c r="J2237" s="20">
        <v>1.0</v>
      </c>
      <c r="K2237" s="20">
        <v>99.0</v>
      </c>
      <c r="L2237" s="20"/>
      <c r="M2237" s="20">
        <v>99.0</v>
      </c>
      <c r="N2237" s="5" t="s">
        <v>67</v>
      </c>
      <c r="O2237" s="20" t="b">
        <v>0</v>
      </c>
      <c r="P2237" s="20" t="s">
        <v>68</v>
      </c>
      <c r="Q2237" s="20" t="s">
        <v>69</v>
      </c>
      <c r="R2237" s="20" t="s">
        <v>5987</v>
      </c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</row>
    <row r="2238">
      <c r="A2238" s="15" t="s">
        <v>8708</v>
      </c>
      <c r="B2238" s="19" t="s">
        <v>5151</v>
      </c>
      <c r="C2238" s="20">
        <v>49813.0</v>
      </c>
      <c r="D2238" s="20" t="s">
        <v>5150</v>
      </c>
      <c r="E2238" s="20">
        <v>9.19540734173E11</v>
      </c>
      <c r="F2238" s="21">
        <v>0.0</v>
      </c>
      <c r="G2238" s="20"/>
      <c r="H2238" s="20" t="s">
        <v>5114</v>
      </c>
      <c r="I2238" s="20"/>
      <c r="J2238" s="20">
        <v>1.0</v>
      </c>
      <c r="K2238" s="20">
        <v>299.0</v>
      </c>
      <c r="L2238" s="20"/>
      <c r="M2238" s="20">
        <v>299.0</v>
      </c>
      <c r="N2238" s="5" t="s">
        <v>67</v>
      </c>
      <c r="O2238" s="20" t="b">
        <v>0</v>
      </c>
      <c r="P2238" s="20" t="s">
        <v>68</v>
      </c>
      <c r="Q2238" s="20" t="s">
        <v>69</v>
      </c>
      <c r="R2238" s="20" t="s">
        <v>5116</v>
      </c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</row>
    <row r="2239">
      <c r="A2239" s="15" t="s">
        <v>8914</v>
      </c>
      <c r="B2239" s="19" t="s">
        <v>4084</v>
      </c>
      <c r="C2239" s="20">
        <v>49833.0</v>
      </c>
      <c r="D2239" s="20" t="s">
        <v>4083</v>
      </c>
      <c r="E2239" s="20">
        <v>9.16006178509E11</v>
      </c>
      <c r="F2239" s="21">
        <v>18733.0</v>
      </c>
      <c r="G2239" s="20"/>
      <c r="H2239" s="20" t="s">
        <v>4030</v>
      </c>
      <c r="I2239" s="20"/>
      <c r="J2239" s="20">
        <v>1.0</v>
      </c>
      <c r="K2239" s="20">
        <v>99.0</v>
      </c>
      <c r="L2239" s="20"/>
      <c r="M2239" s="20">
        <v>99.0</v>
      </c>
      <c r="N2239" s="5" t="s">
        <v>67</v>
      </c>
      <c r="O2239" s="20" t="b">
        <v>0</v>
      </c>
      <c r="P2239" s="20" t="s">
        <v>68</v>
      </c>
      <c r="Q2239" s="20" t="s">
        <v>69</v>
      </c>
      <c r="R2239" s="20" t="s">
        <v>4033</v>
      </c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</row>
    <row r="2240">
      <c r="A2240" s="15" t="s">
        <v>8709</v>
      </c>
      <c r="B2240" s="19" t="s">
        <v>2724</v>
      </c>
      <c r="C2240" s="20">
        <v>50015.0</v>
      </c>
      <c r="D2240" s="20" t="s">
        <v>2723</v>
      </c>
      <c r="E2240" s="20">
        <v>9.1777404054E11</v>
      </c>
      <c r="F2240" s="21">
        <v>18640.0</v>
      </c>
      <c r="G2240" s="20"/>
      <c r="H2240" s="20" t="s">
        <v>2702</v>
      </c>
      <c r="I2240" s="20"/>
      <c r="J2240" s="20">
        <v>1.0</v>
      </c>
      <c r="K2240" s="20">
        <v>149.0</v>
      </c>
      <c r="L2240" s="20"/>
      <c r="M2240" s="20">
        <v>149.0</v>
      </c>
      <c r="N2240" s="5" t="s">
        <v>67</v>
      </c>
      <c r="O2240" s="20" t="b">
        <v>0</v>
      </c>
      <c r="P2240" s="20" t="s">
        <v>68</v>
      </c>
      <c r="Q2240" s="20" t="s">
        <v>69</v>
      </c>
      <c r="R2240" s="20" t="s">
        <v>2704</v>
      </c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</row>
    <row r="2241">
      <c r="A2241" s="15" t="s">
        <v>8919</v>
      </c>
      <c r="B2241" s="19" t="s">
        <v>3112</v>
      </c>
      <c r="C2241" s="20">
        <v>49991.0</v>
      </c>
      <c r="D2241" s="20" t="s">
        <v>3111</v>
      </c>
      <c r="E2241" s="20">
        <v>9.18149451725E11</v>
      </c>
      <c r="F2241" s="21">
        <v>18734.0</v>
      </c>
      <c r="G2241" s="20"/>
      <c r="H2241" s="20" t="s">
        <v>3055</v>
      </c>
      <c r="I2241" s="20"/>
      <c r="J2241" s="20">
        <v>1.0</v>
      </c>
      <c r="K2241" s="20">
        <v>99.0</v>
      </c>
      <c r="L2241" s="20"/>
      <c r="M2241" s="20">
        <v>99.0</v>
      </c>
      <c r="N2241" s="5" t="s">
        <v>67</v>
      </c>
      <c r="O2241" s="20" t="b">
        <v>0</v>
      </c>
      <c r="P2241" s="20" t="s">
        <v>68</v>
      </c>
      <c r="Q2241" s="20" t="s">
        <v>69</v>
      </c>
      <c r="R2241" s="20" t="s">
        <v>3057</v>
      </c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</row>
    <row r="2242">
      <c r="A2242" s="15" t="s">
        <v>8920</v>
      </c>
      <c r="B2242" s="19" t="s">
        <v>4985</v>
      </c>
      <c r="C2242" s="20">
        <v>50094.0</v>
      </c>
      <c r="D2242" s="20" t="s">
        <v>4984</v>
      </c>
      <c r="E2242" s="20">
        <v>9.17428684107E11</v>
      </c>
      <c r="F2242" s="21">
        <v>18735.0</v>
      </c>
      <c r="G2242" s="20"/>
      <c r="H2242" s="20" t="s">
        <v>4942</v>
      </c>
      <c r="I2242" s="20"/>
      <c r="J2242" s="20">
        <v>1.0</v>
      </c>
      <c r="K2242" s="20">
        <v>199.0</v>
      </c>
      <c r="L2242" s="20"/>
      <c r="M2242" s="20">
        <v>199.0</v>
      </c>
      <c r="N2242" s="5" t="s">
        <v>67</v>
      </c>
      <c r="O2242" s="20" t="b">
        <v>0</v>
      </c>
      <c r="P2242" s="20" t="s">
        <v>151</v>
      </c>
      <c r="Q2242" s="20" t="s">
        <v>69</v>
      </c>
      <c r="R2242" s="20" t="s">
        <v>4945</v>
      </c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</row>
    <row r="2243">
      <c r="A2243" s="15" t="s">
        <v>8715</v>
      </c>
      <c r="B2243" s="19" t="s">
        <v>5435</v>
      </c>
      <c r="C2243" s="20">
        <v>50040.0</v>
      </c>
      <c r="D2243" s="20" t="s">
        <v>5434</v>
      </c>
      <c r="E2243" s="20">
        <v>9.18975009756E11</v>
      </c>
      <c r="F2243" s="21">
        <v>18645.0</v>
      </c>
      <c r="G2243" s="20"/>
      <c r="H2243" s="20" t="s">
        <v>5400</v>
      </c>
      <c r="I2243" s="20"/>
      <c r="J2243" s="20">
        <v>1.0</v>
      </c>
      <c r="K2243" s="20">
        <v>99.0</v>
      </c>
      <c r="L2243" s="20"/>
      <c r="M2243" s="20">
        <v>99.0</v>
      </c>
      <c r="N2243" s="5" t="s">
        <v>67</v>
      </c>
      <c r="O2243" s="20" t="b">
        <v>0</v>
      </c>
      <c r="P2243" s="20" t="s">
        <v>68</v>
      </c>
      <c r="Q2243" s="20" t="s">
        <v>69</v>
      </c>
      <c r="R2243" s="20" t="s">
        <v>5402</v>
      </c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</row>
    <row r="2244">
      <c r="A2244" s="15" t="s">
        <v>8716</v>
      </c>
      <c r="B2244" s="19" t="s">
        <v>4061</v>
      </c>
      <c r="C2244" s="20">
        <v>49833.0</v>
      </c>
      <c r="D2244" s="20" t="s">
        <v>4060</v>
      </c>
      <c r="E2244" s="20">
        <v>9.19748193462E11</v>
      </c>
      <c r="F2244" s="21">
        <v>18644.0</v>
      </c>
      <c r="G2244" s="20"/>
      <c r="H2244" s="20" t="s">
        <v>4030</v>
      </c>
      <c r="I2244" s="20"/>
      <c r="J2244" s="20">
        <v>1.0</v>
      </c>
      <c r="K2244" s="20">
        <v>99.0</v>
      </c>
      <c r="L2244" s="20"/>
      <c r="M2244" s="20">
        <v>99.0</v>
      </c>
      <c r="N2244" s="5" t="s">
        <v>67</v>
      </c>
      <c r="O2244" s="20" t="b">
        <v>0</v>
      </c>
      <c r="P2244" s="20" t="s">
        <v>68</v>
      </c>
      <c r="Q2244" s="20" t="s">
        <v>69</v>
      </c>
      <c r="R2244" s="20" t="s">
        <v>4033</v>
      </c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</row>
    <row r="2245">
      <c r="A2245" s="15" t="s">
        <v>8711</v>
      </c>
      <c r="B2245" s="19" t="s">
        <v>4969</v>
      </c>
      <c r="C2245" s="20">
        <v>50094.0</v>
      </c>
      <c r="D2245" s="20" t="s">
        <v>4968</v>
      </c>
      <c r="E2245" s="20">
        <v>9.19014229391E11</v>
      </c>
      <c r="F2245" s="21">
        <v>18642.0</v>
      </c>
      <c r="G2245" s="20"/>
      <c r="H2245" s="20" t="s">
        <v>4942</v>
      </c>
      <c r="I2245" s="20"/>
      <c r="J2245" s="20">
        <v>1.0</v>
      </c>
      <c r="K2245" s="20">
        <v>199.0</v>
      </c>
      <c r="L2245" s="20"/>
      <c r="M2245" s="20">
        <v>199.0</v>
      </c>
      <c r="N2245" s="5" t="s">
        <v>67</v>
      </c>
      <c r="O2245" s="20" t="b">
        <v>0</v>
      </c>
      <c r="P2245" s="20" t="s">
        <v>68</v>
      </c>
      <c r="Q2245" s="20" t="s">
        <v>69</v>
      </c>
      <c r="R2245" s="20" t="s">
        <v>4945</v>
      </c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</row>
    <row r="2246">
      <c r="A2246" s="15" t="s">
        <v>8717</v>
      </c>
      <c r="B2246" s="19" t="s">
        <v>2825</v>
      </c>
      <c r="C2246" s="20">
        <v>50029.0</v>
      </c>
      <c r="D2246" s="20" t="s">
        <v>2824</v>
      </c>
      <c r="E2246" s="20">
        <v>9.19825789088E11</v>
      </c>
      <c r="F2246" s="21">
        <v>18658.0</v>
      </c>
      <c r="G2246" s="20"/>
      <c r="H2246" s="20" t="s">
        <v>2761</v>
      </c>
      <c r="I2246" s="20"/>
      <c r="J2246" s="20">
        <v>1.0</v>
      </c>
      <c r="K2246" s="20">
        <v>99.0</v>
      </c>
      <c r="L2246" s="20"/>
      <c r="M2246" s="20">
        <v>99.0</v>
      </c>
      <c r="N2246" s="5" t="s">
        <v>67</v>
      </c>
      <c r="O2246" s="20" t="b">
        <v>0</v>
      </c>
      <c r="P2246" s="20" t="s">
        <v>68</v>
      </c>
      <c r="Q2246" s="20" t="s">
        <v>69</v>
      </c>
      <c r="R2246" s="20" t="s">
        <v>2763</v>
      </c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</row>
    <row r="2247">
      <c r="A2247" s="15" t="s">
        <v>8921</v>
      </c>
      <c r="B2247" s="19" t="s">
        <v>6624</v>
      </c>
      <c r="C2247" s="20">
        <v>49994.0</v>
      </c>
      <c r="D2247" s="20" t="s">
        <v>6623</v>
      </c>
      <c r="E2247" s="20">
        <v>9.17356315504E11</v>
      </c>
      <c r="F2247" s="21">
        <v>18736.0</v>
      </c>
      <c r="G2247" s="20"/>
      <c r="H2247" s="20" t="s">
        <v>1264</v>
      </c>
      <c r="I2247" s="20"/>
      <c r="J2247" s="20">
        <v>1.0</v>
      </c>
      <c r="K2247" s="20">
        <v>99.0</v>
      </c>
      <c r="L2247" s="20"/>
      <c r="M2247" s="20">
        <v>99.0</v>
      </c>
      <c r="N2247" s="5" t="s">
        <v>67</v>
      </c>
      <c r="O2247" s="20" t="b">
        <v>0</v>
      </c>
      <c r="P2247" s="20" t="s">
        <v>68</v>
      </c>
      <c r="Q2247" s="20" t="s">
        <v>69</v>
      </c>
      <c r="R2247" s="20" t="s">
        <v>6615</v>
      </c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</row>
    <row r="2248">
      <c r="A2248" s="15" t="s">
        <v>8718</v>
      </c>
      <c r="B2248" s="19" t="s">
        <v>3227</v>
      </c>
      <c r="C2248" s="20">
        <v>50047.0</v>
      </c>
      <c r="D2248" s="20" t="s">
        <v>3226</v>
      </c>
      <c r="E2248" s="20">
        <v>9.17300364932E11</v>
      </c>
      <c r="F2248" s="21">
        <v>18646.0</v>
      </c>
      <c r="G2248" s="20"/>
      <c r="H2248" s="20" t="s">
        <v>3195</v>
      </c>
      <c r="I2248" s="20"/>
      <c r="J2248" s="20">
        <v>3.0</v>
      </c>
      <c r="K2248" s="20">
        <v>199.0</v>
      </c>
      <c r="L2248" s="20"/>
      <c r="M2248" s="20">
        <v>199.0</v>
      </c>
      <c r="N2248" s="5" t="s">
        <v>67</v>
      </c>
      <c r="O2248" s="20" t="b">
        <v>0</v>
      </c>
      <c r="P2248" s="20" t="s">
        <v>151</v>
      </c>
      <c r="Q2248" s="20" t="s">
        <v>69</v>
      </c>
      <c r="R2248" s="20" t="s">
        <v>3197</v>
      </c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</row>
    <row r="2249">
      <c r="A2249" s="15" t="s">
        <v>8724</v>
      </c>
      <c r="B2249" s="19" t="s">
        <v>6046</v>
      </c>
      <c r="C2249" s="20">
        <v>50076.0</v>
      </c>
      <c r="D2249" s="20" t="s">
        <v>6045</v>
      </c>
      <c r="E2249" s="20">
        <v>9.18426030952E11</v>
      </c>
      <c r="F2249" s="21">
        <v>18647.0</v>
      </c>
      <c r="G2249" s="20"/>
      <c r="H2249" s="20" t="s">
        <v>5984</v>
      </c>
      <c r="I2249" s="20"/>
      <c r="J2249" s="20">
        <v>1.0</v>
      </c>
      <c r="K2249" s="20">
        <v>99.0</v>
      </c>
      <c r="L2249" s="20"/>
      <c r="M2249" s="20">
        <v>99.0</v>
      </c>
      <c r="N2249" s="5" t="s">
        <v>67</v>
      </c>
      <c r="O2249" s="20" t="b">
        <v>0</v>
      </c>
      <c r="P2249" s="20" t="s">
        <v>68</v>
      </c>
      <c r="Q2249" s="20" t="s">
        <v>69</v>
      </c>
      <c r="R2249" s="20" t="s">
        <v>5987</v>
      </c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</row>
    <row r="2250">
      <c r="A2250" s="15" t="s">
        <v>8728</v>
      </c>
      <c r="B2250" s="19" t="s">
        <v>4971</v>
      </c>
      <c r="C2250" s="20">
        <v>50094.0</v>
      </c>
      <c r="D2250" s="20" t="s">
        <v>4970</v>
      </c>
      <c r="E2250" s="20">
        <v>9.1963251929E11</v>
      </c>
      <c r="F2250" s="21">
        <v>18649.0</v>
      </c>
      <c r="G2250" s="20"/>
      <c r="H2250" s="20" t="s">
        <v>4942</v>
      </c>
      <c r="I2250" s="20"/>
      <c r="J2250" s="20">
        <v>1.0</v>
      </c>
      <c r="K2250" s="20">
        <v>199.0</v>
      </c>
      <c r="L2250" s="20"/>
      <c r="M2250" s="20">
        <v>199.0</v>
      </c>
      <c r="N2250" s="5" t="s">
        <v>67</v>
      </c>
      <c r="O2250" s="20" t="b">
        <v>0</v>
      </c>
      <c r="P2250" s="20" t="s">
        <v>68</v>
      </c>
      <c r="Q2250" s="20" t="s">
        <v>69</v>
      </c>
      <c r="R2250" s="20" t="s">
        <v>4945</v>
      </c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</row>
    <row r="2251">
      <c r="A2251" s="15" t="s">
        <v>8729</v>
      </c>
      <c r="B2251" s="19" t="s">
        <v>5153</v>
      </c>
      <c r="C2251" s="20">
        <v>49813.0</v>
      </c>
      <c r="D2251" s="20" t="s">
        <v>5152</v>
      </c>
      <c r="E2251" s="20">
        <v>9.18400000088E11</v>
      </c>
      <c r="F2251" s="21">
        <v>18650.0</v>
      </c>
      <c r="G2251" s="20"/>
      <c r="H2251" s="20" t="s">
        <v>5114</v>
      </c>
      <c r="I2251" s="20"/>
      <c r="J2251" s="20">
        <v>1.0</v>
      </c>
      <c r="K2251" s="20">
        <v>299.0</v>
      </c>
      <c r="L2251" s="20"/>
      <c r="M2251" s="20">
        <v>299.0</v>
      </c>
      <c r="N2251" s="5" t="s">
        <v>67</v>
      </c>
      <c r="O2251" s="20" t="b">
        <v>0</v>
      </c>
      <c r="P2251" s="20" t="s">
        <v>68</v>
      </c>
      <c r="Q2251" s="20" t="s">
        <v>69</v>
      </c>
      <c r="R2251" s="20" t="s">
        <v>5116</v>
      </c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</row>
    <row r="2252">
      <c r="A2252" s="15" t="s">
        <v>8730</v>
      </c>
      <c r="B2252" s="19" t="s">
        <v>3229</v>
      </c>
      <c r="C2252" s="20">
        <v>50047.0</v>
      </c>
      <c r="D2252" s="20" t="s">
        <v>3228</v>
      </c>
      <c r="E2252" s="20">
        <v>9.19646883759E11</v>
      </c>
      <c r="F2252" s="21">
        <v>18651.0</v>
      </c>
      <c r="G2252" s="20"/>
      <c r="H2252" s="20" t="s">
        <v>3195</v>
      </c>
      <c r="I2252" s="20"/>
      <c r="J2252" s="20">
        <v>3.0</v>
      </c>
      <c r="K2252" s="20">
        <v>199.0</v>
      </c>
      <c r="L2252" s="20"/>
      <c r="M2252" s="20">
        <v>199.0</v>
      </c>
      <c r="N2252" s="5" t="s">
        <v>67</v>
      </c>
      <c r="O2252" s="20" t="b">
        <v>0</v>
      </c>
      <c r="P2252" s="20" t="s">
        <v>74</v>
      </c>
      <c r="Q2252" s="20" t="s">
        <v>69</v>
      </c>
      <c r="R2252" s="20" t="s">
        <v>3197</v>
      </c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</row>
    <row r="2253">
      <c r="A2253" s="15" t="s">
        <v>8922</v>
      </c>
      <c r="B2253" s="19" t="s">
        <v>2504</v>
      </c>
      <c r="C2253" s="20">
        <v>49997.0</v>
      </c>
      <c r="D2253" s="20" t="s">
        <v>2503</v>
      </c>
      <c r="E2253" s="20">
        <v>9.19906190121E11</v>
      </c>
      <c r="F2253" s="21">
        <v>18761.0</v>
      </c>
      <c r="G2253" s="20"/>
      <c r="H2253" s="20" t="s">
        <v>2455</v>
      </c>
      <c r="I2253" s="20"/>
      <c r="J2253" s="20">
        <v>3.0</v>
      </c>
      <c r="K2253" s="20">
        <v>199.0</v>
      </c>
      <c r="L2253" s="20"/>
      <c r="M2253" s="20">
        <v>199.0</v>
      </c>
      <c r="N2253" s="5" t="s">
        <v>67</v>
      </c>
      <c r="O2253" s="20" t="b">
        <v>0</v>
      </c>
      <c r="P2253" s="20" t="s">
        <v>74</v>
      </c>
      <c r="Q2253" s="20" t="s">
        <v>69</v>
      </c>
      <c r="R2253" s="20" t="s">
        <v>2457</v>
      </c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</row>
    <row r="2254">
      <c r="A2254" s="15" t="s">
        <v>8926</v>
      </c>
      <c r="B2254" s="19" t="s">
        <v>6288</v>
      </c>
      <c r="C2254" s="20">
        <v>49998.0</v>
      </c>
      <c r="D2254" s="20" t="s">
        <v>6287</v>
      </c>
      <c r="E2254" s="20">
        <v>9.17008442269E11</v>
      </c>
      <c r="F2254" s="21">
        <v>18882.0</v>
      </c>
      <c r="G2254" s="20"/>
      <c r="H2254" s="20" t="s">
        <v>6250</v>
      </c>
      <c r="I2254" s="20"/>
      <c r="J2254" s="20">
        <v>1.0</v>
      </c>
      <c r="K2254" s="20">
        <v>99.0</v>
      </c>
      <c r="L2254" s="20"/>
      <c r="M2254" s="20">
        <v>99.0</v>
      </c>
      <c r="N2254" s="5" t="s">
        <v>67</v>
      </c>
      <c r="O2254" s="20" t="b">
        <v>0</v>
      </c>
      <c r="P2254" s="20" t="s">
        <v>68</v>
      </c>
      <c r="Q2254" s="20" t="s">
        <v>69</v>
      </c>
      <c r="R2254" s="20" t="s">
        <v>6252</v>
      </c>
      <c r="T2254" s="20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</row>
    <row r="2255">
      <c r="A2255" s="15" t="s">
        <v>8927</v>
      </c>
      <c r="B2255" s="19" t="s">
        <v>3756</v>
      </c>
      <c r="C2255" s="20">
        <v>50104.0</v>
      </c>
      <c r="D2255" s="20" t="s">
        <v>3755</v>
      </c>
      <c r="E2255" s="5">
        <v>9.1893978392E11</v>
      </c>
      <c r="F2255" s="21">
        <v>20210.0</v>
      </c>
      <c r="G2255" s="20"/>
      <c r="H2255" s="20" t="s">
        <v>3708</v>
      </c>
      <c r="I2255" s="5"/>
      <c r="J2255" s="20">
        <v>1.0</v>
      </c>
      <c r="K2255" s="20">
        <v>99.0</v>
      </c>
      <c r="L2255" s="20"/>
      <c r="M2255" s="20">
        <v>99.0</v>
      </c>
      <c r="N2255" s="5" t="s">
        <v>67</v>
      </c>
      <c r="O2255" s="20" t="b">
        <v>0</v>
      </c>
      <c r="P2255" s="20" t="s">
        <v>74</v>
      </c>
      <c r="Q2255" s="20" t="s">
        <v>69</v>
      </c>
      <c r="R2255" s="20" t="s">
        <v>3716</v>
      </c>
      <c r="T2255" s="20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</row>
    <row r="2256">
      <c r="A2256" s="15" t="s">
        <v>8934</v>
      </c>
      <c r="B2256" s="19" t="s">
        <v>6387</v>
      </c>
      <c r="C2256" s="20">
        <v>50043.0</v>
      </c>
      <c r="D2256" s="20" t="s">
        <v>6386</v>
      </c>
      <c r="E2256" s="20">
        <v>9.17972755143E11</v>
      </c>
      <c r="F2256" s="21">
        <v>0.0</v>
      </c>
      <c r="G2256" s="20"/>
      <c r="H2256" s="20" t="s">
        <v>6367</v>
      </c>
      <c r="I2256" s="20"/>
      <c r="J2256" s="20">
        <v>1.0</v>
      </c>
      <c r="K2256" s="20">
        <v>99.0</v>
      </c>
      <c r="L2256" s="20"/>
      <c r="M2256" s="20">
        <v>99.0</v>
      </c>
      <c r="N2256" s="5" t="s">
        <v>67</v>
      </c>
      <c r="O2256" s="20" t="b">
        <v>0</v>
      </c>
      <c r="P2256" s="20" t="s">
        <v>68</v>
      </c>
      <c r="Q2256" s="20" t="s">
        <v>69</v>
      </c>
      <c r="R2256" s="20" t="s">
        <v>6369</v>
      </c>
      <c r="T2256" s="20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</row>
    <row r="2257">
      <c r="A2257" s="15" t="s">
        <v>8937</v>
      </c>
      <c r="B2257" s="19" t="s">
        <v>4086</v>
      </c>
      <c r="C2257" s="20">
        <v>49833.0</v>
      </c>
      <c r="D2257" s="20" t="s">
        <v>4085</v>
      </c>
      <c r="E2257" s="20">
        <v>9.19916926001E11</v>
      </c>
      <c r="F2257" s="21">
        <v>18737.0</v>
      </c>
      <c r="G2257" s="20"/>
      <c r="H2257" s="20" t="s">
        <v>4030</v>
      </c>
      <c r="I2257" s="20"/>
      <c r="J2257" s="20">
        <v>1.0</v>
      </c>
      <c r="K2257" s="20">
        <v>99.0</v>
      </c>
      <c r="L2257" s="20"/>
      <c r="M2257" s="20">
        <v>99.0</v>
      </c>
      <c r="N2257" s="5" t="s">
        <v>67</v>
      </c>
      <c r="O2257" s="20" t="b">
        <v>0</v>
      </c>
      <c r="P2257" s="20" t="s">
        <v>68</v>
      </c>
      <c r="Q2257" s="20" t="s">
        <v>69</v>
      </c>
      <c r="R2257" s="20" t="s">
        <v>4033</v>
      </c>
      <c r="T2257" s="20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</row>
    <row r="2258">
      <c r="A2258" s="15" t="s">
        <v>8939</v>
      </c>
      <c r="B2258" s="19" t="s">
        <v>4088</v>
      </c>
      <c r="C2258" s="20">
        <v>49833.0</v>
      </c>
      <c r="D2258" s="20" t="s">
        <v>4087</v>
      </c>
      <c r="E2258" s="20">
        <v>9.18904278028E11</v>
      </c>
      <c r="F2258" s="21">
        <v>18738.0</v>
      </c>
      <c r="G2258" s="20"/>
      <c r="H2258" s="20" t="s">
        <v>4030</v>
      </c>
      <c r="I2258" s="20"/>
      <c r="J2258" s="20">
        <v>1.0</v>
      </c>
      <c r="K2258" s="20">
        <v>99.0</v>
      </c>
      <c r="L2258" s="20"/>
      <c r="M2258" s="20">
        <v>99.0</v>
      </c>
      <c r="N2258" s="5" t="s">
        <v>67</v>
      </c>
      <c r="O2258" s="20" t="b">
        <v>0</v>
      </c>
      <c r="P2258" s="20" t="s">
        <v>68</v>
      </c>
      <c r="Q2258" s="20" t="s">
        <v>69</v>
      </c>
      <c r="R2258" s="20" t="s">
        <v>4033</v>
      </c>
      <c r="T2258" s="20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</row>
    <row r="2259">
      <c r="A2259" s="15" t="s">
        <v>8734</v>
      </c>
      <c r="B2259" s="19" t="s">
        <v>6286</v>
      </c>
      <c r="C2259" s="20">
        <v>49998.0</v>
      </c>
      <c r="D2259" s="20" t="s">
        <v>6285</v>
      </c>
      <c r="E2259" s="20">
        <v>9.17357221405E11</v>
      </c>
      <c r="F2259" s="21">
        <v>18652.0</v>
      </c>
      <c r="G2259" s="20"/>
      <c r="H2259" s="20" t="s">
        <v>6250</v>
      </c>
      <c r="I2259" s="20"/>
      <c r="J2259" s="20">
        <v>1.0</v>
      </c>
      <c r="K2259" s="20">
        <v>99.0</v>
      </c>
      <c r="L2259" s="20"/>
      <c r="M2259" s="20">
        <v>99.0</v>
      </c>
      <c r="N2259" s="5" t="s">
        <v>67</v>
      </c>
      <c r="O2259" s="20" t="b">
        <v>0</v>
      </c>
      <c r="P2259" s="20" t="s">
        <v>68</v>
      </c>
      <c r="Q2259" s="20" t="s">
        <v>69</v>
      </c>
      <c r="R2259" s="20" t="s">
        <v>6252</v>
      </c>
      <c r="T2259" s="20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</row>
    <row r="2260">
      <c r="A2260" s="15" t="s">
        <v>8940</v>
      </c>
      <c r="B2260" s="19" t="s">
        <v>6337</v>
      </c>
      <c r="C2260" s="20">
        <v>50044.0</v>
      </c>
      <c r="D2260" s="20" t="s">
        <v>6336</v>
      </c>
      <c r="E2260" s="20">
        <v>9.19811850557E11</v>
      </c>
      <c r="F2260" s="21">
        <v>18739.0</v>
      </c>
      <c r="G2260" s="20"/>
      <c r="H2260" s="20" t="s">
        <v>6320</v>
      </c>
      <c r="I2260" s="20"/>
      <c r="J2260" s="20">
        <v>1.0</v>
      </c>
      <c r="K2260" s="20">
        <v>349.0</v>
      </c>
      <c r="L2260" s="20"/>
      <c r="M2260" s="20">
        <v>349.0</v>
      </c>
      <c r="N2260" s="5" t="s">
        <v>67</v>
      </c>
      <c r="O2260" s="20" t="b">
        <v>0</v>
      </c>
      <c r="P2260" s="20" t="s">
        <v>68</v>
      </c>
      <c r="Q2260" s="20" t="s">
        <v>69</v>
      </c>
      <c r="R2260" s="20" t="s">
        <v>6322</v>
      </c>
      <c r="T2260" s="20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</row>
    <row r="2261">
      <c r="A2261" s="15" t="s">
        <v>8740</v>
      </c>
      <c r="B2261" s="19" t="s">
        <v>6050</v>
      </c>
      <c r="C2261" s="20">
        <v>50076.0</v>
      </c>
      <c r="D2261" s="20" t="s">
        <v>6049</v>
      </c>
      <c r="E2261" s="20">
        <v>9.18148004816E11</v>
      </c>
      <c r="F2261" s="21">
        <v>18654.0</v>
      </c>
      <c r="G2261" s="20"/>
      <c r="H2261" s="20" t="s">
        <v>5984</v>
      </c>
      <c r="I2261" s="20"/>
      <c r="J2261" s="20">
        <v>1.0</v>
      </c>
      <c r="K2261" s="20">
        <v>99.0</v>
      </c>
      <c r="L2261" s="20"/>
      <c r="M2261" s="20">
        <v>99.0</v>
      </c>
      <c r="N2261" s="5" t="s">
        <v>67</v>
      </c>
      <c r="O2261" s="20" t="b">
        <v>0</v>
      </c>
      <c r="P2261" s="20" t="s">
        <v>68</v>
      </c>
      <c r="Q2261" s="20" t="s">
        <v>69</v>
      </c>
      <c r="R2261" s="20" t="s">
        <v>5987</v>
      </c>
      <c r="T2261" s="20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</row>
    <row r="2262">
      <c r="A2262" s="15" t="s">
        <v>8741</v>
      </c>
      <c r="B2262" s="19" t="s">
        <v>3423</v>
      </c>
      <c r="C2262" s="20">
        <v>50030.0</v>
      </c>
      <c r="D2262" s="20" t="s">
        <v>3422</v>
      </c>
      <c r="E2262" s="20">
        <v>9.19940179422E11</v>
      </c>
      <c r="F2262" s="21">
        <v>18655.0</v>
      </c>
      <c r="G2262" s="20"/>
      <c r="H2262" s="20" t="s">
        <v>3326</v>
      </c>
      <c r="I2262" s="20"/>
      <c r="J2262" s="20">
        <v>1.0</v>
      </c>
      <c r="K2262" s="20">
        <v>99.0</v>
      </c>
      <c r="L2262" s="20"/>
      <c r="M2262" s="20">
        <v>99.0</v>
      </c>
      <c r="N2262" s="5" t="s">
        <v>67</v>
      </c>
      <c r="O2262" s="20" t="b">
        <v>0</v>
      </c>
      <c r="P2262" s="20" t="s">
        <v>68</v>
      </c>
      <c r="Q2262" s="20" t="s">
        <v>69</v>
      </c>
      <c r="R2262" s="20" t="s">
        <v>3328</v>
      </c>
      <c r="T2262" s="20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</row>
    <row r="2263">
      <c r="A2263" s="15" t="s">
        <v>8941</v>
      </c>
      <c r="B2263" s="19" t="s">
        <v>6339</v>
      </c>
      <c r="C2263" s="20">
        <v>50044.0</v>
      </c>
      <c r="D2263" s="20" t="s">
        <v>6338</v>
      </c>
      <c r="E2263" s="20">
        <v>9.19447711429E11</v>
      </c>
      <c r="F2263" s="22" t="s">
        <v>12593</v>
      </c>
      <c r="G2263" s="20"/>
      <c r="H2263" s="20" t="s">
        <v>6320</v>
      </c>
      <c r="I2263" s="20"/>
      <c r="J2263" s="20">
        <v>1.0</v>
      </c>
      <c r="K2263" s="20">
        <v>349.0</v>
      </c>
      <c r="L2263" s="20"/>
      <c r="M2263" s="20">
        <v>349.0</v>
      </c>
      <c r="N2263" s="5" t="s">
        <v>67</v>
      </c>
      <c r="O2263" s="20" t="b">
        <v>0</v>
      </c>
      <c r="P2263" s="20" t="s">
        <v>68</v>
      </c>
      <c r="Q2263" s="20" t="s">
        <v>69</v>
      </c>
      <c r="R2263" s="20" t="s">
        <v>6322</v>
      </c>
      <c r="T2263" s="20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</row>
    <row r="2264">
      <c r="A2264" s="15" t="s">
        <v>8742</v>
      </c>
      <c r="B2264" s="19" t="s">
        <v>6052</v>
      </c>
      <c r="C2264" s="20">
        <v>50076.0</v>
      </c>
      <c r="D2264" s="20" t="s">
        <v>6051</v>
      </c>
      <c r="E2264" s="20">
        <v>9.17860262811E11</v>
      </c>
      <c r="F2264" s="21">
        <v>18657.0</v>
      </c>
      <c r="G2264" s="20"/>
      <c r="H2264" s="20" t="s">
        <v>5984</v>
      </c>
      <c r="I2264" s="20"/>
      <c r="J2264" s="20">
        <v>1.0</v>
      </c>
      <c r="K2264" s="20">
        <v>99.0</v>
      </c>
      <c r="L2264" s="20"/>
      <c r="M2264" s="20">
        <v>99.0</v>
      </c>
      <c r="N2264" s="5" t="s">
        <v>67</v>
      </c>
      <c r="O2264" s="20" t="b">
        <v>0</v>
      </c>
      <c r="P2264" s="20" t="s">
        <v>68</v>
      </c>
      <c r="Q2264" s="20" t="s">
        <v>69</v>
      </c>
      <c r="R2264" s="20" t="s">
        <v>5987</v>
      </c>
      <c r="T2264" s="20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</row>
    <row r="2265">
      <c r="A2265" s="15" t="s">
        <v>8752</v>
      </c>
      <c r="B2265" s="19" t="s">
        <v>4065</v>
      </c>
      <c r="C2265" s="20">
        <v>49833.0</v>
      </c>
      <c r="D2265" s="20" t="s">
        <v>4064</v>
      </c>
      <c r="E2265" s="20">
        <v>9.18275416627E11</v>
      </c>
      <c r="F2265" s="21">
        <v>18661.0</v>
      </c>
      <c r="G2265" s="20"/>
      <c r="H2265" s="20" t="s">
        <v>4030</v>
      </c>
      <c r="I2265" s="20"/>
      <c r="J2265" s="20">
        <v>6.0</v>
      </c>
      <c r="K2265" s="20">
        <v>349.0</v>
      </c>
      <c r="L2265" s="20"/>
      <c r="M2265" s="20">
        <v>349.0</v>
      </c>
      <c r="N2265" s="5" t="s">
        <v>67</v>
      </c>
      <c r="O2265" s="20" t="b">
        <v>0</v>
      </c>
      <c r="P2265" s="20" t="s">
        <v>68</v>
      </c>
      <c r="Q2265" s="20" t="s">
        <v>69</v>
      </c>
      <c r="R2265" s="20" t="s">
        <v>4033</v>
      </c>
      <c r="T2265" s="20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</row>
    <row r="2266">
      <c r="A2266" s="15" t="s">
        <v>8753</v>
      </c>
      <c r="B2266" s="19" t="s">
        <v>4066</v>
      </c>
      <c r="C2266" s="20">
        <v>49833.0</v>
      </c>
      <c r="D2266" s="20" t="s">
        <v>618</v>
      </c>
      <c r="E2266" s="20">
        <v>9.19445286758E11</v>
      </c>
      <c r="F2266" s="21">
        <v>18660.0</v>
      </c>
      <c r="G2266" s="20"/>
      <c r="H2266" s="20" t="s">
        <v>4030</v>
      </c>
      <c r="I2266" s="20"/>
      <c r="J2266" s="20">
        <v>1.0</v>
      </c>
      <c r="K2266" s="20">
        <v>99.0</v>
      </c>
      <c r="L2266" s="20"/>
      <c r="M2266" s="20">
        <v>99.0</v>
      </c>
      <c r="N2266" s="5" t="s">
        <v>67</v>
      </c>
      <c r="O2266" s="20" t="b">
        <v>0</v>
      </c>
      <c r="P2266" s="20" t="s">
        <v>68</v>
      </c>
      <c r="Q2266" s="20" t="s">
        <v>69</v>
      </c>
      <c r="R2266" s="20" t="s">
        <v>4033</v>
      </c>
      <c r="T2266" s="20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</row>
    <row r="2267">
      <c r="A2267" s="15" t="s">
        <v>8754</v>
      </c>
      <c r="B2267" s="19" t="s">
        <v>6056</v>
      </c>
      <c r="C2267" s="20">
        <v>50076.0</v>
      </c>
      <c r="D2267" s="20" t="s">
        <v>6055</v>
      </c>
      <c r="E2267" s="20">
        <v>9.1800848681E11</v>
      </c>
      <c r="F2267" s="21">
        <v>18669.0</v>
      </c>
      <c r="G2267" s="20"/>
      <c r="H2267" s="20" t="s">
        <v>5984</v>
      </c>
      <c r="I2267" s="20"/>
      <c r="J2267" s="20">
        <v>1.0</v>
      </c>
      <c r="K2267" s="20">
        <v>99.0</v>
      </c>
      <c r="L2267" s="20"/>
      <c r="M2267" s="20">
        <v>99.0</v>
      </c>
      <c r="N2267" s="5" t="s">
        <v>67</v>
      </c>
      <c r="O2267" s="20" t="b">
        <v>0</v>
      </c>
      <c r="P2267" s="20" t="s">
        <v>68</v>
      </c>
      <c r="Q2267" s="20" t="s">
        <v>69</v>
      </c>
      <c r="R2267" s="20" t="s">
        <v>5987</v>
      </c>
      <c r="T2267" s="20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</row>
    <row r="2268">
      <c r="A2268" s="15" t="s">
        <v>8950</v>
      </c>
      <c r="B2268" s="19" t="s">
        <v>3114</v>
      </c>
      <c r="C2268" s="20">
        <v>49991.0</v>
      </c>
      <c r="D2268" s="20" t="s">
        <v>3113</v>
      </c>
      <c r="E2268" s="20">
        <v>9.18448753354E11</v>
      </c>
      <c r="F2268" s="21">
        <v>18745.0</v>
      </c>
      <c r="G2268" s="20"/>
      <c r="H2268" s="20" t="s">
        <v>3055</v>
      </c>
      <c r="I2268" s="20"/>
      <c r="J2268" s="20">
        <v>1.0</v>
      </c>
      <c r="K2268" s="20">
        <v>99.0</v>
      </c>
      <c r="L2268" s="20"/>
      <c r="M2268" s="20">
        <v>99.0</v>
      </c>
      <c r="N2268" s="5" t="s">
        <v>67</v>
      </c>
      <c r="O2268" s="20" t="b">
        <v>0</v>
      </c>
      <c r="P2268" s="20" t="s">
        <v>68</v>
      </c>
      <c r="Q2268" s="20" t="s">
        <v>69</v>
      </c>
      <c r="R2268" s="20" t="s">
        <v>3057</v>
      </c>
      <c r="T2268" s="20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</row>
    <row r="2269">
      <c r="A2269" s="15" t="s">
        <v>8743</v>
      </c>
      <c r="B2269" s="19" t="s">
        <v>6054</v>
      </c>
      <c r="C2269" s="20">
        <v>50076.0</v>
      </c>
      <c r="D2269" s="20" t="s">
        <v>6053</v>
      </c>
      <c r="E2269" s="20">
        <v>9.19052493406E11</v>
      </c>
      <c r="F2269" s="21">
        <v>18664.0</v>
      </c>
      <c r="G2269" s="20"/>
      <c r="H2269" s="20" t="s">
        <v>5984</v>
      </c>
      <c r="I2269" s="20"/>
      <c r="J2269" s="20">
        <v>1.0</v>
      </c>
      <c r="K2269" s="20">
        <v>99.0</v>
      </c>
      <c r="L2269" s="20"/>
      <c r="M2269" s="20">
        <v>99.0</v>
      </c>
      <c r="N2269" s="5" t="s">
        <v>67</v>
      </c>
      <c r="O2269" s="20" t="b">
        <v>0</v>
      </c>
      <c r="P2269" s="20" t="s">
        <v>68</v>
      </c>
      <c r="Q2269" s="20" t="s">
        <v>69</v>
      </c>
      <c r="R2269" s="20" t="s">
        <v>5987</v>
      </c>
      <c r="T2269" s="20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</row>
    <row r="2270">
      <c r="A2270" s="15" t="s">
        <v>8944</v>
      </c>
      <c r="B2270" s="19" t="s">
        <v>4090</v>
      </c>
      <c r="C2270" s="20">
        <v>49996.0</v>
      </c>
      <c r="D2270" s="20" t="s">
        <v>4824</v>
      </c>
      <c r="E2270" s="20">
        <v>9.19168249474E11</v>
      </c>
      <c r="F2270" s="21">
        <v>18742.0</v>
      </c>
      <c r="G2270" s="20"/>
      <c r="H2270" s="20" t="s">
        <v>4796</v>
      </c>
      <c r="I2270" s="20"/>
      <c r="J2270" s="20">
        <v>1.0</v>
      </c>
      <c r="K2270" s="20">
        <v>99.0</v>
      </c>
      <c r="L2270" s="20"/>
      <c r="M2270" s="20">
        <v>99.0</v>
      </c>
      <c r="N2270" s="5" t="s">
        <v>67</v>
      </c>
      <c r="O2270" s="20" t="b">
        <v>0</v>
      </c>
      <c r="P2270" s="20" t="s">
        <v>68</v>
      </c>
      <c r="Q2270" s="20" t="s">
        <v>69</v>
      </c>
      <c r="R2270" s="20" t="s">
        <v>4799</v>
      </c>
      <c r="T2270" s="20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</row>
    <row r="2271">
      <c r="A2271" s="15" t="s">
        <v>8744</v>
      </c>
      <c r="B2271" s="19" t="s">
        <v>4063</v>
      </c>
      <c r="C2271" s="20">
        <v>49833.0</v>
      </c>
      <c r="D2271" s="20" t="s">
        <v>4062</v>
      </c>
      <c r="E2271" s="20">
        <v>9.19832040225E11</v>
      </c>
      <c r="F2271" s="21">
        <v>18656.0</v>
      </c>
      <c r="G2271" s="20"/>
      <c r="H2271" s="20" t="s">
        <v>4030</v>
      </c>
      <c r="I2271" s="20"/>
      <c r="J2271" s="20">
        <v>1.0</v>
      </c>
      <c r="K2271" s="20">
        <v>99.0</v>
      </c>
      <c r="L2271" s="20"/>
      <c r="M2271" s="20">
        <v>99.0</v>
      </c>
      <c r="N2271" s="5" t="s">
        <v>67</v>
      </c>
      <c r="O2271" s="20" t="b">
        <v>0</v>
      </c>
      <c r="P2271" s="20" t="s">
        <v>68</v>
      </c>
      <c r="Q2271" s="20" t="s">
        <v>69</v>
      </c>
      <c r="R2271" s="20" t="s">
        <v>4033</v>
      </c>
      <c r="T2271" s="20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</row>
    <row r="2272">
      <c r="A2272" s="15" t="s">
        <v>8945</v>
      </c>
      <c r="B2272" s="19" t="s">
        <v>4090</v>
      </c>
      <c r="C2272" s="20">
        <v>49833.0</v>
      </c>
      <c r="D2272" s="20" t="s">
        <v>4089</v>
      </c>
      <c r="E2272" s="20">
        <v>9.1904833241E11</v>
      </c>
      <c r="F2272" s="21">
        <v>18741.0</v>
      </c>
      <c r="G2272" s="20"/>
      <c r="H2272" s="20" t="s">
        <v>4030</v>
      </c>
      <c r="I2272" s="20"/>
      <c r="J2272" s="20">
        <v>1.0</v>
      </c>
      <c r="K2272" s="20">
        <v>99.0</v>
      </c>
      <c r="L2272" s="20"/>
      <c r="M2272" s="20">
        <v>99.0</v>
      </c>
      <c r="N2272" s="5" t="s">
        <v>67</v>
      </c>
      <c r="O2272" s="20" t="b">
        <v>0</v>
      </c>
      <c r="P2272" s="20" t="s">
        <v>68</v>
      </c>
      <c r="Q2272" s="20" t="s">
        <v>69</v>
      </c>
      <c r="R2272" s="20" t="s">
        <v>4033</v>
      </c>
      <c r="T2272" s="20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</row>
    <row r="2273">
      <c r="A2273" s="15" t="s">
        <v>8951</v>
      </c>
      <c r="B2273" s="19" t="s">
        <v>5157</v>
      </c>
      <c r="C2273" s="20">
        <v>49813.0</v>
      </c>
      <c r="D2273" s="20" t="s">
        <v>5156</v>
      </c>
      <c r="E2273" s="20">
        <v>9.19582020111E11</v>
      </c>
      <c r="F2273" s="21">
        <v>0.0</v>
      </c>
      <c r="G2273" s="20"/>
      <c r="H2273" s="20" t="s">
        <v>5114</v>
      </c>
      <c r="I2273" s="20"/>
      <c r="J2273" s="20">
        <v>1.0</v>
      </c>
      <c r="K2273" s="20">
        <v>299.0</v>
      </c>
      <c r="L2273" s="20"/>
      <c r="M2273" s="20">
        <v>299.0</v>
      </c>
      <c r="N2273" s="5" t="s">
        <v>67</v>
      </c>
      <c r="O2273" s="20" t="b">
        <v>0</v>
      </c>
      <c r="P2273" s="20" t="s">
        <v>74</v>
      </c>
      <c r="Q2273" s="20" t="s">
        <v>69</v>
      </c>
      <c r="R2273" s="20" t="s">
        <v>5116</v>
      </c>
      <c r="T2273" s="20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</row>
    <row r="2274">
      <c r="A2274" s="15" t="s">
        <v>8746</v>
      </c>
      <c r="B2274" s="19" t="s">
        <v>3106</v>
      </c>
      <c r="C2274" s="20">
        <v>49991.0</v>
      </c>
      <c r="D2274" s="20" t="s">
        <v>3105</v>
      </c>
      <c r="E2274" s="20">
        <v>9.17022925162E11</v>
      </c>
      <c r="F2274" s="21">
        <v>18659.0</v>
      </c>
      <c r="G2274" s="20"/>
      <c r="H2274" s="20" t="s">
        <v>3055</v>
      </c>
      <c r="I2274" s="20"/>
      <c r="J2274" s="20">
        <v>3.0</v>
      </c>
      <c r="K2274" s="20">
        <v>199.0</v>
      </c>
      <c r="L2274" s="20"/>
      <c r="M2274" s="20">
        <v>199.0</v>
      </c>
      <c r="N2274" s="5" t="s">
        <v>67</v>
      </c>
      <c r="O2274" s="20" t="b">
        <v>0</v>
      </c>
      <c r="P2274" s="20" t="s">
        <v>74</v>
      </c>
      <c r="Q2274" s="20" t="s">
        <v>69</v>
      </c>
      <c r="R2274" s="20" t="s">
        <v>3057</v>
      </c>
      <c r="T2274" s="20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</row>
    <row r="2275">
      <c r="A2275" s="15" t="s">
        <v>8946</v>
      </c>
      <c r="B2275" s="19" t="s">
        <v>5441</v>
      </c>
      <c r="C2275" s="20">
        <v>50040.0</v>
      </c>
      <c r="D2275" s="20" t="s">
        <v>5440</v>
      </c>
      <c r="E2275" s="20">
        <v>9.19940164021E11</v>
      </c>
      <c r="F2275" s="21">
        <v>18743.0</v>
      </c>
      <c r="G2275" s="20"/>
      <c r="H2275" s="20" t="s">
        <v>5400</v>
      </c>
      <c r="I2275" s="20"/>
      <c r="J2275" s="20">
        <v>1.0</v>
      </c>
      <c r="K2275" s="20">
        <v>99.0</v>
      </c>
      <c r="L2275" s="20"/>
      <c r="M2275" s="20">
        <v>99.0</v>
      </c>
      <c r="N2275" s="5" t="s">
        <v>67</v>
      </c>
      <c r="O2275" s="20" t="b">
        <v>0</v>
      </c>
      <c r="P2275" s="20" t="s">
        <v>68</v>
      </c>
      <c r="Q2275" s="20" t="s">
        <v>69</v>
      </c>
      <c r="R2275" s="20" t="s">
        <v>5402</v>
      </c>
      <c r="T2275" s="20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</row>
    <row r="2276">
      <c r="A2276" s="15" t="s">
        <v>8756</v>
      </c>
      <c r="B2276" s="19" t="s">
        <v>5236</v>
      </c>
      <c r="C2276" s="20">
        <v>50022.0</v>
      </c>
      <c r="D2276" s="20" t="s">
        <v>5235</v>
      </c>
      <c r="E2276" s="20">
        <v>9.18452075926E11</v>
      </c>
      <c r="F2276" s="21">
        <v>18662.0</v>
      </c>
      <c r="G2276" s="20"/>
      <c r="H2276" s="20" t="s">
        <v>5181</v>
      </c>
      <c r="I2276" s="20"/>
      <c r="J2276" s="20">
        <v>1.0</v>
      </c>
      <c r="K2276" s="20">
        <v>99.0</v>
      </c>
      <c r="L2276" s="20"/>
      <c r="M2276" s="20">
        <v>99.0</v>
      </c>
      <c r="N2276" s="5" t="s">
        <v>67</v>
      </c>
      <c r="O2276" s="20" t="b">
        <v>0</v>
      </c>
      <c r="P2276" s="20" t="s">
        <v>68</v>
      </c>
      <c r="Q2276" s="20" t="s">
        <v>69</v>
      </c>
      <c r="R2276" s="20" t="s">
        <v>5183</v>
      </c>
      <c r="T2276" s="20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</row>
    <row r="2277">
      <c r="A2277" s="15" t="s">
        <v>8757</v>
      </c>
      <c r="B2277" s="19" t="s">
        <v>3425</v>
      </c>
      <c r="C2277" s="20">
        <v>50030.0</v>
      </c>
      <c r="D2277" s="20" t="s">
        <v>3424</v>
      </c>
      <c r="E2277" s="20">
        <v>9.19535490066E11</v>
      </c>
      <c r="F2277" s="21">
        <v>18663.0</v>
      </c>
      <c r="G2277" s="20"/>
      <c r="H2277" s="20" t="s">
        <v>3326</v>
      </c>
      <c r="I2277" s="20"/>
      <c r="J2277" s="20">
        <v>1.0</v>
      </c>
      <c r="K2277" s="20">
        <v>99.0</v>
      </c>
      <c r="L2277" s="20"/>
      <c r="M2277" s="20">
        <v>99.0</v>
      </c>
      <c r="N2277" s="5" t="s">
        <v>67</v>
      </c>
      <c r="O2277" s="20" t="b">
        <v>0</v>
      </c>
      <c r="P2277" s="20" t="s">
        <v>68</v>
      </c>
      <c r="Q2277" s="20" t="s">
        <v>69</v>
      </c>
      <c r="R2277" s="20" t="s">
        <v>3328</v>
      </c>
      <c r="T2277" s="20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</row>
    <row r="2278">
      <c r="A2278" s="15" t="s">
        <v>8947</v>
      </c>
      <c r="B2278" s="19" t="s">
        <v>4092</v>
      </c>
      <c r="C2278" s="20">
        <v>49833.0</v>
      </c>
      <c r="D2278" s="20" t="s">
        <v>4091</v>
      </c>
      <c r="E2278" s="20">
        <v>9.18953966699E11</v>
      </c>
      <c r="F2278" s="21">
        <v>18744.0</v>
      </c>
      <c r="G2278" s="20"/>
      <c r="H2278" s="20" t="s">
        <v>4030</v>
      </c>
      <c r="I2278" s="20"/>
      <c r="J2278" s="20">
        <v>6.0</v>
      </c>
      <c r="K2278" s="20">
        <v>349.0</v>
      </c>
      <c r="L2278" s="20"/>
      <c r="M2278" s="20">
        <v>349.0</v>
      </c>
      <c r="N2278" s="5" t="s">
        <v>67</v>
      </c>
      <c r="O2278" s="20" t="b">
        <v>0</v>
      </c>
      <c r="P2278" s="20" t="s">
        <v>68</v>
      </c>
      <c r="Q2278" s="20" t="s">
        <v>69</v>
      </c>
      <c r="R2278" s="20" t="s">
        <v>4033</v>
      </c>
      <c r="T2278" s="20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</row>
    <row r="2279">
      <c r="A2279" s="15" t="s">
        <v>8958</v>
      </c>
      <c r="B2279" s="19" t="s">
        <v>4093</v>
      </c>
      <c r="C2279" s="20">
        <v>49833.0</v>
      </c>
      <c r="D2279" s="20" t="s">
        <v>1131</v>
      </c>
      <c r="E2279" s="20">
        <v>9.1992006585E11</v>
      </c>
      <c r="F2279" s="22" t="s">
        <v>12593</v>
      </c>
      <c r="G2279" s="20"/>
      <c r="H2279" s="20" t="s">
        <v>4030</v>
      </c>
      <c r="I2279" s="20"/>
      <c r="J2279" s="20">
        <v>3.0</v>
      </c>
      <c r="K2279" s="20">
        <v>199.0</v>
      </c>
      <c r="L2279" s="20"/>
      <c r="M2279" s="20">
        <v>199.0</v>
      </c>
      <c r="N2279" s="5" t="s">
        <v>67</v>
      </c>
      <c r="O2279" s="20" t="b">
        <v>0</v>
      </c>
      <c r="P2279" s="20" t="s">
        <v>74</v>
      </c>
      <c r="Q2279" s="20" t="s">
        <v>69</v>
      </c>
      <c r="R2279" s="20" t="s">
        <v>4033</v>
      </c>
      <c r="T2279" s="20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</row>
    <row r="2280">
      <c r="A2280" s="15" t="s">
        <v>8758</v>
      </c>
      <c r="B2280" s="19" t="s">
        <v>6385</v>
      </c>
      <c r="C2280" s="20">
        <v>50043.0</v>
      </c>
      <c r="D2280" s="20" t="s">
        <v>6384</v>
      </c>
      <c r="E2280" s="20">
        <v>9.18806501483E11</v>
      </c>
      <c r="F2280" s="21">
        <v>0.0</v>
      </c>
      <c r="G2280" s="20"/>
      <c r="H2280" s="20" t="s">
        <v>6367</v>
      </c>
      <c r="I2280" s="20"/>
      <c r="J2280" s="20">
        <v>1.0</v>
      </c>
      <c r="K2280" s="20">
        <v>99.0</v>
      </c>
      <c r="L2280" s="20"/>
      <c r="M2280" s="20">
        <v>99.0</v>
      </c>
      <c r="N2280" s="5" t="s">
        <v>67</v>
      </c>
      <c r="O2280" s="20" t="b">
        <v>0</v>
      </c>
      <c r="P2280" s="20" t="s">
        <v>68</v>
      </c>
      <c r="Q2280" s="20" t="s">
        <v>69</v>
      </c>
      <c r="R2280" s="20" t="s">
        <v>6369</v>
      </c>
      <c r="T2280" s="20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</row>
    <row r="2281">
      <c r="A2281" s="15" t="s">
        <v>8759</v>
      </c>
      <c r="B2281" s="19" t="s">
        <v>4659</v>
      </c>
      <c r="C2281" s="20">
        <v>49859.0</v>
      </c>
      <c r="D2281" s="20" t="s">
        <v>4658</v>
      </c>
      <c r="E2281" s="20">
        <v>9.19819383522E11</v>
      </c>
      <c r="F2281" s="21">
        <v>18667.0</v>
      </c>
      <c r="G2281" s="20"/>
      <c r="H2281" s="20" t="s">
        <v>1133</v>
      </c>
      <c r="I2281" s="20"/>
      <c r="J2281" s="20">
        <v>6.0</v>
      </c>
      <c r="K2281" s="20">
        <v>349.0</v>
      </c>
      <c r="L2281" s="20"/>
      <c r="M2281" s="20">
        <v>349.0</v>
      </c>
      <c r="N2281" s="5" t="s">
        <v>67</v>
      </c>
      <c r="O2281" s="20" t="b">
        <v>0</v>
      </c>
      <c r="P2281" s="20" t="s">
        <v>68</v>
      </c>
      <c r="Q2281" s="20" t="s">
        <v>69</v>
      </c>
      <c r="R2281" s="20" t="s">
        <v>4620</v>
      </c>
      <c r="T2281" s="20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</row>
    <row r="2282">
      <c r="A2282" s="15" t="s">
        <v>8760</v>
      </c>
      <c r="B2282" s="19" t="s">
        <v>6058</v>
      </c>
      <c r="C2282" s="20">
        <v>50076.0</v>
      </c>
      <c r="D2282" s="20" t="s">
        <v>6057</v>
      </c>
      <c r="E2282" s="20">
        <v>9.19284944635E11</v>
      </c>
      <c r="F2282" s="21">
        <v>18665.0</v>
      </c>
      <c r="G2282" s="20"/>
      <c r="H2282" s="20" t="s">
        <v>5984</v>
      </c>
      <c r="I2282" s="20"/>
      <c r="J2282" s="20">
        <v>1.0</v>
      </c>
      <c r="K2282" s="20">
        <v>99.0</v>
      </c>
      <c r="L2282" s="20"/>
      <c r="M2282" s="20">
        <v>99.0</v>
      </c>
      <c r="N2282" s="5" t="s">
        <v>67</v>
      </c>
      <c r="O2282" s="20" t="b">
        <v>0</v>
      </c>
      <c r="P2282" s="20" t="s">
        <v>68</v>
      </c>
      <c r="Q2282" s="20" t="s">
        <v>69</v>
      </c>
      <c r="R2282" s="20" t="s">
        <v>5987</v>
      </c>
      <c r="T2282" s="20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</row>
    <row r="2283">
      <c r="A2283" s="15" t="s">
        <v>8964</v>
      </c>
      <c r="B2283" s="19" t="s">
        <v>4097</v>
      </c>
      <c r="C2283" s="20">
        <v>49833.0</v>
      </c>
      <c r="D2283" s="20" t="s">
        <v>4096</v>
      </c>
      <c r="E2283" s="20">
        <v>9.19981556104E11</v>
      </c>
      <c r="F2283" s="21">
        <v>18748.0</v>
      </c>
      <c r="G2283" s="20"/>
      <c r="H2283" s="20" t="s">
        <v>4030</v>
      </c>
      <c r="I2283" s="20"/>
      <c r="J2283" s="20">
        <v>6.0</v>
      </c>
      <c r="K2283" s="20">
        <v>349.0</v>
      </c>
      <c r="L2283" s="20"/>
      <c r="M2283" s="20">
        <v>349.0</v>
      </c>
      <c r="N2283" s="5" t="s">
        <v>67</v>
      </c>
      <c r="O2283" s="20" t="b">
        <v>0</v>
      </c>
      <c r="P2283" s="20" t="s">
        <v>68</v>
      </c>
      <c r="Q2283" s="20" t="s">
        <v>69</v>
      </c>
      <c r="R2283" s="20" t="s">
        <v>4033</v>
      </c>
      <c r="T2283" s="20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</row>
    <row r="2284">
      <c r="A2284" s="15" t="s">
        <v>8761</v>
      </c>
      <c r="B2284" s="19" t="s">
        <v>6060</v>
      </c>
      <c r="C2284" s="20">
        <v>50076.0</v>
      </c>
      <c r="D2284" s="20" t="s">
        <v>6059</v>
      </c>
      <c r="E2284" s="20">
        <v>9.19766991923E11</v>
      </c>
      <c r="F2284" s="21">
        <v>0.0</v>
      </c>
      <c r="G2284" s="20"/>
      <c r="H2284" s="20" t="s">
        <v>5984</v>
      </c>
      <c r="I2284" s="20"/>
      <c r="J2284" s="20">
        <v>1.0</v>
      </c>
      <c r="K2284" s="20">
        <v>99.0</v>
      </c>
      <c r="L2284" s="20"/>
      <c r="M2284" s="20">
        <v>99.0</v>
      </c>
      <c r="N2284" s="5" t="s">
        <v>67</v>
      </c>
      <c r="O2284" s="20" t="b">
        <v>0</v>
      </c>
      <c r="P2284" s="20" t="s">
        <v>74</v>
      </c>
      <c r="Q2284" s="20" t="s">
        <v>69</v>
      </c>
      <c r="R2284" s="20" t="s">
        <v>5987</v>
      </c>
      <c r="T2284" s="20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</row>
    <row r="2285">
      <c r="A2285" s="15" t="s">
        <v>8960</v>
      </c>
      <c r="B2285" s="19" t="s">
        <v>4095</v>
      </c>
      <c r="C2285" s="20">
        <v>49833.0</v>
      </c>
      <c r="D2285" s="20" t="s">
        <v>4094</v>
      </c>
      <c r="E2285" s="20">
        <v>9.19986400398E11</v>
      </c>
      <c r="F2285" s="21">
        <v>18747.0</v>
      </c>
      <c r="G2285" s="20"/>
      <c r="H2285" s="20" t="s">
        <v>4030</v>
      </c>
      <c r="I2285" s="20"/>
      <c r="J2285" s="20">
        <v>1.0</v>
      </c>
      <c r="K2285" s="20">
        <v>99.0</v>
      </c>
      <c r="L2285" s="20"/>
      <c r="M2285" s="20">
        <v>99.0</v>
      </c>
      <c r="N2285" s="5" t="s">
        <v>67</v>
      </c>
      <c r="O2285" s="20" t="b">
        <v>0</v>
      </c>
      <c r="P2285" s="20" t="s">
        <v>68</v>
      </c>
      <c r="Q2285" s="20" t="s">
        <v>69</v>
      </c>
      <c r="R2285" s="20" t="s">
        <v>4033</v>
      </c>
      <c r="T2285" s="20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</row>
    <row r="2286">
      <c r="A2286" s="15" t="s">
        <v>8765</v>
      </c>
      <c r="B2286" s="19" t="s">
        <v>2829</v>
      </c>
      <c r="C2286" s="20">
        <v>50029.0</v>
      </c>
      <c r="D2286" s="20" t="s">
        <v>2828</v>
      </c>
      <c r="E2286" s="20">
        <v>9.19911098985E11</v>
      </c>
      <c r="F2286" s="21">
        <v>18756.0</v>
      </c>
      <c r="G2286" s="20"/>
      <c r="H2286" s="20" t="s">
        <v>2761</v>
      </c>
      <c r="I2286" s="20"/>
      <c r="J2286" s="20">
        <v>1.0</v>
      </c>
      <c r="K2286" s="20">
        <v>99.0</v>
      </c>
      <c r="L2286" s="20"/>
      <c r="M2286" s="20">
        <v>99.0</v>
      </c>
      <c r="N2286" s="5" t="s">
        <v>67</v>
      </c>
      <c r="O2286" s="20" t="b">
        <v>0</v>
      </c>
      <c r="P2286" s="20" t="s">
        <v>68</v>
      </c>
      <c r="Q2286" s="20" t="s">
        <v>69</v>
      </c>
      <c r="R2286" s="20" t="s">
        <v>2763</v>
      </c>
      <c r="T2286" s="20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</row>
    <row r="2287">
      <c r="A2287" s="15" t="s">
        <v>8965</v>
      </c>
      <c r="B2287" s="19" t="s">
        <v>4454</v>
      </c>
      <c r="C2287" s="20">
        <v>50052.0</v>
      </c>
      <c r="D2287" s="20" t="s">
        <v>4453</v>
      </c>
      <c r="E2287" s="20">
        <v>9.17717736088E11</v>
      </c>
      <c r="F2287" s="21">
        <v>18759.0</v>
      </c>
      <c r="G2287" s="20"/>
      <c r="H2287" s="20" t="s">
        <v>4433</v>
      </c>
      <c r="I2287" s="20"/>
      <c r="J2287" s="20">
        <v>1.0</v>
      </c>
      <c r="K2287" s="20">
        <v>99.0</v>
      </c>
      <c r="L2287" s="20"/>
      <c r="M2287" s="20">
        <v>99.0</v>
      </c>
      <c r="N2287" s="5" t="s">
        <v>67</v>
      </c>
      <c r="O2287" s="20" t="b">
        <v>0</v>
      </c>
      <c r="P2287" s="20" t="s">
        <v>68</v>
      </c>
      <c r="Q2287" s="20" t="s">
        <v>69</v>
      </c>
      <c r="R2287" s="20" t="s">
        <v>4435</v>
      </c>
      <c r="T2287" s="20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</row>
    <row r="2288">
      <c r="A2288" s="15" t="s">
        <v>8766</v>
      </c>
      <c r="B2288" s="19" t="s">
        <v>2827</v>
      </c>
      <c r="C2288" s="20">
        <v>50029.0</v>
      </c>
      <c r="D2288" s="20" t="s">
        <v>2826</v>
      </c>
      <c r="E2288" s="20">
        <v>9.19755744733E11</v>
      </c>
      <c r="F2288" s="21">
        <v>18668.0</v>
      </c>
      <c r="G2288" s="20"/>
      <c r="H2288" s="20" t="s">
        <v>2761</v>
      </c>
      <c r="I2288" s="20"/>
      <c r="J2288" s="20">
        <v>1.0</v>
      </c>
      <c r="K2288" s="20">
        <v>99.0</v>
      </c>
      <c r="L2288" s="20"/>
      <c r="M2288" s="20">
        <v>99.0</v>
      </c>
      <c r="N2288" s="5" t="s">
        <v>67</v>
      </c>
      <c r="O2288" s="20" t="b">
        <v>0</v>
      </c>
      <c r="P2288" s="20" t="s">
        <v>68</v>
      </c>
      <c r="Q2288" s="20" t="s">
        <v>69</v>
      </c>
      <c r="R2288" s="20" t="s">
        <v>2763</v>
      </c>
      <c r="T2288" s="20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</row>
    <row r="2289">
      <c r="A2289" s="15" t="s">
        <v>8967</v>
      </c>
      <c r="B2289" s="19" t="s">
        <v>4905</v>
      </c>
      <c r="C2289" s="20">
        <v>49951.0</v>
      </c>
      <c r="D2289" s="20" t="s">
        <v>4904</v>
      </c>
      <c r="E2289" s="20">
        <v>9.19008277578E11</v>
      </c>
      <c r="F2289" s="21">
        <v>18749.0</v>
      </c>
      <c r="G2289" s="20"/>
      <c r="H2289" s="20" t="s">
        <v>4887</v>
      </c>
      <c r="I2289" s="20"/>
      <c r="J2289" s="20">
        <v>1.0</v>
      </c>
      <c r="K2289" s="20">
        <v>99.0</v>
      </c>
      <c r="L2289" s="20"/>
      <c r="M2289" s="20">
        <v>99.0</v>
      </c>
      <c r="N2289" s="5" t="s">
        <v>67</v>
      </c>
      <c r="O2289" s="20" t="b">
        <v>0</v>
      </c>
      <c r="P2289" s="20" t="s">
        <v>68</v>
      </c>
      <c r="Q2289" s="20" t="s">
        <v>69</v>
      </c>
      <c r="R2289" s="20" t="s">
        <v>4889</v>
      </c>
      <c r="T2289" s="20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</row>
    <row r="2290">
      <c r="A2290" s="15" t="s">
        <v>8767</v>
      </c>
      <c r="B2290" s="19" t="s">
        <v>6062</v>
      </c>
      <c r="C2290" s="20">
        <v>50076.0</v>
      </c>
      <c r="D2290" s="20" t="s">
        <v>6061</v>
      </c>
      <c r="E2290" s="20">
        <v>9.19789435537E11</v>
      </c>
      <c r="F2290" s="21">
        <v>18666.0</v>
      </c>
      <c r="G2290" s="20"/>
      <c r="H2290" s="20" t="s">
        <v>5984</v>
      </c>
      <c r="I2290" s="20"/>
      <c r="J2290" s="20">
        <v>1.0</v>
      </c>
      <c r="K2290" s="20">
        <v>99.0</v>
      </c>
      <c r="L2290" s="20"/>
      <c r="M2290" s="20">
        <v>99.0</v>
      </c>
      <c r="N2290" s="5" t="s">
        <v>67</v>
      </c>
      <c r="O2290" s="20" t="b">
        <v>0</v>
      </c>
      <c r="P2290" s="20" t="s">
        <v>68</v>
      </c>
      <c r="Q2290" s="20" t="s">
        <v>69</v>
      </c>
      <c r="R2290" s="20" t="s">
        <v>5987</v>
      </c>
      <c r="T2290" s="20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</row>
    <row r="2291">
      <c r="A2291" s="15" t="s">
        <v>8774</v>
      </c>
      <c r="B2291" s="19" t="s">
        <v>4993</v>
      </c>
      <c r="C2291" s="20">
        <v>50094.0</v>
      </c>
      <c r="D2291" s="20" t="s">
        <v>4992</v>
      </c>
      <c r="E2291" s="5">
        <v>9.17510807872E11</v>
      </c>
      <c r="F2291" s="21">
        <v>18826.0</v>
      </c>
      <c r="G2291" s="20"/>
      <c r="H2291" s="20" t="s">
        <v>4942</v>
      </c>
      <c r="I2291" s="5"/>
      <c r="J2291" s="20">
        <v>1.0</v>
      </c>
      <c r="K2291" s="20">
        <v>199.0</v>
      </c>
      <c r="L2291" s="20"/>
      <c r="M2291" s="20">
        <v>199.0</v>
      </c>
      <c r="N2291" s="5" t="s">
        <v>67</v>
      </c>
      <c r="O2291" s="20" t="b">
        <v>0</v>
      </c>
      <c r="P2291" s="20" t="s">
        <v>74</v>
      </c>
      <c r="Q2291" s="20" t="s">
        <v>69</v>
      </c>
      <c r="R2291" s="20" t="s">
        <v>4945</v>
      </c>
      <c r="T2291" s="20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</row>
    <row r="2292">
      <c r="A2292" s="15" t="s">
        <v>8775</v>
      </c>
      <c r="B2292" s="19" t="s">
        <v>6074</v>
      </c>
      <c r="C2292" s="20">
        <v>50076.0</v>
      </c>
      <c r="D2292" s="20" t="s">
        <v>6073</v>
      </c>
      <c r="E2292" s="20">
        <v>9.190047435E11</v>
      </c>
      <c r="F2292" s="21">
        <v>18702.0</v>
      </c>
      <c r="G2292" s="20"/>
      <c r="H2292" s="20" t="s">
        <v>5984</v>
      </c>
      <c r="I2292" s="20"/>
      <c r="J2292" s="20">
        <v>1.0</v>
      </c>
      <c r="K2292" s="20">
        <v>99.0</v>
      </c>
      <c r="L2292" s="20"/>
      <c r="M2292" s="20">
        <v>99.0</v>
      </c>
      <c r="N2292" s="5" t="s">
        <v>67</v>
      </c>
      <c r="O2292" s="20" t="b">
        <v>0</v>
      </c>
      <c r="P2292" s="20" t="s">
        <v>68</v>
      </c>
      <c r="Q2292" s="20" t="s">
        <v>69</v>
      </c>
      <c r="R2292" s="20" t="s">
        <v>5987</v>
      </c>
      <c r="T2292" s="20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</row>
    <row r="2293">
      <c r="A2293" s="15" t="s">
        <v>8776</v>
      </c>
      <c r="B2293" s="19" t="s">
        <v>6064</v>
      </c>
      <c r="C2293" s="20">
        <v>50076.0</v>
      </c>
      <c r="D2293" s="20" t="s">
        <v>6063</v>
      </c>
      <c r="E2293" s="20">
        <v>9.17010197344E11</v>
      </c>
      <c r="F2293" s="21">
        <v>18670.0</v>
      </c>
      <c r="G2293" s="20"/>
      <c r="H2293" s="20" t="s">
        <v>5984</v>
      </c>
      <c r="I2293" s="20"/>
      <c r="J2293" s="20">
        <v>1.0</v>
      </c>
      <c r="K2293" s="20">
        <v>99.0</v>
      </c>
      <c r="L2293" s="20"/>
      <c r="M2293" s="20">
        <v>99.0</v>
      </c>
      <c r="N2293" s="5" t="s">
        <v>67</v>
      </c>
      <c r="O2293" s="20" t="b">
        <v>0</v>
      </c>
      <c r="P2293" s="20" t="s">
        <v>68</v>
      </c>
      <c r="Q2293" s="20" t="s">
        <v>69</v>
      </c>
      <c r="R2293" s="20" t="s">
        <v>5987</v>
      </c>
      <c r="T2293" s="20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</row>
    <row r="2294">
      <c r="A2294" s="15" t="s">
        <v>8968</v>
      </c>
      <c r="B2294" s="19" t="s">
        <v>4907</v>
      </c>
      <c r="C2294" s="20">
        <v>49951.0</v>
      </c>
      <c r="D2294" s="20" t="s">
        <v>4906</v>
      </c>
      <c r="E2294" s="20">
        <v>9.18851282042E11</v>
      </c>
      <c r="F2294" s="21">
        <v>18751.0</v>
      </c>
      <c r="G2294" s="20"/>
      <c r="H2294" s="20" t="s">
        <v>4887</v>
      </c>
      <c r="I2294" s="20"/>
      <c r="J2294" s="20">
        <v>1.0</v>
      </c>
      <c r="K2294" s="20">
        <v>99.0</v>
      </c>
      <c r="L2294" s="20"/>
      <c r="M2294" s="20">
        <v>99.0</v>
      </c>
      <c r="N2294" s="5" t="s">
        <v>67</v>
      </c>
      <c r="O2294" s="20" t="b">
        <v>0</v>
      </c>
      <c r="P2294" s="20" t="s">
        <v>68</v>
      </c>
      <c r="Q2294" s="20" t="s">
        <v>69</v>
      </c>
      <c r="R2294" s="20" t="s">
        <v>4889</v>
      </c>
      <c r="T2294" s="20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</row>
    <row r="2295">
      <c r="A2295" s="15" t="s">
        <v>8975</v>
      </c>
      <c r="B2295" s="19" t="s">
        <v>4099</v>
      </c>
      <c r="C2295" s="20">
        <v>49833.0</v>
      </c>
      <c r="D2295" s="20" t="s">
        <v>4098</v>
      </c>
      <c r="E2295" s="20">
        <v>9.1991687122E11</v>
      </c>
      <c r="F2295" s="21">
        <v>18754.0</v>
      </c>
      <c r="G2295" s="20"/>
      <c r="H2295" s="20" t="s">
        <v>4030</v>
      </c>
      <c r="I2295" s="20"/>
      <c r="J2295" s="20">
        <v>1.0</v>
      </c>
      <c r="K2295" s="20">
        <v>99.0</v>
      </c>
      <c r="L2295" s="20"/>
      <c r="M2295" s="20">
        <v>99.0</v>
      </c>
      <c r="N2295" s="5" t="s">
        <v>67</v>
      </c>
      <c r="O2295" s="20" t="b">
        <v>0</v>
      </c>
      <c r="P2295" s="20" t="s">
        <v>74</v>
      </c>
      <c r="Q2295" s="20" t="s">
        <v>69</v>
      </c>
      <c r="R2295" s="20" t="s">
        <v>4033</v>
      </c>
      <c r="T2295" s="20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</row>
    <row r="2296">
      <c r="A2296" s="15" t="s">
        <v>8780</v>
      </c>
      <c r="B2296" s="19" t="s">
        <v>4823</v>
      </c>
      <c r="C2296" s="20">
        <v>49996.0</v>
      </c>
      <c r="D2296" s="20" t="s">
        <v>4822</v>
      </c>
      <c r="E2296" s="20">
        <v>9.19834943011E11</v>
      </c>
      <c r="F2296" s="21">
        <v>18671.0</v>
      </c>
      <c r="G2296" s="20"/>
      <c r="H2296" s="20" t="s">
        <v>4796</v>
      </c>
      <c r="I2296" s="20"/>
      <c r="J2296" s="20">
        <v>1.0</v>
      </c>
      <c r="K2296" s="20">
        <v>99.0</v>
      </c>
      <c r="L2296" s="20"/>
      <c r="M2296" s="20">
        <v>99.0</v>
      </c>
      <c r="N2296" s="5" t="s">
        <v>67</v>
      </c>
      <c r="O2296" s="20" t="b">
        <v>0</v>
      </c>
      <c r="P2296" s="20" t="s">
        <v>68</v>
      </c>
      <c r="Q2296" s="20" t="s">
        <v>69</v>
      </c>
      <c r="R2296" s="20" t="s">
        <v>4799</v>
      </c>
      <c r="T2296" s="20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</row>
    <row r="2297">
      <c r="A2297" s="15" t="s">
        <v>8969</v>
      </c>
      <c r="B2297" s="19" t="s">
        <v>4665</v>
      </c>
      <c r="C2297" s="20">
        <v>49859.0</v>
      </c>
      <c r="D2297" s="20" t="s">
        <v>4664</v>
      </c>
      <c r="E2297" s="20">
        <v>9.19064651607E11</v>
      </c>
      <c r="F2297" s="21">
        <v>18752.0</v>
      </c>
      <c r="G2297" s="20"/>
      <c r="H2297" s="20" t="s">
        <v>1133</v>
      </c>
      <c r="I2297" s="20"/>
      <c r="J2297" s="20">
        <v>3.0</v>
      </c>
      <c r="K2297" s="20">
        <v>199.0</v>
      </c>
      <c r="L2297" s="20"/>
      <c r="M2297" s="20">
        <v>199.0</v>
      </c>
      <c r="N2297" s="5" t="s">
        <v>67</v>
      </c>
      <c r="O2297" s="20" t="b">
        <v>0</v>
      </c>
      <c r="P2297" s="20" t="s">
        <v>68</v>
      </c>
      <c r="Q2297" s="20" t="s">
        <v>69</v>
      </c>
      <c r="R2297" s="20" t="s">
        <v>4620</v>
      </c>
      <c r="T2297" s="20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</row>
    <row r="2298">
      <c r="A2298" s="15" t="s">
        <v>8971</v>
      </c>
      <c r="B2298" s="19" t="s">
        <v>6083</v>
      </c>
      <c r="C2298" s="20">
        <v>50076.0</v>
      </c>
      <c r="D2298" s="20" t="s">
        <v>6082</v>
      </c>
      <c r="E2298" s="20">
        <v>9.19113393763E11</v>
      </c>
      <c r="F2298" s="21">
        <v>18753.0</v>
      </c>
      <c r="G2298" s="20"/>
      <c r="H2298" s="20" t="s">
        <v>5984</v>
      </c>
      <c r="I2298" s="20"/>
      <c r="J2298" s="20">
        <v>1.0</v>
      </c>
      <c r="K2298" s="20">
        <v>199.0</v>
      </c>
      <c r="L2298" s="20"/>
      <c r="M2298" s="20">
        <v>199.0</v>
      </c>
      <c r="N2298" s="5" t="s">
        <v>67</v>
      </c>
      <c r="O2298" s="20" t="b">
        <v>0</v>
      </c>
      <c r="P2298" s="20" t="s">
        <v>68</v>
      </c>
      <c r="Q2298" s="20" t="s">
        <v>69</v>
      </c>
      <c r="R2298" s="20" t="s">
        <v>5987</v>
      </c>
      <c r="T2298" s="20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</row>
    <row r="2299">
      <c r="A2299" s="15" t="s">
        <v>8781</v>
      </c>
      <c r="B2299" s="19" t="s">
        <v>5389</v>
      </c>
      <c r="C2299" s="20">
        <v>49995.0</v>
      </c>
      <c r="D2299" s="20" t="s">
        <v>5388</v>
      </c>
      <c r="E2299" s="20">
        <v>9.1886005922E11</v>
      </c>
      <c r="F2299" s="21">
        <v>18672.0</v>
      </c>
      <c r="G2299" s="20"/>
      <c r="H2299" s="20" t="s">
        <v>5321</v>
      </c>
      <c r="I2299" s="20"/>
      <c r="J2299" s="20">
        <v>1.0</v>
      </c>
      <c r="K2299" s="20">
        <v>99.0</v>
      </c>
      <c r="L2299" s="20"/>
      <c r="M2299" s="20">
        <v>99.0</v>
      </c>
      <c r="N2299" s="5" t="s">
        <v>67</v>
      </c>
      <c r="O2299" s="20" t="b">
        <v>0</v>
      </c>
      <c r="P2299" s="20" t="s">
        <v>68</v>
      </c>
      <c r="Q2299" s="20" t="s">
        <v>69</v>
      </c>
      <c r="R2299" s="20" t="s">
        <v>5323</v>
      </c>
      <c r="T2299" s="20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</row>
    <row r="2300">
      <c r="A2300" s="15" t="s">
        <v>8782</v>
      </c>
      <c r="B2300" s="19" t="s">
        <v>3108</v>
      </c>
      <c r="C2300" s="20">
        <v>49991.0</v>
      </c>
      <c r="D2300" s="20" t="s">
        <v>3107</v>
      </c>
      <c r="E2300" s="20">
        <v>9.18077565101E11</v>
      </c>
      <c r="F2300" s="21">
        <v>18673.0</v>
      </c>
      <c r="G2300" s="20"/>
      <c r="H2300" s="20" t="s">
        <v>3055</v>
      </c>
      <c r="I2300" s="20"/>
      <c r="J2300" s="20">
        <v>1.0</v>
      </c>
      <c r="K2300" s="20">
        <v>99.0</v>
      </c>
      <c r="L2300" s="20"/>
      <c r="M2300" s="20">
        <v>99.0</v>
      </c>
      <c r="N2300" s="5" t="s">
        <v>67</v>
      </c>
      <c r="O2300" s="20" t="b">
        <v>0</v>
      </c>
      <c r="P2300" s="20" t="s">
        <v>68</v>
      </c>
      <c r="Q2300" s="20" t="s">
        <v>69</v>
      </c>
      <c r="R2300" s="20" t="s">
        <v>3057</v>
      </c>
      <c r="T2300" s="20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</row>
    <row r="2301">
      <c r="A2301" s="15" t="s">
        <v>8784</v>
      </c>
      <c r="B2301" s="19" t="s">
        <v>4452</v>
      </c>
      <c r="C2301" s="20">
        <v>50052.0</v>
      </c>
      <c r="D2301" s="20" t="s">
        <v>4451</v>
      </c>
      <c r="E2301" s="20">
        <v>9.19770259449E11</v>
      </c>
      <c r="F2301" s="21">
        <v>18675.0</v>
      </c>
      <c r="G2301" s="20"/>
      <c r="H2301" s="20" t="s">
        <v>4433</v>
      </c>
      <c r="I2301" s="20"/>
      <c r="J2301" s="20">
        <v>1.0</v>
      </c>
      <c r="K2301" s="20">
        <v>99.0</v>
      </c>
      <c r="L2301" s="20"/>
      <c r="M2301" s="20">
        <v>99.0</v>
      </c>
      <c r="N2301" s="5" t="s">
        <v>67</v>
      </c>
      <c r="O2301" s="20" t="b">
        <v>0</v>
      </c>
      <c r="P2301" s="20" t="s">
        <v>68</v>
      </c>
      <c r="Q2301" s="20" t="s">
        <v>69</v>
      </c>
      <c r="R2301" s="20" t="s">
        <v>4435</v>
      </c>
      <c r="T2301" s="20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</row>
    <row r="2302">
      <c r="A2302" s="15" t="s">
        <v>8980</v>
      </c>
      <c r="B2302" s="19" t="s">
        <v>2839</v>
      </c>
      <c r="C2302" s="20">
        <v>50029.0</v>
      </c>
      <c r="D2302" s="20" t="s">
        <v>2838</v>
      </c>
      <c r="E2302" s="20">
        <v>9.19899849942E11</v>
      </c>
      <c r="F2302" s="21">
        <v>18757.0</v>
      </c>
      <c r="G2302" s="20"/>
      <c r="H2302" s="20" t="s">
        <v>2761</v>
      </c>
      <c r="I2302" s="20"/>
      <c r="J2302" s="20">
        <v>3.0</v>
      </c>
      <c r="K2302" s="20">
        <v>199.0</v>
      </c>
      <c r="L2302" s="20"/>
      <c r="M2302" s="20">
        <v>199.0</v>
      </c>
      <c r="N2302" s="5" t="s">
        <v>67</v>
      </c>
      <c r="O2302" s="20" t="b">
        <v>0</v>
      </c>
      <c r="P2302" s="20" t="s">
        <v>97</v>
      </c>
      <c r="Q2302" s="20" t="s">
        <v>69</v>
      </c>
      <c r="R2302" s="20" t="s">
        <v>2763</v>
      </c>
      <c r="T2302" s="20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</row>
    <row r="2303">
      <c r="A2303" s="15" t="s">
        <v>8981</v>
      </c>
      <c r="B2303" s="19" t="s">
        <v>4667</v>
      </c>
      <c r="C2303" s="20">
        <v>49859.0</v>
      </c>
      <c r="D2303" s="20" t="s">
        <v>4666</v>
      </c>
      <c r="E2303" s="20">
        <v>9.18208798442E11</v>
      </c>
      <c r="F2303" s="21">
        <v>18760.0</v>
      </c>
      <c r="G2303" s="20"/>
      <c r="H2303" s="20" t="s">
        <v>1133</v>
      </c>
      <c r="I2303" s="20"/>
      <c r="J2303" s="20">
        <v>1.0</v>
      </c>
      <c r="K2303" s="20">
        <v>99.0</v>
      </c>
      <c r="L2303" s="20"/>
      <c r="M2303" s="20">
        <v>99.0</v>
      </c>
      <c r="N2303" s="5" t="s">
        <v>67</v>
      </c>
      <c r="O2303" s="20" t="b">
        <v>0</v>
      </c>
      <c r="P2303" s="20" t="s">
        <v>68</v>
      </c>
      <c r="Q2303" s="20" t="s">
        <v>69</v>
      </c>
      <c r="R2303" s="20" t="s">
        <v>4620</v>
      </c>
      <c r="T2303" s="20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</row>
    <row r="2304">
      <c r="A2304" s="15" t="s">
        <v>8783</v>
      </c>
      <c r="B2304" s="19" t="s">
        <v>4973</v>
      </c>
      <c r="C2304" s="20">
        <v>50094.0</v>
      </c>
      <c r="D2304" s="20" t="s">
        <v>4972</v>
      </c>
      <c r="E2304" s="20">
        <v>9.19966884366E11</v>
      </c>
      <c r="F2304" s="21">
        <v>18674.0</v>
      </c>
      <c r="G2304" s="20"/>
      <c r="H2304" s="20" t="s">
        <v>4942</v>
      </c>
      <c r="I2304" s="20"/>
      <c r="J2304" s="20">
        <v>3.0</v>
      </c>
      <c r="K2304" s="20">
        <v>399.0</v>
      </c>
      <c r="L2304" s="20"/>
      <c r="M2304" s="20">
        <v>399.0</v>
      </c>
      <c r="N2304" s="5" t="s">
        <v>67</v>
      </c>
      <c r="O2304" s="20" t="b">
        <v>0</v>
      </c>
      <c r="P2304" s="20" t="s">
        <v>74</v>
      </c>
      <c r="Q2304" s="20" t="s">
        <v>69</v>
      </c>
      <c r="R2304" s="20" t="s">
        <v>4945</v>
      </c>
      <c r="T2304" s="20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</row>
    <row r="2305">
      <c r="A2305" s="15" t="s">
        <v>8978</v>
      </c>
      <c r="B2305" s="19" t="s">
        <v>4987</v>
      </c>
      <c r="C2305" s="20">
        <v>50094.0</v>
      </c>
      <c r="D2305" s="20" t="s">
        <v>4986</v>
      </c>
      <c r="E2305" s="20">
        <v>9.17976914935E11</v>
      </c>
      <c r="F2305" s="21">
        <v>18758.0</v>
      </c>
      <c r="G2305" s="20"/>
      <c r="H2305" s="20" t="s">
        <v>4942</v>
      </c>
      <c r="I2305" s="20"/>
      <c r="J2305" s="20">
        <v>1.0</v>
      </c>
      <c r="K2305" s="20">
        <v>199.0</v>
      </c>
      <c r="L2305" s="20"/>
      <c r="M2305" s="20">
        <v>199.0</v>
      </c>
      <c r="N2305" s="5" t="s">
        <v>67</v>
      </c>
      <c r="O2305" s="20" t="b">
        <v>0</v>
      </c>
      <c r="P2305" s="20" t="s">
        <v>68</v>
      </c>
      <c r="Q2305" s="20" t="s">
        <v>69</v>
      </c>
      <c r="R2305" s="20" t="s">
        <v>4945</v>
      </c>
      <c r="T2305" s="20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</row>
    <row r="2306">
      <c r="A2306" s="15" t="s">
        <v>8785</v>
      </c>
      <c r="B2306" s="19" t="s">
        <v>3427</v>
      </c>
      <c r="C2306" s="20">
        <v>50030.0</v>
      </c>
      <c r="D2306" s="20" t="s">
        <v>3426</v>
      </c>
      <c r="E2306" s="20">
        <v>9.17397163084E11</v>
      </c>
      <c r="F2306" s="21">
        <v>18981.0</v>
      </c>
      <c r="G2306" s="20"/>
      <c r="H2306" s="20" t="s">
        <v>3326</v>
      </c>
      <c r="I2306" s="20"/>
      <c r="J2306" s="20">
        <v>3.0</v>
      </c>
      <c r="K2306" s="20">
        <v>199.0</v>
      </c>
      <c r="L2306" s="20"/>
      <c r="M2306" s="20">
        <v>199.0</v>
      </c>
      <c r="N2306" s="5" t="s">
        <v>67</v>
      </c>
      <c r="O2306" s="20" t="b">
        <v>0</v>
      </c>
      <c r="P2306" s="20" t="s">
        <v>68</v>
      </c>
      <c r="Q2306" s="20" t="s">
        <v>69</v>
      </c>
      <c r="R2306" s="20" t="s">
        <v>3328</v>
      </c>
      <c r="T2306" s="20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</row>
    <row r="2307">
      <c r="A2307" s="15" t="s">
        <v>8786</v>
      </c>
      <c r="B2307" s="19" t="s">
        <v>3231</v>
      </c>
      <c r="C2307" s="20">
        <v>50076.0</v>
      </c>
      <c r="D2307" s="20" t="s">
        <v>6065</v>
      </c>
      <c r="E2307" s="20">
        <v>9.19992380251E11</v>
      </c>
      <c r="F2307" s="21">
        <v>18677.0</v>
      </c>
      <c r="G2307" s="20"/>
      <c r="H2307" s="20" t="s">
        <v>5984</v>
      </c>
      <c r="I2307" s="20"/>
      <c r="J2307" s="20">
        <v>1.0</v>
      </c>
      <c r="K2307" s="20">
        <v>99.0</v>
      </c>
      <c r="L2307" s="20"/>
      <c r="M2307" s="20">
        <v>99.0</v>
      </c>
      <c r="N2307" s="5" t="s">
        <v>67</v>
      </c>
      <c r="O2307" s="20" t="b">
        <v>0</v>
      </c>
      <c r="P2307" s="20" t="s">
        <v>68</v>
      </c>
      <c r="Q2307" s="20" t="s">
        <v>69</v>
      </c>
      <c r="R2307" s="20" t="s">
        <v>5987</v>
      </c>
      <c r="T2307" s="20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</row>
    <row r="2308">
      <c r="A2308" s="15" t="s">
        <v>8787</v>
      </c>
      <c r="B2308" s="19" t="s">
        <v>3231</v>
      </c>
      <c r="C2308" s="20">
        <v>50047.0</v>
      </c>
      <c r="D2308" s="20" t="s">
        <v>3230</v>
      </c>
      <c r="E2308" s="20">
        <v>9.19704301372E11</v>
      </c>
      <c r="F2308" s="21">
        <v>18676.0</v>
      </c>
      <c r="G2308" s="20"/>
      <c r="H2308" s="20" t="s">
        <v>3195</v>
      </c>
      <c r="I2308" s="20"/>
      <c r="J2308" s="20">
        <v>3.0</v>
      </c>
      <c r="K2308" s="20">
        <v>199.0</v>
      </c>
      <c r="L2308" s="20"/>
      <c r="M2308" s="20">
        <v>199.0</v>
      </c>
      <c r="N2308" s="5" t="s">
        <v>67</v>
      </c>
      <c r="O2308" s="20" t="b">
        <v>0</v>
      </c>
      <c r="P2308" s="20" t="s">
        <v>68</v>
      </c>
      <c r="Q2308" s="20" t="s">
        <v>69</v>
      </c>
      <c r="R2308" s="20" t="s">
        <v>3197</v>
      </c>
      <c r="T2308" s="20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</row>
    <row r="2309">
      <c r="A2309" s="15" t="s">
        <v>8982</v>
      </c>
      <c r="B2309" s="19">
        <v>44261.498611111114</v>
      </c>
      <c r="C2309" s="20">
        <v>50047.0</v>
      </c>
      <c r="D2309" s="20" t="s">
        <v>3260</v>
      </c>
      <c r="E2309" s="5">
        <v>9.18107697752E11</v>
      </c>
      <c r="F2309" s="21">
        <v>19423.0</v>
      </c>
      <c r="G2309" s="20"/>
      <c r="H2309" s="20" t="s">
        <v>3195</v>
      </c>
      <c r="I2309" s="5"/>
      <c r="J2309" s="20">
        <v>3.0</v>
      </c>
      <c r="K2309" s="20">
        <v>199.0</v>
      </c>
      <c r="L2309" s="20"/>
      <c r="M2309" s="20">
        <v>199.0</v>
      </c>
      <c r="N2309" s="5" t="s">
        <v>67</v>
      </c>
      <c r="O2309" s="20" t="b">
        <v>0</v>
      </c>
      <c r="P2309" s="20" t="s">
        <v>68</v>
      </c>
      <c r="Q2309" s="20" t="s">
        <v>69</v>
      </c>
      <c r="R2309" s="20" t="s">
        <v>3261</v>
      </c>
      <c r="T2309" s="20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</row>
    <row r="2310">
      <c r="A2310" s="15" t="s">
        <v>8788</v>
      </c>
      <c r="B2310" s="19" t="s">
        <v>2498</v>
      </c>
      <c r="C2310" s="20">
        <v>49997.0</v>
      </c>
      <c r="D2310" s="20" t="s">
        <v>2497</v>
      </c>
      <c r="E2310" s="20">
        <v>9.17769846304E11</v>
      </c>
      <c r="F2310" s="21">
        <v>18678.0</v>
      </c>
      <c r="G2310" s="20"/>
      <c r="H2310" s="20" t="s">
        <v>2455</v>
      </c>
      <c r="I2310" s="20"/>
      <c r="J2310" s="20">
        <v>1.0</v>
      </c>
      <c r="K2310" s="20">
        <v>99.0</v>
      </c>
      <c r="L2310" s="20"/>
      <c r="M2310" s="20">
        <v>99.0</v>
      </c>
      <c r="N2310" s="5" t="s">
        <v>67</v>
      </c>
      <c r="O2310" s="20" t="b">
        <v>0</v>
      </c>
      <c r="P2310" s="20" t="s">
        <v>68</v>
      </c>
      <c r="Q2310" s="20" t="s">
        <v>69</v>
      </c>
      <c r="R2310" s="20" t="s">
        <v>2457</v>
      </c>
      <c r="T2310" s="20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</row>
    <row r="2311">
      <c r="A2311" s="15" t="s">
        <v>8789</v>
      </c>
      <c r="B2311" s="19" t="s">
        <v>4068</v>
      </c>
      <c r="C2311" s="20">
        <v>49833.0</v>
      </c>
      <c r="D2311" s="20" t="s">
        <v>4067</v>
      </c>
      <c r="E2311" s="20">
        <v>9.18168075495E11</v>
      </c>
      <c r="F2311" s="21">
        <v>18679.0</v>
      </c>
      <c r="G2311" s="20"/>
      <c r="H2311" s="20" t="s">
        <v>4030</v>
      </c>
      <c r="I2311" s="20"/>
      <c r="J2311" s="20">
        <v>3.0</v>
      </c>
      <c r="K2311" s="20">
        <v>199.0</v>
      </c>
      <c r="L2311" s="20"/>
      <c r="M2311" s="20">
        <v>199.0</v>
      </c>
      <c r="N2311" s="5" t="s">
        <v>67</v>
      </c>
      <c r="O2311" s="20" t="b">
        <v>0</v>
      </c>
      <c r="P2311" s="20" t="s">
        <v>68</v>
      </c>
      <c r="Q2311" s="20" t="s">
        <v>69</v>
      </c>
      <c r="R2311" s="20" t="s">
        <v>4033</v>
      </c>
      <c r="T2311" s="20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</row>
    <row r="2312">
      <c r="A2312" s="15" t="s">
        <v>8983</v>
      </c>
      <c r="B2312" s="19" t="s">
        <v>6085</v>
      </c>
      <c r="C2312" s="20">
        <v>50076.0</v>
      </c>
      <c r="D2312" s="20" t="s">
        <v>6084</v>
      </c>
      <c r="E2312" s="20">
        <v>9.17838228073E11</v>
      </c>
      <c r="F2312" s="21">
        <v>18762.0</v>
      </c>
      <c r="G2312" s="20"/>
      <c r="H2312" s="20" t="s">
        <v>5984</v>
      </c>
      <c r="I2312" s="20"/>
      <c r="J2312" s="20">
        <v>1.0</v>
      </c>
      <c r="K2312" s="20">
        <v>199.0</v>
      </c>
      <c r="L2312" s="20"/>
      <c r="M2312" s="20">
        <v>199.0</v>
      </c>
      <c r="N2312" s="5" t="s">
        <v>67</v>
      </c>
      <c r="O2312" s="20" t="b">
        <v>0</v>
      </c>
      <c r="P2312" s="20" t="s">
        <v>74</v>
      </c>
      <c r="Q2312" s="20" t="s">
        <v>69</v>
      </c>
      <c r="R2312" s="20" t="s">
        <v>5987</v>
      </c>
      <c r="T2312" s="20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</row>
    <row r="2313">
      <c r="A2313" s="15" t="s">
        <v>8984</v>
      </c>
      <c r="B2313" s="19" t="s">
        <v>2506</v>
      </c>
      <c r="C2313" s="20">
        <v>49997.0</v>
      </c>
      <c r="D2313" s="20" t="s">
        <v>2505</v>
      </c>
      <c r="E2313" s="20">
        <v>9.19951600801E11</v>
      </c>
      <c r="F2313" s="21">
        <v>18765.0</v>
      </c>
      <c r="G2313" s="20"/>
      <c r="H2313" s="20" t="s">
        <v>2455</v>
      </c>
      <c r="I2313" s="20"/>
      <c r="J2313" s="20">
        <v>1.0</v>
      </c>
      <c r="K2313" s="20">
        <v>99.0</v>
      </c>
      <c r="L2313" s="20"/>
      <c r="M2313" s="20">
        <v>99.0</v>
      </c>
      <c r="N2313" s="5" t="s">
        <v>67</v>
      </c>
      <c r="O2313" s="20" t="b">
        <v>0</v>
      </c>
      <c r="P2313" s="20" t="s">
        <v>151</v>
      </c>
      <c r="Q2313" s="20" t="s">
        <v>69</v>
      </c>
      <c r="R2313" s="20" t="s">
        <v>2457</v>
      </c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</row>
    <row r="2314">
      <c r="A2314" s="15" t="s">
        <v>8985</v>
      </c>
      <c r="B2314" s="19" t="s">
        <v>2841</v>
      </c>
      <c r="C2314" s="20">
        <v>50029.0</v>
      </c>
      <c r="D2314" s="20" t="s">
        <v>2840</v>
      </c>
      <c r="E2314" s="20">
        <v>9.19594206992E11</v>
      </c>
      <c r="F2314" s="21">
        <v>18764.0</v>
      </c>
      <c r="G2314" s="20"/>
      <c r="H2314" s="20" t="s">
        <v>2761</v>
      </c>
      <c r="I2314" s="20"/>
      <c r="J2314" s="20">
        <v>6.0</v>
      </c>
      <c r="K2314" s="20">
        <v>349.0</v>
      </c>
      <c r="L2314" s="20"/>
      <c r="M2314" s="20">
        <v>349.0</v>
      </c>
      <c r="N2314" s="5" t="s">
        <v>67</v>
      </c>
      <c r="O2314" s="20" t="b">
        <v>0</v>
      </c>
      <c r="P2314" s="20" t="s">
        <v>97</v>
      </c>
      <c r="Q2314" s="20" t="s">
        <v>69</v>
      </c>
      <c r="R2314" s="20" t="s">
        <v>2763</v>
      </c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</row>
    <row r="2315">
      <c r="A2315" s="15" t="s">
        <v>8790</v>
      </c>
      <c r="B2315" s="19" t="s">
        <v>4070</v>
      </c>
      <c r="C2315" s="20">
        <v>49833.0</v>
      </c>
      <c r="D2315" s="20" t="s">
        <v>4069</v>
      </c>
      <c r="E2315" s="20">
        <v>9.19841417823E11</v>
      </c>
      <c r="F2315" s="21">
        <v>18680.0</v>
      </c>
      <c r="G2315" s="20"/>
      <c r="H2315" s="20" t="s">
        <v>4030</v>
      </c>
      <c r="I2315" s="20"/>
      <c r="J2315" s="20">
        <v>1.0</v>
      </c>
      <c r="K2315" s="20">
        <v>99.0</v>
      </c>
      <c r="L2315" s="20"/>
      <c r="M2315" s="20">
        <v>99.0</v>
      </c>
      <c r="N2315" s="5" t="s">
        <v>67</v>
      </c>
      <c r="O2315" s="20" t="b">
        <v>0</v>
      </c>
      <c r="P2315" s="20" t="s">
        <v>68</v>
      </c>
      <c r="Q2315" s="20" t="s">
        <v>69</v>
      </c>
      <c r="R2315" s="20" t="s">
        <v>4033</v>
      </c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</row>
    <row r="2316">
      <c r="A2316" s="15" t="s">
        <v>8991</v>
      </c>
      <c r="B2316" s="19" t="s">
        <v>5519</v>
      </c>
      <c r="C2316" s="20">
        <v>50023.0</v>
      </c>
      <c r="D2316" s="20" t="s">
        <v>5518</v>
      </c>
      <c r="E2316" s="20">
        <v>9.19899044403E11</v>
      </c>
      <c r="F2316" s="21">
        <v>18766.0</v>
      </c>
      <c r="G2316" s="20"/>
      <c r="H2316" s="20" t="s">
        <v>5508</v>
      </c>
      <c r="I2316" s="20"/>
      <c r="J2316" s="20">
        <v>1.0</v>
      </c>
      <c r="K2316" s="20">
        <v>99.0</v>
      </c>
      <c r="L2316" s="20"/>
      <c r="M2316" s="20">
        <v>99.0</v>
      </c>
      <c r="N2316" s="5" t="s">
        <v>67</v>
      </c>
      <c r="O2316" s="20" t="b">
        <v>0</v>
      </c>
      <c r="P2316" s="20" t="s">
        <v>74</v>
      </c>
      <c r="Q2316" s="20" t="s">
        <v>69</v>
      </c>
      <c r="R2316" s="20" t="s">
        <v>5510</v>
      </c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</row>
    <row r="2317">
      <c r="A2317" s="15" t="s">
        <v>8792</v>
      </c>
      <c r="B2317" s="19" t="s">
        <v>2831</v>
      </c>
      <c r="C2317" s="20">
        <v>50029.0</v>
      </c>
      <c r="D2317" s="20" t="s">
        <v>2830</v>
      </c>
      <c r="E2317" s="20">
        <v>9.19944057573E11</v>
      </c>
      <c r="F2317" s="21">
        <v>18681.0</v>
      </c>
      <c r="G2317" s="20"/>
      <c r="H2317" s="20" t="s">
        <v>2761</v>
      </c>
      <c r="I2317" s="20"/>
      <c r="J2317" s="20">
        <v>1.0</v>
      </c>
      <c r="K2317" s="20">
        <v>99.0</v>
      </c>
      <c r="L2317" s="20"/>
      <c r="M2317" s="20">
        <v>99.0</v>
      </c>
      <c r="N2317" s="5" t="s">
        <v>67</v>
      </c>
      <c r="O2317" s="20" t="b">
        <v>0</v>
      </c>
      <c r="P2317" s="20" t="s">
        <v>74</v>
      </c>
      <c r="Q2317" s="20" t="s">
        <v>69</v>
      </c>
      <c r="R2317" s="20" t="s">
        <v>2763</v>
      </c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</row>
    <row r="2318">
      <c r="A2318" s="15" t="s">
        <v>8793</v>
      </c>
      <c r="B2318" s="19" t="s">
        <v>6538</v>
      </c>
      <c r="C2318" s="20">
        <v>50073.0</v>
      </c>
      <c r="D2318" s="20" t="s">
        <v>6537</v>
      </c>
      <c r="E2318" s="20">
        <v>9.19890643316E11</v>
      </c>
      <c r="F2318" s="21">
        <v>1728.0</v>
      </c>
      <c r="G2318" s="20"/>
      <c r="H2318" s="20" t="s">
        <v>6466</v>
      </c>
      <c r="I2318" s="20"/>
      <c r="J2318" s="20">
        <v>1.0</v>
      </c>
      <c r="K2318" s="20">
        <v>599.0</v>
      </c>
      <c r="L2318" s="20"/>
      <c r="M2318" s="20">
        <v>599.0</v>
      </c>
      <c r="N2318" s="5" t="s">
        <v>67</v>
      </c>
      <c r="O2318" s="20" t="b">
        <v>0</v>
      </c>
      <c r="P2318" s="20" t="s">
        <v>97</v>
      </c>
      <c r="Q2318" s="20" t="s">
        <v>69</v>
      </c>
      <c r="R2318" s="20" t="s">
        <v>6497</v>
      </c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</row>
    <row r="2319">
      <c r="A2319" s="15" t="s">
        <v>8794</v>
      </c>
      <c r="B2319" s="19" t="s">
        <v>4072</v>
      </c>
      <c r="C2319" s="20">
        <v>49833.0</v>
      </c>
      <c r="D2319" s="20" t="s">
        <v>4071</v>
      </c>
      <c r="E2319" s="20">
        <v>9.19908156305E11</v>
      </c>
      <c r="F2319" s="21">
        <v>0.0</v>
      </c>
      <c r="G2319" s="20"/>
      <c r="H2319" s="20" t="s">
        <v>4030</v>
      </c>
      <c r="I2319" s="20"/>
      <c r="J2319" s="20">
        <v>3.0</v>
      </c>
      <c r="K2319" s="20">
        <v>199.0</v>
      </c>
      <c r="L2319" s="20"/>
      <c r="M2319" s="20">
        <v>199.0</v>
      </c>
      <c r="N2319" s="5" t="s">
        <v>67</v>
      </c>
      <c r="O2319" s="20" t="b">
        <v>0</v>
      </c>
      <c r="P2319" s="20" t="s">
        <v>97</v>
      </c>
      <c r="Q2319" s="20" t="s">
        <v>69</v>
      </c>
      <c r="R2319" s="20" t="s">
        <v>4033</v>
      </c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</row>
    <row r="2320">
      <c r="A2320" s="15" t="s">
        <v>8995</v>
      </c>
      <c r="B2320" s="19" t="s">
        <v>3786</v>
      </c>
      <c r="C2320" s="20">
        <v>49907.0</v>
      </c>
      <c r="D2320" s="20" t="s">
        <v>3785</v>
      </c>
      <c r="E2320" s="20">
        <v>9.19429379185E11</v>
      </c>
      <c r="F2320" s="21">
        <v>18770.0</v>
      </c>
      <c r="G2320" s="20"/>
      <c r="H2320" s="20" t="s">
        <v>587</v>
      </c>
      <c r="I2320" s="20"/>
      <c r="J2320" s="20">
        <v>1.0</v>
      </c>
      <c r="K2320" s="20">
        <v>99.0</v>
      </c>
      <c r="L2320" s="20"/>
      <c r="M2320" s="20">
        <v>99.0</v>
      </c>
      <c r="N2320" s="5" t="s">
        <v>67</v>
      </c>
      <c r="O2320" s="20" t="b">
        <v>0</v>
      </c>
      <c r="P2320" s="20" t="s">
        <v>68</v>
      </c>
      <c r="Q2320" s="20" t="s">
        <v>69</v>
      </c>
      <c r="R2320" s="20" t="s">
        <v>3774</v>
      </c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</row>
    <row r="2321">
      <c r="A2321" s="15" t="s">
        <v>8993</v>
      </c>
      <c r="B2321" s="19" t="s">
        <v>3043</v>
      </c>
      <c r="C2321" s="20">
        <v>50020.0</v>
      </c>
      <c r="D2321" s="20" t="s">
        <v>3042</v>
      </c>
      <c r="E2321" s="20">
        <v>9.18921870369E11</v>
      </c>
      <c r="F2321" s="22" t="s">
        <v>12593</v>
      </c>
      <c r="G2321" s="20"/>
      <c r="H2321" s="20" t="s">
        <v>3008</v>
      </c>
      <c r="I2321" s="20"/>
      <c r="J2321" s="20">
        <v>1.0</v>
      </c>
      <c r="K2321" s="20">
        <v>99.0</v>
      </c>
      <c r="L2321" s="20"/>
      <c r="M2321" s="20">
        <v>99.0</v>
      </c>
      <c r="N2321" s="5" t="s">
        <v>67</v>
      </c>
      <c r="O2321" s="20" t="b">
        <v>0</v>
      </c>
      <c r="P2321" s="20" t="s">
        <v>68</v>
      </c>
      <c r="Q2321" s="20" t="s">
        <v>69</v>
      </c>
      <c r="R2321" s="20" t="s">
        <v>3010</v>
      </c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</row>
    <row r="2322">
      <c r="A2322" s="15" t="s">
        <v>8796</v>
      </c>
      <c r="B2322" s="19" t="s">
        <v>4975</v>
      </c>
      <c r="C2322" s="20">
        <v>50094.0</v>
      </c>
      <c r="D2322" s="20" t="s">
        <v>4974</v>
      </c>
      <c r="E2322" s="20">
        <v>9.19048459533E11</v>
      </c>
      <c r="F2322" s="21">
        <v>18682.0</v>
      </c>
      <c r="G2322" s="20"/>
      <c r="H2322" s="20" t="s">
        <v>4942</v>
      </c>
      <c r="I2322" s="20"/>
      <c r="J2322" s="20">
        <v>1.0</v>
      </c>
      <c r="K2322" s="20">
        <v>199.0</v>
      </c>
      <c r="L2322" s="20"/>
      <c r="M2322" s="20">
        <v>199.0</v>
      </c>
      <c r="N2322" s="5" t="s">
        <v>67</v>
      </c>
      <c r="O2322" s="20" t="b">
        <v>0</v>
      </c>
      <c r="P2322" s="20" t="s">
        <v>68</v>
      </c>
      <c r="Q2322" s="20" t="s">
        <v>69</v>
      </c>
      <c r="R2322" s="20" t="s">
        <v>4945</v>
      </c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</row>
    <row r="2323">
      <c r="A2323" s="15" t="s">
        <v>8803</v>
      </c>
      <c r="B2323" s="19" t="s">
        <v>6238</v>
      </c>
      <c r="C2323" s="20">
        <v>50046.0</v>
      </c>
      <c r="D2323" s="20" t="s">
        <v>6237</v>
      </c>
      <c r="E2323" s="20">
        <v>9.19997915135E11</v>
      </c>
      <c r="F2323" s="21">
        <v>18684.0</v>
      </c>
      <c r="G2323" s="20"/>
      <c r="H2323" s="20" t="s">
        <v>6217</v>
      </c>
      <c r="I2323" s="20"/>
      <c r="J2323" s="20">
        <v>1.0</v>
      </c>
      <c r="K2323" s="20">
        <v>99.0</v>
      </c>
      <c r="L2323" s="20"/>
      <c r="M2323" s="20">
        <v>99.0</v>
      </c>
      <c r="N2323" s="5" t="s">
        <v>67</v>
      </c>
      <c r="O2323" s="20" t="b">
        <v>0</v>
      </c>
      <c r="P2323" s="20" t="s">
        <v>68</v>
      </c>
      <c r="Q2323" s="20" t="s">
        <v>69</v>
      </c>
      <c r="R2323" s="20" t="s">
        <v>6219</v>
      </c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</row>
    <row r="2324">
      <c r="A2324" s="15" t="s">
        <v>8997</v>
      </c>
      <c r="B2324" s="19" t="s">
        <v>2646</v>
      </c>
      <c r="C2324" s="20">
        <v>50065.0</v>
      </c>
      <c r="D2324" s="20" t="s">
        <v>2645</v>
      </c>
      <c r="E2324" s="20">
        <v>9.1810588212E11</v>
      </c>
      <c r="F2324" s="21">
        <v>18771.0</v>
      </c>
      <c r="G2324" s="20"/>
      <c r="H2324" s="20" t="s">
        <v>2601</v>
      </c>
      <c r="I2324" s="20"/>
      <c r="J2324" s="20">
        <v>1.0</v>
      </c>
      <c r="K2324" s="20">
        <v>99.0</v>
      </c>
      <c r="L2324" s="20"/>
      <c r="M2324" s="20">
        <v>99.0</v>
      </c>
      <c r="N2324" s="5" t="s">
        <v>67</v>
      </c>
      <c r="O2324" s="20" t="b">
        <v>0</v>
      </c>
      <c r="P2324" s="20" t="s">
        <v>68</v>
      </c>
      <c r="Q2324" s="20" t="s">
        <v>69</v>
      </c>
      <c r="R2324" s="20" t="s">
        <v>2604</v>
      </c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</row>
    <row r="2325">
      <c r="A2325" s="15" t="s">
        <v>8809</v>
      </c>
      <c r="B2325" s="19" t="s">
        <v>6067</v>
      </c>
      <c r="C2325" s="20">
        <v>50076.0</v>
      </c>
      <c r="D2325" s="20" t="s">
        <v>6066</v>
      </c>
      <c r="E2325" s="20">
        <v>9.18179797827E11</v>
      </c>
      <c r="F2325" s="21">
        <v>18686.0</v>
      </c>
      <c r="G2325" s="20"/>
      <c r="H2325" s="20" t="s">
        <v>5984</v>
      </c>
      <c r="I2325" s="20"/>
      <c r="J2325" s="20">
        <v>1.0</v>
      </c>
      <c r="K2325" s="20">
        <v>99.0</v>
      </c>
      <c r="L2325" s="20"/>
      <c r="M2325" s="20">
        <v>99.0</v>
      </c>
      <c r="N2325" s="5" t="s">
        <v>67</v>
      </c>
      <c r="O2325" s="20" t="b">
        <v>0</v>
      </c>
      <c r="P2325" s="20" t="s">
        <v>151</v>
      </c>
      <c r="Q2325" s="20" t="s">
        <v>69</v>
      </c>
      <c r="R2325" s="20" t="s">
        <v>5987</v>
      </c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</row>
    <row r="2326">
      <c r="A2326" s="15" t="s">
        <v>8998</v>
      </c>
      <c r="B2326" s="19" t="s">
        <v>6391</v>
      </c>
      <c r="C2326" s="20">
        <v>50043.0</v>
      </c>
      <c r="D2326" s="20" t="s">
        <v>6390</v>
      </c>
      <c r="E2326" s="20">
        <v>9.19890588458E11</v>
      </c>
      <c r="F2326" s="21">
        <v>0.0</v>
      </c>
      <c r="G2326" s="20"/>
      <c r="H2326" s="20" t="s">
        <v>6367</v>
      </c>
      <c r="I2326" s="20"/>
      <c r="J2326" s="20">
        <v>6.0</v>
      </c>
      <c r="K2326" s="20">
        <v>349.0</v>
      </c>
      <c r="L2326" s="20"/>
      <c r="M2326" s="20">
        <v>349.0</v>
      </c>
      <c r="N2326" s="5" t="s">
        <v>67</v>
      </c>
      <c r="O2326" s="20" t="b">
        <v>0</v>
      </c>
      <c r="P2326" s="20" t="s">
        <v>74</v>
      </c>
      <c r="Q2326" s="20" t="s">
        <v>69</v>
      </c>
      <c r="R2326" s="20" t="s">
        <v>6369</v>
      </c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</row>
    <row r="2327">
      <c r="A2327" s="15" t="s">
        <v>9000</v>
      </c>
      <c r="B2327" s="19" t="s">
        <v>4997</v>
      </c>
      <c r="C2327" s="20">
        <v>50094.0</v>
      </c>
      <c r="D2327" s="20" t="s">
        <v>4996</v>
      </c>
      <c r="E2327" s="5">
        <v>9.16201980084E11</v>
      </c>
      <c r="F2327" s="21">
        <v>18845.0</v>
      </c>
      <c r="G2327" s="20"/>
      <c r="H2327" s="20" t="s">
        <v>4942</v>
      </c>
      <c r="I2327" s="5"/>
      <c r="J2327" s="20">
        <v>1.0</v>
      </c>
      <c r="K2327" s="20">
        <v>199.0</v>
      </c>
      <c r="L2327" s="20"/>
      <c r="M2327" s="20">
        <v>199.0</v>
      </c>
      <c r="N2327" s="5" t="s">
        <v>67</v>
      </c>
      <c r="O2327" s="20" t="b">
        <v>0</v>
      </c>
      <c r="P2327" s="20" t="s">
        <v>74</v>
      </c>
      <c r="Q2327" s="20" t="s">
        <v>69</v>
      </c>
      <c r="R2327" s="20" t="s">
        <v>4945</v>
      </c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</row>
    <row r="2328">
      <c r="A2328" s="15" t="s">
        <v>9003</v>
      </c>
      <c r="B2328" s="19" t="s">
        <v>2508</v>
      </c>
      <c r="C2328" s="20">
        <v>49997.0</v>
      </c>
      <c r="D2328" s="20" t="s">
        <v>2507</v>
      </c>
      <c r="E2328" s="20">
        <v>9.17063112159E11</v>
      </c>
      <c r="F2328" s="22" t="s">
        <v>12593</v>
      </c>
      <c r="G2328" s="20"/>
      <c r="H2328" s="20" t="s">
        <v>2455</v>
      </c>
      <c r="I2328" s="20"/>
      <c r="J2328" s="20">
        <v>1.0</v>
      </c>
      <c r="K2328" s="20">
        <v>99.0</v>
      </c>
      <c r="L2328" s="20"/>
      <c r="M2328" s="20">
        <v>99.0</v>
      </c>
      <c r="N2328" s="5" t="s">
        <v>67</v>
      </c>
      <c r="O2328" s="20" t="b">
        <v>0</v>
      </c>
      <c r="P2328" s="20" t="s">
        <v>68</v>
      </c>
      <c r="Q2328" s="20" t="s">
        <v>69</v>
      </c>
      <c r="R2328" s="20" t="s">
        <v>2457</v>
      </c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</row>
    <row r="2329">
      <c r="A2329" s="15" t="s">
        <v>9013</v>
      </c>
      <c r="B2329" s="19" t="s">
        <v>3899</v>
      </c>
      <c r="C2329" s="20">
        <v>49835.0</v>
      </c>
      <c r="D2329" s="20" t="s">
        <v>3898</v>
      </c>
      <c r="E2329" s="20">
        <v>9.19971234747E11</v>
      </c>
      <c r="F2329" s="22" t="s">
        <v>12593</v>
      </c>
      <c r="G2329" s="20"/>
      <c r="H2329" s="20" t="s">
        <v>680</v>
      </c>
      <c r="I2329" s="20"/>
      <c r="J2329" s="20">
        <v>3.0</v>
      </c>
      <c r="K2329" s="20">
        <v>199.0</v>
      </c>
      <c r="L2329" s="20"/>
      <c r="M2329" s="20">
        <v>199.0</v>
      </c>
      <c r="N2329" s="5" t="s">
        <v>67</v>
      </c>
      <c r="O2329" s="20" t="b">
        <v>0</v>
      </c>
      <c r="P2329" s="20" t="s">
        <v>74</v>
      </c>
      <c r="Q2329" s="20" t="s">
        <v>69</v>
      </c>
      <c r="R2329" s="20" t="s">
        <v>3888</v>
      </c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</row>
    <row r="2330">
      <c r="A2330" s="15" t="s">
        <v>9015</v>
      </c>
      <c r="B2330" s="19" t="s">
        <v>3237</v>
      </c>
      <c r="C2330" s="20">
        <v>50047.0</v>
      </c>
      <c r="D2330" s="20" t="s">
        <v>3236</v>
      </c>
      <c r="E2330" s="20">
        <v>9.18904427001E11</v>
      </c>
      <c r="F2330" s="21">
        <v>18775.0</v>
      </c>
      <c r="G2330" s="20"/>
      <c r="H2330" s="20" t="s">
        <v>3195</v>
      </c>
      <c r="I2330" s="20"/>
      <c r="J2330" s="20">
        <v>3.0</v>
      </c>
      <c r="K2330" s="20">
        <v>199.0</v>
      </c>
      <c r="L2330" s="20"/>
      <c r="M2330" s="20">
        <v>199.0</v>
      </c>
      <c r="N2330" s="5" t="s">
        <v>67</v>
      </c>
      <c r="O2330" s="20" t="b">
        <v>0</v>
      </c>
      <c r="P2330" s="20" t="s">
        <v>68</v>
      </c>
      <c r="Q2330" s="20" t="s">
        <v>69</v>
      </c>
      <c r="R2330" s="20" t="s">
        <v>3197</v>
      </c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</row>
    <row r="2331">
      <c r="A2331" s="15" t="s">
        <v>9014</v>
      </c>
      <c r="B2331" s="19" t="s">
        <v>4669</v>
      </c>
      <c r="C2331" s="20">
        <v>49859.0</v>
      </c>
      <c r="D2331" s="20" t="s">
        <v>4668</v>
      </c>
      <c r="E2331" s="20">
        <v>9.18527312214E11</v>
      </c>
      <c r="F2331" s="21">
        <v>18774.0</v>
      </c>
      <c r="G2331" s="20"/>
      <c r="H2331" s="20" t="s">
        <v>1133</v>
      </c>
      <c r="I2331" s="20"/>
      <c r="J2331" s="20">
        <v>1.0</v>
      </c>
      <c r="K2331" s="20">
        <v>99.0</v>
      </c>
      <c r="L2331" s="20"/>
      <c r="M2331" s="20">
        <v>99.0</v>
      </c>
      <c r="N2331" s="5" t="s">
        <v>67</v>
      </c>
      <c r="O2331" s="20" t="b">
        <v>0</v>
      </c>
      <c r="P2331" s="20" t="s">
        <v>68</v>
      </c>
      <c r="Q2331" s="20" t="s">
        <v>69</v>
      </c>
      <c r="R2331" s="20" t="s">
        <v>4620</v>
      </c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</row>
    <row r="2332">
      <c r="A2332" s="15" t="s">
        <v>9016</v>
      </c>
      <c r="B2332" s="19" t="s">
        <v>4826</v>
      </c>
      <c r="C2332" s="20">
        <v>49996.0</v>
      </c>
      <c r="D2332" s="20" t="s">
        <v>4825</v>
      </c>
      <c r="E2332" s="20">
        <v>9.19944618375E11</v>
      </c>
      <c r="F2332" s="21">
        <v>18776.0</v>
      </c>
      <c r="G2332" s="20"/>
      <c r="H2332" s="20" t="s">
        <v>4796</v>
      </c>
      <c r="I2332" s="20"/>
      <c r="J2332" s="20">
        <v>3.0</v>
      </c>
      <c r="K2332" s="20">
        <v>199.0</v>
      </c>
      <c r="L2332" s="20"/>
      <c r="M2332" s="20">
        <v>199.0</v>
      </c>
      <c r="N2332" s="5" t="s">
        <v>67</v>
      </c>
      <c r="O2332" s="20" t="b">
        <v>0</v>
      </c>
      <c r="P2332" s="20" t="s">
        <v>68</v>
      </c>
      <c r="Q2332" s="20" t="s">
        <v>69</v>
      </c>
      <c r="R2332" s="20" t="s">
        <v>4799</v>
      </c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</row>
    <row r="2333">
      <c r="A2333" s="15" t="s">
        <v>9017</v>
      </c>
      <c r="B2333" s="19" t="s">
        <v>4991</v>
      </c>
      <c r="C2333" s="20">
        <v>50094.0</v>
      </c>
      <c r="D2333" s="20" t="s">
        <v>4990</v>
      </c>
      <c r="E2333" s="20">
        <v>9.18250425302E11</v>
      </c>
      <c r="F2333" s="21">
        <v>18777.0</v>
      </c>
      <c r="G2333" s="20"/>
      <c r="H2333" s="20" t="s">
        <v>4942</v>
      </c>
      <c r="I2333" s="20"/>
      <c r="J2333" s="20">
        <v>1.0</v>
      </c>
      <c r="K2333" s="20">
        <v>199.0</v>
      </c>
      <c r="L2333" s="20"/>
      <c r="M2333" s="20">
        <v>199.0</v>
      </c>
      <c r="N2333" s="5" t="s">
        <v>67</v>
      </c>
      <c r="O2333" s="20" t="b">
        <v>0</v>
      </c>
      <c r="P2333" s="20" t="s">
        <v>68</v>
      </c>
      <c r="Q2333" s="20" t="s">
        <v>69</v>
      </c>
      <c r="R2333" s="20" t="s">
        <v>4945</v>
      </c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</row>
    <row r="2334">
      <c r="A2334" s="15" t="s">
        <v>9018</v>
      </c>
      <c r="B2334" s="19" t="s">
        <v>5027</v>
      </c>
      <c r="C2334" s="20">
        <v>50094.0</v>
      </c>
      <c r="D2334" s="20" t="s">
        <v>5026</v>
      </c>
      <c r="E2334" s="5">
        <v>9.17708478885E11</v>
      </c>
      <c r="F2334" s="21">
        <v>19034.0</v>
      </c>
      <c r="G2334" s="20"/>
      <c r="H2334" s="20" t="s">
        <v>4942</v>
      </c>
      <c r="I2334" s="5"/>
      <c r="J2334" s="20">
        <v>1.0</v>
      </c>
      <c r="K2334" s="20">
        <v>199.0</v>
      </c>
      <c r="L2334" s="20"/>
      <c r="M2334" s="20">
        <v>199.0</v>
      </c>
      <c r="N2334" s="5" t="s">
        <v>67</v>
      </c>
      <c r="O2334" s="20" t="b">
        <v>0</v>
      </c>
      <c r="P2334" s="20" t="s">
        <v>74</v>
      </c>
      <c r="Q2334" s="20" t="s">
        <v>69</v>
      </c>
      <c r="R2334" s="20" t="s">
        <v>4945</v>
      </c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</row>
    <row r="2335">
      <c r="A2335" s="15" t="s">
        <v>9019</v>
      </c>
      <c r="B2335" s="19" t="s">
        <v>6087</v>
      </c>
      <c r="C2335" s="20">
        <v>50076.0</v>
      </c>
      <c r="D2335" s="20" t="s">
        <v>6086</v>
      </c>
      <c r="E2335" s="20">
        <v>9.16261266973E11</v>
      </c>
      <c r="F2335" s="21">
        <v>18803.0</v>
      </c>
      <c r="G2335" s="20"/>
      <c r="H2335" s="20" t="s">
        <v>5984</v>
      </c>
      <c r="I2335" s="20"/>
      <c r="J2335" s="20">
        <v>1.0</v>
      </c>
      <c r="K2335" s="20">
        <v>199.0</v>
      </c>
      <c r="L2335" s="20"/>
      <c r="M2335" s="20">
        <v>199.0</v>
      </c>
      <c r="N2335" s="5" t="s">
        <v>67</v>
      </c>
      <c r="O2335" s="20" t="b">
        <v>0</v>
      </c>
      <c r="P2335" s="20" t="s">
        <v>74</v>
      </c>
      <c r="Q2335" s="20" t="s">
        <v>69</v>
      </c>
      <c r="R2335" s="20" t="s">
        <v>5987</v>
      </c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</row>
    <row r="2336">
      <c r="A2336" s="15" t="s">
        <v>9021</v>
      </c>
      <c r="B2336" s="19" t="s">
        <v>4103</v>
      </c>
      <c r="C2336" s="20">
        <v>49833.0</v>
      </c>
      <c r="D2336" s="20" t="s">
        <v>4102</v>
      </c>
      <c r="E2336" s="20">
        <v>9.1917193111E11</v>
      </c>
      <c r="F2336" s="21">
        <v>18780.0</v>
      </c>
      <c r="G2336" s="20"/>
      <c r="H2336" s="20" t="s">
        <v>4030</v>
      </c>
      <c r="I2336" s="20"/>
      <c r="J2336" s="20">
        <v>3.0</v>
      </c>
      <c r="K2336" s="20">
        <v>199.0</v>
      </c>
      <c r="L2336" s="20"/>
      <c r="M2336" s="20">
        <v>199.0</v>
      </c>
      <c r="N2336" s="5" t="s">
        <v>67</v>
      </c>
      <c r="O2336" s="20" t="b">
        <v>0</v>
      </c>
      <c r="P2336" s="20" t="s">
        <v>68</v>
      </c>
      <c r="Q2336" s="20" t="s">
        <v>69</v>
      </c>
      <c r="R2336" s="20" t="s">
        <v>4033</v>
      </c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</row>
    <row r="2337">
      <c r="A2337" s="15" t="s">
        <v>9020</v>
      </c>
      <c r="B2337" s="19" t="s">
        <v>4101</v>
      </c>
      <c r="C2337" s="20">
        <v>49833.0</v>
      </c>
      <c r="D2337" s="20" t="s">
        <v>4100</v>
      </c>
      <c r="E2337" s="20">
        <v>9.17338441117E11</v>
      </c>
      <c r="F2337" s="21">
        <v>0.0</v>
      </c>
      <c r="G2337" s="20"/>
      <c r="H2337" s="20" t="s">
        <v>4030</v>
      </c>
      <c r="I2337" s="20"/>
      <c r="J2337" s="20">
        <v>1.0</v>
      </c>
      <c r="K2337" s="20">
        <v>99.0</v>
      </c>
      <c r="L2337" s="20"/>
      <c r="M2337" s="20">
        <v>99.0</v>
      </c>
      <c r="N2337" s="5" t="s">
        <v>67</v>
      </c>
      <c r="O2337" s="20" t="b">
        <v>0</v>
      </c>
      <c r="P2337" s="20" t="s">
        <v>68</v>
      </c>
      <c r="Q2337" s="20" t="s">
        <v>69</v>
      </c>
      <c r="R2337" s="20" t="s">
        <v>4033</v>
      </c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</row>
    <row r="2338">
      <c r="A2338" s="15" t="s">
        <v>9022</v>
      </c>
      <c r="B2338" s="19" t="s">
        <v>4105</v>
      </c>
      <c r="C2338" s="20">
        <v>49833.0</v>
      </c>
      <c r="D2338" s="20" t="s">
        <v>4104</v>
      </c>
      <c r="E2338" s="20">
        <v>9.17028194955E11</v>
      </c>
      <c r="F2338" s="21">
        <v>18781.0</v>
      </c>
      <c r="G2338" s="20"/>
      <c r="H2338" s="20" t="s">
        <v>4030</v>
      </c>
      <c r="I2338" s="20"/>
      <c r="J2338" s="20">
        <v>6.0</v>
      </c>
      <c r="K2338" s="20">
        <v>349.0</v>
      </c>
      <c r="L2338" s="20"/>
      <c r="M2338" s="20">
        <v>349.0</v>
      </c>
      <c r="N2338" s="5" t="s">
        <v>67</v>
      </c>
      <c r="O2338" s="20" t="b">
        <v>0</v>
      </c>
      <c r="P2338" s="20" t="s">
        <v>68</v>
      </c>
      <c r="Q2338" s="20" t="s">
        <v>69</v>
      </c>
      <c r="R2338" s="20" t="s">
        <v>4033</v>
      </c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</row>
    <row r="2339">
      <c r="A2339" s="15" t="s">
        <v>9028</v>
      </c>
      <c r="B2339" s="19" t="s">
        <v>4458</v>
      </c>
      <c r="C2339" s="20">
        <v>50052.0</v>
      </c>
      <c r="D2339" s="20" t="s">
        <v>4457</v>
      </c>
      <c r="E2339" s="20">
        <v>9.19573245934E11</v>
      </c>
      <c r="F2339" s="21">
        <v>18808.0</v>
      </c>
      <c r="G2339" s="20"/>
      <c r="H2339" s="20" t="s">
        <v>4433</v>
      </c>
      <c r="I2339" s="20"/>
      <c r="J2339" s="20">
        <v>1.0</v>
      </c>
      <c r="K2339" s="20">
        <v>99.0</v>
      </c>
      <c r="L2339" s="20"/>
      <c r="M2339" s="20">
        <v>99.0</v>
      </c>
      <c r="N2339" s="5" t="s">
        <v>67</v>
      </c>
      <c r="O2339" s="20" t="b">
        <v>0</v>
      </c>
      <c r="P2339" s="20" t="s">
        <v>97</v>
      </c>
      <c r="Q2339" s="20" t="s">
        <v>69</v>
      </c>
      <c r="R2339" s="20" t="s">
        <v>4435</v>
      </c>
      <c r="T2339" s="20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</row>
    <row r="2340">
      <c r="A2340" s="15" t="s">
        <v>9026</v>
      </c>
      <c r="B2340" s="19" t="s">
        <v>3437</v>
      </c>
      <c r="C2340" s="20">
        <v>50030.0</v>
      </c>
      <c r="D2340" s="20" t="s">
        <v>3436</v>
      </c>
      <c r="E2340" s="20">
        <v>9.19354634683E11</v>
      </c>
      <c r="F2340" s="21">
        <v>18784.0</v>
      </c>
      <c r="G2340" s="20"/>
      <c r="H2340" s="20" t="s">
        <v>3326</v>
      </c>
      <c r="I2340" s="20"/>
      <c r="J2340" s="20">
        <v>6.0</v>
      </c>
      <c r="K2340" s="20">
        <v>349.0</v>
      </c>
      <c r="L2340" s="20"/>
      <c r="M2340" s="20">
        <v>349.0</v>
      </c>
      <c r="N2340" s="5" t="s">
        <v>67</v>
      </c>
      <c r="O2340" s="20" t="b">
        <v>0</v>
      </c>
      <c r="P2340" s="20" t="s">
        <v>68</v>
      </c>
      <c r="Q2340" s="20" t="s">
        <v>69</v>
      </c>
      <c r="R2340" s="20" t="s">
        <v>3328</v>
      </c>
      <c r="T2340" s="20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</row>
    <row r="2341">
      <c r="A2341" s="15" t="s">
        <v>9027</v>
      </c>
      <c r="B2341" s="19" t="s">
        <v>4456</v>
      </c>
      <c r="C2341" s="20">
        <v>50052.0</v>
      </c>
      <c r="D2341" s="20" t="s">
        <v>4455</v>
      </c>
      <c r="E2341" s="20">
        <v>9.19440766412E11</v>
      </c>
      <c r="F2341" s="21">
        <v>18783.0</v>
      </c>
      <c r="G2341" s="20"/>
      <c r="H2341" s="20" t="s">
        <v>4433</v>
      </c>
      <c r="I2341" s="20"/>
      <c r="J2341" s="20">
        <v>1.0</v>
      </c>
      <c r="K2341" s="20">
        <v>99.0</v>
      </c>
      <c r="L2341" s="20"/>
      <c r="M2341" s="20">
        <v>99.0</v>
      </c>
      <c r="N2341" s="5" t="s">
        <v>67</v>
      </c>
      <c r="O2341" s="20" t="b">
        <v>0</v>
      </c>
      <c r="P2341" s="20" t="s">
        <v>261</v>
      </c>
      <c r="Q2341" s="20" t="s">
        <v>69</v>
      </c>
      <c r="R2341" s="20" t="s">
        <v>4435</v>
      </c>
      <c r="T2341" s="20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</row>
    <row r="2342">
      <c r="A2342" s="15" t="s">
        <v>9031</v>
      </c>
      <c r="B2342" s="19" t="s">
        <v>3788</v>
      </c>
      <c r="C2342" s="20">
        <v>49907.0</v>
      </c>
      <c r="D2342" s="20" t="s">
        <v>3787</v>
      </c>
      <c r="E2342" s="20">
        <v>9.19866474323E11</v>
      </c>
      <c r="F2342" s="21">
        <v>0.0</v>
      </c>
      <c r="G2342" s="20"/>
      <c r="H2342" s="20" t="s">
        <v>587</v>
      </c>
      <c r="I2342" s="20"/>
      <c r="J2342" s="20">
        <v>6.0</v>
      </c>
      <c r="K2342" s="20">
        <v>349.0</v>
      </c>
      <c r="L2342" s="20"/>
      <c r="M2342" s="20">
        <v>349.0</v>
      </c>
      <c r="N2342" s="5" t="s">
        <v>67</v>
      </c>
      <c r="O2342" s="20" t="b">
        <v>0</v>
      </c>
      <c r="P2342" s="20" t="s">
        <v>68</v>
      </c>
      <c r="Q2342" s="20" t="s">
        <v>69</v>
      </c>
      <c r="R2342" s="20" t="s">
        <v>3774</v>
      </c>
      <c r="T2342" s="20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</row>
    <row r="2343">
      <c r="A2343" s="15" t="s">
        <v>9033</v>
      </c>
      <c r="B2343" s="19" t="s">
        <v>3239</v>
      </c>
      <c r="C2343" s="20">
        <v>50047.0</v>
      </c>
      <c r="D2343" s="20" t="s">
        <v>3238</v>
      </c>
      <c r="E2343" s="20">
        <v>9.19100868183E11</v>
      </c>
      <c r="F2343" s="21">
        <v>18785.0</v>
      </c>
      <c r="G2343" s="20"/>
      <c r="H2343" s="20" t="s">
        <v>3195</v>
      </c>
      <c r="I2343" s="20"/>
      <c r="J2343" s="20">
        <v>3.0</v>
      </c>
      <c r="K2343" s="20">
        <v>199.0</v>
      </c>
      <c r="L2343" s="20"/>
      <c r="M2343" s="20">
        <v>199.0</v>
      </c>
      <c r="N2343" s="5" t="s">
        <v>67</v>
      </c>
      <c r="O2343" s="20" t="b">
        <v>0</v>
      </c>
      <c r="P2343" s="20" t="s">
        <v>68</v>
      </c>
      <c r="Q2343" s="20" t="s">
        <v>69</v>
      </c>
      <c r="R2343" s="20" t="s">
        <v>3197</v>
      </c>
      <c r="T2343" s="20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</row>
    <row r="2344">
      <c r="A2344" s="15" t="s">
        <v>9038</v>
      </c>
      <c r="B2344" s="19" t="s">
        <v>4671</v>
      </c>
      <c r="C2344" s="20">
        <v>49859.0</v>
      </c>
      <c r="D2344" s="20" t="s">
        <v>4670</v>
      </c>
      <c r="E2344" s="20">
        <v>9.19916570222E11</v>
      </c>
      <c r="F2344" s="21">
        <v>18786.0</v>
      </c>
      <c r="G2344" s="20"/>
      <c r="H2344" s="20" t="s">
        <v>1133</v>
      </c>
      <c r="I2344" s="20"/>
      <c r="J2344" s="20">
        <v>1.0</v>
      </c>
      <c r="K2344" s="20">
        <v>99.0</v>
      </c>
      <c r="L2344" s="20"/>
      <c r="M2344" s="20">
        <v>99.0</v>
      </c>
      <c r="N2344" s="5" t="s">
        <v>67</v>
      </c>
      <c r="O2344" s="20" t="b">
        <v>0</v>
      </c>
      <c r="P2344" s="20" t="s">
        <v>68</v>
      </c>
      <c r="Q2344" s="20" t="s">
        <v>69</v>
      </c>
      <c r="R2344" s="20" t="s">
        <v>4620</v>
      </c>
      <c r="T2344" s="20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</row>
    <row r="2345">
      <c r="A2345" s="15" t="s">
        <v>9042</v>
      </c>
      <c r="B2345" s="19" t="s">
        <v>3439</v>
      </c>
      <c r="C2345" s="20">
        <v>50030.0</v>
      </c>
      <c r="D2345" s="20" t="s">
        <v>3438</v>
      </c>
      <c r="E2345" s="20">
        <v>9.19855171712E11</v>
      </c>
      <c r="F2345" s="21">
        <v>18792.0</v>
      </c>
      <c r="G2345" s="20"/>
      <c r="H2345" s="20" t="s">
        <v>3326</v>
      </c>
      <c r="I2345" s="20"/>
      <c r="J2345" s="20">
        <v>1.0</v>
      </c>
      <c r="K2345" s="20">
        <v>99.0</v>
      </c>
      <c r="L2345" s="20"/>
      <c r="M2345" s="20">
        <v>99.0</v>
      </c>
      <c r="N2345" s="5" t="s">
        <v>67</v>
      </c>
      <c r="O2345" s="20" t="b">
        <v>0</v>
      </c>
      <c r="P2345" s="20" t="s">
        <v>74</v>
      </c>
      <c r="Q2345" s="20" t="s">
        <v>69</v>
      </c>
      <c r="R2345" s="20" t="s">
        <v>3328</v>
      </c>
      <c r="T2345" s="20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</row>
    <row r="2346">
      <c r="A2346" s="15" t="s">
        <v>9043</v>
      </c>
      <c r="B2346" s="19" t="s">
        <v>2843</v>
      </c>
      <c r="C2346" s="20">
        <v>50029.0</v>
      </c>
      <c r="D2346" s="20" t="s">
        <v>2842</v>
      </c>
      <c r="E2346" s="20">
        <v>9.19644191073E11</v>
      </c>
      <c r="F2346" s="21">
        <v>18787.0</v>
      </c>
      <c r="G2346" s="20"/>
      <c r="H2346" s="20" t="s">
        <v>2761</v>
      </c>
      <c r="I2346" s="20"/>
      <c r="J2346" s="20">
        <v>6.0</v>
      </c>
      <c r="K2346" s="20">
        <v>349.0</v>
      </c>
      <c r="L2346" s="20"/>
      <c r="M2346" s="20">
        <v>349.0</v>
      </c>
      <c r="N2346" s="5" t="s">
        <v>67</v>
      </c>
      <c r="O2346" s="20" t="b">
        <v>0</v>
      </c>
      <c r="P2346" s="20" t="s">
        <v>74</v>
      </c>
      <c r="Q2346" s="20" t="s">
        <v>69</v>
      </c>
      <c r="R2346" s="20" t="s">
        <v>2763</v>
      </c>
      <c r="T2346" s="20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</row>
    <row r="2347">
      <c r="A2347" s="15" t="s">
        <v>9045</v>
      </c>
      <c r="B2347" s="19" t="s">
        <v>6240</v>
      </c>
      <c r="C2347" s="20">
        <v>50046.0</v>
      </c>
      <c r="D2347" s="20" t="s">
        <v>6239</v>
      </c>
      <c r="E2347" s="20">
        <v>9.17014351653E11</v>
      </c>
      <c r="F2347" s="21">
        <v>18788.0</v>
      </c>
      <c r="G2347" s="20"/>
      <c r="H2347" s="20" t="s">
        <v>6217</v>
      </c>
      <c r="I2347" s="20"/>
      <c r="J2347" s="20">
        <v>1.0</v>
      </c>
      <c r="K2347" s="20">
        <v>99.0</v>
      </c>
      <c r="L2347" s="20"/>
      <c r="M2347" s="20">
        <v>99.0</v>
      </c>
      <c r="N2347" s="5" t="s">
        <v>67</v>
      </c>
      <c r="O2347" s="20" t="b">
        <v>0</v>
      </c>
      <c r="P2347" s="20" t="s">
        <v>68</v>
      </c>
      <c r="Q2347" s="20" t="s">
        <v>69</v>
      </c>
      <c r="R2347" s="20" t="s">
        <v>6219</v>
      </c>
      <c r="T2347" s="20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</row>
    <row r="2348">
      <c r="A2348" s="15" t="s">
        <v>9049</v>
      </c>
      <c r="B2348" s="19" t="s">
        <v>2847</v>
      </c>
      <c r="C2348" s="20">
        <v>50029.0</v>
      </c>
      <c r="D2348" s="20" t="s">
        <v>2846</v>
      </c>
      <c r="E2348" s="5">
        <v>9.19275139045E11</v>
      </c>
      <c r="F2348" s="21">
        <v>18793.0</v>
      </c>
      <c r="G2348" s="20"/>
      <c r="H2348" s="20" t="s">
        <v>2761</v>
      </c>
      <c r="I2348" s="5"/>
      <c r="J2348" s="20">
        <v>3.0</v>
      </c>
      <c r="K2348" s="20">
        <v>199.0</v>
      </c>
      <c r="L2348" s="20"/>
      <c r="M2348" s="20">
        <v>199.0</v>
      </c>
      <c r="N2348" s="5" t="s">
        <v>67</v>
      </c>
      <c r="O2348" s="20" t="b">
        <v>0</v>
      </c>
      <c r="P2348" s="20" t="s">
        <v>68</v>
      </c>
      <c r="Q2348" s="20" t="s">
        <v>69</v>
      </c>
      <c r="R2348" s="20" t="s">
        <v>2763</v>
      </c>
      <c r="T2348" s="20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</row>
    <row r="2349">
      <c r="A2349" s="15" t="s">
        <v>9046</v>
      </c>
      <c r="B2349" s="19" t="s">
        <v>4107</v>
      </c>
      <c r="C2349" s="20">
        <v>49833.0</v>
      </c>
      <c r="D2349" s="20" t="s">
        <v>4106</v>
      </c>
      <c r="E2349" s="20">
        <v>9.19897585043E11</v>
      </c>
      <c r="F2349" s="21">
        <v>18791.0</v>
      </c>
      <c r="G2349" s="20"/>
      <c r="H2349" s="20" t="s">
        <v>4030</v>
      </c>
      <c r="I2349" s="20"/>
      <c r="J2349" s="20">
        <v>3.0</v>
      </c>
      <c r="K2349" s="20">
        <v>199.0</v>
      </c>
      <c r="L2349" s="20"/>
      <c r="M2349" s="20">
        <v>199.0</v>
      </c>
      <c r="N2349" s="5" t="s">
        <v>67</v>
      </c>
      <c r="O2349" s="20" t="b">
        <v>0</v>
      </c>
      <c r="P2349" s="20" t="s">
        <v>68</v>
      </c>
      <c r="Q2349" s="20" t="s">
        <v>69</v>
      </c>
      <c r="R2349" s="20" t="s">
        <v>4033</v>
      </c>
      <c r="T2349" s="20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</row>
    <row r="2350">
      <c r="A2350" s="15" t="s">
        <v>9050</v>
      </c>
      <c r="B2350" s="19" t="s">
        <v>3901</v>
      </c>
      <c r="C2350" s="20">
        <v>49835.0</v>
      </c>
      <c r="D2350" s="20" t="s">
        <v>3900</v>
      </c>
      <c r="E2350" s="5">
        <v>9.19110504405E11</v>
      </c>
      <c r="F2350" s="21">
        <v>18794.0</v>
      </c>
      <c r="G2350" s="20"/>
      <c r="H2350" s="20" t="s">
        <v>680</v>
      </c>
      <c r="I2350" s="5"/>
      <c r="J2350" s="20">
        <v>6.0</v>
      </c>
      <c r="K2350" s="20">
        <v>349.0</v>
      </c>
      <c r="L2350" s="20"/>
      <c r="M2350" s="20">
        <v>349.0</v>
      </c>
      <c r="N2350" s="5" t="s">
        <v>67</v>
      </c>
      <c r="O2350" s="20" t="b">
        <v>0</v>
      </c>
      <c r="P2350" s="20" t="s">
        <v>68</v>
      </c>
      <c r="Q2350" s="20" t="s">
        <v>69</v>
      </c>
      <c r="R2350" s="20" t="s">
        <v>3888</v>
      </c>
      <c r="T2350" s="20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</row>
    <row r="2351">
      <c r="A2351" s="15" t="s">
        <v>9051</v>
      </c>
      <c r="B2351" s="19" t="s">
        <v>4673</v>
      </c>
      <c r="C2351" s="20">
        <v>49859.0</v>
      </c>
      <c r="D2351" s="20" t="s">
        <v>4672</v>
      </c>
      <c r="E2351" s="5">
        <v>9.17533851002E11</v>
      </c>
      <c r="F2351" s="21">
        <v>18156.0</v>
      </c>
      <c r="G2351" s="20"/>
      <c r="H2351" s="20" t="s">
        <v>1133</v>
      </c>
      <c r="I2351" s="5"/>
      <c r="J2351" s="20">
        <v>3.0</v>
      </c>
      <c r="K2351" s="20">
        <v>199.0</v>
      </c>
      <c r="L2351" s="20"/>
      <c r="M2351" s="20">
        <v>199.0</v>
      </c>
      <c r="N2351" s="5" t="s">
        <v>67</v>
      </c>
      <c r="O2351" s="20" t="b">
        <v>0</v>
      </c>
      <c r="P2351" s="20" t="s">
        <v>68</v>
      </c>
      <c r="Q2351" s="20" t="s">
        <v>69</v>
      </c>
      <c r="R2351" s="20" t="s">
        <v>4620</v>
      </c>
      <c r="T2351" s="20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</row>
    <row r="2352">
      <c r="A2352" s="15" t="s">
        <v>9052</v>
      </c>
      <c r="B2352" s="19" t="s">
        <v>5391</v>
      </c>
      <c r="C2352" s="20">
        <v>49995.0</v>
      </c>
      <c r="D2352" s="20" t="s">
        <v>5390</v>
      </c>
      <c r="E2352" s="5">
        <v>9.19402108039E11</v>
      </c>
      <c r="F2352" s="21">
        <v>18795.0</v>
      </c>
      <c r="G2352" s="20"/>
      <c r="H2352" s="20" t="s">
        <v>5321</v>
      </c>
      <c r="I2352" s="5"/>
      <c r="J2352" s="20">
        <v>1.0</v>
      </c>
      <c r="K2352" s="20">
        <v>99.0</v>
      </c>
      <c r="L2352" s="20"/>
      <c r="M2352" s="20">
        <v>99.0</v>
      </c>
      <c r="N2352" s="5" t="s">
        <v>67</v>
      </c>
      <c r="O2352" s="20" t="b">
        <v>0</v>
      </c>
      <c r="P2352" s="20" t="s">
        <v>68</v>
      </c>
      <c r="Q2352" s="20" t="s">
        <v>69</v>
      </c>
      <c r="R2352" s="20" t="s">
        <v>5323</v>
      </c>
      <c r="T2352" s="20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</row>
    <row r="2353">
      <c r="A2353" s="15" t="s">
        <v>9055</v>
      </c>
      <c r="B2353" s="19" t="s">
        <v>4303</v>
      </c>
      <c r="C2353" s="20">
        <v>50079.0</v>
      </c>
      <c r="D2353" s="20" t="s">
        <v>4302</v>
      </c>
      <c r="E2353" s="5">
        <v>9.19773645273E11</v>
      </c>
      <c r="F2353" s="21">
        <v>18804.0</v>
      </c>
      <c r="G2353" s="20"/>
      <c r="H2353" s="20" t="s">
        <v>4281</v>
      </c>
      <c r="I2353" s="5"/>
      <c r="J2353" s="20">
        <v>1.0</v>
      </c>
      <c r="K2353" s="20">
        <v>99.0</v>
      </c>
      <c r="L2353" s="20"/>
      <c r="M2353" s="20">
        <v>99.0</v>
      </c>
      <c r="N2353" s="5" t="s">
        <v>67</v>
      </c>
      <c r="O2353" s="20" t="b">
        <v>0</v>
      </c>
      <c r="P2353" s="20" t="s">
        <v>68</v>
      </c>
      <c r="Q2353" s="20" t="s">
        <v>69</v>
      </c>
      <c r="R2353" s="20" t="s">
        <v>4284</v>
      </c>
      <c r="T2353" s="20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</row>
    <row r="2354">
      <c r="A2354" s="15" t="s">
        <v>9239</v>
      </c>
      <c r="B2354" s="19" t="s">
        <v>4685</v>
      </c>
      <c r="C2354" s="20">
        <v>49859.0</v>
      </c>
      <c r="D2354" s="20" t="s">
        <v>4684</v>
      </c>
      <c r="E2354" s="5">
        <v>9.19502935039E11</v>
      </c>
      <c r="F2354" s="21">
        <v>18869.0</v>
      </c>
      <c r="G2354" s="20"/>
      <c r="H2354" s="20" t="s">
        <v>1133</v>
      </c>
      <c r="I2354" s="5"/>
      <c r="J2354" s="20">
        <v>3.0</v>
      </c>
      <c r="K2354" s="20">
        <v>199.0</v>
      </c>
      <c r="L2354" s="20"/>
      <c r="M2354" s="20">
        <v>199.0</v>
      </c>
      <c r="N2354" s="5" t="s">
        <v>67</v>
      </c>
      <c r="O2354" s="20" t="b">
        <v>0</v>
      </c>
      <c r="P2354" s="20" t="s">
        <v>68</v>
      </c>
      <c r="Q2354" s="20" t="s">
        <v>69</v>
      </c>
      <c r="R2354" s="20" t="s">
        <v>4620</v>
      </c>
      <c r="T2354" s="20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</row>
    <row r="2355">
      <c r="A2355" s="15" t="s">
        <v>9240</v>
      </c>
      <c r="B2355" s="19" t="s">
        <v>3790</v>
      </c>
      <c r="C2355" s="20">
        <v>49907.0</v>
      </c>
      <c r="D2355" s="20" t="s">
        <v>3789</v>
      </c>
      <c r="E2355" s="5">
        <v>9.16302490323E11</v>
      </c>
      <c r="F2355" s="21">
        <v>0.0</v>
      </c>
      <c r="G2355" s="20"/>
      <c r="H2355" s="20" t="s">
        <v>587</v>
      </c>
      <c r="I2355" s="5"/>
      <c r="J2355" s="20">
        <v>1.0</v>
      </c>
      <c r="K2355" s="20">
        <v>99.0</v>
      </c>
      <c r="L2355" s="20"/>
      <c r="M2355" s="20">
        <v>99.0</v>
      </c>
      <c r="N2355" s="5" t="s">
        <v>67</v>
      </c>
      <c r="O2355" s="20" t="b">
        <v>0</v>
      </c>
      <c r="P2355" s="20" t="s">
        <v>68</v>
      </c>
      <c r="Q2355" s="20" t="s">
        <v>69</v>
      </c>
      <c r="R2355" s="20" t="s">
        <v>3774</v>
      </c>
      <c r="T2355" s="20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</row>
    <row r="2356">
      <c r="A2356" s="15" t="s">
        <v>9056</v>
      </c>
      <c r="B2356" s="19" t="s">
        <v>4109</v>
      </c>
      <c r="C2356" s="20">
        <v>49833.0</v>
      </c>
      <c r="D2356" s="20" t="s">
        <v>4108</v>
      </c>
      <c r="E2356" s="5">
        <v>9.18971888824E11</v>
      </c>
      <c r="F2356" s="21">
        <v>18805.0</v>
      </c>
      <c r="G2356" s="20"/>
      <c r="H2356" s="20" t="s">
        <v>4030</v>
      </c>
      <c r="I2356" s="5"/>
      <c r="J2356" s="20">
        <v>1.0</v>
      </c>
      <c r="K2356" s="20">
        <v>99.0</v>
      </c>
      <c r="L2356" s="20"/>
      <c r="M2356" s="20">
        <v>99.0</v>
      </c>
      <c r="N2356" s="5" t="s">
        <v>67</v>
      </c>
      <c r="O2356" s="20" t="b">
        <v>0</v>
      </c>
      <c r="P2356" s="20" t="s">
        <v>68</v>
      </c>
      <c r="Q2356" s="20" t="s">
        <v>69</v>
      </c>
      <c r="R2356" s="20" t="s">
        <v>4033</v>
      </c>
      <c r="T2356" s="20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</row>
    <row r="2357">
      <c r="A2357" s="15" t="s">
        <v>9241</v>
      </c>
      <c r="B2357" s="19" t="s">
        <v>4687</v>
      </c>
      <c r="C2357" s="20">
        <v>49859.0</v>
      </c>
      <c r="D2357" s="20" t="s">
        <v>4686</v>
      </c>
      <c r="E2357" s="5">
        <v>9.19007264041E11</v>
      </c>
      <c r="F2357" s="21">
        <v>0.0</v>
      </c>
      <c r="G2357" s="20"/>
      <c r="H2357" s="20" t="s">
        <v>1133</v>
      </c>
      <c r="I2357" s="5"/>
      <c r="J2357" s="20">
        <v>1.0</v>
      </c>
      <c r="K2357" s="20">
        <v>99.0</v>
      </c>
      <c r="L2357" s="20"/>
      <c r="M2357" s="20">
        <v>99.0</v>
      </c>
      <c r="N2357" s="5" t="s">
        <v>67</v>
      </c>
      <c r="O2357" s="20" t="b">
        <v>0</v>
      </c>
      <c r="P2357" s="20" t="s">
        <v>68</v>
      </c>
      <c r="Q2357" s="20" t="s">
        <v>69</v>
      </c>
      <c r="R2357" s="20" t="s">
        <v>4620</v>
      </c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</row>
    <row r="2358">
      <c r="A2358" s="15" t="s">
        <v>9242</v>
      </c>
      <c r="B2358" s="19" t="s">
        <v>3045</v>
      </c>
      <c r="C2358" s="20">
        <v>50020.0</v>
      </c>
      <c r="D2358" s="20" t="s">
        <v>3044</v>
      </c>
      <c r="E2358" s="5">
        <v>9.19867252272E11</v>
      </c>
      <c r="F2358" s="21">
        <v>18870.0</v>
      </c>
      <c r="G2358" s="20"/>
      <c r="H2358" s="20" t="s">
        <v>3008</v>
      </c>
      <c r="I2358" s="5"/>
      <c r="J2358" s="20">
        <v>1.0</v>
      </c>
      <c r="K2358" s="20">
        <v>99.0</v>
      </c>
      <c r="L2358" s="20"/>
      <c r="M2358" s="20">
        <v>99.0</v>
      </c>
      <c r="N2358" s="5" t="s">
        <v>67</v>
      </c>
      <c r="O2358" s="20" t="b">
        <v>0</v>
      </c>
      <c r="P2358" s="20" t="s">
        <v>68</v>
      </c>
      <c r="Q2358" s="20" t="s">
        <v>69</v>
      </c>
      <c r="R2358" s="20" t="s">
        <v>3010</v>
      </c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</row>
    <row r="2359">
      <c r="A2359" s="15" t="s">
        <v>9250</v>
      </c>
      <c r="B2359" s="19" t="s">
        <v>5005</v>
      </c>
      <c r="C2359" s="20">
        <v>50094.0</v>
      </c>
      <c r="D2359" s="20" t="s">
        <v>5004</v>
      </c>
      <c r="E2359" s="5">
        <v>9.1948900391E11</v>
      </c>
      <c r="F2359" s="21">
        <v>18877.0</v>
      </c>
      <c r="G2359" s="20"/>
      <c r="H2359" s="20" t="s">
        <v>4942</v>
      </c>
      <c r="I2359" s="5"/>
      <c r="J2359" s="20">
        <v>1.0</v>
      </c>
      <c r="K2359" s="20">
        <v>199.0</v>
      </c>
      <c r="L2359" s="20"/>
      <c r="M2359" s="20">
        <v>199.0</v>
      </c>
      <c r="N2359" s="5" t="s">
        <v>67</v>
      </c>
      <c r="O2359" s="20" t="b">
        <v>0</v>
      </c>
      <c r="P2359" s="20" t="s">
        <v>68</v>
      </c>
      <c r="Q2359" s="20" t="s">
        <v>69</v>
      </c>
      <c r="R2359" s="20" t="s">
        <v>4945</v>
      </c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</row>
    <row r="2360">
      <c r="A2360" s="15" t="s">
        <v>9243</v>
      </c>
      <c r="B2360" s="19" t="s">
        <v>4376</v>
      </c>
      <c r="C2360" s="20">
        <v>50039.0</v>
      </c>
      <c r="D2360" s="20" t="s">
        <v>4375</v>
      </c>
      <c r="E2360" s="5">
        <v>9.17989198192E11</v>
      </c>
      <c r="F2360" s="21">
        <v>18872.0</v>
      </c>
      <c r="G2360" s="20"/>
      <c r="H2360" s="20" t="s">
        <v>4341</v>
      </c>
      <c r="I2360" s="5"/>
      <c r="J2360" s="20">
        <v>1.0</v>
      </c>
      <c r="K2360" s="20">
        <v>99.0</v>
      </c>
      <c r="L2360" s="20"/>
      <c r="M2360" s="20">
        <v>99.0</v>
      </c>
      <c r="N2360" s="5" t="s">
        <v>67</v>
      </c>
      <c r="O2360" s="20" t="b">
        <v>0</v>
      </c>
      <c r="P2360" s="20" t="s">
        <v>74</v>
      </c>
      <c r="Q2360" s="20" t="s">
        <v>69</v>
      </c>
      <c r="R2360" s="20" t="s">
        <v>4343</v>
      </c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</row>
    <row r="2361">
      <c r="A2361" s="15" t="s">
        <v>9251</v>
      </c>
      <c r="B2361" s="19" t="s">
        <v>6093</v>
      </c>
      <c r="C2361" s="20">
        <v>50076.0</v>
      </c>
      <c r="D2361" s="20" t="s">
        <v>6092</v>
      </c>
      <c r="E2361" s="5">
        <v>9.17262046145E11</v>
      </c>
      <c r="F2361" s="21">
        <v>18874.0</v>
      </c>
      <c r="G2361" s="20"/>
      <c r="H2361" s="20" t="s">
        <v>5984</v>
      </c>
      <c r="I2361" s="5"/>
      <c r="J2361" s="20">
        <v>1.0</v>
      </c>
      <c r="K2361" s="20">
        <v>199.0</v>
      </c>
      <c r="L2361" s="20"/>
      <c r="M2361" s="20">
        <v>199.0</v>
      </c>
      <c r="N2361" s="5" t="s">
        <v>67</v>
      </c>
      <c r="O2361" s="20" t="b">
        <v>0</v>
      </c>
      <c r="P2361" s="20" t="s">
        <v>68</v>
      </c>
      <c r="Q2361" s="20" t="s">
        <v>69</v>
      </c>
      <c r="R2361" s="20" t="s">
        <v>5987</v>
      </c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</row>
    <row r="2362">
      <c r="A2362" s="15" t="s">
        <v>9254</v>
      </c>
      <c r="B2362" s="19" t="s">
        <v>4464</v>
      </c>
      <c r="C2362" s="20">
        <v>50052.0</v>
      </c>
      <c r="D2362" s="20" t="s">
        <v>4463</v>
      </c>
      <c r="E2362" s="5">
        <v>9.17053183655E11</v>
      </c>
      <c r="F2362" s="21">
        <v>18876.0</v>
      </c>
      <c r="G2362" s="20"/>
      <c r="H2362" s="20" t="s">
        <v>4433</v>
      </c>
      <c r="I2362" s="5"/>
      <c r="J2362" s="20">
        <v>1.0</v>
      </c>
      <c r="K2362" s="20">
        <v>99.0</v>
      </c>
      <c r="L2362" s="20"/>
      <c r="M2362" s="20">
        <v>99.0</v>
      </c>
      <c r="N2362" s="5" t="s">
        <v>67</v>
      </c>
      <c r="O2362" s="20" t="b">
        <v>0</v>
      </c>
      <c r="P2362" s="20" t="s">
        <v>68</v>
      </c>
      <c r="Q2362" s="20" t="s">
        <v>69</v>
      </c>
      <c r="R2362" s="20" t="s">
        <v>4435</v>
      </c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</row>
    <row r="2363">
      <c r="A2363" s="15" t="s">
        <v>9058</v>
      </c>
      <c r="B2363" s="19" t="s">
        <v>4460</v>
      </c>
      <c r="C2363" s="20">
        <v>50052.0</v>
      </c>
      <c r="D2363" s="20" t="s">
        <v>4459</v>
      </c>
      <c r="E2363" s="5">
        <v>9.19830898748E11</v>
      </c>
      <c r="F2363" s="21">
        <v>18807.0</v>
      </c>
      <c r="G2363" s="20"/>
      <c r="H2363" s="20" t="s">
        <v>4433</v>
      </c>
      <c r="I2363" s="5"/>
      <c r="J2363" s="20">
        <v>1.0</v>
      </c>
      <c r="K2363" s="20">
        <v>99.0</v>
      </c>
      <c r="L2363" s="20"/>
      <c r="M2363" s="20">
        <v>99.0</v>
      </c>
      <c r="N2363" s="5" t="s">
        <v>67</v>
      </c>
      <c r="O2363" s="20" t="b">
        <v>0</v>
      </c>
      <c r="P2363" s="20" t="s">
        <v>68</v>
      </c>
      <c r="Q2363" s="20" t="s">
        <v>69</v>
      </c>
      <c r="R2363" s="20" t="s">
        <v>4435</v>
      </c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</row>
    <row r="2364">
      <c r="A2364" s="15" t="s">
        <v>9255</v>
      </c>
      <c r="B2364" s="19" t="s">
        <v>6397</v>
      </c>
      <c r="C2364" s="20">
        <v>50043.0</v>
      </c>
      <c r="D2364" s="20" t="s">
        <v>6396</v>
      </c>
      <c r="E2364" s="5">
        <v>9.19768689948E11</v>
      </c>
      <c r="F2364" s="21">
        <v>0.0</v>
      </c>
      <c r="G2364" s="20"/>
      <c r="H2364" s="20" t="s">
        <v>6367</v>
      </c>
      <c r="I2364" s="5"/>
      <c r="J2364" s="20">
        <v>1.0</v>
      </c>
      <c r="K2364" s="20">
        <v>99.0</v>
      </c>
      <c r="L2364" s="20"/>
      <c r="M2364" s="20">
        <v>99.0</v>
      </c>
      <c r="N2364" s="5" t="s">
        <v>67</v>
      </c>
      <c r="O2364" s="20" t="b">
        <v>0</v>
      </c>
      <c r="P2364" s="20" t="s">
        <v>68</v>
      </c>
      <c r="Q2364" s="20" t="s">
        <v>69</v>
      </c>
      <c r="R2364" s="20" t="s">
        <v>6369</v>
      </c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</row>
    <row r="2365">
      <c r="A2365" s="15" t="s">
        <v>9059</v>
      </c>
      <c r="B2365" s="19" t="s">
        <v>6393</v>
      </c>
      <c r="C2365" s="20">
        <v>50043.0</v>
      </c>
      <c r="D2365" s="20" t="s">
        <v>6392</v>
      </c>
      <c r="E2365" s="5">
        <v>9.18008371122E11</v>
      </c>
      <c r="F2365" s="21">
        <v>0.0</v>
      </c>
      <c r="G2365" s="20"/>
      <c r="H2365" s="20" t="s">
        <v>6367</v>
      </c>
      <c r="I2365" s="5"/>
      <c r="J2365" s="20">
        <v>6.0</v>
      </c>
      <c r="K2365" s="20">
        <v>349.0</v>
      </c>
      <c r="L2365" s="20"/>
      <c r="M2365" s="20">
        <v>349.0</v>
      </c>
      <c r="N2365" s="5" t="s">
        <v>67</v>
      </c>
      <c r="O2365" s="20" t="b">
        <v>0</v>
      </c>
      <c r="P2365" s="20" t="s">
        <v>68</v>
      </c>
      <c r="Q2365" s="20" t="s">
        <v>69</v>
      </c>
      <c r="R2365" s="20" t="s">
        <v>6369</v>
      </c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</row>
    <row r="2366">
      <c r="A2366" s="15" t="s">
        <v>9256</v>
      </c>
      <c r="B2366" s="19" t="s">
        <v>5007</v>
      </c>
      <c r="C2366" s="20">
        <v>50094.0</v>
      </c>
      <c r="D2366" s="20" t="s">
        <v>5006</v>
      </c>
      <c r="E2366" s="5">
        <v>9.19409434533E11</v>
      </c>
      <c r="F2366" s="21">
        <v>18879.0</v>
      </c>
      <c r="G2366" s="20"/>
      <c r="H2366" s="20" t="s">
        <v>4942</v>
      </c>
      <c r="I2366" s="5"/>
      <c r="J2366" s="20">
        <v>1.0</v>
      </c>
      <c r="K2366" s="20">
        <v>199.0</v>
      </c>
      <c r="L2366" s="20"/>
      <c r="M2366" s="20">
        <v>199.0</v>
      </c>
      <c r="N2366" s="5" t="s">
        <v>67</v>
      </c>
      <c r="O2366" s="20" t="b">
        <v>0</v>
      </c>
      <c r="P2366" s="20" t="s">
        <v>68</v>
      </c>
      <c r="Q2366" s="20" t="s">
        <v>69</v>
      </c>
      <c r="R2366" s="20" t="s">
        <v>4945</v>
      </c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</row>
    <row r="2367">
      <c r="A2367" s="15" t="s">
        <v>9258</v>
      </c>
      <c r="B2367" s="19" t="s">
        <v>4137</v>
      </c>
      <c r="C2367" s="20">
        <v>49833.0</v>
      </c>
      <c r="D2367" s="20" t="s">
        <v>4136</v>
      </c>
      <c r="E2367" s="5">
        <v>9.1938989815E11</v>
      </c>
      <c r="F2367" s="21">
        <v>18880.0</v>
      </c>
      <c r="G2367" s="20"/>
      <c r="H2367" s="20" t="s">
        <v>4030</v>
      </c>
      <c r="I2367" s="5"/>
      <c r="J2367" s="20">
        <v>1.0</v>
      </c>
      <c r="K2367" s="20">
        <v>99.0</v>
      </c>
      <c r="L2367" s="20"/>
      <c r="M2367" s="20">
        <v>99.0</v>
      </c>
      <c r="N2367" s="5" t="s">
        <v>67</v>
      </c>
      <c r="O2367" s="20" t="b">
        <v>0</v>
      </c>
      <c r="P2367" s="20" t="s">
        <v>68</v>
      </c>
      <c r="Q2367" s="20" t="s">
        <v>69</v>
      </c>
      <c r="R2367" s="20" t="s">
        <v>4033</v>
      </c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</row>
    <row r="2368">
      <c r="A2368" s="15" t="s">
        <v>9070</v>
      </c>
      <c r="B2368" s="19" t="s">
        <v>5273</v>
      </c>
      <c r="C2368" s="20">
        <v>50022.0</v>
      </c>
      <c r="D2368" s="20" t="s">
        <v>5272</v>
      </c>
      <c r="E2368" s="5">
        <v>9.1972320715E11</v>
      </c>
      <c r="F2368" s="21">
        <v>19040.0</v>
      </c>
      <c r="G2368" s="20"/>
      <c r="H2368" s="20" t="s">
        <v>5181</v>
      </c>
      <c r="I2368" s="5"/>
      <c r="J2368" s="20">
        <v>1.0</v>
      </c>
      <c r="K2368" s="20">
        <v>99.0</v>
      </c>
      <c r="L2368" s="20"/>
      <c r="M2368" s="20">
        <v>99.0</v>
      </c>
      <c r="N2368" s="5" t="s">
        <v>67</v>
      </c>
      <c r="O2368" s="20" t="b">
        <v>0</v>
      </c>
      <c r="P2368" s="20" t="s">
        <v>74</v>
      </c>
      <c r="Q2368" s="20" t="s">
        <v>69</v>
      </c>
      <c r="R2368" s="20" t="s">
        <v>5183</v>
      </c>
      <c r="T2368" s="20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</row>
    <row r="2369">
      <c r="A2369" s="15" t="s">
        <v>9073</v>
      </c>
      <c r="B2369" s="19" t="s">
        <v>6395</v>
      </c>
      <c r="C2369" s="20">
        <v>50043.0</v>
      </c>
      <c r="D2369" s="20" t="s">
        <v>6394</v>
      </c>
      <c r="E2369" s="5">
        <v>9.1844658043E11</v>
      </c>
      <c r="F2369" s="21">
        <v>18813.0</v>
      </c>
      <c r="G2369" s="20"/>
      <c r="H2369" s="20" t="s">
        <v>6367</v>
      </c>
      <c r="I2369" s="5"/>
      <c r="J2369" s="20">
        <v>1.0</v>
      </c>
      <c r="K2369" s="20">
        <v>99.0</v>
      </c>
      <c r="L2369" s="20"/>
      <c r="M2369" s="20">
        <v>99.0</v>
      </c>
      <c r="N2369" s="5" t="s">
        <v>67</v>
      </c>
      <c r="O2369" s="20" t="b">
        <v>0</v>
      </c>
      <c r="P2369" s="20" t="s">
        <v>68</v>
      </c>
      <c r="Q2369" s="20" t="s">
        <v>69</v>
      </c>
      <c r="R2369" s="20" t="s">
        <v>6369</v>
      </c>
      <c r="T2369" s="20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</row>
    <row r="2370">
      <c r="A2370" s="15" t="s">
        <v>9065</v>
      </c>
      <c r="B2370" s="19" t="s">
        <v>4677</v>
      </c>
      <c r="C2370" s="20">
        <v>49859.0</v>
      </c>
      <c r="D2370" s="20" t="s">
        <v>4676</v>
      </c>
      <c r="E2370" s="5">
        <v>9.17666711139E11</v>
      </c>
      <c r="F2370" s="22" t="s">
        <v>12593</v>
      </c>
      <c r="G2370" s="20"/>
      <c r="H2370" s="20" t="s">
        <v>1133</v>
      </c>
      <c r="I2370" s="5"/>
      <c r="J2370" s="20">
        <v>1.0</v>
      </c>
      <c r="K2370" s="20">
        <v>99.0</v>
      </c>
      <c r="L2370" s="20"/>
      <c r="M2370" s="20">
        <v>99.0</v>
      </c>
      <c r="N2370" s="5" t="s">
        <v>67</v>
      </c>
      <c r="O2370" s="20" t="b">
        <v>0</v>
      </c>
      <c r="P2370" s="20" t="s">
        <v>68</v>
      </c>
      <c r="Q2370" s="20" t="s">
        <v>69</v>
      </c>
      <c r="R2370" s="20" t="s">
        <v>4620</v>
      </c>
      <c r="T2370" s="20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</row>
    <row r="2371">
      <c r="A2371" s="15" t="s">
        <v>9066</v>
      </c>
      <c r="B2371" s="19" t="s">
        <v>3441</v>
      </c>
      <c r="C2371" s="20">
        <v>50030.0</v>
      </c>
      <c r="D2371" s="20" t="s">
        <v>3440</v>
      </c>
      <c r="E2371" s="5">
        <v>9.19408686381E11</v>
      </c>
      <c r="F2371" s="21">
        <v>18809.0</v>
      </c>
      <c r="G2371" s="20"/>
      <c r="H2371" s="20" t="s">
        <v>3326</v>
      </c>
      <c r="I2371" s="5"/>
      <c r="J2371" s="20">
        <v>1.0</v>
      </c>
      <c r="K2371" s="20">
        <v>99.0</v>
      </c>
      <c r="L2371" s="20"/>
      <c r="M2371" s="20">
        <v>99.0</v>
      </c>
      <c r="N2371" s="5" t="s">
        <v>67</v>
      </c>
      <c r="O2371" s="20" t="b">
        <v>0</v>
      </c>
      <c r="P2371" s="20" t="s">
        <v>68</v>
      </c>
      <c r="Q2371" s="20" t="s">
        <v>69</v>
      </c>
      <c r="R2371" s="20" t="s">
        <v>3328</v>
      </c>
      <c r="T2371" s="20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</row>
    <row r="2372">
      <c r="A2372" s="15" t="s">
        <v>9067</v>
      </c>
      <c r="B2372" s="19" t="s">
        <v>3441</v>
      </c>
      <c r="C2372" s="20">
        <v>50022.0</v>
      </c>
      <c r="D2372" s="20" t="s">
        <v>5245</v>
      </c>
      <c r="E2372" s="5">
        <v>9.19930910388E11</v>
      </c>
      <c r="F2372" s="21">
        <v>0.0</v>
      </c>
      <c r="G2372" s="20"/>
      <c r="H2372" s="20" t="s">
        <v>5181</v>
      </c>
      <c r="I2372" s="5"/>
      <c r="J2372" s="20">
        <v>1.0</v>
      </c>
      <c r="K2372" s="20">
        <v>99.0</v>
      </c>
      <c r="L2372" s="20"/>
      <c r="M2372" s="20">
        <v>99.0</v>
      </c>
      <c r="N2372" s="5" t="s">
        <v>67</v>
      </c>
      <c r="O2372" s="20" t="b">
        <v>0</v>
      </c>
      <c r="P2372" s="20" t="s">
        <v>74</v>
      </c>
      <c r="Q2372" s="20" t="s">
        <v>69</v>
      </c>
      <c r="R2372" s="20" t="s">
        <v>5183</v>
      </c>
      <c r="T2372" s="20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</row>
    <row r="2373">
      <c r="A2373" s="15" t="s">
        <v>9266</v>
      </c>
      <c r="B2373" s="19" t="s">
        <v>5257</v>
      </c>
      <c r="C2373" s="20">
        <v>50022.0</v>
      </c>
      <c r="D2373" s="20" t="s">
        <v>5256</v>
      </c>
      <c r="E2373" s="5">
        <v>9.19846073448E11</v>
      </c>
      <c r="F2373" s="21">
        <v>18881.0</v>
      </c>
      <c r="G2373" s="20"/>
      <c r="H2373" s="20" t="s">
        <v>5181</v>
      </c>
      <c r="I2373" s="5"/>
      <c r="J2373" s="20">
        <v>1.0</v>
      </c>
      <c r="K2373" s="20">
        <v>99.0</v>
      </c>
      <c r="L2373" s="20"/>
      <c r="M2373" s="20">
        <v>99.0</v>
      </c>
      <c r="N2373" s="5" t="s">
        <v>67</v>
      </c>
      <c r="O2373" s="20" t="b">
        <v>0</v>
      </c>
      <c r="P2373" s="20" t="s">
        <v>74</v>
      </c>
      <c r="Q2373" s="20" t="s">
        <v>69</v>
      </c>
      <c r="R2373" s="20" t="s">
        <v>5183</v>
      </c>
      <c r="T2373" s="20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</row>
    <row r="2374">
      <c r="A2374" s="15" t="s">
        <v>9267</v>
      </c>
      <c r="B2374" s="19" t="s">
        <v>2851</v>
      </c>
      <c r="C2374" s="20">
        <v>50029.0</v>
      </c>
      <c r="D2374" s="20" t="s">
        <v>2850</v>
      </c>
      <c r="E2374" s="5">
        <v>9.1858792216E11</v>
      </c>
      <c r="F2374" s="21">
        <v>18886.0</v>
      </c>
      <c r="G2374" s="20"/>
      <c r="H2374" s="20" t="s">
        <v>2761</v>
      </c>
      <c r="I2374" s="5"/>
      <c r="J2374" s="20">
        <v>1.0</v>
      </c>
      <c r="K2374" s="20">
        <v>99.0</v>
      </c>
      <c r="L2374" s="20"/>
      <c r="M2374" s="20">
        <v>99.0</v>
      </c>
      <c r="N2374" s="5" t="s">
        <v>67</v>
      </c>
      <c r="O2374" s="20" t="b">
        <v>0</v>
      </c>
      <c r="P2374" s="20" t="s">
        <v>68</v>
      </c>
      <c r="Q2374" s="20" t="s">
        <v>69</v>
      </c>
      <c r="R2374" s="20" t="s">
        <v>2763</v>
      </c>
      <c r="T2374" s="20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</row>
    <row r="2375">
      <c r="A2375" s="15" t="s">
        <v>9078</v>
      </c>
      <c r="B2375" s="19" t="s">
        <v>5247</v>
      </c>
      <c r="C2375" s="20">
        <v>50022.0</v>
      </c>
      <c r="D2375" s="20" t="s">
        <v>5246</v>
      </c>
      <c r="E2375" s="5">
        <v>9.19849036768E11</v>
      </c>
      <c r="F2375" s="21">
        <v>18816.0</v>
      </c>
      <c r="G2375" s="20"/>
      <c r="H2375" s="20" t="s">
        <v>5181</v>
      </c>
      <c r="I2375" s="5"/>
      <c r="J2375" s="20">
        <v>1.0</v>
      </c>
      <c r="K2375" s="20">
        <v>99.0</v>
      </c>
      <c r="L2375" s="20"/>
      <c r="M2375" s="20">
        <v>99.0</v>
      </c>
      <c r="N2375" s="5" t="s">
        <v>67</v>
      </c>
      <c r="O2375" s="20" t="b">
        <v>0</v>
      </c>
      <c r="P2375" s="20" t="s">
        <v>68</v>
      </c>
      <c r="Q2375" s="20" t="s">
        <v>69</v>
      </c>
      <c r="R2375" s="20" t="s">
        <v>5183</v>
      </c>
      <c r="T2375" s="20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</row>
    <row r="2376">
      <c r="A2376" s="15" t="s">
        <v>9076</v>
      </c>
      <c r="B2376" s="19" t="s">
        <v>4111</v>
      </c>
      <c r="C2376" s="20">
        <v>49833.0</v>
      </c>
      <c r="D2376" s="20" t="s">
        <v>4110</v>
      </c>
      <c r="E2376" s="5">
        <v>9.19741546133E11</v>
      </c>
      <c r="F2376" s="21">
        <v>18814.0</v>
      </c>
      <c r="G2376" s="20"/>
      <c r="H2376" s="20" t="s">
        <v>4030</v>
      </c>
      <c r="I2376" s="5"/>
      <c r="J2376" s="20">
        <v>1.0</v>
      </c>
      <c r="K2376" s="20">
        <v>99.0</v>
      </c>
      <c r="L2376" s="20"/>
      <c r="M2376" s="20">
        <v>99.0</v>
      </c>
      <c r="N2376" s="5" t="s">
        <v>67</v>
      </c>
      <c r="O2376" s="20" t="b">
        <v>0</v>
      </c>
      <c r="P2376" s="20" t="s">
        <v>74</v>
      </c>
      <c r="Q2376" s="20" t="s">
        <v>69</v>
      </c>
      <c r="R2376" s="20" t="s">
        <v>4033</v>
      </c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</row>
    <row r="2377">
      <c r="A2377" s="15" t="s">
        <v>9268</v>
      </c>
      <c r="B2377" s="19" t="s">
        <v>2851</v>
      </c>
      <c r="C2377" s="20">
        <v>50094.0</v>
      </c>
      <c r="D2377" s="20" t="s">
        <v>5008</v>
      </c>
      <c r="E2377" s="5">
        <v>9.17358682881E11</v>
      </c>
      <c r="F2377" s="21">
        <v>20392.0</v>
      </c>
      <c r="G2377" s="20"/>
      <c r="H2377" s="20" t="s">
        <v>4942</v>
      </c>
      <c r="I2377" s="5"/>
      <c r="J2377" s="20">
        <v>1.0</v>
      </c>
      <c r="K2377" s="20">
        <v>199.0</v>
      </c>
      <c r="L2377" s="20"/>
      <c r="M2377" s="20">
        <v>199.0</v>
      </c>
      <c r="N2377" s="5" t="s">
        <v>67</v>
      </c>
      <c r="O2377" s="20" t="b">
        <v>0</v>
      </c>
      <c r="P2377" s="20" t="s">
        <v>68</v>
      </c>
      <c r="Q2377" s="20" t="s">
        <v>69</v>
      </c>
      <c r="R2377" s="20" t="s">
        <v>4945</v>
      </c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</row>
    <row r="2378">
      <c r="A2378" s="15" t="s">
        <v>9270</v>
      </c>
      <c r="B2378" s="19" t="s">
        <v>4139</v>
      </c>
      <c r="C2378" s="20">
        <v>49833.0</v>
      </c>
      <c r="D2378" s="20" t="s">
        <v>4138</v>
      </c>
      <c r="E2378" s="5">
        <v>9.17578863897E11</v>
      </c>
      <c r="F2378" s="21">
        <v>6248.0</v>
      </c>
      <c r="G2378" s="20"/>
      <c r="H2378" s="20" t="s">
        <v>4030</v>
      </c>
      <c r="I2378" s="5"/>
      <c r="J2378" s="20">
        <v>1.0</v>
      </c>
      <c r="K2378" s="20">
        <v>99.0</v>
      </c>
      <c r="L2378" s="20"/>
      <c r="M2378" s="20">
        <v>99.0</v>
      </c>
      <c r="N2378" s="5" t="s">
        <v>67</v>
      </c>
      <c r="O2378" s="20" t="b">
        <v>0</v>
      </c>
      <c r="P2378" s="20" t="s">
        <v>68</v>
      </c>
      <c r="Q2378" s="20" t="s">
        <v>69</v>
      </c>
      <c r="R2378" s="20" t="s">
        <v>4033</v>
      </c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</row>
    <row r="2379">
      <c r="A2379" s="15" t="s">
        <v>9077</v>
      </c>
      <c r="B2379" s="19" t="s">
        <v>4113</v>
      </c>
      <c r="C2379" s="20">
        <v>49833.0</v>
      </c>
      <c r="D2379" s="20" t="s">
        <v>4112</v>
      </c>
      <c r="E2379" s="5">
        <v>9.18830165844E11</v>
      </c>
      <c r="F2379" s="21">
        <v>18815.0</v>
      </c>
      <c r="G2379" s="20"/>
      <c r="H2379" s="20" t="s">
        <v>4030</v>
      </c>
      <c r="I2379" s="5"/>
      <c r="J2379" s="20">
        <v>1.0</v>
      </c>
      <c r="K2379" s="20">
        <v>99.0</v>
      </c>
      <c r="L2379" s="20"/>
      <c r="M2379" s="20">
        <v>99.0</v>
      </c>
      <c r="N2379" s="5" t="s">
        <v>67</v>
      </c>
      <c r="O2379" s="20" t="b">
        <v>0</v>
      </c>
      <c r="P2379" s="20" t="s">
        <v>68</v>
      </c>
      <c r="Q2379" s="20" t="s">
        <v>69</v>
      </c>
      <c r="R2379" s="20" t="s">
        <v>4033</v>
      </c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</row>
    <row r="2380">
      <c r="A2380" s="15" t="s">
        <v>9271</v>
      </c>
      <c r="B2380" s="19" t="s">
        <v>5109</v>
      </c>
      <c r="C2380" s="20">
        <v>50078.0</v>
      </c>
      <c r="D2380" s="20" t="s">
        <v>5108</v>
      </c>
      <c r="E2380" s="5">
        <v>9.17665663077E11</v>
      </c>
      <c r="F2380" s="21">
        <v>18884.0</v>
      </c>
      <c r="G2380" s="20"/>
      <c r="H2380" s="20" t="s">
        <v>5105</v>
      </c>
      <c r="I2380" s="5"/>
      <c r="J2380" s="20">
        <v>3.0</v>
      </c>
      <c r="K2380" s="20">
        <v>600.0</v>
      </c>
      <c r="L2380" s="20"/>
      <c r="M2380" s="20">
        <v>600.0</v>
      </c>
      <c r="N2380" s="5" t="s">
        <v>67</v>
      </c>
      <c r="O2380" s="20" t="b">
        <v>0</v>
      </c>
      <c r="P2380" s="20" t="s">
        <v>68</v>
      </c>
      <c r="Q2380" s="20" t="s">
        <v>69</v>
      </c>
      <c r="R2380" s="20" t="s">
        <v>5107</v>
      </c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</row>
    <row r="2381">
      <c r="A2381" s="15" t="s">
        <v>9276</v>
      </c>
      <c r="B2381" s="19" t="s">
        <v>4689</v>
      </c>
      <c r="C2381" s="20">
        <v>49859.0</v>
      </c>
      <c r="D2381" s="20" t="s">
        <v>4688</v>
      </c>
      <c r="E2381" s="5">
        <v>9.19618029555E11</v>
      </c>
      <c r="F2381" s="21">
        <v>18889.0</v>
      </c>
      <c r="G2381" s="20"/>
      <c r="H2381" s="20" t="s">
        <v>1133</v>
      </c>
      <c r="I2381" s="5"/>
      <c r="J2381" s="20">
        <v>1.0</v>
      </c>
      <c r="K2381" s="20">
        <v>99.0</v>
      </c>
      <c r="L2381" s="20"/>
      <c r="M2381" s="20">
        <v>99.0</v>
      </c>
      <c r="N2381" s="5" t="s">
        <v>67</v>
      </c>
      <c r="O2381" s="20" t="b">
        <v>0</v>
      </c>
      <c r="P2381" s="20" t="s">
        <v>68</v>
      </c>
      <c r="Q2381" s="20" t="s">
        <v>69</v>
      </c>
      <c r="R2381" s="20" t="s">
        <v>4620</v>
      </c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</row>
    <row r="2382">
      <c r="A2382" s="15" t="s">
        <v>9278</v>
      </c>
      <c r="B2382" s="19" t="s">
        <v>6292</v>
      </c>
      <c r="C2382" s="20">
        <v>49998.0</v>
      </c>
      <c r="D2382" s="20" t="s">
        <v>6291</v>
      </c>
      <c r="E2382" s="5">
        <v>9.16005971502E11</v>
      </c>
      <c r="F2382" s="21">
        <v>18888.0</v>
      </c>
      <c r="G2382" s="20"/>
      <c r="H2382" s="20" t="s">
        <v>6250</v>
      </c>
      <c r="I2382" s="5"/>
      <c r="J2382" s="20">
        <v>1.0</v>
      </c>
      <c r="K2382" s="20">
        <v>99.0</v>
      </c>
      <c r="L2382" s="20"/>
      <c r="M2382" s="20">
        <v>99.0</v>
      </c>
      <c r="N2382" s="5" t="s">
        <v>67</v>
      </c>
      <c r="O2382" s="20" t="b">
        <v>0</v>
      </c>
      <c r="P2382" s="20" t="s">
        <v>68</v>
      </c>
      <c r="Q2382" s="20" t="s">
        <v>69</v>
      </c>
      <c r="R2382" s="20" t="s">
        <v>6252</v>
      </c>
      <c r="T2382" s="20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</row>
    <row r="2383">
      <c r="A2383" s="15" t="s">
        <v>9280</v>
      </c>
      <c r="B2383" s="19" t="s">
        <v>6541</v>
      </c>
      <c r="C2383" s="20">
        <v>50073.0</v>
      </c>
      <c r="D2383" s="20" t="s">
        <v>2253</v>
      </c>
      <c r="E2383" s="5">
        <v>9.19164258717E11</v>
      </c>
      <c r="F2383" s="21">
        <v>17760.0</v>
      </c>
      <c r="G2383" s="20"/>
      <c r="H2383" s="20" t="s">
        <v>2161</v>
      </c>
      <c r="I2383" s="5"/>
      <c r="J2383" s="20">
        <v>1.0</v>
      </c>
      <c r="K2383" s="20">
        <v>599.0</v>
      </c>
      <c r="L2383" s="20"/>
      <c r="M2383" s="20">
        <v>599.0</v>
      </c>
      <c r="N2383" s="5" t="s">
        <v>67</v>
      </c>
      <c r="O2383" s="20" t="b">
        <v>0</v>
      </c>
      <c r="P2383" s="20" t="s">
        <v>68</v>
      </c>
      <c r="Q2383" s="20" t="s">
        <v>69</v>
      </c>
      <c r="R2383" s="20" t="s">
        <v>6497</v>
      </c>
      <c r="T2383" s="20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</row>
    <row r="2384">
      <c r="A2384" s="15" t="s">
        <v>9085</v>
      </c>
      <c r="B2384" s="19" t="s">
        <v>5393</v>
      </c>
      <c r="C2384" s="20">
        <v>49995.0</v>
      </c>
      <c r="D2384" s="20" t="s">
        <v>5392</v>
      </c>
      <c r="E2384" s="5">
        <v>9.17083544581E11</v>
      </c>
      <c r="F2384" s="21">
        <v>18818.0</v>
      </c>
      <c r="G2384" s="20"/>
      <c r="H2384" s="20" t="s">
        <v>5321</v>
      </c>
      <c r="I2384" s="5"/>
      <c r="J2384" s="20">
        <v>1.0</v>
      </c>
      <c r="K2384" s="20">
        <v>99.0</v>
      </c>
      <c r="L2384" s="20"/>
      <c r="M2384" s="20">
        <v>99.0</v>
      </c>
      <c r="N2384" s="5" t="s">
        <v>67</v>
      </c>
      <c r="O2384" s="20" t="b">
        <v>0</v>
      </c>
      <c r="P2384" s="20" t="s">
        <v>74</v>
      </c>
      <c r="Q2384" s="20" t="s">
        <v>69</v>
      </c>
      <c r="R2384" s="20" t="s">
        <v>5323</v>
      </c>
      <c r="T2384" s="20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</row>
    <row r="2385">
      <c r="A2385" s="15" t="s">
        <v>9091</v>
      </c>
      <c r="B2385" s="19" t="s">
        <v>4401</v>
      </c>
      <c r="C2385" s="20">
        <v>49994.0</v>
      </c>
      <c r="D2385" s="20" t="s">
        <v>6625</v>
      </c>
      <c r="E2385" s="5">
        <v>9.19490119679E11</v>
      </c>
      <c r="F2385" s="21">
        <v>18823.0</v>
      </c>
      <c r="G2385" s="20"/>
      <c r="H2385" s="20" t="s">
        <v>1264</v>
      </c>
      <c r="I2385" s="5"/>
      <c r="J2385" s="20">
        <v>1.0</v>
      </c>
      <c r="K2385" s="20">
        <v>99.0</v>
      </c>
      <c r="L2385" s="20"/>
      <c r="M2385" s="20">
        <v>99.0</v>
      </c>
      <c r="N2385" s="5" t="s">
        <v>67</v>
      </c>
      <c r="O2385" s="20" t="b">
        <v>0</v>
      </c>
      <c r="P2385" s="20" t="s">
        <v>68</v>
      </c>
      <c r="Q2385" s="20" t="s">
        <v>69</v>
      </c>
      <c r="R2385" s="20" t="s">
        <v>6615</v>
      </c>
      <c r="T2385" s="20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</row>
    <row r="2386">
      <c r="A2386" s="15" t="s">
        <v>9092</v>
      </c>
      <c r="B2386" s="19" t="s">
        <v>4401</v>
      </c>
      <c r="C2386" s="20">
        <v>50110.0</v>
      </c>
      <c r="D2386" s="20" t="s">
        <v>4400</v>
      </c>
      <c r="E2386" s="5">
        <v>9.19899987512E11</v>
      </c>
      <c r="F2386" s="21">
        <v>18824.0</v>
      </c>
      <c r="G2386" s="20"/>
      <c r="H2386" s="20" t="s">
        <v>4399</v>
      </c>
      <c r="I2386" s="5"/>
      <c r="J2386" s="20">
        <v>1.0</v>
      </c>
      <c r="K2386" s="20">
        <v>99.0</v>
      </c>
      <c r="L2386" s="20"/>
      <c r="M2386" s="20">
        <v>99.0</v>
      </c>
      <c r="N2386" s="5" t="s">
        <v>67</v>
      </c>
      <c r="O2386" s="20" t="b">
        <v>0</v>
      </c>
      <c r="P2386" s="20" t="s">
        <v>68</v>
      </c>
      <c r="Q2386" s="20" t="s">
        <v>69</v>
      </c>
      <c r="R2386" s="20" t="s">
        <v>4402</v>
      </c>
      <c r="T2386" s="20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</row>
    <row r="2387">
      <c r="A2387" s="15" t="s">
        <v>9094</v>
      </c>
      <c r="B2387" s="19" t="s">
        <v>4305</v>
      </c>
      <c r="C2387" s="20">
        <v>50079.0</v>
      </c>
      <c r="D2387" s="20" t="s">
        <v>4304</v>
      </c>
      <c r="E2387" s="5">
        <v>9.19137233142E11</v>
      </c>
      <c r="F2387" s="21">
        <v>18825.0</v>
      </c>
      <c r="G2387" s="20"/>
      <c r="H2387" s="20" t="s">
        <v>4281</v>
      </c>
      <c r="I2387" s="5"/>
      <c r="J2387" s="20">
        <v>1.0</v>
      </c>
      <c r="K2387" s="20">
        <v>99.0</v>
      </c>
      <c r="L2387" s="20"/>
      <c r="M2387" s="20">
        <v>99.0</v>
      </c>
      <c r="N2387" s="5" t="s">
        <v>67</v>
      </c>
      <c r="O2387" s="20" t="b">
        <v>0</v>
      </c>
      <c r="P2387" s="20" t="s">
        <v>151</v>
      </c>
      <c r="Q2387" s="20" t="s">
        <v>69</v>
      </c>
      <c r="R2387" s="20" t="s">
        <v>4284</v>
      </c>
      <c r="T2387" s="20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</row>
    <row r="2388">
      <c r="A2388" s="15" t="s">
        <v>9080</v>
      </c>
      <c r="B2388" s="19" t="s">
        <v>4115</v>
      </c>
      <c r="C2388" s="20">
        <v>49833.0</v>
      </c>
      <c r="D2388" s="20" t="s">
        <v>4114</v>
      </c>
      <c r="E2388" s="5">
        <v>9.16281679434E11</v>
      </c>
      <c r="F2388" s="21">
        <v>9005.0</v>
      </c>
      <c r="G2388" s="20"/>
      <c r="H2388" s="20" t="s">
        <v>4030</v>
      </c>
      <c r="I2388" s="5"/>
      <c r="J2388" s="20">
        <v>1.0</v>
      </c>
      <c r="K2388" s="20">
        <v>99.0</v>
      </c>
      <c r="L2388" s="20"/>
      <c r="M2388" s="20">
        <v>99.0</v>
      </c>
      <c r="N2388" s="5" t="s">
        <v>67</v>
      </c>
      <c r="O2388" s="20" t="b">
        <v>0</v>
      </c>
      <c r="P2388" s="20" t="s">
        <v>68</v>
      </c>
      <c r="Q2388" s="20" t="s">
        <v>69</v>
      </c>
      <c r="R2388" s="20" t="s">
        <v>4033</v>
      </c>
      <c r="T2388" s="20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</row>
    <row r="2389">
      <c r="A2389" s="15" t="s">
        <v>9096</v>
      </c>
      <c r="B2389" s="19" t="s">
        <v>2726</v>
      </c>
      <c r="C2389" s="20">
        <v>50015.0</v>
      </c>
      <c r="D2389" s="20" t="s">
        <v>2725</v>
      </c>
      <c r="E2389" s="5">
        <v>9.19892623122E11</v>
      </c>
      <c r="F2389" s="21">
        <v>1273.0</v>
      </c>
      <c r="G2389" s="20"/>
      <c r="H2389" s="20" t="s">
        <v>2702</v>
      </c>
      <c r="I2389" s="5"/>
      <c r="J2389" s="20">
        <v>3.0</v>
      </c>
      <c r="K2389" s="20">
        <v>349.0</v>
      </c>
      <c r="L2389" s="20"/>
      <c r="M2389" s="20">
        <v>349.0</v>
      </c>
      <c r="N2389" s="5" t="s">
        <v>67</v>
      </c>
      <c r="O2389" s="20" t="b">
        <v>0</v>
      </c>
      <c r="P2389" s="20" t="s">
        <v>74</v>
      </c>
      <c r="Q2389" s="20" t="s">
        <v>69</v>
      </c>
      <c r="R2389" s="20" t="s">
        <v>2704</v>
      </c>
      <c r="T2389" s="20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</row>
    <row r="2390">
      <c r="A2390" s="15" t="s">
        <v>9081</v>
      </c>
      <c r="B2390" s="19" t="s">
        <v>5251</v>
      </c>
      <c r="C2390" s="20">
        <v>50022.0</v>
      </c>
      <c r="D2390" s="20" t="s">
        <v>5250</v>
      </c>
      <c r="E2390" s="5">
        <v>9.198114811E11</v>
      </c>
      <c r="F2390" s="21">
        <v>18820.0</v>
      </c>
      <c r="G2390" s="20"/>
      <c r="H2390" s="20" t="s">
        <v>5181</v>
      </c>
      <c r="I2390" s="5"/>
      <c r="J2390" s="20">
        <v>3.0</v>
      </c>
      <c r="K2390" s="20">
        <v>199.0</v>
      </c>
      <c r="L2390" s="20"/>
      <c r="M2390" s="20">
        <v>199.0</v>
      </c>
      <c r="N2390" s="5" t="s">
        <v>67</v>
      </c>
      <c r="O2390" s="20" t="b">
        <v>0</v>
      </c>
      <c r="P2390" s="20" t="s">
        <v>68</v>
      </c>
      <c r="Q2390" s="20" t="s">
        <v>69</v>
      </c>
      <c r="R2390" s="20" t="s">
        <v>5183</v>
      </c>
      <c r="T2390" s="20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</row>
    <row r="2391">
      <c r="A2391" s="15" t="s">
        <v>9084</v>
      </c>
      <c r="B2391" s="19" t="s">
        <v>6089</v>
      </c>
      <c r="C2391" s="20">
        <v>50076.0</v>
      </c>
      <c r="D2391" s="20" t="s">
        <v>6088</v>
      </c>
      <c r="E2391" s="5">
        <v>9.19881138851E11</v>
      </c>
      <c r="F2391" s="21">
        <v>18827.0</v>
      </c>
      <c r="G2391" s="20"/>
      <c r="H2391" s="20" t="s">
        <v>5984</v>
      </c>
      <c r="I2391" s="5"/>
      <c r="J2391" s="20">
        <v>1.0</v>
      </c>
      <c r="K2391" s="20">
        <v>199.0</v>
      </c>
      <c r="L2391" s="20"/>
      <c r="M2391" s="20">
        <v>199.0</v>
      </c>
      <c r="N2391" s="5" t="s">
        <v>67</v>
      </c>
      <c r="O2391" s="20" t="b">
        <v>0</v>
      </c>
      <c r="P2391" s="20" t="s">
        <v>74</v>
      </c>
      <c r="Q2391" s="20" t="s">
        <v>69</v>
      </c>
      <c r="R2391" s="20" t="s">
        <v>5987</v>
      </c>
      <c r="T2391" s="20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</row>
    <row r="2392">
      <c r="A2392" s="15" t="s">
        <v>9099</v>
      </c>
      <c r="B2392" s="19" t="s">
        <v>3443</v>
      </c>
      <c r="C2392" s="20">
        <v>50030.0</v>
      </c>
      <c r="D2392" s="20" t="s">
        <v>3442</v>
      </c>
      <c r="E2392" s="5">
        <v>9.18545904323E11</v>
      </c>
      <c r="F2392" s="21">
        <v>18834.0</v>
      </c>
      <c r="G2392" s="20"/>
      <c r="H2392" s="20" t="s">
        <v>3326</v>
      </c>
      <c r="I2392" s="5"/>
      <c r="J2392" s="20">
        <v>1.0</v>
      </c>
      <c r="K2392" s="20">
        <v>99.0</v>
      </c>
      <c r="L2392" s="20"/>
      <c r="M2392" s="20">
        <v>99.0</v>
      </c>
      <c r="N2392" s="5" t="s">
        <v>67</v>
      </c>
      <c r="O2392" s="20" t="b">
        <v>0</v>
      </c>
      <c r="P2392" s="20" t="s">
        <v>68</v>
      </c>
      <c r="Q2392" s="20" t="s">
        <v>69</v>
      </c>
      <c r="R2392" s="20" t="s">
        <v>3328</v>
      </c>
      <c r="T2392" s="20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</row>
    <row r="2393">
      <c r="A2393" s="15" t="s">
        <v>9100</v>
      </c>
      <c r="B2393" s="19" t="s">
        <v>2509</v>
      </c>
      <c r="C2393" s="20">
        <v>49997.0</v>
      </c>
      <c r="D2393" s="20" t="s">
        <v>1400</v>
      </c>
      <c r="E2393" s="5">
        <v>9.17982620256E11</v>
      </c>
      <c r="F2393" s="21">
        <v>16965.0</v>
      </c>
      <c r="G2393" s="20"/>
      <c r="H2393" s="20" t="s">
        <v>2455</v>
      </c>
      <c r="I2393" s="5"/>
      <c r="J2393" s="20">
        <v>1.0</v>
      </c>
      <c r="K2393" s="20">
        <v>99.0</v>
      </c>
      <c r="L2393" s="20"/>
      <c r="M2393" s="20">
        <v>99.0</v>
      </c>
      <c r="N2393" s="5" t="s">
        <v>67</v>
      </c>
      <c r="O2393" s="20" t="b">
        <v>0</v>
      </c>
      <c r="P2393" s="20" t="s">
        <v>68</v>
      </c>
      <c r="Q2393" s="20" t="s">
        <v>69</v>
      </c>
      <c r="R2393" s="20" t="s">
        <v>2457</v>
      </c>
      <c r="T2393" s="20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</row>
    <row r="2394">
      <c r="A2394" s="15" t="s">
        <v>9283</v>
      </c>
      <c r="B2394" s="19" t="s">
        <v>5259</v>
      </c>
      <c r="C2394" s="20">
        <v>50022.0</v>
      </c>
      <c r="D2394" s="20" t="s">
        <v>5258</v>
      </c>
      <c r="E2394" s="5">
        <v>9.18149494686E11</v>
      </c>
      <c r="F2394" s="21">
        <v>0.0</v>
      </c>
      <c r="G2394" s="20"/>
      <c r="H2394" s="20" t="s">
        <v>5181</v>
      </c>
      <c r="I2394" s="5"/>
      <c r="J2394" s="20">
        <v>1.0</v>
      </c>
      <c r="K2394" s="20">
        <v>99.0</v>
      </c>
      <c r="L2394" s="20"/>
      <c r="M2394" s="20">
        <v>99.0</v>
      </c>
      <c r="N2394" s="5" t="s">
        <v>67</v>
      </c>
      <c r="O2394" s="20" t="b">
        <v>0</v>
      </c>
      <c r="P2394" s="20" t="s">
        <v>68</v>
      </c>
      <c r="Q2394" s="20" t="s">
        <v>69</v>
      </c>
      <c r="R2394" s="20" t="s">
        <v>5183</v>
      </c>
      <c r="T2394" s="20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</row>
    <row r="2395">
      <c r="A2395" s="15" t="s">
        <v>9102</v>
      </c>
      <c r="B2395" s="19" t="s">
        <v>4307</v>
      </c>
      <c r="C2395" s="20">
        <v>50079.0</v>
      </c>
      <c r="D2395" s="20" t="s">
        <v>4306</v>
      </c>
      <c r="E2395" s="5">
        <v>9.18553401198E11</v>
      </c>
      <c r="F2395" s="21">
        <v>18828.0</v>
      </c>
      <c r="G2395" s="20"/>
      <c r="H2395" s="20" t="s">
        <v>4281</v>
      </c>
      <c r="I2395" s="5"/>
      <c r="J2395" s="20">
        <v>1.0</v>
      </c>
      <c r="K2395" s="20">
        <v>349.0</v>
      </c>
      <c r="L2395" s="20"/>
      <c r="M2395" s="20">
        <v>349.0</v>
      </c>
      <c r="N2395" s="5" t="s">
        <v>67</v>
      </c>
      <c r="O2395" s="20" t="b">
        <v>0</v>
      </c>
      <c r="P2395" s="20" t="s">
        <v>68</v>
      </c>
      <c r="Q2395" s="20" t="s">
        <v>69</v>
      </c>
      <c r="R2395" s="20" t="s">
        <v>4284</v>
      </c>
      <c r="T2395" s="20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</row>
    <row r="2396">
      <c r="A2396" s="15" t="s">
        <v>9284</v>
      </c>
      <c r="B2396" s="19" t="s">
        <v>5261</v>
      </c>
      <c r="C2396" s="20">
        <v>50022.0</v>
      </c>
      <c r="D2396" s="20" t="s">
        <v>5260</v>
      </c>
      <c r="E2396" s="5">
        <v>9.19491609613E11</v>
      </c>
      <c r="F2396" s="21">
        <v>18901.0</v>
      </c>
      <c r="G2396" s="20"/>
      <c r="H2396" s="20" t="s">
        <v>5181</v>
      </c>
      <c r="I2396" s="5"/>
      <c r="J2396" s="20">
        <v>1.0</v>
      </c>
      <c r="K2396" s="20">
        <v>99.0</v>
      </c>
      <c r="L2396" s="20"/>
      <c r="M2396" s="20">
        <v>99.0</v>
      </c>
      <c r="N2396" s="5" t="s">
        <v>67</v>
      </c>
      <c r="O2396" s="20" t="b">
        <v>0</v>
      </c>
      <c r="P2396" s="20" t="s">
        <v>68</v>
      </c>
      <c r="Q2396" s="20" t="s">
        <v>69</v>
      </c>
      <c r="R2396" s="20" t="s">
        <v>5183</v>
      </c>
      <c r="T2396" s="20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</row>
    <row r="2397">
      <c r="A2397" s="15" t="s">
        <v>9285</v>
      </c>
      <c r="B2397" s="19" t="s">
        <v>3792</v>
      </c>
      <c r="C2397" s="20">
        <v>49907.0</v>
      </c>
      <c r="D2397" s="20" t="s">
        <v>3791</v>
      </c>
      <c r="E2397" s="5">
        <v>9.18328251656E11</v>
      </c>
      <c r="F2397" s="21">
        <v>19220.0</v>
      </c>
      <c r="G2397" s="20"/>
      <c r="H2397" s="20" t="s">
        <v>587</v>
      </c>
      <c r="I2397" s="5"/>
      <c r="J2397" s="20">
        <v>1.0</v>
      </c>
      <c r="K2397" s="20">
        <v>99.0</v>
      </c>
      <c r="L2397" s="20"/>
      <c r="M2397" s="20">
        <v>99.0</v>
      </c>
      <c r="N2397" s="5" t="s">
        <v>67</v>
      </c>
      <c r="O2397" s="20" t="b">
        <v>0</v>
      </c>
      <c r="P2397" s="20" t="s">
        <v>68</v>
      </c>
      <c r="Q2397" s="20" t="s">
        <v>69</v>
      </c>
      <c r="R2397" s="20" t="s">
        <v>3774</v>
      </c>
      <c r="T2397" s="20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</row>
    <row r="2398">
      <c r="A2398" s="15" t="s">
        <v>9104</v>
      </c>
      <c r="B2398" s="19" t="s">
        <v>4117</v>
      </c>
      <c r="C2398" s="20">
        <v>49833.0</v>
      </c>
      <c r="D2398" s="20" t="s">
        <v>4116</v>
      </c>
      <c r="E2398" s="5">
        <v>9.19969806141E11</v>
      </c>
      <c r="F2398" s="21">
        <v>871.0</v>
      </c>
      <c r="G2398" s="20"/>
      <c r="H2398" s="20" t="s">
        <v>4030</v>
      </c>
      <c r="I2398" s="5"/>
      <c r="J2398" s="20">
        <v>1.0</v>
      </c>
      <c r="K2398" s="20">
        <v>99.0</v>
      </c>
      <c r="L2398" s="20"/>
      <c r="M2398" s="20">
        <v>99.0</v>
      </c>
      <c r="N2398" s="5" t="s">
        <v>67</v>
      </c>
      <c r="O2398" s="20" t="b">
        <v>0</v>
      </c>
      <c r="P2398" s="20" t="s">
        <v>68</v>
      </c>
      <c r="Q2398" s="20" t="s">
        <v>69</v>
      </c>
      <c r="R2398" s="20" t="s">
        <v>4033</v>
      </c>
      <c r="T2398" s="20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</row>
    <row r="2399">
      <c r="A2399" s="15" t="s">
        <v>9105</v>
      </c>
      <c r="B2399" s="19" t="s">
        <v>4995</v>
      </c>
      <c r="C2399" s="20">
        <v>50094.0</v>
      </c>
      <c r="D2399" s="20" t="s">
        <v>4994</v>
      </c>
      <c r="E2399" s="5">
        <v>9.18527152938E11</v>
      </c>
      <c r="F2399" s="21">
        <v>18829.0</v>
      </c>
      <c r="G2399" s="20"/>
      <c r="H2399" s="20" t="s">
        <v>4942</v>
      </c>
      <c r="I2399" s="5"/>
      <c r="J2399" s="20">
        <v>1.0</v>
      </c>
      <c r="K2399" s="20">
        <v>199.0</v>
      </c>
      <c r="L2399" s="20"/>
      <c r="M2399" s="20">
        <v>199.0</v>
      </c>
      <c r="N2399" s="5" t="s">
        <v>67</v>
      </c>
      <c r="O2399" s="20" t="b">
        <v>0</v>
      </c>
      <c r="P2399" s="20" t="s">
        <v>151</v>
      </c>
      <c r="Q2399" s="20" t="s">
        <v>69</v>
      </c>
      <c r="R2399" s="20" t="s">
        <v>4945</v>
      </c>
      <c r="T2399" s="20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</row>
    <row r="2400">
      <c r="A2400" s="15" t="s">
        <v>9287</v>
      </c>
      <c r="B2400" s="19" t="s">
        <v>4145</v>
      </c>
      <c r="C2400" s="20">
        <v>49833.0</v>
      </c>
      <c r="D2400" s="20" t="s">
        <v>4144</v>
      </c>
      <c r="E2400" s="5">
        <v>9.19952058532E11</v>
      </c>
      <c r="F2400" s="21">
        <v>18894.0</v>
      </c>
      <c r="G2400" s="20"/>
      <c r="H2400" s="20" t="s">
        <v>4030</v>
      </c>
      <c r="I2400" s="5"/>
      <c r="J2400" s="20">
        <v>3.0</v>
      </c>
      <c r="K2400" s="20">
        <v>199.0</v>
      </c>
      <c r="L2400" s="20"/>
      <c r="M2400" s="20">
        <v>199.0</v>
      </c>
      <c r="N2400" s="5" t="s">
        <v>67</v>
      </c>
      <c r="O2400" s="20" t="b">
        <v>0</v>
      </c>
      <c r="P2400" s="20" t="s">
        <v>74</v>
      </c>
      <c r="Q2400" s="20" t="s">
        <v>69</v>
      </c>
      <c r="R2400" s="20" t="s">
        <v>4033</v>
      </c>
      <c r="T2400" s="20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</row>
    <row r="2401">
      <c r="A2401" s="15" t="s">
        <v>9107</v>
      </c>
      <c r="B2401" s="19" t="s">
        <v>5874</v>
      </c>
      <c r="C2401" s="20">
        <v>50054.0</v>
      </c>
      <c r="D2401" s="20" t="s">
        <v>5873</v>
      </c>
      <c r="E2401" s="5">
        <v>9.17008668475E11</v>
      </c>
      <c r="F2401" s="21">
        <v>18830.0</v>
      </c>
      <c r="G2401" s="20"/>
      <c r="H2401" s="20" t="s">
        <v>5822</v>
      </c>
      <c r="I2401" s="5"/>
      <c r="J2401" s="20">
        <v>3.0</v>
      </c>
      <c r="K2401" s="20">
        <v>199.0</v>
      </c>
      <c r="L2401" s="20"/>
      <c r="M2401" s="20">
        <v>199.0</v>
      </c>
      <c r="N2401" s="5" t="s">
        <v>67</v>
      </c>
      <c r="O2401" s="20" t="b">
        <v>0</v>
      </c>
      <c r="P2401" s="20" t="s">
        <v>68</v>
      </c>
      <c r="Q2401" s="20" t="s">
        <v>69</v>
      </c>
      <c r="R2401" s="20" t="s">
        <v>5824</v>
      </c>
      <c r="T2401" s="20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</row>
    <row r="2402">
      <c r="A2402" s="15" t="s">
        <v>9286</v>
      </c>
      <c r="B2402" s="19" t="s">
        <v>4143</v>
      </c>
      <c r="C2402" s="20">
        <v>49833.0</v>
      </c>
      <c r="D2402" s="20" t="s">
        <v>4142</v>
      </c>
      <c r="E2402" s="5">
        <v>9.19884956368E11</v>
      </c>
      <c r="F2402" s="21">
        <v>18893.0</v>
      </c>
      <c r="G2402" s="20"/>
      <c r="H2402" s="20" t="s">
        <v>4030</v>
      </c>
      <c r="I2402" s="5"/>
      <c r="J2402" s="20">
        <v>1.0</v>
      </c>
      <c r="K2402" s="20">
        <v>99.0</v>
      </c>
      <c r="L2402" s="20"/>
      <c r="M2402" s="20">
        <v>99.0</v>
      </c>
      <c r="N2402" s="5" t="s">
        <v>67</v>
      </c>
      <c r="O2402" s="20" t="b">
        <v>0</v>
      </c>
      <c r="P2402" s="20" t="s">
        <v>68</v>
      </c>
      <c r="Q2402" s="20" t="s">
        <v>69</v>
      </c>
      <c r="R2402" s="20" t="s">
        <v>4033</v>
      </c>
      <c r="T2402" s="20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</row>
    <row r="2403">
      <c r="A2403" s="15" t="s">
        <v>9116</v>
      </c>
      <c r="B2403" s="19" t="s">
        <v>4404</v>
      </c>
      <c r="C2403" s="20">
        <v>50110.0</v>
      </c>
      <c r="D2403" s="20" t="s">
        <v>4403</v>
      </c>
      <c r="E2403" s="5">
        <v>9.18360021038E11</v>
      </c>
      <c r="F2403" s="21">
        <v>18831.0</v>
      </c>
      <c r="G2403" s="20"/>
      <c r="H2403" s="20" t="s">
        <v>4399</v>
      </c>
      <c r="I2403" s="5"/>
      <c r="J2403" s="20">
        <v>1.0</v>
      </c>
      <c r="K2403" s="20">
        <v>99.0</v>
      </c>
      <c r="L2403" s="20"/>
      <c r="M2403" s="20">
        <v>99.0</v>
      </c>
      <c r="N2403" s="5" t="s">
        <v>67</v>
      </c>
      <c r="O2403" s="20" t="b">
        <v>0</v>
      </c>
      <c r="P2403" s="20" t="s">
        <v>68</v>
      </c>
      <c r="Q2403" s="20" t="s">
        <v>69</v>
      </c>
      <c r="R2403" s="20" t="s">
        <v>4402</v>
      </c>
      <c r="T2403" s="20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</row>
    <row r="2404">
      <c r="A2404" s="15" t="s">
        <v>9293</v>
      </c>
      <c r="B2404" s="19" t="s">
        <v>6543</v>
      </c>
      <c r="C2404" s="20">
        <v>50073.0</v>
      </c>
      <c r="D2404" s="20" t="s">
        <v>6542</v>
      </c>
      <c r="E2404" s="5">
        <v>9.18369219878E11</v>
      </c>
      <c r="F2404" s="21">
        <v>0.0</v>
      </c>
      <c r="G2404" s="20"/>
      <c r="H2404" s="20" t="s">
        <v>2161</v>
      </c>
      <c r="I2404" s="5"/>
      <c r="J2404" s="20">
        <v>1.0</v>
      </c>
      <c r="K2404" s="20">
        <v>799.0</v>
      </c>
      <c r="L2404" s="20"/>
      <c r="M2404" s="20">
        <v>799.0</v>
      </c>
      <c r="N2404" s="5" t="s">
        <v>67</v>
      </c>
      <c r="O2404" s="20" t="b">
        <v>0</v>
      </c>
      <c r="P2404" s="20" t="s">
        <v>74</v>
      </c>
      <c r="Q2404" s="20" t="s">
        <v>69</v>
      </c>
      <c r="R2404" s="20" t="s">
        <v>6497</v>
      </c>
      <c r="T2404" s="20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</row>
    <row r="2405">
      <c r="A2405" s="15" t="s">
        <v>9294</v>
      </c>
      <c r="B2405" s="19" t="s">
        <v>3983</v>
      </c>
      <c r="C2405" s="20">
        <v>50091.0</v>
      </c>
      <c r="D2405" s="20" t="s">
        <v>3982</v>
      </c>
      <c r="E2405" s="5">
        <v>9.16380479069E11</v>
      </c>
      <c r="F2405" s="21">
        <v>18899.0</v>
      </c>
      <c r="G2405" s="20"/>
      <c r="H2405" s="20" t="s">
        <v>3978</v>
      </c>
      <c r="I2405" s="5"/>
      <c r="J2405" s="20">
        <v>1.0</v>
      </c>
      <c r="K2405" s="20">
        <v>99.0</v>
      </c>
      <c r="L2405" s="20"/>
      <c r="M2405" s="20">
        <v>99.0</v>
      </c>
      <c r="N2405" s="5" t="s">
        <v>67</v>
      </c>
      <c r="O2405" s="20" t="b">
        <v>0</v>
      </c>
      <c r="P2405" s="20" t="s">
        <v>68</v>
      </c>
      <c r="Q2405" s="20" t="s">
        <v>69</v>
      </c>
      <c r="R2405" s="20" t="s">
        <v>3981</v>
      </c>
      <c r="T2405" s="20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</row>
    <row r="2406">
      <c r="A2406" s="15" t="s">
        <v>9290</v>
      </c>
      <c r="B2406" s="19" t="s">
        <v>2650</v>
      </c>
      <c r="C2406" s="20">
        <v>50065.0</v>
      </c>
      <c r="D2406" s="20" t="s">
        <v>2649</v>
      </c>
      <c r="E2406" s="5">
        <v>9.19316888844E11</v>
      </c>
      <c r="F2406" s="21">
        <v>18895.0</v>
      </c>
      <c r="G2406" s="20"/>
      <c r="H2406" s="20" t="s">
        <v>2601</v>
      </c>
      <c r="I2406" s="5"/>
      <c r="J2406" s="20">
        <v>1.0</v>
      </c>
      <c r="K2406" s="20">
        <v>99.0</v>
      </c>
      <c r="L2406" s="20"/>
      <c r="M2406" s="20">
        <v>99.0</v>
      </c>
      <c r="N2406" s="5" t="s">
        <v>67</v>
      </c>
      <c r="O2406" s="20" t="b">
        <v>0</v>
      </c>
      <c r="P2406" s="20" t="s">
        <v>68</v>
      </c>
      <c r="Q2406" s="20" t="s">
        <v>69</v>
      </c>
      <c r="R2406" s="20" t="s">
        <v>2604</v>
      </c>
      <c r="T2406" s="20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</row>
    <row r="2407">
      <c r="A2407" s="15" t="s">
        <v>9295</v>
      </c>
      <c r="B2407" s="19" t="s">
        <v>4466</v>
      </c>
      <c r="C2407" s="20">
        <v>50052.0</v>
      </c>
      <c r="D2407" s="20" t="s">
        <v>4465</v>
      </c>
      <c r="E2407" s="5">
        <v>9.19945878888E11</v>
      </c>
      <c r="F2407" s="21">
        <v>18897.0</v>
      </c>
      <c r="G2407" s="20"/>
      <c r="H2407" s="20" t="s">
        <v>4433</v>
      </c>
      <c r="I2407" s="5"/>
      <c r="J2407" s="20">
        <v>3.0</v>
      </c>
      <c r="K2407" s="20">
        <v>199.0</v>
      </c>
      <c r="L2407" s="20"/>
      <c r="M2407" s="20">
        <v>199.0</v>
      </c>
      <c r="N2407" s="5" t="s">
        <v>67</v>
      </c>
      <c r="O2407" s="20" t="b">
        <v>0</v>
      </c>
      <c r="P2407" s="20" t="s">
        <v>68</v>
      </c>
      <c r="Q2407" s="20" t="s">
        <v>69</v>
      </c>
      <c r="R2407" s="20" t="s">
        <v>4435</v>
      </c>
      <c r="T2407" s="20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</row>
    <row r="2408">
      <c r="A2408" s="15" t="s">
        <v>9292</v>
      </c>
      <c r="B2408" s="19" t="s">
        <v>2650</v>
      </c>
      <c r="C2408" s="20">
        <v>50094.0</v>
      </c>
      <c r="D2408" s="20" t="s">
        <v>5009</v>
      </c>
      <c r="E2408" s="5">
        <v>9.1779551629E11</v>
      </c>
      <c r="F2408" s="21">
        <v>18896.0</v>
      </c>
      <c r="G2408" s="20"/>
      <c r="H2408" s="20" t="s">
        <v>4942</v>
      </c>
      <c r="I2408" s="5"/>
      <c r="J2408" s="20">
        <v>1.0</v>
      </c>
      <c r="K2408" s="20">
        <v>199.0</v>
      </c>
      <c r="L2408" s="20"/>
      <c r="M2408" s="20">
        <v>199.0</v>
      </c>
      <c r="N2408" s="5" t="s">
        <v>67</v>
      </c>
      <c r="O2408" s="20" t="b">
        <v>0</v>
      </c>
      <c r="P2408" s="20" t="s">
        <v>68</v>
      </c>
      <c r="Q2408" s="20" t="s">
        <v>69</v>
      </c>
      <c r="R2408" s="20" t="s">
        <v>4945</v>
      </c>
      <c r="T2408" s="20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</row>
    <row r="2409">
      <c r="A2409" s="15" t="s">
        <v>9123</v>
      </c>
      <c r="B2409" s="19" t="s">
        <v>2511</v>
      </c>
      <c r="C2409" s="20">
        <v>49997.0</v>
      </c>
      <c r="D2409" s="20" t="s">
        <v>2510</v>
      </c>
      <c r="E2409" s="5">
        <v>9.1940043122E11</v>
      </c>
      <c r="F2409" s="21">
        <v>18833.0</v>
      </c>
      <c r="G2409" s="20"/>
      <c r="H2409" s="20" t="s">
        <v>2455</v>
      </c>
      <c r="I2409" s="5"/>
      <c r="J2409" s="20">
        <v>3.0</v>
      </c>
      <c r="K2409" s="20">
        <v>199.0</v>
      </c>
      <c r="L2409" s="20"/>
      <c r="M2409" s="20">
        <v>199.0</v>
      </c>
      <c r="N2409" s="5" t="s">
        <v>67</v>
      </c>
      <c r="O2409" s="20" t="b">
        <v>0</v>
      </c>
      <c r="P2409" s="20" t="s">
        <v>68</v>
      </c>
      <c r="Q2409" s="20" t="s">
        <v>69</v>
      </c>
      <c r="R2409" s="20" t="s">
        <v>2457</v>
      </c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</row>
    <row r="2410">
      <c r="A2410" s="15" t="s">
        <v>9125</v>
      </c>
      <c r="B2410" s="19" t="s">
        <v>5723</v>
      </c>
      <c r="C2410" s="20">
        <v>50036.0</v>
      </c>
      <c r="D2410" s="20" t="s">
        <v>1876</v>
      </c>
      <c r="E2410" s="5">
        <v>9.19654240109E11</v>
      </c>
      <c r="F2410" s="21">
        <v>17237.0</v>
      </c>
      <c r="G2410" s="20"/>
      <c r="H2410" s="20" t="s">
        <v>1320</v>
      </c>
      <c r="I2410" s="5"/>
      <c r="J2410" s="20">
        <v>1.0</v>
      </c>
      <c r="K2410" s="20">
        <v>199.0</v>
      </c>
      <c r="L2410" s="20"/>
      <c r="M2410" s="20">
        <v>199.0</v>
      </c>
      <c r="N2410" s="5" t="s">
        <v>67</v>
      </c>
      <c r="O2410" s="20" t="b">
        <v>0</v>
      </c>
      <c r="P2410" s="20" t="s">
        <v>97</v>
      </c>
      <c r="Q2410" s="20" t="s">
        <v>69</v>
      </c>
      <c r="R2410" s="20" t="s">
        <v>5709</v>
      </c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</row>
    <row r="2411">
      <c r="A2411" s="15" t="s">
        <v>9129</v>
      </c>
      <c r="B2411" s="19" t="s">
        <v>4372</v>
      </c>
      <c r="C2411" s="20">
        <v>50039.0</v>
      </c>
      <c r="D2411" s="20" t="s">
        <v>4371</v>
      </c>
      <c r="E2411" s="5">
        <v>9.1882686505E11</v>
      </c>
      <c r="F2411" s="21">
        <v>18836.0</v>
      </c>
      <c r="G2411" s="20"/>
      <c r="H2411" s="20" t="s">
        <v>4341</v>
      </c>
      <c r="I2411" s="5"/>
      <c r="J2411" s="20">
        <v>3.0</v>
      </c>
      <c r="K2411" s="20">
        <v>199.0</v>
      </c>
      <c r="L2411" s="20"/>
      <c r="M2411" s="20">
        <v>199.0</v>
      </c>
      <c r="N2411" s="5" t="s">
        <v>67</v>
      </c>
      <c r="O2411" s="20" t="b">
        <v>0</v>
      </c>
      <c r="P2411" s="20" t="s">
        <v>74</v>
      </c>
      <c r="Q2411" s="20" t="s">
        <v>69</v>
      </c>
      <c r="R2411" s="20" t="s">
        <v>4343</v>
      </c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</row>
    <row r="2412">
      <c r="A2412" s="15" t="s">
        <v>9296</v>
      </c>
      <c r="B2412" s="19" t="s">
        <v>4147</v>
      </c>
      <c r="C2412" s="20">
        <v>49833.0</v>
      </c>
      <c r="D2412" s="20" t="s">
        <v>4146</v>
      </c>
      <c r="E2412" s="5">
        <v>9.17019989483E11</v>
      </c>
      <c r="F2412" s="21">
        <v>18898.0</v>
      </c>
      <c r="G2412" s="20"/>
      <c r="H2412" s="20" t="s">
        <v>4030</v>
      </c>
      <c r="I2412" s="5"/>
      <c r="J2412" s="20">
        <v>1.0</v>
      </c>
      <c r="K2412" s="20">
        <v>99.0</v>
      </c>
      <c r="L2412" s="20"/>
      <c r="M2412" s="20">
        <v>99.0</v>
      </c>
      <c r="N2412" s="5" t="s">
        <v>67</v>
      </c>
      <c r="O2412" s="20" t="b">
        <v>0</v>
      </c>
      <c r="P2412" s="20" t="s">
        <v>68</v>
      </c>
      <c r="Q2412" s="20" t="s">
        <v>69</v>
      </c>
      <c r="R2412" s="20" t="s">
        <v>4033</v>
      </c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</row>
    <row r="2413">
      <c r="A2413" s="15" t="s">
        <v>9134</v>
      </c>
      <c r="B2413" s="19" t="s">
        <v>4119</v>
      </c>
      <c r="C2413" s="20">
        <v>49833.0</v>
      </c>
      <c r="D2413" s="20" t="s">
        <v>4118</v>
      </c>
      <c r="E2413" s="5">
        <v>9.16309635477E11</v>
      </c>
      <c r="F2413" s="21">
        <v>18835.0</v>
      </c>
      <c r="G2413" s="20"/>
      <c r="H2413" s="20" t="s">
        <v>4030</v>
      </c>
      <c r="I2413" s="5"/>
      <c r="J2413" s="20">
        <v>1.0</v>
      </c>
      <c r="K2413" s="20">
        <v>99.0</v>
      </c>
      <c r="L2413" s="20"/>
      <c r="M2413" s="20">
        <v>99.0</v>
      </c>
      <c r="N2413" s="5" t="s">
        <v>67</v>
      </c>
      <c r="O2413" s="20" t="b">
        <v>0</v>
      </c>
      <c r="P2413" s="20" t="s">
        <v>68</v>
      </c>
      <c r="Q2413" s="20" t="s">
        <v>69</v>
      </c>
      <c r="R2413" s="20" t="s">
        <v>4033</v>
      </c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</row>
    <row r="2414">
      <c r="A2414" s="15" t="s">
        <v>9297</v>
      </c>
      <c r="B2414" s="19" t="s">
        <v>6545</v>
      </c>
      <c r="C2414" s="20">
        <v>50073.0</v>
      </c>
      <c r="D2414" s="20" t="s">
        <v>6544</v>
      </c>
      <c r="E2414" s="5">
        <v>9.19818173893E11</v>
      </c>
      <c r="F2414" s="21">
        <v>0.0</v>
      </c>
      <c r="G2414" s="20"/>
      <c r="H2414" s="20" t="s">
        <v>2161</v>
      </c>
      <c r="I2414" s="5"/>
      <c r="J2414" s="20">
        <v>1.0</v>
      </c>
      <c r="K2414" s="20">
        <v>799.0</v>
      </c>
      <c r="L2414" s="20"/>
      <c r="M2414" s="20">
        <v>799.0</v>
      </c>
      <c r="N2414" s="5" t="s">
        <v>67</v>
      </c>
      <c r="O2414" s="20" t="b">
        <v>0</v>
      </c>
      <c r="P2414" s="20" t="s">
        <v>68</v>
      </c>
      <c r="Q2414" s="20" t="s">
        <v>69</v>
      </c>
      <c r="R2414" s="20" t="s">
        <v>6497</v>
      </c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</row>
    <row r="2415">
      <c r="A2415" s="15" t="s">
        <v>9298</v>
      </c>
      <c r="B2415" s="19" t="s">
        <v>5011</v>
      </c>
      <c r="C2415" s="20">
        <v>50094.0</v>
      </c>
      <c r="D2415" s="20" t="s">
        <v>5010</v>
      </c>
      <c r="E2415" s="5">
        <v>9.195107793E11</v>
      </c>
      <c r="F2415" s="21">
        <v>18902.0</v>
      </c>
      <c r="G2415" s="20"/>
      <c r="H2415" s="20" t="s">
        <v>4942</v>
      </c>
      <c r="I2415" s="5"/>
      <c r="J2415" s="20">
        <v>1.0</v>
      </c>
      <c r="K2415" s="20">
        <v>199.0</v>
      </c>
      <c r="L2415" s="20"/>
      <c r="M2415" s="20">
        <v>199.0</v>
      </c>
      <c r="N2415" s="5" t="s">
        <v>67</v>
      </c>
      <c r="O2415" s="20" t="b">
        <v>0</v>
      </c>
      <c r="P2415" s="20" t="s">
        <v>74</v>
      </c>
      <c r="Q2415" s="20" t="s">
        <v>69</v>
      </c>
      <c r="R2415" s="20" t="s">
        <v>4945</v>
      </c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</row>
    <row r="2416">
      <c r="A2416" s="15" t="s">
        <v>9137</v>
      </c>
      <c r="B2416" s="19" t="s">
        <v>5443</v>
      </c>
      <c r="C2416" s="20">
        <v>50040.0</v>
      </c>
      <c r="D2416" s="20" t="s">
        <v>5442</v>
      </c>
      <c r="E2416" s="5">
        <v>9.19100353437E11</v>
      </c>
      <c r="F2416" s="21">
        <v>18838.0</v>
      </c>
      <c r="G2416" s="20"/>
      <c r="H2416" s="20" t="s">
        <v>5400</v>
      </c>
      <c r="I2416" s="5"/>
      <c r="J2416" s="20">
        <v>3.0</v>
      </c>
      <c r="K2416" s="20">
        <v>199.0</v>
      </c>
      <c r="L2416" s="20"/>
      <c r="M2416" s="20">
        <v>199.0</v>
      </c>
      <c r="N2416" s="5" t="s">
        <v>67</v>
      </c>
      <c r="O2416" s="20" t="b">
        <v>0</v>
      </c>
      <c r="P2416" s="20" t="s">
        <v>68</v>
      </c>
      <c r="Q2416" s="20" t="s">
        <v>69</v>
      </c>
      <c r="R2416" s="20" t="s">
        <v>5402</v>
      </c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</row>
    <row r="2417">
      <c r="A2417" s="15" t="s">
        <v>9140</v>
      </c>
      <c r="B2417" s="19" t="s">
        <v>4121</v>
      </c>
      <c r="C2417" s="20">
        <v>49833.0</v>
      </c>
      <c r="D2417" s="20" t="s">
        <v>4120</v>
      </c>
      <c r="E2417" s="5">
        <v>9.1981910609E11</v>
      </c>
      <c r="F2417" s="21">
        <v>18839.0</v>
      </c>
      <c r="G2417" s="20"/>
      <c r="H2417" s="20" t="s">
        <v>4030</v>
      </c>
      <c r="I2417" s="5"/>
      <c r="J2417" s="20">
        <v>3.0</v>
      </c>
      <c r="K2417" s="20">
        <v>199.0</v>
      </c>
      <c r="L2417" s="20"/>
      <c r="M2417" s="20">
        <v>199.0</v>
      </c>
      <c r="N2417" s="5" t="s">
        <v>67</v>
      </c>
      <c r="O2417" s="20" t="b">
        <v>0</v>
      </c>
      <c r="P2417" s="20" t="s">
        <v>68</v>
      </c>
      <c r="Q2417" s="20" t="s">
        <v>69</v>
      </c>
      <c r="R2417" s="20" t="s">
        <v>4033</v>
      </c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</row>
    <row r="2418">
      <c r="A2418" s="15" t="s">
        <v>9300</v>
      </c>
      <c r="B2418" s="19" t="s">
        <v>6095</v>
      </c>
      <c r="C2418" s="20">
        <v>50076.0</v>
      </c>
      <c r="D2418" s="20" t="s">
        <v>6094</v>
      </c>
      <c r="E2418" s="5">
        <v>9.17978954112E11</v>
      </c>
      <c r="F2418" s="21">
        <v>18906.0</v>
      </c>
      <c r="G2418" s="20"/>
      <c r="H2418" s="20" t="s">
        <v>5984</v>
      </c>
      <c r="I2418" s="5"/>
      <c r="J2418" s="20">
        <v>3.0</v>
      </c>
      <c r="K2418" s="20">
        <v>349.0</v>
      </c>
      <c r="L2418" s="20"/>
      <c r="M2418" s="20">
        <v>349.0</v>
      </c>
      <c r="N2418" s="5" t="s">
        <v>67</v>
      </c>
      <c r="O2418" s="20" t="b">
        <v>0</v>
      </c>
      <c r="P2418" s="20" t="s">
        <v>68</v>
      </c>
      <c r="Q2418" s="20" t="s">
        <v>69</v>
      </c>
      <c r="R2418" s="20" t="s">
        <v>5987</v>
      </c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</row>
    <row r="2419">
      <c r="A2419" s="15" t="s">
        <v>9143</v>
      </c>
      <c r="B2419" s="19" t="s">
        <v>5253</v>
      </c>
      <c r="C2419" s="20">
        <v>50022.0</v>
      </c>
      <c r="D2419" s="20" t="s">
        <v>5252</v>
      </c>
      <c r="E2419" s="5">
        <v>9.19966881191E11</v>
      </c>
      <c r="F2419" s="21">
        <v>18840.0</v>
      </c>
      <c r="G2419" s="20"/>
      <c r="H2419" s="20" t="s">
        <v>5181</v>
      </c>
      <c r="I2419" s="5"/>
      <c r="J2419" s="20">
        <v>1.0</v>
      </c>
      <c r="K2419" s="20">
        <v>99.0</v>
      </c>
      <c r="L2419" s="20"/>
      <c r="M2419" s="20">
        <v>99.0</v>
      </c>
      <c r="N2419" s="5" t="s">
        <v>67</v>
      </c>
      <c r="O2419" s="20" t="b">
        <v>0</v>
      </c>
      <c r="P2419" s="20" t="s">
        <v>68</v>
      </c>
      <c r="Q2419" s="20" t="s">
        <v>69</v>
      </c>
      <c r="R2419" s="20" t="s">
        <v>5183</v>
      </c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</row>
    <row r="2420">
      <c r="A2420" s="15" t="s">
        <v>9145</v>
      </c>
      <c r="B2420" s="19" t="s">
        <v>4462</v>
      </c>
      <c r="C2420" s="20">
        <v>50052.0</v>
      </c>
      <c r="D2420" s="20" t="s">
        <v>4461</v>
      </c>
      <c r="E2420" s="5">
        <v>9.19014439907E11</v>
      </c>
      <c r="F2420" s="21">
        <v>0.0</v>
      </c>
      <c r="G2420" s="20"/>
      <c r="H2420" s="20" t="s">
        <v>4433</v>
      </c>
      <c r="I2420" s="5"/>
      <c r="J2420" s="20">
        <v>3.0</v>
      </c>
      <c r="K2420" s="20">
        <v>199.0</v>
      </c>
      <c r="L2420" s="20"/>
      <c r="M2420" s="20">
        <v>199.0</v>
      </c>
      <c r="N2420" s="5" t="s">
        <v>67</v>
      </c>
      <c r="O2420" s="20" t="b">
        <v>0</v>
      </c>
      <c r="P2420" s="20" t="s">
        <v>68</v>
      </c>
      <c r="Q2420" s="20" t="s">
        <v>69</v>
      </c>
      <c r="R2420" s="20" t="s">
        <v>4435</v>
      </c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</row>
    <row r="2421">
      <c r="A2421" s="15" t="s">
        <v>9148</v>
      </c>
      <c r="B2421" s="19" t="s">
        <v>3980</v>
      </c>
      <c r="C2421" s="20">
        <v>50091.0</v>
      </c>
      <c r="D2421" s="20" t="s">
        <v>3979</v>
      </c>
      <c r="E2421" s="5">
        <v>9.19842455555E11</v>
      </c>
      <c r="F2421" s="21">
        <v>18841.0</v>
      </c>
      <c r="G2421" s="20"/>
      <c r="H2421" s="20" t="s">
        <v>3978</v>
      </c>
      <c r="I2421" s="5"/>
      <c r="J2421" s="20">
        <v>1.0</v>
      </c>
      <c r="K2421" s="20">
        <v>99.0</v>
      </c>
      <c r="L2421" s="20"/>
      <c r="M2421" s="20">
        <v>99.0</v>
      </c>
      <c r="N2421" s="5" t="s">
        <v>67</v>
      </c>
      <c r="O2421" s="20" t="b">
        <v>0</v>
      </c>
      <c r="P2421" s="20" t="s">
        <v>74</v>
      </c>
      <c r="Q2421" s="20" t="s">
        <v>69</v>
      </c>
      <c r="R2421" s="20" t="s">
        <v>3981</v>
      </c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</row>
    <row r="2422">
      <c r="A2422" s="15" t="s">
        <v>9303</v>
      </c>
      <c r="B2422" s="19" t="s">
        <v>3906</v>
      </c>
      <c r="C2422" s="20">
        <v>49835.0</v>
      </c>
      <c r="D2422" s="20" t="s">
        <v>3905</v>
      </c>
      <c r="E2422" s="5">
        <v>9.1984560698E11</v>
      </c>
      <c r="F2422" s="21">
        <v>18904.0</v>
      </c>
      <c r="G2422" s="20"/>
      <c r="H2422" s="20" t="s">
        <v>680</v>
      </c>
      <c r="I2422" s="5"/>
      <c r="J2422" s="20">
        <v>1.0</v>
      </c>
      <c r="K2422" s="20">
        <v>99.0</v>
      </c>
      <c r="L2422" s="20"/>
      <c r="M2422" s="20">
        <v>99.0</v>
      </c>
      <c r="N2422" s="5" t="s">
        <v>67</v>
      </c>
      <c r="O2422" s="20" t="b">
        <v>0</v>
      </c>
      <c r="P2422" s="20" t="s">
        <v>151</v>
      </c>
      <c r="Q2422" s="20" t="s">
        <v>69</v>
      </c>
      <c r="R2422" s="20" t="s">
        <v>3888</v>
      </c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</row>
    <row r="2423">
      <c r="A2423" s="15" t="s">
        <v>9146</v>
      </c>
      <c r="B2423" s="19" t="s">
        <v>4679</v>
      </c>
      <c r="C2423" s="20">
        <v>49859.0</v>
      </c>
      <c r="D2423" s="20" t="s">
        <v>4678</v>
      </c>
      <c r="E2423" s="5">
        <v>9.18088045354E11</v>
      </c>
      <c r="F2423" s="21">
        <v>18851.0</v>
      </c>
      <c r="G2423" s="20"/>
      <c r="H2423" s="20" t="s">
        <v>1133</v>
      </c>
      <c r="I2423" s="5"/>
      <c r="J2423" s="20">
        <v>1.0</v>
      </c>
      <c r="K2423" s="20">
        <v>99.0</v>
      </c>
      <c r="L2423" s="20"/>
      <c r="M2423" s="20">
        <v>99.0</v>
      </c>
      <c r="N2423" s="5" t="s">
        <v>67</v>
      </c>
      <c r="O2423" s="20" t="b">
        <v>0</v>
      </c>
      <c r="P2423" s="20" t="s">
        <v>68</v>
      </c>
      <c r="Q2423" s="20" t="s">
        <v>69</v>
      </c>
      <c r="R2423" s="20" t="s">
        <v>4620</v>
      </c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</row>
    <row r="2424">
      <c r="A2424" s="15" t="s">
        <v>9306</v>
      </c>
      <c r="B2424" s="19" t="s">
        <v>5878</v>
      </c>
      <c r="C2424" s="20">
        <v>50054.0</v>
      </c>
      <c r="D2424" s="20" t="s">
        <v>5877</v>
      </c>
      <c r="E2424" s="5">
        <v>9.19773821896E11</v>
      </c>
      <c r="F2424" s="21">
        <v>18905.0</v>
      </c>
      <c r="G2424" s="20"/>
      <c r="H2424" s="20" t="s">
        <v>5822</v>
      </c>
      <c r="I2424" s="5"/>
      <c r="J2424" s="20">
        <v>1.0</v>
      </c>
      <c r="K2424" s="20">
        <v>99.0</v>
      </c>
      <c r="L2424" s="20"/>
      <c r="M2424" s="20">
        <v>99.0</v>
      </c>
      <c r="N2424" s="5" t="s">
        <v>67</v>
      </c>
      <c r="O2424" s="20" t="b">
        <v>0</v>
      </c>
      <c r="P2424" s="20" t="s">
        <v>68</v>
      </c>
      <c r="Q2424" s="20" t="s">
        <v>69</v>
      </c>
      <c r="R2424" s="20" t="s">
        <v>5824</v>
      </c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</row>
    <row r="2425">
      <c r="A2425" s="15" t="s">
        <v>9149</v>
      </c>
      <c r="B2425" s="19" t="s">
        <v>6540</v>
      </c>
      <c r="C2425" s="20">
        <v>50073.0</v>
      </c>
      <c r="D2425" s="20" t="s">
        <v>2209</v>
      </c>
      <c r="E2425" s="5">
        <v>9.1858502275E11</v>
      </c>
      <c r="F2425" s="21">
        <v>16840.0</v>
      </c>
      <c r="G2425" s="20"/>
      <c r="H2425" s="20" t="s">
        <v>2161</v>
      </c>
      <c r="I2425" s="5"/>
      <c r="J2425" s="20">
        <v>1.0</v>
      </c>
      <c r="K2425" s="20">
        <v>599.0</v>
      </c>
      <c r="L2425" s="20"/>
      <c r="M2425" s="20">
        <v>599.0</v>
      </c>
      <c r="N2425" s="5" t="s">
        <v>67</v>
      </c>
      <c r="O2425" s="20" t="b">
        <v>0</v>
      </c>
      <c r="P2425" s="20" t="s">
        <v>74</v>
      </c>
      <c r="Q2425" s="20" t="s">
        <v>69</v>
      </c>
      <c r="R2425" s="20" t="s">
        <v>6497</v>
      </c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</row>
    <row r="2426">
      <c r="A2426" s="15" t="s">
        <v>9154</v>
      </c>
      <c r="B2426" s="19" t="s">
        <v>4123</v>
      </c>
      <c r="C2426" s="20">
        <v>49833.0</v>
      </c>
      <c r="D2426" s="20" t="s">
        <v>4122</v>
      </c>
      <c r="E2426" s="5">
        <v>9.18826143785E11</v>
      </c>
      <c r="F2426" s="21">
        <v>18844.0</v>
      </c>
      <c r="G2426" s="20"/>
      <c r="H2426" s="20" t="s">
        <v>4030</v>
      </c>
      <c r="I2426" s="5"/>
      <c r="J2426" s="20">
        <v>1.0</v>
      </c>
      <c r="K2426" s="20">
        <v>99.0</v>
      </c>
      <c r="L2426" s="20"/>
      <c r="M2426" s="20">
        <v>99.0</v>
      </c>
      <c r="N2426" s="5" t="s">
        <v>67</v>
      </c>
      <c r="O2426" s="20" t="b">
        <v>0</v>
      </c>
      <c r="P2426" s="20" t="s">
        <v>68</v>
      </c>
      <c r="Q2426" s="20" t="s">
        <v>69</v>
      </c>
      <c r="R2426" s="20" t="s">
        <v>4033</v>
      </c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</row>
    <row r="2427">
      <c r="A2427" s="15" t="s">
        <v>9312</v>
      </c>
      <c r="B2427" s="19" t="s">
        <v>3116</v>
      </c>
      <c r="C2427" s="20">
        <v>49991.0</v>
      </c>
      <c r="D2427" s="20" t="s">
        <v>3115</v>
      </c>
      <c r="E2427" s="5">
        <v>9.18956468871E11</v>
      </c>
      <c r="F2427" s="21">
        <v>18910.0</v>
      </c>
      <c r="G2427" s="20"/>
      <c r="H2427" s="20" t="s">
        <v>3055</v>
      </c>
      <c r="I2427" s="5"/>
      <c r="J2427" s="20">
        <v>1.0</v>
      </c>
      <c r="K2427" s="20">
        <v>99.0</v>
      </c>
      <c r="L2427" s="20"/>
      <c r="M2427" s="20">
        <v>99.0</v>
      </c>
      <c r="N2427" s="5" t="s">
        <v>67</v>
      </c>
      <c r="O2427" s="20" t="b">
        <v>0</v>
      </c>
      <c r="P2427" s="20" t="s">
        <v>74</v>
      </c>
      <c r="Q2427" s="20" t="s">
        <v>69</v>
      </c>
      <c r="R2427" s="20" t="s">
        <v>3057</v>
      </c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</row>
    <row r="2428">
      <c r="A2428" s="15" t="s">
        <v>9309</v>
      </c>
      <c r="B2428" s="19" t="s">
        <v>5880</v>
      </c>
      <c r="C2428" s="20">
        <v>50054.0</v>
      </c>
      <c r="D2428" s="20" t="s">
        <v>5879</v>
      </c>
      <c r="E2428" s="5">
        <v>9.19971333164E11</v>
      </c>
      <c r="F2428" s="21">
        <v>18908.0</v>
      </c>
      <c r="G2428" s="20"/>
      <c r="H2428" s="20" t="s">
        <v>5822</v>
      </c>
      <c r="I2428" s="5"/>
      <c r="J2428" s="20">
        <v>1.0</v>
      </c>
      <c r="K2428" s="20">
        <v>99.0</v>
      </c>
      <c r="L2428" s="20"/>
      <c r="M2428" s="20">
        <v>99.0</v>
      </c>
      <c r="N2428" s="5" t="s">
        <v>67</v>
      </c>
      <c r="O2428" s="20" t="b">
        <v>0</v>
      </c>
      <c r="P2428" s="20" t="s">
        <v>68</v>
      </c>
      <c r="Q2428" s="20" t="s">
        <v>69</v>
      </c>
      <c r="R2428" s="20" t="s">
        <v>5824</v>
      </c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</row>
    <row r="2429">
      <c r="A2429" s="15" t="s">
        <v>9152</v>
      </c>
      <c r="B2429" s="19" t="s">
        <v>2513</v>
      </c>
      <c r="C2429" s="20">
        <v>49997.0</v>
      </c>
      <c r="D2429" s="20" t="s">
        <v>2512</v>
      </c>
      <c r="E2429" s="5">
        <v>9.19030076761E11</v>
      </c>
      <c r="F2429" s="21">
        <v>18843.0</v>
      </c>
      <c r="G2429" s="20"/>
      <c r="H2429" s="20" t="s">
        <v>2455</v>
      </c>
      <c r="I2429" s="5"/>
      <c r="J2429" s="20">
        <v>1.0</v>
      </c>
      <c r="K2429" s="20">
        <v>99.0</v>
      </c>
      <c r="L2429" s="20"/>
      <c r="M2429" s="20">
        <v>99.0</v>
      </c>
      <c r="N2429" s="5" t="s">
        <v>67</v>
      </c>
      <c r="O2429" s="20" t="b">
        <v>0</v>
      </c>
      <c r="P2429" s="20" t="s">
        <v>68</v>
      </c>
      <c r="Q2429" s="20" t="s">
        <v>69</v>
      </c>
      <c r="R2429" s="20" t="s">
        <v>2457</v>
      </c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</row>
    <row r="2430">
      <c r="A2430" s="15" t="s">
        <v>9315</v>
      </c>
      <c r="B2430" s="19" t="s">
        <v>4911</v>
      </c>
      <c r="C2430" s="20">
        <v>49951.0</v>
      </c>
      <c r="D2430" s="20" t="s">
        <v>4910</v>
      </c>
      <c r="E2430" s="5">
        <v>9.18790964309E11</v>
      </c>
      <c r="F2430" s="21">
        <v>18911.0</v>
      </c>
      <c r="G2430" s="20"/>
      <c r="H2430" s="20" t="s">
        <v>4887</v>
      </c>
      <c r="I2430" s="5"/>
      <c r="J2430" s="20">
        <v>1.0</v>
      </c>
      <c r="K2430" s="20">
        <v>99.0</v>
      </c>
      <c r="L2430" s="20"/>
      <c r="M2430" s="20">
        <v>99.0</v>
      </c>
      <c r="N2430" s="5" t="s">
        <v>67</v>
      </c>
      <c r="O2430" s="20" t="b">
        <v>0</v>
      </c>
      <c r="P2430" s="20" t="s">
        <v>68</v>
      </c>
      <c r="Q2430" s="20" t="s">
        <v>69</v>
      </c>
      <c r="R2430" s="20" t="s">
        <v>4889</v>
      </c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</row>
    <row r="2431">
      <c r="A2431" s="15" t="s">
        <v>9316</v>
      </c>
      <c r="B2431" s="19" t="s">
        <v>4911</v>
      </c>
      <c r="C2431" s="20">
        <v>49995.0</v>
      </c>
      <c r="D2431" s="20" t="s">
        <v>2117</v>
      </c>
      <c r="E2431" s="5">
        <v>9.185270772E11</v>
      </c>
      <c r="F2431" s="21">
        <v>17316.0</v>
      </c>
      <c r="G2431" s="20"/>
      <c r="H2431" s="20" t="s">
        <v>5321</v>
      </c>
      <c r="I2431" s="5"/>
      <c r="J2431" s="20">
        <v>1.0</v>
      </c>
      <c r="K2431" s="20">
        <v>99.0</v>
      </c>
      <c r="L2431" s="20"/>
      <c r="M2431" s="20">
        <v>99.0</v>
      </c>
      <c r="N2431" s="5" t="s">
        <v>67</v>
      </c>
      <c r="O2431" s="20" t="b">
        <v>0</v>
      </c>
      <c r="P2431" s="20" t="s">
        <v>68</v>
      </c>
      <c r="Q2431" s="20" t="s">
        <v>69</v>
      </c>
      <c r="R2431" s="20" t="s">
        <v>5323</v>
      </c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</row>
    <row r="2432">
      <c r="A2432" s="15" t="s">
        <v>9163</v>
      </c>
      <c r="B2432" s="19" t="s">
        <v>2849</v>
      </c>
      <c r="C2432" s="20">
        <v>50029.0</v>
      </c>
      <c r="D2432" s="20" t="s">
        <v>2848</v>
      </c>
      <c r="E2432" s="5">
        <v>9.18861251545E11</v>
      </c>
      <c r="F2432" s="22" t="s">
        <v>12593</v>
      </c>
      <c r="G2432" s="20"/>
      <c r="H2432" s="20" t="s">
        <v>2761</v>
      </c>
      <c r="I2432" s="5"/>
      <c r="J2432" s="20">
        <v>1.0</v>
      </c>
      <c r="K2432" s="20">
        <v>99.0</v>
      </c>
      <c r="L2432" s="20"/>
      <c r="M2432" s="20">
        <v>99.0</v>
      </c>
      <c r="N2432" s="5" t="s">
        <v>67</v>
      </c>
      <c r="O2432" s="20" t="b">
        <v>0</v>
      </c>
      <c r="P2432" s="20" t="s">
        <v>68</v>
      </c>
      <c r="Q2432" s="20" t="s">
        <v>69</v>
      </c>
      <c r="R2432" s="20" t="s">
        <v>2763</v>
      </c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</row>
    <row r="2433">
      <c r="A2433" s="15" t="s">
        <v>9319</v>
      </c>
      <c r="B2433" s="19" t="s">
        <v>4313</v>
      </c>
      <c r="C2433" s="20">
        <v>50079.0</v>
      </c>
      <c r="D2433" s="20" t="s">
        <v>4312</v>
      </c>
      <c r="E2433" s="5">
        <v>9.19140775659E11</v>
      </c>
      <c r="F2433" s="21">
        <v>18912.0</v>
      </c>
      <c r="G2433" s="20"/>
      <c r="H2433" s="20" t="s">
        <v>4281</v>
      </c>
      <c r="I2433" s="5"/>
      <c r="J2433" s="20">
        <v>1.0</v>
      </c>
      <c r="K2433" s="20">
        <v>99.0</v>
      </c>
      <c r="L2433" s="20"/>
      <c r="M2433" s="20">
        <v>99.0</v>
      </c>
      <c r="N2433" s="5" t="s">
        <v>67</v>
      </c>
      <c r="O2433" s="20" t="b">
        <v>0</v>
      </c>
      <c r="P2433" s="20" t="s">
        <v>68</v>
      </c>
      <c r="Q2433" s="20" t="s">
        <v>69</v>
      </c>
      <c r="R2433" s="20" t="s">
        <v>4284</v>
      </c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</row>
    <row r="2434">
      <c r="A2434" s="15" t="s">
        <v>9320</v>
      </c>
      <c r="B2434" s="19" t="s">
        <v>4148</v>
      </c>
      <c r="C2434" s="20">
        <v>50076.0</v>
      </c>
      <c r="D2434" s="20" t="s">
        <v>6096</v>
      </c>
      <c r="E2434" s="5">
        <v>9.18800214022E11</v>
      </c>
      <c r="F2434" s="21">
        <v>18913.0</v>
      </c>
      <c r="G2434" s="20"/>
      <c r="H2434" s="20" t="s">
        <v>5984</v>
      </c>
      <c r="I2434" s="5"/>
      <c r="J2434" s="20">
        <v>1.0</v>
      </c>
      <c r="K2434" s="20">
        <v>199.0</v>
      </c>
      <c r="L2434" s="20"/>
      <c r="M2434" s="20">
        <v>199.0</v>
      </c>
      <c r="N2434" s="5" t="s">
        <v>67</v>
      </c>
      <c r="O2434" s="20" t="b">
        <v>0</v>
      </c>
      <c r="P2434" s="20" t="s">
        <v>151</v>
      </c>
      <c r="Q2434" s="20" t="s">
        <v>69</v>
      </c>
      <c r="R2434" s="20" t="s">
        <v>5987</v>
      </c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</row>
    <row r="2435">
      <c r="A2435" s="15" t="s">
        <v>9321</v>
      </c>
      <c r="B2435" s="19" t="s">
        <v>4148</v>
      </c>
      <c r="C2435" s="20">
        <v>49833.0</v>
      </c>
      <c r="D2435" s="20" t="s">
        <v>1830</v>
      </c>
      <c r="E2435" s="5">
        <v>9.19769288349E11</v>
      </c>
      <c r="F2435" s="21">
        <v>17205.0</v>
      </c>
      <c r="G2435" s="20"/>
      <c r="H2435" s="20" t="s">
        <v>4030</v>
      </c>
      <c r="I2435" s="5"/>
      <c r="J2435" s="20">
        <v>6.0</v>
      </c>
      <c r="K2435" s="20">
        <v>349.0</v>
      </c>
      <c r="L2435" s="20"/>
      <c r="M2435" s="20">
        <v>349.0</v>
      </c>
      <c r="N2435" s="5" t="s">
        <v>67</v>
      </c>
      <c r="O2435" s="20" t="b">
        <v>0</v>
      </c>
      <c r="P2435" s="20" t="s">
        <v>74</v>
      </c>
      <c r="Q2435" s="20" t="s">
        <v>69</v>
      </c>
      <c r="R2435" s="20" t="s">
        <v>4033</v>
      </c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</row>
    <row r="2436">
      <c r="A2436" s="15" t="s">
        <v>9167</v>
      </c>
      <c r="B2436" s="19" t="s">
        <v>6341</v>
      </c>
      <c r="C2436" s="20">
        <v>50044.0</v>
      </c>
      <c r="D2436" s="20" t="s">
        <v>6340</v>
      </c>
      <c r="E2436" s="5">
        <v>9.18328372897E11</v>
      </c>
      <c r="F2436" s="21">
        <v>18847.0</v>
      </c>
      <c r="G2436" s="20"/>
      <c r="H2436" s="20" t="s">
        <v>6320</v>
      </c>
      <c r="I2436" s="5"/>
      <c r="J2436" s="20">
        <v>1.0</v>
      </c>
      <c r="K2436" s="20">
        <v>349.0</v>
      </c>
      <c r="L2436" s="20"/>
      <c r="M2436" s="20">
        <v>349.0</v>
      </c>
      <c r="N2436" s="5" t="s">
        <v>67</v>
      </c>
      <c r="O2436" s="20" t="b">
        <v>0</v>
      </c>
      <c r="P2436" s="20" t="s">
        <v>68</v>
      </c>
      <c r="Q2436" s="20" t="s">
        <v>69</v>
      </c>
      <c r="R2436" s="20" t="s">
        <v>6322</v>
      </c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</row>
    <row r="2437">
      <c r="A2437" s="15" t="s">
        <v>9168</v>
      </c>
      <c r="B2437" s="19" t="s">
        <v>2514</v>
      </c>
      <c r="C2437" s="20">
        <v>49997.0</v>
      </c>
      <c r="D2437" s="20" t="s">
        <v>1874</v>
      </c>
      <c r="E2437" s="5">
        <v>9.19579795121E11</v>
      </c>
      <c r="F2437" s="21">
        <v>17243.0</v>
      </c>
      <c r="G2437" s="20"/>
      <c r="H2437" s="20" t="s">
        <v>2455</v>
      </c>
      <c r="I2437" s="5"/>
      <c r="J2437" s="20">
        <v>1.0</v>
      </c>
      <c r="K2437" s="20">
        <v>99.0</v>
      </c>
      <c r="L2437" s="20"/>
      <c r="M2437" s="20">
        <v>99.0</v>
      </c>
      <c r="N2437" s="5" t="s">
        <v>67</v>
      </c>
      <c r="O2437" s="20" t="b">
        <v>0</v>
      </c>
      <c r="P2437" s="20" t="s">
        <v>68</v>
      </c>
      <c r="Q2437" s="20" t="s">
        <v>69</v>
      </c>
      <c r="R2437" s="20" t="s">
        <v>2457</v>
      </c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</row>
    <row r="2438">
      <c r="A2438" s="15" t="s">
        <v>9324</v>
      </c>
      <c r="B2438" s="19" t="s">
        <v>3241</v>
      </c>
      <c r="C2438" s="20">
        <v>50047.0</v>
      </c>
      <c r="D2438" s="20" t="s">
        <v>3240</v>
      </c>
      <c r="E2438" s="5">
        <v>9.19284521783E11</v>
      </c>
      <c r="F2438" s="21">
        <v>18914.0</v>
      </c>
      <c r="G2438" s="20"/>
      <c r="H2438" s="20" t="s">
        <v>3195</v>
      </c>
      <c r="I2438" s="5"/>
      <c r="J2438" s="20">
        <v>3.0</v>
      </c>
      <c r="K2438" s="20">
        <v>199.0</v>
      </c>
      <c r="L2438" s="20"/>
      <c r="M2438" s="20">
        <v>199.0</v>
      </c>
      <c r="N2438" s="5" t="s">
        <v>67</v>
      </c>
      <c r="O2438" s="20" t="b">
        <v>0</v>
      </c>
      <c r="P2438" s="20" t="s">
        <v>68</v>
      </c>
      <c r="Q2438" s="20" t="s">
        <v>69</v>
      </c>
      <c r="R2438" s="20" t="s">
        <v>3197</v>
      </c>
      <c r="T2438" s="20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</row>
    <row r="2439">
      <c r="A2439" s="15" t="s">
        <v>9326</v>
      </c>
      <c r="B2439" s="19" t="s">
        <v>4468</v>
      </c>
      <c r="C2439" s="20">
        <v>50052.0</v>
      </c>
      <c r="D2439" s="20" t="s">
        <v>4467</v>
      </c>
      <c r="E2439" s="5">
        <v>9.19880881746E11</v>
      </c>
      <c r="F2439" s="21">
        <v>18915.0</v>
      </c>
      <c r="G2439" s="20"/>
      <c r="H2439" s="20" t="s">
        <v>4433</v>
      </c>
      <c r="I2439" s="5"/>
      <c r="J2439" s="20">
        <v>1.0</v>
      </c>
      <c r="K2439" s="20">
        <v>99.0</v>
      </c>
      <c r="L2439" s="20"/>
      <c r="M2439" s="20">
        <v>99.0</v>
      </c>
      <c r="N2439" s="5" t="s">
        <v>67</v>
      </c>
      <c r="O2439" s="20" t="b">
        <v>0</v>
      </c>
      <c r="P2439" s="20" t="s">
        <v>74</v>
      </c>
      <c r="Q2439" s="20" t="s">
        <v>69</v>
      </c>
      <c r="R2439" s="20" t="s">
        <v>4435</v>
      </c>
      <c r="T2439" s="20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</row>
    <row r="2440">
      <c r="A2440" s="15" t="s">
        <v>9175</v>
      </c>
      <c r="B2440" s="19" t="s">
        <v>4309</v>
      </c>
      <c r="C2440" s="20">
        <v>50079.0</v>
      </c>
      <c r="D2440" s="20" t="s">
        <v>4308</v>
      </c>
      <c r="E2440" s="5">
        <v>9.17775024848E11</v>
      </c>
      <c r="F2440" s="21">
        <v>0.0</v>
      </c>
      <c r="G2440" s="20"/>
      <c r="H2440" s="20" t="s">
        <v>4281</v>
      </c>
      <c r="I2440" s="5"/>
      <c r="J2440" s="20">
        <v>1.0</v>
      </c>
      <c r="K2440" s="20">
        <v>99.0</v>
      </c>
      <c r="L2440" s="20"/>
      <c r="M2440" s="20">
        <v>99.0</v>
      </c>
      <c r="N2440" s="5" t="s">
        <v>67</v>
      </c>
      <c r="O2440" s="20" t="b">
        <v>0</v>
      </c>
      <c r="P2440" s="20" t="s">
        <v>68</v>
      </c>
      <c r="Q2440" s="20" t="s">
        <v>69</v>
      </c>
      <c r="R2440" s="20" t="s">
        <v>4284</v>
      </c>
      <c r="T2440" s="20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</row>
    <row r="2441">
      <c r="A2441" s="15" t="s">
        <v>9172</v>
      </c>
      <c r="B2441" s="19" t="s">
        <v>4999</v>
      </c>
      <c r="C2441" s="20">
        <v>50094.0</v>
      </c>
      <c r="D2441" s="20" t="s">
        <v>4998</v>
      </c>
      <c r="E2441" s="5">
        <v>9.17993092367E11</v>
      </c>
      <c r="F2441" s="21">
        <v>18849.0</v>
      </c>
      <c r="G2441" s="20"/>
      <c r="H2441" s="20" t="s">
        <v>4942</v>
      </c>
      <c r="I2441" s="5"/>
      <c r="J2441" s="20">
        <v>1.0</v>
      </c>
      <c r="K2441" s="20">
        <v>199.0</v>
      </c>
      <c r="L2441" s="20"/>
      <c r="M2441" s="20">
        <v>199.0</v>
      </c>
      <c r="N2441" s="5" t="s">
        <v>67</v>
      </c>
      <c r="O2441" s="20" t="b">
        <v>0</v>
      </c>
      <c r="P2441" s="20" t="s">
        <v>68</v>
      </c>
      <c r="Q2441" s="20" t="s">
        <v>69</v>
      </c>
      <c r="R2441" s="20" t="s">
        <v>4945</v>
      </c>
      <c r="T2441" s="20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</row>
    <row r="2442">
      <c r="A2442" s="15" t="s">
        <v>9327</v>
      </c>
      <c r="B2442" s="19" t="s">
        <v>6098</v>
      </c>
      <c r="C2442" s="20">
        <v>50076.0</v>
      </c>
      <c r="D2442" s="20" t="s">
        <v>6097</v>
      </c>
      <c r="E2442" s="5">
        <v>9.1818898811E11</v>
      </c>
      <c r="F2442" s="21">
        <v>0.0</v>
      </c>
      <c r="G2442" s="20"/>
      <c r="H2442" s="20" t="s">
        <v>5984</v>
      </c>
      <c r="I2442" s="5"/>
      <c r="J2442" s="20">
        <v>1.0</v>
      </c>
      <c r="K2442" s="20">
        <v>199.0</v>
      </c>
      <c r="L2442" s="20"/>
      <c r="M2442" s="20">
        <v>199.0</v>
      </c>
      <c r="N2442" s="5" t="s">
        <v>67</v>
      </c>
      <c r="O2442" s="20" t="b">
        <v>0</v>
      </c>
      <c r="P2442" s="20" t="s">
        <v>74</v>
      </c>
      <c r="Q2442" s="20" t="s">
        <v>69</v>
      </c>
      <c r="R2442" s="20" t="s">
        <v>5987</v>
      </c>
      <c r="T2442" s="20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</row>
    <row r="2443">
      <c r="A2443" s="15" t="s">
        <v>9330</v>
      </c>
      <c r="B2443" s="19" t="s">
        <v>3908</v>
      </c>
      <c r="C2443" s="20">
        <v>49835.0</v>
      </c>
      <c r="D2443" s="20" t="s">
        <v>3907</v>
      </c>
      <c r="E2443" s="5">
        <v>9.18428775398E11</v>
      </c>
      <c r="F2443" s="21">
        <v>18916.0</v>
      </c>
      <c r="G2443" s="20"/>
      <c r="H2443" s="20" t="s">
        <v>680</v>
      </c>
      <c r="I2443" s="5"/>
      <c r="J2443" s="20">
        <v>1.0</v>
      </c>
      <c r="K2443" s="20">
        <v>99.0</v>
      </c>
      <c r="L2443" s="20"/>
      <c r="M2443" s="20">
        <v>99.0</v>
      </c>
      <c r="N2443" s="5" t="s">
        <v>67</v>
      </c>
      <c r="O2443" s="20" t="b">
        <v>0</v>
      </c>
      <c r="P2443" s="20" t="s">
        <v>68</v>
      </c>
      <c r="Q2443" s="20" t="s">
        <v>69</v>
      </c>
      <c r="R2443" s="20" t="s">
        <v>3888</v>
      </c>
      <c r="T2443" s="20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</row>
    <row r="2444">
      <c r="A2444" s="15" t="s">
        <v>9178</v>
      </c>
      <c r="B2444" s="19" t="s">
        <v>5395</v>
      </c>
      <c r="C2444" s="20">
        <v>49995.0</v>
      </c>
      <c r="D2444" s="20" t="s">
        <v>5394</v>
      </c>
      <c r="E2444" s="5">
        <v>9.18415931367E11</v>
      </c>
      <c r="F2444" s="21">
        <v>18850.0</v>
      </c>
      <c r="G2444" s="20"/>
      <c r="H2444" s="20" t="s">
        <v>5321</v>
      </c>
      <c r="I2444" s="5"/>
      <c r="J2444" s="20">
        <v>1.0</v>
      </c>
      <c r="K2444" s="20">
        <v>99.0</v>
      </c>
      <c r="L2444" s="20"/>
      <c r="M2444" s="20">
        <v>99.0</v>
      </c>
      <c r="N2444" s="5" t="s">
        <v>67</v>
      </c>
      <c r="O2444" s="20" t="b">
        <v>0</v>
      </c>
      <c r="P2444" s="20" t="s">
        <v>68</v>
      </c>
      <c r="Q2444" s="20" t="s">
        <v>69</v>
      </c>
      <c r="R2444" s="20" t="s">
        <v>5323</v>
      </c>
      <c r="T2444" s="20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</row>
    <row r="2445">
      <c r="A2445" s="15" t="s">
        <v>9180</v>
      </c>
      <c r="B2445" s="19" t="s">
        <v>4681</v>
      </c>
      <c r="C2445" s="20">
        <v>49859.0</v>
      </c>
      <c r="D2445" s="20" t="s">
        <v>4680</v>
      </c>
      <c r="E2445" s="5">
        <v>9.17903090754E11</v>
      </c>
      <c r="F2445" s="21">
        <v>16912.0</v>
      </c>
      <c r="G2445" s="20"/>
      <c r="H2445" s="20" t="s">
        <v>1133</v>
      </c>
      <c r="I2445" s="5"/>
      <c r="J2445" s="20">
        <v>1.0</v>
      </c>
      <c r="K2445" s="20">
        <v>99.0</v>
      </c>
      <c r="L2445" s="20"/>
      <c r="M2445" s="20">
        <v>99.0</v>
      </c>
      <c r="N2445" s="5" t="s">
        <v>67</v>
      </c>
      <c r="O2445" s="20" t="b">
        <v>0</v>
      </c>
      <c r="P2445" s="20" t="s">
        <v>68</v>
      </c>
      <c r="Q2445" s="20" t="s">
        <v>69</v>
      </c>
      <c r="R2445" s="20" t="s">
        <v>4620</v>
      </c>
      <c r="T2445" s="20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</row>
    <row r="2446">
      <c r="A2446" s="15" t="s">
        <v>9335</v>
      </c>
      <c r="B2446" s="19" t="s">
        <v>2730</v>
      </c>
      <c r="C2446" s="20">
        <v>50015.0</v>
      </c>
      <c r="D2446" s="20" t="s">
        <v>2729</v>
      </c>
      <c r="E2446" s="5">
        <v>9.1701365205E11</v>
      </c>
      <c r="F2446" s="21">
        <v>18924.0</v>
      </c>
      <c r="G2446" s="20"/>
      <c r="H2446" s="20" t="s">
        <v>2702</v>
      </c>
      <c r="I2446" s="5"/>
      <c r="J2446" s="20">
        <v>1.0</v>
      </c>
      <c r="K2446" s="20">
        <v>149.0</v>
      </c>
      <c r="L2446" s="20"/>
      <c r="M2446" s="20">
        <v>149.0</v>
      </c>
      <c r="N2446" s="5" t="s">
        <v>67</v>
      </c>
      <c r="O2446" s="20" t="b">
        <v>0</v>
      </c>
      <c r="P2446" s="20" t="s">
        <v>74</v>
      </c>
      <c r="Q2446" s="20" t="s">
        <v>69</v>
      </c>
      <c r="R2446" s="20" t="s">
        <v>2704</v>
      </c>
      <c r="T2446" s="20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</row>
    <row r="2447">
      <c r="A2447" s="15" t="s">
        <v>9184</v>
      </c>
      <c r="B2447" s="19" t="s">
        <v>4374</v>
      </c>
      <c r="C2447" s="20">
        <v>50039.0</v>
      </c>
      <c r="D2447" s="20" t="s">
        <v>4373</v>
      </c>
      <c r="E2447" s="5">
        <v>9.18369093163E11</v>
      </c>
      <c r="F2447" s="22" t="s">
        <v>12593</v>
      </c>
      <c r="G2447" s="20"/>
      <c r="H2447" s="20" t="s">
        <v>4341</v>
      </c>
      <c r="I2447" s="5"/>
      <c r="J2447" s="20">
        <v>1.0</v>
      </c>
      <c r="K2447" s="20">
        <v>99.0</v>
      </c>
      <c r="L2447" s="20"/>
      <c r="M2447" s="20">
        <v>99.0</v>
      </c>
      <c r="N2447" s="5" t="s">
        <v>67</v>
      </c>
      <c r="O2447" s="20" t="b">
        <v>0</v>
      </c>
      <c r="P2447" s="20" t="s">
        <v>68</v>
      </c>
      <c r="Q2447" s="20" t="s">
        <v>69</v>
      </c>
      <c r="R2447" s="20" t="s">
        <v>4343</v>
      </c>
      <c r="T2447" s="20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</row>
    <row r="2448">
      <c r="A2448" s="15" t="s">
        <v>9339</v>
      </c>
      <c r="B2448" s="19" t="s">
        <v>5969</v>
      </c>
      <c r="C2448" s="20">
        <v>50041.0</v>
      </c>
      <c r="D2448" s="20" t="s">
        <v>5968</v>
      </c>
      <c r="E2448" s="5">
        <v>9.19324385988E11</v>
      </c>
      <c r="F2448" s="21">
        <v>19340.0</v>
      </c>
      <c r="G2448" s="20"/>
      <c r="H2448" s="20" t="s">
        <v>5956</v>
      </c>
      <c r="I2448" s="5"/>
      <c r="J2448" s="20">
        <v>3.0</v>
      </c>
      <c r="K2448" s="20">
        <v>399.0</v>
      </c>
      <c r="L2448" s="20"/>
      <c r="M2448" s="20">
        <v>399.0</v>
      </c>
      <c r="N2448" s="5" t="s">
        <v>67</v>
      </c>
      <c r="O2448" s="20" t="b">
        <v>0</v>
      </c>
      <c r="P2448" s="20" t="s">
        <v>97</v>
      </c>
      <c r="Q2448" s="20" t="s">
        <v>69</v>
      </c>
      <c r="R2448" s="20" t="s">
        <v>5958</v>
      </c>
      <c r="T2448" s="20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</row>
    <row r="2449">
      <c r="A2449" s="15" t="s">
        <v>9343</v>
      </c>
      <c r="B2449" s="19" t="s">
        <v>5013</v>
      </c>
      <c r="C2449" s="20">
        <v>50094.0</v>
      </c>
      <c r="D2449" s="20" t="s">
        <v>5012</v>
      </c>
      <c r="E2449" s="5">
        <v>9.19633460488E11</v>
      </c>
      <c r="F2449" s="21">
        <v>18919.0</v>
      </c>
      <c r="G2449" s="20"/>
      <c r="H2449" s="20" t="s">
        <v>4942</v>
      </c>
      <c r="I2449" s="5"/>
      <c r="J2449" s="20">
        <v>3.0</v>
      </c>
      <c r="K2449" s="20">
        <v>399.0</v>
      </c>
      <c r="L2449" s="20"/>
      <c r="M2449" s="20">
        <v>399.0</v>
      </c>
      <c r="N2449" s="5" t="s">
        <v>67</v>
      </c>
      <c r="O2449" s="20" t="b">
        <v>0</v>
      </c>
      <c r="P2449" s="20" t="s">
        <v>68</v>
      </c>
      <c r="Q2449" s="20" t="s">
        <v>69</v>
      </c>
      <c r="R2449" s="20" t="s">
        <v>4945</v>
      </c>
      <c r="T2449" s="20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</row>
    <row r="2450">
      <c r="A2450" s="15" t="s">
        <v>9189</v>
      </c>
      <c r="B2450" s="19" t="s">
        <v>6091</v>
      </c>
      <c r="C2450" s="20">
        <v>50076.0</v>
      </c>
      <c r="D2450" s="20" t="s">
        <v>6090</v>
      </c>
      <c r="E2450" s="5">
        <v>9.19711100886E11</v>
      </c>
      <c r="F2450" s="21">
        <v>18853.0</v>
      </c>
      <c r="G2450" s="20"/>
      <c r="H2450" s="20" t="s">
        <v>5984</v>
      </c>
      <c r="I2450" s="5"/>
      <c r="J2450" s="20">
        <v>1.0</v>
      </c>
      <c r="K2450" s="20">
        <v>199.0</v>
      </c>
      <c r="L2450" s="20"/>
      <c r="M2450" s="20">
        <v>199.0</v>
      </c>
      <c r="N2450" s="5" t="s">
        <v>67</v>
      </c>
      <c r="O2450" s="20" t="b">
        <v>0</v>
      </c>
      <c r="P2450" s="20" t="s">
        <v>74</v>
      </c>
      <c r="Q2450" s="20" t="s">
        <v>69</v>
      </c>
      <c r="R2450" s="20" t="s">
        <v>5987</v>
      </c>
      <c r="T2450" s="20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</row>
    <row r="2451">
      <c r="A2451" s="15" t="s">
        <v>9185</v>
      </c>
      <c r="B2451" s="19" t="s">
        <v>6290</v>
      </c>
      <c r="C2451" s="20">
        <v>49998.0</v>
      </c>
      <c r="D2451" s="20" t="s">
        <v>6289</v>
      </c>
      <c r="E2451" s="5">
        <v>9.19686539737E11</v>
      </c>
      <c r="F2451" s="21">
        <v>18871.0</v>
      </c>
      <c r="G2451" s="20"/>
      <c r="H2451" s="20" t="s">
        <v>6250</v>
      </c>
      <c r="I2451" s="5"/>
      <c r="J2451" s="20">
        <v>1.0</v>
      </c>
      <c r="K2451" s="20">
        <v>99.0</v>
      </c>
      <c r="L2451" s="20"/>
      <c r="M2451" s="20">
        <v>99.0</v>
      </c>
      <c r="N2451" s="5" t="s">
        <v>67</v>
      </c>
      <c r="O2451" s="20" t="b">
        <v>0</v>
      </c>
      <c r="P2451" s="20" t="s">
        <v>68</v>
      </c>
      <c r="Q2451" s="20" t="s">
        <v>69</v>
      </c>
      <c r="R2451" s="20" t="s">
        <v>6252</v>
      </c>
      <c r="T2451" s="20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</row>
    <row r="2452">
      <c r="A2452" s="15" t="s">
        <v>9344</v>
      </c>
      <c r="B2452" s="19" t="s">
        <v>3910</v>
      </c>
      <c r="C2452" s="20">
        <v>49835.0</v>
      </c>
      <c r="D2452" s="20" t="s">
        <v>3909</v>
      </c>
      <c r="E2452" s="5">
        <v>9.18805226584E11</v>
      </c>
      <c r="F2452" s="21">
        <v>18918.0</v>
      </c>
      <c r="G2452" s="20"/>
      <c r="H2452" s="20" t="s">
        <v>680</v>
      </c>
      <c r="I2452" s="5"/>
      <c r="J2452" s="20">
        <v>1.0</v>
      </c>
      <c r="K2452" s="20">
        <v>99.0</v>
      </c>
      <c r="L2452" s="20"/>
      <c r="M2452" s="20">
        <v>99.0</v>
      </c>
      <c r="N2452" s="5" t="s">
        <v>67</v>
      </c>
      <c r="O2452" s="20" t="b">
        <v>0</v>
      </c>
      <c r="P2452" s="20" t="s">
        <v>68</v>
      </c>
      <c r="Q2452" s="20" t="s">
        <v>69</v>
      </c>
      <c r="R2452" s="20" t="s">
        <v>3888</v>
      </c>
      <c r="T2452" s="20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</row>
    <row r="2453">
      <c r="A2453" s="15" t="s">
        <v>9347</v>
      </c>
      <c r="B2453" s="19" t="s">
        <v>2728</v>
      </c>
      <c r="C2453" s="20">
        <v>50015.0</v>
      </c>
      <c r="D2453" s="20" t="s">
        <v>2727</v>
      </c>
      <c r="E2453" s="5">
        <v>9.19639504148E11</v>
      </c>
      <c r="F2453" s="21">
        <v>18920.0</v>
      </c>
      <c r="G2453" s="20"/>
      <c r="H2453" s="20" t="s">
        <v>2702</v>
      </c>
      <c r="I2453" s="5"/>
      <c r="J2453" s="20">
        <v>1.0</v>
      </c>
      <c r="K2453" s="20">
        <v>149.0</v>
      </c>
      <c r="L2453" s="20"/>
      <c r="M2453" s="20">
        <v>149.0</v>
      </c>
      <c r="N2453" s="5" t="s">
        <v>67</v>
      </c>
      <c r="O2453" s="20" t="b">
        <v>0</v>
      </c>
      <c r="P2453" s="20" t="s">
        <v>68</v>
      </c>
      <c r="Q2453" s="20" t="s">
        <v>69</v>
      </c>
      <c r="R2453" s="20" t="s">
        <v>2704</v>
      </c>
      <c r="T2453" s="20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</row>
    <row r="2454">
      <c r="A2454" s="15" t="s">
        <v>9188</v>
      </c>
      <c r="B2454" s="19" t="s">
        <v>4125</v>
      </c>
      <c r="C2454" s="20">
        <v>49833.0</v>
      </c>
      <c r="D2454" s="20" t="s">
        <v>4124</v>
      </c>
      <c r="E2454" s="5">
        <v>9.19677163732E11</v>
      </c>
      <c r="F2454" s="21">
        <v>18852.0</v>
      </c>
      <c r="G2454" s="20"/>
      <c r="H2454" s="20" t="s">
        <v>4030</v>
      </c>
      <c r="I2454" s="5"/>
      <c r="J2454" s="20">
        <v>1.0</v>
      </c>
      <c r="K2454" s="20">
        <v>99.0</v>
      </c>
      <c r="L2454" s="20"/>
      <c r="M2454" s="20">
        <v>99.0</v>
      </c>
      <c r="N2454" s="5" t="s">
        <v>67</v>
      </c>
      <c r="O2454" s="20" t="b">
        <v>0</v>
      </c>
      <c r="P2454" s="20" t="s">
        <v>68</v>
      </c>
      <c r="Q2454" s="20" t="s">
        <v>69</v>
      </c>
      <c r="R2454" s="20" t="s">
        <v>4033</v>
      </c>
      <c r="T2454" s="20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</row>
    <row r="2455">
      <c r="A2455" s="15" t="s">
        <v>9192</v>
      </c>
      <c r="B2455" s="19" t="s">
        <v>4917</v>
      </c>
      <c r="C2455" s="20">
        <v>50113.0</v>
      </c>
      <c r="D2455" s="20" t="s">
        <v>4916</v>
      </c>
      <c r="E2455" s="5">
        <v>9.19112671859E11</v>
      </c>
      <c r="F2455" s="21">
        <v>18907.0</v>
      </c>
      <c r="G2455" s="20"/>
      <c r="H2455" s="20" t="s">
        <v>4914</v>
      </c>
      <c r="I2455" s="20" t="s">
        <v>4915</v>
      </c>
      <c r="J2455" s="20">
        <v>1.0</v>
      </c>
      <c r="K2455" s="20">
        <v>499.0</v>
      </c>
      <c r="L2455" s="20"/>
      <c r="M2455" s="20">
        <v>499.0</v>
      </c>
      <c r="N2455" s="5" t="s">
        <v>67</v>
      </c>
      <c r="O2455" s="20" t="b">
        <v>0</v>
      </c>
      <c r="P2455" s="20" t="s">
        <v>68</v>
      </c>
      <c r="Q2455" s="20" t="s">
        <v>69</v>
      </c>
      <c r="R2455" s="20" t="s">
        <v>4918</v>
      </c>
      <c r="T2455" s="20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</row>
    <row r="2456">
      <c r="A2456" s="15" t="s">
        <v>9193</v>
      </c>
      <c r="B2456" s="19" t="s">
        <v>5001</v>
      </c>
      <c r="C2456" s="20">
        <v>50094.0</v>
      </c>
      <c r="D2456" s="20" t="s">
        <v>5000</v>
      </c>
      <c r="E2456" s="5">
        <v>9.19043262735E11</v>
      </c>
      <c r="F2456" s="21">
        <v>18857.0</v>
      </c>
      <c r="G2456" s="20"/>
      <c r="H2456" s="20" t="s">
        <v>4942</v>
      </c>
      <c r="I2456" s="5"/>
      <c r="J2456" s="20">
        <v>1.0</v>
      </c>
      <c r="K2456" s="20">
        <v>199.0</v>
      </c>
      <c r="L2456" s="20"/>
      <c r="M2456" s="20">
        <v>199.0</v>
      </c>
      <c r="N2456" s="5" t="s">
        <v>67</v>
      </c>
      <c r="O2456" s="20" t="b">
        <v>0</v>
      </c>
      <c r="P2456" s="20" t="s">
        <v>68</v>
      </c>
      <c r="Q2456" s="20" t="s">
        <v>69</v>
      </c>
      <c r="R2456" s="20" t="s">
        <v>4945</v>
      </c>
      <c r="T2456" s="20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</row>
    <row r="2457">
      <c r="A2457" s="15" t="s">
        <v>9195</v>
      </c>
      <c r="B2457" s="19" t="s">
        <v>4127</v>
      </c>
      <c r="C2457" s="20">
        <v>49833.0</v>
      </c>
      <c r="D2457" s="20" t="s">
        <v>4126</v>
      </c>
      <c r="E2457" s="5">
        <v>9.1630644783E11</v>
      </c>
      <c r="F2457" s="21">
        <v>18858.0</v>
      </c>
      <c r="G2457" s="20"/>
      <c r="H2457" s="20" t="s">
        <v>4030</v>
      </c>
      <c r="I2457" s="5"/>
      <c r="J2457" s="20">
        <v>1.0</v>
      </c>
      <c r="K2457" s="20">
        <v>99.0</v>
      </c>
      <c r="L2457" s="20"/>
      <c r="M2457" s="20">
        <v>99.0</v>
      </c>
      <c r="N2457" s="5" t="s">
        <v>67</v>
      </c>
      <c r="O2457" s="20" t="b">
        <v>0</v>
      </c>
      <c r="P2457" s="20" t="s">
        <v>68</v>
      </c>
      <c r="Q2457" s="20" t="s">
        <v>69</v>
      </c>
      <c r="R2457" s="20" t="s">
        <v>4033</v>
      </c>
      <c r="T2457" s="20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</row>
    <row r="2458">
      <c r="A2458" s="15" t="s">
        <v>9196</v>
      </c>
      <c r="B2458" s="19" t="s">
        <v>5876</v>
      </c>
      <c r="C2458" s="20">
        <v>50054.0</v>
      </c>
      <c r="D2458" s="20" t="s">
        <v>5875</v>
      </c>
      <c r="E2458" s="5">
        <v>9.18806440077E11</v>
      </c>
      <c r="F2458" s="21">
        <v>0.0</v>
      </c>
      <c r="G2458" s="20"/>
      <c r="H2458" s="20" t="s">
        <v>5822</v>
      </c>
      <c r="I2458" s="5"/>
      <c r="J2458" s="20">
        <v>1.0</v>
      </c>
      <c r="K2458" s="20">
        <v>99.0</v>
      </c>
      <c r="L2458" s="20"/>
      <c r="M2458" s="20">
        <v>99.0</v>
      </c>
      <c r="N2458" s="5" t="s">
        <v>67</v>
      </c>
      <c r="O2458" s="20" t="b">
        <v>0</v>
      </c>
      <c r="P2458" s="20" t="s">
        <v>68</v>
      </c>
      <c r="Q2458" s="20" t="s">
        <v>69</v>
      </c>
      <c r="R2458" s="20" t="s">
        <v>5824</v>
      </c>
      <c r="T2458" s="20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</row>
    <row r="2459">
      <c r="A2459" s="15" t="s">
        <v>9194</v>
      </c>
      <c r="B2459" s="19" t="s">
        <v>4311</v>
      </c>
      <c r="C2459" s="20">
        <v>50079.0</v>
      </c>
      <c r="D2459" s="20" t="s">
        <v>4310</v>
      </c>
      <c r="E2459" s="5">
        <v>9.19380529304E11</v>
      </c>
      <c r="F2459" s="21">
        <v>18856.0</v>
      </c>
      <c r="G2459" s="20"/>
      <c r="H2459" s="20" t="s">
        <v>4281</v>
      </c>
      <c r="I2459" s="5"/>
      <c r="J2459" s="20">
        <v>1.0</v>
      </c>
      <c r="K2459" s="20">
        <v>349.0</v>
      </c>
      <c r="L2459" s="20"/>
      <c r="M2459" s="20">
        <v>349.0</v>
      </c>
      <c r="N2459" s="5" t="s">
        <v>67</v>
      </c>
      <c r="O2459" s="20" t="b">
        <v>0</v>
      </c>
      <c r="P2459" s="20" t="s">
        <v>68</v>
      </c>
      <c r="Q2459" s="20" t="s">
        <v>69</v>
      </c>
      <c r="R2459" s="20" t="s">
        <v>4284</v>
      </c>
      <c r="T2459" s="20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</row>
    <row r="2460">
      <c r="A2460" s="15" t="s">
        <v>9197</v>
      </c>
      <c r="B2460" s="19" t="s">
        <v>4129</v>
      </c>
      <c r="C2460" s="20">
        <v>49833.0</v>
      </c>
      <c r="D2460" s="20" t="s">
        <v>4128</v>
      </c>
      <c r="E2460" s="5">
        <v>9.18688736685E11</v>
      </c>
      <c r="F2460" s="21">
        <v>18859.0</v>
      </c>
      <c r="G2460" s="20"/>
      <c r="H2460" s="20" t="s">
        <v>4030</v>
      </c>
      <c r="I2460" s="5"/>
      <c r="J2460" s="20">
        <v>1.0</v>
      </c>
      <c r="K2460" s="20">
        <v>99.0</v>
      </c>
      <c r="L2460" s="20"/>
      <c r="M2460" s="20">
        <v>99.0</v>
      </c>
      <c r="N2460" s="5" t="s">
        <v>67</v>
      </c>
      <c r="O2460" s="20" t="b">
        <v>0</v>
      </c>
      <c r="P2460" s="20" t="s">
        <v>68</v>
      </c>
      <c r="Q2460" s="20" t="s">
        <v>69</v>
      </c>
      <c r="R2460" s="20" t="s">
        <v>4033</v>
      </c>
      <c r="T2460" s="20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</row>
    <row r="2461">
      <c r="A2461" s="15" t="s">
        <v>9354</v>
      </c>
      <c r="B2461" s="19" t="s">
        <v>2652</v>
      </c>
      <c r="C2461" s="20">
        <v>50065.0</v>
      </c>
      <c r="D2461" s="20" t="s">
        <v>2651</v>
      </c>
      <c r="E2461" s="5">
        <v>9.17337534434E11</v>
      </c>
      <c r="F2461" s="21">
        <v>18921.0</v>
      </c>
      <c r="G2461" s="20"/>
      <c r="H2461" s="20" t="s">
        <v>2601</v>
      </c>
      <c r="I2461" s="5"/>
      <c r="J2461" s="20">
        <v>1.0</v>
      </c>
      <c r="K2461" s="20">
        <v>99.0</v>
      </c>
      <c r="L2461" s="20"/>
      <c r="M2461" s="20">
        <v>99.0</v>
      </c>
      <c r="N2461" s="5" t="s">
        <v>67</v>
      </c>
      <c r="O2461" s="20" t="b">
        <v>0</v>
      </c>
      <c r="P2461" s="20" t="s">
        <v>68</v>
      </c>
      <c r="Q2461" s="20" t="s">
        <v>69</v>
      </c>
      <c r="R2461" s="20" t="s">
        <v>2604</v>
      </c>
      <c r="T2461" s="20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</row>
    <row r="2462">
      <c r="A2462" s="15" t="s">
        <v>9207</v>
      </c>
      <c r="B2462" s="19" t="s">
        <v>5255</v>
      </c>
      <c r="C2462" s="20">
        <v>50022.0</v>
      </c>
      <c r="D2462" s="20" t="s">
        <v>5254</v>
      </c>
      <c r="E2462" s="5">
        <v>9.17249523287E11</v>
      </c>
      <c r="F2462" s="21">
        <v>18860.0</v>
      </c>
      <c r="G2462" s="20"/>
      <c r="H2462" s="20" t="s">
        <v>5181</v>
      </c>
      <c r="I2462" s="5"/>
      <c r="J2462" s="20">
        <v>1.0</v>
      </c>
      <c r="K2462" s="20">
        <v>99.0</v>
      </c>
      <c r="L2462" s="20"/>
      <c r="M2462" s="20">
        <v>99.0</v>
      </c>
      <c r="N2462" s="5" t="s">
        <v>67</v>
      </c>
      <c r="O2462" s="20" t="b">
        <v>0</v>
      </c>
      <c r="P2462" s="20" t="s">
        <v>68</v>
      </c>
      <c r="Q2462" s="20" t="s">
        <v>69</v>
      </c>
      <c r="R2462" s="20" t="s">
        <v>5183</v>
      </c>
      <c r="T2462" s="20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</row>
    <row r="2463">
      <c r="A2463" s="15" t="s">
        <v>9222</v>
      </c>
      <c r="B2463" s="19" t="s">
        <v>4131</v>
      </c>
      <c r="C2463" s="20">
        <v>49833.0</v>
      </c>
      <c r="D2463" s="20" t="s">
        <v>4130</v>
      </c>
      <c r="E2463" s="5">
        <v>9.18848884773E11</v>
      </c>
      <c r="F2463" s="22" t="s">
        <v>12593</v>
      </c>
      <c r="G2463" s="20"/>
      <c r="H2463" s="20" t="s">
        <v>4030</v>
      </c>
      <c r="I2463" s="5"/>
      <c r="J2463" s="20">
        <v>1.0</v>
      </c>
      <c r="K2463" s="20">
        <v>99.0</v>
      </c>
      <c r="L2463" s="20"/>
      <c r="M2463" s="20">
        <v>99.0</v>
      </c>
      <c r="N2463" s="5" t="s">
        <v>67</v>
      </c>
      <c r="O2463" s="20" t="b">
        <v>0</v>
      </c>
      <c r="P2463" s="20" t="s">
        <v>68</v>
      </c>
      <c r="Q2463" s="20" t="s">
        <v>69</v>
      </c>
      <c r="R2463" s="20" t="s">
        <v>4033</v>
      </c>
      <c r="T2463" s="20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</row>
    <row r="2464">
      <c r="A2464" s="15" t="s">
        <v>9225</v>
      </c>
      <c r="B2464" s="19" t="s">
        <v>4909</v>
      </c>
      <c r="C2464" s="20">
        <v>49951.0</v>
      </c>
      <c r="D2464" s="20" t="s">
        <v>4908</v>
      </c>
      <c r="E2464" s="5">
        <v>9.19814726323E11</v>
      </c>
      <c r="F2464" s="21">
        <v>18865.0</v>
      </c>
      <c r="G2464" s="20"/>
      <c r="H2464" s="20" t="s">
        <v>4887</v>
      </c>
      <c r="I2464" s="5"/>
      <c r="J2464" s="20">
        <v>1.0</v>
      </c>
      <c r="K2464" s="20">
        <v>99.0</v>
      </c>
      <c r="L2464" s="20"/>
      <c r="M2464" s="20">
        <v>99.0</v>
      </c>
      <c r="N2464" s="5" t="s">
        <v>67</v>
      </c>
      <c r="O2464" s="20" t="b">
        <v>0</v>
      </c>
      <c r="P2464" s="20" t="s">
        <v>68</v>
      </c>
      <c r="Q2464" s="20" t="s">
        <v>69</v>
      </c>
      <c r="R2464" s="20" t="s">
        <v>4889</v>
      </c>
      <c r="T2464" s="20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</row>
    <row r="2465">
      <c r="A2465" s="15" t="s">
        <v>9223</v>
      </c>
      <c r="B2465" s="19" t="s">
        <v>4133</v>
      </c>
      <c r="C2465" s="20">
        <v>49833.0</v>
      </c>
      <c r="D2465" s="20" t="s">
        <v>4132</v>
      </c>
      <c r="E2465" s="5">
        <v>9.19652171615E11</v>
      </c>
      <c r="F2465" s="21">
        <v>18864.0</v>
      </c>
      <c r="G2465" s="20"/>
      <c r="H2465" s="20" t="s">
        <v>4030</v>
      </c>
      <c r="I2465" s="5"/>
      <c r="J2465" s="20">
        <v>1.0</v>
      </c>
      <c r="K2465" s="20">
        <v>99.0</v>
      </c>
      <c r="L2465" s="20"/>
      <c r="M2465" s="20">
        <v>99.0</v>
      </c>
      <c r="N2465" s="5" t="s">
        <v>67</v>
      </c>
      <c r="O2465" s="20" t="b">
        <v>0</v>
      </c>
      <c r="P2465" s="20" t="s">
        <v>68</v>
      </c>
      <c r="Q2465" s="20" t="s">
        <v>69</v>
      </c>
      <c r="R2465" s="20" t="s">
        <v>4033</v>
      </c>
      <c r="T2465" s="20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</row>
    <row r="2466">
      <c r="A2466" s="15" t="s">
        <v>9224</v>
      </c>
      <c r="B2466" s="19" t="s">
        <v>3903</v>
      </c>
      <c r="C2466" s="20">
        <v>49835.0</v>
      </c>
      <c r="D2466" s="20" t="s">
        <v>3902</v>
      </c>
      <c r="E2466" s="5">
        <v>9.17892430809E11</v>
      </c>
      <c r="F2466" s="21">
        <v>18862.0</v>
      </c>
      <c r="G2466" s="20"/>
      <c r="H2466" s="20" t="s">
        <v>680</v>
      </c>
      <c r="I2466" s="5"/>
      <c r="J2466" s="20">
        <v>3.0</v>
      </c>
      <c r="K2466" s="20">
        <v>199.0</v>
      </c>
      <c r="L2466" s="20"/>
      <c r="M2466" s="20">
        <v>199.0</v>
      </c>
      <c r="N2466" s="5" t="s">
        <v>67</v>
      </c>
      <c r="O2466" s="20" t="b">
        <v>0</v>
      </c>
      <c r="P2466" s="20" t="s">
        <v>68</v>
      </c>
      <c r="Q2466" s="20" t="s">
        <v>69</v>
      </c>
      <c r="R2466" s="20" t="s">
        <v>3888</v>
      </c>
      <c r="T2466" s="20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</row>
    <row r="2467">
      <c r="A2467" s="15" t="s">
        <v>9361</v>
      </c>
      <c r="B2467" s="19" t="s">
        <v>5015</v>
      </c>
      <c r="C2467" s="20">
        <v>50094.0</v>
      </c>
      <c r="D2467" s="20" t="s">
        <v>5014</v>
      </c>
      <c r="E2467" s="5">
        <v>9.1817813112E11</v>
      </c>
      <c r="F2467" s="21">
        <v>18923.0</v>
      </c>
      <c r="G2467" s="20"/>
      <c r="H2467" s="20" t="s">
        <v>4942</v>
      </c>
      <c r="I2467" s="5"/>
      <c r="J2467" s="20">
        <v>1.0</v>
      </c>
      <c r="K2467" s="20">
        <v>199.0</v>
      </c>
      <c r="L2467" s="20"/>
      <c r="M2467" s="20">
        <v>199.0</v>
      </c>
      <c r="N2467" s="5" t="s">
        <v>67</v>
      </c>
      <c r="O2467" s="20" t="b">
        <v>0</v>
      </c>
      <c r="P2467" s="20" t="s">
        <v>68</v>
      </c>
      <c r="Q2467" s="20" t="s">
        <v>69</v>
      </c>
      <c r="R2467" s="20" t="s">
        <v>4945</v>
      </c>
      <c r="T2467" s="20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</row>
    <row r="2468">
      <c r="A2468" s="15" t="s">
        <v>9228</v>
      </c>
      <c r="B2468" s="19" t="s">
        <v>2516</v>
      </c>
      <c r="C2468" s="20">
        <v>49997.0</v>
      </c>
      <c r="D2468" s="20" t="s">
        <v>2515</v>
      </c>
      <c r="E2468" s="5">
        <v>9.19601052801E11</v>
      </c>
      <c r="F2468" s="21">
        <v>18866.0</v>
      </c>
      <c r="G2468" s="20"/>
      <c r="H2468" s="20" t="s">
        <v>2455</v>
      </c>
      <c r="I2468" s="5"/>
      <c r="J2468" s="20">
        <v>6.0</v>
      </c>
      <c r="K2468" s="20">
        <v>349.0</v>
      </c>
      <c r="L2468" s="20"/>
      <c r="M2468" s="20">
        <v>349.0</v>
      </c>
      <c r="N2468" s="5" t="s">
        <v>67</v>
      </c>
      <c r="O2468" s="20" t="b">
        <v>0</v>
      </c>
      <c r="P2468" s="20" t="s">
        <v>68</v>
      </c>
      <c r="Q2468" s="20" t="s">
        <v>69</v>
      </c>
      <c r="R2468" s="20" t="s">
        <v>2457</v>
      </c>
      <c r="T2468" s="20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</row>
    <row r="2469">
      <c r="A2469" s="15" t="s">
        <v>9231</v>
      </c>
      <c r="B2469" s="19" t="s">
        <v>4683</v>
      </c>
      <c r="C2469" s="20">
        <v>49859.0</v>
      </c>
      <c r="D2469" s="20" t="s">
        <v>4682</v>
      </c>
      <c r="E2469" s="5">
        <v>9.18390078632E11</v>
      </c>
      <c r="F2469" s="21">
        <v>18867.0</v>
      </c>
      <c r="G2469" s="20"/>
      <c r="H2469" s="20" t="s">
        <v>1133</v>
      </c>
      <c r="I2469" s="5"/>
      <c r="J2469" s="20">
        <v>1.0</v>
      </c>
      <c r="K2469" s="20">
        <v>99.0</v>
      </c>
      <c r="L2469" s="20"/>
      <c r="M2469" s="20">
        <v>99.0</v>
      </c>
      <c r="N2469" s="5" t="s">
        <v>67</v>
      </c>
      <c r="O2469" s="20" t="b">
        <v>0</v>
      </c>
      <c r="P2469" s="20" t="s">
        <v>151</v>
      </c>
      <c r="Q2469" s="20" t="s">
        <v>69</v>
      </c>
      <c r="R2469" s="20" t="s">
        <v>4620</v>
      </c>
      <c r="T2469" s="20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</row>
    <row r="2470">
      <c r="A2470" s="15" t="s">
        <v>9234</v>
      </c>
      <c r="B2470" s="19" t="s">
        <v>4135</v>
      </c>
      <c r="C2470" s="20">
        <v>49833.0</v>
      </c>
      <c r="D2470" s="20" t="s">
        <v>4134</v>
      </c>
      <c r="E2470" s="5">
        <v>9.19168017669E11</v>
      </c>
      <c r="F2470" s="21">
        <v>18890.0</v>
      </c>
      <c r="G2470" s="20"/>
      <c r="H2470" s="20" t="s">
        <v>4030</v>
      </c>
      <c r="I2470" s="5"/>
      <c r="J2470" s="20">
        <v>6.0</v>
      </c>
      <c r="K2470" s="20">
        <v>349.0</v>
      </c>
      <c r="L2470" s="20"/>
      <c r="M2470" s="20">
        <v>349.0</v>
      </c>
      <c r="N2470" s="5" t="s">
        <v>67</v>
      </c>
      <c r="O2470" s="20" t="b">
        <v>0</v>
      </c>
      <c r="P2470" s="20" t="s">
        <v>68</v>
      </c>
      <c r="Q2470" s="20" t="s">
        <v>69</v>
      </c>
      <c r="R2470" s="20" t="s">
        <v>4033</v>
      </c>
      <c r="T2470" s="20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</row>
    <row r="2471">
      <c r="A2471" s="15" t="s">
        <v>9365</v>
      </c>
      <c r="B2471" s="19" t="s">
        <v>3047</v>
      </c>
      <c r="C2471" s="20">
        <v>50020.0</v>
      </c>
      <c r="D2471" s="20" t="s">
        <v>3046</v>
      </c>
      <c r="E2471" s="5">
        <v>9.19840946836E11</v>
      </c>
      <c r="F2471" s="21">
        <v>18925.0</v>
      </c>
      <c r="G2471" s="20"/>
      <c r="H2471" s="20" t="s">
        <v>3008</v>
      </c>
      <c r="I2471" s="5"/>
      <c r="J2471" s="20">
        <v>1.0</v>
      </c>
      <c r="K2471" s="20">
        <v>99.0</v>
      </c>
      <c r="L2471" s="20"/>
      <c r="M2471" s="20">
        <v>99.0</v>
      </c>
      <c r="N2471" s="5" t="s">
        <v>67</v>
      </c>
      <c r="O2471" s="20" t="b">
        <v>0</v>
      </c>
      <c r="P2471" s="20" t="s">
        <v>68</v>
      </c>
      <c r="Q2471" s="20" t="s">
        <v>69</v>
      </c>
      <c r="R2471" s="20" t="s">
        <v>3010</v>
      </c>
      <c r="T2471" s="20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</row>
    <row r="2472">
      <c r="A2472" s="15" t="s">
        <v>9366</v>
      </c>
      <c r="B2472" s="19" t="s">
        <v>3297</v>
      </c>
      <c r="C2472" s="20">
        <v>49834.0</v>
      </c>
      <c r="D2472" s="20" t="s">
        <v>2417</v>
      </c>
      <c r="E2472" s="20">
        <v>9.19011963185E11</v>
      </c>
      <c r="F2472" s="21">
        <v>17447.0</v>
      </c>
      <c r="G2472" s="20"/>
      <c r="H2472" s="20" t="s">
        <v>960</v>
      </c>
      <c r="I2472" s="20"/>
      <c r="J2472" s="20">
        <v>1.0</v>
      </c>
      <c r="K2472" s="20">
        <v>99.0</v>
      </c>
      <c r="L2472" s="20"/>
      <c r="M2472" s="20">
        <v>99.0</v>
      </c>
      <c r="N2472" s="5" t="s">
        <v>67</v>
      </c>
      <c r="O2472" s="20" t="b">
        <v>0</v>
      </c>
      <c r="P2472" s="20" t="s">
        <v>68</v>
      </c>
      <c r="Q2472" s="20" t="s">
        <v>69</v>
      </c>
      <c r="R2472" s="20" t="s">
        <v>3298</v>
      </c>
      <c r="T2472" s="20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</row>
    <row r="2473">
      <c r="A2473" s="14" t="s">
        <v>12290</v>
      </c>
      <c r="B2473" s="19" t="s">
        <v>3685</v>
      </c>
      <c r="C2473" s="20">
        <v>50136.0</v>
      </c>
      <c r="D2473" s="20" t="s">
        <v>374</v>
      </c>
      <c r="E2473" s="5">
        <v>9.18454085091E11</v>
      </c>
      <c r="F2473" s="21">
        <v>17406.0</v>
      </c>
      <c r="G2473" s="20"/>
      <c r="H2473" s="20" t="s">
        <v>3618</v>
      </c>
      <c r="I2473" s="5"/>
      <c r="J2473" s="20">
        <v>1.0</v>
      </c>
      <c r="K2473" s="20">
        <v>99.0</v>
      </c>
      <c r="L2473" s="20"/>
      <c r="M2473" s="20">
        <v>99.0</v>
      </c>
      <c r="N2473" s="5" t="s">
        <v>67</v>
      </c>
      <c r="O2473" s="20" t="b">
        <v>0</v>
      </c>
      <c r="P2473" s="20" t="s">
        <v>68</v>
      </c>
      <c r="Q2473" s="20" t="s">
        <v>69</v>
      </c>
      <c r="R2473" s="20" t="s">
        <v>3621</v>
      </c>
      <c r="T2473" s="20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</row>
    <row r="2474">
      <c r="A2474" s="14" t="s">
        <v>9238</v>
      </c>
      <c r="B2474" s="19" t="s">
        <v>3904</v>
      </c>
      <c r="C2474" s="20">
        <v>49835.0</v>
      </c>
      <c r="D2474" s="20" t="s">
        <v>374</v>
      </c>
      <c r="E2474" s="5">
        <v>9.18454085091E11</v>
      </c>
      <c r="F2474" s="21">
        <v>17406.0</v>
      </c>
      <c r="G2474" s="20"/>
      <c r="H2474" s="20" t="s">
        <v>680</v>
      </c>
      <c r="I2474" s="5"/>
      <c r="J2474" s="20">
        <v>1.0</v>
      </c>
      <c r="K2474" s="20">
        <v>99.0</v>
      </c>
      <c r="L2474" s="20"/>
      <c r="M2474" s="20">
        <v>99.0</v>
      </c>
      <c r="N2474" s="5" t="s">
        <v>67</v>
      </c>
      <c r="O2474" s="20" t="b">
        <v>0</v>
      </c>
      <c r="P2474" s="20" t="s">
        <v>68</v>
      </c>
      <c r="Q2474" s="20" t="s">
        <v>69</v>
      </c>
      <c r="R2474" s="20" t="s">
        <v>3888</v>
      </c>
      <c r="T2474" s="20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</row>
    <row r="2475">
      <c r="A2475" s="14" t="s">
        <v>12567</v>
      </c>
      <c r="B2475" s="19" t="s">
        <v>3977</v>
      </c>
      <c r="C2475" s="20">
        <v>49835.0</v>
      </c>
      <c r="D2475" s="20" t="s">
        <v>374</v>
      </c>
      <c r="E2475" s="5">
        <v>9.18454085091E11</v>
      </c>
      <c r="F2475" s="21">
        <v>17406.0</v>
      </c>
      <c r="G2475" s="20"/>
      <c r="H2475" s="20" t="s">
        <v>680</v>
      </c>
      <c r="I2475" s="5"/>
      <c r="J2475" s="20">
        <v>3.0</v>
      </c>
      <c r="K2475" s="20">
        <v>199.0</v>
      </c>
      <c r="L2475" s="20"/>
      <c r="M2475" s="20">
        <v>199.0</v>
      </c>
      <c r="N2475" s="5" t="s">
        <v>67</v>
      </c>
      <c r="O2475" s="20" t="b">
        <v>0</v>
      </c>
      <c r="P2475" s="20" t="s">
        <v>68</v>
      </c>
      <c r="Q2475" s="20" t="s">
        <v>69</v>
      </c>
      <c r="R2475" s="20" t="s">
        <v>3888</v>
      </c>
      <c r="T2475" s="20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</row>
    <row r="2476">
      <c r="A2476" s="15" t="s">
        <v>9237</v>
      </c>
      <c r="B2476" s="19" t="s">
        <v>5003</v>
      </c>
      <c r="C2476" s="20">
        <v>50094.0</v>
      </c>
      <c r="D2476" s="20" t="s">
        <v>5002</v>
      </c>
      <c r="E2476" s="5">
        <v>9.19365289731E11</v>
      </c>
      <c r="F2476" s="21">
        <v>18868.0</v>
      </c>
      <c r="G2476" s="20"/>
      <c r="H2476" s="20" t="s">
        <v>4942</v>
      </c>
      <c r="I2476" s="5"/>
      <c r="J2476" s="20">
        <v>1.0</v>
      </c>
      <c r="K2476" s="20">
        <v>199.0</v>
      </c>
      <c r="L2476" s="20"/>
      <c r="M2476" s="20">
        <v>199.0</v>
      </c>
      <c r="N2476" s="5" t="s">
        <v>67</v>
      </c>
      <c r="O2476" s="20" t="b">
        <v>0</v>
      </c>
      <c r="P2476" s="20" t="s">
        <v>68</v>
      </c>
      <c r="Q2476" s="20" t="s">
        <v>69</v>
      </c>
      <c r="R2476" s="20" t="s">
        <v>4945</v>
      </c>
      <c r="T2476" s="20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</row>
    <row r="2477">
      <c r="A2477" s="15" t="s">
        <v>9367</v>
      </c>
      <c r="B2477" s="19" t="s">
        <v>6597</v>
      </c>
      <c r="C2477" s="20">
        <v>49958.0</v>
      </c>
      <c r="D2477" s="20" t="s">
        <v>6596</v>
      </c>
      <c r="E2477" s="5">
        <v>9.19707050507E11</v>
      </c>
      <c r="F2477" s="21">
        <v>18926.0</v>
      </c>
      <c r="G2477" s="20"/>
      <c r="H2477" s="20" t="s">
        <v>6595</v>
      </c>
      <c r="I2477" s="5"/>
      <c r="J2477" s="20">
        <v>3.0</v>
      </c>
      <c r="K2477" s="20">
        <v>199.0</v>
      </c>
      <c r="L2477" s="20"/>
      <c r="M2477" s="20">
        <v>199.0</v>
      </c>
      <c r="N2477" s="5" t="s">
        <v>67</v>
      </c>
      <c r="O2477" s="20" t="b">
        <v>0</v>
      </c>
      <c r="P2477" s="20" t="s">
        <v>68</v>
      </c>
      <c r="Q2477" s="20" t="s">
        <v>69</v>
      </c>
      <c r="R2477" s="20" t="s">
        <v>6591</v>
      </c>
      <c r="T2477" s="20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</row>
    <row r="2478">
      <c r="A2478" s="15" t="s">
        <v>9369</v>
      </c>
      <c r="B2478" s="19" t="s">
        <v>5882</v>
      </c>
      <c r="C2478" s="20">
        <v>50054.0</v>
      </c>
      <c r="D2478" s="20" t="s">
        <v>5881</v>
      </c>
      <c r="E2478" s="5">
        <v>9.17722931052E11</v>
      </c>
      <c r="F2478" s="21">
        <v>18927.0</v>
      </c>
      <c r="G2478" s="20"/>
      <c r="H2478" s="20" t="s">
        <v>5822</v>
      </c>
      <c r="I2478" s="5"/>
      <c r="J2478" s="20">
        <v>3.0</v>
      </c>
      <c r="K2478" s="20">
        <v>199.0</v>
      </c>
      <c r="L2478" s="20"/>
      <c r="M2478" s="20">
        <v>199.0</v>
      </c>
      <c r="N2478" s="5" t="s">
        <v>67</v>
      </c>
      <c r="O2478" s="20" t="b">
        <v>0</v>
      </c>
      <c r="P2478" s="20" t="s">
        <v>68</v>
      </c>
      <c r="Q2478" s="20" t="s">
        <v>69</v>
      </c>
      <c r="R2478" s="20" t="s">
        <v>5824</v>
      </c>
      <c r="T2478" s="20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</row>
    <row r="2479">
      <c r="A2479" s="15" t="s">
        <v>9370</v>
      </c>
      <c r="B2479" s="19" t="s">
        <v>4691</v>
      </c>
      <c r="C2479" s="20">
        <v>49859.0</v>
      </c>
      <c r="D2479" s="20" t="s">
        <v>4690</v>
      </c>
      <c r="E2479" s="5">
        <v>9.19999178204E11</v>
      </c>
      <c r="F2479" s="21">
        <v>0.0</v>
      </c>
      <c r="G2479" s="20"/>
      <c r="H2479" s="20" t="s">
        <v>1133</v>
      </c>
      <c r="I2479" s="5"/>
      <c r="J2479" s="20">
        <v>1.0</v>
      </c>
      <c r="K2479" s="20">
        <v>99.0</v>
      </c>
      <c r="L2479" s="20"/>
      <c r="M2479" s="20">
        <v>99.0</v>
      </c>
      <c r="N2479" s="5" t="s">
        <v>67</v>
      </c>
      <c r="O2479" s="20" t="b">
        <v>0</v>
      </c>
      <c r="P2479" s="20" t="s">
        <v>68</v>
      </c>
      <c r="Q2479" s="20" t="s">
        <v>69</v>
      </c>
      <c r="R2479" s="20" t="s">
        <v>4620</v>
      </c>
      <c r="T2479" s="20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</row>
    <row r="2480">
      <c r="A2480" s="15" t="s">
        <v>9374</v>
      </c>
      <c r="B2480" s="19" t="s">
        <v>2656</v>
      </c>
      <c r="C2480" s="20">
        <v>50065.0</v>
      </c>
      <c r="D2480" s="20" t="s">
        <v>2655</v>
      </c>
      <c r="E2480" s="5">
        <v>9.19131183256E11</v>
      </c>
      <c r="F2480" s="21">
        <v>18938.0</v>
      </c>
      <c r="G2480" s="20"/>
      <c r="H2480" s="20" t="s">
        <v>2601</v>
      </c>
      <c r="I2480" s="5"/>
      <c r="J2480" s="20">
        <v>1.0</v>
      </c>
      <c r="K2480" s="20">
        <v>99.0</v>
      </c>
      <c r="L2480" s="20"/>
      <c r="M2480" s="20">
        <v>99.0</v>
      </c>
      <c r="N2480" s="5" t="s">
        <v>67</v>
      </c>
      <c r="O2480" s="20" t="b">
        <v>0</v>
      </c>
      <c r="P2480" s="20" t="s">
        <v>68</v>
      </c>
      <c r="Q2480" s="20" t="s">
        <v>69</v>
      </c>
      <c r="R2480" s="20" t="s">
        <v>2604</v>
      </c>
      <c r="T2480" s="20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</row>
    <row r="2481">
      <c r="A2481" s="15" t="s">
        <v>9371</v>
      </c>
      <c r="B2481" s="19" t="s">
        <v>2654</v>
      </c>
      <c r="C2481" s="20">
        <v>50065.0</v>
      </c>
      <c r="D2481" s="20" t="s">
        <v>2653</v>
      </c>
      <c r="E2481" s="5">
        <v>9.19894317341E11</v>
      </c>
      <c r="F2481" s="21">
        <v>18929.0</v>
      </c>
      <c r="G2481" s="20"/>
      <c r="H2481" s="20" t="s">
        <v>2601</v>
      </c>
      <c r="I2481" s="5"/>
      <c r="J2481" s="20">
        <v>1.0</v>
      </c>
      <c r="K2481" s="20">
        <v>99.0</v>
      </c>
      <c r="L2481" s="20"/>
      <c r="M2481" s="20">
        <v>99.0</v>
      </c>
      <c r="N2481" s="5" t="s">
        <v>67</v>
      </c>
      <c r="O2481" s="20" t="b">
        <v>0</v>
      </c>
      <c r="P2481" s="20" t="s">
        <v>68</v>
      </c>
      <c r="Q2481" s="20" t="s">
        <v>69</v>
      </c>
      <c r="R2481" s="20" t="s">
        <v>2604</v>
      </c>
      <c r="T2481" s="20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</row>
    <row r="2482">
      <c r="A2482" s="15" t="s">
        <v>9372</v>
      </c>
      <c r="B2482" s="19" t="s">
        <v>6100</v>
      </c>
      <c r="C2482" s="20">
        <v>50076.0</v>
      </c>
      <c r="D2482" s="20" t="s">
        <v>6099</v>
      </c>
      <c r="E2482" s="5">
        <v>9.19739100777E11</v>
      </c>
      <c r="F2482" s="21">
        <v>18930.0</v>
      </c>
      <c r="G2482" s="20"/>
      <c r="H2482" s="20" t="s">
        <v>5984</v>
      </c>
      <c r="I2482" s="5"/>
      <c r="J2482" s="20">
        <v>1.0</v>
      </c>
      <c r="K2482" s="20">
        <v>199.0</v>
      </c>
      <c r="L2482" s="20"/>
      <c r="M2482" s="20">
        <v>199.0</v>
      </c>
      <c r="N2482" s="5" t="s">
        <v>67</v>
      </c>
      <c r="O2482" s="20" t="b">
        <v>0</v>
      </c>
      <c r="P2482" s="20" t="s">
        <v>68</v>
      </c>
      <c r="Q2482" s="20" t="s">
        <v>69</v>
      </c>
      <c r="R2482" s="20" t="s">
        <v>5987</v>
      </c>
      <c r="T2482" s="20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</row>
    <row r="2483">
      <c r="A2483" s="15" t="s">
        <v>9377</v>
      </c>
      <c r="B2483" s="19" t="s">
        <v>4150</v>
      </c>
      <c r="C2483" s="20">
        <v>49833.0</v>
      </c>
      <c r="D2483" s="20" t="s">
        <v>4149</v>
      </c>
      <c r="E2483" s="5">
        <v>9.1865119181E11</v>
      </c>
      <c r="F2483" s="21">
        <v>18932.0</v>
      </c>
      <c r="G2483" s="20"/>
      <c r="H2483" s="20" t="s">
        <v>4030</v>
      </c>
      <c r="I2483" s="5"/>
      <c r="J2483" s="20">
        <v>6.0</v>
      </c>
      <c r="K2483" s="20">
        <v>349.0</v>
      </c>
      <c r="L2483" s="20"/>
      <c r="M2483" s="20">
        <v>349.0</v>
      </c>
      <c r="N2483" s="5" t="s">
        <v>67</v>
      </c>
      <c r="O2483" s="20" t="b">
        <v>0</v>
      </c>
      <c r="P2483" s="20" t="s">
        <v>68</v>
      </c>
      <c r="Q2483" s="20" t="s">
        <v>69</v>
      </c>
      <c r="R2483" s="20" t="s">
        <v>4033</v>
      </c>
      <c r="T2483" s="20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</row>
    <row r="2484">
      <c r="A2484" s="15" t="s">
        <v>9378</v>
      </c>
      <c r="B2484" s="19" t="s">
        <v>6627</v>
      </c>
      <c r="C2484" s="20">
        <v>49994.0</v>
      </c>
      <c r="D2484" s="20" t="s">
        <v>6626</v>
      </c>
      <c r="E2484" s="5">
        <v>9.17016536744E11</v>
      </c>
      <c r="F2484" s="21">
        <v>18933.0</v>
      </c>
      <c r="G2484" s="20"/>
      <c r="H2484" s="20" t="s">
        <v>1264</v>
      </c>
      <c r="I2484" s="5"/>
      <c r="J2484" s="20">
        <v>1.0</v>
      </c>
      <c r="K2484" s="20">
        <v>99.0</v>
      </c>
      <c r="L2484" s="20"/>
      <c r="M2484" s="20">
        <v>99.0</v>
      </c>
      <c r="N2484" s="5" t="s">
        <v>67</v>
      </c>
      <c r="O2484" s="20" t="b">
        <v>0</v>
      </c>
      <c r="P2484" s="20" t="s">
        <v>68</v>
      </c>
      <c r="Q2484" s="20" t="s">
        <v>69</v>
      </c>
      <c r="R2484" s="20" t="s">
        <v>6615</v>
      </c>
      <c r="T2484" s="20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</row>
    <row r="2485">
      <c r="A2485" s="15" t="s">
        <v>9379</v>
      </c>
      <c r="B2485" s="19" t="s">
        <v>6102</v>
      </c>
      <c r="C2485" s="20">
        <v>50076.0</v>
      </c>
      <c r="D2485" s="20" t="s">
        <v>6101</v>
      </c>
      <c r="E2485" s="5">
        <v>9.17338704181E11</v>
      </c>
      <c r="F2485" s="21">
        <v>18935.0</v>
      </c>
      <c r="G2485" s="20"/>
      <c r="H2485" s="20" t="s">
        <v>5984</v>
      </c>
      <c r="I2485" s="5"/>
      <c r="J2485" s="20">
        <v>3.0</v>
      </c>
      <c r="K2485" s="20">
        <v>349.0</v>
      </c>
      <c r="L2485" s="20"/>
      <c r="M2485" s="20">
        <v>349.0</v>
      </c>
      <c r="N2485" s="5" t="s">
        <v>67</v>
      </c>
      <c r="O2485" s="20" t="b">
        <v>0</v>
      </c>
      <c r="P2485" s="20" t="s">
        <v>68</v>
      </c>
      <c r="Q2485" s="20" t="s">
        <v>69</v>
      </c>
      <c r="R2485" s="20" t="s">
        <v>5987</v>
      </c>
      <c r="T2485" s="20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</row>
    <row r="2486">
      <c r="A2486" s="15" t="s">
        <v>9373</v>
      </c>
      <c r="B2486" s="19" t="s">
        <v>5017</v>
      </c>
      <c r="C2486" s="20">
        <v>50094.0</v>
      </c>
      <c r="D2486" s="20" t="s">
        <v>5016</v>
      </c>
      <c r="E2486" s="5">
        <v>9.17005679892E11</v>
      </c>
      <c r="F2486" s="21">
        <v>18931.0</v>
      </c>
      <c r="G2486" s="20"/>
      <c r="H2486" s="20" t="s">
        <v>4942</v>
      </c>
      <c r="I2486" s="5"/>
      <c r="J2486" s="20">
        <v>1.0</v>
      </c>
      <c r="K2486" s="20">
        <v>199.0</v>
      </c>
      <c r="L2486" s="20"/>
      <c r="M2486" s="20">
        <v>199.0</v>
      </c>
      <c r="N2486" s="5" t="s">
        <v>67</v>
      </c>
      <c r="O2486" s="20" t="b">
        <v>0</v>
      </c>
      <c r="P2486" s="20" t="s">
        <v>68</v>
      </c>
      <c r="Q2486" s="20" t="s">
        <v>69</v>
      </c>
      <c r="R2486" s="20" t="s">
        <v>4945</v>
      </c>
      <c r="T2486" s="20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</row>
    <row r="2487">
      <c r="A2487" s="15" t="s">
        <v>9385</v>
      </c>
      <c r="B2487" s="19" t="s">
        <v>3445</v>
      </c>
      <c r="C2487" s="20">
        <v>50030.0</v>
      </c>
      <c r="D2487" s="20" t="s">
        <v>3444</v>
      </c>
      <c r="E2487" s="5">
        <v>9.1908808458E11</v>
      </c>
      <c r="F2487" s="21">
        <v>18940.0</v>
      </c>
      <c r="G2487" s="20"/>
      <c r="H2487" s="20" t="s">
        <v>3326</v>
      </c>
      <c r="I2487" s="5"/>
      <c r="J2487" s="20">
        <v>1.0</v>
      </c>
      <c r="K2487" s="20">
        <v>99.0</v>
      </c>
      <c r="L2487" s="20"/>
      <c r="M2487" s="20">
        <v>99.0</v>
      </c>
      <c r="N2487" s="5" t="s">
        <v>67</v>
      </c>
      <c r="O2487" s="20" t="b">
        <v>0</v>
      </c>
      <c r="P2487" s="20" t="s">
        <v>68</v>
      </c>
      <c r="Q2487" s="20" t="s">
        <v>69</v>
      </c>
      <c r="R2487" s="20" t="s">
        <v>3328</v>
      </c>
      <c r="T2487" s="20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</row>
    <row r="2488">
      <c r="A2488" s="15" t="s">
        <v>9380</v>
      </c>
      <c r="B2488" s="19" t="s">
        <v>6343</v>
      </c>
      <c r="C2488" s="20">
        <v>50044.0</v>
      </c>
      <c r="D2488" s="20" t="s">
        <v>6342</v>
      </c>
      <c r="E2488" s="5">
        <v>9.18887687539E11</v>
      </c>
      <c r="F2488" s="21">
        <v>18936.0</v>
      </c>
      <c r="G2488" s="20"/>
      <c r="H2488" s="20" t="s">
        <v>6320</v>
      </c>
      <c r="I2488" s="5"/>
      <c r="J2488" s="20">
        <v>1.0</v>
      </c>
      <c r="K2488" s="20">
        <v>349.0</v>
      </c>
      <c r="L2488" s="20"/>
      <c r="M2488" s="20">
        <v>349.0</v>
      </c>
      <c r="N2488" s="5" t="s">
        <v>67</v>
      </c>
      <c r="O2488" s="20" t="b">
        <v>0</v>
      </c>
      <c r="P2488" s="20" t="s">
        <v>68</v>
      </c>
      <c r="Q2488" s="20" t="s">
        <v>69</v>
      </c>
      <c r="R2488" s="20" t="s">
        <v>6322</v>
      </c>
      <c r="T2488" s="20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</row>
    <row r="2489">
      <c r="A2489" s="15" t="s">
        <v>9390</v>
      </c>
      <c r="B2489" s="19" t="s">
        <v>4921</v>
      </c>
      <c r="C2489" s="20">
        <v>50113.0</v>
      </c>
      <c r="D2489" s="20" t="s">
        <v>4920</v>
      </c>
      <c r="E2489" s="5">
        <v>9.19022833093E11</v>
      </c>
      <c r="F2489" s="21">
        <v>18975.0</v>
      </c>
      <c r="G2489" s="20"/>
      <c r="H2489" s="20" t="s">
        <v>4914</v>
      </c>
      <c r="I2489" s="20" t="s">
        <v>4919</v>
      </c>
      <c r="J2489" s="20">
        <v>1.0</v>
      </c>
      <c r="K2489" s="20">
        <v>199.0</v>
      </c>
      <c r="L2489" s="20"/>
      <c r="M2489" s="20">
        <v>199.0</v>
      </c>
      <c r="N2489" s="5" t="s">
        <v>67</v>
      </c>
      <c r="O2489" s="20" t="b">
        <v>0</v>
      </c>
      <c r="P2489" s="20" t="s">
        <v>68</v>
      </c>
      <c r="Q2489" s="20" t="s">
        <v>69</v>
      </c>
      <c r="R2489" s="20" t="s">
        <v>4918</v>
      </c>
      <c r="T2489" s="20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</row>
    <row r="2490">
      <c r="A2490" s="15" t="s">
        <v>9389</v>
      </c>
      <c r="B2490" s="19" t="s">
        <v>3447</v>
      </c>
      <c r="C2490" s="20">
        <v>50030.0</v>
      </c>
      <c r="D2490" s="20" t="s">
        <v>3446</v>
      </c>
      <c r="E2490" s="5">
        <v>9.17347377674E11</v>
      </c>
      <c r="F2490" s="21">
        <v>18941.0</v>
      </c>
      <c r="G2490" s="20"/>
      <c r="H2490" s="20" t="s">
        <v>3326</v>
      </c>
      <c r="I2490" s="5"/>
      <c r="J2490" s="20">
        <v>1.0</v>
      </c>
      <c r="K2490" s="20">
        <v>99.0</v>
      </c>
      <c r="L2490" s="20"/>
      <c r="M2490" s="20">
        <v>99.0</v>
      </c>
      <c r="N2490" s="5" t="s">
        <v>67</v>
      </c>
      <c r="O2490" s="20" t="b">
        <v>0</v>
      </c>
      <c r="P2490" s="20" t="s">
        <v>74</v>
      </c>
      <c r="Q2490" s="20" t="s">
        <v>69</v>
      </c>
      <c r="R2490" s="20" t="s">
        <v>3328</v>
      </c>
      <c r="T2490" s="20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</row>
    <row r="2491">
      <c r="A2491" s="15" t="s">
        <v>9391</v>
      </c>
      <c r="B2491" s="19" t="s">
        <v>4923</v>
      </c>
      <c r="C2491" s="20">
        <v>50113.0</v>
      </c>
      <c r="D2491" s="20" t="s">
        <v>4922</v>
      </c>
      <c r="E2491" s="5">
        <v>9.19594404632E11</v>
      </c>
      <c r="F2491" s="21">
        <v>18942.0</v>
      </c>
      <c r="G2491" s="20"/>
      <c r="H2491" s="20" t="s">
        <v>4914</v>
      </c>
      <c r="I2491" s="20" t="s">
        <v>4919</v>
      </c>
      <c r="J2491" s="20">
        <v>1.0</v>
      </c>
      <c r="K2491" s="20">
        <v>199.0</v>
      </c>
      <c r="L2491" s="20"/>
      <c r="M2491" s="20">
        <v>199.0</v>
      </c>
      <c r="N2491" s="5" t="s">
        <v>67</v>
      </c>
      <c r="O2491" s="20" t="b">
        <v>0</v>
      </c>
      <c r="P2491" s="20" t="s">
        <v>68</v>
      </c>
      <c r="Q2491" s="20" t="s">
        <v>69</v>
      </c>
      <c r="R2491" s="20" t="s">
        <v>4918</v>
      </c>
      <c r="T2491" s="20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</row>
    <row r="2492">
      <c r="A2492" s="15" t="s">
        <v>9393</v>
      </c>
      <c r="B2492" s="19" t="s">
        <v>4925</v>
      </c>
      <c r="C2492" s="20">
        <v>50113.0</v>
      </c>
      <c r="D2492" s="20" t="s">
        <v>4924</v>
      </c>
      <c r="E2492" s="5">
        <v>9.19920492649E11</v>
      </c>
      <c r="F2492" s="21">
        <v>18944.0</v>
      </c>
      <c r="G2492" s="20"/>
      <c r="H2492" s="20" t="s">
        <v>4914</v>
      </c>
      <c r="I2492" s="20" t="s">
        <v>4919</v>
      </c>
      <c r="J2492" s="20">
        <v>1.0</v>
      </c>
      <c r="K2492" s="20">
        <v>199.0</v>
      </c>
      <c r="L2492" s="20"/>
      <c r="M2492" s="20">
        <v>199.0</v>
      </c>
      <c r="N2492" s="5" t="s">
        <v>67</v>
      </c>
      <c r="O2492" s="20" t="b">
        <v>0</v>
      </c>
      <c r="P2492" s="20" t="s">
        <v>68</v>
      </c>
      <c r="Q2492" s="20" t="s">
        <v>69</v>
      </c>
      <c r="R2492" s="20" t="s">
        <v>4918</v>
      </c>
      <c r="T2492" s="20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</row>
    <row r="2493">
      <c r="A2493" s="15" t="s">
        <v>9396</v>
      </c>
      <c r="B2493" s="19" t="s">
        <v>6242</v>
      </c>
      <c r="C2493" s="20">
        <v>50046.0</v>
      </c>
      <c r="D2493" s="20" t="s">
        <v>6241</v>
      </c>
      <c r="E2493" s="5">
        <v>9.18374457957E11</v>
      </c>
      <c r="F2493" s="21">
        <v>18943.0</v>
      </c>
      <c r="G2493" s="20"/>
      <c r="H2493" s="20" t="s">
        <v>6217</v>
      </c>
      <c r="I2493" s="5"/>
      <c r="J2493" s="20">
        <v>1.0</v>
      </c>
      <c r="K2493" s="20">
        <v>99.0</v>
      </c>
      <c r="L2493" s="20"/>
      <c r="M2493" s="20">
        <v>99.0</v>
      </c>
      <c r="N2493" s="5" t="s">
        <v>67</v>
      </c>
      <c r="O2493" s="20" t="b">
        <v>0</v>
      </c>
      <c r="P2493" s="20" t="s">
        <v>68</v>
      </c>
      <c r="Q2493" s="20" t="s">
        <v>69</v>
      </c>
      <c r="R2493" s="20" t="s">
        <v>6219</v>
      </c>
      <c r="T2493" s="20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</row>
    <row r="2494">
      <c r="A2494" s="15" t="s">
        <v>9399</v>
      </c>
      <c r="B2494" s="19" t="s">
        <v>2518</v>
      </c>
      <c r="C2494" s="20">
        <v>49997.0</v>
      </c>
      <c r="D2494" s="20" t="s">
        <v>2517</v>
      </c>
      <c r="E2494" s="5">
        <v>9.1971371809E11</v>
      </c>
      <c r="F2494" s="21">
        <v>18946.0</v>
      </c>
      <c r="G2494" s="20"/>
      <c r="H2494" s="20" t="s">
        <v>2455</v>
      </c>
      <c r="I2494" s="5"/>
      <c r="J2494" s="20">
        <v>3.0</v>
      </c>
      <c r="K2494" s="20">
        <v>199.0</v>
      </c>
      <c r="L2494" s="20"/>
      <c r="M2494" s="20">
        <v>199.0</v>
      </c>
      <c r="N2494" s="5" t="s">
        <v>67</v>
      </c>
      <c r="O2494" s="20" t="b">
        <v>0</v>
      </c>
      <c r="P2494" s="20" t="s">
        <v>74</v>
      </c>
      <c r="Q2494" s="20" t="s">
        <v>69</v>
      </c>
      <c r="R2494" s="20" t="s">
        <v>2457</v>
      </c>
      <c r="T2494" s="20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</row>
    <row r="2495">
      <c r="A2495" s="15" t="s">
        <v>9397</v>
      </c>
      <c r="B2495" s="19" t="s">
        <v>2853</v>
      </c>
      <c r="C2495" s="20">
        <v>50029.0</v>
      </c>
      <c r="D2495" s="20" t="s">
        <v>2852</v>
      </c>
      <c r="E2495" s="5">
        <v>9.17498031008E11</v>
      </c>
      <c r="F2495" s="21">
        <v>18945.0</v>
      </c>
      <c r="G2495" s="20"/>
      <c r="H2495" s="20" t="s">
        <v>2761</v>
      </c>
      <c r="I2495" s="5"/>
      <c r="J2495" s="20">
        <v>1.0</v>
      </c>
      <c r="K2495" s="20">
        <v>99.0</v>
      </c>
      <c r="L2495" s="20"/>
      <c r="M2495" s="20">
        <v>99.0</v>
      </c>
      <c r="N2495" s="5" t="s">
        <v>67</v>
      </c>
      <c r="O2495" s="20" t="b">
        <v>0</v>
      </c>
      <c r="P2495" s="20" t="s">
        <v>68</v>
      </c>
      <c r="Q2495" s="20" t="s">
        <v>69</v>
      </c>
      <c r="R2495" s="20" t="s">
        <v>2763</v>
      </c>
      <c r="T2495" s="20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</row>
    <row r="2496">
      <c r="A2496" s="15" t="s">
        <v>9398</v>
      </c>
      <c r="B2496" s="19" t="s">
        <v>5970</v>
      </c>
      <c r="C2496" s="20">
        <v>50041.0</v>
      </c>
      <c r="D2496" s="20" t="s">
        <v>2020</v>
      </c>
      <c r="E2496" s="5">
        <v>9.19820274748E11</v>
      </c>
      <c r="F2496" s="21">
        <v>17468.0</v>
      </c>
      <c r="G2496" s="20"/>
      <c r="H2496" s="20" t="s">
        <v>5956</v>
      </c>
      <c r="I2496" s="5"/>
      <c r="J2496" s="20">
        <v>3.0</v>
      </c>
      <c r="K2496" s="20">
        <v>399.0</v>
      </c>
      <c r="L2496" s="20"/>
      <c r="M2496" s="20">
        <v>399.0</v>
      </c>
      <c r="N2496" s="5" t="s">
        <v>67</v>
      </c>
      <c r="O2496" s="20" t="b">
        <v>0</v>
      </c>
      <c r="P2496" s="20" t="s">
        <v>68</v>
      </c>
      <c r="Q2496" s="20" t="s">
        <v>69</v>
      </c>
      <c r="R2496" s="20" t="s">
        <v>5958</v>
      </c>
      <c r="T2496" s="20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</row>
    <row r="2497">
      <c r="A2497" s="15" t="s">
        <v>9403</v>
      </c>
      <c r="B2497" s="19" t="s">
        <v>5019</v>
      </c>
      <c r="C2497" s="20">
        <v>50094.0</v>
      </c>
      <c r="D2497" s="20" t="s">
        <v>5018</v>
      </c>
      <c r="E2497" s="5">
        <v>9.1934577607E11</v>
      </c>
      <c r="F2497" s="21">
        <v>18952.0</v>
      </c>
      <c r="G2497" s="20"/>
      <c r="H2497" s="20" t="s">
        <v>4942</v>
      </c>
      <c r="I2497" s="5"/>
      <c r="J2497" s="20">
        <v>1.0</v>
      </c>
      <c r="K2497" s="20">
        <v>199.0</v>
      </c>
      <c r="L2497" s="20"/>
      <c r="M2497" s="20">
        <v>199.0</v>
      </c>
      <c r="N2497" s="5" t="s">
        <v>67</v>
      </c>
      <c r="O2497" s="20" t="b">
        <v>0</v>
      </c>
      <c r="P2497" s="20" t="s">
        <v>74</v>
      </c>
      <c r="Q2497" s="20" t="s">
        <v>69</v>
      </c>
      <c r="R2497" s="20" t="s">
        <v>4945</v>
      </c>
      <c r="T2497" s="20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</row>
    <row r="2498">
      <c r="A2498" s="15" t="s">
        <v>9404</v>
      </c>
      <c r="B2498" s="19" t="s">
        <v>3243</v>
      </c>
      <c r="C2498" s="20">
        <v>50047.0</v>
      </c>
      <c r="D2498" s="20" t="s">
        <v>3242</v>
      </c>
      <c r="E2498" s="5">
        <v>9.18412997252E11</v>
      </c>
      <c r="F2498" s="21">
        <v>18948.0</v>
      </c>
      <c r="G2498" s="20"/>
      <c r="H2498" s="20" t="s">
        <v>3195</v>
      </c>
      <c r="I2498" s="5"/>
      <c r="J2498" s="20">
        <v>6.0</v>
      </c>
      <c r="K2498" s="20">
        <v>299.0</v>
      </c>
      <c r="L2498" s="20"/>
      <c r="M2498" s="20">
        <v>299.0</v>
      </c>
      <c r="N2498" s="5" t="s">
        <v>67</v>
      </c>
      <c r="O2498" s="20" t="b">
        <v>0</v>
      </c>
      <c r="P2498" s="20" t="s">
        <v>68</v>
      </c>
      <c r="Q2498" s="20" t="s">
        <v>69</v>
      </c>
      <c r="R2498" s="20" t="s">
        <v>3197</v>
      </c>
      <c r="T2498" s="20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</row>
    <row r="2499">
      <c r="A2499" s="15" t="s">
        <v>9405</v>
      </c>
      <c r="B2499" s="19" t="s">
        <v>6104</v>
      </c>
      <c r="C2499" s="20">
        <v>50076.0</v>
      </c>
      <c r="D2499" s="20" t="s">
        <v>6103</v>
      </c>
      <c r="E2499" s="5">
        <v>9.17731072489E11</v>
      </c>
      <c r="F2499" s="21">
        <v>18951.0</v>
      </c>
      <c r="G2499" s="20"/>
      <c r="H2499" s="20" t="s">
        <v>5984</v>
      </c>
      <c r="I2499" s="5"/>
      <c r="J2499" s="20">
        <v>6.0</v>
      </c>
      <c r="K2499" s="20">
        <v>599.0</v>
      </c>
      <c r="L2499" s="20"/>
      <c r="M2499" s="20">
        <v>599.0</v>
      </c>
      <c r="N2499" s="5" t="s">
        <v>67</v>
      </c>
      <c r="O2499" s="20" t="b">
        <v>0</v>
      </c>
      <c r="P2499" s="20" t="s">
        <v>68</v>
      </c>
      <c r="Q2499" s="20" t="s">
        <v>69</v>
      </c>
      <c r="R2499" s="20" t="s">
        <v>5987</v>
      </c>
      <c r="T2499" s="20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</row>
    <row r="2500">
      <c r="A2500" s="15" t="s">
        <v>9402</v>
      </c>
      <c r="B2500" s="19" t="s">
        <v>2855</v>
      </c>
      <c r="C2500" s="20">
        <v>50029.0</v>
      </c>
      <c r="D2500" s="20" t="s">
        <v>2854</v>
      </c>
      <c r="E2500" s="5">
        <v>9.19371366665E11</v>
      </c>
      <c r="F2500" s="22" t="s">
        <v>12593</v>
      </c>
      <c r="G2500" s="20"/>
      <c r="H2500" s="20" t="s">
        <v>2761</v>
      </c>
      <c r="I2500" s="5"/>
      <c r="J2500" s="20">
        <v>1.0</v>
      </c>
      <c r="K2500" s="20">
        <v>99.0</v>
      </c>
      <c r="L2500" s="20"/>
      <c r="M2500" s="20">
        <v>99.0</v>
      </c>
      <c r="N2500" s="5" t="s">
        <v>67</v>
      </c>
      <c r="O2500" s="20" t="b">
        <v>0</v>
      </c>
      <c r="P2500" s="20" t="s">
        <v>97</v>
      </c>
      <c r="Q2500" s="20" t="s">
        <v>69</v>
      </c>
      <c r="R2500" s="20" t="s">
        <v>2763</v>
      </c>
      <c r="T2500" s="20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</row>
    <row r="2501">
      <c r="A2501" s="15" t="s">
        <v>9406</v>
      </c>
      <c r="B2501" s="19" t="s">
        <v>4470</v>
      </c>
      <c r="C2501" s="20">
        <v>50052.0</v>
      </c>
      <c r="D2501" s="20" t="s">
        <v>4469</v>
      </c>
      <c r="E2501" s="5">
        <v>9.19849505705E11</v>
      </c>
      <c r="F2501" s="21">
        <v>18950.0</v>
      </c>
      <c r="G2501" s="20"/>
      <c r="H2501" s="20" t="s">
        <v>4433</v>
      </c>
      <c r="I2501" s="5"/>
      <c r="J2501" s="20">
        <v>1.0</v>
      </c>
      <c r="K2501" s="20">
        <v>99.0</v>
      </c>
      <c r="L2501" s="20"/>
      <c r="M2501" s="20">
        <v>99.0</v>
      </c>
      <c r="N2501" s="5" t="s">
        <v>67</v>
      </c>
      <c r="O2501" s="20" t="b">
        <v>0</v>
      </c>
      <c r="P2501" s="20" t="s">
        <v>74</v>
      </c>
      <c r="Q2501" s="20" t="s">
        <v>69</v>
      </c>
      <c r="R2501" s="20" t="s">
        <v>4435</v>
      </c>
      <c r="T2501" s="20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</row>
    <row r="2502">
      <c r="A2502" s="15" t="s">
        <v>9407</v>
      </c>
      <c r="B2502" s="19" t="s">
        <v>3449</v>
      </c>
      <c r="C2502" s="20">
        <v>50030.0</v>
      </c>
      <c r="D2502" s="20" t="s">
        <v>3448</v>
      </c>
      <c r="E2502" s="5">
        <v>9.19933845766E11</v>
      </c>
      <c r="F2502" s="21">
        <v>18953.0</v>
      </c>
      <c r="G2502" s="20"/>
      <c r="H2502" s="20" t="s">
        <v>3326</v>
      </c>
      <c r="I2502" s="5"/>
      <c r="J2502" s="20">
        <v>1.0</v>
      </c>
      <c r="K2502" s="20">
        <v>99.0</v>
      </c>
      <c r="L2502" s="20"/>
      <c r="M2502" s="20">
        <v>99.0</v>
      </c>
      <c r="N2502" s="5" t="s">
        <v>67</v>
      </c>
      <c r="O2502" s="20" t="b">
        <v>0</v>
      </c>
      <c r="P2502" s="20" t="s">
        <v>68</v>
      </c>
      <c r="Q2502" s="20" t="s">
        <v>69</v>
      </c>
      <c r="R2502" s="20" t="s">
        <v>3328</v>
      </c>
      <c r="T2502" s="20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</row>
    <row r="2503">
      <c r="A2503" s="15" t="s">
        <v>9413</v>
      </c>
      <c r="B2503" s="19" t="s">
        <v>6599</v>
      </c>
      <c r="C2503" s="20">
        <v>49958.0</v>
      </c>
      <c r="D2503" s="20" t="s">
        <v>6598</v>
      </c>
      <c r="E2503" s="5">
        <v>9.17893470386E11</v>
      </c>
      <c r="F2503" s="21">
        <v>18954.0</v>
      </c>
      <c r="G2503" s="20"/>
      <c r="H2503" s="20" t="s">
        <v>6595</v>
      </c>
      <c r="I2503" s="5"/>
      <c r="J2503" s="20">
        <v>6.0</v>
      </c>
      <c r="K2503" s="20">
        <v>349.0</v>
      </c>
      <c r="L2503" s="20"/>
      <c r="M2503" s="20">
        <v>349.0</v>
      </c>
      <c r="N2503" s="5" t="s">
        <v>67</v>
      </c>
      <c r="O2503" s="20" t="b">
        <v>0</v>
      </c>
      <c r="P2503" s="20" t="s">
        <v>68</v>
      </c>
      <c r="Q2503" s="20" t="s">
        <v>69</v>
      </c>
      <c r="R2503" s="20" t="s">
        <v>6591</v>
      </c>
      <c r="T2503" s="20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</row>
    <row r="2504">
      <c r="A2504" s="15" t="s">
        <v>9415</v>
      </c>
      <c r="B2504" s="19" t="s">
        <v>4913</v>
      </c>
      <c r="C2504" s="20">
        <v>49951.0</v>
      </c>
      <c r="D2504" s="20" t="s">
        <v>4912</v>
      </c>
      <c r="E2504" s="5">
        <v>9.17899871505E11</v>
      </c>
      <c r="F2504" s="21">
        <v>18956.0</v>
      </c>
      <c r="G2504" s="20"/>
      <c r="H2504" s="20" t="s">
        <v>4887</v>
      </c>
      <c r="I2504" s="5"/>
      <c r="J2504" s="20">
        <v>1.0</v>
      </c>
      <c r="K2504" s="20">
        <v>99.0</v>
      </c>
      <c r="L2504" s="20"/>
      <c r="M2504" s="20">
        <v>99.0</v>
      </c>
      <c r="N2504" s="5" t="s">
        <v>67</v>
      </c>
      <c r="O2504" s="20" t="b">
        <v>0</v>
      </c>
      <c r="P2504" s="20" t="s">
        <v>68</v>
      </c>
      <c r="Q2504" s="20" t="s">
        <v>69</v>
      </c>
      <c r="R2504" s="20" t="s">
        <v>4889</v>
      </c>
      <c r="T2504" s="20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</row>
    <row r="2505">
      <c r="A2505" s="15" t="s">
        <v>9417</v>
      </c>
      <c r="B2505" s="19" t="s">
        <v>2520</v>
      </c>
      <c r="C2505" s="20">
        <v>49997.0</v>
      </c>
      <c r="D2505" s="20" t="s">
        <v>2519</v>
      </c>
      <c r="E2505" s="5">
        <v>9.19483512561E11</v>
      </c>
      <c r="F2505" s="21">
        <v>18960.0</v>
      </c>
      <c r="G2505" s="20"/>
      <c r="H2505" s="20" t="s">
        <v>2455</v>
      </c>
      <c r="I2505" s="5"/>
      <c r="J2505" s="20">
        <v>1.0</v>
      </c>
      <c r="K2505" s="20">
        <v>99.0</v>
      </c>
      <c r="L2505" s="20"/>
      <c r="M2505" s="20">
        <v>99.0</v>
      </c>
      <c r="N2505" s="5" t="s">
        <v>67</v>
      </c>
      <c r="O2505" s="20" t="b">
        <v>0</v>
      </c>
      <c r="P2505" s="20" t="s">
        <v>74</v>
      </c>
      <c r="Q2505" s="20" t="s">
        <v>69</v>
      </c>
      <c r="R2505" s="20" t="s">
        <v>2457</v>
      </c>
      <c r="T2505" s="20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</row>
    <row r="2506">
      <c r="A2506" s="15" t="s">
        <v>9418</v>
      </c>
      <c r="B2506" s="19" t="s">
        <v>6294</v>
      </c>
      <c r="C2506" s="20">
        <v>49998.0</v>
      </c>
      <c r="D2506" s="20" t="s">
        <v>6293</v>
      </c>
      <c r="E2506" s="5">
        <v>9.18754516431E11</v>
      </c>
      <c r="F2506" s="21">
        <v>18957.0</v>
      </c>
      <c r="G2506" s="20"/>
      <c r="H2506" s="20" t="s">
        <v>6250</v>
      </c>
      <c r="I2506" s="5"/>
      <c r="J2506" s="20">
        <v>1.0</v>
      </c>
      <c r="K2506" s="20">
        <v>99.0</v>
      </c>
      <c r="L2506" s="20"/>
      <c r="M2506" s="20">
        <v>99.0</v>
      </c>
      <c r="N2506" s="5" t="s">
        <v>67</v>
      </c>
      <c r="O2506" s="20" t="b">
        <v>0</v>
      </c>
      <c r="P2506" s="20" t="s">
        <v>68</v>
      </c>
      <c r="Q2506" s="20" t="s">
        <v>69</v>
      </c>
      <c r="R2506" s="20" t="s">
        <v>6252</v>
      </c>
      <c r="T2506" s="20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</row>
    <row r="2507">
      <c r="A2507" s="15" t="s">
        <v>9414</v>
      </c>
      <c r="B2507" s="19" t="s">
        <v>3990</v>
      </c>
      <c r="C2507" s="20">
        <v>50086.0</v>
      </c>
      <c r="D2507" s="20" t="s">
        <v>3989</v>
      </c>
      <c r="E2507" s="5">
        <v>9.18885883929E11</v>
      </c>
      <c r="F2507" s="21">
        <v>18955.0</v>
      </c>
      <c r="G2507" s="20"/>
      <c r="H2507" s="20" t="s">
        <v>3986</v>
      </c>
      <c r="I2507" s="5"/>
      <c r="J2507" s="20">
        <v>3.0</v>
      </c>
      <c r="K2507" s="20">
        <v>599.0</v>
      </c>
      <c r="L2507" s="20"/>
      <c r="M2507" s="20">
        <v>599.0</v>
      </c>
      <c r="N2507" s="5" t="s">
        <v>67</v>
      </c>
      <c r="O2507" s="20" t="b">
        <v>0</v>
      </c>
      <c r="P2507" s="20" t="s">
        <v>68</v>
      </c>
      <c r="Q2507" s="20" t="s">
        <v>69</v>
      </c>
      <c r="R2507" s="20" t="s">
        <v>3988</v>
      </c>
      <c r="T2507" s="20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</row>
    <row r="2508">
      <c r="A2508" s="15" t="s">
        <v>9419</v>
      </c>
      <c r="B2508" s="19" t="s">
        <v>4828</v>
      </c>
      <c r="C2508" s="20">
        <v>49996.0</v>
      </c>
      <c r="D2508" s="20" t="s">
        <v>4827</v>
      </c>
      <c r="E2508" s="5">
        <v>9.19619986324E11</v>
      </c>
      <c r="F2508" s="22" t="s">
        <v>12593</v>
      </c>
      <c r="G2508" s="20"/>
      <c r="H2508" s="20" t="s">
        <v>4796</v>
      </c>
      <c r="I2508" s="5"/>
      <c r="J2508" s="20">
        <v>1.0</v>
      </c>
      <c r="K2508" s="20">
        <v>99.0</v>
      </c>
      <c r="L2508" s="20"/>
      <c r="M2508" s="20">
        <v>99.0</v>
      </c>
      <c r="N2508" s="5" t="s">
        <v>67</v>
      </c>
      <c r="O2508" s="20" t="b">
        <v>0</v>
      </c>
      <c r="P2508" s="20" t="s">
        <v>68</v>
      </c>
      <c r="Q2508" s="20" t="s">
        <v>69</v>
      </c>
      <c r="R2508" s="20" t="s">
        <v>4799</v>
      </c>
      <c r="T2508" s="20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</row>
    <row r="2509">
      <c r="A2509" s="15" t="s">
        <v>9422</v>
      </c>
      <c r="B2509" s="19" t="s">
        <v>5459</v>
      </c>
      <c r="C2509" s="20">
        <v>49844.0</v>
      </c>
      <c r="D2509" s="20" t="s">
        <v>5458</v>
      </c>
      <c r="E2509" s="5">
        <v>9.19997436735E11</v>
      </c>
      <c r="F2509" s="21">
        <v>13601.0</v>
      </c>
      <c r="G2509" s="20"/>
      <c r="H2509" s="20" t="s">
        <v>885</v>
      </c>
      <c r="I2509" s="5"/>
      <c r="J2509" s="20">
        <v>6.0</v>
      </c>
      <c r="K2509" s="20">
        <v>349.0</v>
      </c>
      <c r="L2509" s="20"/>
      <c r="M2509" s="20">
        <v>349.0</v>
      </c>
      <c r="N2509" s="5" t="s">
        <v>67</v>
      </c>
      <c r="O2509" s="20" t="b">
        <v>0</v>
      </c>
      <c r="P2509" s="20" t="s">
        <v>68</v>
      </c>
      <c r="Q2509" s="20" t="s">
        <v>69</v>
      </c>
      <c r="R2509" s="20" t="s">
        <v>5445</v>
      </c>
      <c r="T2509" s="20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</row>
    <row r="2510">
      <c r="A2510" s="15" t="s">
        <v>9423</v>
      </c>
      <c r="B2510" s="19" t="s">
        <v>2857</v>
      </c>
      <c r="C2510" s="20">
        <v>50029.0</v>
      </c>
      <c r="D2510" s="20" t="s">
        <v>2856</v>
      </c>
      <c r="E2510" s="5">
        <v>9.19766854817E11</v>
      </c>
      <c r="F2510" s="21">
        <v>18963.0</v>
      </c>
      <c r="G2510" s="20"/>
      <c r="H2510" s="20" t="s">
        <v>2761</v>
      </c>
      <c r="I2510" s="5"/>
      <c r="J2510" s="20">
        <v>1.0</v>
      </c>
      <c r="K2510" s="20">
        <v>99.0</v>
      </c>
      <c r="L2510" s="20"/>
      <c r="M2510" s="20">
        <v>99.0</v>
      </c>
      <c r="N2510" s="5" t="s">
        <v>67</v>
      </c>
      <c r="O2510" s="20" t="b">
        <v>0</v>
      </c>
      <c r="P2510" s="20" t="s">
        <v>68</v>
      </c>
      <c r="Q2510" s="20" t="s">
        <v>69</v>
      </c>
      <c r="R2510" s="20" t="s">
        <v>2763</v>
      </c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</row>
    <row r="2511">
      <c r="A2511" s="15" t="s">
        <v>9424</v>
      </c>
      <c r="B2511" s="19" t="s">
        <v>3245</v>
      </c>
      <c r="C2511" s="20">
        <v>50030.0</v>
      </c>
      <c r="D2511" s="20" t="s">
        <v>3450</v>
      </c>
      <c r="E2511" s="5">
        <v>9.19340735274E11</v>
      </c>
      <c r="F2511" s="22" t="s">
        <v>12593</v>
      </c>
      <c r="G2511" s="20"/>
      <c r="H2511" s="20" t="s">
        <v>3326</v>
      </c>
      <c r="I2511" s="5"/>
      <c r="J2511" s="20">
        <v>6.0</v>
      </c>
      <c r="K2511" s="20">
        <v>349.0</v>
      </c>
      <c r="L2511" s="20"/>
      <c r="M2511" s="20">
        <v>349.0</v>
      </c>
      <c r="N2511" s="5" t="s">
        <v>67</v>
      </c>
      <c r="O2511" s="20" t="b">
        <v>0</v>
      </c>
      <c r="P2511" s="20" t="s">
        <v>74</v>
      </c>
      <c r="Q2511" s="20" t="s">
        <v>69</v>
      </c>
      <c r="R2511" s="20" t="s">
        <v>3328</v>
      </c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</row>
    <row r="2512">
      <c r="A2512" s="15" t="s">
        <v>9425</v>
      </c>
      <c r="B2512" s="19" t="s">
        <v>3245</v>
      </c>
      <c r="C2512" s="20">
        <v>50047.0</v>
      </c>
      <c r="D2512" s="20" t="s">
        <v>3244</v>
      </c>
      <c r="E2512" s="5">
        <v>9.17299908537E11</v>
      </c>
      <c r="F2512" s="21">
        <v>18961.0</v>
      </c>
      <c r="G2512" s="20"/>
      <c r="H2512" s="20" t="s">
        <v>3195</v>
      </c>
      <c r="I2512" s="5"/>
      <c r="J2512" s="20">
        <v>3.0</v>
      </c>
      <c r="K2512" s="20">
        <v>199.0</v>
      </c>
      <c r="L2512" s="20"/>
      <c r="M2512" s="20">
        <v>199.0</v>
      </c>
      <c r="N2512" s="5" t="s">
        <v>67</v>
      </c>
      <c r="O2512" s="20" t="b">
        <v>0</v>
      </c>
      <c r="P2512" s="20" t="s">
        <v>68</v>
      </c>
      <c r="Q2512" s="20" t="s">
        <v>69</v>
      </c>
      <c r="R2512" s="20" t="s">
        <v>3197</v>
      </c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</row>
    <row r="2513">
      <c r="A2513" s="15" t="s">
        <v>9429</v>
      </c>
      <c r="B2513" s="19" t="s">
        <v>6547</v>
      </c>
      <c r="C2513" s="20">
        <v>50073.0</v>
      </c>
      <c r="D2513" s="20" t="s">
        <v>6546</v>
      </c>
      <c r="E2513" s="5">
        <v>9.17738612073E11</v>
      </c>
      <c r="F2513" s="21">
        <v>18964.0</v>
      </c>
      <c r="G2513" s="20"/>
      <c r="H2513" s="20" t="s">
        <v>2161</v>
      </c>
      <c r="I2513" s="5"/>
      <c r="J2513" s="20">
        <v>1.0</v>
      </c>
      <c r="K2513" s="20">
        <v>799.0</v>
      </c>
      <c r="L2513" s="20"/>
      <c r="M2513" s="20">
        <v>799.0</v>
      </c>
      <c r="N2513" s="5" t="s">
        <v>67</v>
      </c>
      <c r="O2513" s="20" t="b">
        <v>0</v>
      </c>
      <c r="P2513" s="20" t="s">
        <v>97</v>
      </c>
      <c r="Q2513" s="20" t="s">
        <v>69</v>
      </c>
      <c r="R2513" s="20" t="s">
        <v>6497</v>
      </c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</row>
    <row r="2514">
      <c r="A2514" s="15" t="s">
        <v>9432</v>
      </c>
      <c r="B2514" s="19" t="s">
        <v>4693</v>
      </c>
      <c r="C2514" s="20">
        <v>49859.0</v>
      </c>
      <c r="D2514" s="20" t="s">
        <v>4692</v>
      </c>
      <c r="E2514" s="5">
        <v>9.19715279805E11</v>
      </c>
      <c r="F2514" s="21">
        <v>18965.0</v>
      </c>
      <c r="G2514" s="20"/>
      <c r="H2514" s="20" t="s">
        <v>1133</v>
      </c>
      <c r="I2514" s="5"/>
      <c r="J2514" s="20">
        <v>1.0</v>
      </c>
      <c r="K2514" s="20">
        <v>99.0</v>
      </c>
      <c r="L2514" s="20"/>
      <c r="M2514" s="20">
        <v>99.0</v>
      </c>
      <c r="N2514" s="5" t="s">
        <v>67</v>
      </c>
      <c r="O2514" s="20" t="b">
        <v>0</v>
      </c>
      <c r="P2514" s="20" t="s">
        <v>68</v>
      </c>
      <c r="Q2514" s="20" t="s">
        <v>69</v>
      </c>
      <c r="R2514" s="20" t="s">
        <v>4620</v>
      </c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</row>
    <row r="2515">
      <c r="A2515" s="15" t="s">
        <v>9433</v>
      </c>
      <c r="B2515" s="19" t="s">
        <v>2522</v>
      </c>
      <c r="C2515" s="20">
        <v>49997.0</v>
      </c>
      <c r="D2515" s="20" t="s">
        <v>2521</v>
      </c>
      <c r="E2515" s="5">
        <v>9.17979787986E11</v>
      </c>
      <c r="F2515" s="21">
        <v>18966.0</v>
      </c>
      <c r="G2515" s="20"/>
      <c r="H2515" s="20" t="s">
        <v>2455</v>
      </c>
      <c r="I2515" s="5"/>
      <c r="J2515" s="20">
        <v>1.0</v>
      </c>
      <c r="K2515" s="20">
        <v>99.0</v>
      </c>
      <c r="L2515" s="20"/>
      <c r="M2515" s="20">
        <v>99.0</v>
      </c>
      <c r="N2515" s="5" t="s">
        <v>67</v>
      </c>
      <c r="O2515" s="20" t="b">
        <v>0</v>
      </c>
      <c r="P2515" s="20" t="s">
        <v>68</v>
      </c>
      <c r="Q2515" s="20" t="s">
        <v>69</v>
      </c>
      <c r="R2515" s="20" t="s">
        <v>2457</v>
      </c>
      <c r="T2515" s="20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</row>
    <row r="2516">
      <c r="A2516" s="15" t="s">
        <v>9563</v>
      </c>
      <c r="B2516" s="19" t="s">
        <v>4163</v>
      </c>
      <c r="C2516" s="20">
        <v>49833.0</v>
      </c>
      <c r="D2516" s="20" t="s">
        <v>4162</v>
      </c>
      <c r="E2516" s="5">
        <v>9.18260604931E11</v>
      </c>
      <c r="F2516" s="21">
        <v>0.0</v>
      </c>
      <c r="G2516" s="20"/>
      <c r="H2516" s="20" t="s">
        <v>4030</v>
      </c>
      <c r="I2516" s="5"/>
      <c r="J2516" s="20">
        <v>1.0</v>
      </c>
      <c r="K2516" s="20">
        <v>99.0</v>
      </c>
      <c r="L2516" s="20"/>
      <c r="M2516" s="20">
        <v>99.0</v>
      </c>
      <c r="N2516" s="5" t="s">
        <v>67</v>
      </c>
      <c r="O2516" s="20" t="b">
        <v>0</v>
      </c>
      <c r="P2516" s="20" t="s">
        <v>68</v>
      </c>
      <c r="Q2516" s="20" t="s">
        <v>69</v>
      </c>
      <c r="R2516" s="20" t="s">
        <v>4033</v>
      </c>
      <c r="T2516" s="20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</row>
    <row r="2517">
      <c r="A2517" s="15" t="s">
        <v>9560</v>
      </c>
      <c r="B2517" s="19" t="s">
        <v>6108</v>
      </c>
      <c r="C2517" s="20">
        <v>50076.0</v>
      </c>
      <c r="D2517" s="20" t="s">
        <v>6107</v>
      </c>
      <c r="E2517" s="5">
        <v>9.19235348369E11</v>
      </c>
      <c r="F2517" s="21">
        <v>19031.0</v>
      </c>
      <c r="G2517" s="20"/>
      <c r="H2517" s="20" t="s">
        <v>5984</v>
      </c>
      <c r="I2517" s="5"/>
      <c r="J2517" s="20">
        <v>1.0</v>
      </c>
      <c r="K2517" s="20">
        <v>199.0</v>
      </c>
      <c r="L2517" s="20"/>
      <c r="M2517" s="20">
        <v>199.0</v>
      </c>
      <c r="N2517" s="5" t="s">
        <v>67</v>
      </c>
      <c r="O2517" s="20" t="b">
        <v>0</v>
      </c>
      <c r="P2517" s="20" t="s">
        <v>74</v>
      </c>
      <c r="Q2517" s="20" t="s">
        <v>69</v>
      </c>
      <c r="R2517" s="20" t="s">
        <v>5987</v>
      </c>
      <c r="T2517" s="20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</row>
    <row r="2518">
      <c r="A2518" s="15" t="s">
        <v>9438</v>
      </c>
      <c r="B2518" s="19" t="s">
        <v>2658</v>
      </c>
      <c r="C2518" s="20">
        <v>50065.0</v>
      </c>
      <c r="D2518" s="20" t="s">
        <v>2657</v>
      </c>
      <c r="E2518" s="5">
        <v>9.19920475808E11</v>
      </c>
      <c r="F2518" s="22" t="s">
        <v>12593</v>
      </c>
      <c r="G2518" s="20"/>
      <c r="H2518" s="20" t="s">
        <v>2601</v>
      </c>
      <c r="I2518" s="5"/>
      <c r="J2518" s="20">
        <v>6.0</v>
      </c>
      <c r="K2518" s="20">
        <v>349.0</v>
      </c>
      <c r="L2518" s="20"/>
      <c r="M2518" s="20">
        <v>349.0</v>
      </c>
      <c r="N2518" s="5" t="s">
        <v>67</v>
      </c>
      <c r="O2518" s="20" t="b">
        <v>0</v>
      </c>
      <c r="P2518" s="20" t="s">
        <v>68</v>
      </c>
      <c r="Q2518" s="20" t="s">
        <v>69</v>
      </c>
      <c r="R2518" s="20" t="s">
        <v>2604</v>
      </c>
      <c r="T2518" s="20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</row>
    <row r="2519">
      <c r="A2519" s="15" t="s">
        <v>9561</v>
      </c>
      <c r="B2519" s="19" t="s">
        <v>6605</v>
      </c>
      <c r="C2519" s="20">
        <v>49958.0</v>
      </c>
      <c r="D2519" s="20" t="s">
        <v>6604</v>
      </c>
      <c r="E2519" s="5">
        <v>9.18171488542E11</v>
      </c>
      <c r="F2519" s="21">
        <v>19027.0</v>
      </c>
      <c r="G2519" s="20"/>
      <c r="H2519" s="20" t="s">
        <v>6595</v>
      </c>
      <c r="I2519" s="5"/>
      <c r="J2519" s="20">
        <v>3.0</v>
      </c>
      <c r="K2519" s="20">
        <v>199.0</v>
      </c>
      <c r="L2519" s="20"/>
      <c r="M2519" s="20">
        <v>199.0</v>
      </c>
      <c r="N2519" s="5" t="s">
        <v>67</v>
      </c>
      <c r="O2519" s="20" t="b">
        <v>0</v>
      </c>
      <c r="P2519" s="20" t="s">
        <v>68</v>
      </c>
      <c r="Q2519" s="20" t="s">
        <v>69</v>
      </c>
      <c r="R2519" s="20" t="s">
        <v>6591</v>
      </c>
      <c r="T2519" s="20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</row>
    <row r="2520">
      <c r="A2520" s="15" t="s">
        <v>9437</v>
      </c>
      <c r="B2520" s="19" t="s">
        <v>4927</v>
      </c>
      <c r="C2520" s="20">
        <v>50113.0</v>
      </c>
      <c r="D2520" s="20" t="s">
        <v>4926</v>
      </c>
      <c r="E2520" s="5">
        <v>9.19920117288E11</v>
      </c>
      <c r="F2520" s="21">
        <v>18967.0</v>
      </c>
      <c r="G2520" s="20"/>
      <c r="H2520" s="20" t="s">
        <v>4914</v>
      </c>
      <c r="I2520" s="20" t="s">
        <v>4919</v>
      </c>
      <c r="J2520" s="20">
        <v>1.0</v>
      </c>
      <c r="K2520" s="20">
        <v>199.0</v>
      </c>
      <c r="L2520" s="20"/>
      <c r="M2520" s="20">
        <v>199.0</v>
      </c>
      <c r="N2520" s="5" t="s">
        <v>67</v>
      </c>
      <c r="O2520" s="20" t="b">
        <v>0</v>
      </c>
      <c r="P2520" s="20" t="s">
        <v>68</v>
      </c>
      <c r="Q2520" s="20" t="s">
        <v>69</v>
      </c>
      <c r="R2520" s="20" t="s">
        <v>4918</v>
      </c>
      <c r="T2520" s="20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</row>
    <row r="2521">
      <c r="A2521" s="15" t="s">
        <v>9566</v>
      </c>
      <c r="B2521" s="19" t="s">
        <v>4699</v>
      </c>
      <c r="C2521" s="20">
        <v>49859.0</v>
      </c>
      <c r="D2521" s="20" t="s">
        <v>4698</v>
      </c>
      <c r="E2521" s="5">
        <v>9.19398562671E11</v>
      </c>
      <c r="F2521" s="21">
        <v>19029.0</v>
      </c>
      <c r="G2521" s="20"/>
      <c r="H2521" s="20" t="s">
        <v>1133</v>
      </c>
      <c r="I2521" s="5"/>
      <c r="J2521" s="20">
        <v>1.0</v>
      </c>
      <c r="K2521" s="20">
        <v>99.0</v>
      </c>
      <c r="L2521" s="20"/>
      <c r="M2521" s="20">
        <v>99.0</v>
      </c>
      <c r="N2521" s="5" t="s">
        <v>67</v>
      </c>
      <c r="O2521" s="20" t="b">
        <v>0</v>
      </c>
      <c r="P2521" s="20" t="s">
        <v>68</v>
      </c>
      <c r="Q2521" s="20" t="s">
        <v>69</v>
      </c>
      <c r="R2521" s="20" t="s">
        <v>4620</v>
      </c>
      <c r="T2521" s="20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</row>
    <row r="2522">
      <c r="A2522" s="15" t="s">
        <v>9441</v>
      </c>
      <c r="B2522" s="19" t="s">
        <v>5263</v>
      </c>
      <c r="C2522" s="20">
        <v>50022.0</v>
      </c>
      <c r="D2522" s="20" t="s">
        <v>5262</v>
      </c>
      <c r="E2522" s="5">
        <v>9.18779781988E11</v>
      </c>
      <c r="F2522" s="21">
        <v>18969.0</v>
      </c>
      <c r="G2522" s="20"/>
      <c r="H2522" s="20" t="s">
        <v>5181</v>
      </c>
      <c r="I2522" s="5"/>
      <c r="J2522" s="20">
        <v>1.0</v>
      </c>
      <c r="K2522" s="20">
        <v>99.0</v>
      </c>
      <c r="L2522" s="20"/>
      <c r="M2522" s="20">
        <v>99.0</v>
      </c>
      <c r="N2522" s="5" t="s">
        <v>67</v>
      </c>
      <c r="O2522" s="20" t="b">
        <v>0</v>
      </c>
      <c r="P2522" s="20" t="s">
        <v>68</v>
      </c>
      <c r="Q2522" s="20" t="s">
        <v>69</v>
      </c>
      <c r="R2522" s="20" t="s">
        <v>5183</v>
      </c>
      <c r="T2522" s="20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</row>
    <row r="2523">
      <c r="A2523" s="15" t="s">
        <v>9567</v>
      </c>
      <c r="B2523" s="19" t="s">
        <v>3121</v>
      </c>
      <c r="C2523" s="20">
        <v>49991.0</v>
      </c>
      <c r="D2523" s="20" t="s">
        <v>3120</v>
      </c>
      <c r="E2523" s="5">
        <v>9.19870071615E11</v>
      </c>
      <c r="F2523" s="21">
        <v>19030.0</v>
      </c>
      <c r="G2523" s="20"/>
      <c r="H2523" s="20" t="s">
        <v>3055</v>
      </c>
      <c r="I2523" s="5"/>
      <c r="J2523" s="20">
        <v>6.0</v>
      </c>
      <c r="K2523" s="20">
        <v>349.0</v>
      </c>
      <c r="L2523" s="20"/>
      <c r="M2523" s="20">
        <v>349.0</v>
      </c>
      <c r="N2523" s="5" t="s">
        <v>67</v>
      </c>
      <c r="O2523" s="20" t="b">
        <v>0</v>
      </c>
      <c r="P2523" s="20" t="s">
        <v>68</v>
      </c>
      <c r="Q2523" s="20" t="s">
        <v>69</v>
      </c>
      <c r="R2523" s="20" t="s">
        <v>3057</v>
      </c>
      <c r="T2523" s="20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</row>
    <row r="2524">
      <c r="A2524" s="15" t="s">
        <v>9444</v>
      </c>
      <c r="B2524" s="19" t="s">
        <v>4315</v>
      </c>
      <c r="C2524" s="20">
        <v>50079.0</v>
      </c>
      <c r="D2524" s="20" t="s">
        <v>4314</v>
      </c>
      <c r="E2524" s="5">
        <v>9.17588468999E11</v>
      </c>
      <c r="F2524" s="21">
        <v>18974.0</v>
      </c>
      <c r="G2524" s="20"/>
      <c r="H2524" s="20" t="s">
        <v>4281</v>
      </c>
      <c r="I2524" s="5"/>
      <c r="J2524" s="20">
        <v>1.0</v>
      </c>
      <c r="K2524" s="20">
        <v>99.0</v>
      </c>
      <c r="L2524" s="20"/>
      <c r="M2524" s="20">
        <v>99.0</v>
      </c>
      <c r="N2524" s="5" t="s">
        <v>67</v>
      </c>
      <c r="O2524" s="20" t="b">
        <v>0</v>
      </c>
      <c r="P2524" s="20" t="s">
        <v>68</v>
      </c>
      <c r="Q2524" s="20" t="s">
        <v>69</v>
      </c>
      <c r="R2524" s="20" t="s">
        <v>4284</v>
      </c>
      <c r="T2524" s="20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</row>
    <row r="2525">
      <c r="A2525" s="15" t="s">
        <v>9570</v>
      </c>
      <c r="B2525" s="19" t="s">
        <v>4930</v>
      </c>
      <c r="C2525" s="20">
        <v>50113.0</v>
      </c>
      <c r="D2525" s="20" t="s">
        <v>4929</v>
      </c>
      <c r="E2525" s="5">
        <v>9.19121868439E11</v>
      </c>
      <c r="F2525" s="21">
        <v>19206.0</v>
      </c>
      <c r="G2525" s="20"/>
      <c r="H2525" s="20" t="s">
        <v>4914</v>
      </c>
      <c r="I2525" s="20" t="s">
        <v>4915</v>
      </c>
      <c r="J2525" s="20">
        <v>1.0</v>
      </c>
      <c r="K2525" s="20">
        <v>499.0</v>
      </c>
      <c r="L2525" s="20"/>
      <c r="M2525" s="20">
        <v>499.0</v>
      </c>
      <c r="N2525" s="5" t="s">
        <v>67</v>
      </c>
      <c r="O2525" s="20" t="b">
        <v>0</v>
      </c>
      <c r="P2525" s="20" t="s">
        <v>68</v>
      </c>
      <c r="Q2525" s="20" t="s">
        <v>69</v>
      </c>
      <c r="R2525" s="20" t="s">
        <v>4918</v>
      </c>
      <c r="T2525" s="20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</row>
    <row r="2526">
      <c r="A2526" s="15" t="s">
        <v>9445</v>
      </c>
      <c r="B2526" s="19" t="s">
        <v>5884</v>
      </c>
      <c r="C2526" s="20">
        <v>50054.0</v>
      </c>
      <c r="D2526" s="20" t="s">
        <v>5883</v>
      </c>
      <c r="E2526" s="5">
        <v>9.19810316963E11</v>
      </c>
      <c r="F2526" s="21">
        <v>18970.0</v>
      </c>
      <c r="G2526" s="20"/>
      <c r="H2526" s="20" t="s">
        <v>5822</v>
      </c>
      <c r="I2526" s="5"/>
      <c r="J2526" s="20">
        <v>1.0</v>
      </c>
      <c r="K2526" s="20">
        <v>99.0</v>
      </c>
      <c r="L2526" s="20"/>
      <c r="M2526" s="20">
        <v>99.0</v>
      </c>
      <c r="N2526" s="5" t="s">
        <v>67</v>
      </c>
      <c r="O2526" s="20" t="b">
        <v>0</v>
      </c>
      <c r="P2526" s="20" t="s">
        <v>68</v>
      </c>
      <c r="Q2526" s="20" t="s">
        <v>69</v>
      </c>
      <c r="R2526" s="20" t="s">
        <v>5824</v>
      </c>
      <c r="T2526" s="20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</row>
    <row r="2527">
      <c r="A2527" s="15" t="s">
        <v>9568</v>
      </c>
      <c r="B2527" s="19" t="s">
        <v>3462</v>
      </c>
      <c r="C2527" s="20">
        <v>50030.0</v>
      </c>
      <c r="D2527" s="20" t="s">
        <v>3461</v>
      </c>
      <c r="E2527" s="5">
        <v>9.19585813459E11</v>
      </c>
      <c r="F2527" s="21">
        <v>19032.0</v>
      </c>
      <c r="G2527" s="20"/>
      <c r="H2527" s="20" t="s">
        <v>3326</v>
      </c>
      <c r="I2527" s="5"/>
      <c r="J2527" s="20">
        <v>6.0</v>
      </c>
      <c r="K2527" s="20">
        <v>349.0</v>
      </c>
      <c r="L2527" s="20"/>
      <c r="M2527" s="20">
        <v>349.0</v>
      </c>
      <c r="N2527" s="5" t="s">
        <v>67</v>
      </c>
      <c r="O2527" s="20" t="b">
        <v>0</v>
      </c>
      <c r="P2527" s="20" t="s">
        <v>68</v>
      </c>
      <c r="Q2527" s="20" t="s">
        <v>69</v>
      </c>
      <c r="R2527" s="20" t="s">
        <v>3328</v>
      </c>
      <c r="T2527" s="20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</row>
    <row r="2528">
      <c r="A2528" s="15" t="s">
        <v>9446</v>
      </c>
      <c r="B2528" s="19" t="s">
        <v>6601</v>
      </c>
      <c r="C2528" s="20">
        <v>49958.0</v>
      </c>
      <c r="D2528" s="20" t="s">
        <v>6600</v>
      </c>
      <c r="E2528" s="5">
        <v>9.19702787216E11</v>
      </c>
      <c r="F2528" s="22" t="s">
        <v>12593</v>
      </c>
      <c r="G2528" s="20"/>
      <c r="H2528" s="20" t="s">
        <v>6595</v>
      </c>
      <c r="I2528" s="5"/>
      <c r="J2528" s="20">
        <v>3.0</v>
      </c>
      <c r="K2528" s="20">
        <v>199.0</v>
      </c>
      <c r="L2528" s="20"/>
      <c r="M2528" s="20">
        <v>199.0</v>
      </c>
      <c r="N2528" s="5" t="s">
        <v>67</v>
      </c>
      <c r="O2528" s="20" t="b">
        <v>0</v>
      </c>
      <c r="P2528" s="20" t="s">
        <v>68</v>
      </c>
      <c r="Q2528" s="20" t="s">
        <v>69</v>
      </c>
      <c r="R2528" s="20" t="s">
        <v>6591</v>
      </c>
      <c r="T2528" s="20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</row>
    <row r="2529">
      <c r="A2529" s="15" t="s">
        <v>9447</v>
      </c>
      <c r="B2529" s="19" t="s">
        <v>3452</v>
      </c>
      <c r="C2529" s="20">
        <v>50030.0</v>
      </c>
      <c r="D2529" s="20" t="s">
        <v>3451</v>
      </c>
      <c r="E2529" s="5">
        <v>9.1874500812E11</v>
      </c>
      <c r="F2529" s="21">
        <v>18977.0</v>
      </c>
      <c r="G2529" s="20"/>
      <c r="H2529" s="20" t="s">
        <v>3326</v>
      </c>
      <c r="I2529" s="5"/>
      <c r="J2529" s="20">
        <v>6.0</v>
      </c>
      <c r="K2529" s="20">
        <v>349.0</v>
      </c>
      <c r="L2529" s="20"/>
      <c r="M2529" s="20">
        <v>349.0</v>
      </c>
      <c r="N2529" s="5" t="s">
        <v>67</v>
      </c>
      <c r="O2529" s="20" t="b">
        <v>0</v>
      </c>
      <c r="P2529" s="20" t="s">
        <v>68</v>
      </c>
      <c r="Q2529" s="20" t="s">
        <v>69</v>
      </c>
      <c r="R2529" s="20" t="s">
        <v>3328</v>
      </c>
      <c r="T2529" s="20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</row>
    <row r="2530">
      <c r="A2530" s="15" t="s">
        <v>9448</v>
      </c>
      <c r="B2530" s="19" t="s">
        <v>2524</v>
      </c>
      <c r="C2530" s="20">
        <v>49997.0</v>
      </c>
      <c r="D2530" s="20" t="s">
        <v>2523</v>
      </c>
      <c r="E2530" s="5">
        <v>9.18669061696E11</v>
      </c>
      <c r="F2530" s="21">
        <v>18976.0</v>
      </c>
      <c r="G2530" s="20"/>
      <c r="H2530" s="20" t="s">
        <v>2455</v>
      </c>
      <c r="I2530" s="5"/>
      <c r="J2530" s="20">
        <v>1.0</v>
      </c>
      <c r="K2530" s="20">
        <v>99.0</v>
      </c>
      <c r="L2530" s="20"/>
      <c r="M2530" s="20">
        <v>99.0</v>
      </c>
      <c r="N2530" s="5" t="s">
        <v>67</v>
      </c>
      <c r="O2530" s="20" t="b">
        <v>0</v>
      </c>
      <c r="P2530" s="20" t="s">
        <v>97</v>
      </c>
      <c r="Q2530" s="20" t="s">
        <v>69</v>
      </c>
      <c r="R2530" s="20" t="s">
        <v>2457</v>
      </c>
      <c r="T2530" s="20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</row>
    <row r="2531">
      <c r="A2531" s="15" t="s">
        <v>9578</v>
      </c>
      <c r="B2531" s="19" t="s">
        <v>2732</v>
      </c>
      <c r="C2531" s="20">
        <v>50015.0</v>
      </c>
      <c r="D2531" s="20" t="s">
        <v>2731</v>
      </c>
      <c r="E2531" s="5">
        <v>9.19030803021E11</v>
      </c>
      <c r="F2531" s="21">
        <v>19035.0</v>
      </c>
      <c r="G2531" s="20"/>
      <c r="H2531" s="20" t="s">
        <v>2702</v>
      </c>
      <c r="I2531" s="5"/>
      <c r="J2531" s="20">
        <v>3.0</v>
      </c>
      <c r="K2531" s="20">
        <v>349.0</v>
      </c>
      <c r="L2531" s="20"/>
      <c r="M2531" s="20">
        <v>349.0</v>
      </c>
      <c r="N2531" s="5" t="s">
        <v>67</v>
      </c>
      <c r="O2531" s="20" t="b">
        <v>0</v>
      </c>
      <c r="P2531" s="20" t="s">
        <v>68</v>
      </c>
      <c r="Q2531" s="20" t="s">
        <v>69</v>
      </c>
      <c r="R2531" s="20" t="s">
        <v>2704</v>
      </c>
      <c r="T2531" s="20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</row>
    <row r="2532">
      <c r="A2532" s="15" t="s">
        <v>9449</v>
      </c>
      <c r="B2532" s="19" t="s">
        <v>4830</v>
      </c>
      <c r="C2532" s="20">
        <v>49996.0</v>
      </c>
      <c r="D2532" s="20" t="s">
        <v>4829</v>
      </c>
      <c r="E2532" s="5">
        <v>9.19600828607E11</v>
      </c>
      <c r="F2532" s="21">
        <v>18978.0</v>
      </c>
      <c r="G2532" s="20"/>
      <c r="H2532" s="20" t="s">
        <v>4796</v>
      </c>
      <c r="I2532" s="5"/>
      <c r="J2532" s="20">
        <v>3.0</v>
      </c>
      <c r="K2532" s="20">
        <v>199.0</v>
      </c>
      <c r="L2532" s="20"/>
      <c r="M2532" s="20">
        <v>199.0</v>
      </c>
      <c r="N2532" s="5" t="s">
        <v>67</v>
      </c>
      <c r="O2532" s="20" t="b">
        <v>0</v>
      </c>
      <c r="P2532" s="20" t="s">
        <v>68</v>
      </c>
      <c r="Q2532" s="20" t="s">
        <v>69</v>
      </c>
      <c r="R2532" s="20" t="s">
        <v>4799</v>
      </c>
      <c r="T2532" s="20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</row>
    <row r="2533">
      <c r="A2533" s="15" t="s">
        <v>9576</v>
      </c>
      <c r="B2533" s="19" t="s">
        <v>6110</v>
      </c>
      <c r="C2533" s="20">
        <v>50076.0</v>
      </c>
      <c r="D2533" s="20" t="s">
        <v>6109</v>
      </c>
      <c r="E2533" s="5">
        <v>9.17293554843E11</v>
      </c>
      <c r="F2533" s="21">
        <v>19036.0</v>
      </c>
      <c r="G2533" s="20"/>
      <c r="H2533" s="20" t="s">
        <v>5984</v>
      </c>
      <c r="I2533" s="5"/>
      <c r="J2533" s="20">
        <v>1.0</v>
      </c>
      <c r="K2533" s="20">
        <v>199.0</v>
      </c>
      <c r="L2533" s="20"/>
      <c r="M2533" s="20">
        <v>199.0</v>
      </c>
      <c r="N2533" s="5" t="s">
        <v>67</v>
      </c>
      <c r="O2533" s="20" t="b">
        <v>0</v>
      </c>
      <c r="P2533" s="20" t="s">
        <v>97</v>
      </c>
      <c r="Q2533" s="20" t="s">
        <v>69</v>
      </c>
      <c r="R2533" s="20" t="s">
        <v>5987</v>
      </c>
      <c r="T2533" s="20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</row>
    <row r="2534">
      <c r="A2534" s="15" t="s">
        <v>9450</v>
      </c>
      <c r="B2534" s="19" t="s">
        <v>3118</v>
      </c>
      <c r="C2534" s="20">
        <v>49991.0</v>
      </c>
      <c r="D2534" s="20" t="s">
        <v>3117</v>
      </c>
      <c r="E2534" s="5">
        <v>9.18105338544E11</v>
      </c>
      <c r="F2534" s="21">
        <v>18979.0</v>
      </c>
      <c r="G2534" s="20"/>
      <c r="H2534" s="20" t="s">
        <v>3055</v>
      </c>
      <c r="I2534" s="5"/>
      <c r="J2534" s="20">
        <v>1.0</v>
      </c>
      <c r="K2534" s="20">
        <v>99.0</v>
      </c>
      <c r="L2534" s="20"/>
      <c r="M2534" s="20">
        <v>99.0</v>
      </c>
      <c r="N2534" s="5" t="s">
        <v>67</v>
      </c>
      <c r="O2534" s="20" t="b">
        <v>0</v>
      </c>
      <c r="P2534" s="20" t="s">
        <v>68</v>
      </c>
      <c r="Q2534" s="20" t="s">
        <v>69</v>
      </c>
      <c r="R2534" s="20" t="s">
        <v>3057</v>
      </c>
      <c r="T2534" s="20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</row>
    <row r="2535">
      <c r="A2535" s="15" t="s">
        <v>9584</v>
      </c>
      <c r="B2535" s="19" t="s">
        <v>6629</v>
      </c>
      <c r="C2535" s="20">
        <v>49994.0</v>
      </c>
      <c r="D2535" s="20" t="s">
        <v>6628</v>
      </c>
      <c r="E2535" s="5">
        <v>9.19600016696E11</v>
      </c>
      <c r="F2535" s="21">
        <v>19037.0</v>
      </c>
      <c r="G2535" s="20"/>
      <c r="H2535" s="20" t="s">
        <v>1264</v>
      </c>
      <c r="I2535" s="5"/>
      <c r="J2535" s="20">
        <v>1.0</v>
      </c>
      <c r="K2535" s="20">
        <v>99.0</v>
      </c>
      <c r="L2535" s="20"/>
      <c r="M2535" s="20">
        <v>99.0</v>
      </c>
      <c r="N2535" s="5" t="s">
        <v>67</v>
      </c>
      <c r="O2535" s="20" t="b">
        <v>0</v>
      </c>
      <c r="P2535" s="20" t="s">
        <v>74</v>
      </c>
      <c r="Q2535" s="20" t="s">
        <v>69</v>
      </c>
      <c r="R2535" s="20" t="s">
        <v>6615</v>
      </c>
      <c r="T2535" s="20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</row>
    <row r="2536">
      <c r="A2536" s="15" t="s">
        <v>9585</v>
      </c>
      <c r="B2536" s="19" t="s">
        <v>6158</v>
      </c>
      <c r="C2536" s="20">
        <v>49978.0</v>
      </c>
      <c r="D2536" s="20" t="s">
        <v>6157</v>
      </c>
      <c r="E2536" s="5">
        <v>9.19025113111E11</v>
      </c>
      <c r="F2536" s="21">
        <v>19044.0</v>
      </c>
      <c r="G2536" s="20"/>
      <c r="H2536" s="20" t="s">
        <v>2150</v>
      </c>
      <c r="I2536" s="5"/>
      <c r="J2536" s="20">
        <v>3.0</v>
      </c>
      <c r="K2536" s="20">
        <v>199.0</v>
      </c>
      <c r="L2536" s="20"/>
      <c r="M2536" s="20">
        <v>199.0</v>
      </c>
      <c r="N2536" s="5" t="s">
        <v>67</v>
      </c>
      <c r="O2536" s="20" t="b">
        <v>0</v>
      </c>
      <c r="P2536" s="20" t="s">
        <v>74</v>
      </c>
      <c r="Q2536" s="20" t="s">
        <v>69</v>
      </c>
      <c r="R2536" s="20" t="s">
        <v>6156</v>
      </c>
      <c r="T2536" s="20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</row>
    <row r="2537">
      <c r="A2537" s="15" t="s">
        <v>9586</v>
      </c>
      <c r="B2537" s="19" t="s">
        <v>6631</v>
      </c>
      <c r="C2537" s="20">
        <v>49994.0</v>
      </c>
      <c r="D2537" s="20" t="s">
        <v>6630</v>
      </c>
      <c r="E2537" s="5">
        <v>9.19008732301E11</v>
      </c>
      <c r="F2537" s="21">
        <v>19038.0</v>
      </c>
      <c r="G2537" s="20"/>
      <c r="H2537" s="20" t="s">
        <v>1264</v>
      </c>
      <c r="I2537" s="5"/>
      <c r="J2537" s="20">
        <v>1.0</v>
      </c>
      <c r="K2537" s="20">
        <v>99.0</v>
      </c>
      <c r="L2537" s="20"/>
      <c r="M2537" s="20">
        <v>99.0</v>
      </c>
      <c r="N2537" s="5" t="s">
        <v>67</v>
      </c>
      <c r="O2537" s="20" t="b">
        <v>0</v>
      </c>
      <c r="P2537" s="20" t="s">
        <v>151</v>
      </c>
      <c r="Q2537" s="20" t="s">
        <v>69</v>
      </c>
      <c r="R2537" s="20" t="s">
        <v>6615</v>
      </c>
      <c r="T2537" s="20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</row>
    <row r="2538">
      <c r="A2538" s="15" t="s">
        <v>9587</v>
      </c>
      <c r="B2538" s="19" t="s">
        <v>5892</v>
      </c>
      <c r="C2538" s="20">
        <v>50054.0</v>
      </c>
      <c r="D2538" s="20" t="s">
        <v>5891</v>
      </c>
      <c r="E2538" s="5">
        <v>9.173044427E11</v>
      </c>
      <c r="F2538" s="22" t="s">
        <v>12593</v>
      </c>
      <c r="G2538" s="20"/>
      <c r="H2538" s="20" t="s">
        <v>5822</v>
      </c>
      <c r="I2538" s="5"/>
      <c r="J2538" s="20">
        <v>6.0</v>
      </c>
      <c r="K2538" s="20">
        <v>349.0</v>
      </c>
      <c r="L2538" s="20"/>
      <c r="M2538" s="20">
        <v>349.0</v>
      </c>
      <c r="N2538" s="5" t="s">
        <v>67</v>
      </c>
      <c r="O2538" s="20" t="b">
        <v>0</v>
      </c>
      <c r="P2538" s="20" t="s">
        <v>68</v>
      </c>
      <c r="Q2538" s="20" t="s">
        <v>69</v>
      </c>
      <c r="R2538" s="20" t="s">
        <v>5824</v>
      </c>
      <c r="T2538" s="20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</row>
    <row r="2539">
      <c r="A2539" s="15" t="s">
        <v>9453</v>
      </c>
      <c r="B2539" s="19" t="s">
        <v>3454</v>
      </c>
      <c r="C2539" s="20">
        <v>50030.0</v>
      </c>
      <c r="D2539" s="20" t="s">
        <v>3453</v>
      </c>
      <c r="E2539" s="5">
        <v>9.16382324023E11</v>
      </c>
      <c r="F2539" s="21">
        <v>18980.0</v>
      </c>
      <c r="G2539" s="20"/>
      <c r="H2539" s="20" t="s">
        <v>3326</v>
      </c>
      <c r="I2539" s="5"/>
      <c r="J2539" s="20">
        <v>6.0</v>
      </c>
      <c r="K2539" s="20">
        <v>349.0</v>
      </c>
      <c r="L2539" s="20"/>
      <c r="M2539" s="20">
        <v>349.0</v>
      </c>
      <c r="N2539" s="5" t="s">
        <v>67</v>
      </c>
      <c r="O2539" s="20" t="b">
        <v>0</v>
      </c>
      <c r="P2539" s="20" t="s">
        <v>68</v>
      </c>
      <c r="Q2539" s="20" t="s">
        <v>69</v>
      </c>
      <c r="R2539" s="20" t="s">
        <v>3328</v>
      </c>
      <c r="T2539" s="20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</row>
    <row r="2540">
      <c r="A2540" s="15" t="s">
        <v>9454</v>
      </c>
      <c r="B2540" s="19" t="s">
        <v>3456</v>
      </c>
      <c r="C2540" s="20">
        <v>50030.0</v>
      </c>
      <c r="D2540" s="20" t="s">
        <v>3455</v>
      </c>
      <c r="E2540" s="5">
        <v>9.19838075566E11</v>
      </c>
      <c r="F2540" s="21">
        <v>18982.0</v>
      </c>
      <c r="G2540" s="20"/>
      <c r="H2540" s="20" t="s">
        <v>3326</v>
      </c>
      <c r="I2540" s="5"/>
      <c r="J2540" s="20">
        <v>3.0</v>
      </c>
      <c r="K2540" s="20">
        <v>199.0</v>
      </c>
      <c r="L2540" s="20"/>
      <c r="M2540" s="20">
        <v>199.0</v>
      </c>
      <c r="N2540" s="5" t="s">
        <v>67</v>
      </c>
      <c r="O2540" s="20" t="b">
        <v>0</v>
      </c>
      <c r="P2540" s="20" t="s">
        <v>68</v>
      </c>
      <c r="Q2540" s="20" t="s">
        <v>69</v>
      </c>
      <c r="R2540" s="20" t="s">
        <v>3328</v>
      </c>
      <c r="T2540" s="20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</row>
    <row r="2541">
      <c r="A2541" s="15" t="s">
        <v>9590</v>
      </c>
      <c r="B2541" s="19" t="s">
        <v>6112</v>
      </c>
      <c r="C2541" s="20">
        <v>50076.0</v>
      </c>
      <c r="D2541" s="20" t="s">
        <v>6111</v>
      </c>
      <c r="E2541" s="5">
        <v>9.17838047901E11</v>
      </c>
      <c r="F2541" s="21">
        <v>19041.0</v>
      </c>
      <c r="G2541" s="20"/>
      <c r="H2541" s="20" t="s">
        <v>5984</v>
      </c>
      <c r="I2541" s="5"/>
      <c r="J2541" s="20">
        <v>1.0</v>
      </c>
      <c r="K2541" s="20">
        <v>199.0</v>
      </c>
      <c r="L2541" s="20"/>
      <c r="M2541" s="20">
        <v>199.0</v>
      </c>
      <c r="N2541" s="5" t="s">
        <v>67</v>
      </c>
      <c r="O2541" s="20" t="b">
        <v>0</v>
      </c>
      <c r="P2541" s="20" t="s">
        <v>68</v>
      </c>
      <c r="Q2541" s="20" t="s">
        <v>69</v>
      </c>
      <c r="R2541" s="20" t="s">
        <v>5987</v>
      </c>
      <c r="T2541" s="20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</row>
    <row r="2542">
      <c r="A2542" s="15" t="s">
        <v>9591</v>
      </c>
      <c r="B2542" s="19" t="s">
        <v>6607</v>
      </c>
      <c r="C2542" s="20">
        <v>49958.0</v>
      </c>
      <c r="D2542" s="20" t="s">
        <v>6606</v>
      </c>
      <c r="E2542" s="5">
        <v>9.18105605756E11</v>
      </c>
      <c r="F2542" s="21">
        <v>19185.0</v>
      </c>
      <c r="G2542" s="20"/>
      <c r="H2542" s="20" t="s">
        <v>6595</v>
      </c>
      <c r="I2542" s="5"/>
      <c r="J2542" s="20">
        <v>3.0</v>
      </c>
      <c r="K2542" s="20">
        <v>199.0</v>
      </c>
      <c r="L2542" s="20"/>
      <c r="M2542" s="20">
        <v>199.0</v>
      </c>
      <c r="N2542" s="5" t="s">
        <v>67</v>
      </c>
      <c r="O2542" s="20" t="b">
        <v>0</v>
      </c>
      <c r="P2542" s="20" t="s">
        <v>74</v>
      </c>
      <c r="Q2542" s="20" t="s">
        <v>69</v>
      </c>
      <c r="R2542" s="20" t="s">
        <v>6591</v>
      </c>
      <c r="T2542" s="20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</row>
    <row r="2543">
      <c r="A2543" s="15" t="s">
        <v>9455</v>
      </c>
      <c r="B2543" s="19" t="s">
        <v>5886</v>
      </c>
      <c r="C2543" s="20">
        <v>50054.0</v>
      </c>
      <c r="D2543" s="20" t="s">
        <v>5885</v>
      </c>
      <c r="E2543" s="5">
        <v>9.18861433275E11</v>
      </c>
      <c r="F2543" s="21">
        <v>18988.0</v>
      </c>
      <c r="G2543" s="20"/>
      <c r="H2543" s="20" t="s">
        <v>5822</v>
      </c>
      <c r="I2543" s="5"/>
      <c r="J2543" s="20">
        <v>1.0</v>
      </c>
      <c r="K2543" s="20">
        <v>99.0</v>
      </c>
      <c r="L2543" s="20"/>
      <c r="M2543" s="20">
        <v>99.0</v>
      </c>
      <c r="N2543" s="5" t="s">
        <v>67</v>
      </c>
      <c r="O2543" s="20" t="b">
        <v>0</v>
      </c>
      <c r="P2543" s="20" t="s">
        <v>68</v>
      </c>
      <c r="Q2543" s="20" t="s">
        <v>69</v>
      </c>
      <c r="R2543" s="20" t="s">
        <v>5824</v>
      </c>
      <c r="T2543" s="20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</row>
    <row r="2544">
      <c r="A2544" s="15" t="s">
        <v>9456</v>
      </c>
      <c r="B2544" s="19" t="s">
        <v>6244</v>
      </c>
      <c r="C2544" s="20">
        <v>50046.0</v>
      </c>
      <c r="D2544" s="20" t="s">
        <v>6243</v>
      </c>
      <c r="E2544" s="5">
        <v>9.19730472789E11</v>
      </c>
      <c r="F2544" s="21">
        <v>18984.0</v>
      </c>
      <c r="G2544" s="20"/>
      <c r="H2544" s="20" t="s">
        <v>6217</v>
      </c>
      <c r="I2544" s="5"/>
      <c r="J2544" s="20">
        <v>3.0</v>
      </c>
      <c r="K2544" s="20">
        <v>199.0</v>
      </c>
      <c r="L2544" s="20"/>
      <c r="M2544" s="20">
        <v>199.0</v>
      </c>
      <c r="N2544" s="5" t="s">
        <v>67</v>
      </c>
      <c r="O2544" s="20" t="b">
        <v>0</v>
      </c>
      <c r="P2544" s="20" t="s">
        <v>68</v>
      </c>
      <c r="Q2544" s="20" t="s">
        <v>69</v>
      </c>
      <c r="R2544" s="20" t="s">
        <v>6219</v>
      </c>
      <c r="T2544" s="20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</row>
    <row r="2545">
      <c r="A2545" s="15" t="s">
        <v>9457</v>
      </c>
      <c r="B2545" s="19" t="s">
        <v>5265</v>
      </c>
      <c r="C2545" s="20">
        <v>50022.0</v>
      </c>
      <c r="D2545" s="20" t="s">
        <v>5264</v>
      </c>
      <c r="E2545" s="5">
        <v>9.18019528138E11</v>
      </c>
      <c r="F2545" s="21">
        <v>18985.0</v>
      </c>
      <c r="G2545" s="20"/>
      <c r="H2545" s="20" t="s">
        <v>5181</v>
      </c>
      <c r="I2545" s="5"/>
      <c r="J2545" s="20">
        <v>1.0</v>
      </c>
      <c r="K2545" s="20">
        <v>99.0</v>
      </c>
      <c r="L2545" s="20"/>
      <c r="M2545" s="20">
        <v>99.0</v>
      </c>
      <c r="N2545" s="5" t="s">
        <v>67</v>
      </c>
      <c r="O2545" s="20" t="b">
        <v>0</v>
      </c>
      <c r="P2545" s="20" t="s">
        <v>68</v>
      </c>
      <c r="Q2545" s="20" t="s">
        <v>69</v>
      </c>
      <c r="R2545" s="20" t="s">
        <v>5183</v>
      </c>
      <c r="T2545" s="20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</row>
    <row r="2546">
      <c r="A2546" s="15" t="s">
        <v>9594</v>
      </c>
      <c r="B2546" s="19" t="s">
        <v>6114</v>
      </c>
      <c r="C2546" s="20">
        <v>50076.0</v>
      </c>
      <c r="D2546" s="20" t="s">
        <v>6113</v>
      </c>
      <c r="E2546" s="5">
        <v>9.19340567767E11</v>
      </c>
      <c r="F2546" s="21">
        <v>19045.0</v>
      </c>
      <c r="G2546" s="20"/>
      <c r="H2546" s="20" t="s">
        <v>5984</v>
      </c>
      <c r="I2546" s="5"/>
      <c r="J2546" s="20">
        <v>3.0</v>
      </c>
      <c r="K2546" s="20">
        <v>349.0</v>
      </c>
      <c r="L2546" s="20"/>
      <c r="M2546" s="20">
        <v>349.0</v>
      </c>
      <c r="N2546" s="5" t="s">
        <v>67</v>
      </c>
      <c r="O2546" s="20" t="b">
        <v>0</v>
      </c>
      <c r="P2546" s="20" t="s">
        <v>151</v>
      </c>
      <c r="Q2546" s="20" t="s">
        <v>69</v>
      </c>
      <c r="R2546" s="20" t="s">
        <v>5987</v>
      </c>
      <c r="T2546" s="20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</row>
    <row r="2547">
      <c r="A2547" s="15" t="s">
        <v>9600</v>
      </c>
      <c r="B2547" s="19" t="s">
        <v>6160</v>
      </c>
      <c r="C2547" s="20">
        <v>49978.0</v>
      </c>
      <c r="D2547" s="20" t="s">
        <v>6159</v>
      </c>
      <c r="E2547" s="5">
        <v>9.19654004621E11</v>
      </c>
      <c r="F2547" s="21">
        <v>19545.0</v>
      </c>
      <c r="G2547" s="20"/>
      <c r="H2547" s="20" t="s">
        <v>2150</v>
      </c>
      <c r="I2547" s="5"/>
      <c r="J2547" s="20">
        <v>1.0</v>
      </c>
      <c r="K2547" s="20">
        <v>99.0</v>
      </c>
      <c r="L2547" s="20"/>
      <c r="M2547" s="20">
        <v>99.0</v>
      </c>
      <c r="N2547" s="5" t="s">
        <v>67</v>
      </c>
      <c r="O2547" s="20" t="b">
        <v>0</v>
      </c>
      <c r="P2547" s="20" t="s">
        <v>97</v>
      </c>
      <c r="Q2547" s="20" t="s">
        <v>69</v>
      </c>
      <c r="R2547" s="20" t="s">
        <v>6156</v>
      </c>
      <c r="T2547" s="20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</row>
    <row r="2548">
      <c r="A2548" s="15" t="s">
        <v>9458</v>
      </c>
      <c r="B2548" s="19" t="s">
        <v>3247</v>
      </c>
      <c r="C2548" s="20">
        <v>50047.0</v>
      </c>
      <c r="D2548" s="20" t="s">
        <v>3246</v>
      </c>
      <c r="E2548" s="5">
        <v>9.17387053774E11</v>
      </c>
      <c r="F2548" s="21">
        <v>18986.0</v>
      </c>
      <c r="G2548" s="20"/>
      <c r="H2548" s="20" t="s">
        <v>3195</v>
      </c>
      <c r="I2548" s="5"/>
      <c r="J2548" s="20">
        <v>12.0</v>
      </c>
      <c r="K2548" s="20">
        <v>499.0</v>
      </c>
      <c r="L2548" s="20"/>
      <c r="M2548" s="20">
        <v>499.0</v>
      </c>
      <c r="N2548" s="5" t="s">
        <v>67</v>
      </c>
      <c r="O2548" s="20" t="b">
        <v>0</v>
      </c>
      <c r="P2548" s="20" t="s">
        <v>68</v>
      </c>
      <c r="Q2548" s="20" t="s">
        <v>69</v>
      </c>
      <c r="R2548" s="20" t="s">
        <v>3197</v>
      </c>
      <c r="T2548" s="20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</row>
    <row r="2549">
      <c r="A2549" s="15" t="s">
        <v>9595</v>
      </c>
      <c r="B2549" s="19" t="s">
        <v>5029</v>
      </c>
      <c r="C2549" s="20">
        <v>50094.0</v>
      </c>
      <c r="D2549" s="20" t="s">
        <v>5028</v>
      </c>
      <c r="E2549" s="5">
        <v>9.17452010847E11</v>
      </c>
      <c r="F2549" s="21">
        <v>19043.0</v>
      </c>
      <c r="G2549" s="20"/>
      <c r="H2549" s="20" t="s">
        <v>4942</v>
      </c>
      <c r="I2549" s="5"/>
      <c r="J2549" s="20">
        <v>1.0</v>
      </c>
      <c r="K2549" s="20">
        <v>199.0</v>
      </c>
      <c r="L2549" s="20"/>
      <c r="M2549" s="20">
        <v>199.0</v>
      </c>
      <c r="N2549" s="5" t="s">
        <v>67</v>
      </c>
      <c r="O2549" s="20" t="b">
        <v>0</v>
      </c>
      <c r="P2549" s="20" t="s">
        <v>68</v>
      </c>
      <c r="Q2549" s="20" t="s">
        <v>69</v>
      </c>
      <c r="R2549" s="20" t="s">
        <v>4945</v>
      </c>
      <c r="T2549" s="20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</row>
    <row r="2550">
      <c r="A2550" s="15" t="s">
        <v>9601</v>
      </c>
      <c r="B2550" s="19" t="s">
        <v>4378</v>
      </c>
      <c r="C2550" s="20">
        <v>50039.0</v>
      </c>
      <c r="D2550" s="20" t="s">
        <v>4377</v>
      </c>
      <c r="E2550" s="5">
        <v>9.19739916537E11</v>
      </c>
      <c r="F2550" s="21">
        <v>19046.0</v>
      </c>
      <c r="G2550" s="20"/>
      <c r="H2550" s="20" t="s">
        <v>4341</v>
      </c>
      <c r="I2550" s="5"/>
      <c r="J2550" s="20">
        <v>1.0</v>
      </c>
      <c r="K2550" s="20">
        <v>99.0</v>
      </c>
      <c r="L2550" s="20"/>
      <c r="M2550" s="20">
        <v>99.0</v>
      </c>
      <c r="N2550" s="5" t="s">
        <v>67</v>
      </c>
      <c r="O2550" s="20" t="b">
        <v>0</v>
      </c>
      <c r="P2550" s="20" t="s">
        <v>74</v>
      </c>
      <c r="Q2550" s="20" t="s">
        <v>69</v>
      </c>
      <c r="R2550" s="20" t="s">
        <v>4343</v>
      </c>
      <c r="T2550" s="20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</row>
    <row r="2551">
      <c r="A2551" s="15" t="s">
        <v>9604</v>
      </c>
      <c r="B2551" s="19" t="s">
        <v>6549</v>
      </c>
      <c r="C2551" s="20">
        <v>50073.0</v>
      </c>
      <c r="D2551" s="20" t="s">
        <v>6548</v>
      </c>
      <c r="E2551" s="5">
        <v>9.17075226651E11</v>
      </c>
      <c r="F2551" s="21">
        <v>19070.0</v>
      </c>
      <c r="G2551" s="20"/>
      <c r="H2551" s="20" t="s">
        <v>2161</v>
      </c>
      <c r="I2551" s="5"/>
      <c r="J2551" s="20">
        <v>1.0</v>
      </c>
      <c r="K2551" s="20">
        <v>799.0</v>
      </c>
      <c r="L2551" s="20"/>
      <c r="M2551" s="20">
        <v>799.0</v>
      </c>
      <c r="N2551" s="5" t="s">
        <v>67</v>
      </c>
      <c r="O2551" s="20" t="b">
        <v>0</v>
      </c>
      <c r="P2551" s="20" t="s">
        <v>74</v>
      </c>
      <c r="Q2551" s="20" t="s">
        <v>69</v>
      </c>
      <c r="R2551" s="20" t="s">
        <v>6497</v>
      </c>
      <c r="T2551" s="20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</row>
    <row r="2552">
      <c r="A2552" s="15" t="s">
        <v>9606</v>
      </c>
      <c r="B2552" s="19" t="s">
        <v>6400</v>
      </c>
      <c r="C2552" s="20">
        <v>50043.0</v>
      </c>
      <c r="D2552" s="20" t="s">
        <v>6399</v>
      </c>
      <c r="E2552" s="5">
        <v>9.18951979402E11</v>
      </c>
      <c r="F2552" s="21">
        <v>19047.0</v>
      </c>
      <c r="G2552" s="20"/>
      <c r="H2552" s="20" t="s">
        <v>6367</v>
      </c>
      <c r="I2552" s="5"/>
      <c r="J2552" s="20">
        <v>1.0</v>
      </c>
      <c r="K2552" s="20">
        <v>99.0</v>
      </c>
      <c r="L2552" s="20"/>
      <c r="M2552" s="20">
        <v>99.0</v>
      </c>
      <c r="N2552" s="5" t="s">
        <v>67</v>
      </c>
      <c r="O2552" s="20" t="b">
        <v>0</v>
      </c>
      <c r="P2552" s="20" t="s">
        <v>74</v>
      </c>
      <c r="Q2552" s="20" t="s">
        <v>69</v>
      </c>
      <c r="R2552" s="20" t="s">
        <v>6369</v>
      </c>
      <c r="T2552" s="20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</row>
    <row r="2553">
      <c r="A2553" s="15" t="s">
        <v>9607</v>
      </c>
      <c r="B2553" s="19" t="s">
        <v>2662</v>
      </c>
      <c r="C2553" s="20">
        <v>50065.0</v>
      </c>
      <c r="D2553" s="20" t="s">
        <v>2661</v>
      </c>
      <c r="E2553" s="5">
        <v>9.19964073026E11</v>
      </c>
      <c r="F2553" s="21">
        <v>19048.0</v>
      </c>
      <c r="G2553" s="20"/>
      <c r="H2553" s="20" t="s">
        <v>2601</v>
      </c>
      <c r="I2553" s="5"/>
      <c r="J2553" s="20">
        <v>3.0</v>
      </c>
      <c r="K2553" s="20">
        <v>199.0</v>
      </c>
      <c r="L2553" s="20"/>
      <c r="M2553" s="20">
        <v>199.0</v>
      </c>
      <c r="N2553" s="5" t="s">
        <v>67</v>
      </c>
      <c r="O2553" s="20" t="b">
        <v>0</v>
      </c>
      <c r="P2553" s="20" t="s">
        <v>97</v>
      </c>
      <c r="Q2553" s="20" t="s">
        <v>69</v>
      </c>
      <c r="R2553" s="20" t="s">
        <v>2604</v>
      </c>
      <c r="T2553" s="20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</row>
    <row r="2554">
      <c r="A2554" s="15" t="s">
        <v>9461</v>
      </c>
      <c r="B2554" s="19" t="s">
        <v>6603</v>
      </c>
      <c r="C2554" s="20">
        <v>49958.0</v>
      </c>
      <c r="D2554" s="20" t="s">
        <v>6602</v>
      </c>
      <c r="E2554" s="5">
        <v>9.1890408907E11</v>
      </c>
      <c r="F2554" s="21">
        <v>18990.0</v>
      </c>
      <c r="G2554" s="20"/>
      <c r="H2554" s="20" t="s">
        <v>6595</v>
      </c>
      <c r="I2554" s="5"/>
      <c r="J2554" s="20">
        <v>3.0</v>
      </c>
      <c r="K2554" s="20">
        <v>199.0</v>
      </c>
      <c r="L2554" s="20"/>
      <c r="M2554" s="20">
        <v>199.0</v>
      </c>
      <c r="N2554" s="5" t="s">
        <v>67</v>
      </c>
      <c r="O2554" s="20" t="b">
        <v>0</v>
      </c>
      <c r="P2554" s="20" t="s">
        <v>68</v>
      </c>
      <c r="Q2554" s="20" t="s">
        <v>69</v>
      </c>
      <c r="R2554" s="20" t="s">
        <v>6591</v>
      </c>
      <c r="T2554" s="20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</row>
    <row r="2555">
      <c r="A2555" s="15" t="s">
        <v>9608</v>
      </c>
      <c r="B2555" s="19" t="s">
        <v>5524</v>
      </c>
      <c r="C2555" s="20">
        <v>50023.0</v>
      </c>
      <c r="D2555" s="20" t="s">
        <v>5523</v>
      </c>
      <c r="E2555" s="5">
        <v>9.19654438434E11</v>
      </c>
      <c r="F2555" s="21">
        <v>19049.0</v>
      </c>
      <c r="G2555" s="20"/>
      <c r="H2555" s="20" t="s">
        <v>5508</v>
      </c>
      <c r="I2555" s="5"/>
      <c r="J2555" s="20">
        <v>1.0</v>
      </c>
      <c r="K2555" s="20">
        <v>99.0</v>
      </c>
      <c r="L2555" s="20"/>
      <c r="M2555" s="20">
        <v>99.0</v>
      </c>
      <c r="N2555" s="5" t="s">
        <v>67</v>
      </c>
      <c r="O2555" s="20" t="b">
        <v>0</v>
      </c>
      <c r="P2555" s="20" t="s">
        <v>68</v>
      </c>
      <c r="Q2555" s="20" t="s">
        <v>69</v>
      </c>
      <c r="R2555" s="20" t="s">
        <v>5510</v>
      </c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</row>
    <row r="2556">
      <c r="A2556" s="15" t="s">
        <v>9462</v>
      </c>
      <c r="B2556" s="19" t="s">
        <v>4317</v>
      </c>
      <c r="C2556" s="20">
        <v>50079.0</v>
      </c>
      <c r="D2556" s="20" t="s">
        <v>4316</v>
      </c>
      <c r="E2556" s="5">
        <v>9.19452701336E11</v>
      </c>
      <c r="F2556" s="21">
        <v>19050.0</v>
      </c>
      <c r="G2556" s="20"/>
      <c r="H2556" s="20" t="s">
        <v>4281</v>
      </c>
      <c r="I2556" s="5"/>
      <c r="J2556" s="20">
        <v>1.0</v>
      </c>
      <c r="K2556" s="20">
        <v>99.0</v>
      </c>
      <c r="L2556" s="20"/>
      <c r="M2556" s="20">
        <v>99.0</v>
      </c>
      <c r="N2556" s="5" t="s">
        <v>67</v>
      </c>
      <c r="O2556" s="20" t="b">
        <v>0</v>
      </c>
      <c r="P2556" s="20" t="s">
        <v>68</v>
      </c>
      <c r="Q2556" s="20" t="s">
        <v>69</v>
      </c>
      <c r="R2556" s="20" t="s">
        <v>4284</v>
      </c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</row>
    <row r="2557">
      <c r="A2557" s="15" t="s">
        <v>9460</v>
      </c>
      <c r="B2557" s="19" t="s">
        <v>5021</v>
      </c>
      <c r="C2557" s="20">
        <v>50094.0</v>
      </c>
      <c r="D2557" s="20" t="s">
        <v>5020</v>
      </c>
      <c r="E2557" s="5">
        <v>9.18280000248E11</v>
      </c>
      <c r="F2557" s="21">
        <v>18989.0</v>
      </c>
      <c r="G2557" s="20"/>
      <c r="H2557" s="20" t="s">
        <v>4942</v>
      </c>
      <c r="I2557" s="5"/>
      <c r="J2557" s="20">
        <v>1.0</v>
      </c>
      <c r="K2557" s="20">
        <v>199.0</v>
      </c>
      <c r="L2557" s="20"/>
      <c r="M2557" s="20">
        <v>199.0</v>
      </c>
      <c r="N2557" s="5" t="s">
        <v>67</v>
      </c>
      <c r="O2557" s="20" t="b">
        <v>0</v>
      </c>
      <c r="P2557" s="20" t="s">
        <v>68</v>
      </c>
      <c r="Q2557" s="20" t="s">
        <v>69</v>
      </c>
      <c r="R2557" s="20" t="s">
        <v>4945</v>
      </c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</row>
    <row r="2558">
      <c r="A2558" s="15" t="s">
        <v>9464</v>
      </c>
      <c r="B2558" s="19" t="s">
        <v>4152</v>
      </c>
      <c r="C2558" s="20">
        <v>49833.0</v>
      </c>
      <c r="D2558" s="20" t="s">
        <v>4151</v>
      </c>
      <c r="E2558" s="5">
        <v>9.19589437701E11</v>
      </c>
      <c r="F2558" s="21">
        <v>18991.0</v>
      </c>
      <c r="G2558" s="20"/>
      <c r="H2558" s="20" t="s">
        <v>4030</v>
      </c>
      <c r="I2558" s="5"/>
      <c r="J2558" s="20">
        <v>1.0</v>
      </c>
      <c r="K2558" s="20">
        <v>99.0</v>
      </c>
      <c r="L2558" s="20"/>
      <c r="M2558" s="20">
        <v>99.0</v>
      </c>
      <c r="N2558" s="5" t="s">
        <v>67</v>
      </c>
      <c r="O2558" s="20" t="b">
        <v>0</v>
      </c>
      <c r="P2558" s="20" t="s">
        <v>68</v>
      </c>
      <c r="Q2558" s="20" t="s">
        <v>69</v>
      </c>
      <c r="R2558" s="20" t="s">
        <v>4033</v>
      </c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</row>
    <row r="2559">
      <c r="A2559" s="15" t="s">
        <v>9467</v>
      </c>
      <c r="B2559" s="19" t="s">
        <v>4154</v>
      </c>
      <c r="C2559" s="20">
        <v>49833.0</v>
      </c>
      <c r="D2559" s="20" t="s">
        <v>4153</v>
      </c>
      <c r="E2559" s="5">
        <v>9.19967087458E11</v>
      </c>
      <c r="F2559" s="21">
        <v>18994.0</v>
      </c>
      <c r="G2559" s="20"/>
      <c r="H2559" s="20" t="s">
        <v>4030</v>
      </c>
      <c r="I2559" s="5"/>
      <c r="J2559" s="20">
        <v>1.0</v>
      </c>
      <c r="K2559" s="20">
        <v>99.0</v>
      </c>
      <c r="L2559" s="20"/>
      <c r="M2559" s="20">
        <v>99.0</v>
      </c>
      <c r="N2559" s="5" t="s">
        <v>67</v>
      </c>
      <c r="O2559" s="20" t="b">
        <v>0</v>
      </c>
      <c r="P2559" s="20" t="s">
        <v>68</v>
      </c>
      <c r="Q2559" s="20" t="s">
        <v>69</v>
      </c>
      <c r="R2559" s="20" t="s">
        <v>4033</v>
      </c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</row>
    <row r="2560">
      <c r="A2560" s="15" t="s">
        <v>9468</v>
      </c>
      <c r="B2560" s="19" t="s">
        <v>4156</v>
      </c>
      <c r="C2560" s="20">
        <v>49833.0</v>
      </c>
      <c r="D2560" s="20" t="s">
        <v>4155</v>
      </c>
      <c r="E2560" s="5">
        <v>9.17718851551E11</v>
      </c>
      <c r="F2560" s="21">
        <v>18995.0</v>
      </c>
      <c r="G2560" s="20"/>
      <c r="H2560" s="20" t="s">
        <v>4030</v>
      </c>
      <c r="I2560" s="5"/>
      <c r="J2560" s="20">
        <v>1.0</v>
      </c>
      <c r="K2560" s="20">
        <v>99.0</v>
      </c>
      <c r="L2560" s="20"/>
      <c r="M2560" s="20">
        <v>99.0</v>
      </c>
      <c r="N2560" s="5" t="s">
        <v>67</v>
      </c>
      <c r="O2560" s="20" t="b">
        <v>0</v>
      </c>
      <c r="P2560" s="20" t="s">
        <v>68</v>
      </c>
      <c r="Q2560" s="20" t="s">
        <v>69</v>
      </c>
      <c r="R2560" s="20" t="s">
        <v>4033</v>
      </c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</row>
    <row r="2561">
      <c r="A2561" s="15" t="s">
        <v>9465</v>
      </c>
      <c r="B2561" s="19" t="s">
        <v>5461</v>
      </c>
      <c r="C2561" s="20">
        <v>49844.0</v>
      </c>
      <c r="D2561" s="20" t="s">
        <v>5460</v>
      </c>
      <c r="E2561" s="5">
        <v>9.1706639047E11</v>
      </c>
      <c r="F2561" s="21">
        <v>0.0</v>
      </c>
      <c r="G2561" s="20"/>
      <c r="H2561" s="20" t="s">
        <v>885</v>
      </c>
      <c r="I2561" s="5"/>
      <c r="J2561" s="20">
        <v>1.0</v>
      </c>
      <c r="K2561" s="20">
        <v>99.0</v>
      </c>
      <c r="L2561" s="20"/>
      <c r="M2561" s="20">
        <v>99.0</v>
      </c>
      <c r="N2561" s="5" t="s">
        <v>67</v>
      </c>
      <c r="O2561" s="20" t="b">
        <v>0</v>
      </c>
      <c r="P2561" s="20" t="s">
        <v>68</v>
      </c>
      <c r="Q2561" s="20" t="s">
        <v>69</v>
      </c>
      <c r="R2561" s="20" t="s">
        <v>5445</v>
      </c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</row>
    <row r="2562">
      <c r="A2562" s="15" t="s">
        <v>9471</v>
      </c>
      <c r="B2562" s="19" t="s">
        <v>4158</v>
      </c>
      <c r="C2562" s="20">
        <v>49833.0</v>
      </c>
      <c r="D2562" s="20" t="s">
        <v>4157</v>
      </c>
      <c r="E2562" s="5">
        <v>9.1707180559E11</v>
      </c>
      <c r="F2562" s="21">
        <v>18996.0</v>
      </c>
      <c r="G2562" s="20"/>
      <c r="H2562" s="20" t="s">
        <v>4030</v>
      </c>
      <c r="I2562" s="5"/>
      <c r="J2562" s="20">
        <v>1.0</v>
      </c>
      <c r="K2562" s="20">
        <v>99.0</v>
      </c>
      <c r="L2562" s="20"/>
      <c r="M2562" s="20">
        <v>99.0</v>
      </c>
      <c r="N2562" s="5" t="s">
        <v>67</v>
      </c>
      <c r="O2562" s="20" t="b">
        <v>0</v>
      </c>
      <c r="P2562" s="20" t="s">
        <v>68</v>
      </c>
      <c r="Q2562" s="20" t="s">
        <v>69</v>
      </c>
      <c r="R2562" s="20" t="s">
        <v>4033</v>
      </c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</row>
    <row r="2563">
      <c r="A2563" s="15" t="s">
        <v>9609</v>
      </c>
      <c r="B2563" s="19" t="s">
        <v>3123</v>
      </c>
      <c r="C2563" s="20">
        <v>49991.0</v>
      </c>
      <c r="D2563" s="20" t="s">
        <v>3122</v>
      </c>
      <c r="E2563" s="5">
        <v>9.19741671908E11</v>
      </c>
      <c r="F2563" s="21">
        <v>19051.0</v>
      </c>
      <c r="G2563" s="20"/>
      <c r="H2563" s="20" t="s">
        <v>3055</v>
      </c>
      <c r="I2563" s="5"/>
      <c r="J2563" s="20">
        <v>1.0</v>
      </c>
      <c r="K2563" s="20">
        <v>99.0</v>
      </c>
      <c r="L2563" s="20"/>
      <c r="M2563" s="20">
        <v>99.0</v>
      </c>
      <c r="N2563" s="5" t="s">
        <v>67</v>
      </c>
      <c r="O2563" s="20" t="b">
        <v>0</v>
      </c>
      <c r="P2563" s="20" t="s">
        <v>151</v>
      </c>
      <c r="Q2563" s="20" t="s">
        <v>69</v>
      </c>
      <c r="R2563" s="20" t="s">
        <v>3057</v>
      </c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</row>
    <row r="2564">
      <c r="A2564" s="15" t="s">
        <v>9466</v>
      </c>
      <c r="B2564" s="19" t="s">
        <v>3794</v>
      </c>
      <c r="C2564" s="20">
        <v>49907.0</v>
      </c>
      <c r="D2564" s="20" t="s">
        <v>3793</v>
      </c>
      <c r="E2564" s="5">
        <v>9.18010130126E11</v>
      </c>
      <c r="F2564" s="21">
        <v>18992.0</v>
      </c>
      <c r="G2564" s="20"/>
      <c r="H2564" s="20" t="s">
        <v>587</v>
      </c>
      <c r="I2564" s="5"/>
      <c r="J2564" s="20">
        <v>6.0</v>
      </c>
      <c r="K2564" s="20">
        <v>349.0</v>
      </c>
      <c r="L2564" s="20"/>
      <c r="M2564" s="20">
        <v>349.0</v>
      </c>
      <c r="N2564" s="5" t="s">
        <v>67</v>
      </c>
      <c r="O2564" s="20" t="b">
        <v>0</v>
      </c>
      <c r="P2564" s="20" t="s">
        <v>68</v>
      </c>
      <c r="Q2564" s="20" t="s">
        <v>69</v>
      </c>
      <c r="R2564" s="20" t="s">
        <v>3774</v>
      </c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</row>
    <row r="2565">
      <c r="A2565" s="15" t="s">
        <v>9614</v>
      </c>
      <c r="B2565" s="19" t="s">
        <v>5526</v>
      </c>
      <c r="C2565" s="20">
        <v>50023.0</v>
      </c>
      <c r="D2565" s="20" t="s">
        <v>5525</v>
      </c>
      <c r="E2565" s="5">
        <v>9.19953415341E11</v>
      </c>
      <c r="F2565" s="22" t="s">
        <v>12593</v>
      </c>
      <c r="G2565" s="20"/>
      <c r="H2565" s="20" t="s">
        <v>5508</v>
      </c>
      <c r="I2565" s="5"/>
      <c r="J2565" s="20">
        <v>1.0</v>
      </c>
      <c r="K2565" s="20">
        <v>99.0</v>
      </c>
      <c r="L2565" s="20"/>
      <c r="M2565" s="20">
        <v>99.0</v>
      </c>
      <c r="N2565" s="5" t="s">
        <v>67</v>
      </c>
      <c r="O2565" s="20" t="b">
        <v>0</v>
      </c>
      <c r="P2565" s="20" t="s">
        <v>151</v>
      </c>
      <c r="Q2565" s="20" t="s">
        <v>69</v>
      </c>
      <c r="R2565" s="20" t="s">
        <v>5510</v>
      </c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</row>
    <row r="2566">
      <c r="A2566" s="15" t="s">
        <v>9613</v>
      </c>
      <c r="B2566" s="19" t="s">
        <v>5894</v>
      </c>
      <c r="C2566" s="20">
        <v>50054.0</v>
      </c>
      <c r="D2566" s="20" t="s">
        <v>5893</v>
      </c>
      <c r="E2566" s="5">
        <v>9.19970959118E11</v>
      </c>
      <c r="F2566" s="21">
        <v>19052.0</v>
      </c>
      <c r="G2566" s="20"/>
      <c r="H2566" s="20" t="s">
        <v>5822</v>
      </c>
      <c r="I2566" s="5"/>
      <c r="J2566" s="20">
        <v>1.0</v>
      </c>
      <c r="K2566" s="20">
        <v>99.0</v>
      </c>
      <c r="L2566" s="20"/>
      <c r="M2566" s="20">
        <v>99.0</v>
      </c>
      <c r="N2566" s="5" t="s">
        <v>67</v>
      </c>
      <c r="O2566" s="20" t="b">
        <v>0</v>
      </c>
      <c r="P2566" s="20" t="s">
        <v>151</v>
      </c>
      <c r="Q2566" s="20" t="s">
        <v>69</v>
      </c>
      <c r="R2566" s="20" t="s">
        <v>5824</v>
      </c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</row>
    <row r="2567">
      <c r="A2567" s="15" t="s">
        <v>9473</v>
      </c>
      <c r="B2567" s="19" t="s">
        <v>4319</v>
      </c>
      <c r="C2567" s="20">
        <v>50079.0</v>
      </c>
      <c r="D2567" s="20" t="s">
        <v>4318</v>
      </c>
      <c r="E2567" s="5">
        <v>9.1822086126E11</v>
      </c>
      <c r="F2567" s="21">
        <v>18997.0</v>
      </c>
      <c r="G2567" s="20"/>
      <c r="H2567" s="20" t="s">
        <v>4281</v>
      </c>
      <c r="I2567" s="5"/>
      <c r="J2567" s="20">
        <v>1.0</v>
      </c>
      <c r="K2567" s="20">
        <v>99.0</v>
      </c>
      <c r="L2567" s="20"/>
      <c r="M2567" s="20">
        <v>99.0</v>
      </c>
      <c r="N2567" s="5" t="s">
        <v>67</v>
      </c>
      <c r="O2567" s="20" t="b">
        <v>0</v>
      </c>
      <c r="P2567" s="20" t="s">
        <v>151</v>
      </c>
      <c r="Q2567" s="20" t="s">
        <v>69</v>
      </c>
      <c r="R2567" s="20" t="s">
        <v>4284</v>
      </c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</row>
    <row r="2568">
      <c r="A2568" s="15" t="s">
        <v>9474</v>
      </c>
      <c r="B2568" s="19" t="s">
        <v>4406</v>
      </c>
      <c r="C2568" s="20">
        <v>50110.0</v>
      </c>
      <c r="D2568" s="20" t="s">
        <v>4405</v>
      </c>
      <c r="E2568" s="5">
        <v>9.1986758324E11</v>
      </c>
      <c r="F2568" s="21">
        <v>19279.0</v>
      </c>
      <c r="G2568" s="20"/>
      <c r="H2568" s="20" t="s">
        <v>4399</v>
      </c>
      <c r="I2568" s="5"/>
      <c r="J2568" s="20">
        <v>1.0</v>
      </c>
      <c r="K2568" s="20">
        <v>99.0</v>
      </c>
      <c r="L2568" s="20"/>
      <c r="M2568" s="20">
        <v>99.0</v>
      </c>
      <c r="N2568" s="5" t="s">
        <v>67</v>
      </c>
      <c r="O2568" s="20" t="b">
        <v>0</v>
      </c>
      <c r="P2568" s="20" t="s">
        <v>68</v>
      </c>
      <c r="Q2568" s="20" t="s">
        <v>69</v>
      </c>
      <c r="R2568" s="20" t="s">
        <v>4402</v>
      </c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</row>
    <row r="2569">
      <c r="A2569" s="15" t="s">
        <v>9615</v>
      </c>
      <c r="B2569" s="19" t="s">
        <v>2863</v>
      </c>
      <c r="C2569" s="20">
        <v>50029.0</v>
      </c>
      <c r="D2569" s="20" t="s">
        <v>2862</v>
      </c>
      <c r="E2569" s="5">
        <v>9.19087246985E11</v>
      </c>
      <c r="F2569" s="21">
        <v>19053.0</v>
      </c>
      <c r="G2569" s="20"/>
      <c r="H2569" s="20" t="s">
        <v>2761</v>
      </c>
      <c r="I2569" s="5"/>
      <c r="J2569" s="20">
        <v>3.0</v>
      </c>
      <c r="K2569" s="20">
        <v>199.0</v>
      </c>
      <c r="L2569" s="20"/>
      <c r="M2569" s="20">
        <v>199.0</v>
      </c>
      <c r="N2569" s="5" t="s">
        <v>67</v>
      </c>
      <c r="O2569" s="20" t="b">
        <v>0</v>
      </c>
      <c r="P2569" s="20" t="s">
        <v>68</v>
      </c>
      <c r="Q2569" s="20" t="s">
        <v>69</v>
      </c>
      <c r="R2569" s="20" t="s">
        <v>2763</v>
      </c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</row>
    <row r="2570">
      <c r="A2570" s="15" t="s">
        <v>9476</v>
      </c>
      <c r="B2570" s="19" t="s">
        <v>5023</v>
      </c>
      <c r="C2570" s="20">
        <v>50094.0</v>
      </c>
      <c r="D2570" s="20" t="s">
        <v>5022</v>
      </c>
      <c r="E2570" s="5">
        <v>9.1942548029E11</v>
      </c>
      <c r="F2570" s="22" t="s">
        <v>12593</v>
      </c>
      <c r="G2570" s="20"/>
      <c r="H2570" s="20" t="s">
        <v>4942</v>
      </c>
      <c r="I2570" s="5"/>
      <c r="J2570" s="20">
        <v>3.0</v>
      </c>
      <c r="K2570" s="20">
        <v>399.0</v>
      </c>
      <c r="L2570" s="20"/>
      <c r="M2570" s="20">
        <v>399.0</v>
      </c>
      <c r="N2570" s="5" t="s">
        <v>67</v>
      </c>
      <c r="O2570" s="20" t="b">
        <v>0</v>
      </c>
      <c r="P2570" s="20" t="s">
        <v>74</v>
      </c>
      <c r="Q2570" s="20" t="s">
        <v>69</v>
      </c>
      <c r="R2570" s="20" t="s">
        <v>4945</v>
      </c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</row>
    <row r="2571">
      <c r="A2571" s="15" t="s">
        <v>9616</v>
      </c>
      <c r="B2571" s="19" t="s">
        <v>2664</v>
      </c>
      <c r="C2571" s="20">
        <v>50065.0</v>
      </c>
      <c r="D2571" s="20" t="s">
        <v>2663</v>
      </c>
      <c r="E2571" s="5">
        <v>9.19438366446E11</v>
      </c>
      <c r="F2571" s="21">
        <v>19054.0</v>
      </c>
      <c r="G2571" s="20"/>
      <c r="H2571" s="20" t="s">
        <v>2601</v>
      </c>
      <c r="I2571" s="5"/>
      <c r="J2571" s="20">
        <v>6.0</v>
      </c>
      <c r="K2571" s="20">
        <v>349.0</v>
      </c>
      <c r="L2571" s="20"/>
      <c r="M2571" s="20">
        <v>349.0</v>
      </c>
      <c r="N2571" s="5" t="s">
        <v>67</v>
      </c>
      <c r="O2571" s="20" t="b">
        <v>0</v>
      </c>
      <c r="P2571" s="20" t="s">
        <v>68</v>
      </c>
      <c r="Q2571" s="20" t="s">
        <v>69</v>
      </c>
      <c r="R2571" s="20" t="s">
        <v>2604</v>
      </c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</row>
    <row r="2572">
      <c r="A2572" s="15" t="s">
        <v>9618</v>
      </c>
      <c r="B2572" s="19" t="s">
        <v>5947</v>
      </c>
      <c r="C2572" s="20">
        <v>50054.0</v>
      </c>
      <c r="D2572" s="20" t="s">
        <v>5946</v>
      </c>
      <c r="E2572" s="5">
        <v>9.19810394776E11</v>
      </c>
      <c r="F2572" s="21">
        <v>20009.0</v>
      </c>
      <c r="G2572" s="20"/>
      <c r="H2572" s="20" t="s">
        <v>5822</v>
      </c>
      <c r="I2572" s="5"/>
      <c r="J2572" s="20">
        <v>6.0</v>
      </c>
      <c r="K2572" s="20">
        <v>349.0</v>
      </c>
      <c r="L2572" s="20"/>
      <c r="M2572" s="20">
        <v>349.0</v>
      </c>
      <c r="N2572" s="5" t="s">
        <v>67</v>
      </c>
      <c r="O2572" s="20" t="b">
        <v>0</v>
      </c>
      <c r="P2572" s="20" t="s">
        <v>151</v>
      </c>
      <c r="Q2572" s="20" t="s">
        <v>69</v>
      </c>
      <c r="R2572" s="20" t="s">
        <v>5921</v>
      </c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</row>
    <row r="2573">
      <c r="A2573" s="15" t="s">
        <v>9620</v>
      </c>
      <c r="B2573" s="19" t="s">
        <v>6609</v>
      </c>
      <c r="C2573" s="20">
        <v>49958.0</v>
      </c>
      <c r="D2573" s="20" t="s">
        <v>6608</v>
      </c>
      <c r="E2573" s="5">
        <v>9.19381178163E11</v>
      </c>
      <c r="F2573" s="21">
        <v>19055.0</v>
      </c>
      <c r="G2573" s="20"/>
      <c r="H2573" s="20" t="s">
        <v>6595</v>
      </c>
      <c r="I2573" s="5"/>
      <c r="J2573" s="20">
        <v>3.0</v>
      </c>
      <c r="K2573" s="20">
        <v>199.0</v>
      </c>
      <c r="L2573" s="20"/>
      <c r="M2573" s="20">
        <v>199.0</v>
      </c>
      <c r="N2573" s="5" t="s">
        <v>67</v>
      </c>
      <c r="O2573" s="20" t="b">
        <v>0</v>
      </c>
      <c r="P2573" s="20" t="s">
        <v>68</v>
      </c>
      <c r="Q2573" s="20" t="s">
        <v>69</v>
      </c>
      <c r="R2573" s="20" t="s">
        <v>6591</v>
      </c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</row>
    <row r="2574">
      <c r="A2574" s="15" t="s">
        <v>9482</v>
      </c>
      <c r="B2574" s="19" t="s">
        <v>3985</v>
      </c>
      <c r="C2574" s="20">
        <v>50091.0</v>
      </c>
      <c r="D2574" s="20" t="s">
        <v>3984</v>
      </c>
      <c r="E2574" s="5">
        <v>9.19930963908E11</v>
      </c>
      <c r="F2574" s="21">
        <v>19001.0</v>
      </c>
      <c r="G2574" s="20"/>
      <c r="H2574" s="20" t="s">
        <v>3978</v>
      </c>
      <c r="I2574" s="5"/>
      <c r="J2574" s="20">
        <v>1.0</v>
      </c>
      <c r="K2574" s="20">
        <v>99.0</v>
      </c>
      <c r="L2574" s="20"/>
      <c r="M2574" s="20">
        <v>99.0</v>
      </c>
      <c r="N2574" s="5" t="s">
        <v>67</v>
      </c>
      <c r="O2574" s="20" t="b">
        <v>0</v>
      </c>
      <c r="P2574" s="20" t="s">
        <v>74</v>
      </c>
      <c r="Q2574" s="20" t="s">
        <v>69</v>
      </c>
      <c r="R2574" s="20" t="s">
        <v>3981</v>
      </c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</row>
    <row r="2575">
      <c r="A2575" s="15" t="s">
        <v>9625</v>
      </c>
      <c r="B2575" s="19" t="s">
        <v>6402</v>
      </c>
      <c r="C2575" s="20">
        <v>50043.0</v>
      </c>
      <c r="D2575" s="20" t="s">
        <v>6401</v>
      </c>
      <c r="E2575" s="5">
        <v>9.18969584242E11</v>
      </c>
      <c r="F2575" s="21">
        <v>19056.0</v>
      </c>
      <c r="G2575" s="20"/>
      <c r="H2575" s="20" t="s">
        <v>6367</v>
      </c>
      <c r="I2575" s="5"/>
      <c r="J2575" s="20">
        <v>1.0</v>
      </c>
      <c r="K2575" s="20">
        <v>99.0</v>
      </c>
      <c r="L2575" s="20"/>
      <c r="M2575" s="20">
        <v>99.0</v>
      </c>
      <c r="N2575" s="5" t="s">
        <v>67</v>
      </c>
      <c r="O2575" s="20" t="b">
        <v>0</v>
      </c>
      <c r="P2575" s="20" t="s">
        <v>68</v>
      </c>
      <c r="Q2575" s="20" t="s">
        <v>69</v>
      </c>
      <c r="R2575" s="20" t="s">
        <v>6369</v>
      </c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</row>
    <row r="2576">
      <c r="A2576" s="15" t="s">
        <v>9627</v>
      </c>
      <c r="B2576" s="19" t="s">
        <v>5031</v>
      </c>
      <c r="C2576" s="20">
        <v>50094.0</v>
      </c>
      <c r="D2576" s="20" t="s">
        <v>5030</v>
      </c>
      <c r="E2576" s="5">
        <v>9.17898203976E11</v>
      </c>
      <c r="F2576" s="21">
        <v>19059.0</v>
      </c>
      <c r="G2576" s="20"/>
      <c r="H2576" s="20" t="s">
        <v>4942</v>
      </c>
      <c r="I2576" s="5"/>
      <c r="J2576" s="20">
        <v>3.0</v>
      </c>
      <c r="K2576" s="20">
        <v>399.0</v>
      </c>
      <c r="L2576" s="20"/>
      <c r="M2576" s="20">
        <v>399.0</v>
      </c>
      <c r="N2576" s="5" t="s">
        <v>67</v>
      </c>
      <c r="O2576" s="20" t="b">
        <v>0</v>
      </c>
      <c r="P2576" s="20" t="s">
        <v>68</v>
      </c>
      <c r="Q2576" s="20" t="s">
        <v>69</v>
      </c>
      <c r="R2576" s="20" t="s">
        <v>4945</v>
      </c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</row>
    <row r="2577">
      <c r="A2577" s="15" t="s">
        <v>9628</v>
      </c>
      <c r="B2577" s="19" t="s">
        <v>5031</v>
      </c>
      <c r="C2577" s="20">
        <v>50094.0</v>
      </c>
      <c r="D2577" s="20" t="s">
        <v>5032</v>
      </c>
      <c r="E2577" s="5">
        <v>9.17750004698E11</v>
      </c>
      <c r="F2577" s="21">
        <v>19058.0</v>
      </c>
      <c r="G2577" s="20"/>
      <c r="H2577" s="20" t="s">
        <v>4942</v>
      </c>
      <c r="I2577" s="5"/>
      <c r="J2577" s="20">
        <v>1.0</v>
      </c>
      <c r="K2577" s="20">
        <v>199.0</v>
      </c>
      <c r="L2577" s="20"/>
      <c r="M2577" s="20">
        <v>199.0</v>
      </c>
      <c r="N2577" s="5" t="s">
        <v>67</v>
      </c>
      <c r="O2577" s="20" t="b">
        <v>0</v>
      </c>
      <c r="P2577" s="20" t="s">
        <v>68</v>
      </c>
      <c r="Q2577" s="20" t="s">
        <v>69</v>
      </c>
      <c r="R2577" s="20" t="s">
        <v>4945</v>
      </c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</row>
    <row r="2578">
      <c r="A2578" s="15" t="s">
        <v>9626</v>
      </c>
      <c r="B2578" s="19" t="s">
        <v>5896</v>
      </c>
      <c r="C2578" s="20">
        <v>50054.0</v>
      </c>
      <c r="D2578" s="20" t="s">
        <v>5895</v>
      </c>
      <c r="E2578" s="5">
        <v>9.17036380507E11</v>
      </c>
      <c r="F2578" s="21">
        <v>19057.0</v>
      </c>
      <c r="G2578" s="20"/>
      <c r="H2578" s="20" t="s">
        <v>5822</v>
      </c>
      <c r="I2578" s="5"/>
      <c r="J2578" s="20">
        <v>3.0</v>
      </c>
      <c r="K2578" s="20">
        <v>199.0</v>
      </c>
      <c r="L2578" s="20"/>
      <c r="M2578" s="20">
        <v>199.0</v>
      </c>
      <c r="N2578" s="5" t="s">
        <v>67</v>
      </c>
      <c r="O2578" s="20" t="b">
        <v>0</v>
      </c>
      <c r="P2578" s="20" t="s">
        <v>68</v>
      </c>
      <c r="Q2578" s="20" t="s">
        <v>69</v>
      </c>
      <c r="R2578" s="20" t="s">
        <v>5824</v>
      </c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</row>
    <row r="2579">
      <c r="A2579" s="15" t="s">
        <v>9485</v>
      </c>
      <c r="B2579" s="19" t="s">
        <v>4832</v>
      </c>
      <c r="C2579" s="20">
        <v>49996.0</v>
      </c>
      <c r="D2579" s="20" t="s">
        <v>4831</v>
      </c>
      <c r="E2579" s="5">
        <v>9.19517433509E11</v>
      </c>
      <c r="F2579" s="21">
        <v>19002.0</v>
      </c>
      <c r="G2579" s="20"/>
      <c r="H2579" s="20" t="s">
        <v>4796</v>
      </c>
      <c r="I2579" s="5"/>
      <c r="J2579" s="20">
        <v>1.0</v>
      </c>
      <c r="K2579" s="20">
        <v>99.0</v>
      </c>
      <c r="L2579" s="20"/>
      <c r="M2579" s="20">
        <v>99.0</v>
      </c>
      <c r="N2579" s="5" t="s">
        <v>67</v>
      </c>
      <c r="O2579" s="20" t="b">
        <v>0</v>
      </c>
      <c r="P2579" s="20" t="s">
        <v>68</v>
      </c>
      <c r="Q2579" s="20" t="s">
        <v>69</v>
      </c>
      <c r="R2579" s="20" t="s">
        <v>4799</v>
      </c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</row>
    <row r="2580">
      <c r="A2580" s="15" t="s">
        <v>9486</v>
      </c>
      <c r="B2580" s="19" t="s">
        <v>6106</v>
      </c>
      <c r="C2580" s="20">
        <v>50076.0</v>
      </c>
      <c r="D2580" s="20" t="s">
        <v>6105</v>
      </c>
      <c r="E2580" s="5">
        <v>9.17073084502E11</v>
      </c>
      <c r="F2580" s="21">
        <v>19004.0</v>
      </c>
      <c r="G2580" s="20"/>
      <c r="H2580" s="20" t="s">
        <v>5984</v>
      </c>
      <c r="I2580" s="5"/>
      <c r="J2580" s="20">
        <v>1.0</v>
      </c>
      <c r="K2580" s="20">
        <v>199.0</v>
      </c>
      <c r="L2580" s="20"/>
      <c r="M2580" s="20">
        <v>199.0</v>
      </c>
      <c r="N2580" s="5" t="s">
        <v>67</v>
      </c>
      <c r="O2580" s="20" t="b">
        <v>0</v>
      </c>
      <c r="P2580" s="20" t="s">
        <v>68</v>
      </c>
      <c r="Q2580" s="20" t="s">
        <v>69</v>
      </c>
      <c r="R2580" s="20" t="s">
        <v>5987</v>
      </c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</row>
    <row r="2581">
      <c r="A2581" s="15" t="s">
        <v>9487</v>
      </c>
      <c r="B2581" s="19" t="s">
        <v>4159</v>
      </c>
      <c r="C2581" s="20">
        <v>49833.0</v>
      </c>
      <c r="D2581" s="20" t="s">
        <v>966</v>
      </c>
      <c r="E2581" s="5">
        <v>9.18826223205E11</v>
      </c>
      <c r="F2581" s="21">
        <v>16490.0</v>
      </c>
      <c r="G2581" s="20"/>
      <c r="H2581" s="20" t="s">
        <v>4030</v>
      </c>
      <c r="I2581" s="5"/>
      <c r="J2581" s="20">
        <v>1.0</v>
      </c>
      <c r="K2581" s="20">
        <v>99.0</v>
      </c>
      <c r="L2581" s="20"/>
      <c r="M2581" s="20">
        <v>99.0</v>
      </c>
      <c r="N2581" s="5" t="s">
        <v>67</v>
      </c>
      <c r="O2581" s="20" t="b">
        <v>0</v>
      </c>
      <c r="P2581" s="20" t="s">
        <v>68</v>
      </c>
      <c r="Q2581" s="20" t="s">
        <v>69</v>
      </c>
      <c r="R2581" s="20" t="s">
        <v>4033</v>
      </c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</row>
    <row r="2582">
      <c r="A2582" s="15" t="s">
        <v>9637</v>
      </c>
      <c r="B2582" s="19" t="s">
        <v>4165</v>
      </c>
      <c r="C2582" s="20">
        <v>49833.0</v>
      </c>
      <c r="D2582" s="20" t="s">
        <v>4164</v>
      </c>
      <c r="E2582" s="5">
        <v>9.1987107955E11</v>
      </c>
      <c r="F2582" s="21">
        <v>19061.0</v>
      </c>
      <c r="G2582" s="20"/>
      <c r="H2582" s="20" t="s">
        <v>4030</v>
      </c>
      <c r="I2582" s="5"/>
      <c r="J2582" s="20">
        <v>6.0</v>
      </c>
      <c r="K2582" s="20">
        <v>349.0</v>
      </c>
      <c r="L2582" s="20"/>
      <c r="M2582" s="20">
        <v>349.0</v>
      </c>
      <c r="N2582" s="5" t="s">
        <v>67</v>
      </c>
      <c r="O2582" s="20" t="b">
        <v>0</v>
      </c>
      <c r="P2582" s="20" t="s">
        <v>68</v>
      </c>
      <c r="Q2582" s="20" t="s">
        <v>69</v>
      </c>
      <c r="R2582" s="20" t="s">
        <v>4033</v>
      </c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</row>
    <row r="2583">
      <c r="A2583" s="15" t="s">
        <v>9638</v>
      </c>
      <c r="B2583" s="19" t="s">
        <v>4165</v>
      </c>
      <c r="C2583" s="20">
        <v>50076.0</v>
      </c>
      <c r="D2583" s="20" t="s">
        <v>6115</v>
      </c>
      <c r="E2583" s="5">
        <v>9.19176295567E11</v>
      </c>
      <c r="F2583" s="22" t="s">
        <v>12593</v>
      </c>
      <c r="G2583" s="20"/>
      <c r="H2583" s="20" t="s">
        <v>5984</v>
      </c>
      <c r="I2583" s="5"/>
      <c r="J2583" s="20">
        <v>1.0</v>
      </c>
      <c r="K2583" s="20">
        <v>199.0</v>
      </c>
      <c r="L2583" s="20"/>
      <c r="M2583" s="20">
        <v>199.0</v>
      </c>
      <c r="N2583" s="5" t="s">
        <v>67</v>
      </c>
      <c r="O2583" s="20" t="b">
        <v>0</v>
      </c>
      <c r="P2583" s="20" t="s">
        <v>74</v>
      </c>
      <c r="Q2583" s="20" t="s">
        <v>69</v>
      </c>
      <c r="R2583" s="20" t="s">
        <v>5987</v>
      </c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</row>
    <row r="2584">
      <c r="A2584" s="15" t="s">
        <v>9639</v>
      </c>
      <c r="B2584" s="19" t="s">
        <v>5528</v>
      </c>
      <c r="C2584" s="20">
        <v>50023.0</v>
      </c>
      <c r="D2584" s="20" t="s">
        <v>5527</v>
      </c>
      <c r="E2584" s="5">
        <v>9.19352968815E11</v>
      </c>
      <c r="F2584" s="21">
        <v>19064.0</v>
      </c>
      <c r="G2584" s="20"/>
      <c r="H2584" s="20" t="s">
        <v>5508</v>
      </c>
      <c r="I2584" s="5"/>
      <c r="J2584" s="20">
        <v>1.0</v>
      </c>
      <c r="K2584" s="20">
        <v>99.0</v>
      </c>
      <c r="L2584" s="20"/>
      <c r="M2584" s="20">
        <v>99.0</v>
      </c>
      <c r="N2584" s="5" t="s">
        <v>67</v>
      </c>
      <c r="O2584" s="20" t="b">
        <v>0</v>
      </c>
      <c r="P2584" s="20" t="s">
        <v>68</v>
      </c>
      <c r="Q2584" s="20" t="s">
        <v>69</v>
      </c>
      <c r="R2584" s="20" t="s">
        <v>5510</v>
      </c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</row>
    <row r="2585">
      <c r="A2585" s="15" t="s">
        <v>9488</v>
      </c>
      <c r="B2585" s="19" t="s">
        <v>5267</v>
      </c>
      <c r="C2585" s="20">
        <v>50022.0</v>
      </c>
      <c r="D2585" s="20" t="s">
        <v>5266</v>
      </c>
      <c r="E2585" s="5">
        <v>9.18171153999E11</v>
      </c>
      <c r="F2585" s="21">
        <v>19003.0</v>
      </c>
      <c r="G2585" s="20"/>
      <c r="H2585" s="20" t="s">
        <v>5181</v>
      </c>
      <c r="I2585" s="5"/>
      <c r="J2585" s="20">
        <v>1.0</v>
      </c>
      <c r="K2585" s="20">
        <v>99.0</v>
      </c>
      <c r="L2585" s="20"/>
      <c r="M2585" s="20">
        <v>99.0</v>
      </c>
      <c r="N2585" s="5" t="s">
        <v>67</v>
      </c>
      <c r="O2585" s="20" t="b">
        <v>0</v>
      </c>
      <c r="P2585" s="20" t="s">
        <v>74</v>
      </c>
      <c r="Q2585" s="20" t="s">
        <v>69</v>
      </c>
      <c r="R2585" s="20" t="s">
        <v>5183</v>
      </c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</row>
    <row r="2586">
      <c r="A2586" s="15" t="s">
        <v>9646</v>
      </c>
      <c r="B2586" s="19" t="s">
        <v>2865</v>
      </c>
      <c r="C2586" s="20">
        <v>50029.0</v>
      </c>
      <c r="D2586" s="20" t="s">
        <v>2864</v>
      </c>
      <c r="E2586" s="5">
        <v>9.19916368294E11</v>
      </c>
      <c r="F2586" s="21">
        <v>19066.0</v>
      </c>
      <c r="G2586" s="20"/>
      <c r="H2586" s="20" t="s">
        <v>2761</v>
      </c>
      <c r="I2586" s="5"/>
      <c r="J2586" s="20">
        <v>6.0</v>
      </c>
      <c r="K2586" s="20">
        <v>349.0</v>
      </c>
      <c r="L2586" s="20"/>
      <c r="M2586" s="20">
        <v>349.0</v>
      </c>
      <c r="N2586" s="5" t="s">
        <v>67</v>
      </c>
      <c r="O2586" s="20" t="b">
        <v>0</v>
      </c>
      <c r="P2586" s="20" t="s">
        <v>74</v>
      </c>
      <c r="Q2586" s="20" t="s">
        <v>69</v>
      </c>
      <c r="R2586" s="20" t="s">
        <v>2763</v>
      </c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</row>
    <row r="2587">
      <c r="A2587" s="15" t="s">
        <v>9644</v>
      </c>
      <c r="B2587" s="19" t="s">
        <v>6162</v>
      </c>
      <c r="C2587" s="20">
        <v>49978.0</v>
      </c>
      <c r="D2587" s="20" t="s">
        <v>6161</v>
      </c>
      <c r="E2587" s="5">
        <v>9.19997271499E11</v>
      </c>
      <c r="F2587" s="21">
        <v>19063.0</v>
      </c>
      <c r="G2587" s="20"/>
      <c r="H2587" s="20" t="s">
        <v>2150</v>
      </c>
      <c r="I2587" s="5"/>
      <c r="J2587" s="20">
        <v>1.0</v>
      </c>
      <c r="K2587" s="20">
        <v>99.0</v>
      </c>
      <c r="L2587" s="20"/>
      <c r="M2587" s="20">
        <v>99.0</v>
      </c>
      <c r="N2587" s="5" t="s">
        <v>67</v>
      </c>
      <c r="O2587" s="20" t="b">
        <v>0</v>
      </c>
      <c r="P2587" s="20" t="s">
        <v>68</v>
      </c>
      <c r="Q2587" s="20" t="s">
        <v>69</v>
      </c>
      <c r="R2587" s="20" t="s">
        <v>6156</v>
      </c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</row>
    <row r="2588">
      <c r="A2588" s="15" t="s">
        <v>9645</v>
      </c>
      <c r="B2588" s="19" t="s">
        <v>4933</v>
      </c>
      <c r="C2588" s="20">
        <v>50113.0</v>
      </c>
      <c r="D2588" s="20" t="s">
        <v>4932</v>
      </c>
      <c r="E2588" s="5">
        <v>9.18177802647E11</v>
      </c>
      <c r="F2588" s="21">
        <v>19065.0</v>
      </c>
      <c r="G2588" s="20"/>
      <c r="H2588" s="20" t="s">
        <v>4914</v>
      </c>
      <c r="I2588" s="20" t="s">
        <v>4931</v>
      </c>
      <c r="J2588" s="20">
        <v>1.0</v>
      </c>
      <c r="K2588" s="20">
        <v>349.0</v>
      </c>
      <c r="L2588" s="20"/>
      <c r="M2588" s="20">
        <v>349.0</v>
      </c>
      <c r="N2588" s="5" t="s">
        <v>67</v>
      </c>
      <c r="O2588" s="20" t="b">
        <v>0</v>
      </c>
      <c r="P2588" s="20" t="s">
        <v>68</v>
      </c>
      <c r="Q2588" s="20" t="s">
        <v>69</v>
      </c>
      <c r="R2588" s="20" t="s">
        <v>4918</v>
      </c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</row>
    <row r="2589">
      <c r="A2589" s="15" t="s">
        <v>9491</v>
      </c>
      <c r="B2589" s="19" t="s">
        <v>5522</v>
      </c>
      <c r="C2589" s="20">
        <v>50023.0</v>
      </c>
      <c r="D2589" s="20" t="s">
        <v>5521</v>
      </c>
      <c r="E2589" s="5">
        <v>9.16262487208E11</v>
      </c>
      <c r="F2589" s="21">
        <v>19005.0</v>
      </c>
      <c r="G2589" s="20"/>
      <c r="H2589" s="20" t="s">
        <v>5508</v>
      </c>
      <c r="I2589" s="5"/>
      <c r="J2589" s="20">
        <v>1.0</v>
      </c>
      <c r="K2589" s="20">
        <v>99.0</v>
      </c>
      <c r="L2589" s="20"/>
      <c r="M2589" s="20">
        <v>99.0</v>
      </c>
      <c r="N2589" s="5" t="s">
        <v>67</v>
      </c>
      <c r="O2589" s="20" t="b">
        <v>0</v>
      </c>
      <c r="P2589" s="20" t="s">
        <v>68</v>
      </c>
      <c r="Q2589" s="20" t="s">
        <v>69</v>
      </c>
      <c r="R2589" s="20" t="s">
        <v>5510</v>
      </c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</row>
    <row r="2590">
      <c r="A2590" s="15" t="s">
        <v>9647</v>
      </c>
      <c r="B2590" s="19" t="s">
        <v>5898</v>
      </c>
      <c r="C2590" s="20">
        <v>50054.0</v>
      </c>
      <c r="D2590" s="20" t="s">
        <v>5897</v>
      </c>
      <c r="E2590" s="5">
        <v>9.18010468705E11</v>
      </c>
      <c r="F2590" s="21">
        <v>19067.0</v>
      </c>
      <c r="G2590" s="20"/>
      <c r="H2590" s="20" t="s">
        <v>5822</v>
      </c>
      <c r="I2590" s="5"/>
      <c r="J2590" s="20">
        <v>1.0</v>
      </c>
      <c r="K2590" s="20">
        <v>99.0</v>
      </c>
      <c r="L2590" s="20"/>
      <c r="M2590" s="20">
        <v>99.0</v>
      </c>
      <c r="N2590" s="5" t="s">
        <v>67</v>
      </c>
      <c r="O2590" s="20" t="b">
        <v>0</v>
      </c>
      <c r="P2590" s="20" t="s">
        <v>68</v>
      </c>
      <c r="Q2590" s="20" t="s">
        <v>69</v>
      </c>
      <c r="R2590" s="20" t="s">
        <v>5824</v>
      </c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</row>
    <row r="2591">
      <c r="A2591" s="15" t="s">
        <v>9648</v>
      </c>
      <c r="B2591" s="19" t="s">
        <v>5898</v>
      </c>
      <c r="C2591" s="20">
        <v>49958.0</v>
      </c>
      <c r="D2591" s="20" t="s">
        <v>6610</v>
      </c>
      <c r="E2591" s="5">
        <v>9.19972520716E11</v>
      </c>
      <c r="F2591" s="21">
        <v>19068.0</v>
      </c>
      <c r="G2591" s="20"/>
      <c r="H2591" s="20" t="s">
        <v>6595</v>
      </c>
      <c r="I2591" s="5"/>
      <c r="J2591" s="20">
        <v>3.0</v>
      </c>
      <c r="K2591" s="20">
        <v>199.0</v>
      </c>
      <c r="L2591" s="20"/>
      <c r="M2591" s="20">
        <v>199.0</v>
      </c>
      <c r="N2591" s="5" t="s">
        <v>67</v>
      </c>
      <c r="O2591" s="20" t="b">
        <v>0</v>
      </c>
      <c r="P2591" s="20" t="s">
        <v>68</v>
      </c>
      <c r="Q2591" s="20" t="s">
        <v>69</v>
      </c>
      <c r="R2591" s="20" t="s">
        <v>6591</v>
      </c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</row>
    <row r="2592">
      <c r="A2592" s="15" t="s">
        <v>9649</v>
      </c>
      <c r="B2592" s="19" t="s">
        <v>3125</v>
      </c>
      <c r="C2592" s="20">
        <v>49991.0</v>
      </c>
      <c r="D2592" s="20" t="s">
        <v>3124</v>
      </c>
      <c r="E2592" s="5">
        <v>1.7059708485E10</v>
      </c>
      <c r="F2592" s="21">
        <v>19111.0</v>
      </c>
      <c r="G2592" s="20"/>
      <c r="H2592" s="20" t="s">
        <v>3055</v>
      </c>
      <c r="I2592" s="5"/>
      <c r="J2592" s="20">
        <v>3.0</v>
      </c>
      <c r="K2592" s="20">
        <v>199.0</v>
      </c>
      <c r="L2592" s="20"/>
      <c r="M2592" s="20">
        <v>199.0</v>
      </c>
      <c r="N2592" s="5" t="s">
        <v>67</v>
      </c>
      <c r="O2592" s="20" t="b">
        <v>0</v>
      </c>
      <c r="P2592" s="20" t="s">
        <v>97</v>
      </c>
      <c r="Q2592" s="20" t="s">
        <v>69</v>
      </c>
      <c r="R2592" s="20" t="s">
        <v>3057</v>
      </c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</row>
    <row r="2593">
      <c r="A2593" s="15" t="s">
        <v>9500</v>
      </c>
      <c r="B2593" s="19" t="s">
        <v>5269</v>
      </c>
      <c r="C2593" s="20">
        <v>50022.0</v>
      </c>
      <c r="D2593" s="20" t="s">
        <v>5268</v>
      </c>
      <c r="E2593" s="5">
        <v>9.19557581405E11</v>
      </c>
      <c r="F2593" s="21">
        <v>19007.0</v>
      </c>
      <c r="G2593" s="20"/>
      <c r="H2593" s="20" t="s">
        <v>5181</v>
      </c>
      <c r="I2593" s="5"/>
      <c r="J2593" s="20">
        <v>1.0</v>
      </c>
      <c r="K2593" s="20">
        <v>99.0</v>
      </c>
      <c r="L2593" s="20"/>
      <c r="M2593" s="20">
        <v>99.0</v>
      </c>
      <c r="N2593" s="5" t="s">
        <v>67</v>
      </c>
      <c r="O2593" s="20" t="b">
        <v>0</v>
      </c>
      <c r="P2593" s="20" t="s">
        <v>68</v>
      </c>
      <c r="Q2593" s="20" t="s">
        <v>69</v>
      </c>
      <c r="R2593" s="20" t="s">
        <v>5183</v>
      </c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</row>
    <row r="2594">
      <c r="A2594" s="15" t="s">
        <v>9655</v>
      </c>
      <c r="B2594" s="19" t="s">
        <v>4167</v>
      </c>
      <c r="C2594" s="20">
        <v>49833.0</v>
      </c>
      <c r="D2594" s="20" t="s">
        <v>4166</v>
      </c>
      <c r="E2594" s="5">
        <v>9.1997110073E11</v>
      </c>
      <c r="F2594" s="21">
        <v>19071.0</v>
      </c>
      <c r="G2594" s="20"/>
      <c r="H2594" s="20" t="s">
        <v>4030</v>
      </c>
      <c r="I2594" s="5"/>
      <c r="J2594" s="20">
        <v>3.0</v>
      </c>
      <c r="K2594" s="20">
        <v>199.0</v>
      </c>
      <c r="L2594" s="20"/>
      <c r="M2594" s="20">
        <v>199.0</v>
      </c>
      <c r="N2594" s="5" t="s">
        <v>67</v>
      </c>
      <c r="O2594" s="20" t="b">
        <v>0</v>
      </c>
      <c r="P2594" s="20" t="s">
        <v>68</v>
      </c>
      <c r="Q2594" s="20" t="s">
        <v>69</v>
      </c>
      <c r="R2594" s="20" t="s">
        <v>4033</v>
      </c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</row>
    <row r="2595">
      <c r="A2595" s="15" t="s">
        <v>9656</v>
      </c>
      <c r="B2595" s="19" t="s">
        <v>6164</v>
      </c>
      <c r="C2595" s="20">
        <v>49978.0</v>
      </c>
      <c r="D2595" s="20" t="s">
        <v>6163</v>
      </c>
      <c r="E2595" s="5">
        <v>9.19810608604E11</v>
      </c>
      <c r="F2595" s="21">
        <v>0.0</v>
      </c>
      <c r="G2595" s="20"/>
      <c r="H2595" s="20" t="s">
        <v>2150</v>
      </c>
      <c r="I2595" s="5"/>
      <c r="J2595" s="20">
        <v>1.0</v>
      </c>
      <c r="K2595" s="20">
        <v>99.0</v>
      </c>
      <c r="L2595" s="20"/>
      <c r="M2595" s="20">
        <v>99.0</v>
      </c>
      <c r="N2595" s="5" t="s">
        <v>67</v>
      </c>
      <c r="O2595" s="20" t="b">
        <v>0</v>
      </c>
      <c r="P2595" s="20" t="s">
        <v>74</v>
      </c>
      <c r="Q2595" s="20" t="s">
        <v>69</v>
      </c>
      <c r="R2595" s="20" t="s">
        <v>6156</v>
      </c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</row>
    <row r="2596">
      <c r="A2596" s="15" t="s">
        <v>9496</v>
      </c>
      <c r="B2596" s="19" t="s">
        <v>3458</v>
      </c>
      <c r="C2596" s="20">
        <v>50030.0</v>
      </c>
      <c r="D2596" s="20" t="s">
        <v>3457</v>
      </c>
      <c r="E2596" s="5">
        <v>9.17353757717E11</v>
      </c>
      <c r="F2596" s="21">
        <v>0.0</v>
      </c>
      <c r="G2596" s="20"/>
      <c r="H2596" s="20" t="s">
        <v>3326</v>
      </c>
      <c r="I2596" s="5"/>
      <c r="J2596" s="20">
        <v>1.0</v>
      </c>
      <c r="K2596" s="20">
        <v>99.0</v>
      </c>
      <c r="L2596" s="20"/>
      <c r="M2596" s="20">
        <v>99.0</v>
      </c>
      <c r="N2596" s="5" t="s">
        <v>67</v>
      </c>
      <c r="O2596" s="20" t="b">
        <v>0</v>
      </c>
      <c r="P2596" s="20" t="s">
        <v>68</v>
      </c>
      <c r="Q2596" s="20" t="s">
        <v>69</v>
      </c>
      <c r="R2596" s="20" t="s">
        <v>3328</v>
      </c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</row>
    <row r="2597">
      <c r="A2597" s="15" t="s">
        <v>9497</v>
      </c>
      <c r="B2597" s="19" t="s">
        <v>2660</v>
      </c>
      <c r="C2597" s="20">
        <v>50065.0</v>
      </c>
      <c r="D2597" s="20" t="s">
        <v>2659</v>
      </c>
      <c r="E2597" s="5">
        <v>9.19829163068E11</v>
      </c>
      <c r="F2597" s="21">
        <v>19006.0</v>
      </c>
      <c r="G2597" s="20"/>
      <c r="H2597" s="20" t="s">
        <v>2601</v>
      </c>
      <c r="I2597" s="5"/>
      <c r="J2597" s="20">
        <v>1.0</v>
      </c>
      <c r="K2597" s="20">
        <v>99.0</v>
      </c>
      <c r="L2597" s="20"/>
      <c r="M2597" s="20">
        <v>99.0</v>
      </c>
      <c r="N2597" s="5" t="s">
        <v>67</v>
      </c>
      <c r="O2597" s="20" t="b">
        <v>0</v>
      </c>
      <c r="P2597" s="20" t="s">
        <v>74</v>
      </c>
      <c r="Q2597" s="20" t="s">
        <v>69</v>
      </c>
      <c r="R2597" s="20" t="s">
        <v>2604</v>
      </c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</row>
    <row r="2598">
      <c r="A2598" s="15" t="s">
        <v>9503</v>
      </c>
      <c r="B2598" s="19" t="s">
        <v>2526</v>
      </c>
      <c r="C2598" s="20">
        <v>49997.0</v>
      </c>
      <c r="D2598" s="20" t="s">
        <v>2525</v>
      </c>
      <c r="E2598" s="5">
        <v>9.16281153863E11</v>
      </c>
      <c r="F2598" s="21">
        <v>19008.0</v>
      </c>
      <c r="G2598" s="20"/>
      <c r="H2598" s="20" t="s">
        <v>2455</v>
      </c>
      <c r="I2598" s="5"/>
      <c r="J2598" s="20">
        <v>1.0</v>
      </c>
      <c r="K2598" s="20">
        <v>99.0</v>
      </c>
      <c r="L2598" s="20"/>
      <c r="M2598" s="20">
        <v>99.0</v>
      </c>
      <c r="N2598" s="5" t="s">
        <v>67</v>
      </c>
      <c r="O2598" s="20" t="b">
        <v>0</v>
      </c>
      <c r="P2598" s="20" t="s">
        <v>68</v>
      </c>
      <c r="Q2598" s="20" t="s">
        <v>69</v>
      </c>
      <c r="R2598" s="20" t="s">
        <v>2457</v>
      </c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</row>
    <row r="2599">
      <c r="A2599" s="15" t="s">
        <v>9670</v>
      </c>
      <c r="B2599" s="19" t="s">
        <v>5034</v>
      </c>
      <c r="C2599" s="20">
        <v>50094.0</v>
      </c>
      <c r="D2599" s="20" t="s">
        <v>5033</v>
      </c>
      <c r="E2599" s="5">
        <v>9.17219407815E11</v>
      </c>
      <c r="F2599" s="21">
        <v>19075.0</v>
      </c>
      <c r="G2599" s="20"/>
      <c r="H2599" s="20" t="s">
        <v>4942</v>
      </c>
      <c r="I2599" s="5"/>
      <c r="J2599" s="20">
        <v>1.0</v>
      </c>
      <c r="K2599" s="20">
        <v>199.0</v>
      </c>
      <c r="L2599" s="20"/>
      <c r="M2599" s="20">
        <v>199.0</v>
      </c>
      <c r="N2599" s="5" t="s">
        <v>67</v>
      </c>
      <c r="O2599" s="20" t="b">
        <v>0</v>
      </c>
      <c r="P2599" s="20" t="s">
        <v>68</v>
      </c>
      <c r="Q2599" s="20" t="s">
        <v>69</v>
      </c>
      <c r="R2599" s="20" t="s">
        <v>4945</v>
      </c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</row>
    <row r="2600">
      <c r="A2600" s="15" t="s">
        <v>9667</v>
      </c>
      <c r="B2600" s="19" t="s">
        <v>2666</v>
      </c>
      <c r="C2600" s="20">
        <v>50043.0</v>
      </c>
      <c r="D2600" s="20" t="s">
        <v>6403</v>
      </c>
      <c r="E2600" s="5">
        <v>9.18078680424E11</v>
      </c>
      <c r="F2600" s="21">
        <v>19073.0</v>
      </c>
      <c r="G2600" s="20"/>
      <c r="H2600" s="20" t="s">
        <v>6367</v>
      </c>
      <c r="I2600" s="5"/>
      <c r="J2600" s="20">
        <v>1.0</v>
      </c>
      <c r="K2600" s="20">
        <v>99.0</v>
      </c>
      <c r="L2600" s="20"/>
      <c r="M2600" s="20">
        <v>99.0</v>
      </c>
      <c r="N2600" s="5" t="s">
        <v>67</v>
      </c>
      <c r="O2600" s="20" t="b">
        <v>0</v>
      </c>
      <c r="P2600" s="20" t="s">
        <v>68</v>
      </c>
      <c r="Q2600" s="20" t="s">
        <v>69</v>
      </c>
      <c r="R2600" s="20" t="s">
        <v>6369</v>
      </c>
      <c r="T2600" s="20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</row>
    <row r="2601">
      <c r="A2601" s="15" t="s">
        <v>9668</v>
      </c>
      <c r="B2601" s="19" t="s">
        <v>2666</v>
      </c>
      <c r="C2601" s="20">
        <v>50065.0</v>
      </c>
      <c r="D2601" s="20" t="s">
        <v>2665</v>
      </c>
      <c r="E2601" s="5">
        <v>9.19873012203E11</v>
      </c>
      <c r="F2601" s="21">
        <v>19074.0</v>
      </c>
      <c r="G2601" s="20"/>
      <c r="H2601" s="20" t="s">
        <v>2601</v>
      </c>
      <c r="I2601" s="5"/>
      <c r="J2601" s="20">
        <v>1.0</v>
      </c>
      <c r="K2601" s="20">
        <v>99.0</v>
      </c>
      <c r="L2601" s="20"/>
      <c r="M2601" s="20">
        <v>99.0</v>
      </c>
      <c r="N2601" s="5" t="s">
        <v>67</v>
      </c>
      <c r="O2601" s="20" t="b">
        <v>0</v>
      </c>
      <c r="P2601" s="20" t="s">
        <v>68</v>
      </c>
      <c r="Q2601" s="20" t="s">
        <v>69</v>
      </c>
      <c r="R2601" s="20" t="s">
        <v>2604</v>
      </c>
      <c r="T2601" s="20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</row>
    <row r="2602">
      <c r="A2602" s="15" t="s">
        <v>9672</v>
      </c>
      <c r="B2602" s="19" t="s">
        <v>4703</v>
      </c>
      <c r="C2602" s="20">
        <v>49859.0</v>
      </c>
      <c r="D2602" s="20" t="s">
        <v>4702</v>
      </c>
      <c r="E2602" s="5">
        <v>9.19508058885E11</v>
      </c>
      <c r="F2602" s="22" t="s">
        <v>12593</v>
      </c>
      <c r="G2602" s="20"/>
      <c r="H2602" s="20" t="s">
        <v>1133</v>
      </c>
      <c r="I2602" s="5"/>
      <c r="J2602" s="20">
        <v>1.0</v>
      </c>
      <c r="K2602" s="20">
        <v>99.0</v>
      </c>
      <c r="L2602" s="20"/>
      <c r="M2602" s="20">
        <v>99.0</v>
      </c>
      <c r="N2602" s="5" t="s">
        <v>67</v>
      </c>
      <c r="O2602" s="20" t="b">
        <v>0</v>
      </c>
      <c r="P2602" s="20" t="s">
        <v>68</v>
      </c>
      <c r="Q2602" s="20" t="s">
        <v>69</v>
      </c>
      <c r="R2602" s="20" t="s">
        <v>4620</v>
      </c>
      <c r="T2602" s="20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</row>
    <row r="2603">
      <c r="A2603" s="15" t="s">
        <v>9504</v>
      </c>
      <c r="B2603" s="19" t="s">
        <v>4161</v>
      </c>
      <c r="C2603" s="20">
        <v>49833.0</v>
      </c>
      <c r="D2603" s="20" t="s">
        <v>4160</v>
      </c>
      <c r="E2603" s="5">
        <v>9.1883966191E11</v>
      </c>
      <c r="F2603" s="21">
        <v>19009.0</v>
      </c>
      <c r="G2603" s="20"/>
      <c r="H2603" s="20" t="s">
        <v>4030</v>
      </c>
      <c r="I2603" s="5"/>
      <c r="J2603" s="20">
        <v>6.0</v>
      </c>
      <c r="K2603" s="20">
        <v>349.0</v>
      </c>
      <c r="L2603" s="20"/>
      <c r="M2603" s="20">
        <v>349.0</v>
      </c>
      <c r="N2603" s="5" t="s">
        <v>67</v>
      </c>
      <c r="O2603" s="20" t="b">
        <v>0</v>
      </c>
      <c r="P2603" s="20" t="s">
        <v>68</v>
      </c>
      <c r="Q2603" s="20" t="s">
        <v>69</v>
      </c>
      <c r="R2603" s="20" t="s">
        <v>4033</v>
      </c>
      <c r="T2603" s="20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</row>
    <row r="2604">
      <c r="A2604" s="15" t="s">
        <v>9673</v>
      </c>
      <c r="B2604" s="19" t="s">
        <v>3464</v>
      </c>
      <c r="C2604" s="20">
        <v>50030.0</v>
      </c>
      <c r="D2604" s="20" t="s">
        <v>3463</v>
      </c>
      <c r="E2604" s="5">
        <v>9.17499846057E11</v>
      </c>
      <c r="F2604" s="21">
        <v>19076.0</v>
      </c>
      <c r="G2604" s="20"/>
      <c r="H2604" s="20" t="s">
        <v>3326</v>
      </c>
      <c r="I2604" s="5"/>
      <c r="J2604" s="20">
        <v>1.0</v>
      </c>
      <c r="K2604" s="20">
        <v>99.0</v>
      </c>
      <c r="L2604" s="20"/>
      <c r="M2604" s="20">
        <v>99.0</v>
      </c>
      <c r="N2604" s="5" t="s">
        <v>67</v>
      </c>
      <c r="O2604" s="20" t="b">
        <v>0</v>
      </c>
      <c r="P2604" s="20" t="s">
        <v>68</v>
      </c>
      <c r="Q2604" s="20" t="s">
        <v>69</v>
      </c>
      <c r="R2604" s="20" t="s">
        <v>3328</v>
      </c>
      <c r="T2604" s="20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</row>
    <row r="2605">
      <c r="A2605" s="15" t="s">
        <v>9674</v>
      </c>
      <c r="B2605" s="19" t="s">
        <v>6633</v>
      </c>
      <c r="C2605" s="20">
        <v>49994.0</v>
      </c>
      <c r="D2605" s="20" t="s">
        <v>6632</v>
      </c>
      <c r="E2605" s="5">
        <v>9.19911961961E11</v>
      </c>
      <c r="F2605" s="21">
        <v>19078.0</v>
      </c>
      <c r="G2605" s="20"/>
      <c r="H2605" s="20" t="s">
        <v>1264</v>
      </c>
      <c r="I2605" s="5"/>
      <c r="J2605" s="20">
        <v>1.0</v>
      </c>
      <c r="K2605" s="20">
        <v>99.0</v>
      </c>
      <c r="L2605" s="20"/>
      <c r="M2605" s="20">
        <v>99.0</v>
      </c>
      <c r="N2605" s="5" t="s">
        <v>67</v>
      </c>
      <c r="O2605" s="20" t="b">
        <v>0</v>
      </c>
      <c r="P2605" s="20" t="s">
        <v>151</v>
      </c>
      <c r="Q2605" s="20" t="s">
        <v>69</v>
      </c>
      <c r="R2605" s="20" t="s">
        <v>6615</v>
      </c>
      <c r="T2605" s="20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</row>
    <row r="2606">
      <c r="A2606" s="15" t="s">
        <v>9505</v>
      </c>
      <c r="B2606" s="19" t="s">
        <v>4695</v>
      </c>
      <c r="C2606" s="20">
        <v>49859.0</v>
      </c>
      <c r="D2606" s="20" t="s">
        <v>4694</v>
      </c>
      <c r="E2606" s="5">
        <v>9.19347849691E11</v>
      </c>
      <c r="F2606" s="21">
        <v>19011.0</v>
      </c>
      <c r="G2606" s="20"/>
      <c r="H2606" s="20" t="s">
        <v>1133</v>
      </c>
      <c r="I2606" s="5"/>
      <c r="J2606" s="20">
        <v>1.0</v>
      </c>
      <c r="K2606" s="20">
        <v>99.0</v>
      </c>
      <c r="L2606" s="20"/>
      <c r="M2606" s="20">
        <v>99.0</v>
      </c>
      <c r="N2606" s="5" t="s">
        <v>67</v>
      </c>
      <c r="O2606" s="20" t="b">
        <v>0</v>
      </c>
      <c r="P2606" s="20" t="s">
        <v>68</v>
      </c>
      <c r="Q2606" s="20" t="s">
        <v>69</v>
      </c>
      <c r="R2606" s="20" t="s">
        <v>4620</v>
      </c>
      <c r="T2606" s="20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</row>
    <row r="2607">
      <c r="A2607" s="15" t="s">
        <v>9676</v>
      </c>
      <c r="B2607" s="19" t="s">
        <v>4169</v>
      </c>
      <c r="C2607" s="20">
        <v>49833.0</v>
      </c>
      <c r="D2607" s="20" t="s">
        <v>4168</v>
      </c>
      <c r="E2607" s="5">
        <v>9.18618147273E11</v>
      </c>
      <c r="F2607" s="21">
        <v>19079.0</v>
      </c>
      <c r="G2607" s="20"/>
      <c r="H2607" s="20" t="s">
        <v>4030</v>
      </c>
      <c r="I2607" s="5"/>
      <c r="J2607" s="20">
        <v>1.0</v>
      </c>
      <c r="K2607" s="20">
        <v>99.0</v>
      </c>
      <c r="L2607" s="20"/>
      <c r="M2607" s="20">
        <v>99.0</v>
      </c>
      <c r="N2607" s="5" t="s">
        <v>67</v>
      </c>
      <c r="O2607" s="20" t="b">
        <v>0</v>
      </c>
      <c r="P2607" s="20" t="s">
        <v>74</v>
      </c>
      <c r="Q2607" s="20" t="s">
        <v>69</v>
      </c>
      <c r="R2607" s="20" t="s">
        <v>4033</v>
      </c>
      <c r="T2607" s="20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</row>
    <row r="2608">
      <c r="A2608" s="15" t="s">
        <v>9678</v>
      </c>
      <c r="B2608" s="19" t="s">
        <v>4321</v>
      </c>
      <c r="C2608" s="20">
        <v>50079.0</v>
      </c>
      <c r="D2608" s="20" t="s">
        <v>4320</v>
      </c>
      <c r="E2608" s="5">
        <v>9.19512999943E11</v>
      </c>
      <c r="F2608" s="21">
        <v>19077.0</v>
      </c>
      <c r="G2608" s="20"/>
      <c r="H2608" s="20" t="s">
        <v>4281</v>
      </c>
      <c r="I2608" s="5"/>
      <c r="J2608" s="20">
        <v>1.0</v>
      </c>
      <c r="K2608" s="20">
        <v>99.0</v>
      </c>
      <c r="L2608" s="20"/>
      <c r="M2608" s="20">
        <v>99.0</v>
      </c>
      <c r="N2608" s="5" t="s">
        <v>67</v>
      </c>
      <c r="O2608" s="20" t="b">
        <v>0</v>
      </c>
      <c r="P2608" s="20" t="s">
        <v>68</v>
      </c>
      <c r="Q2608" s="20" t="s">
        <v>69</v>
      </c>
      <c r="R2608" s="20" t="s">
        <v>4284</v>
      </c>
      <c r="T2608" s="20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</row>
    <row r="2609">
      <c r="A2609" s="15" t="s">
        <v>9669</v>
      </c>
      <c r="B2609" s="19" t="s">
        <v>6117</v>
      </c>
      <c r="C2609" s="20">
        <v>50076.0</v>
      </c>
      <c r="D2609" s="20" t="s">
        <v>6116</v>
      </c>
      <c r="E2609" s="5">
        <v>9.18801885031E11</v>
      </c>
      <c r="F2609" s="21">
        <v>0.0</v>
      </c>
      <c r="G2609" s="20"/>
      <c r="H2609" s="20" t="s">
        <v>5984</v>
      </c>
      <c r="I2609" s="5"/>
      <c r="J2609" s="20">
        <v>1.0</v>
      </c>
      <c r="K2609" s="20">
        <v>199.0</v>
      </c>
      <c r="L2609" s="20"/>
      <c r="M2609" s="20">
        <v>199.0</v>
      </c>
      <c r="N2609" s="5" t="s">
        <v>67</v>
      </c>
      <c r="O2609" s="20" t="b">
        <v>0</v>
      </c>
      <c r="P2609" s="20" t="s">
        <v>151</v>
      </c>
      <c r="Q2609" s="20" t="s">
        <v>69</v>
      </c>
      <c r="R2609" s="20" t="s">
        <v>5987</v>
      </c>
      <c r="T2609" s="20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</row>
    <row r="2610">
      <c r="A2610" s="15" t="s">
        <v>9679</v>
      </c>
      <c r="B2610" s="19" t="s">
        <v>3798</v>
      </c>
      <c r="C2610" s="20">
        <v>49907.0</v>
      </c>
      <c r="D2610" s="20" t="s">
        <v>3797</v>
      </c>
      <c r="E2610" s="5">
        <v>9.19997047397E11</v>
      </c>
      <c r="F2610" s="21">
        <v>19090.0</v>
      </c>
      <c r="G2610" s="20"/>
      <c r="H2610" s="20" t="s">
        <v>587</v>
      </c>
      <c r="I2610" s="5"/>
      <c r="J2610" s="20">
        <v>1.0</v>
      </c>
      <c r="K2610" s="20">
        <v>99.0</v>
      </c>
      <c r="L2610" s="20"/>
      <c r="M2610" s="20">
        <v>99.0</v>
      </c>
      <c r="N2610" s="5" t="s">
        <v>67</v>
      </c>
      <c r="O2610" s="20" t="b">
        <v>0</v>
      </c>
      <c r="P2610" s="20" t="s">
        <v>74</v>
      </c>
      <c r="Q2610" s="20" t="s">
        <v>69</v>
      </c>
      <c r="R2610" s="20" t="s">
        <v>3774</v>
      </c>
      <c r="T2610" s="20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</row>
    <row r="2611">
      <c r="A2611" s="15" t="s">
        <v>9516</v>
      </c>
      <c r="B2611" s="19" t="s">
        <v>3119</v>
      </c>
      <c r="C2611" s="20">
        <v>49991.0</v>
      </c>
      <c r="D2611" s="20" t="s">
        <v>150</v>
      </c>
      <c r="E2611" s="5">
        <v>9.197360124E11</v>
      </c>
      <c r="F2611" s="21">
        <v>16847.0</v>
      </c>
      <c r="G2611" s="20"/>
      <c r="H2611" s="20" t="s">
        <v>3055</v>
      </c>
      <c r="I2611" s="5"/>
      <c r="J2611" s="20">
        <v>6.0</v>
      </c>
      <c r="K2611" s="20">
        <v>349.0</v>
      </c>
      <c r="L2611" s="20"/>
      <c r="M2611" s="20">
        <v>349.0</v>
      </c>
      <c r="N2611" s="5" t="s">
        <v>67</v>
      </c>
      <c r="O2611" s="20" t="b">
        <v>0</v>
      </c>
      <c r="P2611" s="20" t="s">
        <v>97</v>
      </c>
      <c r="Q2611" s="20" t="s">
        <v>69</v>
      </c>
      <c r="R2611" s="20" t="s">
        <v>3057</v>
      </c>
      <c r="T2611" s="20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</row>
    <row r="2612">
      <c r="A2612" s="15" t="s">
        <v>9682</v>
      </c>
      <c r="B2612" s="19" t="s">
        <v>2528</v>
      </c>
      <c r="C2612" s="20">
        <v>49997.0</v>
      </c>
      <c r="D2612" s="20" t="s">
        <v>2527</v>
      </c>
      <c r="E2612" s="5">
        <v>9.19733311678E11</v>
      </c>
      <c r="F2612" s="21">
        <v>0.0</v>
      </c>
      <c r="G2612" s="20"/>
      <c r="H2612" s="20" t="s">
        <v>2455</v>
      </c>
      <c r="I2612" s="5"/>
      <c r="J2612" s="20">
        <v>1.0</v>
      </c>
      <c r="K2612" s="20">
        <v>99.0</v>
      </c>
      <c r="L2612" s="20"/>
      <c r="M2612" s="20">
        <v>99.0</v>
      </c>
      <c r="N2612" s="5" t="s">
        <v>67</v>
      </c>
      <c r="O2612" s="20" t="b">
        <v>0</v>
      </c>
      <c r="P2612" s="20" t="s">
        <v>68</v>
      </c>
      <c r="Q2612" s="20" t="s">
        <v>69</v>
      </c>
      <c r="R2612" s="20" t="s">
        <v>2457</v>
      </c>
      <c r="T2612" s="20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</row>
    <row r="2613">
      <c r="A2613" s="15" t="s">
        <v>9684</v>
      </c>
      <c r="B2613" s="19" t="s">
        <v>6635</v>
      </c>
      <c r="C2613" s="20">
        <v>49994.0</v>
      </c>
      <c r="D2613" s="20" t="s">
        <v>6634</v>
      </c>
      <c r="E2613" s="5">
        <v>9.19096681194E11</v>
      </c>
      <c r="F2613" s="21">
        <v>19085.0</v>
      </c>
      <c r="G2613" s="20"/>
      <c r="H2613" s="20" t="s">
        <v>1264</v>
      </c>
      <c r="I2613" s="5"/>
      <c r="J2613" s="20">
        <v>1.0</v>
      </c>
      <c r="K2613" s="20">
        <v>99.0</v>
      </c>
      <c r="L2613" s="20"/>
      <c r="M2613" s="20">
        <v>99.0</v>
      </c>
      <c r="N2613" s="5" t="s">
        <v>67</v>
      </c>
      <c r="O2613" s="20" t="b">
        <v>0</v>
      </c>
      <c r="P2613" s="20" t="s">
        <v>68</v>
      </c>
      <c r="Q2613" s="20" t="s">
        <v>69</v>
      </c>
      <c r="R2613" s="20" t="s">
        <v>6615</v>
      </c>
      <c r="T2613" s="20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</row>
    <row r="2614">
      <c r="A2614" s="15" t="s">
        <v>9515</v>
      </c>
      <c r="B2614" s="19" t="s">
        <v>5271</v>
      </c>
      <c r="C2614" s="20">
        <v>50022.0</v>
      </c>
      <c r="D2614" s="20" t="s">
        <v>5270</v>
      </c>
      <c r="E2614" s="5">
        <v>9.19873312345E11</v>
      </c>
      <c r="F2614" s="22" t="s">
        <v>12593</v>
      </c>
      <c r="G2614" s="20"/>
      <c r="H2614" s="20" t="s">
        <v>5181</v>
      </c>
      <c r="I2614" s="5"/>
      <c r="J2614" s="20">
        <v>1.0</v>
      </c>
      <c r="K2614" s="20">
        <v>99.0</v>
      </c>
      <c r="L2614" s="20"/>
      <c r="M2614" s="20">
        <v>99.0</v>
      </c>
      <c r="N2614" s="5" t="s">
        <v>67</v>
      </c>
      <c r="O2614" s="20" t="b">
        <v>0</v>
      </c>
      <c r="P2614" s="20" t="s">
        <v>68</v>
      </c>
      <c r="Q2614" s="20" t="s">
        <v>69</v>
      </c>
      <c r="R2614" s="20" t="s">
        <v>5183</v>
      </c>
      <c r="T2614" s="20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</row>
    <row r="2615">
      <c r="A2615" s="15" t="s">
        <v>9683</v>
      </c>
      <c r="B2615" s="19" t="s">
        <v>6612</v>
      </c>
      <c r="C2615" s="20">
        <v>49958.0</v>
      </c>
      <c r="D2615" s="20" t="s">
        <v>6611</v>
      </c>
      <c r="E2615" s="5">
        <v>9.199537824E11</v>
      </c>
      <c r="F2615" s="21">
        <v>19081.0</v>
      </c>
      <c r="G2615" s="20"/>
      <c r="H2615" s="20" t="s">
        <v>6595</v>
      </c>
      <c r="I2615" s="5"/>
      <c r="J2615" s="20">
        <v>3.0</v>
      </c>
      <c r="K2615" s="20">
        <v>199.0</v>
      </c>
      <c r="L2615" s="20"/>
      <c r="M2615" s="20">
        <v>199.0</v>
      </c>
      <c r="N2615" s="5" t="s">
        <v>67</v>
      </c>
      <c r="O2615" s="20" t="b">
        <v>0</v>
      </c>
      <c r="P2615" s="20" t="s">
        <v>74</v>
      </c>
      <c r="Q2615" s="20" t="s">
        <v>69</v>
      </c>
      <c r="R2615" s="20" t="s">
        <v>6591</v>
      </c>
      <c r="T2615" s="20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</row>
    <row r="2616">
      <c r="A2616" s="15" t="s">
        <v>9517</v>
      </c>
      <c r="B2616" s="19" t="s">
        <v>3796</v>
      </c>
      <c r="C2616" s="20">
        <v>49907.0</v>
      </c>
      <c r="D2616" s="20" t="s">
        <v>3795</v>
      </c>
      <c r="E2616" s="5">
        <v>9.19739134951E11</v>
      </c>
      <c r="F2616" s="21">
        <v>19014.0</v>
      </c>
      <c r="G2616" s="20"/>
      <c r="H2616" s="20" t="s">
        <v>587</v>
      </c>
      <c r="I2616" s="5"/>
      <c r="J2616" s="20">
        <v>1.0</v>
      </c>
      <c r="K2616" s="20">
        <v>99.0</v>
      </c>
      <c r="L2616" s="20"/>
      <c r="M2616" s="20">
        <v>99.0</v>
      </c>
      <c r="N2616" s="5" t="s">
        <v>67</v>
      </c>
      <c r="O2616" s="20" t="b">
        <v>0</v>
      </c>
      <c r="P2616" s="20" t="s">
        <v>68</v>
      </c>
      <c r="Q2616" s="20" t="s">
        <v>69</v>
      </c>
      <c r="R2616" s="20" t="s">
        <v>3774</v>
      </c>
      <c r="T2616" s="20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</row>
    <row r="2617">
      <c r="A2617" s="15" t="s">
        <v>9685</v>
      </c>
      <c r="B2617" s="19" t="s">
        <v>5530</v>
      </c>
      <c r="C2617" s="20">
        <v>50023.0</v>
      </c>
      <c r="D2617" s="20" t="s">
        <v>5529</v>
      </c>
      <c r="E2617" s="5">
        <v>9.17009427457E11</v>
      </c>
      <c r="F2617" s="21">
        <v>19083.0</v>
      </c>
      <c r="G2617" s="20"/>
      <c r="H2617" s="20" t="s">
        <v>5508</v>
      </c>
      <c r="I2617" s="5"/>
      <c r="J2617" s="20">
        <v>1.0</v>
      </c>
      <c r="K2617" s="20">
        <v>99.0</v>
      </c>
      <c r="L2617" s="20"/>
      <c r="M2617" s="20">
        <v>99.0</v>
      </c>
      <c r="N2617" s="5" t="s">
        <v>67</v>
      </c>
      <c r="O2617" s="20" t="b">
        <v>0</v>
      </c>
      <c r="P2617" s="20" t="s">
        <v>68</v>
      </c>
      <c r="Q2617" s="20" t="s">
        <v>69</v>
      </c>
      <c r="R2617" s="20" t="s">
        <v>5510</v>
      </c>
      <c r="T2617" s="20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</row>
    <row r="2618">
      <c r="A2618" s="15" t="s">
        <v>9518</v>
      </c>
      <c r="B2618" s="19" t="s">
        <v>5888</v>
      </c>
      <c r="C2618" s="20">
        <v>50054.0</v>
      </c>
      <c r="D2618" s="20" t="s">
        <v>5887</v>
      </c>
      <c r="E2618" s="5">
        <v>9.19850884696E11</v>
      </c>
      <c r="F2618" s="21">
        <v>19016.0</v>
      </c>
      <c r="G2618" s="20"/>
      <c r="H2618" s="20" t="s">
        <v>5822</v>
      </c>
      <c r="I2618" s="5"/>
      <c r="J2618" s="20">
        <v>6.0</v>
      </c>
      <c r="K2618" s="20">
        <v>349.0</v>
      </c>
      <c r="L2618" s="20"/>
      <c r="M2618" s="20">
        <v>349.0</v>
      </c>
      <c r="N2618" s="5" t="s">
        <v>67</v>
      </c>
      <c r="O2618" s="20" t="b">
        <v>0</v>
      </c>
      <c r="P2618" s="20" t="s">
        <v>68</v>
      </c>
      <c r="Q2618" s="20" t="s">
        <v>69</v>
      </c>
      <c r="R2618" s="20" t="s">
        <v>5824</v>
      </c>
      <c r="T2618" s="20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</row>
    <row r="2619">
      <c r="A2619" s="15" t="s">
        <v>9519</v>
      </c>
      <c r="B2619" s="19" t="s">
        <v>2859</v>
      </c>
      <c r="C2619" s="20">
        <v>50029.0</v>
      </c>
      <c r="D2619" s="20" t="s">
        <v>2858</v>
      </c>
      <c r="E2619" s="5">
        <v>9.19494314597E11</v>
      </c>
      <c r="F2619" s="21">
        <v>19015.0</v>
      </c>
      <c r="G2619" s="20"/>
      <c r="H2619" s="20" t="s">
        <v>2761</v>
      </c>
      <c r="I2619" s="5"/>
      <c r="J2619" s="20">
        <v>3.0</v>
      </c>
      <c r="K2619" s="20">
        <v>199.0</v>
      </c>
      <c r="L2619" s="20"/>
      <c r="M2619" s="20">
        <v>199.0</v>
      </c>
      <c r="N2619" s="5" t="s">
        <v>67</v>
      </c>
      <c r="O2619" s="20" t="b">
        <v>0</v>
      </c>
      <c r="P2619" s="20" t="s">
        <v>68</v>
      </c>
      <c r="Q2619" s="20" t="s">
        <v>69</v>
      </c>
      <c r="R2619" s="20" t="s">
        <v>2763</v>
      </c>
      <c r="T2619" s="20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</row>
    <row r="2620">
      <c r="A2620" s="15" t="s">
        <v>9686</v>
      </c>
      <c r="B2620" s="19" t="s">
        <v>6177</v>
      </c>
      <c r="C2620" s="20">
        <v>50048.0</v>
      </c>
      <c r="D2620" s="20" t="s">
        <v>6176</v>
      </c>
      <c r="E2620" s="5">
        <v>9.19819101704E11</v>
      </c>
      <c r="F2620" s="21">
        <v>19084.0</v>
      </c>
      <c r="G2620" s="20"/>
      <c r="H2620" s="20" t="s">
        <v>1582</v>
      </c>
      <c r="I2620" s="20" t="s">
        <v>6175</v>
      </c>
      <c r="J2620" s="20">
        <v>3.0</v>
      </c>
      <c r="K2620" s="20">
        <v>599.0</v>
      </c>
      <c r="L2620" s="20"/>
      <c r="M2620" s="20">
        <v>599.0</v>
      </c>
      <c r="N2620" s="5" t="s">
        <v>67</v>
      </c>
      <c r="O2620" s="20" t="b">
        <v>0</v>
      </c>
      <c r="P2620" s="20" t="s">
        <v>68</v>
      </c>
      <c r="Q2620" s="20" t="s">
        <v>69</v>
      </c>
      <c r="R2620" s="20" t="s">
        <v>6174</v>
      </c>
      <c r="T2620" s="20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</row>
    <row r="2621">
      <c r="A2621" s="15" t="s">
        <v>9522</v>
      </c>
      <c r="B2621" s="19" t="s">
        <v>2861</v>
      </c>
      <c r="C2621" s="20">
        <v>50029.0</v>
      </c>
      <c r="D2621" s="20" t="s">
        <v>2860</v>
      </c>
      <c r="E2621" s="5">
        <v>9.19962717342E11</v>
      </c>
      <c r="F2621" s="21">
        <v>20052.0</v>
      </c>
      <c r="G2621" s="20"/>
      <c r="H2621" s="20" t="s">
        <v>2761</v>
      </c>
      <c r="I2621" s="5"/>
      <c r="J2621" s="20">
        <v>6.0</v>
      </c>
      <c r="K2621" s="20">
        <v>349.0</v>
      </c>
      <c r="L2621" s="20"/>
      <c r="M2621" s="20">
        <v>349.0</v>
      </c>
      <c r="N2621" s="5" t="s">
        <v>67</v>
      </c>
      <c r="O2621" s="20" t="b">
        <v>0</v>
      </c>
      <c r="P2621" s="20" t="s">
        <v>68</v>
      </c>
      <c r="Q2621" s="20" t="s">
        <v>69</v>
      </c>
      <c r="R2621" s="20" t="s">
        <v>2763</v>
      </c>
      <c r="T2621" s="20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</row>
    <row r="2622">
      <c r="A2622" s="15" t="s">
        <v>9521</v>
      </c>
      <c r="B2622" s="19" t="s">
        <v>4701</v>
      </c>
      <c r="C2622" s="20">
        <v>49859.0</v>
      </c>
      <c r="D2622" s="20" t="s">
        <v>4700</v>
      </c>
      <c r="E2622" s="5">
        <v>9.18895478773E11</v>
      </c>
      <c r="F2622" s="22" t="s">
        <v>12593</v>
      </c>
      <c r="G2622" s="20"/>
      <c r="H2622" s="20" t="s">
        <v>1133</v>
      </c>
      <c r="I2622" s="5"/>
      <c r="J2622" s="20">
        <v>1.0</v>
      </c>
      <c r="K2622" s="20">
        <v>99.0</v>
      </c>
      <c r="L2622" s="20"/>
      <c r="M2622" s="20">
        <v>99.0</v>
      </c>
      <c r="N2622" s="5" t="s">
        <v>67</v>
      </c>
      <c r="O2622" s="20" t="b">
        <v>0</v>
      </c>
      <c r="P2622" s="20" t="s">
        <v>74</v>
      </c>
      <c r="Q2622" s="20" t="s">
        <v>69</v>
      </c>
      <c r="R2622" s="20" t="s">
        <v>4620</v>
      </c>
      <c r="T2622" s="20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</row>
    <row r="2623">
      <c r="A2623" s="15" t="s">
        <v>9526</v>
      </c>
      <c r="B2623" s="19" t="s">
        <v>5025</v>
      </c>
      <c r="C2623" s="20">
        <v>50094.0</v>
      </c>
      <c r="D2623" s="20" t="s">
        <v>5024</v>
      </c>
      <c r="E2623" s="5">
        <v>9.18918151117E11</v>
      </c>
      <c r="F2623" s="21">
        <v>0.0</v>
      </c>
      <c r="G2623" s="20"/>
      <c r="H2623" s="20" t="s">
        <v>4942</v>
      </c>
      <c r="I2623" s="5"/>
      <c r="J2623" s="20">
        <v>1.0</v>
      </c>
      <c r="K2623" s="20">
        <v>199.0</v>
      </c>
      <c r="L2623" s="20"/>
      <c r="M2623" s="20">
        <v>199.0</v>
      </c>
      <c r="N2623" s="5" t="s">
        <v>67</v>
      </c>
      <c r="O2623" s="20" t="b">
        <v>0</v>
      </c>
      <c r="P2623" s="20" t="s">
        <v>68</v>
      </c>
      <c r="Q2623" s="20" t="s">
        <v>69</v>
      </c>
      <c r="R2623" s="20" t="s">
        <v>4945</v>
      </c>
      <c r="T2623" s="20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</row>
    <row r="2624">
      <c r="A2624" s="15" t="s">
        <v>9687</v>
      </c>
      <c r="B2624" s="19" t="s">
        <v>3468</v>
      </c>
      <c r="C2624" s="20">
        <v>50030.0</v>
      </c>
      <c r="D2624" s="20" t="s">
        <v>3467</v>
      </c>
      <c r="E2624" s="5">
        <v>9.17908815346E11</v>
      </c>
      <c r="F2624" s="21">
        <v>19095.0</v>
      </c>
      <c r="G2624" s="20"/>
      <c r="H2624" s="20" t="s">
        <v>3326</v>
      </c>
      <c r="I2624" s="5"/>
      <c r="J2624" s="20">
        <v>1.0</v>
      </c>
      <c r="K2624" s="20">
        <v>99.0</v>
      </c>
      <c r="L2624" s="20"/>
      <c r="M2624" s="20">
        <v>99.0</v>
      </c>
      <c r="N2624" s="5" t="s">
        <v>67</v>
      </c>
      <c r="O2624" s="20" t="b">
        <v>0</v>
      </c>
      <c r="P2624" s="20" t="s">
        <v>68</v>
      </c>
      <c r="Q2624" s="20" t="s">
        <v>69</v>
      </c>
      <c r="R2624" s="20" t="s">
        <v>3328</v>
      </c>
      <c r="T2624" s="20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</row>
    <row r="2625">
      <c r="A2625" s="15" t="s">
        <v>9688</v>
      </c>
      <c r="B2625" s="19" t="s">
        <v>3468</v>
      </c>
      <c r="C2625" s="20">
        <v>50054.0</v>
      </c>
      <c r="D2625" s="20" t="s">
        <v>5899</v>
      </c>
      <c r="E2625" s="5">
        <v>9.19871843457E11</v>
      </c>
      <c r="F2625" s="21">
        <v>19086.0</v>
      </c>
      <c r="G2625" s="20"/>
      <c r="H2625" s="20" t="s">
        <v>5822</v>
      </c>
      <c r="I2625" s="5"/>
      <c r="J2625" s="20">
        <v>3.0</v>
      </c>
      <c r="K2625" s="20">
        <v>199.0</v>
      </c>
      <c r="L2625" s="20"/>
      <c r="M2625" s="20">
        <v>199.0</v>
      </c>
      <c r="N2625" s="5" t="s">
        <v>67</v>
      </c>
      <c r="O2625" s="20" t="b">
        <v>0</v>
      </c>
      <c r="P2625" s="20" t="s">
        <v>68</v>
      </c>
      <c r="Q2625" s="20" t="s">
        <v>69</v>
      </c>
      <c r="R2625" s="20" t="s">
        <v>5824</v>
      </c>
      <c r="T2625" s="20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</row>
    <row r="2626">
      <c r="A2626" s="15" t="s">
        <v>9689</v>
      </c>
      <c r="B2626" s="19" t="s">
        <v>4171</v>
      </c>
      <c r="C2626" s="20">
        <v>49833.0</v>
      </c>
      <c r="D2626" s="20" t="s">
        <v>4170</v>
      </c>
      <c r="E2626" s="5">
        <v>9.1995901187E11</v>
      </c>
      <c r="F2626" s="21">
        <v>19087.0</v>
      </c>
      <c r="G2626" s="20"/>
      <c r="H2626" s="20" t="s">
        <v>4030</v>
      </c>
      <c r="I2626" s="5"/>
      <c r="J2626" s="20">
        <v>1.0</v>
      </c>
      <c r="K2626" s="20">
        <v>99.0</v>
      </c>
      <c r="L2626" s="20"/>
      <c r="M2626" s="20">
        <v>99.0</v>
      </c>
      <c r="N2626" s="5" t="s">
        <v>67</v>
      </c>
      <c r="O2626" s="20" t="b">
        <v>0</v>
      </c>
      <c r="P2626" s="20" t="s">
        <v>68</v>
      </c>
      <c r="Q2626" s="20" t="s">
        <v>69</v>
      </c>
      <c r="R2626" s="20" t="s">
        <v>4033</v>
      </c>
      <c r="T2626" s="20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</row>
    <row r="2627">
      <c r="A2627" s="15" t="s">
        <v>9533</v>
      </c>
      <c r="B2627" s="19" t="s">
        <v>3460</v>
      </c>
      <c r="C2627" s="20">
        <v>50030.0</v>
      </c>
      <c r="D2627" s="20" t="s">
        <v>3459</v>
      </c>
      <c r="E2627" s="5">
        <v>9.19873295069E11</v>
      </c>
      <c r="F2627" s="21">
        <v>19020.0</v>
      </c>
      <c r="G2627" s="20"/>
      <c r="H2627" s="20" t="s">
        <v>3326</v>
      </c>
      <c r="I2627" s="5"/>
      <c r="J2627" s="20">
        <v>1.0</v>
      </c>
      <c r="K2627" s="20">
        <v>99.0</v>
      </c>
      <c r="L2627" s="20"/>
      <c r="M2627" s="20">
        <v>99.0</v>
      </c>
      <c r="N2627" s="5" t="s">
        <v>67</v>
      </c>
      <c r="O2627" s="20" t="b">
        <v>0</v>
      </c>
      <c r="P2627" s="20" t="s">
        <v>68</v>
      </c>
      <c r="Q2627" s="20" t="s">
        <v>69</v>
      </c>
      <c r="R2627" s="20" t="s">
        <v>3328</v>
      </c>
      <c r="T2627" s="20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</row>
    <row r="2628">
      <c r="A2628" s="15" t="s">
        <v>9693</v>
      </c>
      <c r="B2628" s="19" t="s">
        <v>6119</v>
      </c>
      <c r="C2628" s="20">
        <v>50076.0</v>
      </c>
      <c r="D2628" s="20" t="s">
        <v>6118</v>
      </c>
      <c r="E2628" s="5">
        <v>9.198915518E11</v>
      </c>
      <c r="F2628" s="21">
        <v>19088.0</v>
      </c>
      <c r="G2628" s="20"/>
      <c r="H2628" s="20" t="s">
        <v>5984</v>
      </c>
      <c r="I2628" s="5"/>
      <c r="J2628" s="20">
        <v>1.0</v>
      </c>
      <c r="K2628" s="20">
        <v>199.0</v>
      </c>
      <c r="L2628" s="20"/>
      <c r="M2628" s="20">
        <v>199.0</v>
      </c>
      <c r="N2628" s="5" t="s">
        <v>67</v>
      </c>
      <c r="O2628" s="20" t="b">
        <v>0</v>
      </c>
      <c r="P2628" s="20" t="s">
        <v>68</v>
      </c>
      <c r="Q2628" s="20" t="s">
        <v>69</v>
      </c>
      <c r="R2628" s="20" t="s">
        <v>5987</v>
      </c>
      <c r="T2628" s="20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</row>
    <row r="2629">
      <c r="A2629" s="15" t="s">
        <v>9694</v>
      </c>
      <c r="B2629" s="19" t="s">
        <v>5532</v>
      </c>
      <c r="C2629" s="20">
        <v>50023.0</v>
      </c>
      <c r="D2629" s="20" t="s">
        <v>5531</v>
      </c>
      <c r="E2629" s="5">
        <v>9.1903002244E11</v>
      </c>
      <c r="F2629" s="21">
        <v>19089.0</v>
      </c>
      <c r="G2629" s="20"/>
      <c r="H2629" s="20" t="s">
        <v>5508</v>
      </c>
      <c r="I2629" s="5"/>
      <c r="J2629" s="20">
        <v>1.0</v>
      </c>
      <c r="K2629" s="20">
        <v>99.0</v>
      </c>
      <c r="L2629" s="20"/>
      <c r="M2629" s="20">
        <v>99.0</v>
      </c>
      <c r="N2629" s="5" t="s">
        <v>67</v>
      </c>
      <c r="O2629" s="20" t="b">
        <v>0</v>
      </c>
      <c r="P2629" s="20" t="s">
        <v>151</v>
      </c>
      <c r="Q2629" s="20" t="s">
        <v>69</v>
      </c>
      <c r="R2629" s="20" t="s">
        <v>5510</v>
      </c>
      <c r="T2629" s="20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</row>
    <row r="2630">
      <c r="A2630" s="15" t="s">
        <v>9699</v>
      </c>
      <c r="B2630" s="19" t="s">
        <v>4173</v>
      </c>
      <c r="C2630" s="20">
        <v>49833.0</v>
      </c>
      <c r="D2630" s="20" t="s">
        <v>4172</v>
      </c>
      <c r="E2630" s="5">
        <v>9.19890829994E11</v>
      </c>
      <c r="F2630" s="21">
        <v>19098.0</v>
      </c>
      <c r="G2630" s="20"/>
      <c r="H2630" s="20" t="s">
        <v>4030</v>
      </c>
      <c r="I2630" s="5"/>
      <c r="J2630" s="20">
        <v>1.0</v>
      </c>
      <c r="K2630" s="20">
        <v>99.0</v>
      </c>
      <c r="L2630" s="20"/>
      <c r="M2630" s="20">
        <v>99.0</v>
      </c>
      <c r="N2630" s="5" t="s">
        <v>67</v>
      </c>
      <c r="O2630" s="20" t="b">
        <v>0</v>
      </c>
      <c r="P2630" s="20" t="s">
        <v>68</v>
      </c>
      <c r="Q2630" s="20" t="s">
        <v>69</v>
      </c>
      <c r="R2630" s="20" t="s">
        <v>4033</v>
      </c>
      <c r="T2630" s="20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</row>
    <row r="2631">
      <c r="A2631" s="15" t="s">
        <v>9703</v>
      </c>
      <c r="B2631" s="19" t="s">
        <v>4472</v>
      </c>
      <c r="C2631" s="20">
        <v>50022.0</v>
      </c>
      <c r="D2631" s="20" t="s">
        <v>5274</v>
      </c>
      <c r="E2631" s="5">
        <v>9.1959222227E11</v>
      </c>
      <c r="F2631" s="21">
        <v>19091.0</v>
      </c>
      <c r="G2631" s="20"/>
      <c r="H2631" s="20" t="s">
        <v>5181</v>
      </c>
      <c r="I2631" s="5"/>
      <c r="J2631" s="20">
        <v>1.0</v>
      </c>
      <c r="K2631" s="20">
        <v>99.0</v>
      </c>
      <c r="L2631" s="20"/>
      <c r="M2631" s="20">
        <v>99.0</v>
      </c>
      <c r="N2631" s="5" t="s">
        <v>67</v>
      </c>
      <c r="O2631" s="20" t="b">
        <v>0</v>
      </c>
      <c r="P2631" s="20" t="s">
        <v>74</v>
      </c>
      <c r="Q2631" s="20" t="s">
        <v>69</v>
      </c>
      <c r="R2631" s="20" t="s">
        <v>5183</v>
      </c>
      <c r="T2631" s="20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</row>
    <row r="2632">
      <c r="A2632" s="15" t="s">
        <v>9704</v>
      </c>
      <c r="B2632" s="19" t="s">
        <v>4472</v>
      </c>
      <c r="C2632" s="20">
        <v>50052.0</v>
      </c>
      <c r="D2632" s="20" t="s">
        <v>4471</v>
      </c>
      <c r="E2632" s="5">
        <v>9.19886892442E11</v>
      </c>
      <c r="F2632" s="21">
        <v>19094.0</v>
      </c>
      <c r="G2632" s="20"/>
      <c r="H2632" s="20" t="s">
        <v>4433</v>
      </c>
      <c r="I2632" s="5"/>
      <c r="J2632" s="20">
        <v>3.0</v>
      </c>
      <c r="K2632" s="20">
        <v>199.0</v>
      </c>
      <c r="L2632" s="20"/>
      <c r="M2632" s="20">
        <v>199.0</v>
      </c>
      <c r="N2632" s="5" t="s">
        <v>67</v>
      </c>
      <c r="O2632" s="20" t="b">
        <v>0</v>
      </c>
      <c r="P2632" s="20" t="s">
        <v>68</v>
      </c>
      <c r="Q2632" s="20" t="s">
        <v>69</v>
      </c>
      <c r="R2632" s="20" t="s">
        <v>4435</v>
      </c>
      <c r="T2632" s="20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</row>
    <row r="2633">
      <c r="A2633" s="15" t="s">
        <v>9705</v>
      </c>
      <c r="B2633" s="19" t="s">
        <v>4380</v>
      </c>
      <c r="C2633" s="20">
        <v>50039.0</v>
      </c>
      <c r="D2633" s="20" t="s">
        <v>4379</v>
      </c>
      <c r="E2633" s="5">
        <v>9.1797732193E11</v>
      </c>
      <c r="F2633" s="21">
        <v>19093.0</v>
      </c>
      <c r="G2633" s="20"/>
      <c r="H2633" s="20" t="s">
        <v>4341</v>
      </c>
      <c r="I2633" s="5"/>
      <c r="J2633" s="20">
        <v>1.0</v>
      </c>
      <c r="K2633" s="20">
        <v>99.0</v>
      </c>
      <c r="L2633" s="20"/>
      <c r="M2633" s="20">
        <v>99.0</v>
      </c>
      <c r="N2633" s="5" t="s">
        <v>67</v>
      </c>
      <c r="O2633" s="20" t="b">
        <v>0</v>
      </c>
      <c r="P2633" s="20" t="s">
        <v>68</v>
      </c>
      <c r="Q2633" s="20" t="s">
        <v>69</v>
      </c>
      <c r="R2633" s="20" t="s">
        <v>4343</v>
      </c>
      <c r="T2633" s="20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</row>
    <row r="2634">
      <c r="A2634" s="15" t="s">
        <v>9542</v>
      </c>
      <c r="B2634" s="19" t="s">
        <v>6131</v>
      </c>
      <c r="C2634" s="20">
        <v>50076.0</v>
      </c>
      <c r="D2634" s="20" t="s">
        <v>6130</v>
      </c>
      <c r="E2634" s="5">
        <v>9.19566909115E11</v>
      </c>
      <c r="F2634" s="21">
        <v>19138.0</v>
      </c>
      <c r="G2634" s="20"/>
      <c r="H2634" s="20" t="s">
        <v>5984</v>
      </c>
      <c r="I2634" s="5"/>
      <c r="J2634" s="20">
        <v>1.0</v>
      </c>
      <c r="K2634" s="20">
        <v>199.0</v>
      </c>
      <c r="L2634" s="20"/>
      <c r="M2634" s="20">
        <v>199.0</v>
      </c>
      <c r="N2634" s="5" t="s">
        <v>67</v>
      </c>
      <c r="O2634" s="20" t="b">
        <v>0</v>
      </c>
      <c r="P2634" s="20" t="s">
        <v>74</v>
      </c>
      <c r="Q2634" s="20" t="s">
        <v>69</v>
      </c>
      <c r="R2634" s="20" t="s">
        <v>5987</v>
      </c>
      <c r="T2634" s="20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</row>
    <row r="2635">
      <c r="A2635" s="15" t="s">
        <v>9710</v>
      </c>
      <c r="B2635" s="19" t="s">
        <v>4705</v>
      </c>
      <c r="C2635" s="20">
        <v>49859.0</v>
      </c>
      <c r="D2635" s="20" t="s">
        <v>4704</v>
      </c>
      <c r="E2635" s="5">
        <v>9.18102838388E11</v>
      </c>
      <c r="F2635" s="21">
        <v>19096.0</v>
      </c>
      <c r="G2635" s="20"/>
      <c r="H2635" s="20" t="s">
        <v>1133</v>
      </c>
      <c r="I2635" s="5"/>
      <c r="J2635" s="20">
        <v>6.0</v>
      </c>
      <c r="K2635" s="20">
        <v>349.0</v>
      </c>
      <c r="L2635" s="20"/>
      <c r="M2635" s="20">
        <v>349.0</v>
      </c>
      <c r="N2635" s="5" t="s">
        <v>67</v>
      </c>
      <c r="O2635" s="20" t="b">
        <v>0</v>
      </c>
      <c r="P2635" s="20" t="s">
        <v>74</v>
      </c>
      <c r="Q2635" s="20" t="s">
        <v>69</v>
      </c>
      <c r="R2635" s="20" t="s">
        <v>4620</v>
      </c>
      <c r="T2635" s="20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</row>
    <row r="2636">
      <c r="A2636" s="15" t="s">
        <v>9544</v>
      </c>
      <c r="B2636" s="19" t="s">
        <v>5890</v>
      </c>
      <c r="C2636" s="20">
        <v>50054.0</v>
      </c>
      <c r="D2636" s="20" t="s">
        <v>5889</v>
      </c>
      <c r="E2636" s="5">
        <v>9.19742951234E11</v>
      </c>
      <c r="F2636" s="21">
        <v>19023.0</v>
      </c>
      <c r="G2636" s="20"/>
      <c r="H2636" s="20" t="s">
        <v>5822</v>
      </c>
      <c r="I2636" s="5"/>
      <c r="J2636" s="20">
        <v>6.0</v>
      </c>
      <c r="K2636" s="20">
        <v>349.0</v>
      </c>
      <c r="L2636" s="20"/>
      <c r="M2636" s="20">
        <v>349.0</v>
      </c>
      <c r="N2636" s="5" t="s">
        <v>67</v>
      </c>
      <c r="O2636" s="20" t="b">
        <v>0</v>
      </c>
      <c r="P2636" s="20" t="s">
        <v>74</v>
      </c>
      <c r="Q2636" s="20" t="s">
        <v>69</v>
      </c>
      <c r="R2636" s="20" t="s">
        <v>5824</v>
      </c>
      <c r="T2636" s="20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</row>
    <row r="2637">
      <c r="A2637" s="15" t="s">
        <v>9706</v>
      </c>
      <c r="B2637" s="19" t="s">
        <v>4707</v>
      </c>
      <c r="C2637" s="20">
        <v>49859.0</v>
      </c>
      <c r="D2637" s="20" t="s">
        <v>4706</v>
      </c>
      <c r="E2637" s="5">
        <v>9.17453802176E11</v>
      </c>
      <c r="F2637" s="21">
        <v>19097.0</v>
      </c>
      <c r="G2637" s="20"/>
      <c r="H2637" s="20" t="s">
        <v>1133</v>
      </c>
      <c r="I2637" s="5"/>
      <c r="J2637" s="20">
        <v>6.0</v>
      </c>
      <c r="K2637" s="20">
        <v>349.0</v>
      </c>
      <c r="L2637" s="20"/>
      <c r="M2637" s="20">
        <v>349.0</v>
      </c>
      <c r="N2637" s="5" t="s">
        <v>67</v>
      </c>
      <c r="O2637" s="20" t="b">
        <v>0</v>
      </c>
      <c r="P2637" s="20" t="s">
        <v>97</v>
      </c>
      <c r="Q2637" s="20" t="s">
        <v>69</v>
      </c>
      <c r="R2637" s="20" t="s">
        <v>4620</v>
      </c>
      <c r="T2637" s="20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</row>
    <row r="2638">
      <c r="A2638" s="15" t="s">
        <v>9713</v>
      </c>
      <c r="B2638" s="19" t="s">
        <v>2668</v>
      </c>
      <c r="C2638" s="20">
        <v>50065.0</v>
      </c>
      <c r="D2638" s="20" t="s">
        <v>2667</v>
      </c>
      <c r="E2638" s="5">
        <v>9.18577858647E11</v>
      </c>
      <c r="F2638" s="21">
        <v>19099.0</v>
      </c>
      <c r="G2638" s="20"/>
      <c r="H2638" s="20" t="s">
        <v>2601</v>
      </c>
      <c r="I2638" s="5"/>
      <c r="J2638" s="20">
        <v>1.0</v>
      </c>
      <c r="K2638" s="20">
        <v>99.0</v>
      </c>
      <c r="L2638" s="20"/>
      <c r="M2638" s="20">
        <v>99.0</v>
      </c>
      <c r="N2638" s="5" t="s">
        <v>67</v>
      </c>
      <c r="O2638" s="20" t="b">
        <v>0</v>
      </c>
      <c r="P2638" s="20" t="s">
        <v>68</v>
      </c>
      <c r="Q2638" s="20" t="s">
        <v>69</v>
      </c>
      <c r="R2638" s="20" t="s">
        <v>2604</v>
      </c>
      <c r="T2638" s="20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</row>
    <row r="2639">
      <c r="A2639" s="15" t="s">
        <v>9546</v>
      </c>
      <c r="B2639" s="19" t="s">
        <v>3912</v>
      </c>
      <c r="C2639" s="20">
        <v>49835.0</v>
      </c>
      <c r="D2639" s="20" t="s">
        <v>3911</v>
      </c>
      <c r="E2639" s="5">
        <v>9.17995267591E11</v>
      </c>
      <c r="F2639" s="21">
        <v>19022.0</v>
      </c>
      <c r="G2639" s="20"/>
      <c r="H2639" s="20" t="s">
        <v>680</v>
      </c>
      <c r="I2639" s="5"/>
      <c r="J2639" s="20">
        <v>1.0</v>
      </c>
      <c r="K2639" s="20">
        <v>99.0</v>
      </c>
      <c r="L2639" s="20"/>
      <c r="M2639" s="20">
        <v>99.0</v>
      </c>
      <c r="N2639" s="5" t="s">
        <v>67</v>
      </c>
      <c r="O2639" s="20" t="b">
        <v>0</v>
      </c>
      <c r="P2639" s="20" t="s">
        <v>68</v>
      </c>
      <c r="Q2639" s="20" t="s">
        <v>69</v>
      </c>
      <c r="R2639" s="20" t="s">
        <v>3888</v>
      </c>
      <c r="T2639" s="20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</row>
    <row r="2640">
      <c r="A2640" s="15" t="s">
        <v>9547</v>
      </c>
      <c r="B2640" s="19" t="s">
        <v>4697</v>
      </c>
      <c r="C2640" s="20">
        <v>49859.0</v>
      </c>
      <c r="D2640" s="20" t="s">
        <v>4696</v>
      </c>
      <c r="E2640" s="5">
        <v>9.18960461801E11</v>
      </c>
      <c r="F2640" s="21">
        <v>19024.0</v>
      </c>
      <c r="G2640" s="20"/>
      <c r="H2640" s="20" t="s">
        <v>1133</v>
      </c>
      <c r="I2640" s="5"/>
      <c r="J2640" s="20">
        <v>3.0</v>
      </c>
      <c r="K2640" s="20">
        <v>199.0</v>
      </c>
      <c r="L2640" s="20"/>
      <c r="M2640" s="20">
        <v>199.0</v>
      </c>
      <c r="N2640" s="5" t="s">
        <v>67</v>
      </c>
      <c r="O2640" s="20" t="b">
        <v>0</v>
      </c>
      <c r="P2640" s="20" t="s">
        <v>68</v>
      </c>
      <c r="Q2640" s="20" t="s">
        <v>69</v>
      </c>
      <c r="R2640" s="20" t="s">
        <v>4620</v>
      </c>
      <c r="T2640" s="20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</row>
    <row r="2641">
      <c r="A2641" s="15" t="s">
        <v>9556</v>
      </c>
      <c r="B2641" s="19" t="s">
        <v>4397</v>
      </c>
      <c r="C2641" s="20">
        <v>50039.0</v>
      </c>
      <c r="D2641" s="20" t="s">
        <v>4396</v>
      </c>
      <c r="E2641" s="5">
        <v>9.17376504908E11</v>
      </c>
      <c r="F2641" s="21">
        <v>20262.0</v>
      </c>
      <c r="G2641" s="20"/>
      <c r="H2641" s="20" t="s">
        <v>4341</v>
      </c>
      <c r="I2641" s="5"/>
      <c r="J2641" s="20">
        <v>3.0</v>
      </c>
      <c r="K2641" s="20">
        <v>199.0</v>
      </c>
      <c r="L2641" s="20"/>
      <c r="M2641" s="20">
        <v>199.0</v>
      </c>
      <c r="N2641" s="5" t="s">
        <v>67</v>
      </c>
      <c r="O2641" s="20" t="b">
        <v>0</v>
      </c>
      <c r="P2641" s="20" t="s">
        <v>68</v>
      </c>
      <c r="Q2641" s="20" t="s">
        <v>69</v>
      </c>
      <c r="R2641" s="20" t="s">
        <v>4388</v>
      </c>
      <c r="T2641" s="20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</row>
    <row r="2642">
      <c r="A2642" s="15" t="s">
        <v>9717</v>
      </c>
      <c r="B2642" s="19" t="s">
        <v>6121</v>
      </c>
      <c r="C2642" s="20">
        <v>50076.0</v>
      </c>
      <c r="D2642" s="20" t="s">
        <v>6120</v>
      </c>
      <c r="E2642" s="5">
        <v>9.17798674777E11</v>
      </c>
      <c r="F2642" s="21">
        <v>19100.0</v>
      </c>
      <c r="G2642" s="20"/>
      <c r="H2642" s="20" t="s">
        <v>5984</v>
      </c>
      <c r="I2642" s="5"/>
      <c r="J2642" s="20">
        <v>1.0</v>
      </c>
      <c r="K2642" s="20">
        <v>199.0</v>
      </c>
      <c r="L2642" s="20"/>
      <c r="M2642" s="20">
        <v>199.0</v>
      </c>
      <c r="N2642" s="5" t="s">
        <v>67</v>
      </c>
      <c r="O2642" s="20" t="b">
        <v>0</v>
      </c>
      <c r="P2642" s="20" t="s">
        <v>68</v>
      </c>
      <c r="Q2642" s="20" t="s">
        <v>69</v>
      </c>
      <c r="R2642" s="20" t="s">
        <v>5987</v>
      </c>
      <c r="T2642" s="20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</row>
    <row r="2643">
      <c r="A2643" s="15" t="s">
        <v>9549</v>
      </c>
      <c r="B2643" s="19" t="s">
        <v>2867</v>
      </c>
      <c r="C2643" s="20">
        <v>50029.0</v>
      </c>
      <c r="D2643" s="20" t="s">
        <v>2866</v>
      </c>
      <c r="E2643" s="5">
        <v>9.19892867167E11</v>
      </c>
      <c r="F2643" s="21">
        <v>19072.0</v>
      </c>
      <c r="G2643" s="20"/>
      <c r="H2643" s="20" t="s">
        <v>2761</v>
      </c>
      <c r="I2643" s="5"/>
      <c r="J2643" s="20">
        <v>1.0</v>
      </c>
      <c r="K2643" s="20">
        <v>99.0</v>
      </c>
      <c r="L2643" s="20"/>
      <c r="M2643" s="20">
        <v>99.0</v>
      </c>
      <c r="N2643" s="5" t="s">
        <v>67</v>
      </c>
      <c r="O2643" s="20" t="b">
        <v>0</v>
      </c>
      <c r="P2643" s="20" t="s">
        <v>74</v>
      </c>
      <c r="Q2643" s="20" t="s">
        <v>69</v>
      </c>
      <c r="R2643" s="20" t="s">
        <v>2763</v>
      </c>
      <c r="T2643" s="20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</row>
    <row r="2644">
      <c r="A2644" s="15" t="s">
        <v>9714</v>
      </c>
      <c r="B2644" s="19" t="s">
        <v>4175</v>
      </c>
      <c r="C2644" s="20">
        <v>49833.0</v>
      </c>
      <c r="D2644" s="20" t="s">
        <v>4174</v>
      </c>
      <c r="E2644" s="5">
        <v>9.17727017057E11</v>
      </c>
      <c r="F2644" s="21">
        <v>19101.0</v>
      </c>
      <c r="G2644" s="20"/>
      <c r="H2644" s="20" t="s">
        <v>4030</v>
      </c>
      <c r="I2644" s="5"/>
      <c r="J2644" s="20">
        <v>3.0</v>
      </c>
      <c r="K2644" s="20">
        <v>199.0</v>
      </c>
      <c r="L2644" s="20"/>
      <c r="M2644" s="20">
        <v>199.0</v>
      </c>
      <c r="N2644" s="5" t="s">
        <v>67</v>
      </c>
      <c r="O2644" s="20" t="b">
        <v>0</v>
      </c>
      <c r="P2644" s="20" t="s">
        <v>68</v>
      </c>
      <c r="Q2644" s="20" t="s">
        <v>69</v>
      </c>
      <c r="R2644" s="20" t="s">
        <v>4033</v>
      </c>
      <c r="T2644" s="20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</row>
    <row r="2645">
      <c r="A2645" s="15" t="s">
        <v>9715</v>
      </c>
      <c r="B2645" s="19" t="s">
        <v>3470</v>
      </c>
      <c r="C2645" s="20">
        <v>50030.0</v>
      </c>
      <c r="D2645" s="20" t="s">
        <v>3469</v>
      </c>
      <c r="E2645" s="5">
        <v>9.19090810461E11</v>
      </c>
      <c r="F2645" s="21">
        <v>19160.0</v>
      </c>
      <c r="G2645" s="20"/>
      <c r="H2645" s="20" t="s">
        <v>3326</v>
      </c>
      <c r="I2645" s="5"/>
      <c r="J2645" s="20">
        <v>1.0</v>
      </c>
      <c r="K2645" s="20">
        <v>99.0</v>
      </c>
      <c r="L2645" s="20"/>
      <c r="M2645" s="20">
        <v>99.0</v>
      </c>
      <c r="N2645" s="5" t="s">
        <v>67</v>
      </c>
      <c r="O2645" s="20" t="b">
        <v>0</v>
      </c>
      <c r="P2645" s="20" t="s">
        <v>68</v>
      </c>
      <c r="Q2645" s="20" t="s">
        <v>69</v>
      </c>
      <c r="R2645" s="20" t="s">
        <v>3328</v>
      </c>
      <c r="T2645" s="20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</row>
    <row r="2646">
      <c r="A2646" s="15" t="s">
        <v>9718</v>
      </c>
      <c r="B2646" s="19" t="s">
        <v>6346</v>
      </c>
      <c r="C2646" s="20">
        <v>50044.0</v>
      </c>
      <c r="D2646" s="20" t="s">
        <v>6345</v>
      </c>
      <c r="E2646" s="5">
        <v>9.18802821934E11</v>
      </c>
      <c r="F2646" s="21">
        <v>19102.0</v>
      </c>
      <c r="G2646" s="20"/>
      <c r="H2646" s="20" t="s">
        <v>6320</v>
      </c>
      <c r="I2646" s="5"/>
      <c r="J2646" s="20">
        <v>1.0</v>
      </c>
      <c r="K2646" s="20">
        <v>349.0</v>
      </c>
      <c r="L2646" s="20"/>
      <c r="M2646" s="20">
        <v>349.0</v>
      </c>
      <c r="N2646" s="5" t="s">
        <v>67</v>
      </c>
      <c r="O2646" s="20" t="b">
        <v>0</v>
      </c>
      <c r="P2646" s="20" t="s">
        <v>74</v>
      </c>
      <c r="Q2646" s="20" t="s">
        <v>69</v>
      </c>
      <c r="R2646" s="20" t="s">
        <v>6322</v>
      </c>
      <c r="T2646" s="20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</row>
    <row r="2647">
      <c r="A2647" s="15" t="s">
        <v>9554</v>
      </c>
      <c r="B2647" s="19" t="s">
        <v>3914</v>
      </c>
      <c r="C2647" s="20">
        <v>49835.0</v>
      </c>
      <c r="D2647" s="20" t="s">
        <v>3913</v>
      </c>
      <c r="E2647" s="5">
        <v>9.17276126319E11</v>
      </c>
      <c r="F2647" s="21">
        <v>19025.0</v>
      </c>
      <c r="G2647" s="20"/>
      <c r="H2647" s="20" t="s">
        <v>680</v>
      </c>
      <c r="I2647" s="5"/>
      <c r="J2647" s="20">
        <v>1.0</v>
      </c>
      <c r="K2647" s="20">
        <v>99.0</v>
      </c>
      <c r="L2647" s="20"/>
      <c r="M2647" s="20">
        <v>99.0</v>
      </c>
      <c r="N2647" s="5" t="s">
        <v>67</v>
      </c>
      <c r="O2647" s="20" t="b">
        <v>0</v>
      </c>
      <c r="P2647" s="20" t="s">
        <v>68</v>
      </c>
      <c r="Q2647" s="20" t="s">
        <v>69</v>
      </c>
      <c r="R2647" s="20" t="s">
        <v>3888</v>
      </c>
      <c r="T2647" s="20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</row>
    <row r="2648">
      <c r="A2648" s="15" t="s">
        <v>9555</v>
      </c>
      <c r="B2648" s="19" t="s">
        <v>3914</v>
      </c>
      <c r="C2648" s="20">
        <v>50043.0</v>
      </c>
      <c r="D2648" s="20" t="s">
        <v>6398</v>
      </c>
      <c r="E2648" s="5">
        <v>9.17349084282E11</v>
      </c>
      <c r="F2648" s="21">
        <v>19026.0</v>
      </c>
      <c r="G2648" s="20"/>
      <c r="H2648" s="20" t="s">
        <v>6367</v>
      </c>
      <c r="I2648" s="5"/>
      <c r="J2648" s="20">
        <v>1.0</v>
      </c>
      <c r="K2648" s="20">
        <v>99.0</v>
      </c>
      <c r="L2648" s="20"/>
      <c r="M2648" s="20">
        <v>99.0</v>
      </c>
      <c r="N2648" s="5" t="s">
        <v>67</v>
      </c>
      <c r="O2648" s="20" t="b">
        <v>0</v>
      </c>
      <c r="P2648" s="20" t="s">
        <v>68</v>
      </c>
      <c r="Q2648" s="20" t="s">
        <v>69</v>
      </c>
      <c r="R2648" s="20" t="s">
        <v>6369</v>
      </c>
      <c r="T2648" s="20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</row>
    <row r="2649">
      <c r="A2649" s="15" t="s">
        <v>9716</v>
      </c>
      <c r="B2649" s="19" t="s">
        <v>4709</v>
      </c>
      <c r="C2649" s="20">
        <v>49859.0</v>
      </c>
      <c r="D2649" s="20" t="s">
        <v>4708</v>
      </c>
      <c r="E2649" s="5">
        <v>9.19863093347E11</v>
      </c>
      <c r="F2649" s="21">
        <v>0.0</v>
      </c>
      <c r="G2649" s="20"/>
      <c r="H2649" s="20" t="s">
        <v>1133</v>
      </c>
      <c r="I2649" s="5"/>
      <c r="J2649" s="20">
        <v>6.0</v>
      </c>
      <c r="K2649" s="20">
        <v>349.0</v>
      </c>
      <c r="L2649" s="20"/>
      <c r="M2649" s="20">
        <v>349.0</v>
      </c>
      <c r="N2649" s="5" t="s">
        <v>67</v>
      </c>
      <c r="O2649" s="20" t="b">
        <v>0</v>
      </c>
      <c r="P2649" s="20" t="s">
        <v>68</v>
      </c>
      <c r="Q2649" s="20" t="s">
        <v>69</v>
      </c>
      <c r="R2649" s="20" t="s">
        <v>4620</v>
      </c>
      <c r="T2649" s="20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</row>
    <row r="2650">
      <c r="A2650" s="15" t="s">
        <v>9726</v>
      </c>
      <c r="B2650" s="19" t="s">
        <v>3125</v>
      </c>
      <c r="C2650" s="20">
        <v>50076.0</v>
      </c>
      <c r="D2650" s="20" t="s">
        <v>6122</v>
      </c>
      <c r="E2650" s="5">
        <v>9.19129198401E11</v>
      </c>
      <c r="F2650" s="21">
        <v>19105.0</v>
      </c>
      <c r="G2650" s="20"/>
      <c r="H2650" s="20" t="s">
        <v>5984</v>
      </c>
      <c r="I2650" s="5"/>
      <c r="J2650" s="20">
        <v>1.0</v>
      </c>
      <c r="K2650" s="20">
        <v>199.0</v>
      </c>
      <c r="L2650" s="20"/>
      <c r="M2650" s="20">
        <v>199.0</v>
      </c>
      <c r="N2650" s="5" t="s">
        <v>67</v>
      </c>
      <c r="O2650" s="20" t="b">
        <v>0</v>
      </c>
      <c r="P2650" s="20" t="s">
        <v>68</v>
      </c>
      <c r="Q2650" s="20" t="s">
        <v>69</v>
      </c>
      <c r="R2650" s="20" t="s">
        <v>5987</v>
      </c>
      <c r="T2650" s="20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</row>
    <row r="2651">
      <c r="A2651" s="15" t="s">
        <v>9721</v>
      </c>
      <c r="B2651" s="19" t="s">
        <v>5901</v>
      </c>
      <c r="C2651" s="20">
        <v>50054.0</v>
      </c>
      <c r="D2651" s="20" t="s">
        <v>5900</v>
      </c>
      <c r="E2651" s="5">
        <v>9.19819986002E11</v>
      </c>
      <c r="F2651" s="21">
        <v>19103.0</v>
      </c>
      <c r="G2651" s="20"/>
      <c r="H2651" s="20" t="s">
        <v>5822</v>
      </c>
      <c r="I2651" s="5"/>
      <c r="J2651" s="20">
        <v>3.0</v>
      </c>
      <c r="K2651" s="20">
        <v>199.0</v>
      </c>
      <c r="L2651" s="20"/>
      <c r="M2651" s="20">
        <v>199.0</v>
      </c>
      <c r="N2651" s="5" t="s">
        <v>67</v>
      </c>
      <c r="O2651" s="20" t="b">
        <v>0</v>
      </c>
      <c r="P2651" s="20" t="s">
        <v>68</v>
      </c>
      <c r="Q2651" s="20" t="s">
        <v>69</v>
      </c>
      <c r="R2651" s="20" t="s">
        <v>5824</v>
      </c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</row>
    <row r="2652">
      <c r="A2652" s="15" t="s">
        <v>9728</v>
      </c>
      <c r="B2652" s="19" t="s">
        <v>6166</v>
      </c>
      <c r="C2652" s="20">
        <v>49978.0</v>
      </c>
      <c r="D2652" s="20" t="s">
        <v>6165</v>
      </c>
      <c r="E2652" s="5">
        <v>9.18698304666E11</v>
      </c>
      <c r="F2652" s="21">
        <v>19106.0</v>
      </c>
      <c r="G2652" s="20"/>
      <c r="H2652" s="20" t="s">
        <v>2150</v>
      </c>
      <c r="I2652" s="5"/>
      <c r="J2652" s="20">
        <v>6.0</v>
      </c>
      <c r="K2652" s="20">
        <v>299.0</v>
      </c>
      <c r="L2652" s="20"/>
      <c r="M2652" s="20">
        <v>299.0</v>
      </c>
      <c r="N2652" s="5" t="s">
        <v>67</v>
      </c>
      <c r="O2652" s="20" t="b">
        <v>0</v>
      </c>
      <c r="P2652" s="20" t="s">
        <v>68</v>
      </c>
      <c r="Q2652" s="20" t="s">
        <v>69</v>
      </c>
      <c r="R2652" s="20" t="s">
        <v>6156</v>
      </c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</row>
    <row r="2653">
      <c r="A2653" s="15" t="s">
        <v>9725</v>
      </c>
      <c r="B2653" s="19" t="s">
        <v>5276</v>
      </c>
      <c r="C2653" s="20">
        <v>50022.0</v>
      </c>
      <c r="D2653" s="20" t="s">
        <v>5275</v>
      </c>
      <c r="E2653" s="5">
        <v>9.1996753185E11</v>
      </c>
      <c r="F2653" s="21">
        <v>19104.0</v>
      </c>
      <c r="G2653" s="20"/>
      <c r="H2653" s="20" t="s">
        <v>5181</v>
      </c>
      <c r="I2653" s="5"/>
      <c r="J2653" s="20">
        <v>1.0</v>
      </c>
      <c r="K2653" s="20">
        <v>99.0</v>
      </c>
      <c r="L2653" s="20"/>
      <c r="M2653" s="20">
        <v>99.0</v>
      </c>
      <c r="N2653" s="5" t="s">
        <v>67</v>
      </c>
      <c r="O2653" s="20" t="b">
        <v>0</v>
      </c>
      <c r="P2653" s="20" t="s">
        <v>74</v>
      </c>
      <c r="Q2653" s="20" t="s">
        <v>69</v>
      </c>
      <c r="R2653" s="20" t="s">
        <v>5183</v>
      </c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</row>
    <row r="2654">
      <c r="A2654" s="15" t="s">
        <v>9734</v>
      </c>
      <c r="B2654" s="19" t="s">
        <v>4711</v>
      </c>
      <c r="C2654" s="20">
        <v>49859.0</v>
      </c>
      <c r="D2654" s="20" t="s">
        <v>4710</v>
      </c>
      <c r="E2654" s="5">
        <v>9.18341262636E11</v>
      </c>
      <c r="F2654" s="21">
        <v>19033.0</v>
      </c>
      <c r="G2654" s="20"/>
      <c r="H2654" s="20" t="s">
        <v>1133</v>
      </c>
      <c r="I2654" s="5"/>
      <c r="J2654" s="20">
        <v>1.0</v>
      </c>
      <c r="K2654" s="20">
        <v>99.0</v>
      </c>
      <c r="L2654" s="20"/>
      <c r="M2654" s="20">
        <v>99.0</v>
      </c>
      <c r="N2654" s="5" t="s">
        <v>67</v>
      </c>
      <c r="O2654" s="20" t="b">
        <v>0</v>
      </c>
      <c r="P2654" s="20" t="s">
        <v>68</v>
      </c>
      <c r="Q2654" s="20" t="s">
        <v>69</v>
      </c>
      <c r="R2654" s="20" t="s">
        <v>4620</v>
      </c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</row>
    <row r="2655">
      <c r="A2655" s="15" t="s">
        <v>9729</v>
      </c>
      <c r="B2655" s="19" t="s">
        <v>3800</v>
      </c>
      <c r="C2655" s="20">
        <v>49907.0</v>
      </c>
      <c r="D2655" s="20" t="s">
        <v>3799</v>
      </c>
      <c r="E2655" s="5">
        <v>9.1859497958E11</v>
      </c>
      <c r="F2655" s="21">
        <v>19107.0</v>
      </c>
      <c r="G2655" s="20"/>
      <c r="H2655" s="20" t="s">
        <v>587</v>
      </c>
      <c r="I2655" s="5"/>
      <c r="J2655" s="20">
        <v>1.0</v>
      </c>
      <c r="K2655" s="20">
        <v>99.0</v>
      </c>
      <c r="L2655" s="20"/>
      <c r="M2655" s="20">
        <v>99.0</v>
      </c>
      <c r="N2655" s="5" t="s">
        <v>67</v>
      </c>
      <c r="O2655" s="20" t="b">
        <v>0</v>
      </c>
      <c r="P2655" s="20" t="s">
        <v>68</v>
      </c>
      <c r="Q2655" s="20" t="s">
        <v>69</v>
      </c>
      <c r="R2655" s="20" t="s">
        <v>3774</v>
      </c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</row>
    <row r="2656">
      <c r="A2656" s="15" t="s">
        <v>9730</v>
      </c>
      <c r="B2656" s="19" t="s">
        <v>6124</v>
      </c>
      <c r="C2656" s="20">
        <v>50076.0</v>
      </c>
      <c r="D2656" s="20" t="s">
        <v>6123</v>
      </c>
      <c r="E2656" s="5">
        <v>9.1976716315E11</v>
      </c>
      <c r="F2656" s="21">
        <v>19109.0</v>
      </c>
      <c r="G2656" s="20"/>
      <c r="H2656" s="20" t="s">
        <v>5984</v>
      </c>
      <c r="I2656" s="5"/>
      <c r="J2656" s="20">
        <v>1.0</v>
      </c>
      <c r="K2656" s="20">
        <v>199.0</v>
      </c>
      <c r="L2656" s="20"/>
      <c r="M2656" s="20">
        <v>199.0</v>
      </c>
      <c r="N2656" s="5" t="s">
        <v>67</v>
      </c>
      <c r="O2656" s="20" t="b">
        <v>0</v>
      </c>
      <c r="P2656" s="20" t="s">
        <v>68</v>
      </c>
      <c r="Q2656" s="20" t="s">
        <v>69</v>
      </c>
      <c r="R2656" s="20" t="s">
        <v>5987</v>
      </c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</row>
    <row r="2657">
      <c r="A2657" s="15" t="s">
        <v>9732</v>
      </c>
      <c r="B2657" s="19" t="s">
        <v>3916</v>
      </c>
      <c r="C2657" s="20">
        <v>49835.0</v>
      </c>
      <c r="D2657" s="20" t="s">
        <v>3915</v>
      </c>
      <c r="E2657" s="5">
        <v>9.19049944521E11</v>
      </c>
      <c r="F2657" s="21">
        <v>19108.0</v>
      </c>
      <c r="G2657" s="20"/>
      <c r="H2657" s="20" t="s">
        <v>680</v>
      </c>
      <c r="I2657" s="5"/>
      <c r="J2657" s="20">
        <v>6.0</v>
      </c>
      <c r="K2657" s="20">
        <v>349.0</v>
      </c>
      <c r="L2657" s="20"/>
      <c r="M2657" s="20">
        <v>349.0</v>
      </c>
      <c r="N2657" s="5" t="s">
        <v>67</v>
      </c>
      <c r="O2657" s="20" t="b">
        <v>0</v>
      </c>
      <c r="P2657" s="20" t="s">
        <v>68</v>
      </c>
      <c r="Q2657" s="20" t="s">
        <v>69</v>
      </c>
      <c r="R2657" s="20" t="s">
        <v>3888</v>
      </c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</row>
    <row r="2658">
      <c r="A2658" s="15" t="s">
        <v>9735</v>
      </c>
      <c r="B2658" s="19" t="s">
        <v>6637</v>
      </c>
      <c r="C2658" s="20">
        <v>49994.0</v>
      </c>
      <c r="D2658" s="20" t="s">
        <v>6636</v>
      </c>
      <c r="E2658" s="5">
        <v>9.17736327966E11</v>
      </c>
      <c r="F2658" s="21">
        <v>19112.0</v>
      </c>
      <c r="G2658" s="20"/>
      <c r="H2658" s="20" t="s">
        <v>1264</v>
      </c>
      <c r="I2658" s="5"/>
      <c r="J2658" s="20">
        <v>3.0</v>
      </c>
      <c r="K2658" s="20">
        <v>199.0</v>
      </c>
      <c r="L2658" s="20"/>
      <c r="M2658" s="20">
        <v>199.0</v>
      </c>
      <c r="N2658" s="5" t="s">
        <v>67</v>
      </c>
      <c r="O2658" s="20" t="b">
        <v>0</v>
      </c>
      <c r="P2658" s="20" t="s">
        <v>151</v>
      </c>
      <c r="Q2658" s="20" t="s">
        <v>69</v>
      </c>
      <c r="R2658" s="20" t="s">
        <v>6615</v>
      </c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</row>
    <row r="2659">
      <c r="A2659" s="15" t="s">
        <v>9740</v>
      </c>
      <c r="B2659" s="19" t="s">
        <v>3249</v>
      </c>
      <c r="C2659" s="20">
        <v>50047.0</v>
      </c>
      <c r="D2659" s="20" t="s">
        <v>3248</v>
      </c>
      <c r="E2659" s="5">
        <v>9.19167600216E11</v>
      </c>
      <c r="F2659" s="21">
        <v>0.0</v>
      </c>
      <c r="G2659" s="20"/>
      <c r="H2659" s="20" t="s">
        <v>3195</v>
      </c>
      <c r="I2659" s="5"/>
      <c r="J2659" s="20">
        <v>3.0</v>
      </c>
      <c r="K2659" s="20">
        <v>199.0</v>
      </c>
      <c r="L2659" s="20"/>
      <c r="M2659" s="20">
        <v>199.0</v>
      </c>
      <c r="N2659" s="5" t="s">
        <v>67</v>
      </c>
      <c r="O2659" s="20" t="b">
        <v>0</v>
      </c>
      <c r="P2659" s="20" t="s">
        <v>68</v>
      </c>
      <c r="Q2659" s="20" t="s">
        <v>69</v>
      </c>
      <c r="R2659" s="20" t="s">
        <v>3197</v>
      </c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</row>
    <row r="2660">
      <c r="A2660" s="15" t="s">
        <v>9736</v>
      </c>
      <c r="B2660" s="19" t="s">
        <v>6551</v>
      </c>
      <c r="C2660" s="20">
        <v>50073.0</v>
      </c>
      <c r="D2660" s="20" t="s">
        <v>6550</v>
      </c>
      <c r="E2660" s="5">
        <v>9.17703816107E11</v>
      </c>
      <c r="F2660" s="21">
        <v>19110.0</v>
      </c>
      <c r="G2660" s="20"/>
      <c r="H2660" s="20" t="s">
        <v>2161</v>
      </c>
      <c r="I2660" s="5"/>
      <c r="J2660" s="20">
        <v>1.0</v>
      </c>
      <c r="K2660" s="20">
        <v>799.0</v>
      </c>
      <c r="L2660" s="20"/>
      <c r="M2660" s="20">
        <v>799.0</v>
      </c>
      <c r="N2660" s="5" t="s">
        <v>67</v>
      </c>
      <c r="O2660" s="20" t="b">
        <v>0</v>
      </c>
      <c r="P2660" s="20" t="s">
        <v>74</v>
      </c>
      <c r="Q2660" s="20" t="s">
        <v>69</v>
      </c>
      <c r="R2660" s="20" t="s">
        <v>6497</v>
      </c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</row>
    <row r="2661">
      <c r="A2661" s="15" t="s">
        <v>9741</v>
      </c>
      <c r="B2661" s="19" t="s">
        <v>3802</v>
      </c>
      <c r="C2661" s="20">
        <v>49907.0</v>
      </c>
      <c r="D2661" s="20" t="s">
        <v>3801</v>
      </c>
      <c r="E2661" s="5">
        <v>9.190101959E11</v>
      </c>
      <c r="F2661" s="21">
        <v>19132.0</v>
      </c>
      <c r="G2661" s="20"/>
      <c r="H2661" s="20" t="s">
        <v>587</v>
      </c>
      <c r="I2661" s="5"/>
      <c r="J2661" s="20">
        <v>1.0</v>
      </c>
      <c r="K2661" s="20">
        <v>99.0</v>
      </c>
      <c r="L2661" s="20"/>
      <c r="M2661" s="20">
        <v>99.0</v>
      </c>
      <c r="N2661" s="5" t="s">
        <v>67</v>
      </c>
      <c r="O2661" s="20" t="b">
        <v>0</v>
      </c>
      <c r="P2661" s="20" t="s">
        <v>68</v>
      </c>
      <c r="Q2661" s="20" t="s">
        <v>69</v>
      </c>
      <c r="R2661" s="20" t="s">
        <v>3774</v>
      </c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</row>
    <row r="2662">
      <c r="A2662" s="15" t="s">
        <v>9742</v>
      </c>
      <c r="B2662" s="19" t="s">
        <v>3251</v>
      </c>
      <c r="C2662" s="20">
        <v>50047.0</v>
      </c>
      <c r="D2662" s="20" t="s">
        <v>3250</v>
      </c>
      <c r="E2662" s="5">
        <v>9.19969798944E11</v>
      </c>
      <c r="F2662" s="21">
        <v>19151.0</v>
      </c>
      <c r="G2662" s="20"/>
      <c r="H2662" s="20" t="s">
        <v>3195</v>
      </c>
      <c r="I2662" s="5"/>
      <c r="J2662" s="20">
        <v>12.0</v>
      </c>
      <c r="K2662" s="20">
        <v>499.0</v>
      </c>
      <c r="L2662" s="20"/>
      <c r="M2662" s="20">
        <v>499.0</v>
      </c>
      <c r="N2662" s="5" t="s">
        <v>67</v>
      </c>
      <c r="O2662" s="20" t="b">
        <v>0</v>
      </c>
      <c r="P2662" s="20" t="s">
        <v>68</v>
      </c>
      <c r="Q2662" s="20" t="s">
        <v>69</v>
      </c>
      <c r="R2662" s="20" t="s">
        <v>3197</v>
      </c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</row>
    <row r="2663">
      <c r="A2663" s="15" t="s">
        <v>9749</v>
      </c>
      <c r="B2663" s="19" t="s">
        <v>2869</v>
      </c>
      <c r="C2663" s="20">
        <v>50029.0</v>
      </c>
      <c r="D2663" s="20" t="s">
        <v>2868</v>
      </c>
      <c r="E2663" s="5">
        <v>9.19966696981E11</v>
      </c>
      <c r="F2663" s="21">
        <v>19115.0</v>
      </c>
      <c r="G2663" s="20"/>
      <c r="H2663" s="20" t="s">
        <v>2761</v>
      </c>
      <c r="I2663" s="5"/>
      <c r="J2663" s="20">
        <v>1.0</v>
      </c>
      <c r="K2663" s="20">
        <v>99.0</v>
      </c>
      <c r="L2663" s="20"/>
      <c r="M2663" s="20">
        <v>99.0</v>
      </c>
      <c r="N2663" s="5" t="s">
        <v>67</v>
      </c>
      <c r="O2663" s="20" t="b">
        <v>0</v>
      </c>
      <c r="P2663" s="20" t="s">
        <v>68</v>
      </c>
      <c r="Q2663" s="20" t="s">
        <v>69</v>
      </c>
      <c r="R2663" s="20" t="s">
        <v>2763</v>
      </c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</row>
    <row r="2664">
      <c r="A2664" s="15" t="s">
        <v>9744</v>
      </c>
      <c r="B2664" s="19" t="s">
        <v>3472</v>
      </c>
      <c r="C2664" s="20">
        <v>50030.0</v>
      </c>
      <c r="D2664" s="20" t="s">
        <v>3471</v>
      </c>
      <c r="E2664" s="5">
        <v>9.18113970778E11</v>
      </c>
      <c r="F2664" s="21">
        <v>19113.0</v>
      </c>
      <c r="G2664" s="20"/>
      <c r="H2664" s="20" t="s">
        <v>3326</v>
      </c>
      <c r="I2664" s="5"/>
      <c r="J2664" s="20">
        <v>1.0</v>
      </c>
      <c r="K2664" s="20">
        <v>99.0</v>
      </c>
      <c r="L2664" s="20"/>
      <c r="M2664" s="20">
        <v>99.0</v>
      </c>
      <c r="N2664" s="5" t="s">
        <v>67</v>
      </c>
      <c r="O2664" s="20" t="b">
        <v>0</v>
      </c>
      <c r="P2664" s="20" t="s">
        <v>68</v>
      </c>
      <c r="Q2664" s="20" t="s">
        <v>69</v>
      </c>
      <c r="R2664" s="20" t="s">
        <v>3328</v>
      </c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</row>
    <row r="2665">
      <c r="A2665" s="15" t="s">
        <v>9745</v>
      </c>
      <c r="B2665" s="19" t="s">
        <v>5463</v>
      </c>
      <c r="C2665" s="20">
        <v>49844.0</v>
      </c>
      <c r="D2665" s="20" t="s">
        <v>5462</v>
      </c>
      <c r="E2665" s="5">
        <v>9.18489174326E11</v>
      </c>
      <c r="F2665" s="21">
        <v>19114.0</v>
      </c>
      <c r="G2665" s="20"/>
      <c r="H2665" s="20" t="s">
        <v>885</v>
      </c>
      <c r="I2665" s="5"/>
      <c r="J2665" s="20">
        <v>1.0</v>
      </c>
      <c r="K2665" s="20">
        <v>99.0</v>
      </c>
      <c r="L2665" s="20"/>
      <c r="M2665" s="20">
        <v>99.0</v>
      </c>
      <c r="N2665" s="5" t="s">
        <v>67</v>
      </c>
      <c r="O2665" s="20" t="b">
        <v>0</v>
      </c>
      <c r="P2665" s="20" t="s">
        <v>74</v>
      </c>
      <c r="Q2665" s="20" t="s">
        <v>69</v>
      </c>
      <c r="R2665" s="20" t="s">
        <v>5445</v>
      </c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</row>
    <row r="2666">
      <c r="A2666" s="15" t="s">
        <v>9747</v>
      </c>
      <c r="B2666" s="19" t="s">
        <v>6405</v>
      </c>
      <c r="C2666" s="20">
        <v>50043.0</v>
      </c>
      <c r="D2666" s="20" t="s">
        <v>6404</v>
      </c>
      <c r="E2666" s="5">
        <v>9.18290748519E11</v>
      </c>
      <c r="F2666" s="21">
        <v>19116.0</v>
      </c>
      <c r="G2666" s="20"/>
      <c r="H2666" s="20" t="s">
        <v>6367</v>
      </c>
      <c r="I2666" s="5"/>
      <c r="J2666" s="20">
        <v>1.0</v>
      </c>
      <c r="K2666" s="20">
        <v>99.0</v>
      </c>
      <c r="L2666" s="20"/>
      <c r="M2666" s="20">
        <v>99.0</v>
      </c>
      <c r="N2666" s="5" t="s">
        <v>67</v>
      </c>
      <c r="O2666" s="20" t="b">
        <v>0</v>
      </c>
      <c r="P2666" s="20" t="s">
        <v>68</v>
      </c>
      <c r="Q2666" s="20" t="s">
        <v>69</v>
      </c>
      <c r="R2666" s="20" t="s">
        <v>6369</v>
      </c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</row>
    <row r="2667">
      <c r="A2667" s="15" t="s">
        <v>9750</v>
      </c>
      <c r="B2667" s="19" t="s">
        <v>3127</v>
      </c>
      <c r="C2667" s="20">
        <v>49991.0</v>
      </c>
      <c r="D2667" s="20" t="s">
        <v>3126</v>
      </c>
      <c r="E2667" s="5">
        <v>9.19811669336E11</v>
      </c>
      <c r="F2667" s="22" t="s">
        <v>12593</v>
      </c>
      <c r="G2667" s="20"/>
      <c r="H2667" s="20" t="s">
        <v>3055</v>
      </c>
      <c r="I2667" s="5"/>
      <c r="J2667" s="20">
        <v>1.0</v>
      </c>
      <c r="K2667" s="20">
        <v>99.0</v>
      </c>
      <c r="L2667" s="20"/>
      <c r="M2667" s="20">
        <v>99.0</v>
      </c>
      <c r="N2667" s="5" t="s">
        <v>67</v>
      </c>
      <c r="O2667" s="20" t="b">
        <v>0</v>
      </c>
      <c r="P2667" s="20" t="s">
        <v>68</v>
      </c>
      <c r="Q2667" s="20" t="s">
        <v>69</v>
      </c>
      <c r="R2667" s="20" t="s">
        <v>3057</v>
      </c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</row>
    <row r="2668">
      <c r="A2668" s="15" t="s">
        <v>9751</v>
      </c>
      <c r="B2668" s="19" t="s">
        <v>3129</v>
      </c>
      <c r="C2668" s="20">
        <v>49991.0</v>
      </c>
      <c r="D2668" s="20" t="s">
        <v>3128</v>
      </c>
      <c r="E2668" s="5">
        <v>9.19015142508E11</v>
      </c>
      <c r="F2668" s="21">
        <v>19119.0</v>
      </c>
      <c r="G2668" s="20"/>
      <c r="H2668" s="20" t="s">
        <v>3055</v>
      </c>
      <c r="I2668" s="5"/>
      <c r="J2668" s="20">
        <v>1.0</v>
      </c>
      <c r="K2668" s="20">
        <v>99.0</v>
      </c>
      <c r="L2668" s="20"/>
      <c r="M2668" s="20">
        <v>99.0</v>
      </c>
      <c r="N2668" s="5" t="s">
        <v>67</v>
      </c>
      <c r="O2668" s="20" t="b">
        <v>0</v>
      </c>
      <c r="P2668" s="20" t="s">
        <v>68</v>
      </c>
      <c r="Q2668" s="20" t="s">
        <v>69</v>
      </c>
      <c r="R2668" s="20" t="s">
        <v>3057</v>
      </c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</row>
    <row r="2669">
      <c r="A2669" s="15" t="s">
        <v>9754</v>
      </c>
      <c r="B2669" s="19" t="s">
        <v>4713</v>
      </c>
      <c r="C2669" s="20">
        <v>49859.0</v>
      </c>
      <c r="D2669" s="20" t="s">
        <v>4712</v>
      </c>
      <c r="E2669" s="5">
        <v>9.18660458423E11</v>
      </c>
      <c r="F2669" s="21">
        <v>18257.0</v>
      </c>
      <c r="G2669" s="20"/>
      <c r="H2669" s="20" t="s">
        <v>1133</v>
      </c>
      <c r="I2669" s="5"/>
      <c r="J2669" s="20">
        <v>6.0</v>
      </c>
      <c r="K2669" s="20">
        <v>349.0</v>
      </c>
      <c r="L2669" s="20"/>
      <c r="M2669" s="20">
        <v>349.0</v>
      </c>
      <c r="N2669" s="5" t="s">
        <v>67</v>
      </c>
      <c r="O2669" s="20" t="b">
        <v>0</v>
      </c>
      <c r="P2669" s="20" t="s">
        <v>68</v>
      </c>
      <c r="Q2669" s="20" t="s">
        <v>69</v>
      </c>
      <c r="R2669" s="20" t="s">
        <v>4620</v>
      </c>
      <c r="T2669" s="20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</row>
    <row r="2670">
      <c r="A2670" s="15" t="s">
        <v>9755</v>
      </c>
      <c r="B2670" s="19" t="s">
        <v>6639</v>
      </c>
      <c r="C2670" s="20">
        <v>49994.0</v>
      </c>
      <c r="D2670" s="20" t="s">
        <v>6638</v>
      </c>
      <c r="E2670" s="5">
        <v>9.18867533114E11</v>
      </c>
      <c r="F2670" s="21">
        <v>19213.0</v>
      </c>
      <c r="G2670" s="20"/>
      <c r="H2670" s="20" t="s">
        <v>1264</v>
      </c>
      <c r="I2670" s="5"/>
      <c r="J2670" s="20">
        <v>1.0</v>
      </c>
      <c r="K2670" s="20">
        <v>99.0</v>
      </c>
      <c r="L2670" s="20"/>
      <c r="M2670" s="20">
        <v>99.0</v>
      </c>
      <c r="N2670" s="5" t="s">
        <v>67</v>
      </c>
      <c r="O2670" s="20" t="b">
        <v>0</v>
      </c>
      <c r="P2670" s="20" t="s">
        <v>74</v>
      </c>
      <c r="Q2670" s="20" t="s">
        <v>69</v>
      </c>
      <c r="R2670" s="20" t="s">
        <v>6615</v>
      </c>
      <c r="T2670" s="20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</row>
    <row r="2671">
      <c r="A2671" s="15" t="s">
        <v>9756</v>
      </c>
      <c r="B2671" s="19" t="s">
        <v>2530</v>
      </c>
      <c r="C2671" s="20">
        <v>49997.0</v>
      </c>
      <c r="D2671" s="20" t="s">
        <v>2529</v>
      </c>
      <c r="E2671" s="5">
        <v>9.17983530659E11</v>
      </c>
      <c r="F2671" s="21">
        <v>19120.0</v>
      </c>
      <c r="G2671" s="20"/>
      <c r="H2671" s="20" t="s">
        <v>2455</v>
      </c>
      <c r="I2671" s="5"/>
      <c r="J2671" s="20">
        <v>1.0</v>
      </c>
      <c r="K2671" s="20">
        <v>99.0</v>
      </c>
      <c r="L2671" s="20"/>
      <c r="M2671" s="20">
        <v>99.0</v>
      </c>
      <c r="N2671" s="5" t="s">
        <v>67</v>
      </c>
      <c r="O2671" s="20" t="b">
        <v>0</v>
      </c>
      <c r="P2671" s="20" t="s">
        <v>74</v>
      </c>
      <c r="Q2671" s="20" t="s">
        <v>69</v>
      </c>
      <c r="R2671" s="20" t="s">
        <v>2457</v>
      </c>
      <c r="T2671" s="20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</row>
    <row r="2672">
      <c r="A2672" s="15" t="s">
        <v>9763</v>
      </c>
      <c r="B2672" s="19" t="s">
        <v>4323</v>
      </c>
      <c r="C2672" s="20">
        <v>50079.0</v>
      </c>
      <c r="D2672" s="20" t="s">
        <v>4322</v>
      </c>
      <c r="E2672" s="5">
        <v>9.19483476349E11</v>
      </c>
      <c r="F2672" s="21">
        <v>19124.0</v>
      </c>
      <c r="G2672" s="20"/>
      <c r="H2672" s="20" t="s">
        <v>4281</v>
      </c>
      <c r="I2672" s="5"/>
      <c r="J2672" s="20">
        <v>1.0</v>
      </c>
      <c r="K2672" s="20">
        <v>99.0</v>
      </c>
      <c r="L2672" s="20"/>
      <c r="M2672" s="20">
        <v>99.0</v>
      </c>
      <c r="N2672" s="5" t="s">
        <v>67</v>
      </c>
      <c r="O2672" s="20" t="b">
        <v>0</v>
      </c>
      <c r="P2672" s="20" t="s">
        <v>68</v>
      </c>
      <c r="Q2672" s="20" t="s">
        <v>69</v>
      </c>
      <c r="R2672" s="20" t="s">
        <v>4284</v>
      </c>
      <c r="T2672" s="20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</row>
    <row r="2673">
      <c r="A2673" s="15" t="s">
        <v>9757</v>
      </c>
      <c r="B2673" s="19" t="s">
        <v>5534</v>
      </c>
      <c r="C2673" s="20">
        <v>50023.0</v>
      </c>
      <c r="D2673" s="20" t="s">
        <v>5533</v>
      </c>
      <c r="E2673" s="5">
        <v>9.18770424852E11</v>
      </c>
      <c r="F2673" s="21">
        <v>19121.0</v>
      </c>
      <c r="G2673" s="20"/>
      <c r="H2673" s="20" t="s">
        <v>5508</v>
      </c>
      <c r="I2673" s="5"/>
      <c r="J2673" s="20">
        <v>1.0</v>
      </c>
      <c r="K2673" s="20">
        <v>99.0</v>
      </c>
      <c r="L2673" s="20"/>
      <c r="M2673" s="20">
        <v>99.0</v>
      </c>
      <c r="N2673" s="5" t="s">
        <v>67</v>
      </c>
      <c r="O2673" s="20" t="b">
        <v>0</v>
      </c>
      <c r="P2673" s="20" t="s">
        <v>68</v>
      </c>
      <c r="Q2673" s="20" t="s">
        <v>69</v>
      </c>
      <c r="R2673" s="20" t="s">
        <v>5510</v>
      </c>
      <c r="T2673" s="20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</row>
    <row r="2674">
      <c r="A2674" s="15" t="s">
        <v>9764</v>
      </c>
      <c r="B2674" s="19" t="s">
        <v>6126</v>
      </c>
      <c r="C2674" s="20">
        <v>50076.0</v>
      </c>
      <c r="D2674" s="20" t="s">
        <v>6125</v>
      </c>
      <c r="E2674" s="5">
        <v>9.17012771763E11</v>
      </c>
      <c r="F2674" s="21">
        <v>19125.0</v>
      </c>
      <c r="G2674" s="20"/>
      <c r="H2674" s="20" t="s">
        <v>5984</v>
      </c>
      <c r="I2674" s="5"/>
      <c r="J2674" s="20">
        <v>3.0</v>
      </c>
      <c r="K2674" s="20">
        <v>349.0</v>
      </c>
      <c r="L2674" s="20"/>
      <c r="M2674" s="20">
        <v>349.0</v>
      </c>
      <c r="N2674" s="5" t="s">
        <v>67</v>
      </c>
      <c r="O2674" s="20" t="b">
        <v>0</v>
      </c>
      <c r="P2674" s="20" t="s">
        <v>68</v>
      </c>
      <c r="Q2674" s="20" t="s">
        <v>69</v>
      </c>
      <c r="R2674" s="20" t="s">
        <v>5987</v>
      </c>
      <c r="T2674" s="20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</row>
    <row r="2675">
      <c r="A2675" s="15" t="s">
        <v>9759</v>
      </c>
      <c r="B2675" s="19" t="s">
        <v>6348</v>
      </c>
      <c r="C2675" s="20">
        <v>50044.0</v>
      </c>
      <c r="D2675" s="20" t="s">
        <v>6347</v>
      </c>
      <c r="E2675" s="5">
        <v>9.18806670761E11</v>
      </c>
      <c r="F2675" s="21">
        <v>19122.0</v>
      </c>
      <c r="G2675" s="20"/>
      <c r="H2675" s="20" t="s">
        <v>6320</v>
      </c>
      <c r="I2675" s="5"/>
      <c r="J2675" s="20">
        <v>1.0</v>
      </c>
      <c r="K2675" s="20">
        <v>349.0</v>
      </c>
      <c r="L2675" s="20"/>
      <c r="M2675" s="20">
        <v>349.0</v>
      </c>
      <c r="N2675" s="5" t="s">
        <v>67</v>
      </c>
      <c r="O2675" s="20" t="b">
        <v>0</v>
      </c>
      <c r="P2675" s="20" t="s">
        <v>68</v>
      </c>
      <c r="Q2675" s="20" t="s">
        <v>69</v>
      </c>
      <c r="R2675" s="20" t="s">
        <v>6322</v>
      </c>
      <c r="T2675" s="20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</row>
    <row r="2676">
      <c r="A2676" s="15" t="s">
        <v>9765</v>
      </c>
      <c r="B2676" s="19" t="s">
        <v>5905</v>
      </c>
      <c r="C2676" s="20">
        <v>50054.0</v>
      </c>
      <c r="D2676" s="20" t="s">
        <v>5904</v>
      </c>
      <c r="E2676" s="5">
        <v>9.19641503353E11</v>
      </c>
      <c r="F2676" s="21">
        <v>19126.0</v>
      </c>
      <c r="G2676" s="20"/>
      <c r="H2676" s="20" t="s">
        <v>5822</v>
      </c>
      <c r="I2676" s="5"/>
      <c r="J2676" s="20">
        <v>1.0</v>
      </c>
      <c r="K2676" s="20">
        <v>99.0</v>
      </c>
      <c r="L2676" s="20"/>
      <c r="M2676" s="20">
        <v>99.0</v>
      </c>
      <c r="N2676" s="5" t="s">
        <v>67</v>
      </c>
      <c r="O2676" s="20" t="b">
        <v>0</v>
      </c>
      <c r="P2676" s="20" t="s">
        <v>68</v>
      </c>
      <c r="Q2676" s="20" t="s">
        <v>69</v>
      </c>
      <c r="R2676" s="20" t="s">
        <v>5824</v>
      </c>
      <c r="T2676" s="20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</row>
    <row r="2677">
      <c r="A2677" s="15" t="s">
        <v>9760</v>
      </c>
      <c r="B2677" s="19" t="s">
        <v>5903</v>
      </c>
      <c r="C2677" s="20">
        <v>50054.0</v>
      </c>
      <c r="D2677" s="20" t="s">
        <v>5902</v>
      </c>
      <c r="E2677" s="5">
        <v>9.17506779872E11</v>
      </c>
      <c r="F2677" s="21">
        <v>19123.0</v>
      </c>
      <c r="G2677" s="20"/>
      <c r="H2677" s="20" t="s">
        <v>5822</v>
      </c>
      <c r="I2677" s="5"/>
      <c r="J2677" s="20">
        <v>1.0</v>
      </c>
      <c r="K2677" s="20">
        <v>99.0</v>
      </c>
      <c r="L2677" s="20"/>
      <c r="M2677" s="20">
        <v>99.0</v>
      </c>
      <c r="N2677" s="5" t="s">
        <v>67</v>
      </c>
      <c r="O2677" s="20" t="b">
        <v>0</v>
      </c>
      <c r="P2677" s="20" t="s">
        <v>68</v>
      </c>
      <c r="Q2677" s="20" t="s">
        <v>69</v>
      </c>
      <c r="R2677" s="20" t="s">
        <v>5824</v>
      </c>
      <c r="T2677" s="20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</row>
    <row r="2678">
      <c r="A2678" s="15" t="s">
        <v>9775</v>
      </c>
      <c r="B2678" s="19" t="s">
        <v>3804</v>
      </c>
      <c r="C2678" s="20">
        <v>49907.0</v>
      </c>
      <c r="D2678" s="20" t="s">
        <v>3803</v>
      </c>
      <c r="E2678" s="5">
        <v>9.18792094347E11</v>
      </c>
      <c r="F2678" s="21">
        <v>19128.0</v>
      </c>
      <c r="G2678" s="20"/>
      <c r="H2678" s="20" t="s">
        <v>587</v>
      </c>
      <c r="I2678" s="5"/>
      <c r="J2678" s="20">
        <v>6.0</v>
      </c>
      <c r="K2678" s="20">
        <v>349.0</v>
      </c>
      <c r="L2678" s="20"/>
      <c r="M2678" s="20">
        <v>349.0</v>
      </c>
      <c r="N2678" s="5" t="s">
        <v>67</v>
      </c>
      <c r="O2678" s="20" t="b">
        <v>0</v>
      </c>
      <c r="P2678" s="20" t="s">
        <v>68</v>
      </c>
      <c r="Q2678" s="20" t="s">
        <v>69</v>
      </c>
      <c r="R2678" s="20" t="s">
        <v>3774</v>
      </c>
      <c r="T2678" s="20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</row>
    <row r="2679">
      <c r="A2679" s="15" t="s">
        <v>9776</v>
      </c>
      <c r="B2679" s="19" t="s">
        <v>6128</v>
      </c>
      <c r="C2679" s="20">
        <v>50076.0</v>
      </c>
      <c r="D2679" s="20" t="s">
        <v>6127</v>
      </c>
      <c r="E2679" s="5">
        <v>9.19867587387E11</v>
      </c>
      <c r="F2679" s="21">
        <v>19129.0</v>
      </c>
      <c r="G2679" s="20"/>
      <c r="H2679" s="20" t="s">
        <v>5984</v>
      </c>
      <c r="I2679" s="5"/>
      <c r="J2679" s="20">
        <v>1.0</v>
      </c>
      <c r="K2679" s="20">
        <v>199.0</v>
      </c>
      <c r="L2679" s="20"/>
      <c r="M2679" s="20">
        <v>199.0</v>
      </c>
      <c r="N2679" s="5" t="s">
        <v>67</v>
      </c>
      <c r="O2679" s="20" t="b">
        <v>0</v>
      </c>
      <c r="P2679" s="20" t="s">
        <v>68</v>
      </c>
      <c r="Q2679" s="20" t="s">
        <v>69</v>
      </c>
      <c r="R2679" s="20" t="s">
        <v>5987</v>
      </c>
      <c r="T2679" s="20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</row>
    <row r="2680">
      <c r="A2680" s="15" t="s">
        <v>9959</v>
      </c>
      <c r="B2680" s="19">
        <v>44202.21875</v>
      </c>
      <c r="C2680" s="20">
        <v>49844.0</v>
      </c>
      <c r="D2680" s="20" t="s">
        <v>5469</v>
      </c>
      <c r="E2680" s="5">
        <v>9.19003754317E11</v>
      </c>
      <c r="F2680" s="21">
        <v>19226.0</v>
      </c>
      <c r="G2680" s="20"/>
      <c r="H2680" s="20" t="s">
        <v>885</v>
      </c>
      <c r="I2680" s="5"/>
      <c r="J2680" s="20">
        <v>1.0</v>
      </c>
      <c r="K2680" s="20">
        <v>99.0</v>
      </c>
      <c r="L2680" s="20"/>
      <c r="M2680" s="20">
        <v>99.0</v>
      </c>
      <c r="N2680" s="5" t="s">
        <v>67</v>
      </c>
      <c r="O2680" s="20" t="b">
        <v>0</v>
      </c>
      <c r="P2680" s="20" t="s">
        <v>68</v>
      </c>
      <c r="Q2680" s="20" t="s">
        <v>69</v>
      </c>
      <c r="R2680" s="20" t="s">
        <v>5445</v>
      </c>
      <c r="T2680" s="20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</row>
    <row r="2681">
      <c r="A2681" s="15" t="s">
        <v>9960</v>
      </c>
      <c r="B2681" s="19">
        <v>44202.28125</v>
      </c>
      <c r="C2681" s="20">
        <v>50076.0</v>
      </c>
      <c r="D2681" s="20" t="s">
        <v>6139</v>
      </c>
      <c r="E2681" s="5">
        <v>9.18630094952E11</v>
      </c>
      <c r="F2681" s="21">
        <v>19311.0</v>
      </c>
      <c r="G2681" s="20"/>
      <c r="H2681" s="20" t="s">
        <v>5984</v>
      </c>
      <c r="I2681" s="5"/>
      <c r="J2681" s="20">
        <v>1.0</v>
      </c>
      <c r="K2681" s="20">
        <v>199.0</v>
      </c>
      <c r="L2681" s="20"/>
      <c r="M2681" s="20">
        <v>199.0</v>
      </c>
      <c r="N2681" s="5" t="s">
        <v>67</v>
      </c>
      <c r="O2681" s="20" t="b">
        <v>0</v>
      </c>
      <c r="P2681" s="20" t="s">
        <v>68</v>
      </c>
      <c r="Q2681" s="20" t="s">
        <v>69</v>
      </c>
      <c r="R2681" s="20" t="s">
        <v>5987</v>
      </c>
      <c r="T2681" s="20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</row>
    <row r="2682">
      <c r="A2682" s="15" t="s">
        <v>9961</v>
      </c>
      <c r="B2682" s="19">
        <v>44202.27777777778</v>
      </c>
      <c r="C2682" s="20">
        <v>49859.0</v>
      </c>
      <c r="D2682" s="20" t="s">
        <v>4725</v>
      </c>
      <c r="E2682" s="5">
        <v>9.19660288432E11</v>
      </c>
      <c r="F2682" s="21">
        <v>19227.0</v>
      </c>
      <c r="G2682" s="20"/>
      <c r="H2682" s="20" t="s">
        <v>1133</v>
      </c>
      <c r="I2682" s="5"/>
      <c r="J2682" s="20">
        <v>3.0</v>
      </c>
      <c r="K2682" s="20">
        <v>199.0</v>
      </c>
      <c r="L2682" s="20"/>
      <c r="M2682" s="20">
        <v>199.0</v>
      </c>
      <c r="N2682" s="5" t="s">
        <v>67</v>
      </c>
      <c r="O2682" s="20" t="b">
        <v>0</v>
      </c>
      <c r="P2682" s="20" t="s">
        <v>68</v>
      </c>
      <c r="Q2682" s="20" t="s">
        <v>69</v>
      </c>
      <c r="R2682" s="20" t="s">
        <v>4620</v>
      </c>
      <c r="T2682" s="20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</row>
    <row r="2683">
      <c r="A2683" s="15" t="s">
        <v>9964</v>
      </c>
      <c r="B2683" s="19">
        <v>44202.28680555556</v>
      </c>
      <c r="C2683" s="20">
        <v>50065.0</v>
      </c>
      <c r="D2683" s="20" t="s">
        <v>2678</v>
      </c>
      <c r="E2683" s="5">
        <v>9.19004819208E11</v>
      </c>
      <c r="F2683" s="21">
        <v>19228.0</v>
      </c>
      <c r="G2683" s="20"/>
      <c r="H2683" s="20" t="s">
        <v>2601</v>
      </c>
      <c r="I2683" s="5"/>
      <c r="J2683" s="20">
        <v>1.0</v>
      </c>
      <c r="K2683" s="20">
        <v>99.0</v>
      </c>
      <c r="L2683" s="20"/>
      <c r="M2683" s="20">
        <v>99.0</v>
      </c>
      <c r="N2683" s="5" t="s">
        <v>67</v>
      </c>
      <c r="O2683" s="20" t="b">
        <v>0</v>
      </c>
      <c r="P2683" s="20" t="s">
        <v>68</v>
      </c>
      <c r="Q2683" s="20" t="s">
        <v>69</v>
      </c>
      <c r="R2683" s="20" t="s">
        <v>2604</v>
      </c>
      <c r="T2683" s="20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</row>
    <row r="2684">
      <c r="A2684" s="15" t="s">
        <v>9965</v>
      </c>
      <c r="B2684" s="19">
        <v>44202.288194444445</v>
      </c>
      <c r="C2684" s="20">
        <v>50079.0</v>
      </c>
      <c r="D2684" s="20" t="s">
        <v>4330</v>
      </c>
      <c r="E2684" s="5">
        <v>9.19068454571E11</v>
      </c>
      <c r="F2684" s="21">
        <v>19229.0</v>
      </c>
      <c r="G2684" s="20"/>
      <c r="H2684" s="20" t="s">
        <v>4281</v>
      </c>
      <c r="I2684" s="5"/>
      <c r="J2684" s="20">
        <v>1.0</v>
      </c>
      <c r="K2684" s="20">
        <v>99.0</v>
      </c>
      <c r="L2684" s="20"/>
      <c r="M2684" s="20">
        <v>99.0</v>
      </c>
      <c r="N2684" s="5" t="s">
        <v>67</v>
      </c>
      <c r="O2684" s="20" t="b">
        <v>0</v>
      </c>
      <c r="P2684" s="20" t="s">
        <v>74</v>
      </c>
      <c r="Q2684" s="20" t="s">
        <v>69</v>
      </c>
      <c r="R2684" s="20" t="s">
        <v>4284</v>
      </c>
      <c r="T2684" s="20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</row>
    <row r="2685">
      <c r="A2685" s="15" t="s">
        <v>9778</v>
      </c>
      <c r="B2685" s="19" t="s">
        <v>3806</v>
      </c>
      <c r="C2685" s="20">
        <v>49907.0</v>
      </c>
      <c r="D2685" s="20" t="s">
        <v>3805</v>
      </c>
      <c r="E2685" s="5">
        <v>9.19030008242E11</v>
      </c>
      <c r="F2685" s="21">
        <v>19131.0</v>
      </c>
      <c r="G2685" s="20"/>
      <c r="H2685" s="20" t="s">
        <v>587</v>
      </c>
      <c r="I2685" s="5"/>
      <c r="J2685" s="20">
        <v>3.0</v>
      </c>
      <c r="K2685" s="20">
        <v>199.0</v>
      </c>
      <c r="L2685" s="20"/>
      <c r="M2685" s="20">
        <v>199.0</v>
      </c>
      <c r="N2685" s="5" t="s">
        <v>67</v>
      </c>
      <c r="O2685" s="20" t="b">
        <v>0</v>
      </c>
      <c r="P2685" s="20" t="s">
        <v>68</v>
      </c>
      <c r="Q2685" s="20" t="s">
        <v>69</v>
      </c>
      <c r="R2685" s="20" t="s">
        <v>3774</v>
      </c>
      <c r="T2685" s="20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</row>
    <row r="2686">
      <c r="A2686" s="15" t="s">
        <v>9966</v>
      </c>
      <c r="B2686" s="19">
        <v>44202.30486111111</v>
      </c>
      <c r="C2686" s="20">
        <v>49833.0</v>
      </c>
      <c r="D2686" s="20" t="s">
        <v>4183</v>
      </c>
      <c r="E2686" s="5">
        <v>9.17987886331E11</v>
      </c>
      <c r="F2686" s="21">
        <v>19230.0</v>
      </c>
      <c r="G2686" s="20"/>
      <c r="H2686" s="20" t="s">
        <v>4030</v>
      </c>
      <c r="I2686" s="5"/>
      <c r="J2686" s="20">
        <v>1.0</v>
      </c>
      <c r="K2686" s="20">
        <v>99.0</v>
      </c>
      <c r="L2686" s="20"/>
      <c r="M2686" s="20">
        <v>99.0</v>
      </c>
      <c r="N2686" s="5" t="s">
        <v>67</v>
      </c>
      <c r="O2686" s="20" t="b">
        <v>0</v>
      </c>
      <c r="P2686" s="20" t="s">
        <v>68</v>
      </c>
      <c r="Q2686" s="20" t="s">
        <v>69</v>
      </c>
      <c r="R2686" s="20" t="s">
        <v>4033</v>
      </c>
      <c r="T2686" s="20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</row>
    <row r="2687">
      <c r="A2687" s="15" t="s">
        <v>9970</v>
      </c>
      <c r="B2687" s="19">
        <v>44202.32638888889</v>
      </c>
      <c r="C2687" s="20">
        <v>49991.0</v>
      </c>
      <c r="D2687" s="20" t="s">
        <v>3134</v>
      </c>
      <c r="E2687" s="5">
        <v>9.18460324296E11</v>
      </c>
      <c r="F2687" s="21">
        <v>19231.0</v>
      </c>
      <c r="G2687" s="20"/>
      <c r="H2687" s="20" t="s">
        <v>3055</v>
      </c>
      <c r="I2687" s="5"/>
      <c r="J2687" s="20">
        <v>3.0</v>
      </c>
      <c r="K2687" s="20">
        <v>199.0</v>
      </c>
      <c r="L2687" s="20"/>
      <c r="M2687" s="20">
        <v>199.0</v>
      </c>
      <c r="N2687" s="5" t="s">
        <v>67</v>
      </c>
      <c r="O2687" s="20" t="b">
        <v>0</v>
      </c>
      <c r="P2687" s="20" t="s">
        <v>74</v>
      </c>
      <c r="Q2687" s="20" t="s">
        <v>69</v>
      </c>
      <c r="R2687" s="20" t="s">
        <v>3057</v>
      </c>
      <c r="T2687" s="20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</row>
    <row r="2688">
      <c r="A2688" s="15" t="s">
        <v>9971</v>
      </c>
      <c r="B2688" s="19">
        <v>44202.333333333336</v>
      </c>
      <c r="C2688" s="20">
        <v>50029.0</v>
      </c>
      <c r="D2688" s="20" t="s">
        <v>2870</v>
      </c>
      <c r="E2688" s="5">
        <v>9.19834631453E11</v>
      </c>
      <c r="F2688" s="21">
        <v>19232.0</v>
      </c>
      <c r="G2688" s="20"/>
      <c r="H2688" s="20" t="s">
        <v>2761</v>
      </c>
      <c r="I2688" s="5"/>
      <c r="J2688" s="20">
        <v>1.0</v>
      </c>
      <c r="K2688" s="20">
        <v>99.0</v>
      </c>
      <c r="L2688" s="20"/>
      <c r="M2688" s="20">
        <v>99.0</v>
      </c>
      <c r="N2688" s="5" t="s">
        <v>67</v>
      </c>
      <c r="O2688" s="20" t="b">
        <v>0</v>
      </c>
      <c r="P2688" s="20" t="s">
        <v>68</v>
      </c>
      <c r="Q2688" s="20" t="s">
        <v>69</v>
      </c>
      <c r="R2688" s="20" t="s">
        <v>2763</v>
      </c>
      <c r="T2688" s="20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</row>
    <row r="2689">
      <c r="A2689" s="15" t="s">
        <v>9979</v>
      </c>
      <c r="B2689" s="19">
        <v>44202.35625</v>
      </c>
      <c r="C2689" s="20">
        <v>49998.0</v>
      </c>
      <c r="D2689" s="20" t="s">
        <v>6295</v>
      </c>
      <c r="E2689" s="5">
        <v>9.19130169478E11</v>
      </c>
      <c r="F2689" s="21">
        <v>19238.0</v>
      </c>
      <c r="G2689" s="20"/>
      <c r="H2689" s="20" t="s">
        <v>6250</v>
      </c>
      <c r="I2689" s="5"/>
      <c r="J2689" s="20">
        <v>3.0</v>
      </c>
      <c r="K2689" s="20">
        <v>199.0</v>
      </c>
      <c r="L2689" s="20"/>
      <c r="M2689" s="20">
        <v>199.0</v>
      </c>
      <c r="N2689" s="5" t="s">
        <v>67</v>
      </c>
      <c r="O2689" s="20" t="b">
        <v>0</v>
      </c>
      <c r="P2689" s="20" t="s">
        <v>68</v>
      </c>
      <c r="Q2689" s="20" t="s">
        <v>69</v>
      </c>
      <c r="R2689" s="20" t="s">
        <v>6252</v>
      </c>
      <c r="T2689" s="20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</row>
    <row r="2690">
      <c r="A2690" s="15" t="s">
        <v>9976</v>
      </c>
      <c r="B2690" s="19">
        <v>44202.34444444445</v>
      </c>
      <c r="C2690" s="20">
        <v>50052.0</v>
      </c>
      <c r="D2690" s="20" t="s">
        <v>4483</v>
      </c>
      <c r="E2690" s="5">
        <v>9.19779770358E11</v>
      </c>
      <c r="F2690" s="21">
        <v>19233.0</v>
      </c>
      <c r="G2690" s="20"/>
      <c r="H2690" s="20" t="s">
        <v>4433</v>
      </c>
      <c r="I2690" s="5"/>
      <c r="J2690" s="20">
        <v>1.0</v>
      </c>
      <c r="K2690" s="20">
        <v>99.0</v>
      </c>
      <c r="L2690" s="20"/>
      <c r="M2690" s="20">
        <v>99.0</v>
      </c>
      <c r="N2690" s="5" t="s">
        <v>67</v>
      </c>
      <c r="O2690" s="20" t="b">
        <v>0</v>
      </c>
      <c r="P2690" s="20" t="s">
        <v>68</v>
      </c>
      <c r="Q2690" s="20" t="s">
        <v>69</v>
      </c>
      <c r="R2690" s="20" t="s">
        <v>4435</v>
      </c>
      <c r="T2690" s="20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</row>
    <row r="2691">
      <c r="A2691" s="15" t="s">
        <v>9980</v>
      </c>
      <c r="B2691" s="19">
        <v>44202.36319444444</v>
      </c>
      <c r="C2691" s="20">
        <v>49833.0</v>
      </c>
      <c r="D2691" s="20" t="s">
        <v>4184</v>
      </c>
      <c r="E2691" s="5">
        <v>9.18247643819E11</v>
      </c>
      <c r="F2691" s="21">
        <v>19235.0</v>
      </c>
      <c r="G2691" s="20"/>
      <c r="H2691" s="20" t="s">
        <v>4030</v>
      </c>
      <c r="I2691" s="5"/>
      <c r="J2691" s="20">
        <v>1.0</v>
      </c>
      <c r="K2691" s="20">
        <v>99.0</v>
      </c>
      <c r="L2691" s="20"/>
      <c r="M2691" s="20">
        <v>99.0</v>
      </c>
      <c r="N2691" s="5" t="s">
        <v>67</v>
      </c>
      <c r="O2691" s="20" t="b">
        <v>0</v>
      </c>
      <c r="P2691" s="20" t="s">
        <v>68</v>
      </c>
      <c r="Q2691" s="20" t="s">
        <v>69</v>
      </c>
      <c r="R2691" s="20" t="s">
        <v>4033</v>
      </c>
      <c r="T2691" s="20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</row>
    <row r="2692">
      <c r="A2692" s="15" t="s">
        <v>9978</v>
      </c>
      <c r="B2692" s="19">
        <v>44202.34722222222</v>
      </c>
      <c r="C2692" s="20">
        <v>49978.0</v>
      </c>
      <c r="D2692" s="20" t="s">
        <v>6169</v>
      </c>
      <c r="E2692" s="5">
        <v>9.19818021789E11</v>
      </c>
      <c r="F2692" s="22" t="s">
        <v>12593</v>
      </c>
      <c r="G2692" s="20"/>
      <c r="H2692" s="20" t="s">
        <v>2150</v>
      </c>
      <c r="I2692" s="5"/>
      <c r="J2692" s="20">
        <v>1.0</v>
      </c>
      <c r="K2692" s="20">
        <v>99.0</v>
      </c>
      <c r="L2692" s="20"/>
      <c r="M2692" s="20">
        <v>99.0</v>
      </c>
      <c r="N2692" s="5" t="s">
        <v>67</v>
      </c>
      <c r="O2692" s="20" t="b">
        <v>0</v>
      </c>
      <c r="P2692" s="20" t="s">
        <v>68</v>
      </c>
      <c r="Q2692" s="20" t="s">
        <v>69</v>
      </c>
      <c r="R2692" s="20" t="s">
        <v>6156</v>
      </c>
      <c r="T2692" s="20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</row>
    <row r="2693">
      <c r="A2693" s="15" t="s">
        <v>9981</v>
      </c>
      <c r="B2693" s="19">
        <v>44202.36875</v>
      </c>
      <c r="C2693" s="20">
        <v>50079.0</v>
      </c>
      <c r="D2693" s="20" t="s">
        <v>4331</v>
      </c>
      <c r="E2693" s="5">
        <v>9.18431726383E11</v>
      </c>
      <c r="F2693" s="21">
        <v>19236.0</v>
      </c>
      <c r="G2693" s="20"/>
      <c r="H2693" s="20" t="s">
        <v>4281</v>
      </c>
      <c r="I2693" s="5"/>
      <c r="J2693" s="20">
        <v>1.0</v>
      </c>
      <c r="K2693" s="20">
        <v>99.0</v>
      </c>
      <c r="L2693" s="20"/>
      <c r="M2693" s="20">
        <v>99.0</v>
      </c>
      <c r="N2693" s="5" t="s">
        <v>67</v>
      </c>
      <c r="O2693" s="20" t="b">
        <v>0</v>
      </c>
      <c r="P2693" s="20" t="s">
        <v>68</v>
      </c>
      <c r="Q2693" s="20" t="s">
        <v>69</v>
      </c>
      <c r="R2693" s="20" t="s">
        <v>4284</v>
      </c>
      <c r="T2693" s="20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</row>
    <row r="2694">
      <c r="A2694" s="15" t="s">
        <v>9781</v>
      </c>
      <c r="B2694" s="19" t="s">
        <v>4474</v>
      </c>
      <c r="C2694" s="20">
        <v>50052.0</v>
      </c>
      <c r="D2694" s="20" t="s">
        <v>4473</v>
      </c>
      <c r="E2694" s="5">
        <v>9.19029641041E11</v>
      </c>
      <c r="F2694" s="21">
        <v>19133.0</v>
      </c>
      <c r="G2694" s="20"/>
      <c r="H2694" s="20" t="s">
        <v>4433</v>
      </c>
      <c r="I2694" s="5"/>
      <c r="J2694" s="20">
        <v>1.0</v>
      </c>
      <c r="K2694" s="20">
        <v>99.0</v>
      </c>
      <c r="L2694" s="20"/>
      <c r="M2694" s="20">
        <v>99.0</v>
      </c>
      <c r="N2694" s="5" t="s">
        <v>67</v>
      </c>
      <c r="O2694" s="20" t="b">
        <v>0</v>
      </c>
      <c r="P2694" s="20" t="s">
        <v>68</v>
      </c>
      <c r="Q2694" s="20" t="s">
        <v>69</v>
      </c>
      <c r="R2694" s="20" t="s">
        <v>4435</v>
      </c>
      <c r="T2694" s="20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</row>
    <row r="2695">
      <c r="A2695" s="15" t="s">
        <v>9989</v>
      </c>
      <c r="B2695" s="19">
        <v>44202.396527777775</v>
      </c>
      <c r="C2695" s="20">
        <v>49859.0</v>
      </c>
      <c r="D2695" s="20" t="s">
        <v>4726</v>
      </c>
      <c r="E2695" s="5">
        <v>9.18368843871E11</v>
      </c>
      <c r="F2695" s="21">
        <v>19241.0</v>
      </c>
      <c r="G2695" s="20"/>
      <c r="H2695" s="20" t="s">
        <v>1133</v>
      </c>
      <c r="I2695" s="5"/>
      <c r="J2695" s="20">
        <v>1.0</v>
      </c>
      <c r="K2695" s="20">
        <v>99.0</v>
      </c>
      <c r="L2695" s="20"/>
      <c r="M2695" s="20">
        <v>99.0</v>
      </c>
      <c r="N2695" s="5" t="s">
        <v>67</v>
      </c>
      <c r="O2695" s="20" t="b">
        <v>0</v>
      </c>
      <c r="P2695" s="20" t="s">
        <v>68</v>
      </c>
      <c r="Q2695" s="20" t="s">
        <v>69</v>
      </c>
      <c r="R2695" s="20" t="s">
        <v>4620</v>
      </c>
      <c r="T2695" s="20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</row>
    <row r="2696">
      <c r="A2696" s="15" t="s">
        <v>9783</v>
      </c>
      <c r="B2696" s="19" t="s">
        <v>5907</v>
      </c>
      <c r="C2696" s="20">
        <v>50054.0</v>
      </c>
      <c r="D2696" s="20" t="s">
        <v>5906</v>
      </c>
      <c r="E2696" s="5">
        <v>9.1984018843E11</v>
      </c>
      <c r="F2696" s="21">
        <v>19135.0</v>
      </c>
      <c r="G2696" s="20"/>
      <c r="H2696" s="20" t="s">
        <v>5822</v>
      </c>
      <c r="I2696" s="5"/>
      <c r="J2696" s="20">
        <v>1.0</v>
      </c>
      <c r="K2696" s="20">
        <v>99.0</v>
      </c>
      <c r="L2696" s="20"/>
      <c r="M2696" s="20">
        <v>99.0</v>
      </c>
      <c r="N2696" s="5" t="s">
        <v>67</v>
      </c>
      <c r="O2696" s="20" t="b">
        <v>0</v>
      </c>
      <c r="P2696" s="20" t="s">
        <v>74</v>
      </c>
      <c r="Q2696" s="20" t="s">
        <v>69</v>
      </c>
      <c r="R2696" s="20" t="s">
        <v>5824</v>
      </c>
      <c r="T2696" s="20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</row>
    <row r="2697">
      <c r="A2697" s="15" t="s">
        <v>9985</v>
      </c>
      <c r="B2697" s="19">
        <v>44202.37708333333</v>
      </c>
      <c r="C2697" s="20">
        <v>49907.0</v>
      </c>
      <c r="D2697" s="20" t="s">
        <v>3811</v>
      </c>
      <c r="E2697" s="5">
        <v>9.19926298797E11</v>
      </c>
      <c r="F2697" s="21">
        <v>19237.0</v>
      </c>
      <c r="G2697" s="20"/>
      <c r="H2697" s="20" t="s">
        <v>587</v>
      </c>
      <c r="I2697" s="5"/>
      <c r="J2697" s="20">
        <v>1.0</v>
      </c>
      <c r="K2697" s="20">
        <v>99.0</v>
      </c>
      <c r="L2697" s="20"/>
      <c r="M2697" s="20">
        <v>99.0</v>
      </c>
      <c r="N2697" s="5" t="s">
        <v>67</v>
      </c>
      <c r="O2697" s="20" t="b">
        <v>0</v>
      </c>
      <c r="P2697" s="20" t="s">
        <v>68</v>
      </c>
      <c r="Q2697" s="20" t="s">
        <v>69</v>
      </c>
      <c r="R2697" s="20" t="s">
        <v>3774</v>
      </c>
      <c r="T2697" s="20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</row>
    <row r="2698">
      <c r="A2698" s="15" t="s">
        <v>9990</v>
      </c>
      <c r="B2698" s="19">
        <v>44202.395833333336</v>
      </c>
      <c r="C2698" s="20">
        <v>50079.0</v>
      </c>
      <c r="D2698" s="20" t="s">
        <v>4332</v>
      </c>
      <c r="E2698" s="5">
        <v>9.1880685118E11</v>
      </c>
      <c r="F2698" s="21">
        <v>19239.0</v>
      </c>
      <c r="G2698" s="20"/>
      <c r="H2698" s="20" t="s">
        <v>4281</v>
      </c>
      <c r="I2698" s="5"/>
      <c r="J2698" s="20">
        <v>1.0</v>
      </c>
      <c r="K2698" s="20">
        <v>99.0</v>
      </c>
      <c r="L2698" s="20"/>
      <c r="M2698" s="20">
        <v>99.0</v>
      </c>
      <c r="N2698" s="5" t="s">
        <v>67</v>
      </c>
      <c r="O2698" s="20" t="b">
        <v>0</v>
      </c>
      <c r="P2698" s="20" t="s">
        <v>68</v>
      </c>
      <c r="Q2698" s="20" t="s">
        <v>69</v>
      </c>
      <c r="R2698" s="20" t="s">
        <v>4284</v>
      </c>
      <c r="T2698" s="20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</row>
    <row r="2699">
      <c r="A2699" s="15" t="s">
        <v>9987</v>
      </c>
      <c r="B2699" s="19">
        <v>44202.379166666666</v>
      </c>
      <c r="C2699" s="20">
        <v>50054.0</v>
      </c>
      <c r="D2699" s="20" t="s">
        <v>5914</v>
      </c>
      <c r="E2699" s="5">
        <v>9.19958019752E11</v>
      </c>
      <c r="F2699" s="21">
        <v>19245.0</v>
      </c>
      <c r="G2699" s="20"/>
      <c r="H2699" s="20" t="s">
        <v>5822</v>
      </c>
      <c r="I2699" s="5"/>
      <c r="J2699" s="20">
        <v>1.0</v>
      </c>
      <c r="K2699" s="20">
        <v>99.0</v>
      </c>
      <c r="L2699" s="20"/>
      <c r="M2699" s="20">
        <v>99.0</v>
      </c>
      <c r="N2699" s="5" t="s">
        <v>67</v>
      </c>
      <c r="O2699" s="20" t="b">
        <v>0</v>
      </c>
      <c r="P2699" s="20" t="s">
        <v>74</v>
      </c>
      <c r="Q2699" s="20" t="s">
        <v>69</v>
      </c>
      <c r="R2699" s="20" t="s">
        <v>5824</v>
      </c>
      <c r="T2699" s="20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</row>
    <row r="2700">
      <c r="A2700" s="15" t="s">
        <v>9782</v>
      </c>
      <c r="B2700" s="19" t="s">
        <v>4476</v>
      </c>
      <c r="C2700" s="20">
        <v>50052.0</v>
      </c>
      <c r="D2700" s="20" t="s">
        <v>4475</v>
      </c>
      <c r="E2700" s="5">
        <v>9.19892964482E11</v>
      </c>
      <c r="F2700" s="21">
        <v>19134.0</v>
      </c>
      <c r="G2700" s="20"/>
      <c r="H2700" s="20" t="s">
        <v>4433</v>
      </c>
      <c r="I2700" s="5"/>
      <c r="J2700" s="20">
        <v>1.0</v>
      </c>
      <c r="K2700" s="20">
        <v>99.0</v>
      </c>
      <c r="L2700" s="20"/>
      <c r="M2700" s="20">
        <v>99.0</v>
      </c>
      <c r="N2700" s="5" t="s">
        <v>67</v>
      </c>
      <c r="O2700" s="20" t="b">
        <v>0</v>
      </c>
      <c r="P2700" s="20" t="s">
        <v>68</v>
      </c>
      <c r="Q2700" s="20" t="s">
        <v>69</v>
      </c>
      <c r="R2700" s="20" t="s">
        <v>4435</v>
      </c>
      <c r="T2700" s="20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</row>
    <row r="2701">
      <c r="A2701" s="15" t="s">
        <v>9993</v>
      </c>
      <c r="B2701" s="19">
        <v>44202.40833333333</v>
      </c>
      <c r="C2701" s="20">
        <v>50076.0</v>
      </c>
      <c r="D2701" s="20" t="s">
        <v>6140</v>
      </c>
      <c r="E2701" s="5">
        <v>9.19007981333E11</v>
      </c>
      <c r="F2701" s="21">
        <v>19240.0</v>
      </c>
      <c r="G2701" s="20"/>
      <c r="H2701" s="20" t="s">
        <v>5984</v>
      </c>
      <c r="I2701" s="5"/>
      <c r="J2701" s="20">
        <v>1.0</v>
      </c>
      <c r="K2701" s="20">
        <v>199.0</v>
      </c>
      <c r="L2701" s="20"/>
      <c r="M2701" s="20">
        <v>199.0</v>
      </c>
      <c r="N2701" s="5" t="s">
        <v>67</v>
      </c>
      <c r="O2701" s="20" t="b">
        <v>0</v>
      </c>
      <c r="P2701" s="20" t="s">
        <v>68</v>
      </c>
      <c r="Q2701" s="20" t="s">
        <v>69</v>
      </c>
      <c r="R2701" s="20" t="s">
        <v>5987</v>
      </c>
      <c r="T2701" s="20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</row>
    <row r="2702">
      <c r="A2702" s="15" t="s">
        <v>9785</v>
      </c>
      <c r="B2702" s="19" t="s">
        <v>2532</v>
      </c>
      <c r="C2702" s="20">
        <v>49997.0</v>
      </c>
      <c r="D2702" s="20" t="s">
        <v>2531</v>
      </c>
      <c r="E2702" s="5">
        <v>9.17002359932E11</v>
      </c>
      <c r="F2702" s="21">
        <v>19137.0</v>
      </c>
      <c r="G2702" s="20"/>
      <c r="H2702" s="20" t="s">
        <v>2455</v>
      </c>
      <c r="I2702" s="5"/>
      <c r="J2702" s="20">
        <v>6.0</v>
      </c>
      <c r="K2702" s="20">
        <v>349.0</v>
      </c>
      <c r="L2702" s="20"/>
      <c r="M2702" s="20">
        <v>349.0</v>
      </c>
      <c r="N2702" s="5" t="s">
        <v>67</v>
      </c>
      <c r="O2702" s="20" t="b">
        <v>0</v>
      </c>
      <c r="P2702" s="20" t="s">
        <v>68</v>
      </c>
      <c r="Q2702" s="20" t="s">
        <v>69</v>
      </c>
      <c r="R2702" s="20" t="s">
        <v>2457</v>
      </c>
      <c r="T2702" s="20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</row>
    <row r="2703">
      <c r="A2703" s="15" t="s">
        <v>9996</v>
      </c>
      <c r="B2703" s="19">
        <v>44202.42222222222</v>
      </c>
      <c r="C2703" s="20">
        <v>50079.0</v>
      </c>
      <c r="D2703" s="20" t="s">
        <v>4333</v>
      </c>
      <c r="E2703" s="5">
        <v>9.19318380912E11</v>
      </c>
      <c r="F2703" s="21">
        <v>19244.0</v>
      </c>
      <c r="G2703" s="20"/>
      <c r="H2703" s="20" t="s">
        <v>4281</v>
      </c>
      <c r="I2703" s="5"/>
      <c r="J2703" s="20">
        <v>1.0</v>
      </c>
      <c r="K2703" s="20">
        <v>99.0</v>
      </c>
      <c r="L2703" s="20"/>
      <c r="M2703" s="20">
        <v>99.0</v>
      </c>
      <c r="N2703" s="5" t="s">
        <v>67</v>
      </c>
      <c r="O2703" s="20" t="b">
        <v>0</v>
      </c>
      <c r="P2703" s="20" t="s">
        <v>68</v>
      </c>
      <c r="Q2703" s="20" t="s">
        <v>69</v>
      </c>
      <c r="R2703" s="20" t="s">
        <v>4284</v>
      </c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</row>
    <row r="2704">
      <c r="A2704" s="15" t="s">
        <v>9790</v>
      </c>
      <c r="B2704" s="19" t="s">
        <v>6133</v>
      </c>
      <c r="C2704" s="20">
        <v>50076.0</v>
      </c>
      <c r="D2704" s="20" t="s">
        <v>6132</v>
      </c>
      <c r="E2704" s="5">
        <v>9.19327210002E11</v>
      </c>
      <c r="F2704" s="21">
        <v>19139.0</v>
      </c>
      <c r="G2704" s="20"/>
      <c r="H2704" s="20" t="s">
        <v>5984</v>
      </c>
      <c r="I2704" s="5"/>
      <c r="J2704" s="20">
        <v>1.0</v>
      </c>
      <c r="K2704" s="20">
        <v>199.0</v>
      </c>
      <c r="L2704" s="20"/>
      <c r="M2704" s="20">
        <v>199.0</v>
      </c>
      <c r="N2704" s="5" t="s">
        <v>67</v>
      </c>
      <c r="O2704" s="20" t="b">
        <v>0</v>
      </c>
      <c r="P2704" s="20" t="s">
        <v>74</v>
      </c>
      <c r="Q2704" s="20" t="s">
        <v>69</v>
      </c>
      <c r="R2704" s="20" t="s">
        <v>5987</v>
      </c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</row>
    <row r="2705">
      <c r="A2705" s="15" t="s">
        <v>9791</v>
      </c>
      <c r="B2705" s="19" t="s">
        <v>3474</v>
      </c>
      <c r="C2705" s="20">
        <v>50030.0</v>
      </c>
      <c r="D2705" s="20" t="s">
        <v>3473</v>
      </c>
      <c r="E2705" s="5">
        <v>9.19880578819E11</v>
      </c>
      <c r="F2705" s="21">
        <v>19140.0</v>
      </c>
      <c r="G2705" s="20"/>
      <c r="H2705" s="20" t="s">
        <v>3326</v>
      </c>
      <c r="I2705" s="5"/>
      <c r="J2705" s="20">
        <v>3.0</v>
      </c>
      <c r="K2705" s="20">
        <v>199.0</v>
      </c>
      <c r="L2705" s="20"/>
      <c r="M2705" s="20">
        <v>199.0</v>
      </c>
      <c r="N2705" s="5" t="s">
        <v>67</v>
      </c>
      <c r="O2705" s="20" t="b">
        <v>0</v>
      </c>
      <c r="P2705" s="20" t="s">
        <v>68</v>
      </c>
      <c r="Q2705" s="20" t="s">
        <v>69</v>
      </c>
      <c r="R2705" s="20" t="s">
        <v>3328</v>
      </c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</row>
    <row r="2706">
      <c r="A2706" s="15" t="s">
        <v>9792</v>
      </c>
      <c r="B2706" s="19" t="s">
        <v>3476</v>
      </c>
      <c r="C2706" s="20">
        <v>50030.0</v>
      </c>
      <c r="D2706" s="20" t="s">
        <v>3475</v>
      </c>
      <c r="E2706" s="5">
        <v>9.16397591198E11</v>
      </c>
      <c r="F2706" s="21">
        <v>19164.0</v>
      </c>
      <c r="G2706" s="20"/>
      <c r="H2706" s="20" t="s">
        <v>3326</v>
      </c>
      <c r="I2706" s="5"/>
      <c r="J2706" s="20">
        <v>6.0</v>
      </c>
      <c r="K2706" s="20">
        <v>349.0</v>
      </c>
      <c r="L2706" s="20"/>
      <c r="M2706" s="20">
        <v>349.0</v>
      </c>
      <c r="N2706" s="5" t="s">
        <v>67</v>
      </c>
      <c r="O2706" s="20" t="b">
        <v>0</v>
      </c>
      <c r="P2706" s="20" t="s">
        <v>97</v>
      </c>
      <c r="Q2706" s="20" t="s">
        <v>69</v>
      </c>
      <c r="R2706" s="20" t="s">
        <v>3328</v>
      </c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</row>
    <row r="2707">
      <c r="A2707" s="15" t="s">
        <v>9998</v>
      </c>
      <c r="B2707" s="19">
        <v>44202.45972222222</v>
      </c>
      <c r="C2707" s="20">
        <v>50073.0</v>
      </c>
      <c r="D2707" s="20" t="s">
        <v>2382</v>
      </c>
      <c r="E2707" s="5">
        <v>9.17696803173E11</v>
      </c>
      <c r="F2707" s="21">
        <v>17742.0</v>
      </c>
      <c r="G2707" s="20"/>
      <c r="H2707" s="20" t="s">
        <v>2161</v>
      </c>
      <c r="I2707" s="5"/>
      <c r="J2707" s="20">
        <v>3.0</v>
      </c>
      <c r="K2707" s="20">
        <v>1499.0</v>
      </c>
      <c r="L2707" s="20"/>
      <c r="M2707" s="20">
        <v>1499.0</v>
      </c>
      <c r="N2707" s="5" t="s">
        <v>67</v>
      </c>
      <c r="O2707" s="20" t="b">
        <v>0</v>
      </c>
      <c r="P2707" s="20" t="s">
        <v>68</v>
      </c>
      <c r="Q2707" s="20" t="s">
        <v>69</v>
      </c>
      <c r="R2707" s="20" t="s">
        <v>6497</v>
      </c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</row>
    <row r="2708">
      <c r="A2708" s="15" t="s">
        <v>10002</v>
      </c>
      <c r="B2708" s="19">
        <v>44202.47777777778</v>
      </c>
      <c r="C2708" s="20">
        <v>50073.0</v>
      </c>
      <c r="D2708" s="20" t="s">
        <v>6554</v>
      </c>
      <c r="E2708" s="5">
        <v>9.19840718371E11</v>
      </c>
      <c r="F2708" s="21">
        <v>17741.0</v>
      </c>
      <c r="G2708" s="20"/>
      <c r="H2708" s="20" t="s">
        <v>2161</v>
      </c>
      <c r="I2708" s="5"/>
      <c r="J2708" s="20">
        <v>1.0</v>
      </c>
      <c r="K2708" s="20">
        <v>599.0</v>
      </c>
      <c r="L2708" s="20"/>
      <c r="M2708" s="20">
        <v>599.0</v>
      </c>
      <c r="N2708" s="5" t="s">
        <v>67</v>
      </c>
      <c r="O2708" s="20" t="b">
        <v>0</v>
      </c>
      <c r="P2708" s="20" t="s">
        <v>68</v>
      </c>
      <c r="Q2708" s="20" t="s">
        <v>69</v>
      </c>
      <c r="R2708" s="20" t="s">
        <v>6497</v>
      </c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</row>
    <row r="2709">
      <c r="A2709" s="15" t="s">
        <v>10003</v>
      </c>
      <c r="B2709" s="19">
        <v>44202.479166666664</v>
      </c>
      <c r="C2709" s="20">
        <v>50073.0</v>
      </c>
      <c r="D2709" s="20" t="s">
        <v>6554</v>
      </c>
      <c r="E2709" s="5">
        <v>9.19840609903E11</v>
      </c>
      <c r="F2709" s="21">
        <v>17766.0</v>
      </c>
      <c r="G2709" s="20"/>
      <c r="H2709" s="20" t="s">
        <v>2161</v>
      </c>
      <c r="I2709" s="5"/>
      <c r="J2709" s="20">
        <v>1.0</v>
      </c>
      <c r="K2709" s="20">
        <v>599.0</v>
      </c>
      <c r="L2709" s="20"/>
      <c r="M2709" s="20">
        <v>599.0</v>
      </c>
      <c r="N2709" s="5" t="s">
        <v>67</v>
      </c>
      <c r="O2709" s="20" t="b">
        <v>0</v>
      </c>
      <c r="P2709" s="20" t="s">
        <v>68</v>
      </c>
      <c r="Q2709" s="20" t="s">
        <v>69</v>
      </c>
      <c r="R2709" s="20" t="s">
        <v>6497</v>
      </c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</row>
    <row r="2710">
      <c r="A2710" s="15" t="s">
        <v>9793</v>
      </c>
      <c r="B2710" s="19" t="s">
        <v>2670</v>
      </c>
      <c r="C2710" s="20">
        <v>50065.0</v>
      </c>
      <c r="D2710" s="20" t="s">
        <v>2669</v>
      </c>
      <c r="E2710" s="5">
        <v>9.17827370482E11</v>
      </c>
      <c r="F2710" s="21">
        <v>19141.0</v>
      </c>
      <c r="G2710" s="20"/>
      <c r="H2710" s="20" t="s">
        <v>2601</v>
      </c>
      <c r="I2710" s="5"/>
      <c r="J2710" s="20">
        <v>1.0</v>
      </c>
      <c r="K2710" s="20">
        <v>99.0</v>
      </c>
      <c r="L2710" s="20"/>
      <c r="M2710" s="20">
        <v>99.0</v>
      </c>
      <c r="N2710" s="5" t="s">
        <v>67</v>
      </c>
      <c r="O2710" s="20" t="b">
        <v>0</v>
      </c>
      <c r="P2710" s="20" t="s">
        <v>68</v>
      </c>
      <c r="Q2710" s="20" t="s">
        <v>69</v>
      </c>
      <c r="R2710" s="20" t="s">
        <v>2604</v>
      </c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</row>
    <row r="2711">
      <c r="A2711" s="15" t="s">
        <v>10004</v>
      </c>
      <c r="B2711" s="19">
        <v>44202.52013888889</v>
      </c>
      <c r="C2711" s="20">
        <v>50030.0</v>
      </c>
      <c r="D2711" s="20" t="s">
        <v>3479</v>
      </c>
      <c r="E2711" s="5">
        <v>9.19097552007E11</v>
      </c>
      <c r="F2711" s="21">
        <v>19249.0</v>
      </c>
      <c r="G2711" s="20"/>
      <c r="H2711" s="20" t="s">
        <v>3326</v>
      </c>
      <c r="I2711" s="5"/>
      <c r="J2711" s="20">
        <v>6.0</v>
      </c>
      <c r="K2711" s="20">
        <v>349.0</v>
      </c>
      <c r="L2711" s="20"/>
      <c r="M2711" s="20">
        <v>349.0</v>
      </c>
      <c r="N2711" s="5" t="s">
        <v>67</v>
      </c>
      <c r="O2711" s="20" t="b">
        <v>0</v>
      </c>
      <c r="P2711" s="20" t="s">
        <v>74</v>
      </c>
      <c r="Q2711" s="20" t="s">
        <v>69</v>
      </c>
      <c r="R2711" s="20" t="s">
        <v>3328</v>
      </c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</row>
    <row r="2712">
      <c r="A2712" s="15" t="s">
        <v>10001</v>
      </c>
      <c r="B2712" s="19">
        <v>44202.52222222222</v>
      </c>
      <c r="C2712" s="20">
        <v>50065.0</v>
      </c>
      <c r="D2712" s="20" t="s">
        <v>2679</v>
      </c>
      <c r="E2712" s="5">
        <v>9.18794360554E11</v>
      </c>
      <c r="F2712" s="21">
        <v>19255.0</v>
      </c>
      <c r="G2712" s="20"/>
      <c r="H2712" s="20" t="s">
        <v>2601</v>
      </c>
      <c r="I2712" s="5"/>
      <c r="J2712" s="20">
        <v>1.0</v>
      </c>
      <c r="K2712" s="20">
        <v>99.0</v>
      </c>
      <c r="L2712" s="20"/>
      <c r="M2712" s="20">
        <v>99.0</v>
      </c>
      <c r="N2712" s="5" t="s">
        <v>67</v>
      </c>
      <c r="O2712" s="20" t="b">
        <v>0</v>
      </c>
      <c r="P2712" s="20" t="s">
        <v>151</v>
      </c>
      <c r="Q2712" s="20" t="s">
        <v>69</v>
      </c>
      <c r="R2712" s="20" t="s">
        <v>2604</v>
      </c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</row>
    <row r="2713">
      <c r="A2713" s="15" t="s">
        <v>9796</v>
      </c>
      <c r="B2713" s="19" t="s">
        <v>6135</v>
      </c>
      <c r="C2713" s="20">
        <v>50076.0</v>
      </c>
      <c r="D2713" s="20" t="s">
        <v>6134</v>
      </c>
      <c r="E2713" s="5">
        <v>9.1981184847E11</v>
      </c>
      <c r="F2713" s="22" t="s">
        <v>12593</v>
      </c>
      <c r="G2713" s="20"/>
      <c r="H2713" s="20" t="s">
        <v>5984</v>
      </c>
      <c r="I2713" s="5"/>
      <c r="J2713" s="20">
        <v>1.0</v>
      </c>
      <c r="K2713" s="20">
        <v>199.0</v>
      </c>
      <c r="L2713" s="20"/>
      <c r="M2713" s="20">
        <v>199.0</v>
      </c>
      <c r="N2713" s="5" t="s">
        <v>67</v>
      </c>
      <c r="O2713" s="20" t="b">
        <v>0</v>
      </c>
      <c r="P2713" s="20" t="s">
        <v>151</v>
      </c>
      <c r="Q2713" s="20" t="s">
        <v>69</v>
      </c>
      <c r="R2713" s="20" t="s">
        <v>5987</v>
      </c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</row>
    <row r="2714">
      <c r="A2714" s="15" t="s">
        <v>10008</v>
      </c>
      <c r="B2714" s="19">
        <v>44202.493055555555</v>
      </c>
      <c r="C2714" s="20">
        <v>49859.0</v>
      </c>
      <c r="D2714" s="20" t="s">
        <v>4727</v>
      </c>
      <c r="E2714" s="5">
        <v>9.17859910412E11</v>
      </c>
      <c r="F2714" s="21">
        <v>19246.0</v>
      </c>
      <c r="G2714" s="20"/>
      <c r="H2714" s="20" t="s">
        <v>1133</v>
      </c>
      <c r="I2714" s="5"/>
      <c r="J2714" s="20">
        <v>1.0</v>
      </c>
      <c r="K2714" s="20">
        <v>99.0</v>
      </c>
      <c r="L2714" s="20"/>
      <c r="M2714" s="20">
        <v>99.0</v>
      </c>
      <c r="N2714" s="5" t="s">
        <v>67</v>
      </c>
      <c r="O2714" s="20" t="b">
        <v>0</v>
      </c>
      <c r="P2714" s="20" t="s">
        <v>68</v>
      </c>
      <c r="Q2714" s="20" t="s">
        <v>69</v>
      </c>
      <c r="R2714" s="20" t="s">
        <v>4620</v>
      </c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</row>
    <row r="2715">
      <c r="A2715" s="15" t="s">
        <v>9801</v>
      </c>
      <c r="B2715" s="19" t="s">
        <v>4177</v>
      </c>
      <c r="C2715" s="20">
        <v>49833.0</v>
      </c>
      <c r="D2715" s="20" t="s">
        <v>4176</v>
      </c>
      <c r="E2715" s="5">
        <v>9.19582791304E11</v>
      </c>
      <c r="F2715" s="21">
        <v>19143.0</v>
      </c>
      <c r="G2715" s="20"/>
      <c r="H2715" s="20" t="s">
        <v>4030</v>
      </c>
      <c r="I2715" s="5"/>
      <c r="J2715" s="20">
        <v>6.0</v>
      </c>
      <c r="K2715" s="20">
        <v>349.0</v>
      </c>
      <c r="L2715" s="20"/>
      <c r="M2715" s="20">
        <v>349.0</v>
      </c>
      <c r="N2715" s="5" t="s">
        <v>67</v>
      </c>
      <c r="O2715" s="20" t="b">
        <v>0</v>
      </c>
      <c r="P2715" s="20" t="s">
        <v>68</v>
      </c>
      <c r="Q2715" s="20" t="s">
        <v>69</v>
      </c>
      <c r="R2715" s="20" t="s">
        <v>4033</v>
      </c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</row>
    <row r="2716">
      <c r="A2716" s="15" t="s">
        <v>10009</v>
      </c>
      <c r="B2716" s="19">
        <v>44202.51527777778</v>
      </c>
      <c r="C2716" s="20">
        <v>50092.0</v>
      </c>
      <c r="D2716" s="20" t="s">
        <v>6196</v>
      </c>
      <c r="E2716" s="5">
        <v>9.17588057407E11</v>
      </c>
      <c r="F2716" s="21">
        <v>19252.0</v>
      </c>
      <c r="G2716" s="20"/>
      <c r="H2716" s="20" t="s">
        <v>6195</v>
      </c>
      <c r="I2716" s="5"/>
      <c r="J2716" s="20">
        <v>1.0</v>
      </c>
      <c r="K2716" s="20">
        <v>249.0</v>
      </c>
      <c r="L2716" s="20"/>
      <c r="M2716" s="20">
        <v>249.0</v>
      </c>
      <c r="N2716" s="5" t="s">
        <v>67</v>
      </c>
      <c r="O2716" s="20" t="b">
        <v>0</v>
      </c>
      <c r="P2716" s="20" t="s">
        <v>68</v>
      </c>
      <c r="Q2716" s="20" t="s">
        <v>69</v>
      </c>
      <c r="R2716" s="20" t="s">
        <v>6197</v>
      </c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</row>
    <row r="2717">
      <c r="A2717" s="15" t="s">
        <v>10010</v>
      </c>
      <c r="B2717" s="19">
        <v>44202.518055555556</v>
      </c>
      <c r="C2717" s="20">
        <v>49835.0</v>
      </c>
      <c r="D2717" s="20" t="s">
        <v>3923</v>
      </c>
      <c r="E2717" s="5">
        <v>9.17976317993E11</v>
      </c>
      <c r="F2717" s="21">
        <v>19248.0</v>
      </c>
      <c r="G2717" s="20"/>
      <c r="H2717" s="20" t="s">
        <v>680</v>
      </c>
      <c r="I2717" s="5"/>
      <c r="J2717" s="20">
        <v>1.0</v>
      </c>
      <c r="K2717" s="20">
        <v>99.0</v>
      </c>
      <c r="L2717" s="20"/>
      <c r="M2717" s="20">
        <v>99.0</v>
      </c>
      <c r="N2717" s="5" t="s">
        <v>67</v>
      </c>
      <c r="O2717" s="20" t="b">
        <v>0</v>
      </c>
      <c r="P2717" s="20" t="s">
        <v>68</v>
      </c>
      <c r="Q2717" s="20" t="s">
        <v>69</v>
      </c>
      <c r="R2717" s="20" t="s">
        <v>3888</v>
      </c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</row>
    <row r="2718">
      <c r="A2718" s="15" t="s">
        <v>9804</v>
      </c>
      <c r="B2718" s="19" t="s">
        <v>4719</v>
      </c>
      <c r="C2718" s="20">
        <v>49859.0</v>
      </c>
      <c r="D2718" s="20" t="s">
        <v>4718</v>
      </c>
      <c r="E2718" s="5">
        <v>9.1727185086E11</v>
      </c>
      <c r="F2718" s="21">
        <v>19145.0</v>
      </c>
      <c r="G2718" s="20"/>
      <c r="H2718" s="20" t="s">
        <v>1133</v>
      </c>
      <c r="I2718" s="5"/>
      <c r="J2718" s="20">
        <v>1.0</v>
      </c>
      <c r="K2718" s="20">
        <v>99.0</v>
      </c>
      <c r="L2718" s="20"/>
      <c r="M2718" s="20">
        <v>99.0</v>
      </c>
      <c r="N2718" s="5" t="s">
        <v>67</v>
      </c>
      <c r="O2718" s="20" t="b">
        <v>0</v>
      </c>
      <c r="P2718" s="20" t="s">
        <v>68</v>
      </c>
      <c r="Q2718" s="20" t="s">
        <v>69</v>
      </c>
      <c r="R2718" s="20" t="s">
        <v>4620</v>
      </c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</row>
    <row r="2719">
      <c r="A2719" s="15" t="s">
        <v>10013</v>
      </c>
      <c r="B2719" s="19">
        <v>44202.53333333333</v>
      </c>
      <c r="C2719" s="20">
        <v>50079.0</v>
      </c>
      <c r="D2719" s="20" t="s">
        <v>4334</v>
      </c>
      <c r="E2719" s="5">
        <v>9.18595411738E11</v>
      </c>
      <c r="F2719" s="21">
        <v>19258.0</v>
      </c>
      <c r="G2719" s="20"/>
      <c r="H2719" s="20" t="s">
        <v>4281</v>
      </c>
      <c r="I2719" s="5"/>
      <c r="J2719" s="20">
        <v>1.0</v>
      </c>
      <c r="K2719" s="20">
        <v>99.0</v>
      </c>
      <c r="L2719" s="20"/>
      <c r="M2719" s="20">
        <v>99.0</v>
      </c>
      <c r="N2719" s="5" t="s">
        <v>67</v>
      </c>
      <c r="O2719" s="20" t="b">
        <v>0</v>
      </c>
      <c r="P2719" s="20" t="s">
        <v>151</v>
      </c>
      <c r="Q2719" s="20" t="s">
        <v>69</v>
      </c>
      <c r="R2719" s="20" t="s">
        <v>4284</v>
      </c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</row>
    <row r="2720">
      <c r="A2720" s="15" t="s">
        <v>9807</v>
      </c>
      <c r="B2720" s="19" t="s">
        <v>4478</v>
      </c>
      <c r="C2720" s="20">
        <v>50052.0</v>
      </c>
      <c r="D2720" s="20" t="s">
        <v>4477</v>
      </c>
      <c r="E2720" s="5">
        <v>9.18762135339E11</v>
      </c>
      <c r="F2720" s="22" t="s">
        <v>12593</v>
      </c>
      <c r="G2720" s="20"/>
      <c r="H2720" s="20" t="s">
        <v>4433</v>
      </c>
      <c r="I2720" s="5"/>
      <c r="J2720" s="20">
        <v>3.0</v>
      </c>
      <c r="K2720" s="20">
        <v>199.0</v>
      </c>
      <c r="L2720" s="20"/>
      <c r="M2720" s="20">
        <v>199.0</v>
      </c>
      <c r="N2720" s="5" t="s">
        <v>67</v>
      </c>
      <c r="O2720" s="20" t="b">
        <v>0</v>
      </c>
      <c r="P2720" s="20" t="s">
        <v>68</v>
      </c>
      <c r="Q2720" s="20" t="s">
        <v>69</v>
      </c>
      <c r="R2720" s="20" t="s">
        <v>4435</v>
      </c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</row>
    <row r="2721">
      <c r="A2721" s="15" t="s">
        <v>10014</v>
      </c>
      <c r="B2721" s="19">
        <v>44202.53194444445</v>
      </c>
      <c r="C2721" s="20">
        <v>50094.0</v>
      </c>
      <c r="D2721" s="20" t="s">
        <v>5041</v>
      </c>
      <c r="E2721" s="5">
        <v>9.19462928027E11</v>
      </c>
      <c r="F2721" s="21">
        <v>19251.0</v>
      </c>
      <c r="G2721" s="20"/>
      <c r="H2721" s="20" t="s">
        <v>4942</v>
      </c>
      <c r="I2721" s="5"/>
      <c r="J2721" s="20">
        <v>1.0</v>
      </c>
      <c r="K2721" s="20">
        <v>199.0</v>
      </c>
      <c r="L2721" s="20"/>
      <c r="M2721" s="20">
        <v>199.0</v>
      </c>
      <c r="N2721" s="5" t="s">
        <v>67</v>
      </c>
      <c r="O2721" s="20" t="b">
        <v>0</v>
      </c>
      <c r="P2721" s="20" t="s">
        <v>68</v>
      </c>
      <c r="Q2721" s="20" t="s">
        <v>69</v>
      </c>
      <c r="R2721" s="20" t="s">
        <v>4945</v>
      </c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</row>
    <row r="2722">
      <c r="A2722" s="15" t="s">
        <v>9810</v>
      </c>
      <c r="B2722" s="19" t="s">
        <v>4325</v>
      </c>
      <c r="C2722" s="20">
        <v>50079.0</v>
      </c>
      <c r="D2722" s="20" t="s">
        <v>4324</v>
      </c>
      <c r="E2722" s="5">
        <v>9.18143336534E11</v>
      </c>
      <c r="F2722" s="21">
        <v>19148.0</v>
      </c>
      <c r="G2722" s="20"/>
      <c r="H2722" s="20" t="s">
        <v>4281</v>
      </c>
      <c r="I2722" s="5"/>
      <c r="J2722" s="20">
        <v>1.0</v>
      </c>
      <c r="K2722" s="20">
        <v>99.0</v>
      </c>
      <c r="L2722" s="20"/>
      <c r="M2722" s="20">
        <v>99.0</v>
      </c>
      <c r="N2722" s="5" t="s">
        <v>67</v>
      </c>
      <c r="O2722" s="20" t="b">
        <v>0</v>
      </c>
      <c r="P2722" s="20" t="s">
        <v>68</v>
      </c>
      <c r="Q2722" s="20" t="s">
        <v>69</v>
      </c>
      <c r="R2722" s="20" t="s">
        <v>4284</v>
      </c>
      <c r="T2722" s="20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</row>
    <row r="2723">
      <c r="A2723" s="15" t="s">
        <v>9819</v>
      </c>
      <c r="B2723" s="19" t="s">
        <v>2672</v>
      </c>
      <c r="C2723" s="20">
        <v>50065.0</v>
      </c>
      <c r="D2723" s="20" t="s">
        <v>2671</v>
      </c>
      <c r="E2723" s="5">
        <v>9.19892480654E11</v>
      </c>
      <c r="F2723" s="21">
        <v>19149.0</v>
      </c>
      <c r="G2723" s="20"/>
      <c r="H2723" s="20" t="s">
        <v>2601</v>
      </c>
      <c r="I2723" s="5"/>
      <c r="J2723" s="20">
        <v>3.0</v>
      </c>
      <c r="K2723" s="20">
        <v>199.0</v>
      </c>
      <c r="L2723" s="20"/>
      <c r="M2723" s="20">
        <v>199.0</v>
      </c>
      <c r="N2723" s="5" t="s">
        <v>67</v>
      </c>
      <c r="O2723" s="20" t="b">
        <v>0</v>
      </c>
      <c r="P2723" s="20" t="s">
        <v>68</v>
      </c>
      <c r="Q2723" s="20" t="s">
        <v>69</v>
      </c>
      <c r="R2723" s="20" t="s">
        <v>2604</v>
      </c>
      <c r="T2723" s="20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</row>
    <row r="2724">
      <c r="A2724" s="15" t="s">
        <v>9820</v>
      </c>
      <c r="B2724" s="19" t="s">
        <v>6614</v>
      </c>
      <c r="C2724" s="20">
        <v>49958.0</v>
      </c>
      <c r="D2724" s="20" t="s">
        <v>6613</v>
      </c>
      <c r="E2724" s="5">
        <v>9.18847410224E11</v>
      </c>
      <c r="F2724" s="21">
        <v>19274.0</v>
      </c>
      <c r="G2724" s="20"/>
      <c r="H2724" s="20" t="s">
        <v>6595</v>
      </c>
      <c r="I2724" s="5"/>
      <c r="J2724" s="20">
        <v>3.0</v>
      </c>
      <c r="K2724" s="20">
        <v>199.0</v>
      </c>
      <c r="L2724" s="20"/>
      <c r="M2724" s="20">
        <v>199.0</v>
      </c>
      <c r="N2724" s="5" t="s">
        <v>67</v>
      </c>
      <c r="O2724" s="20" t="b">
        <v>0</v>
      </c>
      <c r="P2724" s="20" t="s">
        <v>68</v>
      </c>
      <c r="Q2724" s="20" t="s">
        <v>69</v>
      </c>
      <c r="R2724" s="20" t="s">
        <v>6591</v>
      </c>
      <c r="T2724" s="20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</row>
    <row r="2725">
      <c r="A2725" s="15" t="s">
        <v>10017</v>
      </c>
      <c r="B2725" s="19">
        <v>44202.566666666666</v>
      </c>
      <c r="C2725" s="20">
        <v>49996.0</v>
      </c>
      <c r="D2725" s="20" t="s">
        <v>4837</v>
      </c>
      <c r="E2725" s="5">
        <v>9.19694677834E11</v>
      </c>
      <c r="F2725" s="21">
        <v>19256.0</v>
      </c>
      <c r="G2725" s="20"/>
      <c r="H2725" s="20" t="s">
        <v>4796</v>
      </c>
      <c r="I2725" s="5"/>
      <c r="J2725" s="20">
        <v>1.0</v>
      </c>
      <c r="K2725" s="20">
        <v>99.0</v>
      </c>
      <c r="L2725" s="20"/>
      <c r="M2725" s="20">
        <v>99.0</v>
      </c>
      <c r="N2725" s="5" t="s">
        <v>67</v>
      </c>
      <c r="O2725" s="20" t="b">
        <v>0</v>
      </c>
      <c r="P2725" s="20" t="s">
        <v>68</v>
      </c>
      <c r="Q2725" s="20" t="s">
        <v>69</v>
      </c>
      <c r="R2725" s="20" t="s">
        <v>4799</v>
      </c>
      <c r="T2725" s="20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</row>
    <row r="2726">
      <c r="A2726" s="15" t="s">
        <v>10018</v>
      </c>
      <c r="B2726" s="19">
        <v>44202.575694444444</v>
      </c>
      <c r="C2726" s="20">
        <v>49835.0</v>
      </c>
      <c r="D2726" s="20" t="s">
        <v>3924</v>
      </c>
      <c r="E2726" s="5">
        <v>9.17349180717E11</v>
      </c>
      <c r="F2726" s="21">
        <v>19257.0</v>
      </c>
      <c r="G2726" s="20"/>
      <c r="H2726" s="20" t="s">
        <v>680</v>
      </c>
      <c r="I2726" s="5"/>
      <c r="J2726" s="20">
        <v>3.0</v>
      </c>
      <c r="K2726" s="20">
        <v>199.0</v>
      </c>
      <c r="L2726" s="20"/>
      <c r="M2726" s="20">
        <v>199.0</v>
      </c>
      <c r="N2726" s="5" t="s">
        <v>67</v>
      </c>
      <c r="O2726" s="20" t="b">
        <v>0</v>
      </c>
      <c r="P2726" s="20" t="s">
        <v>151</v>
      </c>
      <c r="Q2726" s="20" t="s">
        <v>69</v>
      </c>
      <c r="R2726" s="20" t="s">
        <v>3888</v>
      </c>
      <c r="T2726" s="20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</row>
    <row r="2727">
      <c r="A2727" s="15" t="s">
        <v>9825</v>
      </c>
      <c r="B2727" s="19" t="s">
        <v>5036</v>
      </c>
      <c r="C2727" s="20">
        <v>50094.0</v>
      </c>
      <c r="D2727" s="20" t="s">
        <v>5035</v>
      </c>
      <c r="E2727" s="5">
        <v>9.17012811961E11</v>
      </c>
      <c r="F2727" s="21">
        <v>19153.0</v>
      </c>
      <c r="G2727" s="20"/>
      <c r="H2727" s="20" t="s">
        <v>4942</v>
      </c>
      <c r="I2727" s="5"/>
      <c r="J2727" s="20">
        <v>1.0</v>
      </c>
      <c r="K2727" s="20">
        <v>199.0</v>
      </c>
      <c r="L2727" s="20"/>
      <c r="M2727" s="20">
        <v>199.0</v>
      </c>
      <c r="N2727" s="5" t="s">
        <v>67</v>
      </c>
      <c r="O2727" s="20" t="b">
        <v>0</v>
      </c>
      <c r="P2727" s="20" t="s">
        <v>68</v>
      </c>
      <c r="Q2727" s="20" t="s">
        <v>69</v>
      </c>
      <c r="R2727" s="20" t="s">
        <v>4945</v>
      </c>
      <c r="T2727" s="20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</row>
    <row r="2728">
      <c r="A2728" s="15" t="s">
        <v>9821</v>
      </c>
      <c r="B2728" s="19" t="s">
        <v>4179</v>
      </c>
      <c r="C2728" s="20">
        <v>49833.0</v>
      </c>
      <c r="D2728" s="20" t="s">
        <v>4178</v>
      </c>
      <c r="E2728" s="5">
        <v>9.17071534761E11</v>
      </c>
      <c r="F2728" s="21">
        <v>19150.0</v>
      </c>
      <c r="G2728" s="20"/>
      <c r="H2728" s="20" t="s">
        <v>4030</v>
      </c>
      <c r="I2728" s="5"/>
      <c r="J2728" s="20">
        <v>3.0</v>
      </c>
      <c r="K2728" s="20">
        <v>199.0</v>
      </c>
      <c r="L2728" s="20"/>
      <c r="M2728" s="20">
        <v>199.0</v>
      </c>
      <c r="N2728" s="5" t="s">
        <v>67</v>
      </c>
      <c r="O2728" s="20" t="b">
        <v>0</v>
      </c>
      <c r="P2728" s="20" t="s">
        <v>68</v>
      </c>
      <c r="Q2728" s="20" t="s">
        <v>69</v>
      </c>
      <c r="R2728" s="20" t="s">
        <v>4033</v>
      </c>
      <c r="T2728" s="20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</row>
    <row r="2729">
      <c r="A2729" s="15" t="s">
        <v>9827</v>
      </c>
      <c r="B2729" s="19" t="s">
        <v>3918</v>
      </c>
      <c r="C2729" s="20">
        <v>49835.0</v>
      </c>
      <c r="D2729" s="20" t="s">
        <v>3917</v>
      </c>
      <c r="E2729" s="5">
        <v>9.181476007E11</v>
      </c>
      <c r="F2729" s="21">
        <v>19154.0</v>
      </c>
      <c r="G2729" s="20"/>
      <c r="H2729" s="20" t="s">
        <v>680</v>
      </c>
      <c r="I2729" s="5"/>
      <c r="J2729" s="20">
        <v>3.0</v>
      </c>
      <c r="K2729" s="20">
        <v>199.0</v>
      </c>
      <c r="L2729" s="20"/>
      <c r="M2729" s="20">
        <v>199.0</v>
      </c>
      <c r="N2729" s="5" t="s">
        <v>67</v>
      </c>
      <c r="O2729" s="20" t="b">
        <v>0</v>
      </c>
      <c r="P2729" s="20" t="s">
        <v>68</v>
      </c>
      <c r="Q2729" s="20" t="s">
        <v>69</v>
      </c>
      <c r="R2729" s="20" t="s">
        <v>3888</v>
      </c>
      <c r="T2729" s="20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</row>
    <row r="2730">
      <c r="A2730" s="15" t="s">
        <v>9822</v>
      </c>
      <c r="B2730" s="19" t="s">
        <v>5909</v>
      </c>
      <c r="C2730" s="20">
        <v>50054.0</v>
      </c>
      <c r="D2730" s="20" t="s">
        <v>5908</v>
      </c>
      <c r="E2730" s="5">
        <v>9.19582829303E11</v>
      </c>
      <c r="F2730" s="21">
        <v>19152.0</v>
      </c>
      <c r="G2730" s="20"/>
      <c r="H2730" s="20" t="s">
        <v>5822</v>
      </c>
      <c r="I2730" s="5"/>
      <c r="J2730" s="20">
        <v>1.0</v>
      </c>
      <c r="K2730" s="20">
        <v>99.0</v>
      </c>
      <c r="L2730" s="20"/>
      <c r="M2730" s="20">
        <v>99.0</v>
      </c>
      <c r="N2730" s="5" t="s">
        <v>67</v>
      </c>
      <c r="O2730" s="20" t="b">
        <v>0</v>
      </c>
      <c r="P2730" s="20" t="s">
        <v>68</v>
      </c>
      <c r="Q2730" s="20" t="s">
        <v>69</v>
      </c>
      <c r="R2730" s="20" t="s">
        <v>5824</v>
      </c>
      <c r="T2730" s="20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</row>
    <row r="2731">
      <c r="A2731" s="15" t="s">
        <v>9830</v>
      </c>
      <c r="B2731" s="19" t="s">
        <v>4721</v>
      </c>
      <c r="C2731" s="20">
        <v>49859.0</v>
      </c>
      <c r="D2731" s="20" t="s">
        <v>4720</v>
      </c>
      <c r="E2731" s="5">
        <v>9.17683097255E11</v>
      </c>
      <c r="F2731" s="21">
        <v>19155.0</v>
      </c>
      <c r="G2731" s="20"/>
      <c r="H2731" s="20" t="s">
        <v>1133</v>
      </c>
      <c r="I2731" s="5"/>
      <c r="J2731" s="20">
        <v>1.0</v>
      </c>
      <c r="K2731" s="20">
        <v>99.0</v>
      </c>
      <c r="L2731" s="20"/>
      <c r="M2731" s="20">
        <v>99.0</v>
      </c>
      <c r="N2731" s="5" t="s">
        <v>67</v>
      </c>
      <c r="O2731" s="20" t="b">
        <v>0</v>
      </c>
      <c r="P2731" s="20" t="s">
        <v>68</v>
      </c>
      <c r="Q2731" s="20" t="s">
        <v>69</v>
      </c>
      <c r="R2731" s="20" t="s">
        <v>4620</v>
      </c>
      <c r="T2731" s="20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</row>
    <row r="2732">
      <c r="A2732" s="15" t="s">
        <v>10019</v>
      </c>
      <c r="B2732" s="19">
        <v>44202.60625</v>
      </c>
      <c r="C2732" s="20">
        <v>50052.0</v>
      </c>
      <c r="D2732" s="20" t="s">
        <v>4484</v>
      </c>
      <c r="E2732" s="5">
        <v>9.19036659449E11</v>
      </c>
      <c r="F2732" s="21">
        <v>19259.0</v>
      </c>
      <c r="G2732" s="20"/>
      <c r="H2732" s="20" t="s">
        <v>4433</v>
      </c>
      <c r="I2732" s="5"/>
      <c r="J2732" s="20">
        <v>1.0</v>
      </c>
      <c r="K2732" s="20">
        <v>99.0</v>
      </c>
      <c r="L2732" s="20"/>
      <c r="M2732" s="20">
        <v>99.0</v>
      </c>
      <c r="N2732" s="5" t="s">
        <v>67</v>
      </c>
      <c r="O2732" s="20" t="b">
        <v>0</v>
      </c>
      <c r="P2732" s="20" t="s">
        <v>68</v>
      </c>
      <c r="Q2732" s="20" t="s">
        <v>69</v>
      </c>
      <c r="R2732" s="20" t="s">
        <v>4435</v>
      </c>
      <c r="T2732" s="20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</row>
    <row r="2733">
      <c r="A2733" s="15" t="s">
        <v>10020</v>
      </c>
      <c r="B2733" s="19">
        <v>44202.61111111111</v>
      </c>
      <c r="C2733" s="20">
        <v>49833.0</v>
      </c>
      <c r="D2733" s="20" t="s">
        <v>4185</v>
      </c>
      <c r="E2733" s="5">
        <v>9.19632509996E11</v>
      </c>
      <c r="F2733" s="21">
        <v>19260.0</v>
      </c>
      <c r="G2733" s="20"/>
      <c r="H2733" s="20" t="s">
        <v>4030</v>
      </c>
      <c r="I2733" s="5"/>
      <c r="J2733" s="20">
        <v>1.0</v>
      </c>
      <c r="K2733" s="20">
        <v>99.0</v>
      </c>
      <c r="L2733" s="20"/>
      <c r="M2733" s="20">
        <v>99.0</v>
      </c>
      <c r="N2733" s="5" t="s">
        <v>67</v>
      </c>
      <c r="O2733" s="20" t="b">
        <v>0</v>
      </c>
      <c r="P2733" s="20" t="s">
        <v>68</v>
      </c>
      <c r="Q2733" s="20" t="s">
        <v>69</v>
      </c>
      <c r="R2733" s="20" t="s">
        <v>4033</v>
      </c>
      <c r="T2733" s="20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</row>
    <row r="2734">
      <c r="A2734" s="15" t="s">
        <v>10021</v>
      </c>
      <c r="B2734" s="19">
        <v>44202.61597222222</v>
      </c>
      <c r="C2734" s="20">
        <v>49997.0</v>
      </c>
      <c r="D2734" s="20" t="s">
        <v>2539</v>
      </c>
      <c r="E2734" s="5">
        <v>9.19930012925E11</v>
      </c>
      <c r="F2734" s="21">
        <v>19261.0</v>
      </c>
      <c r="G2734" s="20"/>
      <c r="H2734" s="20" t="s">
        <v>2455</v>
      </c>
      <c r="I2734" s="5"/>
      <c r="J2734" s="20">
        <v>1.0</v>
      </c>
      <c r="K2734" s="20">
        <v>99.0</v>
      </c>
      <c r="L2734" s="20"/>
      <c r="M2734" s="20">
        <v>99.0</v>
      </c>
      <c r="N2734" s="5" t="s">
        <v>67</v>
      </c>
      <c r="O2734" s="20" t="b">
        <v>0</v>
      </c>
      <c r="P2734" s="20" t="s">
        <v>68</v>
      </c>
      <c r="Q2734" s="20" t="s">
        <v>69</v>
      </c>
      <c r="R2734" s="20" t="s">
        <v>2457</v>
      </c>
      <c r="T2734" s="20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</row>
    <row r="2735">
      <c r="A2735" s="15" t="s">
        <v>10022</v>
      </c>
      <c r="B2735" s="19">
        <v>44202.618055555555</v>
      </c>
      <c r="C2735" s="20">
        <v>50086.0</v>
      </c>
      <c r="D2735" s="20" t="s">
        <v>3991</v>
      </c>
      <c r="E2735" s="5">
        <v>9.19870000144E11</v>
      </c>
      <c r="F2735" s="21">
        <v>19262.0</v>
      </c>
      <c r="G2735" s="20"/>
      <c r="H2735" s="20" t="s">
        <v>3986</v>
      </c>
      <c r="I2735" s="5"/>
      <c r="J2735" s="20">
        <v>1.0</v>
      </c>
      <c r="K2735" s="20">
        <v>249.0</v>
      </c>
      <c r="L2735" s="20"/>
      <c r="M2735" s="20">
        <v>249.0</v>
      </c>
      <c r="N2735" s="5" t="s">
        <v>67</v>
      </c>
      <c r="O2735" s="20" t="b">
        <v>0</v>
      </c>
      <c r="P2735" s="20" t="s">
        <v>74</v>
      </c>
      <c r="Q2735" s="20" t="s">
        <v>69</v>
      </c>
      <c r="R2735" s="20" t="s">
        <v>3988</v>
      </c>
      <c r="T2735" s="20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</row>
    <row r="2736">
      <c r="A2736" s="15" t="s">
        <v>9841</v>
      </c>
      <c r="B2736" s="19" t="s">
        <v>4181</v>
      </c>
      <c r="C2736" s="20">
        <v>49833.0</v>
      </c>
      <c r="D2736" s="20" t="s">
        <v>4180</v>
      </c>
      <c r="E2736" s="5">
        <v>9.16395144782E11</v>
      </c>
      <c r="F2736" s="21">
        <v>19179.0</v>
      </c>
      <c r="G2736" s="20"/>
      <c r="H2736" s="20" t="s">
        <v>4030</v>
      </c>
      <c r="I2736" s="5"/>
      <c r="J2736" s="20">
        <v>1.0</v>
      </c>
      <c r="K2736" s="20">
        <v>99.0</v>
      </c>
      <c r="L2736" s="20"/>
      <c r="M2736" s="20">
        <v>99.0</v>
      </c>
      <c r="N2736" s="5" t="s">
        <v>67</v>
      </c>
      <c r="O2736" s="20" t="b">
        <v>0</v>
      </c>
      <c r="P2736" s="20" t="s">
        <v>68</v>
      </c>
      <c r="Q2736" s="20" t="s">
        <v>69</v>
      </c>
      <c r="R2736" s="20" t="s">
        <v>4033</v>
      </c>
      <c r="T2736" s="20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</row>
    <row r="2737">
      <c r="A2737" s="15" t="s">
        <v>10027</v>
      </c>
      <c r="B2737" s="19">
        <v>44202.63680555556</v>
      </c>
      <c r="C2737" s="20">
        <v>50076.0</v>
      </c>
      <c r="D2737" s="20" t="s">
        <v>6141</v>
      </c>
      <c r="E2737" s="5">
        <v>9.19632661017E11</v>
      </c>
      <c r="F2737" s="21">
        <v>19264.0</v>
      </c>
      <c r="G2737" s="20"/>
      <c r="H2737" s="20" t="s">
        <v>5984</v>
      </c>
      <c r="I2737" s="5"/>
      <c r="J2737" s="20">
        <v>1.0</v>
      </c>
      <c r="K2737" s="20">
        <v>199.0</v>
      </c>
      <c r="L2737" s="20"/>
      <c r="M2737" s="20">
        <v>199.0</v>
      </c>
      <c r="N2737" s="5" t="s">
        <v>67</v>
      </c>
      <c r="O2737" s="20" t="b">
        <v>0</v>
      </c>
      <c r="P2737" s="20" t="s">
        <v>68</v>
      </c>
      <c r="Q2737" s="20" t="s">
        <v>69</v>
      </c>
      <c r="R2737" s="20" t="s">
        <v>5987</v>
      </c>
      <c r="T2737" s="20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</row>
    <row r="2738">
      <c r="A2738" s="15" t="s">
        <v>9833</v>
      </c>
      <c r="B2738" s="19" t="s">
        <v>3920</v>
      </c>
      <c r="C2738" s="20">
        <v>49835.0</v>
      </c>
      <c r="D2738" s="20" t="s">
        <v>3919</v>
      </c>
      <c r="E2738" s="5">
        <v>9.18886157257E11</v>
      </c>
      <c r="F2738" s="21">
        <v>19156.0</v>
      </c>
      <c r="G2738" s="20"/>
      <c r="H2738" s="20" t="s">
        <v>680</v>
      </c>
      <c r="I2738" s="5"/>
      <c r="J2738" s="20">
        <v>6.0</v>
      </c>
      <c r="K2738" s="20">
        <v>349.0</v>
      </c>
      <c r="L2738" s="20"/>
      <c r="M2738" s="20">
        <v>349.0</v>
      </c>
      <c r="N2738" s="5" t="s">
        <v>67</v>
      </c>
      <c r="O2738" s="20" t="b">
        <v>0</v>
      </c>
      <c r="P2738" s="20" t="s">
        <v>68</v>
      </c>
      <c r="Q2738" s="20" t="s">
        <v>69</v>
      </c>
      <c r="R2738" s="20" t="s">
        <v>3888</v>
      </c>
      <c r="T2738" s="20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</row>
    <row r="2739">
      <c r="A2739" s="15" t="s">
        <v>10028</v>
      </c>
      <c r="B2739" s="19">
        <v>44202.64027777778</v>
      </c>
      <c r="C2739" s="20">
        <v>49907.0</v>
      </c>
      <c r="D2739" s="20" t="s">
        <v>3812</v>
      </c>
      <c r="E2739" s="5">
        <v>9.19742183381E11</v>
      </c>
      <c r="F2739" s="21">
        <v>19265.0</v>
      </c>
      <c r="G2739" s="20"/>
      <c r="H2739" s="20" t="s">
        <v>587</v>
      </c>
      <c r="I2739" s="5"/>
      <c r="J2739" s="20">
        <v>6.0</v>
      </c>
      <c r="K2739" s="20">
        <v>349.0</v>
      </c>
      <c r="L2739" s="20"/>
      <c r="M2739" s="20">
        <v>349.0</v>
      </c>
      <c r="N2739" s="5" t="s">
        <v>67</v>
      </c>
      <c r="O2739" s="20" t="b">
        <v>0</v>
      </c>
      <c r="P2739" s="20" t="s">
        <v>97</v>
      </c>
      <c r="Q2739" s="20" t="s">
        <v>69</v>
      </c>
      <c r="R2739" s="20" t="s">
        <v>3774</v>
      </c>
      <c r="T2739" s="20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</row>
    <row r="2740">
      <c r="A2740" s="15" t="s">
        <v>9834</v>
      </c>
      <c r="B2740" s="19">
        <v>44383.58888888889</v>
      </c>
      <c r="C2740" s="20">
        <v>49907.0</v>
      </c>
      <c r="D2740" s="20" t="s">
        <v>3832</v>
      </c>
      <c r="E2740" s="5">
        <v>9.18527781333E11</v>
      </c>
      <c r="F2740" s="21">
        <v>19602.0</v>
      </c>
      <c r="G2740" s="20"/>
      <c r="H2740" s="20" t="s">
        <v>587</v>
      </c>
      <c r="I2740" s="5"/>
      <c r="J2740" s="20">
        <v>1.0</v>
      </c>
      <c r="K2740" s="20">
        <v>99.0</v>
      </c>
      <c r="L2740" s="20"/>
      <c r="M2740" s="20">
        <v>99.0</v>
      </c>
      <c r="N2740" s="5" t="s">
        <v>67</v>
      </c>
      <c r="O2740" s="20" t="b">
        <v>0</v>
      </c>
      <c r="P2740" s="20" t="s">
        <v>68</v>
      </c>
      <c r="Q2740" s="20" t="s">
        <v>69</v>
      </c>
      <c r="R2740" s="20" t="s">
        <v>3774</v>
      </c>
      <c r="T2740" s="20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</row>
    <row r="2741">
      <c r="A2741" s="15" t="s">
        <v>9835</v>
      </c>
      <c r="B2741" s="19" t="s">
        <v>4834</v>
      </c>
      <c r="C2741" s="20">
        <v>49996.0</v>
      </c>
      <c r="D2741" s="20" t="s">
        <v>4833</v>
      </c>
      <c r="E2741" s="5">
        <v>9.19539710623E11</v>
      </c>
      <c r="F2741" s="21">
        <v>19158.0</v>
      </c>
      <c r="G2741" s="20"/>
      <c r="H2741" s="20" t="s">
        <v>4796</v>
      </c>
      <c r="I2741" s="5"/>
      <c r="J2741" s="20">
        <v>1.0</v>
      </c>
      <c r="K2741" s="20">
        <v>99.0</v>
      </c>
      <c r="L2741" s="20"/>
      <c r="M2741" s="20">
        <v>99.0</v>
      </c>
      <c r="N2741" s="5" t="s">
        <v>67</v>
      </c>
      <c r="O2741" s="20" t="b">
        <v>0</v>
      </c>
      <c r="P2741" s="20" t="s">
        <v>68</v>
      </c>
      <c r="Q2741" s="20" t="s">
        <v>69</v>
      </c>
      <c r="R2741" s="20" t="s">
        <v>4799</v>
      </c>
      <c r="T2741" s="20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</row>
    <row r="2742">
      <c r="A2742" s="15" t="s">
        <v>9837</v>
      </c>
      <c r="B2742" s="19" t="s">
        <v>4408</v>
      </c>
      <c r="C2742" s="20">
        <v>50043.0</v>
      </c>
      <c r="D2742" s="20" t="s">
        <v>6407</v>
      </c>
      <c r="E2742" s="5">
        <v>9.1903631548E11</v>
      </c>
      <c r="F2742" s="21">
        <v>19157.0</v>
      </c>
      <c r="G2742" s="20"/>
      <c r="H2742" s="20" t="s">
        <v>6367</v>
      </c>
      <c r="I2742" s="5"/>
      <c r="J2742" s="20">
        <v>3.0</v>
      </c>
      <c r="K2742" s="20">
        <v>199.0</v>
      </c>
      <c r="L2742" s="20"/>
      <c r="M2742" s="20">
        <v>199.0</v>
      </c>
      <c r="N2742" s="5" t="s">
        <v>67</v>
      </c>
      <c r="O2742" s="20" t="b">
        <v>0</v>
      </c>
      <c r="P2742" s="20" t="s">
        <v>68</v>
      </c>
      <c r="Q2742" s="20" t="s">
        <v>69</v>
      </c>
      <c r="R2742" s="20" t="s">
        <v>6369</v>
      </c>
      <c r="T2742" s="20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</row>
    <row r="2743">
      <c r="A2743" s="15" t="s">
        <v>9838</v>
      </c>
      <c r="B2743" s="19" t="s">
        <v>4408</v>
      </c>
      <c r="C2743" s="20">
        <v>50110.0</v>
      </c>
      <c r="D2743" s="20" t="s">
        <v>4407</v>
      </c>
      <c r="E2743" s="5">
        <v>9.18309908354E11</v>
      </c>
      <c r="F2743" s="21">
        <v>19163.0</v>
      </c>
      <c r="G2743" s="20"/>
      <c r="H2743" s="20" t="s">
        <v>4399</v>
      </c>
      <c r="I2743" s="5"/>
      <c r="J2743" s="20">
        <v>1.0</v>
      </c>
      <c r="K2743" s="20">
        <v>99.0</v>
      </c>
      <c r="L2743" s="20"/>
      <c r="M2743" s="20">
        <v>99.0</v>
      </c>
      <c r="N2743" s="5" t="s">
        <v>67</v>
      </c>
      <c r="O2743" s="20" t="b">
        <v>0</v>
      </c>
      <c r="P2743" s="20" t="s">
        <v>68</v>
      </c>
      <c r="Q2743" s="20" t="s">
        <v>69</v>
      </c>
      <c r="R2743" s="20" t="s">
        <v>4402</v>
      </c>
      <c r="T2743" s="20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</row>
    <row r="2744">
      <c r="A2744" s="15" t="s">
        <v>9842</v>
      </c>
      <c r="B2744" s="19" t="s">
        <v>4935</v>
      </c>
      <c r="C2744" s="20">
        <v>50113.0</v>
      </c>
      <c r="D2744" s="20" t="s">
        <v>4934</v>
      </c>
      <c r="E2744" s="5">
        <v>9.17383237034E11</v>
      </c>
      <c r="F2744" s="21">
        <v>19184.0</v>
      </c>
      <c r="G2744" s="20"/>
      <c r="H2744" s="20" t="s">
        <v>4914</v>
      </c>
      <c r="I2744" s="20" t="s">
        <v>4915</v>
      </c>
      <c r="J2744" s="20">
        <v>1.0</v>
      </c>
      <c r="K2744" s="20">
        <v>499.0</v>
      </c>
      <c r="L2744" s="20"/>
      <c r="M2744" s="20">
        <v>499.0</v>
      </c>
      <c r="N2744" s="5" t="s">
        <v>67</v>
      </c>
      <c r="O2744" s="20" t="b">
        <v>0</v>
      </c>
      <c r="P2744" s="20" t="s">
        <v>68</v>
      </c>
      <c r="Q2744" s="20" t="s">
        <v>69</v>
      </c>
      <c r="R2744" s="20" t="s">
        <v>4918</v>
      </c>
      <c r="T2744" s="20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</row>
    <row r="2745">
      <c r="A2745" s="15" t="s">
        <v>9839</v>
      </c>
      <c r="B2745" s="19" t="s">
        <v>4408</v>
      </c>
      <c r="C2745" s="20">
        <v>50043.0</v>
      </c>
      <c r="D2745" s="20" t="s">
        <v>6406</v>
      </c>
      <c r="E2745" s="5">
        <v>9.19711046914E11</v>
      </c>
      <c r="F2745" s="21">
        <v>19159.0</v>
      </c>
      <c r="G2745" s="20"/>
      <c r="H2745" s="20" t="s">
        <v>6367</v>
      </c>
      <c r="I2745" s="5"/>
      <c r="J2745" s="20">
        <v>1.0</v>
      </c>
      <c r="K2745" s="20">
        <v>99.0</v>
      </c>
      <c r="L2745" s="20"/>
      <c r="M2745" s="20">
        <v>99.0</v>
      </c>
      <c r="N2745" s="5" t="s">
        <v>67</v>
      </c>
      <c r="O2745" s="20" t="b">
        <v>0</v>
      </c>
      <c r="P2745" s="20" t="s">
        <v>68</v>
      </c>
      <c r="Q2745" s="20" t="s">
        <v>69</v>
      </c>
      <c r="R2745" s="20" t="s">
        <v>6369</v>
      </c>
      <c r="T2745" s="20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</row>
    <row r="2746">
      <c r="A2746" s="15" t="s">
        <v>10030</v>
      </c>
      <c r="B2746" s="19">
        <v>44202.64722222222</v>
      </c>
      <c r="C2746" s="20">
        <v>49991.0</v>
      </c>
      <c r="D2746" s="20" t="s">
        <v>3135</v>
      </c>
      <c r="E2746" s="5">
        <v>9.19100252335E11</v>
      </c>
      <c r="F2746" s="21">
        <v>19266.0</v>
      </c>
      <c r="G2746" s="20"/>
      <c r="H2746" s="20" t="s">
        <v>3055</v>
      </c>
      <c r="I2746" s="5"/>
      <c r="J2746" s="20">
        <v>3.0</v>
      </c>
      <c r="K2746" s="20">
        <v>199.0</v>
      </c>
      <c r="L2746" s="20"/>
      <c r="M2746" s="20">
        <v>199.0</v>
      </c>
      <c r="N2746" s="5" t="s">
        <v>67</v>
      </c>
      <c r="O2746" s="20" t="b">
        <v>0</v>
      </c>
      <c r="P2746" s="20" t="s">
        <v>68</v>
      </c>
      <c r="Q2746" s="20" t="s">
        <v>69</v>
      </c>
      <c r="R2746" s="20" t="s">
        <v>3057</v>
      </c>
      <c r="T2746" s="20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</row>
    <row r="2747">
      <c r="A2747" s="15" t="s">
        <v>9845</v>
      </c>
      <c r="B2747" s="19" t="s">
        <v>3131</v>
      </c>
      <c r="C2747" s="20">
        <v>49991.0</v>
      </c>
      <c r="D2747" s="20" t="s">
        <v>3130</v>
      </c>
      <c r="E2747" s="5">
        <v>9.18660937556E11</v>
      </c>
      <c r="F2747" s="21">
        <v>19161.0</v>
      </c>
      <c r="G2747" s="20"/>
      <c r="H2747" s="20" t="s">
        <v>3055</v>
      </c>
      <c r="I2747" s="5"/>
      <c r="J2747" s="20">
        <v>6.0</v>
      </c>
      <c r="K2747" s="20">
        <v>349.0</v>
      </c>
      <c r="L2747" s="20"/>
      <c r="M2747" s="20">
        <v>349.0</v>
      </c>
      <c r="N2747" s="5" t="s">
        <v>67</v>
      </c>
      <c r="O2747" s="20" t="b">
        <v>0</v>
      </c>
      <c r="P2747" s="20" t="s">
        <v>74</v>
      </c>
      <c r="Q2747" s="20" t="s">
        <v>69</v>
      </c>
      <c r="R2747" s="20" t="s">
        <v>3057</v>
      </c>
      <c r="T2747" s="20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</row>
    <row r="2748">
      <c r="A2748" s="15" t="s">
        <v>10031</v>
      </c>
      <c r="B2748" s="19">
        <v>44202.65833333333</v>
      </c>
      <c r="C2748" s="20">
        <v>49991.0</v>
      </c>
      <c r="D2748" s="20" t="s">
        <v>3136</v>
      </c>
      <c r="E2748" s="5">
        <v>9.17995809689E11</v>
      </c>
      <c r="F2748" s="21">
        <v>19267.0</v>
      </c>
      <c r="G2748" s="20"/>
      <c r="H2748" s="20" t="s">
        <v>3055</v>
      </c>
      <c r="I2748" s="5"/>
      <c r="J2748" s="20">
        <v>3.0</v>
      </c>
      <c r="K2748" s="20">
        <v>199.0</v>
      </c>
      <c r="L2748" s="20"/>
      <c r="M2748" s="20">
        <v>199.0</v>
      </c>
      <c r="N2748" s="5" t="s">
        <v>67</v>
      </c>
      <c r="O2748" s="20" t="b">
        <v>0</v>
      </c>
      <c r="P2748" s="20" t="s">
        <v>68</v>
      </c>
      <c r="Q2748" s="20" t="s">
        <v>69</v>
      </c>
      <c r="R2748" s="20" t="s">
        <v>3057</v>
      </c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</row>
    <row r="2749">
      <c r="A2749" s="15" t="s">
        <v>10034</v>
      </c>
      <c r="B2749" s="19">
        <v>44202.683333333334</v>
      </c>
      <c r="C2749" s="20">
        <v>49859.0</v>
      </c>
      <c r="D2749" s="20" t="s">
        <v>4728</v>
      </c>
      <c r="E2749" s="5">
        <v>9.19823721602E11</v>
      </c>
      <c r="F2749" s="21">
        <v>19779.0</v>
      </c>
      <c r="G2749" s="20"/>
      <c r="H2749" s="20" t="s">
        <v>1133</v>
      </c>
      <c r="I2749" s="5"/>
      <c r="J2749" s="20">
        <v>1.0</v>
      </c>
      <c r="K2749" s="20">
        <v>99.0</v>
      </c>
      <c r="L2749" s="20"/>
      <c r="M2749" s="20">
        <v>99.0</v>
      </c>
      <c r="N2749" s="5" t="s">
        <v>67</v>
      </c>
      <c r="O2749" s="20" t="b">
        <v>0</v>
      </c>
      <c r="P2749" s="20" t="s">
        <v>68</v>
      </c>
      <c r="Q2749" s="20" t="s">
        <v>69</v>
      </c>
      <c r="R2749" s="20" t="s">
        <v>4620</v>
      </c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</row>
    <row r="2750">
      <c r="A2750" s="15" t="s">
        <v>9846</v>
      </c>
      <c r="B2750" s="19" t="s">
        <v>3133</v>
      </c>
      <c r="C2750" s="20">
        <v>49991.0</v>
      </c>
      <c r="D2750" s="20" t="s">
        <v>3132</v>
      </c>
      <c r="E2750" s="5">
        <v>9.19539070608E11</v>
      </c>
      <c r="F2750" s="21">
        <v>19162.0</v>
      </c>
      <c r="G2750" s="20"/>
      <c r="H2750" s="20" t="s">
        <v>3055</v>
      </c>
      <c r="I2750" s="5"/>
      <c r="J2750" s="20">
        <v>3.0</v>
      </c>
      <c r="K2750" s="20">
        <v>199.0</v>
      </c>
      <c r="L2750" s="20"/>
      <c r="M2750" s="20">
        <v>199.0</v>
      </c>
      <c r="N2750" s="5" t="s">
        <v>67</v>
      </c>
      <c r="O2750" s="20" t="b">
        <v>0</v>
      </c>
      <c r="P2750" s="20" t="s">
        <v>68</v>
      </c>
      <c r="Q2750" s="20" t="s">
        <v>69</v>
      </c>
      <c r="R2750" s="20" t="s">
        <v>3057</v>
      </c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</row>
    <row r="2751">
      <c r="A2751" s="15" t="s">
        <v>9850</v>
      </c>
      <c r="B2751" s="19" t="s">
        <v>2674</v>
      </c>
      <c r="C2751" s="20">
        <v>50065.0</v>
      </c>
      <c r="D2751" s="20" t="s">
        <v>2673</v>
      </c>
      <c r="E2751" s="5">
        <v>9.19390124449E11</v>
      </c>
      <c r="F2751" s="21">
        <v>19165.0</v>
      </c>
      <c r="G2751" s="20"/>
      <c r="H2751" s="20" t="s">
        <v>2601</v>
      </c>
      <c r="I2751" s="5"/>
      <c r="J2751" s="20">
        <v>1.0</v>
      </c>
      <c r="K2751" s="20">
        <v>99.0</v>
      </c>
      <c r="L2751" s="20"/>
      <c r="M2751" s="20">
        <v>99.0</v>
      </c>
      <c r="N2751" s="5" t="s">
        <v>67</v>
      </c>
      <c r="O2751" s="20" t="b">
        <v>0</v>
      </c>
      <c r="P2751" s="20" t="s">
        <v>74</v>
      </c>
      <c r="Q2751" s="20" t="s">
        <v>69</v>
      </c>
      <c r="R2751" s="20" t="s">
        <v>2604</v>
      </c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</row>
    <row r="2752">
      <c r="A2752" s="15" t="s">
        <v>9853</v>
      </c>
      <c r="B2752" s="19" t="s">
        <v>4723</v>
      </c>
      <c r="C2752" s="20">
        <v>49859.0</v>
      </c>
      <c r="D2752" s="20" t="s">
        <v>4722</v>
      </c>
      <c r="E2752" s="5">
        <v>9.18285216604E11</v>
      </c>
      <c r="F2752" s="21">
        <v>0.0</v>
      </c>
      <c r="G2752" s="20"/>
      <c r="H2752" s="20" t="s">
        <v>1133</v>
      </c>
      <c r="I2752" s="5"/>
      <c r="J2752" s="20">
        <v>6.0</v>
      </c>
      <c r="K2752" s="20">
        <v>349.0</v>
      </c>
      <c r="L2752" s="20"/>
      <c r="M2752" s="20">
        <v>349.0</v>
      </c>
      <c r="N2752" s="5" t="s">
        <v>67</v>
      </c>
      <c r="O2752" s="20" t="b">
        <v>0</v>
      </c>
      <c r="P2752" s="20" t="s">
        <v>68</v>
      </c>
      <c r="Q2752" s="20" t="s">
        <v>69</v>
      </c>
      <c r="R2752" s="20" t="s">
        <v>4620</v>
      </c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</row>
    <row r="2753">
      <c r="A2753" s="15" t="s">
        <v>9854</v>
      </c>
      <c r="B2753" s="19" t="s">
        <v>6641</v>
      </c>
      <c r="C2753" s="20">
        <v>49994.0</v>
      </c>
      <c r="D2753" s="20" t="s">
        <v>6640</v>
      </c>
      <c r="E2753" s="5">
        <v>9.19840536912E11</v>
      </c>
      <c r="F2753" s="21">
        <v>19166.0</v>
      </c>
      <c r="G2753" s="20"/>
      <c r="H2753" s="20" t="s">
        <v>1264</v>
      </c>
      <c r="I2753" s="5"/>
      <c r="J2753" s="20">
        <v>1.0</v>
      </c>
      <c r="K2753" s="20">
        <v>99.0</v>
      </c>
      <c r="L2753" s="20"/>
      <c r="M2753" s="20">
        <v>99.0</v>
      </c>
      <c r="N2753" s="5" t="s">
        <v>67</v>
      </c>
      <c r="O2753" s="20" t="b">
        <v>0</v>
      </c>
      <c r="P2753" s="20" t="s">
        <v>68</v>
      </c>
      <c r="Q2753" s="20" t="s">
        <v>69</v>
      </c>
      <c r="R2753" s="20" t="s">
        <v>6615</v>
      </c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</row>
    <row r="2754">
      <c r="A2754" s="15" t="s">
        <v>9861</v>
      </c>
      <c r="B2754" s="19" t="s">
        <v>6168</v>
      </c>
      <c r="C2754" s="20">
        <v>49978.0</v>
      </c>
      <c r="D2754" s="20" t="s">
        <v>6167</v>
      </c>
      <c r="E2754" s="5">
        <v>9.19583947116E11</v>
      </c>
      <c r="F2754" s="21">
        <v>19172.0</v>
      </c>
      <c r="G2754" s="20"/>
      <c r="H2754" s="20" t="s">
        <v>2150</v>
      </c>
      <c r="I2754" s="5"/>
      <c r="J2754" s="20">
        <v>1.0</v>
      </c>
      <c r="K2754" s="20">
        <v>99.0</v>
      </c>
      <c r="L2754" s="20"/>
      <c r="M2754" s="20">
        <v>99.0</v>
      </c>
      <c r="N2754" s="5" t="s">
        <v>67</v>
      </c>
      <c r="O2754" s="20" t="b">
        <v>0</v>
      </c>
      <c r="P2754" s="20" t="s">
        <v>68</v>
      </c>
      <c r="Q2754" s="20" t="s">
        <v>69</v>
      </c>
      <c r="R2754" s="20" t="s">
        <v>6156</v>
      </c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</row>
    <row r="2755">
      <c r="A2755" s="15" t="s">
        <v>10038</v>
      </c>
      <c r="B2755" s="19">
        <v>44202.70347222222</v>
      </c>
      <c r="C2755" s="20">
        <v>50086.0</v>
      </c>
      <c r="D2755" s="20" t="s">
        <v>3992</v>
      </c>
      <c r="E2755" s="5">
        <v>9.19867944988E11</v>
      </c>
      <c r="F2755" s="21">
        <v>19269.0</v>
      </c>
      <c r="G2755" s="20"/>
      <c r="H2755" s="20" t="s">
        <v>3986</v>
      </c>
      <c r="I2755" s="5"/>
      <c r="J2755" s="20">
        <v>1.0</v>
      </c>
      <c r="K2755" s="20">
        <v>249.0</v>
      </c>
      <c r="L2755" s="20"/>
      <c r="M2755" s="20">
        <v>249.0</v>
      </c>
      <c r="N2755" s="5" t="s">
        <v>67</v>
      </c>
      <c r="O2755" s="20" t="b">
        <v>0</v>
      </c>
      <c r="P2755" s="20" t="s">
        <v>74</v>
      </c>
      <c r="Q2755" s="20" t="s">
        <v>69</v>
      </c>
      <c r="R2755" s="20" t="s">
        <v>3988</v>
      </c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</row>
    <row r="2756">
      <c r="A2756" s="15" t="s">
        <v>9855</v>
      </c>
      <c r="B2756" s="19" t="s">
        <v>6409</v>
      </c>
      <c r="C2756" s="20">
        <v>50043.0</v>
      </c>
      <c r="D2756" s="20" t="s">
        <v>6408</v>
      </c>
      <c r="E2756" s="5">
        <v>9.19886319171E11</v>
      </c>
      <c r="F2756" s="22" t="s">
        <v>12593</v>
      </c>
      <c r="G2756" s="20"/>
      <c r="H2756" s="20" t="s">
        <v>6367</v>
      </c>
      <c r="I2756" s="5"/>
      <c r="J2756" s="20">
        <v>6.0</v>
      </c>
      <c r="K2756" s="20">
        <v>349.0</v>
      </c>
      <c r="L2756" s="20"/>
      <c r="M2756" s="20">
        <v>349.0</v>
      </c>
      <c r="N2756" s="5" t="s">
        <v>67</v>
      </c>
      <c r="O2756" s="20" t="b">
        <v>0</v>
      </c>
      <c r="P2756" s="20" t="s">
        <v>68</v>
      </c>
      <c r="Q2756" s="20" t="s">
        <v>69</v>
      </c>
      <c r="R2756" s="20" t="s">
        <v>6369</v>
      </c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</row>
    <row r="2757">
      <c r="A2757" s="15" t="s">
        <v>10039</v>
      </c>
      <c r="B2757" s="19">
        <v>44202.725</v>
      </c>
      <c r="C2757" s="20">
        <v>49997.0</v>
      </c>
      <c r="D2757" s="20" t="s">
        <v>2540</v>
      </c>
      <c r="E2757" s="5">
        <v>9.17276167675E11</v>
      </c>
      <c r="F2757" s="21">
        <v>19275.0</v>
      </c>
      <c r="G2757" s="20"/>
      <c r="H2757" s="20" t="s">
        <v>2455</v>
      </c>
      <c r="I2757" s="5"/>
      <c r="J2757" s="20">
        <v>3.0</v>
      </c>
      <c r="K2757" s="20">
        <v>199.0</v>
      </c>
      <c r="L2757" s="20"/>
      <c r="M2757" s="20">
        <v>199.0</v>
      </c>
      <c r="N2757" s="5" t="s">
        <v>67</v>
      </c>
      <c r="O2757" s="20" t="b">
        <v>0</v>
      </c>
      <c r="P2757" s="20" t="s">
        <v>68</v>
      </c>
      <c r="Q2757" s="20" t="s">
        <v>69</v>
      </c>
      <c r="R2757" s="20" t="s">
        <v>2457</v>
      </c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</row>
    <row r="2758">
      <c r="A2758" s="15" t="s">
        <v>9856</v>
      </c>
      <c r="B2758" s="19" t="s">
        <v>5159</v>
      </c>
      <c r="C2758" s="20">
        <v>49813.0</v>
      </c>
      <c r="D2758" s="20" t="s">
        <v>5158</v>
      </c>
      <c r="E2758" s="5">
        <v>9.19820931913E11</v>
      </c>
      <c r="F2758" s="21">
        <v>19170.0</v>
      </c>
      <c r="G2758" s="20"/>
      <c r="H2758" s="20" t="s">
        <v>5114</v>
      </c>
      <c r="I2758" s="5"/>
      <c r="J2758" s="20">
        <v>1.0</v>
      </c>
      <c r="K2758" s="20">
        <v>299.0</v>
      </c>
      <c r="L2758" s="20"/>
      <c r="M2758" s="20">
        <v>299.0</v>
      </c>
      <c r="N2758" s="5" t="s">
        <v>67</v>
      </c>
      <c r="O2758" s="20" t="b">
        <v>0</v>
      </c>
      <c r="P2758" s="20" t="s">
        <v>68</v>
      </c>
      <c r="Q2758" s="20" t="s">
        <v>69</v>
      </c>
      <c r="R2758" s="20" t="s">
        <v>5116</v>
      </c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</row>
    <row r="2759">
      <c r="A2759" s="15" t="s">
        <v>9863</v>
      </c>
      <c r="B2759" s="19" t="s">
        <v>5038</v>
      </c>
      <c r="C2759" s="20">
        <v>50094.0</v>
      </c>
      <c r="D2759" s="20" t="s">
        <v>5037</v>
      </c>
      <c r="E2759" s="5">
        <v>9.19425301853E11</v>
      </c>
      <c r="F2759" s="21">
        <v>19174.0</v>
      </c>
      <c r="G2759" s="20"/>
      <c r="H2759" s="20" t="s">
        <v>4942</v>
      </c>
      <c r="I2759" s="5"/>
      <c r="J2759" s="20">
        <v>1.0</v>
      </c>
      <c r="K2759" s="20">
        <v>199.0</v>
      </c>
      <c r="L2759" s="20"/>
      <c r="M2759" s="20">
        <v>199.0</v>
      </c>
      <c r="N2759" s="5" t="s">
        <v>67</v>
      </c>
      <c r="O2759" s="20" t="b">
        <v>0</v>
      </c>
      <c r="P2759" s="20" t="s">
        <v>68</v>
      </c>
      <c r="Q2759" s="20" t="s">
        <v>69</v>
      </c>
      <c r="R2759" s="20" t="s">
        <v>4945</v>
      </c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</row>
    <row r="2760">
      <c r="A2760" s="15" t="s">
        <v>9857</v>
      </c>
      <c r="B2760" s="19" t="s">
        <v>2534</v>
      </c>
      <c r="C2760" s="20">
        <v>49997.0</v>
      </c>
      <c r="D2760" s="20" t="s">
        <v>2533</v>
      </c>
      <c r="E2760" s="5">
        <v>9.17337069679E11</v>
      </c>
      <c r="F2760" s="21">
        <v>19168.0</v>
      </c>
      <c r="G2760" s="20"/>
      <c r="H2760" s="20" t="s">
        <v>2455</v>
      </c>
      <c r="I2760" s="5"/>
      <c r="J2760" s="20">
        <v>1.0</v>
      </c>
      <c r="K2760" s="20">
        <v>99.0</v>
      </c>
      <c r="L2760" s="20"/>
      <c r="M2760" s="20">
        <v>99.0</v>
      </c>
      <c r="N2760" s="5" t="s">
        <v>67</v>
      </c>
      <c r="O2760" s="20" t="b">
        <v>0</v>
      </c>
      <c r="P2760" s="20" t="s">
        <v>68</v>
      </c>
      <c r="Q2760" s="20" t="s">
        <v>69</v>
      </c>
      <c r="R2760" s="20" t="s">
        <v>2457</v>
      </c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</row>
    <row r="2761">
      <c r="A2761" s="15" t="s">
        <v>9858</v>
      </c>
      <c r="B2761" s="19" t="s">
        <v>3922</v>
      </c>
      <c r="C2761" s="20">
        <v>49835.0</v>
      </c>
      <c r="D2761" s="20" t="s">
        <v>3921</v>
      </c>
      <c r="E2761" s="5">
        <v>9.18894139778E11</v>
      </c>
      <c r="F2761" s="21">
        <v>19177.0</v>
      </c>
      <c r="G2761" s="20"/>
      <c r="H2761" s="20" t="s">
        <v>680</v>
      </c>
      <c r="I2761" s="5"/>
      <c r="J2761" s="20">
        <v>1.0</v>
      </c>
      <c r="K2761" s="20">
        <v>99.0</v>
      </c>
      <c r="L2761" s="20"/>
      <c r="M2761" s="20">
        <v>99.0</v>
      </c>
      <c r="N2761" s="5" t="s">
        <v>67</v>
      </c>
      <c r="O2761" s="20" t="b">
        <v>0</v>
      </c>
      <c r="P2761" s="20" t="s">
        <v>68</v>
      </c>
      <c r="Q2761" s="20" t="s">
        <v>69</v>
      </c>
      <c r="R2761" s="20" t="s">
        <v>3888</v>
      </c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</row>
    <row r="2762">
      <c r="A2762" s="15" t="s">
        <v>9859</v>
      </c>
      <c r="B2762" s="19" t="s">
        <v>3253</v>
      </c>
      <c r="C2762" s="20">
        <v>50023.0</v>
      </c>
      <c r="D2762" s="20" t="s">
        <v>5535</v>
      </c>
      <c r="E2762" s="5">
        <v>9.19654107764E11</v>
      </c>
      <c r="F2762" s="21">
        <v>19171.0</v>
      </c>
      <c r="G2762" s="20"/>
      <c r="H2762" s="20" t="s">
        <v>5508</v>
      </c>
      <c r="I2762" s="5"/>
      <c r="J2762" s="20">
        <v>1.0</v>
      </c>
      <c r="K2762" s="20">
        <v>99.0</v>
      </c>
      <c r="L2762" s="20"/>
      <c r="M2762" s="20">
        <v>99.0</v>
      </c>
      <c r="N2762" s="5" t="s">
        <v>67</v>
      </c>
      <c r="O2762" s="20" t="b">
        <v>0</v>
      </c>
      <c r="P2762" s="20" t="s">
        <v>68</v>
      </c>
      <c r="Q2762" s="20" t="s">
        <v>69</v>
      </c>
      <c r="R2762" s="20" t="s">
        <v>5510</v>
      </c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</row>
    <row r="2763">
      <c r="A2763" s="15" t="s">
        <v>9860</v>
      </c>
      <c r="B2763" s="19" t="s">
        <v>3253</v>
      </c>
      <c r="C2763" s="20">
        <v>50047.0</v>
      </c>
      <c r="D2763" s="20" t="s">
        <v>3252</v>
      </c>
      <c r="E2763" s="5">
        <v>9.19468484432E11</v>
      </c>
      <c r="F2763" s="21">
        <v>19169.0</v>
      </c>
      <c r="G2763" s="20"/>
      <c r="H2763" s="20" t="s">
        <v>3195</v>
      </c>
      <c r="I2763" s="5"/>
      <c r="J2763" s="20">
        <v>3.0</v>
      </c>
      <c r="K2763" s="20">
        <v>199.0</v>
      </c>
      <c r="L2763" s="20"/>
      <c r="M2763" s="20">
        <v>199.0</v>
      </c>
      <c r="N2763" s="5" t="s">
        <v>67</v>
      </c>
      <c r="O2763" s="20" t="b">
        <v>0</v>
      </c>
      <c r="P2763" s="20" t="s">
        <v>68</v>
      </c>
      <c r="Q2763" s="20" t="s">
        <v>69</v>
      </c>
      <c r="R2763" s="20" t="s">
        <v>3197</v>
      </c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</row>
    <row r="2764">
      <c r="A2764" s="15" t="s">
        <v>10040</v>
      </c>
      <c r="B2764" s="19">
        <v>44202.736805555556</v>
      </c>
      <c r="C2764" s="20">
        <v>50047.0</v>
      </c>
      <c r="D2764" s="20" t="s">
        <v>3255</v>
      </c>
      <c r="E2764" s="5">
        <v>9.19567287965E11</v>
      </c>
      <c r="F2764" s="21">
        <v>19272.0</v>
      </c>
      <c r="G2764" s="20"/>
      <c r="H2764" s="20" t="s">
        <v>3195</v>
      </c>
      <c r="I2764" s="5"/>
      <c r="J2764" s="20">
        <v>3.0</v>
      </c>
      <c r="K2764" s="20">
        <v>199.0</v>
      </c>
      <c r="L2764" s="20"/>
      <c r="M2764" s="20">
        <v>199.0</v>
      </c>
      <c r="N2764" s="5" t="s">
        <v>67</v>
      </c>
      <c r="O2764" s="20" t="b">
        <v>0</v>
      </c>
      <c r="P2764" s="20" t="s">
        <v>74</v>
      </c>
      <c r="Q2764" s="20" t="s">
        <v>69</v>
      </c>
      <c r="R2764" s="20" t="s">
        <v>3197</v>
      </c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</row>
    <row r="2765">
      <c r="A2765" s="15" t="s">
        <v>10041</v>
      </c>
      <c r="B2765" s="19">
        <v>44353.33541666667</v>
      </c>
      <c r="C2765" s="20">
        <v>49833.0</v>
      </c>
      <c r="D2765" s="20" t="s">
        <v>4198</v>
      </c>
      <c r="E2765" s="5">
        <v>9.19976111404E11</v>
      </c>
      <c r="F2765" s="21">
        <v>19521.0</v>
      </c>
      <c r="G2765" s="20"/>
      <c r="H2765" s="20" t="s">
        <v>4030</v>
      </c>
      <c r="I2765" s="5"/>
      <c r="J2765" s="20">
        <v>1.0</v>
      </c>
      <c r="K2765" s="20">
        <v>99.0</v>
      </c>
      <c r="L2765" s="20"/>
      <c r="M2765" s="20">
        <v>99.0</v>
      </c>
      <c r="N2765" s="5" t="s">
        <v>67</v>
      </c>
      <c r="O2765" s="20" t="b">
        <v>0</v>
      </c>
      <c r="P2765" s="20" t="s">
        <v>151</v>
      </c>
      <c r="Q2765" s="20" t="s">
        <v>69</v>
      </c>
      <c r="R2765" s="20" t="s">
        <v>4033</v>
      </c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</row>
    <row r="2766">
      <c r="A2766" s="15" t="s">
        <v>9866</v>
      </c>
      <c r="B2766" s="19" t="s">
        <v>4836</v>
      </c>
      <c r="C2766" s="20">
        <v>49996.0</v>
      </c>
      <c r="D2766" s="20" t="s">
        <v>4835</v>
      </c>
      <c r="E2766" s="5">
        <v>9.19545249552E11</v>
      </c>
      <c r="F2766" s="21">
        <v>19197.0</v>
      </c>
      <c r="G2766" s="20"/>
      <c r="H2766" s="20" t="s">
        <v>4796</v>
      </c>
      <c r="I2766" s="5"/>
      <c r="J2766" s="20">
        <v>1.0</v>
      </c>
      <c r="K2766" s="20">
        <v>99.0</v>
      </c>
      <c r="L2766" s="20"/>
      <c r="M2766" s="20">
        <v>99.0</v>
      </c>
      <c r="N2766" s="5" t="s">
        <v>67</v>
      </c>
      <c r="O2766" s="20" t="b">
        <v>0</v>
      </c>
      <c r="P2766" s="20" t="s">
        <v>74</v>
      </c>
      <c r="Q2766" s="20" t="s">
        <v>69</v>
      </c>
      <c r="R2766" s="20" t="s">
        <v>4799</v>
      </c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</row>
    <row r="2767">
      <c r="A2767" s="15" t="s">
        <v>10050</v>
      </c>
      <c r="B2767" s="19">
        <v>44202.763194444444</v>
      </c>
      <c r="C2767" s="20">
        <v>50029.0</v>
      </c>
      <c r="D2767" s="20" t="s">
        <v>2871</v>
      </c>
      <c r="E2767" s="5">
        <v>9.19789036189E11</v>
      </c>
      <c r="F2767" s="21">
        <v>19276.0</v>
      </c>
      <c r="G2767" s="20"/>
      <c r="H2767" s="20" t="s">
        <v>2761</v>
      </c>
      <c r="I2767" s="5"/>
      <c r="J2767" s="20">
        <v>1.0</v>
      </c>
      <c r="K2767" s="20">
        <v>99.0</v>
      </c>
      <c r="L2767" s="20"/>
      <c r="M2767" s="20">
        <v>99.0</v>
      </c>
      <c r="N2767" s="5" t="s">
        <v>67</v>
      </c>
      <c r="O2767" s="20" t="b">
        <v>0</v>
      </c>
      <c r="P2767" s="20" t="s">
        <v>68</v>
      </c>
      <c r="Q2767" s="20" t="s">
        <v>69</v>
      </c>
      <c r="R2767" s="20" t="s">
        <v>2763</v>
      </c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</row>
    <row r="2768">
      <c r="A2768" s="15" t="s">
        <v>9877</v>
      </c>
      <c r="B2768" s="19" t="s">
        <v>5537</v>
      </c>
      <c r="C2768" s="20">
        <v>50023.0</v>
      </c>
      <c r="D2768" s="20" t="s">
        <v>5536</v>
      </c>
      <c r="E2768" s="5">
        <v>9.18975880003E11</v>
      </c>
      <c r="F2768" s="21">
        <v>19180.0</v>
      </c>
      <c r="G2768" s="20"/>
      <c r="H2768" s="20" t="s">
        <v>5508</v>
      </c>
      <c r="I2768" s="5"/>
      <c r="J2768" s="20">
        <v>1.0</v>
      </c>
      <c r="K2768" s="20">
        <v>99.0</v>
      </c>
      <c r="L2768" s="20"/>
      <c r="M2768" s="20">
        <v>99.0</v>
      </c>
      <c r="N2768" s="5" t="s">
        <v>67</v>
      </c>
      <c r="O2768" s="20" t="b">
        <v>0</v>
      </c>
      <c r="P2768" s="20" t="s">
        <v>68</v>
      </c>
      <c r="Q2768" s="20" t="s">
        <v>69</v>
      </c>
      <c r="R2768" s="20" t="s">
        <v>5510</v>
      </c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</row>
    <row r="2769">
      <c r="A2769" s="15" t="s">
        <v>10051</v>
      </c>
      <c r="B2769" s="19">
        <v>44202.77361111111</v>
      </c>
      <c r="C2769" s="20">
        <v>49834.0</v>
      </c>
      <c r="D2769" s="20" t="s">
        <v>3325</v>
      </c>
      <c r="E2769" s="5">
        <v>9.19827215662E11</v>
      </c>
      <c r="F2769" s="21">
        <v>19289.0</v>
      </c>
      <c r="G2769" s="20"/>
      <c r="H2769" s="20" t="s">
        <v>960</v>
      </c>
      <c r="I2769" s="5"/>
      <c r="J2769" s="20">
        <v>6.0</v>
      </c>
      <c r="K2769" s="20">
        <v>349.0</v>
      </c>
      <c r="L2769" s="20"/>
      <c r="M2769" s="20">
        <v>349.0</v>
      </c>
      <c r="N2769" s="5" t="s">
        <v>67</v>
      </c>
      <c r="O2769" s="20" t="b">
        <v>0</v>
      </c>
      <c r="P2769" s="20" t="s">
        <v>151</v>
      </c>
      <c r="Q2769" s="20" t="s">
        <v>69</v>
      </c>
      <c r="R2769" s="20" t="s">
        <v>3298</v>
      </c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</row>
    <row r="2770">
      <c r="A2770" s="15" t="s">
        <v>10052</v>
      </c>
      <c r="B2770" s="19">
        <v>44202.77361111111</v>
      </c>
      <c r="C2770" s="20">
        <v>49833.0</v>
      </c>
      <c r="D2770" s="20" t="s">
        <v>4186</v>
      </c>
      <c r="E2770" s="5">
        <v>9.18270200725E11</v>
      </c>
      <c r="F2770" s="21">
        <v>19278.0</v>
      </c>
      <c r="G2770" s="20"/>
      <c r="H2770" s="20" t="s">
        <v>4030</v>
      </c>
      <c r="I2770" s="5"/>
      <c r="J2770" s="20">
        <v>3.0</v>
      </c>
      <c r="K2770" s="20">
        <v>199.0</v>
      </c>
      <c r="L2770" s="20"/>
      <c r="M2770" s="20">
        <v>199.0</v>
      </c>
      <c r="N2770" s="5" t="s">
        <v>67</v>
      </c>
      <c r="O2770" s="20" t="b">
        <v>0</v>
      </c>
      <c r="P2770" s="20" t="s">
        <v>68</v>
      </c>
      <c r="Q2770" s="20" t="s">
        <v>69</v>
      </c>
      <c r="R2770" s="20" t="s">
        <v>4033</v>
      </c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</row>
    <row r="2771">
      <c r="A2771" s="15" t="s">
        <v>10053</v>
      </c>
      <c r="B2771" s="19">
        <v>44202.775</v>
      </c>
      <c r="C2771" s="20">
        <v>50029.0</v>
      </c>
      <c r="D2771" s="20" t="s">
        <v>2872</v>
      </c>
      <c r="E2771" s="5">
        <v>9.1861885622E11</v>
      </c>
      <c r="F2771" s="21">
        <v>19277.0</v>
      </c>
      <c r="G2771" s="20"/>
      <c r="H2771" s="20" t="s">
        <v>2761</v>
      </c>
      <c r="I2771" s="5"/>
      <c r="J2771" s="20">
        <v>1.0</v>
      </c>
      <c r="K2771" s="20">
        <v>99.0</v>
      </c>
      <c r="L2771" s="20"/>
      <c r="M2771" s="20">
        <v>99.0</v>
      </c>
      <c r="N2771" s="5" t="s">
        <v>67</v>
      </c>
      <c r="O2771" s="20" t="b">
        <v>0</v>
      </c>
      <c r="P2771" s="20" t="s">
        <v>68</v>
      </c>
      <c r="Q2771" s="20" t="s">
        <v>69</v>
      </c>
      <c r="R2771" s="20" t="s">
        <v>2763</v>
      </c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</row>
    <row r="2772">
      <c r="A2772" s="15" t="s">
        <v>9881</v>
      </c>
      <c r="B2772" s="19" t="s">
        <v>6350</v>
      </c>
      <c r="C2772" s="20">
        <v>50043.0</v>
      </c>
      <c r="D2772" s="20" t="s">
        <v>6410</v>
      </c>
      <c r="E2772" s="5">
        <v>9.19347909536E11</v>
      </c>
      <c r="F2772" s="21">
        <v>19182.0</v>
      </c>
      <c r="G2772" s="20"/>
      <c r="H2772" s="20" t="s">
        <v>6367</v>
      </c>
      <c r="I2772" s="5"/>
      <c r="J2772" s="20">
        <v>1.0</v>
      </c>
      <c r="K2772" s="20">
        <v>99.0</v>
      </c>
      <c r="L2772" s="20"/>
      <c r="M2772" s="20">
        <v>99.0</v>
      </c>
      <c r="N2772" s="5" t="s">
        <v>67</v>
      </c>
      <c r="O2772" s="20" t="b">
        <v>0</v>
      </c>
      <c r="P2772" s="20" t="s">
        <v>151</v>
      </c>
      <c r="Q2772" s="20" t="s">
        <v>69</v>
      </c>
      <c r="R2772" s="20" t="s">
        <v>6369</v>
      </c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</row>
    <row r="2773">
      <c r="A2773" s="15" t="s">
        <v>9882</v>
      </c>
      <c r="B2773" s="19" t="s">
        <v>6350</v>
      </c>
      <c r="C2773" s="20">
        <v>50044.0</v>
      </c>
      <c r="D2773" s="20" t="s">
        <v>6349</v>
      </c>
      <c r="E2773" s="5">
        <v>9.16383417717E11</v>
      </c>
      <c r="F2773" s="21">
        <v>19183.0</v>
      </c>
      <c r="G2773" s="20"/>
      <c r="H2773" s="20" t="s">
        <v>6320</v>
      </c>
      <c r="I2773" s="5"/>
      <c r="J2773" s="20">
        <v>1.0</v>
      </c>
      <c r="K2773" s="20">
        <v>349.0</v>
      </c>
      <c r="L2773" s="20"/>
      <c r="M2773" s="20">
        <v>349.0</v>
      </c>
      <c r="N2773" s="5" t="s">
        <v>67</v>
      </c>
      <c r="O2773" s="20" t="b">
        <v>0</v>
      </c>
      <c r="P2773" s="20" t="s">
        <v>68</v>
      </c>
      <c r="Q2773" s="20" t="s">
        <v>69</v>
      </c>
      <c r="R2773" s="20" t="s">
        <v>6322</v>
      </c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</row>
    <row r="2774">
      <c r="A2774" s="15" t="s">
        <v>9891</v>
      </c>
      <c r="B2774" s="19">
        <v>44292.379166666666</v>
      </c>
      <c r="C2774" s="20">
        <v>50023.0</v>
      </c>
      <c r="D2774" s="20" t="s">
        <v>5562</v>
      </c>
      <c r="E2774" s="5">
        <v>9.18668517384E11</v>
      </c>
      <c r="F2774" s="21">
        <v>19485.0</v>
      </c>
      <c r="G2774" s="20"/>
      <c r="H2774" s="20" t="s">
        <v>5508</v>
      </c>
      <c r="I2774" s="5"/>
      <c r="J2774" s="20">
        <v>1.0</v>
      </c>
      <c r="K2774" s="20">
        <v>99.0</v>
      </c>
      <c r="L2774" s="20"/>
      <c r="M2774" s="20">
        <v>99.0</v>
      </c>
      <c r="N2774" s="5" t="s">
        <v>67</v>
      </c>
      <c r="O2774" s="20" t="b">
        <v>0</v>
      </c>
      <c r="P2774" s="20" t="s">
        <v>68</v>
      </c>
      <c r="Q2774" s="20" t="s">
        <v>69</v>
      </c>
      <c r="R2774" s="20" t="s">
        <v>5510</v>
      </c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</row>
    <row r="2775">
      <c r="A2775" s="15" t="s">
        <v>10058</v>
      </c>
      <c r="B2775" s="19">
        <v>44202.825694444444</v>
      </c>
      <c r="C2775" s="20">
        <v>50043.0</v>
      </c>
      <c r="D2775" s="20" t="s">
        <v>6413</v>
      </c>
      <c r="E2775" s="5">
        <v>9.17397595985E11</v>
      </c>
      <c r="F2775" s="21">
        <v>19287.0</v>
      </c>
      <c r="G2775" s="20"/>
      <c r="H2775" s="20" t="s">
        <v>6367</v>
      </c>
      <c r="I2775" s="5"/>
      <c r="J2775" s="20">
        <v>1.0</v>
      </c>
      <c r="K2775" s="20">
        <v>99.0</v>
      </c>
      <c r="L2775" s="20"/>
      <c r="M2775" s="20">
        <v>99.0</v>
      </c>
      <c r="N2775" s="5" t="s">
        <v>67</v>
      </c>
      <c r="O2775" s="20" t="b">
        <v>0</v>
      </c>
      <c r="P2775" s="20" t="s">
        <v>68</v>
      </c>
      <c r="Q2775" s="20" t="s">
        <v>69</v>
      </c>
      <c r="R2775" s="20" t="s">
        <v>6369</v>
      </c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</row>
    <row r="2776">
      <c r="A2776" s="15" t="s">
        <v>10055</v>
      </c>
      <c r="B2776" s="19">
        <v>44202.794444444444</v>
      </c>
      <c r="C2776" s="20">
        <v>49844.0</v>
      </c>
      <c r="D2776" s="20" t="s">
        <v>5470</v>
      </c>
      <c r="E2776" s="5">
        <v>9.19686244607E11</v>
      </c>
      <c r="F2776" s="21">
        <v>19280.0</v>
      </c>
      <c r="G2776" s="20"/>
      <c r="H2776" s="20" t="s">
        <v>885</v>
      </c>
      <c r="I2776" s="5"/>
      <c r="J2776" s="20">
        <v>3.0</v>
      </c>
      <c r="K2776" s="20">
        <v>199.0</v>
      </c>
      <c r="L2776" s="20"/>
      <c r="M2776" s="20">
        <v>199.0</v>
      </c>
      <c r="N2776" s="5" t="s">
        <v>67</v>
      </c>
      <c r="O2776" s="20" t="b">
        <v>0</v>
      </c>
      <c r="P2776" s="20" t="s">
        <v>68</v>
      </c>
      <c r="Q2776" s="20" t="s">
        <v>69</v>
      </c>
      <c r="R2776" s="20" t="s">
        <v>5445</v>
      </c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</row>
    <row r="2777">
      <c r="A2777" s="15" t="s">
        <v>10054</v>
      </c>
      <c r="B2777" s="19">
        <v>44202.794444444444</v>
      </c>
      <c r="C2777" s="20">
        <v>50023.0</v>
      </c>
      <c r="D2777" s="20" t="s">
        <v>5543</v>
      </c>
      <c r="E2777" s="5">
        <v>9.18249427653E11</v>
      </c>
      <c r="F2777" s="21">
        <v>19281.0</v>
      </c>
      <c r="G2777" s="20"/>
      <c r="H2777" s="20" t="s">
        <v>5508</v>
      </c>
      <c r="I2777" s="5"/>
      <c r="J2777" s="20">
        <v>1.0</v>
      </c>
      <c r="K2777" s="20">
        <v>99.0</v>
      </c>
      <c r="L2777" s="20"/>
      <c r="M2777" s="20">
        <v>99.0</v>
      </c>
      <c r="N2777" s="5" t="s">
        <v>67</v>
      </c>
      <c r="O2777" s="20" t="b">
        <v>0</v>
      </c>
      <c r="P2777" s="20" t="s">
        <v>68</v>
      </c>
      <c r="Q2777" s="20" t="s">
        <v>69</v>
      </c>
      <c r="R2777" s="20" t="s">
        <v>5510</v>
      </c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</row>
    <row r="2778">
      <c r="A2778" s="15" t="s">
        <v>10061</v>
      </c>
      <c r="B2778" s="19">
        <v>44202.81458333333</v>
      </c>
      <c r="C2778" s="20">
        <v>49997.0</v>
      </c>
      <c r="D2778" s="20" t="s">
        <v>2541</v>
      </c>
      <c r="E2778" s="5">
        <v>9.19589937446E11</v>
      </c>
      <c r="F2778" s="21">
        <v>19283.0</v>
      </c>
      <c r="G2778" s="20"/>
      <c r="H2778" s="20" t="s">
        <v>2455</v>
      </c>
      <c r="I2778" s="5"/>
      <c r="J2778" s="20">
        <v>1.0</v>
      </c>
      <c r="K2778" s="20">
        <v>99.0</v>
      </c>
      <c r="L2778" s="20"/>
      <c r="M2778" s="20">
        <v>99.0</v>
      </c>
      <c r="N2778" s="5" t="s">
        <v>67</v>
      </c>
      <c r="O2778" s="20" t="b">
        <v>0</v>
      </c>
      <c r="P2778" s="20" t="s">
        <v>68</v>
      </c>
      <c r="Q2778" s="20" t="s">
        <v>69</v>
      </c>
      <c r="R2778" s="20" t="s">
        <v>2457</v>
      </c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</row>
    <row r="2779">
      <c r="A2779" s="15" t="s">
        <v>9892</v>
      </c>
      <c r="B2779" s="19" t="s">
        <v>5465</v>
      </c>
      <c r="C2779" s="20">
        <v>49844.0</v>
      </c>
      <c r="D2779" s="20" t="s">
        <v>5464</v>
      </c>
      <c r="E2779" s="5">
        <v>9.19027925818E11</v>
      </c>
      <c r="F2779" s="21">
        <v>19187.0</v>
      </c>
      <c r="G2779" s="20"/>
      <c r="H2779" s="20" t="s">
        <v>885</v>
      </c>
      <c r="I2779" s="5"/>
      <c r="J2779" s="20">
        <v>3.0</v>
      </c>
      <c r="K2779" s="20">
        <v>199.0</v>
      </c>
      <c r="L2779" s="20"/>
      <c r="M2779" s="20">
        <v>199.0</v>
      </c>
      <c r="N2779" s="5" t="s">
        <v>67</v>
      </c>
      <c r="O2779" s="20" t="b">
        <v>0</v>
      </c>
      <c r="P2779" s="20" t="s">
        <v>68</v>
      </c>
      <c r="Q2779" s="20" t="s">
        <v>69</v>
      </c>
      <c r="R2779" s="20" t="s">
        <v>5445</v>
      </c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</row>
    <row r="2780">
      <c r="A2780" s="15" t="s">
        <v>10063</v>
      </c>
      <c r="B2780" s="19">
        <v>44202.81805555556</v>
      </c>
      <c r="C2780" s="20">
        <v>49907.0</v>
      </c>
      <c r="D2780" s="20" t="s">
        <v>3813</v>
      </c>
      <c r="E2780" s="5">
        <v>9.19739866025E11</v>
      </c>
      <c r="F2780" s="21">
        <v>19284.0</v>
      </c>
      <c r="G2780" s="20"/>
      <c r="H2780" s="20" t="s">
        <v>587</v>
      </c>
      <c r="I2780" s="5"/>
      <c r="J2780" s="20">
        <v>1.0</v>
      </c>
      <c r="K2780" s="20">
        <v>99.0</v>
      </c>
      <c r="L2780" s="20"/>
      <c r="M2780" s="20">
        <v>99.0</v>
      </c>
      <c r="N2780" s="5" t="s">
        <v>67</v>
      </c>
      <c r="O2780" s="20" t="b">
        <v>0</v>
      </c>
      <c r="P2780" s="20" t="s">
        <v>68</v>
      </c>
      <c r="Q2780" s="20" t="s">
        <v>69</v>
      </c>
      <c r="R2780" s="20" t="s">
        <v>3774</v>
      </c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</row>
    <row r="2781">
      <c r="A2781" s="15" t="s">
        <v>9896</v>
      </c>
      <c r="B2781" s="19" t="s">
        <v>6412</v>
      </c>
      <c r="C2781" s="20">
        <v>50043.0</v>
      </c>
      <c r="D2781" s="20" t="s">
        <v>6411</v>
      </c>
      <c r="E2781" s="5">
        <v>9.19890901405E11</v>
      </c>
      <c r="F2781" s="21">
        <v>19188.0</v>
      </c>
      <c r="G2781" s="20"/>
      <c r="H2781" s="20" t="s">
        <v>6367</v>
      </c>
      <c r="I2781" s="5"/>
      <c r="J2781" s="20">
        <v>3.0</v>
      </c>
      <c r="K2781" s="20">
        <v>199.0</v>
      </c>
      <c r="L2781" s="20"/>
      <c r="M2781" s="20">
        <v>199.0</v>
      </c>
      <c r="N2781" s="5" t="s">
        <v>67</v>
      </c>
      <c r="O2781" s="20" t="b">
        <v>0</v>
      </c>
      <c r="P2781" s="20" t="s">
        <v>68</v>
      </c>
      <c r="Q2781" s="20" t="s">
        <v>69</v>
      </c>
      <c r="R2781" s="20" t="s">
        <v>6369</v>
      </c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</row>
    <row r="2782">
      <c r="A2782" s="15" t="s">
        <v>10064</v>
      </c>
      <c r="B2782" s="19">
        <v>44202.81875</v>
      </c>
      <c r="C2782" s="20">
        <v>50023.0</v>
      </c>
      <c r="D2782" s="20" t="s">
        <v>5544</v>
      </c>
      <c r="E2782" s="5">
        <v>9.1958902703E11</v>
      </c>
      <c r="F2782" s="21">
        <v>19286.0</v>
      </c>
      <c r="G2782" s="20"/>
      <c r="H2782" s="20" t="s">
        <v>5508</v>
      </c>
      <c r="I2782" s="5"/>
      <c r="J2782" s="20">
        <v>3.0</v>
      </c>
      <c r="K2782" s="20">
        <v>199.0</v>
      </c>
      <c r="L2782" s="20"/>
      <c r="M2782" s="20">
        <v>199.0</v>
      </c>
      <c r="N2782" s="5" t="s">
        <v>67</v>
      </c>
      <c r="O2782" s="20" t="b">
        <v>0</v>
      </c>
      <c r="P2782" s="20" t="s">
        <v>68</v>
      </c>
      <c r="Q2782" s="20" t="s">
        <v>69</v>
      </c>
      <c r="R2782" s="20" t="s">
        <v>5510</v>
      </c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</row>
    <row r="2783">
      <c r="A2783" s="15" t="s">
        <v>10065</v>
      </c>
      <c r="B2783" s="19">
        <v>44202.82013888889</v>
      </c>
      <c r="C2783" s="20">
        <v>50065.0</v>
      </c>
      <c r="D2783" s="20" t="s">
        <v>2680</v>
      </c>
      <c r="E2783" s="5">
        <v>9.19666730334E11</v>
      </c>
      <c r="F2783" s="21">
        <v>19285.0</v>
      </c>
      <c r="G2783" s="20"/>
      <c r="H2783" s="20" t="s">
        <v>2601</v>
      </c>
      <c r="I2783" s="5"/>
      <c r="J2783" s="20">
        <v>1.0</v>
      </c>
      <c r="K2783" s="20">
        <v>99.0</v>
      </c>
      <c r="L2783" s="20"/>
      <c r="M2783" s="20">
        <v>99.0</v>
      </c>
      <c r="N2783" s="5" t="s">
        <v>67</v>
      </c>
      <c r="O2783" s="20" t="b">
        <v>0</v>
      </c>
      <c r="P2783" s="20" t="s">
        <v>68</v>
      </c>
      <c r="Q2783" s="20" t="s">
        <v>69</v>
      </c>
      <c r="R2783" s="20" t="s">
        <v>2604</v>
      </c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</row>
    <row r="2784">
      <c r="A2784" s="15" t="s">
        <v>10066</v>
      </c>
      <c r="B2784" s="19">
        <v>44202.82013888889</v>
      </c>
      <c r="C2784" s="20">
        <v>50023.0</v>
      </c>
      <c r="D2784" s="20" t="s">
        <v>5545</v>
      </c>
      <c r="E2784" s="5">
        <v>9.19179190048E11</v>
      </c>
      <c r="F2784" s="21">
        <v>19290.0</v>
      </c>
      <c r="G2784" s="20"/>
      <c r="H2784" s="20" t="s">
        <v>5508</v>
      </c>
      <c r="I2784" s="5"/>
      <c r="J2784" s="20">
        <v>1.0</v>
      </c>
      <c r="K2784" s="20">
        <v>99.0</v>
      </c>
      <c r="L2784" s="20"/>
      <c r="M2784" s="20">
        <v>99.0</v>
      </c>
      <c r="N2784" s="5" t="s">
        <v>67</v>
      </c>
      <c r="O2784" s="20" t="b">
        <v>0</v>
      </c>
      <c r="P2784" s="20" t="s">
        <v>68</v>
      </c>
      <c r="Q2784" s="20" t="s">
        <v>69</v>
      </c>
      <c r="R2784" s="20" t="s">
        <v>5510</v>
      </c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</row>
    <row r="2785">
      <c r="A2785" s="15" t="s">
        <v>10067</v>
      </c>
      <c r="B2785" s="19">
        <v>44202.82361111111</v>
      </c>
      <c r="C2785" s="20">
        <v>49835.0</v>
      </c>
      <c r="D2785" s="20" t="s">
        <v>3925</v>
      </c>
      <c r="E2785" s="5">
        <v>9.18500203078E11</v>
      </c>
      <c r="F2785" s="21">
        <v>19288.0</v>
      </c>
      <c r="G2785" s="20"/>
      <c r="H2785" s="20" t="s">
        <v>680</v>
      </c>
      <c r="I2785" s="5"/>
      <c r="J2785" s="20">
        <v>3.0</v>
      </c>
      <c r="K2785" s="20">
        <v>199.0</v>
      </c>
      <c r="L2785" s="20"/>
      <c r="M2785" s="20">
        <v>199.0</v>
      </c>
      <c r="N2785" s="5" t="s">
        <v>67</v>
      </c>
      <c r="O2785" s="20" t="b">
        <v>0</v>
      </c>
      <c r="P2785" s="20" t="s">
        <v>68</v>
      </c>
      <c r="Q2785" s="20" t="s">
        <v>69</v>
      </c>
      <c r="R2785" s="20" t="s">
        <v>3888</v>
      </c>
      <c r="T2785" s="20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</row>
    <row r="2786">
      <c r="A2786" s="15" t="s">
        <v>9897</v>
      </c>
      <c r="B2786" s="19" t="s">
        <v>5040</v>
      </c>
      <c r="C2786" s="20">
        <v>50094.0</v>
      </c>
      <c r="D2786" s="20" t="s">
        <v>5039</v>
      </c>
      <c r="E2786" s="5">
        <v>9.17999549481E11</v>
      </c>
      <c r="F2786" s="21">
        <v>19189.0</v>
      </c>
      <c r="G2786" s="20"/>
      <c r="H2786" s="20" t="s">
        <v>4942</v>
      </c>
      <c r="I2786" s="5"/>
      <c r="J2786" s="20">
        <v>1.0</v>
      </c>
      <c r="K2786" s="20">
        <v>199.0</v>
      </c>
      <c r="L2786" s="20"/>
      <c r="M2786" s="20">
        <v>199.0</v>
      </c>
      <c r="N2786" s="5" t="s">
        <v>67</v>
      </c>
      <c r="O2786" s="20" t="b">
        <v>0</v>
      </c>
      <c r="P2786" s="20" t="s">
        <v>68</v>
      </c>
      <c r="Q2786" s="20" t="s">
        <v>69</v>
      </c>
      <c r="R2786" s="20" t="s">
        <v>4945</v>
      </c>
      <c r="T2786" s="20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</row>
    <row r="2787">
      <c r="A2787" s="15" t="s">
        <v>9899</v>
      </c>
      <c r="B2787" s="19" t="s">
        <v>4480</v>
      </c>
      <c r="C2787" s="20">
        <v>50052.0</v>
      </c>
      <c r="D2787" s="20" t="s">
        <v>4479</v>
      </c>
      <c r="E2787" s="5">
        <v>9.19647944822E11</v>
      </c>
      <c r="F2787" s="21">
        <v>19190.0</v>
      </c>
      <c r="G2787" s="20"/>
      <c r="H2787" s="20" t="s">
        <v>4433</v>
      </c>
      <c r="I2787" s="5"/>
      <c r="J2787" s="20">
        <v>1.0</v>
      </c>
      <c r="K2787" s="20">
        <v>99.0</v>
      </c>
      <c r="L2787" s="20"/>
      <c r="M2787" s="20">
        <v>99.0</v>
      </c>
      <c r="N2787" s="5" t="s">
        <v>67</v>
      </c>
      <c r="O2787" s="20" t="b">
        <v>0</v>
      </c>
      <c r="P2787" s="20" t="s">
        <v>68</v>
      </c>
      <c r="Q2787" s="20" t="s">
        <v>69</v>
      </c>
      <c r="R2787" s="20" t="s">
        <v>4435</v>
      </c>
      <c r="T2787" s="20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</row>
    <row r="2788">
      <c r="A2788" s="15" t="s">
        <v>9900</v>
      </c>
      <c r="B2788" s="19" t="s">
        <v>5539</v>
      </c>
      <c r="C2788" s="20">
        <v>50023.0</v>
      </c>
      <c r="D2788" s="20" t="s">
        <v>5538</v>
      </c>
      <c r="E2788" s="5">
        <v>9.18373944108E11</v>
      </c>
      <c r="F2788" s="21">
        <v>19191.0</v>
      </c>
      <c r="G2788" s="20"/>
      <c r="H2788" s="20" t="s">
        <v>5508</v>
      </c>
      <c r="I2788" s="5"/>
      <c r="J2788" s="20">
        <v>1.0</v>
      </c>
      <c r="K2788" s="20">
        <v>99.0</v>
      </c>
      <c r="L2788" s="20"/>
      <c r="M2788" s="20">
        <v>99.0</v>
      </c>
      <c r="N2788" s="5" t="s">
        <v>67</v>
      </c>
      <c r="O2788" s="20" t="b">
        <v>0</v>
      </c>
      <c r="P2788" s="20" t="s">
        <v>68</v>
      </c>
      <c r="Q2788" s="20" t="s">
        <v>69</v>
      </c>
      <c r="R2788" s="20" t="s">
        <v>5510</v>
      </c>
      <c r="T2788" s="20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</row>
    <row r="2789">
      <c r="A2789" s="15" t="s">
        <v>10069</v>
      </c>
      <c r="B2789" s="19">
        <v>44202.84861111111</v>
      </c>
      <c r="C2789" s="20">
        <v>50073.0</v>
      </c>
      <c r="D2789" s="20" t="s">
        <v>6555</v>
      </c>
      <c r="E2789" s="5">
        <v>9.19780467958E11</v>
      </c>
      <c r="F2789" s="21">
        <v>17880.0</v>
      </c>
      <c r="G2789" s="20"/>
      <c r="H2789" s="20" t="s">
        <v>2161</v>
      </c>
      <c r="I2789" s="5"/>
      <c r="J2789" s="20">
        <v>1.0</v>
      </c>
      <c r="K2789" s="20">
        <v>599.0</v>
      </c>
      <c r="L2789" s="20"/>
      <c r="M2789" s="20">
        <v>599.0</v>
      </c>
      <c r="N2789" s="5" t="s">
        <v>67</v>
      </c>
      <c r="O2789" s="20" t="b">
        <v>0</v>
      </c>
      <c r="P2789" s="20" t="s">
        <v>68</v>
      </c>
      <c r="Q2789" s="20" t="s">
        <v>69</v>
      </c>
      <c r="R2789" s="20" t="s">
        <v>6497</v>
      </c>
      <c r="T2789" s="20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</row>
    <row r="2790">
      <c r="A2790" s="15" t="s">
        <v>9902</v>
      </c>
      <c r="B2790" s="19" t="s">
        <v>3808</v>
      </c>
      <c r="C2790" s="20">
        <v>49907.0</v>
      </c>
      <c r="D2790" s="20" t="s">
        <v>3807</v>
      </c>
      <c r="E2790" s="5">
        <v>9.18618457461E11</v>
      </c>
      <c r="F2790" s="21">
        <v>19198.0</v>
      </c>
      <c r="G2790" s="20"/>
      <c r="H2790" s="20" t="s">
        <v>587</v>
      </c>
      <c r="I2790" s="5"/>
      <c r="J2790" s="20">
        <v>1.0</v>
      </c>
      <c r="K2790" s="20">
        <v>99.0</v>
      </c>
      <c r="L2790" s="20"/>
      <c r="M2790" s="20">
        <v>99.0</v>
      </c>
      <c r="N2790" s="5" t="s">
        <v>67</v>
      </c>
      <c r="O2790" s="20" t="b">
        <v>0</v>
      </c>
      <c r="P2790" s="20" t="s">
        <v>68</v>
      </c>
      <c r="Q2790" s="20" t="s">
        <v>69</v>
      </c>
      <c r="R2790" s="20" t="s">
        <v>3774</v>
      </c>
      <c r="T2790" s="20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</row>
    <row r="2791">
      <c r="A2791" s="15" t="s">
        <v>9898</v>
      </c>
      <c r="B2791" s="19" t="s">
        <v>6643</v>
      </c>
      <c r="C2791" s="20">
        <v>49994.0</v>
      </c>
      <c r="D2791" s="20" t="s">
        <v>6642</v>
      </c>
      <c r="E2791" s="5">
        <v>9.18328179113E11</v>
      </c>
      <c r="F2791" s="21">
        <v>19192.0</v>
      </c>
      <c r="G2791" s="20"/>
      <c r="H2791" s="20" t="s">
        <v>1264</v>
      </c>
      <c r="I2791" s="5"/>
      <c r="J2791" s="20">
        <v>1.0</v>
      </c>
      <c r="K2791" s="20">
        <v>99.0</v>
      </c>
      <c r="L2791" s="20"/>
      <c r="M2791" s="20">
        <v>99.0</v>
      </c>
      <c r="N2791" s="5" t="s">
        <v>67</v>
      </c>
      <c r="O2791" s="20" t="b">
        <v>0</v>
      </c>
      <c r="P2791" s="20" t="s">
        <v>68</v>
      </c>
      <c r="Q2791" s="20" t="s">
        <v>69</v>
      </c>
      <c r="R2791" s="20" t="s">
        <v>6615</v>
      </c>
      <c r="T2791" s="20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</row>
    <row r="2792">
      <c r="A2792" s="15" t="s">
        <v>9905</v>
      </c>
      <c r="B2792" s="19" t="s">
        <v>2536</v>
      </c>
      <c r="C2792" s="20">
        <v>49997.0</v>
      </c>
      <c r="D2792" s="20" t="s">
        <v>2535</v>
      </c>
      <c r="E2792" s="5">
        <v>9.18968324069E11</v>
      </c>
      <c r="F2792" s="21">
        <v>19195.0</v>
      </c>
      <c r="G2792" s="20"/>
      <c r="H2792" s="20" t="s">
        <v>2455</v>
      </c>
      <c r="I2792" s="5"/>
      <c r="J2792" s="20">
        <v>1.0</v>
      </c>
      <c r="K2792" s="20">
        <v>99.0</v>
      </c>
      <c r="L2792" s="20"/>
      <c r="M2792" s="20">
        <v>99.0</v>
      </c>
      <c r="N2792" s="5" t="s">
        <v>67</v>
      </c>
      <c r="O2792" s="20" t="b">
        <v>0</v>
      </c>
      <c r="P2792" s="20" t="s">
        <v>68</v>
      </c>
      <c r="Q2792" s="20" t="s">
        <v>69</v>
      </c>
      <c r="R2792" s="20" t="s">
        <v>2457</v>
      </c>
      <c r="T2792" s="20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</row>
    <row r="2793">
      <c r="A2793" s="15" t="s">
        <v>10077</v>
      </c>
      <c r="B2793" s="19">
        <v>44445.97777777778</v>
      </c>
      <c r="C2793" s="20">
        <v>49996.0</v>
      </c>
      <c r="D2793" s="20" t="s">
        <v>4851</v>
      </c>
      <c r="E2793" s="5">
        <v>9.19881313175E11</v>
      </c>
      <c r="F2793" s="21">
        <v>19761.0</v>
      </c>
      <c r="G2793" s="20"/>
      <c r="H2793" s="20" t="s">
        <v>4796</v>
      </c>
      <c r="I2793" s="5"/>
      <c r="J2793" s="20">
        <v>1.0</v>
      </c>
      <c r="K2793" s="20">
        <v>99.0</v>
      </c>
      <c r="L2793" s="20"/>
      <c r="M2793" s="20">
        <v>99.0</v>
      </c>
      <c r="N2793" s="5" t="s">
        <v>67</v>
      </c>
      <c r="O2793" s="20" t="b">
        <v>0</v>
      </c>
      <c r="P2793" s="20" t="s">
        <v>68</v>
      </c>
      <c r="Q2793" s="20" t="s">
        <v>69</v>
      </c>
      <c r="R2793" s="20" t="s">
        <v>4799</v>
      </c>
      <c r="T2793" s="20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</row>
    <row r="2794">
      <c r="A2794" s="15" t="s">
        <v>9906</v>
      </c>
      <c r="B2794" s="19" t="s">
        <v>5278</v>
      </c>
      <c r="C2794" s="20">
        <v>50022.0</v>
      </c>
      <c r="D2794" s="20" t="s">
        <v>5277</v>
      </c>
      <c r="E2794" s="5">
        <v>9.18840986632E11</v>
      </c>
      <c r="F2794" s="21">
        <v>0.0</v>
      </c>
      <c r="G2794" s="20"/>
      <c r="H2794" s="20" t="s">
        <v>5181</v>
      </c>
      <c r="I2794" s="5"/>
      <c r="J2794" s="20">
        <v>1.0</v>
      </c>
      <c r="K2794" s="20">
        <v>99.0</v>
      </c>
      <c r="L2794" s="20"/>
      <c r="M2794" s="20">
        <v>99.0</v>
      </c>
      <c r="N2794" s="5" t="s">
        <v>67</v>
      </c>
      <c r="O2794" s="20" t="b">
        <v>0</v>
      </c>
      <c r="P2794" s="20" t="s">
        <v>68</v>
      </c>
      <c r="Q2794" s="20" t="s">
        <v>69</v>
      </c>
      <c r="R2794" s="20" t="s">
        <v>5183</v>
      </c>
      <c r="T2794" s="20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</row>
    <row r="2795">
      <c r="A2795" s="15" t="s">
        <v>10078</v>
      </c>
      <c r="B2795" s="19">
        <v>44202.88888888889</v>
      </c>
      <c r="C2795" s="20">
        <v>49859.0</v>
      </c>
      <c r="D2795" s="20" t="s">
        <v>4729</v>
      </c>
      <c r="E2795" s="5">
        <v>9.1880198022E11</v>
      </c>
      <c r="F2795" s="21">
        <v>19292.0</v>
      </c>
      <c r="G2795" s="20"/>
      <c r="H2795" s="20" t="s">
        <v>1133</v>
      </c>
      <c r="I2795" s="5"/>
      <c r="J2795" s="20">
        <v>1.0</v>
      </c>
      <c r="K2795" s="20">
        <v>99.0</v>
      </c>
      <c r="L2795" s="20"/>
      <c r="M2795" s="20">
        <v>99.0</v>
      </c>
      <c r="N2795" s="5" t="s">
        <v>67</v>
      </c>
      <c r="O2795" s="20" t="b">
        <v>0</v>
      </c>
      <c r="P2795" s="20" t="s">
        <v>74</v>
      </c>
      <c r="Q2795" s="20" t="s">
        <v>69</v>
      </c>
      <c r="R2795" s="20" t="s">
        <v>4620</v>
      </c>
      <c r="T2795" s="20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</row>
    <row r="2796">
      <c r="A2796" s="15" t="s">
        <v>9910</v>
      </c>
      <c r="B2796" s="19" t="s">
        <v>6553</v>
      </c>
      <c r="C2796" s="20">
        <v>50073.0</v>
      </c>
      <c r="D2796" s="20" t="s">
        <v>6552</v>
      </c>
      <c r="E2796" s="5">
        <v>9.19042385242E11</v>
      </c>
      <c r="F2796" s="21">
        <v>3203.0</v>
      </c>
      <c r="G2796" s="20"/>
      <c r="H2796" s="20" t="s">
        <v>2161</v>
      </c>
      <c r="I2796" s="5"/>
      <c r="J2796" s="20">
        <v>1.0</v>
      </c>
      <c r="K2796" s="20">
        <v>799.0</v>
      </c>
      <c r="L2796" s="20"/>
      <c r="M2796" s="20">
        <v>799.0</v>
      </c>
      <c r="N2796" s="5" t="s">
        <v>67</v>
      </c>
      <c r="O2796" s="20" t="b">
        <v>0</v>
      </c>
      <c r="P2796" s="20" t="s">
        <v>74</v>
      </c>
      <c r="Q2796" s="20" t="s">
        <v>69</v>
      </c>
      <c r="R2796" s="20" t="s">
        <v>6497</v>
      </c>
      <c r="T2796" s="20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</row>
    <row r="2797">
      <c r="A2797" s="15" t="s">
        <v>10079</v>
      </c>
      <c r="B2797" s="19">
        <v>44202.89375</v>
      </c>
      <c r="C2797" s="20">
        <v>50023.0</v>
      </c>
      <c r="D2797" s="20" t="s">
        <v>5546</v>
      </c>
      <c r="E2797" s="5">
        <v>9.18233680989E11</v>
      </c>
      <c r="F2797" s="21">
        <v>19293.0</v>
      </c>
      <c r="G2797" s="20"/>
      <c r="H2797" s="20" t="s">
        <v>5508</v>
      </c>
      <c r="I2797" s="5"/>
      <c r="J2797" s="20">
        <v>1.0</v>
      </c>
      <c r="K2797" s="20">
        <v>99.0</v>
      </c>
      <c r="L2797" s="20"/>
      <c r="M2797" s="20">
        <v>99.0</v>
      </c>
      <c r="N2797" s="5" t="s">
        <v>67</v>
      </c>
      <c r="O2797" s="20" t="b">
        <v>0</v>
      </c>
      <c r="P2797" s="20" t="s">
        <v>68</v>
      </c>
      <c r="Q2797" s="20" t="s">
        <v>69</v>
      </c>
      <c r="R2797" s="20" t="s">
        <v>5510</v>
      </c>
      <c r="T2797" s="20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</row>
    <row r="2798">
      <c r="A2798" s="15" t="s">
        <v>9911</v>
      </c>
      <c r="B2798" s="19" t="s">
        <v>2676</v>
      </c>
      <c r="C2798" s="20">
        <v>50065.0</v>
      </c>
      <c r="D2798" s="20" t="s">
        <v>2675</v>
      </c>
      <c r="E2798" s="5">
        <v>9.19634064495E11</v>
      </c>
      <c r="F2798" s="22" t="s">
        <v>12593</v>
      </c>
      <c r="G2798" s="20"/>
      <c r="H2798" s="20" t="s">
        <v>2601</v>
      </c>
      <c r="I2798" s="5"/>
      <c r="J2798" s="20">
        <v>1.0</v>
      </c>
      <c r="K2798" s="20">
        <v>99.0</v>
      </c>
      <c r="L2798" s="20"/>
      <c r="M2798" s="20">
        <v>99.0</v>
      </c>
      <c r="N2798" s="5" t="s">
        <v>67</v>
      </c>
      <c r="O2798" s="20" t="b">
        <v>0</v>
      </c>
      <c r="P2798" s="20" t="s">
        <v>68</v>
      </c>
      <c r="Q2798" s="20" t="s">
        <v>69</v>
      </c>
      <c r="R2798" s="20" t="s">
        <v>2604</v>
      </c>
      <c r="T2798" s="20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</row>
    <row r="2799">
      <c r="A2799" s="15" t="s">
        <v>10074</v>
      </c>
      <c r="B2799" s="19">
        <v>44202.879166666666</v>
      </c>
      <c r="C2799" s="20">
        <v>49907.0</v>
      </c>
      <c r="D2799" s="20" t="s">
        <v>3814</v>
      </c>
      <c r="E2799" s="5">
        <v>9.18553590469E11</v>
      </c>
      <c r="F2799" s="21">
        <v>19291.0</v>
      </c>
      <c r="G2799" s="20"/>
      <c r="H2799" s="20" t="s">
        <v>587</v>
      </c>
      <c r="I2799" s="5"/>
      <c r="J2799" s="20">
        <v>1.0</v>
      </c>
      <c r="K2799" s="20">
        <v>99.0</v>
      </c>
      <c r="L2799" s="20"/>
      <c r="M2799" s="20">
        <v>99.0</v>
      </c>
      <c r="N2799" s="5" t="s">
        <v>67</v>
      </c>
      <c r="O2799" s="20" t="b">
        <v>0</v>
      </c>
      <c r="P2799" s="20" t="s">
        <v>68</v>
      </c>
      <c r="Q2799" s="20" t="s">
        <v>69</v>
      </c>
      <c r="R2799" s="20" t="s">
        <v>3774</v>
      </c>
      <c r="T2799" s="20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</row>
    <row r="2800">
      <c r="A2800" s="15" t="s">
        <v>10080</v>
      </c>
      <c r="B2800" s="19">
        <v>44202.89722222222</v>
      </c>
      <c r="C2800" s="20">
        <v>50031.0</v>
      </c>
      <c r="D2800" s="20" t="s">
        <v>1448</v>
      </c>
      <c r="E2800" s="5">
        <v>9.19769200933E11</v>
      </c>
      <c r="F2800" s="21">
        <v>17210.0</v>
      </c>
      <c r="G2800" s="20"/>
      <c r="H2800" s="20" t="s">
        <v>4561</v>
      </c>
      <c r="I2800" s="5"/>
      <c r="J2800" s="20">
        <v>1.0</v>
      </c>
      <c r="K2800" s="20">
        <v>599.0</v>
      </c>
      <c r="L2800" s="20"/>
      <c r="M2800" s="20">
        <v>599.0</v>
      </c>
      <c r="N2800" s="5" t="s">
        <v>67</v>
      </c>
      <c r="O2800" s="20" t="b">
        <v>0</v>
      </c>
      <c r="P2800" s="20" t="s">
        <v>68</v>
      </c>
      <c r="Q2800" s="20" t="s">
        <v>69</v>
      </c>
      <c r="R2800" s="20" t="s">
        <v>4563</v>
      </c>
      <c r="T2800" s="20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</row>
    <row r="2801">
      <c r="A2801" s="15" t="s">
        <v>9914</v>
      </c>
      <c r="B2801" s="19" t="s">
        <v>5467</v>
      </c>
      <c r="C2801" s="20">
        <v>49844.0</v>
      </c>
      <c r="D2801" s="20" t="s">
        <v>5466</v>
      </c>
      <c r="E2801" s="5">
        <v>9.19664778552E11</v>
      </c>
      <c r="F2801" s="21">
        <v>19199.0</v>
      </c>
      <c r="G2801" s="20"/>
      <c r="H2801" s="20" t="s">
        <v>885</v>
      </c>
      <c r="I2801" s="5"/>
      <c r="J2801" s="20">
        <v>1.0</v>
      </c>
      <c r="K2801" s="20">
        <v>99.0</v>
      </c>
      <c r="L2801" s="20"/>
      <c r="M2801" s="20">
        <v>99.0</v>
      </c>
      <c r="N2801" s="5" t="s">
        <v>67</v>
      </c>
      <c r="O2801" s="20" t="b">
        <v>0</v>
      </c>
      <c r="P2801" s="20" t="s">
        <v>68</v>
      </c>
      <c r="Q2801" s="20" t="s">
        <v>69</v>
      </c>
      <c r="R2801" s="20" t="s">
        <v>5445</v>
      </c>
      <c r="T2801" s="20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</row>
    <row r="2802">
      <c r="A2802" s="15" t="s">
        <v>9915</v>
      </c>
      <c r="B2802" s="19" t="s">
        <v>3810</v>
      </c>
      <c r="C2802" s="20">
        <v>49907.0</v>
      </c>
      <c r="D2802" s="20" t="s">
        <v>3809</v>
      </c>
      <c r="E2802" s="5">
        <v>9.18939965678E11</v>
      </c>
      <c r="F2802" s="21">
        <v>19200.0</v>
      </c>
      <c r="G2802" s="20"/>
      <c r="H2802" s="20" t="s">
        <v>587</v>
      </c>
      <c r="I2802" s="5"/>
      <c r="J2802" s="20">
        <v>6.0</v>
      </c>
      <c r="K2802" s="20">
        <v>349.0</v>
      </c>
      <c r="L2802" s="20"/>
      <c r="M2802" s="20">
        <v>349.0</v>
      </c>
      <c r="N2802" s="5" t="s">
        <v>67</v>
      </c>
      <c r="O2802" s="20" t="b">
        <v>0</v>
      </c>
      <c r="P2802" s="20" t="s">
        <v>68</v>
      </c>
      <c r="Q2802" s="20" t="s">
        <v>69</v>
      </c>
      <c r="R2802" s="20" t="s">
        <v>3774</v>
      </c>
      <c r="T2802" s="20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</row>
    <row r="2803">
      <c r="A2803" s="15" t="s">
        <v>9916</v>
      </c>
      <c r="B2803" s="19" t="s">
        <v>2538</v>
      </c>
      <c r="C2803" s="20">
        <v>49997.0</v>
      </c>
      <c r="D2803" s="20" t="s">
        <v>2537</v>
      </c>
      <c r="E2803" s="5">
        <v>9.18762383152E11</v>
      </c>
      <c r="F2803" s="21">
        <v>19202.0</v>
      </c>
      <c r="G2803" s="20"/>
      <c r="H2803" s="20" t="s">
        <v>2455</v>
      </c>
      <c r="I2803" s="5"/>
      <c r="J2803" s="20">
        <v>1.0</v>
      </c>
      <c r="K2803" s="20">
        <v>99.0</v>
      </c>
      <c r="L2803" s="20"/>
      <c r="M2803" s="20">
        <v>99.0</v>
      </c>
      <c r="N2803" s="5" t="s">
        <v>67</v>
      </c>
      <c r="O2803" s="20" t="b">
        <v>0</v>
      </c>
      <c r="P2803" s="20" t="s">
        <v>74</v>
      </c>
      <c r="Q2803" s="20" t="s">
        <v>69</v>
      </c>
      <c r="R2803" s="20" t="s">
        <v>2457</v>
      </c>
      <c r="T2803" s="20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</row>
    <row r="2804">
      <c r="A2804" s="15" t="s">
        <v>9917</v>
      </c>
      <c r="B2804" s="19" t="s">
        <v>6137</v>
      </c>
      <c r="C2804" s="20">
        <v>50076.0</v>
      </c>
      <c r="D2804" s="20" t="s">
        <v>6136</v>
      </c>
      <c r="E2804" s="5">
        <v>9.19899808957E11</v>
      </c>
      <c r="F2804" s="21">
        <v>19201.0</v>
      </c>
      <c r="G2804" s="20"/>
      <c r="H2804" s="20" t="s">
        <v>5984</v>
      </c>
      <c r="I2804" s="5"/>
      <c r="J2804" s="20">
        <v>1.0</v>
      </c>
      <c r="K2804" s="20">
        <v>199.0</v>
      </c>
      <c r="L2804" s="20"/>
      <c r="M2804" s="20">
        <v>199.0</v>
      </c>
      <c r="N2804" s="5" t="s">
        <v>67</v>
      </c>
      <c r="O2804" s="20" t="b">
        <v>0</v>
      </c>
      <c r="P2804" s="20" t="s">
        <v>68</v>
      </c>
      <c r="Q2804" s="20" t="s">
        <v>69</v>
      </c>
      <c r="R2804" s="20" t="s">
        <v>5987</v>
      </c>
      <c r="T2804" s="20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</row>
    <row r="2805">
      <c r="A2805" s="15" t="s">
        <v>9918</v>
      </c>
      <c r="B2805" s="19" t="s">
        <v>3478</v>
      </c>
      <c r="C2805" s="20">
        <v>50030.0</v>
      </c>
      <c r="D2805" s="20" t="s">
        <v>3477</v>
      </c>
      <c r="E2805" s="5">
        <v>9.17683879897E11</v>
      </c>
      <c r="F2805" s="21">
        <v>19203.0</v>
      </c>
      <c r="G2805" s="20"/>
      <c r="H2805" s="20" t="s">
        <v>3326</v>
      </c>
      <c r="I2805" s="5"/>
      <c r="J2805" s="20">
        <v>6.0</v>
      </c>
      <c r="K2805" s="20">
        <v>349.0</v>
      </c>
      <c r="L2805" s="20"/>
      <c r="M2805" s="20">
        <v>349.0</v>
      </c>
      <c r="N2805" s="5" t="s">
        <v>67</v>
      </c>
      <c r="O2805" s="20" t="b">
        <v>0</v>
      </c>
      <c r="P2805" s="20" t="s">
        <v>74</v>
      </c>
      <c r="Q2805" s="20" t="s">
        <v>69</v>
      </c>
      <c r="R2805" s="20" t="s">
        <v>3328</v>
      </c>
      <c r="T2805" s="20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</row>
    <row r="2806">
      <c r="A2806" s="15" t="s">
        <v>10096</v>
      </c>
      <c r="B2806" s="19">
        <v>44202.924305555556</v>
      </c>
      <c r="C2806" s="20">
        <v>50030.0</v>
      </c>
      <c r="D2806" s="20" t="s">
        <v>3480</v>
      </c>
      <c r="E2806" s="5">
        <v>9.17337464892E11</v>
      </c>
      <c r="F2806" s="22" t="s">
        <v>12593</v>
      </c>
      <c r="G2806" s="20"/>
      <c r="H2806" s="20" t="s">
        <v>3326</v>
      </c>
      <c r="I2806" s="5"/>
      <c r="J2806" s="20">
        <v>3.0</v>
      </c>
      <c r="K2806" s="20">
        <v>199.0</v>
      </c>
      <c r="L2806" s="20"/>
      <c r="M2806" s="20">
        <v>199.0</v>
      </c>
      <c r="N2806" s="5" t="s">
        <v>67</v>
      </c>
      <c r="O2806" s="20" t="b">
        <v>0</v>
      </c>
      <c r="P2806" s="20" t="s">
        <v>68</v>
      </c>
      <c r="Q2806" s="20" t="s">
        <v>69</v>
      </c>
      <c r="R2806" s="20" t="s">
        <v>3328</v>
      </c>
      <c r="T2806" s="20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</row>
    <row r="2807">
      <c r="A2807" s="15" t="s">
        <v>10081</v>
      </c>
      <c r="B2807" s="19">
        <v>44202.90625</v>
      </c>
      <c r="C2807" s="20">
        <v>49859.0</v>
      </c>
      <c r="D2807" s="20" t="s">
        <v>4730</v>
      </c>
      <c r="E2807" s="5">
        <v>9.19666025084E11</v>
      </c>
      <c r="F2807" s="21">
        <v>19295.0</v>
      </c>
      <c r="G2807" s="20"/>
      <c r="H2807" s="20" t="s">
        <v>1133</v>
      </c>
      <c r="I2807" s="5"/>
      <c r="J2807" s="20">
        <v>1.0</v>
      </c>
      <c r="K2807" s="20">
        <v>99.0</v>
      </c>
      <c r="L2807" s="20"/>
      <c r="M2807" s="20">
        <v>99.0</v>
      </c>
      <c r="N2807" s="5" t="s">
        <v>67</v>
      </c>
      <c r="O2807" s="20" t="b">
        <v>0</v>
      </c>
      <c r="P2807" s="20" t="s">
        <v>68</v>
      </c>
      <c r="Q2807" s="20" t="s">
        <v>69</v>
      </c>
      <c r="R2807" s="20" t="s">
        <v>4620</v>
      </c>
      <c r="T2807" s="20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</row>
    <row r="2808">
      <c r="A2808" s="15" t="s">
        <v>10082</v>
      </c>
      <c r="B2808" s="19">
        <v>44202.90694444445</v>
      </c>
      <c r="C2808" s="20">
        <v>50023.0</v>
      </c>
      <c r="D2808" s="20" t="s">
        <v>5547</v>
      </c>
      <c r="E2808" s="5">
        <v>9.17780975456E11</v>
      </c>
      <c r="F2808" s="21">
        <v>19294.0</v>
      </c>
      <c r="G2808" s="20"/>
      <c r="H2808" s="20" t="s">
        <v>5508</v>
      </c>
      <c r="I2808" s="5"/>
      <c r="J2808" s="20">
        <v>1.0</v>
      </c>
      <c r="K2808" s="20">
        <v>99.0</v>
      </c>
      <c r="L2808" s="20"/>
      <c r="M2808" s="20">
        <v>99.0</v>
      </c>
      <c r="N2808" s="5" t="s">
        <v>67</v>
      </c>
      <c r="O2808" s="20" t="b">
        <v>0</v>
      </c>
      <c r="P2808" s="20" t="s">
        <v>68</v>
      </c>
      <c r="Q2808" s="20" t="s">
        <v>69</v>
      </c>
      <c r="R2808" s="20" t="s">
        <v>5510</v>
      </c>
      <c r="T2808" s="20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</row>
    <row r="2809">
      <c r="A2809" s="15" t="s">
        <v>9920</v>
      </c>
      <c r="B2809" s="19" t="s">
        <v>4482</v>
      </c>
      <c r="C2809" s="20">
        <v>50052.0</v>
      </c>
      <c r="D2809" s="20" t="s">
        <v>4481</v>
      </c>
      <c r="E2809" s="5">
        <v>9.19113675732E11</v>
      </c>
      <c r="F2809" s="21">
        <v>19204.0</v>
      </c>
      <c r="G2809" s="20"/>
      <c r="H2809" s="20" t="s">
        <v>4433</v>
      </c>
      <c r="I2809" s="5"/>
      <c r="J2809" s="20">
        <v>1.0</v>
      </c>
      <c r="K2809" s="20">
        <v>99.0</v>
      </c>
      <c r="L2809" s="20"/>
      <c r="M2809" s="20">
        <v>99.0</v>
      </c>
      <c r="N2809" s="5" t="s">
        <v>67</v>
      </c>
      <c r="O2809" s="20" t="b">
        <v>0</v>
      </c>
      <c r="P2809" s="20" t="s">
        <v>68</v>
      </c>
      <c r="Q2809" s="20" t="s">
        <v>69</v>
      </c>
      <c r="R2809" s="20" t="s">
        <v>4435</v>
      </c>
      <c r="T2809" s="20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</row>
    <row r="2810">
      <c r="A2810" s="15" t="s">
        <v>10083</v>
      </c>
      <c r="B2810" s="19">
        <v>44202.90972222222</v>
      </c>
      <c r="C2810" s="20">
        <v>50022.0</v>
      </c>
      <c r="D2810" s="20" t="s">
        <v>5279</v>
      </c>
      <c r="E2810" s="5">
        <v>9.19971981649E11</v>
      </c>
      <c r="F2810" s="21">
        <v>19297.0</v>
      </c>
      <c r="G2810" s="20"/>
      <c r="H2810" s="20" t="s">
        <v>5181</v>
      </c>
      <c r="I2810" s="5"/>
      <c r="J2810" s="20">
        <v>1.0</v>
      </c>
      <c r="K2810" s="20">
        <v>99.0</v>
      </c>
      <c r="L2810" s="20"/>
      <c r="M2810" s="20">
        <v>99.0</v>
      </c>
      <c r="N2810" s="5" t="s">
        <v>67</v>
      </c>
      <c r="O2810" s="20" t="b">
        <v>0</v>
      </c>
      <c r="P2810" s="20" t="s">
        <v>68</v>
      </c>
      <c r="Q2810" s="20" t="s">
        <v>69</v>
      </c>
      <c r="R2810" s="20" t="s">
        <v>5183</v>
      </c>
      <c r="T2810" s="20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</row>
    <row r="2811">
      <c r="A2811" s="15" t="s">
        <v>9921</v>
      </c>
      <c r="B2811" s="19" t="s">
        <v>5911</v>
      </c>
      <c r="C2811" s="20">
        <v>50054.0</v>
      </c>
      <c r="D2811" s="20" t="s">
        <v>5910</v>
      </c>
      <c r="E2811" s="5">
        <v>9.18606421106E11</v>
      </c>
      <c r="F2811" s="21">
        <v>19205.0</v>
      </c>
      <c r="G2811" s="20"/>
      <c r="H2811" s="20" t="s">
        <v>5822</v>
      </c>
      <c r="I2811" s="5"/>
      <c r="J2811" s="20">
        <v>1.0</v>
      </c>
      <c r="K2811" s="20">
        <v>99.0</v>
      </c>
      <c r="L2811" s="20"/>
      <c r="M2811" s="20">
        <v>99.0</v>
      </c>
      <c r="N2811" s="5" t="s">
        <v>67</v>
      </c>
      <c r="O2811" s="20" t="b">
        <v>0</v>
      </c>
      <c r="P2811" s="20" t="s">
        <v>68</v>
      </c>
      <c r="Q2811" s="20" t="s">
        <v>69</v>
      </c>
      <c r="R2811" s="20" t="s">
        <v>5824</v>
      </c>
      <c r="T2811" s="20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</row>
    <row r="2812">
      <c r="A2812" s="15" t="s">
        <v>10090</v>
      </c>
      <c r="B2812" s="19">
        <v>44202.915972222225</v>
      </c>
      <c r="C2812" s="20">
        <v>50073.0</v>
      </c>
      <c r="D2812" s="20" t="s">
        <v>6556</v>
      </c>
      <c r="E2812" s="5">
        <v>9.19791147047E11</v>
      </c>
      <c r="F2812" s="21">
        <v>17789.0</v>
      </c>
      <c r="G2812" s="20"/>
      <c r="H2812" s="20" t="s">
        <v>2161</v>
      </c>
      <c r="I2812" s="5"/>
      <c r="J2812" s="20">
        <v>1.0</v>
      </c>
      <c r="K2812" s="20">
        <v>599.0</v>
      </c>
      <c r="L2812" s="20"/>
      <c r="M2812" s="20">
        <v>599.0</v>
      </c>
      <c r="N2812" s="5" t="s">
        <v>67</v>
      </c>
      <c r="O2812" s="20" t="b">
        <v>0</v>
      </c>
      <c r="P2812" s="20" t="s">
        <v>68</v>
      </c>
      <c r="Q2812" s="20" t="s">
        <v>69</v>
      </c>
      <c r="R2812" s="20" t="s">
        <v>6497</v>
      </c>
      <c r="T2812" s="20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</row>
    <row r="2813">
      <c r="A2813" s="15" t="s">
        <v>10091</v>
      </c>
      <c r="B2813" s="19">
        <v>44202.92013888889</v>
      </c>
      <c r="C2813" s="20">
        <v>49859.0</v>
      </c>
      <c r="D2813" s="20" t="s">
        <v>4731</v>
      </c>
      <c r="E2813" s="5">
        <v>9.19975288822E11</v>
      </c>
      <c r="F2813" s="21">
        <v>19296.0</v>
      </c>
      <c r="G2813" s="20"/>
      <c r="H2813" s="20" t="s">
        <v>1133</v>
      </c>
      <c r="I2813" s="5"/>
      <c r="J2813" s="20">
        <v>1.0</v>
      </c>
      <c r="K2813" s="20">
        <v>99.0</v>
      </c>
      <c r="L2813" s="20"/>
      <c r="M2813" s="20">
        <v>99.0</v>
      </c>
      <c r="N2813" s="5" t="s">
        <v>67</v>
      </c>
      <c r="O2813" s="20" t="b">
        <v>0</v>
      </c>
      <c r="P2813" s="20" t="s">
        <v>68</v>
      </c>
      <c r="Q2813" s="20" t="s">
        <v>69</v>
      </c>
      <c r="R2813" s="20" t="s">
        <v>4620</v>
      </c>
      <c r="T2813" s="20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</row>
    <row r="2814">
      <c r="A2814" s="15" t="s">
        <v>10094</v>
      </c>
      <c r="B2814" s="19">
        <v>44202.92152777778</v>
      </c>
      <c r="C2814" s="20">
        <v>49835.0</v>
      </c>
      <c r="D2814" s="20" t="s">
        <v>3926</v>
      </c>
      <c r="E2814" s="5">
        <v>9.19057574767E11</v>
      </c>
      <c r="F2814" s="21">
        <v>19298.0</v>
      </c>
      <c r="G2814" s="20"/>
      <c r="H2814" s="20" t="s">
        <v>680</v>
      </c>
      <c r="I2814" s="5"/>
      <c r="J2814" s="20">
        <v>1.0</v>
      </c>
      <c r="K2814" s="20">
        <v>99.0</v>
      </c>
      <c r="L2814" s="20"/>
      <c r="M2814" s="20">
        <v>99.0</v>
      </c>
      <c r="N2814" s="5" t="s">
        <v>67</v>
      </c>
      <c r="O2814" s="20" t="b">
        <v>0</v>
      </c>
      <c r="P2814" s="20" t="s">
        <v>68</v>
      </c>
      <c r="Q2814" s="20" t="s">
        <v>69</v>
      </c>
      <c r="R2814" s="20" t="s">
        <v>3888</v>
      </c>
      <c r="T2814" s="20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</row>
    <row r="2815">
      <c r="A2815" s="15" t="s">
        <v>10102</v>
      </c>
      <c r="B2815" s="19">
        <v>44202.96597222222</v>
      </c>
      <c r="C2815" s="20">
        <v>50043.0</v>
      </c>
      <c r="D2815" s="20" t="s">
        <v>6414</v>
      </c>
      <c r="E2815" s="5">
        <v>9.1808220044E11</v>
      </c>
      <c r="F2815" s="21">
        <v>19301.0</v>
      </c>
      <c r="G2815" s="20"/>
      <c r="H2815" s="20" t="s">
        <v>6367</v>
      </c>
      <c r="I2815" s="5"/>
      <c r="J2815" s="20">
        <v>1.0</v>
      </c>
      <c r="K2815" s="20">
        <v>99.0</v>
      </c>
      <c r="L2815" s="20"/>
      <c r="M2815" s="20">
        <v>99.0</v>
      </c>
      <c r="N2815" s="5" t="s">
        <v>67</v>
      </c>
      <c r="O2815" s="20" t="b">
        <v>0</v>
      </c>
      <c r="P2815" s="20" t="s">
        <v>68</v>
      </c>
      <c r="Q2815" s="20" t="s">
        <v>69</v>
      </c>
      <c r="R2815" s="20" t="s">
        <v>6369</v>
      </c>
      <c r="T2815" s="20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</row>
    <row r="2816">
      <c r="A2816" s="15" t="s">
        <v>10100</v>
      </c>
      <c r="B2816" s="19">
        <v>44202.95347222222</v>
      </c>
      <c r="C2816" s="20">
        <v>49833.0</v>
      </c>
      <c r="D2816" s="20" t="s">
        <v>4187</v>
      </c>
      <c r="E2816" s="5">
        <v>9.19643705505E11</v>
      </c>
      <c r="F2816" s="21">
        <v>19299.0</v>
      </c>
      <c r="G2816" s="20"/>
      <c r="H2816" s="20" t="s">
        <v>4030</v>
      </c>
      <c r="I2816" s="5"/>
      <c r="J2816" s="20">
        <v>1.0</v>
      </c>
      <c r="K2816" s="20">
        <v>99.0</v>
      </c>
      <c r="L2816" s="20"/>
      <c r="M2816" s="20">
        <v>99.0</v>
      </c>
      <c r="N2816" s="5" t="s">
        <v>67</v>
      </c>
      <c r="O2816" s="20" t="b">
        <v>0</v>
      </c>
      <c r="P2816" s="20" t="s">
        <v>68</v>
      </c>
      <c r="Q2816" s="20" t="s">
        <v>69</v>
      </c>
      <c r="R2816" s="20" t="s">
        <v>4033</v>
      </c>
      <c r="T2816" s="20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</row>
    <row r="2817">
      <c r="A2817" s="15" t="s">
        <v>9929</v>
      </c>
      <c r="B2817" s="19" t="s">
        <v>6645</v>
      </c>
      <c r="C2817" s="20">
        <v>49994.0</v>
      </c>
      <c r="D2817" s="20" t="s">
        <v>6644</v>
      </c>
      <c r="E2817" s="5">
        <v>9.17224933556E11</v>
      </c>
      <c r="F2817" s="21">
        <v>19210.0</v>
      </c>
      <c r="G2817" s="20"/>
      <c r="H2817" s="20" t="s">
        <v>1264</v>
      </c>
      <c r="I2817" s="5"/>
      <c r="J2817" s="20">
        <v>1.0</v>
      </c>
      <c r="K2817" s="20">
        <v>99.0</v>
      </c>
      <c r="L2817" s="20"/>
      <c r="M2817" s="20">
        <v>99.0</v>
      </c>
      <c r="N2817" s="5" t="s">
        <v>67</v>
      </c>
      <c r="O2817" s="20" t="b">
        <v>0</v>
      </c>
      <c r="P2817" s="20" t="s">
        <v>68</v>
      </c>
      <c r="Q2817" s="20" t="s">
        <v>69</v>
      </c>
      <c r="R2817" s="20" t="s">
        <v>6615</v>
      </c>
      <c r="T2817" s="20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</row>
    <row r="2818">
      <c r="A2818" s="15" t="s">
        <v>9936</v>
      </c>
      <c r="B2818" s="19" t="s">
        <v>4936</v>
      </c>
      <c r="C2818" s="20">
        <v>50113.0</v>
      </c>
      <c r="D2818" s="20" t="s">
        <v>3307</v>
      </c>
      <c r="E2818" s="5">
        <v>9.17780371637E11</v>
      </c>
      <c r="F2818" s="21">
        <v>17814.0</v>
      </c>
      <c r="G2818" s="20"/>
      <c r="H2818" s="20" t="s">
        <v>4914</v>
      </c>
      <c r="I2818" s="20" t="s">
        <v>4919</v>
      </c>
      <c r="J2818" s="20">
        <v>1.0</v>
      </c>
      <c r="K2818" s="20">
        <v>199.0</v>
      </c>
      <c r="L2818" s="20"/>
      <c r="M2818" s="20">
        <v>199.0</v>
      </c>
      <c r="N2818" s="5" t="s">
        <v>67</v>
      </c>
      <c r="O2818" s="20" t="b">
        <v>0</v>
      </c>
      <c r="P2818" s="20" t="s">
        <v>68</v>
      </c>
      <c r="Q2818" s="20" t="s">
        <v>69</v>
      </c>
      <c r="R2818" s="20" t="s">
        <v>4918</v>
      </c>
      <c r="T2818" s="20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</row>
    <row r="2819">
      <c r="A2819" s="15" t="s">
        <v>10105</v>
      </c>
      <c r="B2819" s="19">
        <v>44233.004166666666</v>
      </c>
      <c r="C2819" s="20">
        <v>50076.0</v>
      </c>
      <c r="D2819" s="20" t="s">
        <v>6142</v>
      </c>
      <c r="E2819" s="5">
        <v>9.19940966439E11</v>
      </c>
      <c r="F2819" s="21">
        <v>19302.0</v>
      </c>
      <c r="G2819" s="20"/>
      <c r="H2819" s="20" t="s">
        <v>5984</v>
      </c>
      <c r="I2819" s="5"/>
      <c r="J2819" s="20">
        <v>1.0</v>
      </c>
      <c r="K2819" s="20">
        <v>199.0</v>
      </c>
      <c r="L2819" s="20"/>
      <c r="M2819" s="20">
        <v>199.0</v>
      </c>
      <c r="N2819" s="5" t="s">
        <v>67</v>
      </c>
      <c r="O2819" s="20" t="b">
        <v>0</v>
      </c>
      <c r="P2819" s="20" t="s">
        <v>68</v>
      </c>
      <c r="Q2819" s="20" t="s">
        <v>69</v>
      </c>
      <c r="R2819" s="20" t="s">
        <v>5987</v>
      </c>
      <c r="T2819" s="20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</row>
    <row r="2820">
      <c r="A2820" s="15" t="s">
        <v>9937</v>
      </c>
      <c r="B2820" s="19" t="s">
        <v>5913</v>
      </c>
      <c r="C2820" s="20">
        <v>50054.0</v>
      </c>
      <c r="D2820" s="20" t="s">
        <v>5912</v>
      </c>
      <c r="E2820" s="5">
        <v>9.19500002131E11</v>
      </c>
      <c r="F2820" s="21">
        <v>19212.0</v>
      </c>
      <c r="G2820" s="20"/>
      <c r="H2820" s="20" t="s">
        <v>5822</v>
      </c>
      <c r="I2820" s="5"/>
      <c r="J2820" s="20">
        <v>1.0</v>
      </c>
      <c r="K2820" s="20">
        <v>99.0</v>
      </c>
      <c r="L2820" s="20"/>
      <c r="M2820" s="20">
        <v>99.0</v>
      </c>
      <c r="N2820" s="5" t="s">
        <v>67</v>
      </c>
      <c r="O2820" s="20" t="b">
        <v>0</v>
      </c>
      <c r="P2820" s="20" t="s">
        <v>68</v>
      </c>
      <c r="Q2820" s="20" t="s">
        <v>69</v>
      </c>
      <c r="R2820" s="20" t="s">
        <v>5824</v>
      </c>
      <c r="T2820" s="20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</row>
    <row r="2821">
      <c r="A2821" s="15" t="s">
        <v>10106</v>
      </c>
      <c r="B2821" s="19">
        <v>44233.013194444444</v>
      </c>
      <c r="C2821" s="20">
        <v>50030.0</v>
      </c>
      <c r="D2821" s="20" t="s">
        <v>3481</v>
      </c>
      <c r="E2821" s="5">
        <v>9.19815342237E11</v>
      </c>
      <c r="F2821" s="21">
        <v>19307.0</v>
      </c>
      <c r="G2821" s="20"/>
      <c r="H2821" s="20" t="s">
        <v>3326</v>
      </c>
      <c r="I2821" s="5"/>
      <c r="J2821" s="20">
        <v>1.0</v>
      </c>
      <c r="K2821" s="20">
        <v>99.0</v>
      </c>
      <c r="L2821" s="20"/>
      <c r="M2821" s="20">
        <v>99.0</v>
      </c>
      <c r="N2821" s="5" t="s">
        <v>67</v>
      </c>
      <c r="O2821" s="20" t="b">
        <v>0</v>
      </c>
      <c r="P2821" s="20" t="s">
        <v>68</v>
      </c>
      <c r="Q2821" s="20" t="s">
        <v>69</v>
      </c>
      <c r="R2821" s="20" t="s">
        <v>3328</v>
      </c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</row>
    <row r="2822">
      <c r="A2822" s="15" t="s">
        <v>10107</v>
      </c>
      <c r="B2822" s="19">
        <v>44233.01736111111</v>
      </c>
      <c r="C2822" s="20">
        <v>50047.0</v>
      </c>
      <c r="D2822" s="20" t="s">
        <v>3256</v>
      </c>
      <c r="E2822" s="5">
        <v>9.17993319154E11</v>
      </c>
      <c r="F2822" s="21">
        <v>19303.0</v>
      </c>
      <c r="G2822" s="20"/>
      <c r="H2822" s="20" t="s">
        <v>3195</v>
      </c>
      <c r="I2822" s="5"/>
      <c r="J2822" s="20">
        <v>3.0</v>
      </c>
      <c r="K2822" s="20">
        <v>199.0</v>
      </c>
      <c r="L2822" s="20"/>
      <c r="M2822" s="20">
        <v>199.0</v>
      </c>
      <c r="N2822" s="5" t="s">
        <v>67</v>
      </c>
      <c r="O2822" s="20" t="b">
        <v>0</v>
      </c>
      <c r="P2822" s="20" t="s">
        <v>68</v>
      </c>
      <c r="Q2822" s="20" t="s">
        <v>69</v>
      </c>
      <c r="R2822" s="20" t="s">
        <v>3197</v>
      </c>
      <c r="T2822" s="20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</row>
    <row r="2823">
      <c r="A2823" s="15" t="s">
        <v>10108</v>
      </c>
      <c r="B2823" s="19">
        <v>44233.02847222222</v>
      </c>
      <c r="C2823" s="20">
        <v>50043.0</v>
      </c>
      <c r="D2823" s="20" t="s">
        <v>6415</v>
      </c>
      <c r="E2823" s="5">
        <v>9.18328562118E11</v>
      </c>
      <c r="F2823" s="21">
        <v>19304.0</v>
      </c>
      <c r="G2823" s="20"/>
      <c r="H2823" s="20" t="s">
        <v>6367</v>
      </c>
      <c r="I2823" s="5"/>
      <c r="J2823" s="20">
        <v>1.0</v>
      </c>
      <c r="K2823" s="20">
        <v>99.0</v>
      </c>
      <c r="L2823" s="20"/>
      <c r="M2823" s="20">
        <v>99.0</v>
      </c>
      <c r="N2823" s="5" t="s">
        <v>67</v>
      </c>
      <c r="O2823" s="20" t="b">
        <v>0</v>
      </c>
      <c r="P2823" s="20" t="s">
        <v>68</v>
      </c>
      <c r="Q2823" s="20" t="s">
        <v>69</v>
      </c>
      <c r="R2823" s="20" t="s">
        <v>6369</v>
      </c>
      <c r="T2823" s="20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</row>
    <row r="2824">
      <c r="A2824" s="15" t="s">
        <v>10109</v>
      </c>
      <c r="B2824" s="19">
        <v>44233.029861111114</v>
      </c>
      <c r="C2824" s="20">
        <v>49998.0</v>
      </c>
      <c r="D2824" s="20" t="s">
        <v>6296</v>
      </c>
      <c r="E2824" s="5">
        <v>9.19443501189E11</v>
      </c>
      <c r="F2824" s="22" t="s">
        <v>12593</v>
      </c>
      <c r="G2824" s="20"/>
      <c r="H2824" s="20" t="s">
        <v>6250</v>
      </c>
      <c r="I2824" s="5"/>
      <c r="J2824" s="20">
        <v>1.0</v>
      </c>
      <c r="K2824" s="20">
        <v>99.0</v>
      </c>
      <c r="L2824" s="20"/>
      <c r="M2824" s="20">
        <v>99.0</v>
      </c>
      <c r="N2824" s="5" t="s">
        <v>67</v>
      </c>
      <c r="O2824" s="20" t="b">
        <v>0</v>
      </c>
      <c r="P2824" s="20" t="s">
        <v>68</v>
      </c>
      <c r="Q2824" s="20" t="s">
        <v>69</v>
      </c>
      <c r="R2824" s="20" t="s">
        <v>6252</v>
      </c>
      <c r="T2824" s="20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</row>
    <row r="2825">
      <c r="A2825" s="15" t="s">
        <v>10111</v>
      </c>
      <c r="B2825" s="19">
        <v>44233.04722222222</v>
      </c>
      <c r="C2825" s="20">
        <v>49859.0</v>
      </c>
      <c r="D2825" s="20" t="s">
        <v>4732</v>
      </c>
      <c r="E2825" s="5">
        <v>9.17620632258E11</v>
      </c>
      <c r="F2825" s="21">
        <v>19308.0</v>
      </c>
      <c r="G2825" s="20"/>
      <c r="H2825" s="20" t="s">
        <v>1133</v>
      </c>
      <c r="I2825" s="5"/>
      <c r="J2825" s="20">
        <v>1.0</v>
      </c>
      <c r="K2825" s="20">
        <v>99.0</v>
      </c>
      <c r="L2825" s="20"/>
      <c r="M2825" s="20">
        <v>99.0</v>
      </c>
      <c r="N2825" s="5" t="s">
        <v>67</v>
      </c>
      <c r="O2825" s="20" t="b">
        <v>0</v>
      </c>
      <c r="P2825" s="20" t="s">
        <v>68</v>
      </c>
      <c r="Q2825" s="20" t="s">
        <v>69</v>
      </c>
      <c r="R2825" s="20" t="s">
        <v>4620</v>
      </c>
      <c r="T2825" s="20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</row>
    <row r="2826">
      <c r="A2826" s="15" t="s">
        <v>10110</v>
      </c>
      <c r="B2826" s="19">
        <v>44233.03333333333</v>
      </c>
      <c r="C2826" s="20">
        <v>50023.0</v>
      </c>
      <c r="D2826" s="20" t="s">
        <v>5548</v>
      </c>
      <c r="E2826" s="5">
        <v>9.19808146756E11</v>
      </c>
      <c r="F2826" s="21">
        <v>19306.0</v>
      </c>
      <c r="G2826" s="20"/>
      <c r="H2826" s="20" t="s">
        <v>5508</v>
      </c>
      <c r="I2826" s="5"/>
      <c r="J2826" s="20">
        <v>1.0</v>
      </c>
      <c r="K2826" s="20">
        <v>99.0</v>
      </c>
      <c r="L2826" s="20"/>
      <c r="M2826" s="20">
        <v>99.0</v>
      </c>
      <c r="N2826" s="5" t="s">
        <v>67</v>
      </c>
      <c r="O2826" s="20" t="b">
        <v>0</v>
      </c>
      <c r="P2826" s="20" t="s">
        <v>68</v>
      </c>
      <c r="Q2826" s="20" t="s">
        <v>69</v>
      </c>
      <c r="R2826" s="20" t="s">
        <v>5510</v>
      </c>
      <c r="T2826" s="20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</row>
    <row r="2827">
      <c r="A2827" s="15" t="s">
        <v>10114</v>
      </c>
      <c r="B2827" s="19">
        <v>44233.052083333336</v>
      </c>
      <c r="C2827" s="20">
        <v>49907.0</v>
      </c>
      <c r="D2827" s="20" t="s">
        <v>3815</v>
      </c>
      <c r="E2827" s="5">
        <v>9.19004368733E11</v>
      </c>
      <c r="F2827" s="21">
        <v>19309.0</v>
      </c>
      <c r="G2827" s="20"/>
      <c r="H2827" s="20" t="s">
        <v>587</v>
      </c>
      <c r="I2827" s="5"/>
      <c r="J2827" s="20">
        <v>1.0</v>
      </c>
      <c r="K2827" s="20">
        <v>99.0</v>
      </c>
      <c r="L2827" s="20"/>
      <c r="M2827" s="20">
        <v>99.0</v>
      </c>
      <c r="N2827" s="5" t="s">
        <v>67</v>
      </c>
      <c r="O2827" s="20" t="b">
        <v>0</v>
      </c>
      <c r="P2827" s="20" t="s">
        <v>151</v>
      </c>
      <c r="Q2827" s="20" t="s">
        <v>69</v>
      </c>
      <c r="R2827" s="20" t="s">
        <v>3774</v>
      </c>
      <c r="T2827" s="20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</row>
    <row r="2828">
      <c r="A2828" s="15" t="s">
        <v>9940</v>
      </c>
      <c r="B2828" s="19" t="s">
        <v>5541</v>
      </c>
      <c r="C2828" s="20">
        <v>50023.0</v>
      </c>
      <c r="D2828" s="20" t="s">
        <v>5540</v>
      </c>
      <c r="E2828" s="5">
        <v>9.18096162491E11</v>
      </c>
      <c r="F2828" s="21">
        <v>19216.0</v>
      </c>
      <c r="G2828" s="20"/>
      <c r="H2828" s="20" t="s">
        <v>5508</v>
      </c>
      <c r="I2828" s="5"/>
      <c r="J2828" s="20">
        <v>3.0</v>
      </c>
      <c r="K2828" s="20">
        <v>199.0</v>
      </c>
      <c r="L2828" s="20"/>
      <c r="M2828" s="20">
        <v>199.0</v>
      </c>
      <c r="N2828" s="5" t="s">
        <v>67</v>
      </c>
      <c r="O2828" s="20" t="b">
        <v>0</v>
      </c>
      <c r="P2828" s="20" t="s">
        <v>68</v>
      </c>
      <c r="Q2828" s="20" t="s">
        <v>69</v>
      </c>
      <c r="R2828" s="20" t="s">
        <v>5510</v>
      </c>
      <c r="T2828" s="20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</row>
    <row r="2829">
      <c r="A2829" s="15" t="s">
        <v>9941</v>
      </c>
      <c r="B2829" s="19" t="s">
        <v>4327</v>
      </c>
      <c r="C2829" s="20">
        <v>50079.0</v>
      </c>
      <c r="D2829" s="20" t="s">
        <v>4326</v>
      </c>
      <c r="E2829" s="5">
        <v>9.19619563306E11</v>
      </c>
      <c r="F2829" s="21">
        <v>19217.0</v>
      </c>
      <c r="G2829" s="20"/>
      <c r="H2829" s="20" t="s">
        <v>4281</v>
      </c>
      <c r="I2829" s="5"/>
      <c r="J2829" s="20">
        <v>1.0</v>
      </c>
      <c r="K2829" s="20">
        <v>99.0</v>
      </c>
      <c r="L2829" s="20"/>
      <c r="M2829" s="20">
        <v>99.0</v>
      </c>
      <c r="N2829" s="5" t="s">
        <v>67</v>
      </c>
      <c r="O2829" s="20" t="b">
        <v>0</v>
      </c>
      <c r="P2829" s="20" t="s">
        <v>74</v>
      </c>
      <c r="Q2829" s="20" t="s">
        <v>69</v>
      </c>
      <c r="R2829" s="20" t="s">
        <v>4284</v>
      </c>
      <c r="T2829" s="20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</row>
    <row r="2830">
      <c r="A2830" s="15" t="s">
        <v>9942</v>
      </c>
      <c r="B2830" s="19">
        <v>44202.01180555556</v>
      </c>
      <c r="C2830" s="20">
        <v>50079.0</v>
      </c>
      <c r="D2830" s="20" t="s">
        <v>4328</v>
      </c>
      <c r="E2830" s="5">
        <v>9.17977481051E11</v>
      </c>
      <c r="F2830" s="21">
        <v>19218.0</v>
      </c>
      <c r="G2830" s="20"/>
      <c r="H2830" s="20" t="s">
        <v>4281</v>
      </c>
      <c r="I2830" s="5"/>
      <c r="J2830" s="20">
        <v>1.0</v>
      </c>
      <c r="K2830" s="20">
        <v>99.0</v>
      </c>
      <c r="L2830" s="20"/>
      <c r="M2830" s="20">
        <v>99.0</v>
      </c>
      <c r="N2830" s="5" t="s">
        <v>67</v>
      </c>
      <c r="O2830" s="20" t="b">
        <v>0</v>
      </c>
      <c r="P2830" s="20" t="s">
        <v>68</v>
      </c>
      <c r="Q2830" s="20" t="s">
        <v>69</v>
      </c>
      <c r="R2830" s="20" t="s">
        <v>4284</v>
      </c>
      <c r="T2830" s="20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</row>
    <row r="2831">
      <c r="A2831" s="15" t="s">
        <v>9944</v>
      </c>
      <c r="B2831" s="19">
        <v>44202.03472222222</v>
      </c>
      <c r="C2831" s="20">
        <v>49859.0</v>
      </c>
      <c r="D2831" s="20" t="s">
        <v>4724</v>
      </c>
      <c r="E2831" s="5">
        <v>9.19894167483E11</v>
      </c>
      <c r="F2831" s="21">
        <v>19221.0</v>
      </c>
      <c r="G2831" s="20"/>
      <c r="H2831" s="20" t="s">
        <v>1133</v>
      </c>
      <c r="I2831" s="5"/>
      <c r="J2831" s="20">
        <v>1.0</v>
      </c>
      <c r="K2831" s="20">
        <v>99.0</v>
      </c>
      <c r="L2831" s="20"/>
      <c r="M2831" s="20">
        <v>99.0</v>
      </c>
      <c r="N2831" s="5" t="s">
        <v>67</v>
      </c>
      <c r="O2831" s="20" t="b">
        <v>0</v>
      </c>
      <c r="P2831" s="20" t="s">
        <v>68</v>
      </c>
      <c r="Q2831" s="20" t="s">
        <v>69</v>
      </c>
      <c r="R2831" s="20" t="s">
        <v>4620</v>
      </c>
      <c r="T2831" s="20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</row>
    <row r="2832">
      <c r="A2832" s="15" t="s">
        <v>9945</v>
      </c>
      <c r="B2832" s="19">
        <v>44202.03472222222</v>
      </c>
      <c r="C2832" s="20">
        <v>50076.0</v>
      </c>
      <c r="D2832" s="20" t="s">
        <v>6138</v>
      </c>
      <c r="E2832" s="5">
        <v>9.17097515477E11</v>
      </c>
      <c r="F2832" s="21">
        <v>19222.0</v>
      </c>
      <c r="G2832" s="20"/>
      <c r="H2832" s="20" t="s">
        <v>5984</v>
      </c>
      <c r="I2832" s="5"/>
      <c r="J2832" s="20">
        <v>1.0</v>
      </c>
      <c r="K2832" s="20">
        <v>199.0</v>
      </c>
      <c r="L2832" s="20"/>
      <c r="M2832" s="20">
        <v>199.0</v>
      </c>
      <c r="N2832" s="5" t="s">
        <v>67</v>
      </c>
      <c r="O2832" s="20" t="b">
        <v>0</v>
      </c>
      <c r="P2832" s="20" t="s">
        <v>68</v>
      </c>
      <c r="Q2832" s="20" t="s">
        <v>69</v>
      </c>
      <c r="R2832" s="20" t="s">
        <v>5987</v>
      </c>
      <c r="T2832" s="20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</row>
    <row r="2833">
      <c r="A2833" s="15" t="s">
        <v>9946</v>
      </c>
      <c r="B2833" s="19">
        <v>44202.03472222222</v>
      </c>
      <c r="C2833" s="20">
        <v>50023.0</v>
      </c>
      <c r="D2833" s="20" t="s">
        <v>5542</v>
      </c>
      <c r="E2833" s="5">
        <v>9.17050446003E11</v>
      </c>
      <c r="F2833" s="21">
        <v>19224.0</v>
      </c>
      <c r="G2833" s="20"/>
      <c r="H2833" s="20" t="s">
        <v>5508</v>
      </c>
      <c r="I2833" s="5"/>
      <c r="J2833" s="20">
        <v>1.0</v>
      </c>
      <c r="K2833" s="20">
        <v>99.0</v>
      </c>
      <c r="L2833" s="20"/>
      <c r="M2833" s="20">
        <v>99.0</v>
      </c>
      <c r="N2833" s="5" t="s">
        <v>67</v>
      </c>
      <c r="O2833" s="20" t="b">
        <v>0</v>
      </c>
      <c r="P2833" s="20" t="s">
        <v>68</v>
      </c>
      <c r="Q2833" s="20" t="s">
        <v>69</v>
      </c>
      <c r="R2833" s="20" t="s">
        <v>5510</v>
      </c>
      <c r="T2833" s="20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</row>
    <row r="2834">
      <c r="A2834" s="15" t="s">
        <v>9947</v>
      </c>
      <c r="B2834" s="19">
        <v>44202.03611111111</v>
      </c>
      <c r="C2834" s="20">
        <v>49833.0</v>
      </c>
      <c r="D2834" s="20" t="s">
        <v>4182</v>
      </c>
      <c r="E2834" s="5">
        <v>9.19101738845E11</v>
      </c>
      <c r="F2834" s="21">
        <v>19223.0</v>
      </c>
      <c r="G2834" s="20"/>
      <c r="H2834" s="20" t="s">
        <v>4030</v>
      </c>
      <c r="I2834" s="5"/>
      <c r="J2834" s="20">
        <v>3.0</v>
      </c>
      <c r="K2834" s="20">
        <v>199.0</v>
      </c>
      <c r="L2834" s="20"/>
      <c r="M2834" s="20">
        <v>199.0</v>
      </c>
      <c r="N2834" s="5" t="s">
        <v>67</v>
      </c>
      <c r="O2834" s="20" t="b">
        <v>0</v>
      </c>
      <c r="P2834" s="20" t="s">
        <v>68</v>
      </c>
      <c r="Q2834" s="20" t="s">
        <v>69</v>
      </c>
      <c r="R2834" s="20" t="s">
        <v>4033</v>
      </c>
      <c r="T2834" s="20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</row>
    <row r="2835">
      <c r="A2835" s="15" t="s">
        <v>9943</v>
      </c>
      <c r="B2835" s="19">
        <v>44202.01875</v>
      </c>
      <c r="C2835" s="20">
        <v>50047.0</v>
      </c>
      <c r="D2835" s="20" t="s">
        <v>3254</v>
      </c>
      <c r="E2835" s="5">
        <v>9.18171626726E11</v>
      </c>
      <c r="F2835" s="21">
        <v>19219.0</v>
      </c>
      <c r="G2835" s="20"/>
      <c r="H2835" s="20" t="s">
        <v>3195</v>
      </c>
      <c r="I2835" s="5"/>
      <c r="J2835" s="20">
        <v>3.0</v>
      </c>
      <c r="K2835" s="20">
        <v>199.0</v>
      </c>
      <c r="L2835" s="20"/>
      <c r="M2835" s="20">
        <v>199.0</v>
      </c>
      <c r="N2835" s="5" t="s">
        <v>67</v>
      </c>
      <c r="O2835" s="20" t="b">
        <v>0</v>
      </c>
      <c r="P2835" s="20" t="s">
        <v>68</v>
      </c>
      <c r="Q2835" s="20" t="s">
        <v>69</v>
      </c>
      <c r="R2835" s="20" t="s">
        <v>3197</v>
      </c>
      <c r="T2835" s="20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</row>
    <row r="2836">
      <c r="A2836" s="15" t="s">
        <v>9953</v>
      </c>
      <c r="B2836" s="19">
        <v>44506.53333333333</v>
      </c>
      <c r="C2836" s="20">
        <v>49813.0</v>
      </c>
      <c r="D2836" s="20" t="s">
        <v>5170</v>
      </c>
      <c r="E2836" s="5">
        <v>9.19811390301E11</v>
      </c>
      <c r="F2836" s="21">
        <v>0.0</v>
      </c>
      <c r="G2836" s="20"/>
      <c r="H2836" s="20" t="s">
        <v>5114</v>
      </c>
      <c r="I2836" s="5"/>
      <c r="J2836" s="20">
        <v>6.0</v>
      </c>
      <c r="K2836" s="20">
        <v>799.0</v>
      </c>
      <c r="L2836" s="20"/>
      <c r="M2836" s="20">
        <v>799.0</v>
      </c>
      <c r="N2836" s="5" t="s">
        <v>67</v>
      </c>
      <c r="O2836" s="20" t="b">
        <v>0</v>
      </c>
      <c r="P2836" s="20" t="s">
        <v>68</v>
      </c>
      <c r="Q2836" s="20" t="s">
        <v>69</v>
      </c>
      <c r="R2836" s="20" t="s">
        <v>5116</v>
      </c>
      <c r="T2836" s="20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</row>
    <row r="2837">
      <c r="A2837" s="15" t="s">
        <v>9956</v>
      </c>
      <c r="B2837" s="19">
        <v>44202.11388888889</v>
      </c>
      <c r="C2837" s="20">
        <v>50079.0</v>
      </c>
      <c r="D2837" s="20" t="s">
        <v>4329</v>
      </c>
      <c r="E2837" s="5">
        <v>9.1837505334E11</v>
      </c>
      <c r="F2837" s="21">
        <v>19225.0</v>
      </c>
      <c r="G2837" s="20"/>
      <c r="H2837" s="20" t="s">
        <v>4281</v>
      </c>
      <c r="I2837" s="5"/>
      <c r="J2837" s="20">
        <v>1.0</v>
      </c>
      <c r="K2837" s="20">
        <v>99.0</v>
      </c>
      <c r="L2837" s="20"/>
      <c r="M2837" s="20">
        <v>99.0</v>
      </c>
      <c r="N2837" s="5" t="s">
        <v>67</v>
      </c>
      <c r="O2837" s="20" t="b">
        <v>0</v>
      </c>
      <c r="P2837" s="20" t="s">
        <v>68</v>
      </c>
      <c r="Q2837" s="20" t="s">
        <v>69</v>
      </c>
      <c r="R2837" s="20" t="s">
        <v>4284</v>
      </c>
      <c r="T2837" s="20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</row>
    <row r="2838">
      <c r="A2838" s="15" t="s">
        <v>9957</v>
      </c>
      <c r="B2838" s="19">
        <v>44202.12013888889</v>
      </c>
      <c r="C2838" s="20">
        <v>49844.0</v>
      </c>
      <c r="D2838" s="20" t="s">
        <v>5468</v>
      </c>
      <c r="E2838" s="5">
        <v>9.19080028916E11</v>
      </c>
      <c r="F2838" s="21">
        <v>0.0</v>
      </c>
      <c r="G2838" s="20"/>
      <c r="H2838" s="20" t="s">
        <v>885</v>
      </c>
      <c r="I2838" s="5"/>
      <c r="J2838" s="20">
        <v>1.0</v>
      </c>
      <c r="K2838" s="20">
        <v>99.0</v>
      </c>
      <c r="L2838" s="20"/>
      <c r="M2838" s="20">
        <v>99.0</v>
      </c>
      <c r="N2838" s="5" t="s">
        <v>67</v>
      </c>
      <c r="O2838" s="20" t="b">
        <v>0</v>
      </c>
      <c r="P2838" s="20" t="s">
        <v>68</v>
      </c>
      <c r="Q2838" s="20" t="s">
        <v>69</v>
      </c>
      <c r="R2838" s="20" t="s">
        <v>5445</v>
      </c>
      <c r="T2838" s="20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</row>
    <row r="2839">
      <c r="A2839" s="15" t="s">
        <v>9958</v>
      </c>
      <c r="B2839" s="19">
        <v>44202.123611111114</v>
      </c>
      <c r="C2839" s="20">
        <v>50065.0</v>
      </c>
      <c r="D2839" s="20" t="s">
        <v>2677</v>
      </c>
      <c r="E2839" s="5">
        <v>9.17769949955E11</v>
      </c>
      <c r="F2839" s="21">
        <v>19250.0</v>
      </c>
      <c r="G2839" s="20"/>
      <c r="H2839" s="20" t="s">
        <v>2601</v>
      </c>
      <c r="I2839" s="5"/>
      <c r="J2839" s="20">
        <v>1.0</v>
      </c>
      <c r="K2839" s="20">
        <v>99.0</v>
      </c>
      <c r="L2839" s="20"/>
      <c r="M2839" s="20">
        <v>99.0</v>
      </c>
      <c r="N2839" s="5" t="s">
        <v>67</v>
      </c>
      <c r="O2839" s="20" t="b">
        <v>0</v>
      </c>
      <c r="P2839" s="20" t="s">
        <v>68</v>
      </c>
      <c r="Q2839" s="20" t="s">
        <v>69</v>
      </c>
      <c r="R2839" s="20" t="s">
        <v>2604</v>
      </c>
      <c r="T2839" s="20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</row>
    <row r="2840">
      <c r="A2840" s="15" t="s">
        <v>10116</v>
      </c>
      <c r="B2840" s="19">
        <v>44233.26111111111</v>
      </c>
      <c r="C2840" s="20">
        <v>50076.0</v>
      </c>
      <c r="D2840" s="20" t="s">
        <v>6143</v>
      </c>
      <c r="E2840" s="5">
        <v>9.19738382026E11</v>
      </c>
      <c r="F2840" s="21">
        <v>19310.0</v>
      </c>
      <c r="G2840" s="20"/>
      <c r="H2840" s="20" t="s">
        <v>5984</v>
      </c>
      <c r="I2840" s="5"/>
      <c r="J2840" s="20">
        <v>1.0</v>
      </c>
      <c r="K2840" s="20">
        <v>199.0</v>
      </c>
      <c r="L2840" s="20"/>
      <c r="M2840" s="20">
        <v>199.0</v>
      </c>
      <c r="N2840" s="5" t="s">
        <v>67</v>
      </c>
      <c r="O2840" s="20" t="b">
        <v>0</v>
      </c>
      <c r="P2840" s="20" t="s">
        <v>68</v>
      </c>
      <c r="Q2840" s="20" t="s">
        <v>69</v>
      </c>
      <c r="R2840" s="20" t="s">
        <v>5987</v>
      </c>
      <c r="T2840" s="20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</row>
    <row r="2841">
      <c r="A2841" s="15" t="s">
        <v>10119</v>
      </c>
      <c r="B2841" s="19">
        <v>44233.299305555556</v>
      </c>
      <c r="C2841" s="20">
        <v>50054.0</v>
      </c>
      <c r="D2841" s="20" t="s">
        <v>5915</v>
      </c>
      <c r="E2841" s="5">
        <v>9.19075382534E11</v>
      </c>
      <c r="F2841" s="21">
        <v>19478.0</v>
      </c>
      <c r="G2841" s="20"/>
      <c r="H2841" s="20" t="s">
        <v>5822</v>
      </c>
      <c r="I2841" s="5"/>
      <c r="J2841" s="20">
        <v>6.0</v>
      </c>
      <c r="K2841" s="20">
        <v>349.0</v>
      </c>
      <c r="L2841" s="20"/>
      <c r="M2841" s="20">
        <v>349.0</v>
      </c>
      <c r="N2841" s="5" t="s">
        <v>67</v>
      </c>
      <c r="O2841" s="20" t="b">
        <v>0</v>
      </c>
      <c r="P2841" s="20" t="s">
        <v>97</v>
      </c>
      <c r="Q2841" s="20" t="s">
        <v>69</v>
      </c>
      <c r="R2841" s="20" t="s">
        <v>5824</v>
      </c>
      <c r="T2841" s="20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</row>
    <row r="2842">
      <c r="A2842" s="15" t="s">
        <v>10121</v>
      </c>
      <c r="B2842" s="19">
        <v>44233.33194444444</v>
      </c>
      <c r="C2842" s="20">
        <v>49991.0</v>
      </c>
      <c r="D2842" s="20" t="s">
        <v>3137</v>
      </c>
      <c r="E2842" s="5">
        <v>9.19811770481E11</v>
      </c>
      <c r="F2842" s="22" t="s">
        <v>12593</v>
      </c>
      <c r="G2842" s="20"/>
      <c r="H2842" s="20" t="s">
        <v>3055</v>
      </c>
      <c r="I2842" s="5"/>
      <c r="J2842" s="20">
        <v>6.0</v>
      </c>
      <c r="K2842" s="20">
        <v>349.0</v>
      </c>
      <c r="L2842" s="20"/>
      <c r="M2842" s="20">
        <v>349.0</v>
      </c>
      <c r="N2842" s="5" t="s">
        <v>67</v>
      </c>
      <c r="O2842" s="20" t="b">
        <v>0</v>
      </c>
      <c r="P2842" s="20" t="s">
        <v>68</v>
      </c>
      <c r="Q2842" s="20" t="s">
        <v>69</v>
      </c>
      <c r="R2842" s="20" t="s">
        <v>3057</v>
      </c>
      <c r="T2842" s="20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</row>
    <row r="2843">
      <c r="A2843" s="15" t="s">
        <v>10120</v>
      </c>
      <c r="B2843" s="19">
        <v>44233.325</v>
      </c>
      <c r="C2843" s="20">
        <v>50043.0</v>
      </c>
      <c r="D2843" s="20" t="s">
        <v>6416</v>
      </c>
      <c r="E2843" s="5">
        <v>9.18333070716E11</v>
      </c>
      <c r="F2843" s="21">
        <v>19313.0</v>
      </c>
      <c r="G2843" s="20"/>
      <c r="H2843" s="20" t="s">
        <v>6367</v>
      </c>
      <c r="I2843" s="5"/>
      <c r="J2843" s="20">
        <v>1.0</v>
      </c>
      <c r="K2843" s="20">
        <v>99.0</v>
      </c>
      <c r="L2843" s="20"/>
      <c r="M2843" s="20">
        <v>99.0</v>
      </c>
      <c r="N2843" s="5" t="s">
        <v>67</v>
      </c>
      <c r="O2843" s="20" t="b">
        <v>0</v>
      </c>
      <c r="P2843" s="20" t="s">
        <v>68</v>
      </c>
      <c r="Q2843" s="20" t="s">
        <v>69</v>
      </c>
      <c r="R2843" s="20" t="s">
        <v>6369</v>
      </c>
      <c r="T2843" s="20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</row>
    <row r="2844">
      <c r="A2844" s="15" t="s">
        <v>10122</v>
      </c>
      <c r="B2844" s="19">
        <v>44233.34583333333</v>
      </c>
      <c r="C2844" s="20">
        <v>50079.0</v>
      </c>
      <c r="D2844" s="20" t="s">
        <v>4336</v>
      </c>
      <c r="E2844" s="5">
        <v>9.17694074788E11</v>
      </c>
      <c r="F2844" s="21">
        <v>19322.0</v>
      </c>
      <c r="G2844" s="20"/>
      <c r="H2844" s="20" t="s">
        <v>4281</v>
      </c>
      <c r="I2844" s="5"/>
      <c r="J2844" s="20">
        <v>1.0</v>
      </c>
      <c r="K2844" s="20">
        <v>349.0</v>
      </c>
      <c r="L2844" s="20"/>
      <c r="M2844" s="20">
        <v>349.0</v>
      </c>
      <c r="N2844" s="5" t="s">
        <v>67</v>
      </c>
      <c r="O2844" s="20" t="b">
        <v>0</v>
      </c>
      <c r="P2844" s="20" t="s">
        <v>68</v>
      </c>
      <c r="Q2844" s="20" t="s">
        <v>69</v>
      </c>
      <c r="R2844" s="20" t="s">
        <v>4284</v>
      </c>
      <c r="T2844" s="20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</row>
    <row r="2845">
      <c r="A2845" s="15" t="s">
        <v>10123</v>
      </c>
      <c r="B2845" s="19">
        <v>44233.34930555556</v>
      </c>
      <c r="C2845" s="20">
        <v>49998.0</v>
      </c>
      <c r="D2845" s="20" t="s">
        <v>6297</v>
      </c>
      <c r="E2845" s="5">
        <v>9.17776834455E11</v>
      </c>
      <c r="F2845" s="21">
        <v>19314.0</v>
      </c>
      <c r="G2845" s="20"/>
      <c r="H2845" s="20" t="s">
        <v>6250</v>
      </c>
      <c r="I2845" s="5"/>
      <c r="J2845" s="20">
        <v>1.0</v>
      </c>
      <c r="K2845" s="20">
        <v>99.0</v>
      </c>
      <c r="L2845" s="20"/>
      <c r="M2845" s="20">
        <v>99.0</v>
      </c>
      <c r="N2845" s="5" t="s">
        <v>67</v>
      </c>
      <c r="O2845" s="20" t="b">
        <v>0</v>
      </c>
      <c r="P2845" s="20" t="s">
        <v>68</v>
      </c>
      <c r="Q2845" s="20" t="s">
        <v>69</v>
      </c>
      <c r="R2845" s="20" t="s">
        <v>6252</v>
      </c>
      <c r="T2845" s="20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</row>
    <row r="2846">
      <c r="A2846" s="15" t="s">
        <v>10124</v>
      </c>
      <c r="B2846" s="19">
        <v>44233.354166666664</v>
      </c>
      <c r="C2846" s="20">
        <v>50029.0</v>
      </c>
      <c r="D2846" s="20" t="s">
        <v>2873</v>
      </c>
      <c r="E2846" s="5">
        <v>9.17406252191E11</v>
      </c>
      <c r="F2846" s="22" t="s">
        <v>12593</v>
      </c>
      <c r="G2846" s="20"/>
      <c r="H2846" s="20" t="s">
        <v>2761</v>
      </c>
      <c r="I2846" s="5"/>
      <c r="J2846" s="20">
        <v>1.0</v>
      </c>
      <c r="K2846" s="20">
        <v>99.0</v>
      </c>
      <c r="L2846" s="20"/>
      <c r="M2846" s="20">
        <v>99.0</v>
      </c>
      <c r="N2846" s="5" t="s">
        <v>67</v>
      </c>
      <c r="O2846" s="20" t="b">
        <v>0</v>
      </c>
      <c r="P2846" s="20" t="s">
        <v>151</v>
      </c>
      <c r="Q2846" s="20" t="s">
        <v>69</v>
      </c>
      <c r="R2846" s="20" t="s">
        <v>2763</v>
      </c>
      <c r="T2846" s="20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</row>
    <row r="2847">
      <c r="A2847" s="15" t="s">
        <v>10125</v>
      </c>
      <c r="B2847" s="19">
        <v>44233.36041666667</v>
      </c>
      <c r="C2847" s="20">
        <v>50023.0</v>
      </c>
      <c r="D2847" s="20" t="s">
        <v>5549</v>
      </c>
      <c r="E2847" s="5">
        <v>9.19665892321E11</v>
      </c>
      <c r="F2847" s="21">
        <v>19317.0</v>
      </c>
      <c r="G2847" s="20"/>
      <c r="H2847" s="20" t="s">
        <v>5508</v>
      </c>
      <c r="I2847" s="5"/>
      <c r="J2847" s="20">
        <v>1.0</v>
      </c>
      <c r="K2847" s="20">
        <v>99.0</v>
      </c>
      <c r="L2847" s="20"/>
      <c r="M2847" s="20">
        <v>99.0</v>
      </c>
      <c r="N2847" s="5" t="s">
        <v>67</v>
      </c>
      <c r="O2847" s="20" t="b">
        <v>0</v>
      </c>
      <c r="P2847" s="20" t="s">
        <v>68</v>
      </c>
      <c r="Q2847" s="20" t="s">
        <v>69</v>
      </c>
      <c r="R2847" s="20" t="s">
        <v>5510</v>
      </c>
      <c r="T2847" s="20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</row>
    <row r="2848">
      <c r="A2848" s="15" t="s">
        <v>10126</v>
      </c>
      <c r="B2848" s="19">
        <v>44233.36111111111</v>
      </c>
      <c r="C2848" s="20">
        <v>50073.0</v>
      </c>
      <c r="D2848" s="20" t="s">
        <v>6557</v>
      </c>
      <c r="E2848" s="5">
        <v>9.19975387989E11</v>
      </c>
      <c r="F2848" s="21">
        <v>19316.0</v>
      </c>
      <c r="G2848" s="20"/>
      <c r="H2848" s="20" t="s">
        <v>2161</v>
      </c>
      <c r="I2848" s="5"/>
      <c r="J2848" s="20">
        <v>1.0</v>
      </c>
      <c r="K2848" s="20">
        <v>799.0</v>
      </c>
      <c r="L2848" s="20"/>
      <c r="M2848" s="20">
        <v>799.0</v>
      </c>
      <c r="N2848" s="5" t="s">
        <v>67</v>
      </c>
      <c r="O2848" s="20" t="b">
        <v>0</v>
      </c>
      <c r="P2848" s="20" t="s">
        <v>97</v>
      </c>
      <c r="Q2848" s="20" t="s">
        <v>69</v>
      </c>
      <c r="R2848" s="20" t="s">
        <v>6497</v>
      </c>
      <c r="T2848" s="20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</row>
    <row r="2849">
      <c r="A2849" s="15" t="s">
        <v>10127</v>
      </c>
      <c r="B2849" s="19">
        <v>44233.37986111111</v>
      </c>
      <c r="C2849" s="20">
        <v>50065.0</v>
      </c>
      <c r="D2849" s="20" t="s">
        <v>2681</v>
      </c>
      <c r="E2849" s="5">
        <v>9.1964318433E11</v>
      </c>
      <c r="F2849" s="21">
        <v>19318.0</v>
      </c>
      <c r="G2849" s="20"/>
      <c r="H2849" s="20" t="s">
        <v>2601</v>
      </c>
      <c r="I2849" s="5"/>
      <c r="J2849" s="20">
        <v>6.0</v>
      </c>
      <c r="K2849" s="20">
        <v>349.0</v>
      </c>
      <c r="L2849" s="20"/>
      <c r="M2849" s="20">
        <v>349.0</v>
      </c>
      <c r="N2849" s="5" t="s">
        <v>67</v>
      </c>
      <c r="O2849" s="20" t="b">
        <v>0</v>
      </c>
      <c r="P2849" s="20" t="s">
        <v>68</v>
      </c>
      <c r="Q2849" s="20" t="s">
        <v>69</v>
      </c>
      <c r="R2849" s="20" t="s">
        <v>2604</v>
      </c>
      <c r="T2849" s="20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</row>
    <row r="2850">
      <c r="A2850" s="15" t="s">
        <v>10131</v>
      </c>
      <c r="B2850" s="19">
        <v>44233.416666666664</v>
      </c>
      <c r="C2850" s="20">
        <v>50076.0</v>
      </c>
      <c r="D2850" s="20" t="s">
        <v>6144</v>
      </c>
      <c r="E2850" s="5">
        <v>9.1995070971E11</v>
      </c>
      <c r="F2850" s="21">
        <v>19321.0</v>
      </c>
      <c r="G2850" s="20"/>
      <c r="H2850" s="20" t="s">
        <v>5984</v>
      </c>
      <c r="I2850" s="5"/>
      <c r="J2850" s="20">
        <v>1.0</v>
      </c>
      <c r="K2850" s="20">
        <v>199.0</v>
      </c>
      <c r="L2850" s="20"/>
      <c r="M2850" s="20">
        <v>199.0</v>
      </c>
      <c r="N2850" s="5" t="s">
        <v>67</v>
      </c>
      <c r="O2850" s="20" t="b">
        <v>0</v>
      </c>
      <c r="P2850" s="20" t="s">
        <v>68</v>
      </c>
      <c r="Q2850" s="20" t="s">
        <v>69</v>
      </c>
      <c r="R2850" s="20" t="s">
        <v>5987</v>
      </c>
      <c r="T2850" s="20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</row>
    <row r="2851">
      <c r="A2851" s="15" t="s">
        <v>10128</v>
      </c>
      <c r="B2851" s="19">
        <v>44233.40069444444</v>
      </c>
      <c r="C2851" s="20">
        <v>50073.0</v>
      </c>
      <c r="D2851" s="20" t="s">
        <v>6558</v>
      </c>
      <c r="E2851" s="5">
        <v>9.19727743592E11</v>
      </c>
      <c r="F2851" s="21">
        <v>19352.0</v>
      </c>
      <c r="G2851" s="20"/>
      <c r="H2851" s="20" t="s">
        <v>2161</v>
      </c>
      <c r="I2851" s="5"/>
      <c r="J2851" s="20">
        <v>1.0</v>
      </c>
      <c r="K2851" s="20">
        <v>799.0</v>
      </c>
      <c r="L2851" s="20"/>
      <c r="M2851" s="20">
        <v>799.0</v>
      </c>
      <c r="N2851" s="5" t="s">
        <v>67</v>
      </c>
      <c r="O2851" s="20" t="b">
        <v>0</v>
      </c>
      <c r="P2851" s="20" t="s">
        <v>68</v>
      </c>
      <c r="Q2851" s="20" t="s">
        <v>69</v>
      </c>
      <c r="R2851" s="20" t="s">
        <v>6497</v>
      </c>
      <c r="T2851" s="20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</row>
    <row r="2852">
      <c r="A2852" s="15" t="s">
        <v>10129</v>
      </c>
      <c r="B2852" s="19">
        <v>44233.404861111114</v>
      </c>
      <c r="C2852" s="20">
        <v>50094.0</v>
      </c>
      <c r="D2852" s="20" t="s">
        <v>5042</v>
      </c>
      <c r="E2852" s="5">
        <v>9.17987148025E11</v>
      </c>
      <c r="F2852" s="22" t="s">
        <v>12593</v>
      </c>
      <c r="G2852" s="20"/>
      <c r="H2852" s="20" t="s">
        <v>4942</v>
      </c>
      <c r="I2852" s="5"/>
      <c r="J2852" s="20">
        <v>6.0</v>
      </c>
      <c r="K2852" s="20">
        <v>599.0</v>
      </c>
      <c r="L2852" s="20"/>
      <c r="M2852" s="20">
        <v>599.0</v>
      </c>
      <c r="N2852" s="5" t="s">
        <v>67</v>
      </c>
      <c r="O2852" s="20" t="b">
        <v>0</v>
      </c>
      <c r="P2852" s="20" t="s">
        <v>68</v>
      </c>
      <c r="Q2852" s="20" t="s">
        <v>69</v>
      </c>
      <c r="R2852" s="20" t="s">
        <v>4945</v>
      </c>
      <c r="T2852" s="20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</row>
    <row r="2853">
      <c r="A2853" s="15" t="s">
        <v>10130</v>
      </c>
      <c r="B2853" s="19">
        <v>44233.40833333333</v>
      </c>
      <c r="C2853" s="20">
        <v>49907.0</v>
      </c>
      <c r="D2853" s="20" t="s">
        <v>3816</v>
      </c>
      <c r="E2853" s="5">
        <v>9.19887005955E11</v>
      </c>
      <c r="F2853" s="21">
        <v>19320.0</v>
      </c>
      <c r="G2853" s="20"/>
      <c r="H2853" s="20" t="s">
        <v>587</v>
      </c>
      <c r="I2853" s="5"/>
      <c r="J2853" s="20">
        <v>1.0</v>
      </c>
      <c r="K2853" s="20">
        <v>99.0</v>
      </c>
      <c r="L2853" s="20"/>
      <c r="M2853" s="20">
        <v>99.0</v>
      </c>
      <c r="N2853" s="5" t="s">
        <v>67</v>
      </c>
      <c r="O2853" s="20" t="b">
        <v>0</v>
      </c>
      <c r="P2853" s="20" t="s">
        <v>151</v>
      </c>
      <c r="Q2853" s="20" t="s">
        <v>69</v>
      </c>
      <c r="R2853" s="20" t="s">
        <v>3774</v>
      </c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</row>
    <row r="2854">
      <c r="A2854" s="15" t="s">
        <v>10132</v>
      </c>
      <c r="B2854" s="19">
        <v>44233.427083333336</v>
      </c>
      <c r="C2854" s="20">
        <v>49844.0</v>
      </c>
      <c r="D2854" s="20" t="s">
        <v>5471</v>
      </c>
      <c r="E2854" s="5">
        <v>9.19566419332E11</v>
      </c>
      <c r="F2854" s="21">
        <v>19323.0</v>
      </c>
      <c r="G2854" s="20"/>
      <c r="H2854" s="20" t="s">
        <v>885</v>
      </c>
      <c r="I2854" s="5"/>
      <c r="J2854" s="20">
        <v>1.0</v>
      </c>
      <c r="K2854" s="20">
        <v>99.0</v>
      </c>
      <c r="L2854" s="20"/>
      <c r="M2854" s="20">
        <v>99.0</v>
      </c>
      <c r="N2854" s="5" t="s">
        <v>67</v>
      </c>
      <c r="O2854" s="20" t="b">
        <v>0</v>
      </c>
      <c r="P2854" s="20" t="s">
        <v>68</v>
      </c>
      <c r="Q2854" s="20" t="s">
        <v>69</v>
      </c>
      <c r="R2854" s="20" t="s">
        <v>5445</v>
      </c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</row>
    <row r="2855">
      <c r="A2855" s="15" t="s">
        <v>10133</v>
      </c>
      <c r="B2855" s="19">
        <v>44233.427083333336</v>
      </c>
      <c r="C2855" s="20">
        <v>50113.0</v>
      </c>
      <c r="D2855" s="20" t="s">
        <v>4937</v>
      </c>
      <c r="E2855" s="5">
        <v>9.19163066743E11</v>
      </c>
      <c r="F2855" s="21">
        <v>17938.0</v>
      </c>
      <c r="G2855" s="20"/>
      <c r="H2855" s="20" t="s">
        <v>4914</v>
      </c>
      <c r="I2855" s="20" t="s">
        <v>4915</v>
      </c>
      <c r="J2855" s="20">
        <v>1.0</v>
      </c>
      <c r="K2855" s="20">
        <v>499.0</v>
      </c>
      <c r="L2855" s="20"/>
      <c r="M2855" s="20">
        <v>499.0</v>
      </c>
      <c r="N2855" s="5" t="s">
        <v>67</v>
      </c>
      <c r="O2855" s="20" t="b">
        <v>0</v>
      </c>
      <c r="P2855" s="20" t="s">
        <v>68</v>
      </c>
      <c r="Q2855" s="20" t="s">
        <v>69</v>
      </c>
      <c r="R2855" s="20" t="s">
        <v>4918</v>
      </c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</row>
    <row r="2856">
      <c r="A2856" s="15" t="s">
        <v>10134</v>
      </c>
      <c r="B2856" s="19">
        <v>44233.433333333334</v>
      </c>
      <c r="C2856" s="20">
        <v>50073.0</v>
      </c>
      <c r="D2856" s="20" t="s">
        <v>2425</v>
      </c>
      <c r="E2856" s="5">
        <v>9.1932520704E11</v>
      </c>
      <c r="F2856" s="21">
        <v>17757.0</v>
      </c>
      <c r="G2856" s="20"/>
      <c r="H2856" s="20" t="s">
        <v>2161</v>
      </c>
      <c r="I2856" s="5"/>
      <c r="J2856" s="20">
        <v>3.0</v>
      </c>
      <c r="K2856" s="20">
        <v>1499.0</v>
      </c>
      <c r="L2856" s="20"/>
      <c r="M2856" s="20">
        <v>1499.0</v>
      </c>
      <c r="N2856" s="5" t="s">
        <v>67</v>
      </c>
      <c r="O2856" s="20" t="b">
        <v>0</v>
      </c>
      <c r="P2856" s="20" t="s">
        <v>74</v>
      </c>
      <c r="Q2856" s="20" t="s">
        <v>69</v>
      </c>
      <c r="R2856" s="20" t="s">
        <v>6497</v>
      </c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</row>
    <row r="2857">
      <c r="A2857" s="15" t="s">
        <v>10135</v>
      </c>
      <c r="B2857" s="19">
        <v>44233.43402777778</v>
      </c>
      <c r="C2857" s="20">
        <v>49996.0</v>
      </c>
      <c r="D2857" s="20" t="s">
        <v>4838</v>
      </c>
      <c r="E2857" s="5">
        <v>9.19112774858E11</v>
      </c>
      <c r="F2857" s="21">
        <v>19325.0</v>
      </c>
      <c r="G2857" s="20"/>
      <c r="H2857" s="20" t="s">
        <v>4796</v>
      </c>
      <c r="I2857" s="5"/>
      <c r="J2857" s="20">
        <v>6.0</v>
      </c>
      <c r="K2857" s="20">
        <v>349.0</v>
      </c>
      <c r="L2857" s="20"/>
      <c r="M2857" s="20">
        <v>349.0</v>
      </c>
      <c r="N2857" s="5" t="s">
        <v>67</v>
      </c>
      <c r="O2857" s="20" t="b">
        <v>0</v>
      </c>
      <c r="P2857" s="20" t="s">
        <v>68</v>
      </c>
      <c r="Q2857" s="20" t="s">
        <v>69</v>
      </c>
      <c r="R2857" s="20" t="s">
        <v>4799</v>
      </c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</row>
    <row r="2858">
      <c r="A2858" s="15" t="s">
        <v>10137</v>
      </c>
      <c r="B2858" s="19">
        <v>44233.43402777778</v>
      </c>
      <c r="C2858" s="20">
        <v>50079.0</v>
      </c>
      <c r="D2858" s="20" t="s">
        <v>4337</v>
      </c>
      <c r="E2858" s="5">
        <v>9.18149722659E11</v>
      </c>
      <c r="F2858" s="21">
        <v>19324.0</v>
      </c>
      <c r="G2858" s="20"/>
      <c r="H2858" s="20" t="s">
        <v>4281</v>
      </c>
      <c r="I2858" s="5"/>
      <c r="J2858" s="20">
        <v>1.0</v>
      </c>
      <c r="K2858" s="20">
        <v>349.0</v>
      </c>
      <c r="L2858" s="20"/>
      <c r="M2858" s="20">
        <v>349.0</v>
      </c>
      <c r="N2858" s="5" t="s">
        <v>67</v>
      </c>
      <c r="O2858" s="20" t="b">
        <v>0</v>
      </c>
      <c r="P2858" s="20" t="s">
        <v>68</v>
      </c>
      <c r="Q2858" s="20" t="s">
        <v>69</v>
      </c>
      <c r="R2858" s="20" t="s">
        <v>4284</v>
      </c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</row>
    <row r="2859">
      <c r="A2859" s="15" t="s">
        <v>10146</v>
      </c>
      <c r="B2859" s="19">
        <v>44233.45416666667</v>
      </c>
      <c r="C2859" s="20">
        <v>50052.0</v>
      </c>
      <c r="D2859" s="20" t="s">
        <v>4485</v>
      </c>
      <c r="E2859" s="5">
        <v>9.19676374558E11</v>
      </c>
      <c r="F2859" s="21">
        <v>19342.0</v>
      </c>
      <c r="G2859" s="20"/>
      <c r="H2859" s="20" t="s">
        <v>4433</v>
      </c>
      <c r="I2859" s="5"/>
      <c r="J2859" s="20">
        <v>1.0</v>
      </c>
      <c r="K2859" s="20">
        <v>99.0</v>
      </c>
      <c r="L2859" s="20"/>
      <c r="M2859" s="20">
        <v>99.0</v>
      </c>
      <c r="N2859" s="5" t="s">
        <v>67</v>
      </c>
      <c r="O2859" s="20" t="b">
        <v>0</v>
      </c>
      <c r="P2859" s="20" t="s">
        <v>97</v>
      </c>
      <c r="Q2859" s="20" t="s">
        <v>69</v>
      </c>
      <c r="R2859" s="20" t="s">
        <v>4435</v>
      </c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</row>
    <row r="2860">
      <c r="A2860" s="15" t="s">
        <v>10138</v>
      </c>
      <c r="B2860" s="19">
        <v>44233.441666666666</v>
      </c>
      <c r="C2860" s="20">
        <v>50076.0</v>
      </c>
      <c r="D2860" s="20" t="s">
        <v>6145</v>
      </c>
      <c r="E2860" s="5">
        <v>9.19636838795E11</v>
      </c>
      <c r="F2860" s="21">
        <v>19326.0</v>
      </c>
      <c r="G2860" s="20"/>
      <c r="H2860" s="20" t="s">
        <v>5984</v>
      </c>
      <c r="I2860" s="5"/>
      <c r="J2860" s="20">
        <v>1.0</v>
      </c>
      <c r="K2860" s="20">
        <v>199.0</v>
      </c>
      <c r="L2860" s="20"/>
      <c r="M2860" s="20">
        <v>199.0</v>
      </c>
      <c r="N2860" s="5" t="s">
        <v>67</v>
      </c>
      <c r="O2860" s="20" t="b">
        <v>0</v>
      </c>
      <c r="P2860" s="20" t="s">
        <v>74</v>
      </c>
      <c r="Q2860" s="20" t="s">
        <v>69</v>
      </c>
      <c r="R2860" s="20" t="s">
        <v>5987</v>
      </c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</row>
    <row r="2861">
      <c r="A2861" s="15" t="s">
        <v>10142</v>
      </c>
      <c r="B2861" s="19">
        <v>44233.44375</v>
      </c>
      <c r="C2861" s="20">
        <v>50065.0</v>
      </c>
      <c r="D2861" s="20" t="s">
        <v>2682</v>
      </c>
      <c r="E2861" s="5">
        <v>9.19870224003E11</v>
      </c>
      <c r="F2861" s="21">
        <v>19327.0</v>
      </c>
      <c r="G2861" s="20"/>
      <c r="H2861" s="20" t="s">
        <v>2601</v>
      </c>
      <c r="I2861" s="5"/>
      <c r="J2861" s="20">
        <v>1.0</v>
      </c>
      <c r="K2861" s="20">
        <v>99.0</v>
      </c>
      <c r="L2861" s="20"/>
      <c r="M2861" s="20">
        <v>99.0</v>
      </c>
      <c r="N2861" s="5" t="s">
        <v>67</v>
      </c>
      <c r="O2861" s="20" t="b">
        <v>0</v>
      </c>
      <c r="P2861" s="20" t="s">
        <v>68</v>
      </c>
      <c r="Q2861" s="20" t="s">
        <v>69</v>
      </c>
      <c r="R2861" s="20" t="s">
        <v>2604</v>
      </c>
      <c r="T2861" s="20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</row>
    <row r="2862">
      <c r="A2862" s="15" t="s">
        <v>10143</v>
      </c>
      <c r="B2862" s="19">
        <v>44233.44583333333</v>
      </c>
      <c r="C2862" s="20">
        <v>50094.0</v>
      </c>
      <c r="D2862" s="20" t="s">
        <v>5043</v>
      </c>
      <c r="E2862" s="5">
        <v>9.19061519082E11</v>
      </c>
      <c r="F2862" s="21">
        <v>19328.0</v>
      </c>
      <c r="G2862" s="20"/>
      <c r="H2862" s="20" t="s">
        <v>4942</v>
      </c>
      <c r="I2862" s="5"/>
      <c r="J2862" s="20">
        <v>1.0</v>
      </c>
      <c r="K2862" s="20">
        <v>199.0</v>
      </c>
      <c r="L2862" s="20"/>
      <c r="M2862" s="20">
        <v>199.0</v>
      </c>
      <c r="N2862" s="5" t="s">
        <v>67</v>
      </c>
      <c r="O2862" s="20" t="b">
        <v>0</v>
      </c>
      <c r="P2862" s="20" t="s">
        <v>68</v>
      </c>
      <c r="Q2862" s="20" t="s">
        <v>69</v>
      </c>
      <c r="R2862" s="20" t="s">
        <v>4945</v>
      </c>
      <c r="T2862" s="20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</row>
    <row r="2863">
      <c r="A2863" s="15" t="s">
        <v>10152</v>
      </c>
      <c r="B2863" s="19">
        <v>44233.47361111111</v>
      </c>
      <c r="C2863" s="20">
        <v>50094.0</v>
      </c>
      <c r="D2863" s="20" t="s">
        <v>5044</v>
      </c>
      <c r="E2863" s="5">
        <v>9.19825578995E11</v>
      </c>
      <c r="F2863" s="21">
        <v>19332.0</v>
      </c>
      <c r="G2863" s="20"/>
      <c r="H2863" s="20" t="s">
        <v>4942</v>
      </c>
      <c r="I2863" s="5"/>
      <c r="J2863" s="20">
        <v>1.0</v>
      </c>
      <c r="K2863" s="20">
        <v>199.0</v>
      </c>
      <c r="L2863" s="20"/>
      <c r="M2863" s="20">
        <v>199.0</v>
      </c>
      <c r="N2863" s="5" t="s">
        <v>67</v>
      </c>
      <c r="O2863" s="20" t="b">
        <v>0</v>
      </c>
      <c r="P2863" s="20" t="s">
        <v>74</v>
      </c>
      <c r="Q2863" s="20" t="s">
        <v>69</v>
      </c>
      <c r="R2863" s="20" t="s">
        <v>4945</v>
      </c>
      <c r="T2863" s="20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</row>
    <row r="2864">
      <c r="A2864" s="15" t="s">
        <v>10144</v>
      </c>
      <c r="B2864" s="19">
        <v>44233.450694444444</v>
      </c>
      <c r="C2864" s="20">
        <v>50023.0</v>
      </c>
      <c r="D2864" s="20" t="s">
        <v>5550</v>
      </c>
      <c r="E2864" s="5">
        <v>9.17018656827E11</v>
      </c>
      <c r="F2864" s="21">
        <v>19329.0</v>
      </c>
      <c r="G2864" s="20"/>
      <c r="H2864" s="20" t="s">
        <v>5508</v>
      </c>
      <c r="I2864" s="5"/>
      <c r="J2864" s="20">
        <v>1.0</v>
      </c>
      <c r="K2864" s="20">
        <v>99.0</v>
      </c>
      <c r="L2864" s="20"/>
      <c r="M2864" s="20">
        <v>99.0</v>
      </c>
      <c r="N2864" s="5" t="s">
        <v>67</v>
      </c>
      <c r="O2864" s="20" t="b">
        <v>0</v>
      </c>
      <c r="P2864" s="20" t="s">
        <v>68</v>
      </c>
      <c r="Q2864" s="20" t="s">
        <v>69</v>
      </c>
      <c r="R2864" s="20" t="s">
        <v>5510</v>
      </c>
      <c r="T2864" s="20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</row>
    <row r="2865">
      <c r="A2865" s="15" t="s">
        <v>10145</v>
      </c>
      <c r="B2865" s="19">
        <v>44233.450694444444</v>
      </c>
      <c r="C2865" s="20">
        <v>49833.0</v>
      </c>
      <c r="D2865" s="20" t="s">
        <v>4188</v>
      </c>
      <c r="E2865" s="5">
        <v>9.19774150855E11</v>
      </c>
      <c r="F2865" s="21">
        <v>19331.0</v>
      </c>
      <c r="G2865" s="20"/>
      <c r="H2865" s="20" t="s">
        <v>4030</v>
      </c>
      <c r="I2865" s="5"/>
      <c r="J2865" s="20">
        <v>6.0</v>
      </c>
      <c r="K2865" s="20">
        <v>349.0</v>
      </c>
      <c r="L2865" s="20"/>
      <c r="M2865" s="20">
        <v>349.0</v>
      </c>
      <c r="N2865" s="5" t="s">
        <v>67</v>
      </c>
      <c r="O2865" s="20" t="b">
        <v>0</v>
      </c>
      <c r="P2865" s="20" t="s">
        <v>74</v>
      </c>
      <c r="Q2865" s="20" t="s">
        <v>69</v>
      </c>
      <c r="R2865" s="20" t="s">
        <v>4033</v>
      </c>
      <c r="T2865" s="20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</row>
    <row r="2866">
      <c r="A2866" s="15" t="s">
        <v>10163</v>
      </c>
      <c r="B2866" s="19">
        <v>44233.5</v>
      </c>
      <c r="C2866" s="20">
        <v>50023.0</v>
      </c>
      <c r="D2866" s="20" t="s">
        <v>5551</v>
      </c>
      <c r="E2866" s="5">
        <v>9.19074120123E11</v>
      </c>
      <c r="F2866" s="21">
        <v>19336.0</v>
      </c>
      <c r="G2866" s="20"/>
      <c r="H2866" s="20" t="s">
        <v>5508</v>
      </c>
      <c r="I2866" s="5"/>
      <c r="J2866" s="20">
        <v>3.0</v>
      </c>
      <c r="K2866" s="20">
        <v>199.0</v>
      </c>
      <c r="L2866" s="20"/>
      <c r="M2866" s="20">
        <v>199.0</v>
      </c>
      <c r="N2866" s="5" t="s">
        <v>67</v>
      </c>
      <c r="O2866" s="20" t="b">
        <v>0</v>
      </c>
      <c r="P2866" s="20" t="s">
        <v>68</v>
      </c>
      <c r="Q2866" s="20" t="s">
        <v>69</v>
      </c>
      <c r="R2866" s="20" t="s">
        <v>5510</v>
      </c>
      <c r="T2866" s="20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</row>
    <row r="2867">
      <c r="A2867" s="15" t="s">
        <v>10157</v>
      </c>
      <c r="B2867" s="19">
        <v>44233.4875</v>
      </c>
      <c r="C2867" s="20">
        <v>49996.0</v>
      </c>
      <c r="D2867" s="20" t="s">
        <v>4839</v>
      </c>
      <c r="E2867" s="5">
        <v>9.19121648339E11</v>
      </c>
      <c r="F2867" s="21">
        <v>19333.0</v>
      </c>
      <c r="G2867" s="20"/>
      <c r="H2867" s="20" t="s">
        <v>4796</v>
      </c>
      <c r="I2867" s="5"/>
      <c r="J2867" s="20">
        <v>6.0</v>
      </c>
      <c r="K2867" s="20">
        <v>349.0</v>
      </c>
      <c r="L2867" s="20"/>
      <c r="M2867" s="20">
        <v>349.0</v>
      </c>
      <c r="N2867" s="5" t="s">
        <v>67</v>
      </c>
      <c r="O2867" s="20" t="b">
        <v>0</v>
      </c>
      <c r="P2867" s="20" t="s">
        <v>68</v>
      </c>
      <c r="Q2867" s="20" t="s">
        <v>69</v>
      </c>
      <c r="R2867" s="20" t="s">
        <v>4799</v>
      </c>
      <c r="T2867" s="20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</row>
    <row r="2868">
      <c r="A2868" s="15" t="s">
        <v>10160</v>
      </c>
      <c r="B2868" s="19">
        <v>44233.490277777775</v>
      </c>
      <c r="C2868" s="20">
        <v>49833.0</v>
      </c>
      <c r="D2868" s="20" t="s">
        <v>4189</v>
      </c>
      <c r="E2868" s="5">
        <v>9.19701936867E11</v>
      </c>
      <c r="F2868" s="21">
        <v>19334.0</v>
      </c>
      <c r="G2868" s="20"/>
      <c r="H2868" s="20" t="s">
        <v>4030</v>
      </c>
      <c r="I2868" s="5"/>
      <c r="J2868" s="20">
        <v>1.0</v>
      </c>
      <c r="K2868" s="20">
        <v>99.0</v>
      </c>
      <c r="L2868" s="20"/>
      <c r="M2868" s="20">
        <v>99.0</v>
      </c>
      <c r="N2868" s="5" t="s">
        <v>67</v>
      </c>
      <c r="O2868" s="20" t="b">
        <v>0</v>
      </c>
      <c r="P2868" s="20" t="s">
        <v>68</v>
      </c>
      <c r="Q2868" s="20" t="s">
        <v>69</v>
      </c>
      <c r="R2868" s="20" t="s">
        <v>4033</v>
      </c>
      <c r="T2868" s="20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</row>
    <row r="2869">
      <c r="A2869" s="15" t="s">
        <v>10170</v>
      </c>
      <c r="B2869" s="19">
        <v>44233.50833333333</v>
      </c>
      <c r="C2869" s="20">
        <v>49859.0</v>
      </c>
      <c r="D2869" s="20" t="s">
        <v>4733</v>
      </c>
      <c r="E2869" s="5">
        <v>9.18086498114E11</v>
      </c>
      <c r="F2869" s="21">
        <v>19337.0</v>
      </c>
      <c r="G2869" s="20"/>
      <c r="H2869" s="20" t="s">
        <v>1133</v>
      </c>
      <c r="I2869" s="5"/>
      <c r="J2869" s="20">
        <v>1.0</v>
      </c>
      <c r="K2869" s="20">
        <v>99.0</v>
      </c>
      <c r="L2869" s="20"/>
      <c r="M2869" s="20">
        <v>99.0</v>
      </c>
      <c r="N2869" s="5" t="s">
        <v>67</v>
      </c>
      <c r="O2869" s="20" t="b">
        <v>0</v>
      </c>
      <c r="P2869" s="20" t="s">
        <v>68</v>
      </c>
      <c r="Q2869" s="20" t="s">
        <v>69</v>
      </c>
      <c r="R2869" s="20" t="s">
        <v>4620</v>
      </c>
      <c r="T2869" s="20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</row>
    <row r="2870">
      <c r="A2870" s="15" t="s">
        <v>10171</v>
      </c>
      <c r="B2870" s="19">
        <v>44233.51597222222</v>
      </c>
      <c r="C2870" s="20">
        <v>50076.0</v>
      </c>
      <c r="D2870" s="20" t="s">
        <v>6146</v>
      </c>
      <c r="E2870" s="5">
        <v>9.18240531651E11</v>
      </c>
      <c r="F2870" s="21">
        <v>19339.0</v>
      </c>
      <c r="G2870" s="20"/>
      <c r="H2870" s="20" t="s">
        <v>5984</v>
      </c>
      <c r="I2870" s="5"/>
      <c r="J2870" s="20">
        <v>6.0</v>
      </c>
      <c r="K2870" s="20">
        <v>599.0</v>
      </c>
      <c r="L2870" s="20"/>
      <c r="M2870" s="20">
        <v>599.0</v>
      </c>
      <c r="N2870" s="5" t="s">
        <v>67</v>
      </c>
      <c r="O2870" s="20" t="b">
        <v>0</v>
      </c>
      <c r="P2870" s="20" t="s">
        <v>74</v>
      </c>
      <c r="Q2870" s="20" t="s">
        <v>69</v>
      </c>
      <c r="R2870" s="20" t="s">
        <v>5987</v>
      </c>
      <c r="T2870" s="20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</row>
    <row r="2871">
      <c r="A2871" s="15" t="s">
        <v>10176</v>
      </c>
      <c r="B2871" s="19">
        <v>44233.5375</v>
      </c>
      <c r="C2871" s="20">
        <v>50039.0</v>
      </c>
      <c r="D2871" s="20" t="s">
        <v>4381</v>
      </c>
      <c r="E2871" s="5">
        <v>9.19884041538E11</v>
      </c>
      <c r="F2871" s="21">
        <v>19365.0</v>
      </c>
      <c r="G2871" s="20"/>
      <c r="H2871" s="20" t="s">
        <v>4341</v>
      </c>
      <c r="I2871" s="5"/>
      <c r="J2871" s="20">
        <v>1.0</v>
      </c>
      <c r="K2871" s="20">
        <v>99.0</v>
      </c>
      <c r="L2871" s="20"/>
      <c r="M2871" s="20">
        <v>99.0</v>
      </c>
      <c r="N2871" s="5" t="s">
        <v>67</v>
      </c>
      <c r="O2871" s="20" t="b">
        <v>0</v>
      </c>
      <c r="P2871" s="20" t="s">
        <v>68</v>
      </c>
      <c r="Q2871" s="20" t="s">
        <v>69</v>
      </c>
      <c r="R2871" s="20" t="s">
        <v>4343</v>
      </c>
      <c r="T2871" s="20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</row>
    <row r="2872">
      <c r="A2872" s="15" t="s">
        <v>10177</v>
      </c>
      <c r="B2872" s="19">
        <v>44233.541666666664</v>
      </c>
      <c r="C2872" s="20">
        <v>50047.0</v>
      </c>
      <c r="D2872" s="20" t="s">
        <v>3257</v>
      </c>
      <c r="E2872" s="5">
        <v>9.19739747733E11</v>
      </c>
      <c r="F2872" s="21">
        <v>19341.0</v>
      </c>
      <c r="G2872" s="20"/>
      <c r="H2872" s="20" t="s">
        <v>3195</v>
      </c>
      <c r="I2872" s="5"/>
      <c r="J2872" s="20">
        <v>3.0</v>
      </c>
      <c r="K2872" s="20">
        <v>199.0</v>
      </c>
      <c r="L2872" s="20"/>
      <c r="M2872" s="20">
        <v>199.0</v>
      </c>
      <c r="N2872" s="5" t="s">
        <v>67</v>
      </c>
      <c r="O2872" s="20" t="b">
        <v>0</v>
      </c>
      <c r="P2872" s="20" t="s">
        <v>68</v>
      </c>
      <c r="Q2872" s="20" t="s">
        <v>69</v>
      </c>
      <c r="R2872" s="20" t="s">
        <v>3197</v>
      </c>
      <c r="T2872" s="20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</row>
    <row r="2873">
      <c r="A2873" s="15" t="s">
        <v>10178</v>
      </c>
      <c r="B2873" s="19">
        <v>44233.55347222222</v>
      </c>
      <c r="C2873" s="20">
        <v>49844.0</v>
      </c>
      <c r="D2873" s="20" t="s">
        <v>5472</v>
      </c>
      <c r="E2873" s="5">
        <v>9.1955034332E11</v>
      </c>
      <c r="F2873" s="21">
        <v>19343.0</v>
      </c>
      <c r="G2873" s="20"/>
      <c r="H2873" s="20" t="s">
        <v>885</v>
      </c>
      <c r="I2873" s="5"/>
      <c r="J2873" s="20">
        <v>1.0</v>
      </c>
      <c r="K2873" s="20">
        <v>99.0</v>
      </c>
      <c r="L2873" s="20"/>
      <c r="M2873" s="20">
        <v>99.0</v>
      </c>
      <c r="N2873" s="5" t="s">
        <v>67</v>
      </c>
      <c r="O2873" s="20" t="b">
        <v>0</v>
      </c>
      <c r="P2873" s="20" t="s">
        <v>151</v>
      </c>
      <c r="Q2873" s="20" t="s">
        <v>69</v>
      </c>
      <c r="R2873" s="20" t="s">
        <v>5445</v>
      </c>
      <c r="T2873" s="20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</row>
    <row r="2874">
      <c r="A2874" s="15" t="s">
        <v>10182</v>
      </c>
      <c r="B2874" s="19">
        <v>44233.572916666664</v>
      </c>
      <c r="C2874" s="20">
        <v>50076.0</v>
      </c>
      <c r="D2874" s="20" t="s">
        <v>6147</v>
      </c>
      <c r="E2874" s="5">
        <v>9.18755953014E11</v>
      </c>
      <c r="F2874" s="21">
        <v>19346.0</v>
      </c>
      <c r="G2874" s="20"/>
      <c r="H2874" s="20" t="s">
        <v>5984</v>
      </c>
      <c r="I2874" s="5"/>
      <c r="J2874" s="20">
        <v>1.0</v>
      </c>
      <c r="K2874" s="20">
        <v>199.0</v>
      </c>
      <c r="L2874" s="20"/>
      <c r="M2874" s="20">
        <v>199.0</v>
      </c>
      <c r="N2874" s="5" t="s">
        <v>67</v>
      </c>
      <c r="O2874" s="20" t="b">
        <v>0</v>
      </c>
      <c r="P2874" s="20" t="s">
        <v>68</v>
      </c>
      <c r="Q2874" s="20" t="s">
        <v>69</v>
      </c>
      <c r="R2874" s="20" t="s">
        <v>5987</v>
      </c>
      <c r="T2874" s="20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</row>
    <row r="2875">
      <c r="A2875" s="1" t="s">
        <v>12240</v>
      </c>
      <c r="B2875" s="19" t="s">
        <v>3678</v>
      </c>
      <c r="C2875" s="20">
        <v>50043.0</v>
      </c>
      <c r="D2875" s="20" t="s">
        <v>6147</v>
      </c>
      <c r="E2875" s="5">
        <v>9.18755953014E11</v>
      </c>
      <c r="F2875" s="21">
        <v>19346.0</v>
      </c>
      <c r="G2875" s="20"/>
      <c r="H2875" s="20" t="s">
        <v>6367</v>
      </c>
      <c r="I2875" s="5"/>
      <c r="J2875" s="20">
        <v>1.0</v>
      </c>
      <c r="K2875" s="20">
        <v>99.0</v>
      </c>
      <c r="L2875" s="20"/>
      <c r="M2875" s="20">
        <v>99.0</v>
      </c>
      <c r="N2875" s="5" t="s">
        <v>67</v>
      </c>
      <c r="O2875" s="20" t="b">
        <v>0</v>
      </c>
      <c r="P2875" s="20" t="s">
        <v>68</v>
      </c>
      <c r="Q2875" s="20" t="s">
        <v>69</v>
      </c>
      <c r="R2875" s="20" t="s">
        <v>6369</v>
      </c>
      <c r="T2875" s="20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</row>
    <row r="2876">
      <c r="A2876" s="15" t="s">
        <v>10179</v>
      </c>
      <c r="B2876" s="19">
        <v>44233.5625</v>
      </c>
      <c r="C2876" s="20">
        <v>50104.0</v>
      </c>
      <c r="D2876" s="20" t="s">
        <v>3709</v>
      </c>
      <c r="E2876" s="5">
        <v>9.17550286753E11</v>
      </c>
      <c r="F2876" s="21">
        <v>19345.0</v>
      </c>
      <c r="G2876" s="20"/>
      <c r="H2876" s="20" t="s">
        <v>3708</v>
      </c>
      <c r="I2876" s="5"/>
      <c r="J2876" s="20">
        <v>1.0</v>
      </c>
      <c r="K2876" s="20">
        <v>99.0</v>
      </c>
      <c r="L2876" s="20"/>
      <c r="M2876" s="20">
        <v>99.0</v>
      </c>
      <c r="N2876" s="5" t="s">
        <v>67</v>
      </c>
      <c r="O2876" s="20" t="b">
        <v>0</v>
      </c>
      <c r="P2876" s="20" t="s">
        <v>74</v>
      </c>
      <c r="Q2876" s="20" t="s">
        <v>69</v>
      </c>
      <c r="R2876" s="20" t="s">
        <v>3710</v>
      </c>
      <c r="T2876" s="20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</row>
    <row r="2877">
      <c r="A2877" s="15" t="s">
        <v>10185</v>
      </c>
      <c r="B2877" s="19">
        <v>44233.57916666667</v>
      </c>
      <c r="C2877" s="20">
        <v>49844.0</v>
      </c>
      <c r="D2877" s="20" t="s">
        <v>5473</v>
      </c>
      <c r="E2877" s="5">
        <v>9.18770849568E11</v>
      </c>
      <c r="F2877" s="21">
        <v>19348.0</v>
      </c>
      <c r="G2877" s="20"/>
      <c r="H2877" s="20" t="s">
        <v>885</v>
      </c>
      <c r="I2877" s="5"/>
      <c r="J2877" s="20">
        <v>1.0</v>
      </c>
      <c r="K2877" s="20">
        <v>99.0</v>
      </c>
      <c r="L2877" s="20"/>
      <c r="M2877" s="20">
        <v>99.0</v>
      </c>
      <c r="N2877" s="5" t="s">
        <v>67</v>
      </c>
      <c r="O2877" s="20" t="b">
        <v>0</v>
      </c>
      <c r="P2877" s="20" t="s">
        <v>68</v>
      </c>
      <c r="Q2877" s="20" t="s">
        <v>69</v>
      </c>
      <c r="R2877" s="20" t="s">
        <v>5445</v>
      </c>
      <c r="T2877" s="20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</row>
    <row r="2878">
      <c r="A2878" s="15" t="s">
        <v>10180</v>
      </c>
      <c r="B2878" s="19">
        <v>44233.56527777778</v>
      </c>
      <c r="C2878" s="20">
        <v>50065.0</v>
      </c>
      <c r="D2878" s="20" t="s">
        <v>2683</v>
      </c>
      <c r="E2878" s="5">
        <v>9.16360484826E11</v>
      </c>
      <c r="F2878" s="21">
        <v>0.0</v>
      </c>
      <c r="G2878" s="20"/>
      <c r="H2878" s="20" t="s">
        <v>2601</v>
      </c>
      <c r="I2878" s="5"/>
      <c r="J2878" s="20">
        <v>1.0</v>
      </c>
      <c r="K2878" s="20">
        <v>99.0</v>
      </c>
      <c r="L2878" s="20"/>
      <c r="M2878" s="20">
        <v>99.0</v>
      </c>
      <c r="N2878" s="5" t="s">
        <v>67</v>
      </c>
      <c r="O2878" s="20" t="b">
        <v>0</v>
      </c>
      <c r="P2878" s="20" t="s">
        <v>68</v>
      </c>
      <c r="Q2878" s="20" t="s">
        <v>69</v>
      </c>
      <c r="R2878" s="20" t="s">
        <v>2604</v>
      </c>
      <c r="T2878" s="20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</row>
    <row r="2879">
      <c r="A2879" s="15" t="s">
        <v>10181</v>
      </c>
      <c r="B2879" s="19">
        <v>44233.56597222222</v>
      </c>
      <c r="C2879" s="20">
        <v>50029.0</v>
      </c>
      <c r="D2879" s="20" t="s">
        <v>2874</v>
      </c>
      <c r="E2879" s="5">
        <v>9.19809776147E11</v>
      </c>
      <c r="F2879" s="21">
        <v>19344.0</v>
      </c>
      <c r="G2879" s="20"/>
      <c r="H2879" s="20" t="s">
        <v>2761</v>
      </c>
      <c r="I2879" s="5"/>
      <c r="J2879" s="20">
        <v>1.0</v>
      </c>
      <c r="K2879" s="20">
        <v>99.0</v>
      </c>
      <c r="L2879" s="20"/>
      <c r="M2879" s="20">
        <v>99.0</v>
      </c>
      <c r="N2879" s="5" t="s">
        <v>67</v>
      </c>
      <c r="O2879" s="20" t="b">
        <v>0</v>
      </c>
      <c r="P2879" s="20" t="s">
        <v>68</v>
      </c>
      <c r="Q2879" s="20" t="s">
        <v>69</v>
      </c>
      <c r="R2879" s="20" t="s">
        <v>2763</v>
      </c>
      <c r="T2879" s="20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</row>
    <row r="2880">
      <c r="A2880" s="15" t="s">
        <v>10186</v>
      </c>
      <c r="B2880" s="19">
        <v>44233.584027777775</v>
      </c>
      <c r="C2880" s="20">
        <v>50054.0</v>
      </c>
      <c r="D2880" s="20" t="s">
        <v>5916</v>
      </c>
      <c r="E2880" s="5">
        <v>9.19747905797E11</v>
      </c>
      <c r="F2880" s="21">
        <v>19347.0</v>
      </c>
      <c r="G2880" s="20"/>
      <c r="H2880" s="20" t="s">
        <v>5822</v>
      </c>
      <c r="I2880" s="5"/>
      <c r="J2880" s="20">
        <v>1.0</v>
      </c>
      <c r="K2880" s="20">
        <v>99.0</v>
      </c>
      <c r="L2880" s="20"/>
      <c r="M2880" s="20">
        <v>99.0</v>
      </c>
      <c r="N2880" s="5" t="s">
        <v>67</v>
      </c>
      <c r="O2880" s="20" t="b">
        <v>0</v>
      </c>
      <c r="P2880" s="20" t="s">
        <v>68</v>
      </c>
      <c r="Q2880" s="20" t="s">
        <v>69</v>
      </c>
      <c r="R2880" s="20" t="s">
        <v>5824</v>
      </c>
      <c r="T2880" s="20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</row>
    <row r="2881">
      <c r="A2881" s="15" t="s">
        <v>10191</v>
      </c>
      <c r="B2881" s="19">
        <v>44233.59097222222</v>
      </c>
      <c r="C2881" s="20">
        <v>50022.0</v>
      </c>
      <c r="D2881" s="20" t="s">
        <v>5280</v>
      </c>
      <c r="E2881" s="5">
        <v>9.18090208755E11</v>
      </c>
      <c r="F2881" s="21">
        <v>19349.0</v>
      </c>
      <c r="G2881" s="20"/>
      <c r="H2881" s="20" t="s">
        <v>5181</v>
      </c>
      <c r="I2881" s="5"/>
      <c r="J2881" s="20">
        <v>1.0</v>
      </c>
      <c r="K2881" s="20">
        <v>99.0</v>
      </c>
      <c r="L2881" s="20"/>
      <c r="M2881" s="20">
        <v>99.0</v>
      </c>
      <c r="N2881" s="5" t="s">
        <v>67</v>
      </c>
      <c r="O2881" s="20" t="b">
        <v>0</v>
      </c>
      <c r="P2881" s="20" t="s">
        <v>68</v>
      </c>
      <c r="Q2881" s="20" t="s">
        <v>69</v>
      </c>
      <c r="R2881" s="20" t="s">
        <v>5183</v>
      </c>
      <c r="T2881" s="20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</row>
    <row r="2882">
      <c r="A2882" s="15" t="s">
        <v>10195</v>
      </c>
      <c r="B2882" s="19">
        <v>44233.61875</v>
      </c>
      <c r="C2882" s="20">
        <v>49844.0</v>
      </c>
      <c r="D2882" s="20" t="s">
        <v>5474</v>
      </c>
      <c r="E2882" s="5">
        <v>9.18320657503E11</v>
      </c>
      <c r="F2882" s="21">
        <v>19351.0</v>
      </c>
      <c r="G2882" s="20"/>
      <c r="H2882" s="20" t="s">
        <v>885</v>
      </c>
      <c r="I2882" s="5"/>
      <c r="J2882" s="20">
        <v>1.0</v>
      </c>
      <c r="K2882" s="20">
        <v>99.0</v>
      </c>
      <c r="L2882" s="20"/>
      <c r="M2882" s="20">
        <v>99.0</v>
      </c>
      <c r="N2882" s="5" t="s">
        <v>67</v>
      </c>
      <c r="O2882" s="20" t="b">
        <v>0</v>
      </c>
      <c r="P2882" s="20" t="s">
        <v>68</v>
      </c>
      <c r="Q2882" s="20" t="s">
        <v>69</v>
      </c>
      <c r="R2882" s="20" t="s">
        <v>5445</v>
      </c>
      <c r="T2882" s="20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</row>
    <row r="2883">
      <c r="A2883" s="15" t="s">
        <v>10196</v>
      </c>
      <c r="B2883" s="19">
        <v>44233.64027777778</v>
      </c>
      <c r="C2883" s="20">
        <v>49835.0</v>
      </c>
      <c r="D2883" s="20" t="s">
        <v>3927</v>
      </c>
      <c r="E2883" s="5">
        <v>9.16287783448E11</v>
      </c>
      <c r="F2883" s="21">
        <v>19353.0</v>
      </c>
      <c r="G2883" s="20"/>
      <c r="H2883" s="20" t="s">
        <v>680</v>
      </c>
      <c r="I2883" s="5"/>
      <c r="J2883" s="20">
        <v>1.0</v>
      </c>
      <c r="K2883" s="20">
        <v>99.0</v>
      </c>
      <c r="L2883" s="20"/>
      <c r="M2883" s="20">
        <v>99.0</v>
      </c>
      <c r="N2883" s="5" t="s">
        <v>67</v>
      </c>
      <c r="O2883" s="20" t="b">
        <v>0</v>
      </c>
      <c r="P2883" s="20" t="s">
        <v>68</v>
      </c>
      <c r="Q2883" s="20" t="s">
        <v>69</v>
      </c>
      <c r="R2883" s="20" t="s">
        <v>3888</v>
      </c>
      <c r="T2883" s="20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</row>
    <row r="2884">
      <c r="A2884" s="15" t="s">
        <v>10201</v>
      </c>
      <c r="B2884" s="19">
        <v>44233.65972222222</v>
      </c>
      <c r="C2884" s="20">
        <v>50079.0</v>
      </c>
      <c r="D2884" s="20" t="s">
        <v>4339</v>
      </c>
      <c r="E2884" s="5">
        <v>9.19545451193E11</v>
      </c>
      <c r="F2884" s="21">
        <v>19358.0</v>
      </c>
      <c r="G2884" s="20"/>
      <c r="H2884" s="20" t="s">
        <v>4281</v>
      </c>
      <c r="I2884" s="5"/>
      <c r="J2884" s="20">
        <v>1.0</v>
      </c>
      <c r="K2884" s="20">
        <v>99.0</v>
      </c>
      <c r="L2884" s="20"/>
      <c r="M2884" s="20">
        <v>99.0</v>
      </c>
      <c r="N2884" s="5" t="s">
        <v>67</v>
      </c>
      <c r="O2884" s="20" t="b">
        <v>0</v>
      </c>
      <c r="P2884" s="20" t="s">
        <v>68</v>
      </c>
      <c r="Q2884" s="20" t="s">
        <v>69</v>
      </c>
      <c r="R2884" s="20" t="s">
        <v>4284</v>
      </c>
      <c r="T2884" s="20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</row>
    <row r="2885">
      <c r="A2885" s="15" t="s">
        <v>10197</v>
      </c>
      <c r="B2885" s="19">
        <v>44233.646527777775</v>
      </c>
      <c r="C2885" s="20">
        <v>50079.0</v>
      </c>
      <c r="D2885" s="20" t="s">
        <v>4338</v>
      </c>
      <c r="E2885" s="5">
        <v>9.19977430111E11</v>
      </c>
      <c r="F2885" s="21">
        <v>19354.0</v>
      </c>
      <c r="G2885" s="20"/>
      <c r="H2885" s="20" t="s">
        <v>4281</v>
      </c>
      <c r="I2885" s="5"/>
      <c r="J2885" s="20">
        <v>1.0</v>
      </c>
      <c r="K2885" s="20">
        <v>99.0</v>
      </c>
      <c r="L2885" s="20"/>
      <c r="M2885" s="20">
        <v>99.0</v>
      </c>
      <c r="N2885" s="5" t="s">
        <v>67</v>
      </c>
      <c r="O2885" s="20" t="b">
        <v>0</v>
      </c>
      <c r="P2885" s="20" t="s">
        <v>68</v>
      </c>
      <c r="Q2885" s="20" t="s">
        <v>69</v>
      </c>
      <c r="R2885" s="20" t="s">
        <v>4284</v>
      </c>
      <c r="T2885" s="20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</row>
    <row r="2886">
      <c r="A2886" s="15" t="s">
        <v>10198</v>
      </c>
      <c r="B2886" s="19">
        <v>44233.65</v>
      </c>
      <c r="C2886" s="20">
        <v>50052.0</v>
      </c>
      <c r="D2886" s="20" t="s">
        <v>4486</v>
      </c>
      <c r="E2886" s="5">
        <v>9.18538021882E11</v>
      </c>
      <c r="F2886" s="21">
        <v>19355.0</v>
      </c>
      <c r="G2886" s="20"/>
      <c r="H2886" s="20" t="s">
        <v>4433</v>
      </c>
      <c r="I2886" s="5"/>
      <c r="J2886" s="20">
        <v>1.0</v>
      </c>
      <c r="K2886" s="20">
        <v>99.0</v>
      </c>
      <c r="L2886" s="20"/>
      <c r="M2886" s="20">
        <v>99.0</v>
      </c>
      <c r="N2886" s="5" t="s">
        <v>67</v>
      </c>
      <c r="O2886" s="20" t="b">
        <v>0</v>
      </c>
      <c r="P2886" s="20" t="s">
        <v>68</v>
      </c>
      <c r="Q2886" s="20" t="s">
        <v>69</v>
      </c>
      <c r="R2886" s="20" t="s">
        <v>4435</v>
      </c>
      <c r="T2886" s="20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</row>
    <row r="2887">
      <c r="A2887" s="15" t="s">
        <v>10199</v>
      </c>
      <c r="B2887" s="19">
        <v>44233.65138888889</v>
      </c>
      <c r="C2887" s="20">
        <v>49997.0</v>
      </c>
      <c r="D2887" s="20" t="s">
        <v>2542</v>
      </c>
      <c r="E2887" s="5">
        <v>9.19996537899E11</v>
      </c>
      <c r="F2887" s="21">
        <v>19356.0</v>
      </c>
      <c r="G2887" s="20"/>
      <c r="H2887" s="20" t="s">
        <v>2455</v>
      </c>
      <c r="I2887" s="5"/>
      <c r="J2887" s="20">
        <v>3.0</v>
      </c>
      <c r="K2887" s="20">
        <v>199.0</v>
      </c>
      <c r="L2887" s="20"/>
      <c r="M2887" s="20">
        <v>199.0</v>
      </c>
      <c r="N2887" s="5" t="s">
        <v>67</v>
      </c>
      <c r="O2887" s="20" t="b">
        <v>0</v>
      </c>
      <c r="P2887" s="20" t="s">
        <v>68</v>
      </c>
      <c r="Q2887" s="20" t="s">
        <v>69</v>
      </c>
      <c r="R2887" s="20" t="s">
        <v>2457</v>
      </c>
      <c r="T2887" s="20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</row>
    <row r="2888">
      <c r="A2888" s="15" t="s">
        <v>10200</v>
      </c>
      <c r="B2888" s="19">
        <v>44233.65277777778</v>
      </c>
      <c r="C2888" s="20">
        <v>49859.0</v>
      </c>
      <c r="D2888" s="20" t="s">
        <v>4734</v>
      </c>
      <c r="E2888" s="5">
        <v>9.19822325579E11</v>
      </c>
      <c r="F2888" s="22" t="s">
        <v>12593</v>
      </c>
      <c r="G2888" s="20"/>
      <c r="H2888" s="20" t="s">
        <v>1133</v>
      </c>
      <c r="I2888" s="5"/>
      <c r="J2888" s="20">
        <v>1.0</v>
      </c>
      <c r="K2888" s="20">
        <v>99.0</v>
      </c>
      <c r="L2888" s="20"/>
      <c r="M2888" s="20">
        <v>99.0</v>
      </c>
      <c r="N2888" s="5" t="s">
        <v>67</v>
      </c>
      <c r="O2888" s="20" t="b">
        <v>0</v>
      </c>
      <c r="P2888" s="20" t="s">
        <v>68</v>
      </c>
      <c r="Q2888" s="20" t="s">
        <v>69</v>
      </c>
      <c r="R2888" s="20" t="s">
        <v>4620</v>
      </c>
      <c r="T2888" s="20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</row>
    <row r="2889">
      <c r="A2889" s="15" t="s">
        <v>10392</v>
      </c>
      <c r="B2889" s="19">
        <v>44261.73333333333</v>
      </c>
      <c r="C2889" s="20">
        <v>50023.0</v>
      </c>
      <c r="D2889" s="20" t="s">
        <v>5559</v>
      </c>
      <c r="E2889" s="5">
        <v>9.19892410073E11</v>
      </c>
      <c r="F2889" s="21">
        <v>19446.0</v>
      </c>
      <c r="G2889" s="20"/>
      <c r="H2889" s="20" t="s">
        <v>5508</v>
      </c>
      <c r="I2889" s="5"/>
      <c r="J2889" s="20">
        <v>1.0</v>
      </c>
      <c r="K2889" s="20">
        <v>99.0</v>
      </c>
      <c r="L2889" s="20"/>
      <c r="M2889" s="20">
        <v>99.0</v>
      </c>
      <c r="N2889" s="5" t="s">
        <v>67</v>
      </c>
      <c r="O2889" s="20" t="b">
        <v>0</v>
      </c>
      <c r="P2889" s="20" t="s">
        <v>68</v>
      </c>
      <c r="Q2889" s="20" t="s">
        <v>69</v>
      </c>
      <c r="R2889" s="20" t="s">
        <v>5510</v>
      </c>
      <c r="T2889" s="20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</row>
    <row r="2890">
      <c r="A2890" s="15" t="s">
        <v>10204</v>
      </c>
      <c r="B2890" s="19">
        <v>44233.67638888889</v>
      </c>
      <c r="C2890" s="20">
        <v>50052.0</v>
      </c>
      <c r="D2890" s="20" t="s">
        <v>4487</v>
      </c>
      <c r="E2890" s="5">
        <v>9.19591812767E11</v>
      </c>
      <c r="F2890" s="21">
        <v>19360.0</v>
      </c>
      <c r="G2890" s="20"/>
      <c r="H2890" s="20" t="s">
        <v>4433</v>
      </c>
      <c r="I2890" s="5"/>
      <c r="J2890" s="20">
        <v>1.0</v>
      </c>
      <c r="K2890" s="20">
        <v>99.0</v>
      </c>
      <c r="L2890" s="20"/>
      <c r="M2890" s="20">
        <v>99.0</v>
      </c>
      <c r="N2890" s="5" t="s">
        <v>67</v>
      </c>
      <c r="O2890" s="20" t="b">
        <v>0</v>
      </c>
      <c r="P2890" s="20" t="s">
        <v>68</v>
      </c>
      <c r="Q2890" s="20" t="s">
        <v>69</v>
      </c>
      <c r="R2890" s="20" t="s">
        <v>4435</v>
      </c>
      <c r="T2890" s="20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</row>
    <row r="2891">
      <c r="A2891" s="15" t="s">
        <v>10394</v>
      </c>
      <c r="B2891" s="19">
        <v>44261.75555555556</v>
      </c>
      <c r="C2891" s="20">
        <v>50029.0</v>
      </c>
      <c r="D2891" s="20" t="s">
        <v>2878</v>
      </c>
      <c r="E2891" s="5">
        <v>9.18885747184E11</v>
      </c>
      <c r="F2891" s="21">
        <v>19451.0</v>
      </c>
      <c r="G2891" s="20"/>
      <c r="H2891" s="20" t="s">
        <v>2761</v>
      </c>
      <c r="I2891" s="5"/>
      <c r="J2891" s="20">
        <v>1.0</v>
      </c>
      <c r="K2891" s="20">
        <v>99.0</v>
      </c>
      <c r="L2891" s="20"/>
      <c r="M2891" s="20">
        <v>99.0</v>
      </c>
      <c r="N2891" s="5" t="s">
        <v>67</v>
      </c>
      <c r="O2891" s="20" t="b">
        <v>0</v>
      </c>
      <c r="P2891" s="20" t="s">
        <v>68</v>
      </c>
      <c r="Q2891" s="20" t="s">
        <v>69</v>
      </c>
      <c r="R2891" s="20" t="s">
        <v>2763</v>
      </c>
      <c r="T2891" s="20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</row>
    <row r="2892">
      <c r="A2892" s="15" t="s">
        <v>10206</v>
      </c>
      <c r="B2892" s="19">
        <v>44233.69652777778</v>
      </c>
      <c r="C2892" s="20">
        <v>50076.0</v>
      </c>
      <c r="D2892" s="20" t="s">
        <v>6148</v>
      </c>
      <c r="E2892" s="5">
        <v>9.18284983011E11</v>
      </c>
      <c r="F2892" s="21">
        <v>19362.0</v>
      </c>
      <c r="G2892" s="20"/>
      <c r="H2892" s="20" t="s">
        <v>5984</v>
      </c>
      <c r="I2892" s="5"/>
      <c r="J2892" s="20">
        <v>1.0</v>
      </c>
      <c r="K2892" s="20">
        <v>199.0</v>
      </c>
      <c r="L2892" s="20"/>
      <c r="M2892" s="20">
        <v>199.0</v>
      </c>
      <c r="N2892" s="5" t="s">
        <v>67</v>
      </c>
      <c r="O2892" s="20" t="b">
        <v>0</v>
      </c>
      <c r="P2892" s="20" t="s">
        <v>68</v>
      </c>
      <c r="Q2892" s="20" t="s">
        <v>69</v>
      </c>
      <c r="R2892" s="20" t="s">
        <v>5987</v>
      </c>
      <c r="T2892" s="20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</row>
    <row r="2893">
      <c r="A2893" s="15" t="s">
        <v>10395</v>
      </c>
      <c r="B2893" s="19">
        <v>44261.75833333333</v>
      </c>
      <c r="C2893" s="20">
        <v>49907.0</v>
      </c>
      <c r="D2893" s="20" t="s">
        <v>3821</v>
      </c>
      <c r="E2893" s="5">
        <v>9.18286178078E11</v>
      </c>
      <c r="F2893" s="21">
        <v>19452.0</v>
      </c>
      <c r="G2893" s="20"/>
      <c r="H2893" s="20" t="s">
        <v>587</v>
      </c>
      <c r="I2893" s="5"/>
      <c r="J2893" s="20">
        <v>1.0</v>
      </c>
      <c r="K2893" s="20">
        <v>99.0</v>
      </c>
      <c r="L2893" s="20"/>
      <c r="M2893" s="20">
        <v>99.0</v>
      </c>
      <c r="N2893" s="5" t="s">
        <v>67</v>
      </c>
      <c r="O2893" s="20" t="b">
        <v>0</v>
      </c>
      <c r="P2893" s="20" t="s">
        <v>151</v>
      </c>
      <c r="Q2893" s="20" t="s">
        <v>69</v>
      </c>
      <c r="R2893" s="20" t="s">
        <v>3822</v>
      </c>
      <c r="T2893" s="20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</row>
    <row r="2894">
      <c r="A2894" s="15" t="s">
        <v>10396</v>
      </c>
      <c r="B2894" s="19">
        <v>44261.763194444444</v>
      </c>
      <c r="C2894" s="20">
        <v>49907.0</v>
      </c>
      <c r="D2894" s="20" t="s">
        <v>3823</v>
      </c>
      <c r="E2894" s="5">
        <v>9.18501013821E11</v>
      </c>
      <c r="F2894" s="21">
        <v>19454.0</v>
      </c>
      <c r="G2894" s="20"/>
      <c r="H2894" s="20" t="s">
        <v>587</v>
      </c>
      <c r="I2894" s="5"/>
      <c r="J2894" s="20">
        <v>1.0</v>
      </c>
      <c r="K2894" s="20">
        <v>99.0</v>
      </c>
      <c r="L2894" s="20"/>
      <c r="M2894" s="20">
        <v>99.0</v>
      </c>
      <c r="N2894" s="5" t="s">
        <v>67</v>
      </c>
      <c r="O2894" s="20" t="b">
        <v>0</v>
      </c>
      <c r="P2894" s="20" t="s">
        <v>68</v>
      </c>
      <c r="Q2894" s="20" t="s">
        <v>69</v>
      </c>
      <c r="R2894" s="20" t="s">
        <v>3822</v>
      </c>
      <c r="T2894" s="20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</row>
    <row r="2895">
      <c r="A2895" s="15" t="s">
        <v>10207</v>
      </c>
      <c r="B2895" s="19">
        <v>44233.70138888889</v>
      </c>
      <c r="C2895" s="20">
        <v>50039.0</v>
      </c>
      <c r="D2895" s="20" t="s">
        <v>4382</v>
      </c>
      <c r="E2895" s="5">
        <v>9.19804510896E11</v>
      </c>
      <c r="F2895" s="21">
        <v>19513.0</v>
      </c>
      <c r="G2895" s="20"/>
      <c r="H2895" s="20" t="s">
        <v>4341</v>
      </c>
      <c r="I2895" s="5"/>
      <c r="J2895" s="20">
        <v>3.0</v>
      </c>
      <c r="K2895" s="20">
        <v>199.0</v>
      </c>
      <c r="L2895" s="20"/>
      <c r="M2895" s="20">
        <v>199.0</v>
      </c>
      <c r="N2895" s="5" t="s">
        <v>67</v>
      </c>
      <c r="O2895" s="20" t="b">
        <v>0</v>
      </c>
      <c r="P2895" s="20" t="s">
        <v>74</v>
      </c>
      <c r="Q2895" s="20" t="s">
        <v>69</v>
      </c>
      <c r="R2895" s="20" t="s">
        <v>4343</v>
      </c>
      <c r="T2895" s="20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</row>
    <row r="2896">
      <c r="A2896" s="15" t="s">
        <v>10205</v>
      </c>
      <c r="B2896" s="19">
        <v>44233.68402777778</v>
      </c>
      <c r="C2896" s="20">
        <v>49813.0</v>
      </c>
      <c r="D2896" s="20" t="s">
        <v>5160</v>
      </c>
      <c r="E2896" s="5">
        <v>9.18668022259E11</v>
      </c>
      <c r="F2896" s="21">
        <v>19361.0</v>
      </c>
      <c r="G2896" s="20"/>
      <c r="H2896" s="20" t="s">
        <v>5114</v>
      </c>
      <c r="I2896" s="5"/>
      <c r="J2896" s="20">
        <v>1.0</v>
      </c>
      <c r="K2896" s="20">
        <v>299.0</v>
      </c>
      <c r="L2896" s="20"/>
      <c r="M2896" s="20">
        <v>299.0</v>
      </c>
      <c r="N2896" s="5" t="s">
        <v>67</v>
      </c>
      <c r="O2896" s="20" t="b">
        <v>0</v>
      </c>
      <c r="P2896" s="20" t="s">
        <v>68</v>
      </c>
      <c r="Q2896" s="20" t="s">
        <v>69</v>
      </c>
      <c r="R2896" s="20" t="s">
        <v>5116</v>
      </c>
      <c r="T2896" s="20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</row>
    <row r="2897">
      <c r="A2897" s="15" t="s">
        <v>10393</v>
      </c>
      <c r="B2897" s="19">
        <v>44261.74513888889</v>
      </c>
      <c r="C2897" s="20">
        <v>49991.0</v>
      </c>
      <c r="D2897" s="20" t="s">
        <v>3145</v>
      </c>
      <c r="E2897" s="5">
        <v>9.18910275498E11</v>
      </c>
      <c r="F2897" s="22" t="s">
        <v>12593</v>
      </c>
      <c r="G2897" s="20"/>
      <c r="H2897" s="20" t="s">
        <v>3055</v>
      </c>
      <c r="I2897" s="5"/>
      <c r="J2897" s="20">
        <v>3.0</v>
      </c>
      <c r="K2897" s="20">
        <v>199.0</v>
      </c>
      <c r="L2897" s="20"/>
      <c r="M2897" s="20">
        <v>199.0</v>
      </c>
      <c r="N2897" s="5" t="s">
        <v>67</v>
      </c>
      <c r="O2897" s="20" t="b">
        <v>0</v>
      </c>
      <c r="P2897" s="20" t="s">
        <v>74</v>
      </c>
      <c r="Q2897" s="20" t="s">
        <v>69</v>
      </c>
      <c r="R2897" s="20" t="s">
        <v>3057</v>
      </c>
      <c r="T2897" s="20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</row>
    <row r="2898">
      <c r="A2898" s="15" t="s">
        <v>10210</v>
      </c>
      <c r="B2898" s="19">
        <v>44233.70486111111</v>
      </c>
      <c r="C2898" s="20">
        <v>50076.0</v>
      </c>
      <c r="D2898" s="20" t="s">
        <v>6149</v>
      </c>
      <c r="E2898" s="5">
        <v>9.18085507013E11</v>
      </c>
      <c r="F2898" s="21">
        <v>19363.0</v>
      </c>
      <c r="G2898" s="20"/>
      <c r="H2898" s="20" t="s">
        <v>5984</v>
      </c>
      <c r="I2898" s="5"/>
      <c r="J2898" s="20">
        <v>1.0</v>
      </c>
      <c r="K2898" s="20">
        <v>199.0</v>
      </c>
      <c r="L2898" s="20"/>
      <c r="M2898" s="20">
        <v>199.0</v>
      </c>
      <c r="N2898" s="5" t="s">
        <v>67</v>
      </c>
      <c r="O2898" s="20" t="b">
        <v>0</v>
      </c>
      <c r="P2898" s="20" t="s">
        <v>68</v>
      </c>
      <c r="Q2898" s="20" t="s">
        <v>69</v>
      </c>
      <c r="R2898" s="20" t="s">
        <v>5987</v>
      </c>
      <c r="T2898" s="20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</row>
    <row r="2899">
      <c r="A2899" s="15" t="s">
        <v>10398</v>
      </c>
      <c r="B2899" s="19">
        <v>44261.76597222222</v>
      </c>
      <c r="C2899" s="20">
        <v>50052.0</v>
      </c>
      <c r="D2899" s="20" t="s">
        <v>4490</v>
      </c>
      <c r="E2899" s="5">
        <v>9.17828922558E11</v>
      </c>
      <c r="F2899" s="22" t="s">
        <v>12593</v>
      </c>
      <c r="G2899" s="20"/>
      <c r="H2899" s="20" t="s">
        <v>4433</v>
      </c>
      <c r="I2899" s="5"/>
      <c r="J2899" s="20">
        <v>1.0</v>
      </c>
      <c r="K2899" s="20">
        <v>99.0</v>
      </c>
      <c r="L2899" s="20"/>
      <c r="M2899" s="20">
        <v>99.0</v>
      </c>
      <c r="N2899" s="5" t="s">
        <v>67</v>
      </c>
      <c r="O2899" s="20" t="b">
        <v>0</v>
      </c>
      <c r="P2899" s="20" t="s">
        <v>68</v>
      </c>
      <c r="Q2899" s="20" t="s">
        <v>69</v>
      </c>
      <c r="R2899" s="20" t="s">
        <v>4435</v>
      </c>
      <c r="T2899" s="20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</row>
    <row r="2900">
      <c r="A2900" s="15" t="s">
        <v>10211</v>
      </c>
      <c r="B2900" s="19">
        <v>44233.70972222222</v>
      </c>
      <c r="C2900" s="20">
        <v>49991.0</v>
      </c>
      <c r="D2900" s="20" t="s">
        <v>3138</v>
      </c>
      <c r="E2900" s="5">
        <v>9.19983411578E11</v>
      </c>
      <c r="F2900" s="22" t="s">
        <v>12593</v>
      </c>
      <c r="G2900" s="20"/>
      <c r="H2900" s="20" t="s">
        <v>3055</v>
      </c>
      <c r="I2900" s="5"/>
      <c r="J2900" s="20">
        <v>1.0</v>
      </c>
      <c r="K2900" s="20">
        <v>99.0</v>
      </c>
      <c r="L2900" s="20"/>
      <c r="M2900" s="20">
        <v>99.0</v>
      </c>
      <c r="N2900" s="5" t="s">
        <v>67</v>
      </c>
      <c r="O2900" s="20" t="b">
        <v>0</v>
      </c>
      <c r="P2900" s="20" t="s">
        <v>68</v>
      </c>
      <c r="Q2900" s="20" t="s">
        <v>69</v>
      </c>
      <c r="R2900" s="20" t="s">
        <v>3057</v>
      </c>
      <c r="T2900" s="20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</row>
    <row r="2901">
      <c r="A2901" s="15" t="s">
        <v>10399</v>
      </c>
      <c r="B2901" s="19">
        <v>44261.771527777775</v>
      </c>
      <c r="C2901" s="20">
        <v>49994.0</v>
      </c>
      <c r="D2901" s="20" t="s">
        <v>6648</v>
      </c>
      <c r="E2901" s="5">
        <v>9.1789329353E11</v>
      </c>
      <c r="F2901" s="21">
        <v>19455.0</v>
      </c>
      <c r="G2901" s="20"/>
      <c r="H2901" s="20" t="s">
        <v>1264</v>
      </c>
      <c r="I2901" s="5"/>
      <c r="J2901" s="20">
        <v>1.0</v>
      </c>
      <c r="K2901" s="20">
        <v>99.0</v>
      </c>
      <c r="L2901" s="20"/>
      <c r="M2901" s="20">
        <v>99.0</v>
      </c>
      <c r="N2901" s="5" t="s">
        <v>67</v>
      </c>
      <c r="O2901" s="20" t="b">
        <v>0</v>
      </c>
      <c r="P2901" s="20" t="s">
        <v>68</v>
      </c>
      <c r="Q2901" s="20" t="s">
        <v>69</v>
      </c>
      <c r="R2901" s="20" t="s">
        <v>6615</v>
      </c>
      <c r="T2901" s="20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</row>
    <row r="2902">
      <c r="A2902" s="15" t="s">
        <v>10217</v>
      </c>
      <c r="B2902" s="19">
        <v>44233.739583333336</v>
      </c>
      <c r="C2902" s="20">
        <v>50047.0</v>
      </c>
      <c r="D2902" s="20" t="s">
        <v>3258</v>
      </c>
      <c r="E2902" s="5">
        <v>9.18089408986E11</v>
      </c>
      <c r="F2902" s="21">
        <v>19366.0</v>
      </c>
      <c r="G2902" s="20"/>
      <c r="H2902" s="20" t="s">
        <v>3195</v>
      </c>
      <c r="I2902" s="5"/>
      <c r="J2902" s="20">
        <v>3.0</v>
      </c>
      <c r="K2902" s="20">
        <v>199.0</v>
      </c>
      <c r="L2902" s="20"/>
      <c r="M2902" s="20">
        <v>199.0</v>
      </c>
      <c r="N2902" s="5" t="s">
        <v>67</v>
      </c>
      <c r="O2902" s="20" t="b">
        <v>0</v>
      </c>
      <c r="P2902" s="20" t="s">
        <v>151</v>
      </c>
      <c r="Q2902" s="20" t="s">
        <v>69</v>
      </c>
      <c r="R2902" s="20" t="s">
        <v>3197</v>
      </c>
      <c r="T2902" s="20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</row>
    <row r="2903">
      <c r="A2903" s="15" t="s">
        <v>10402</v>
      </c>
      <c r="B2903" s="19">
        <v>44261.7875</v>
      </c>
      <c r="C2903" s="20">
        <v>49991.0</v>
      </c>
      <c r="D2903" s="20" t="s">
        <v>3146</v>
      </c>
      <c r="E2903" s="5">
        <v>9.17021122874E11</v>
      </c>
      <c r="F2903" s="21">
        <v>19457.0</v>
      </c>
      <c r="G2903" s="20"/>
      <c r="H2903" s="20" t="s">
        <v>3055</v>
      </c>
      <c r="I2903" s="5"/>
      <c r="J2903" s="20">
        <v>1.0</v>
      </c>
      <c r="K2903" s="20">
        <v>99.0</v>
      </c>
      <c r="L2903" s="20"/>
      <c r="M2903" s="20">
        <v>99.0</v>
      </c>
      <c r="N2903" s="5" t="s">
        <v>67</v>
      </c>
      <c r="O2903" s="20" t="b">
        <v>0</v>
      </c>
      <c r="P2903" s="20" t="s">
        <v>68</v>
      </c>
      <c r="Q2903" s="20" t="s">
        <v>69</v>
      </c>
      <c r="R2903" s="20" t="s">
        <v>3057</v>
      </c>
      <c r="T2903" s="20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</row>
    <row r="2904">
      <c r="A2904" s="15" t="s">
        <v>10219</v>
      </c>
      <c r="B2904" s="19">
        <v>44233.74513888889</v>
      </c>
      <c r="C2904" s="20">
        <v>50039.0</v>
      </c>
      <c r="D2904" s="20" t="s">
        <v>4383</v>
      </c>
      <c r="E2904" s="5">
        <v>9.18008449452E11</v>
      </c>
      <c r="F2904" s="21">
        <v>19368.0</v>
      </c>
      <c r="G2904" s="20"/>
      <c r="H2904" s="20" t="s">
        <v>4341</v>
      </c>
      <c r="I2904" s="5"/>
      <c r="J2904" s="20">
        <v>1.0</v>
      </c>
      <c r="K2904" s="20">
        <v>99.0</v>
      </c>
      <c r="L2904" s="20"/>
      <c r="M2904" s="20">
        <v>99.0</v>
      </c>
      <c r="N2904" s="5" t="s">
        <v>67</v>
      </c>
      <c r="O2904" s="20" t="b">
        <v>0</v>
      </c>
      <c r="P2904" s="20" t="s">
        <v>68</v>
      </c>
      <c r="Q2904" s="20" t="s">
        <v>69</v>
      </c>
      <c r="R2904" s="20" t="s">
        <v>4343</v>
      </c>
      <c r="T2904" s="20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</row>
    <row r="2905">
      <c r="A2905" s="15" t="s">
        <v>10404</v>
      </c>
      <c r="B2905" s="19">
        <v>44261.788194444445</v>
      </c>
      <c r="C2905" s="20">
        <v>50023.0</v>
      </c>
      <c r="D2905" s="20" t="s">
        <v>5560</v>
      </c>
      <c r="E2905" s="5">
        <v>9.17895363374E11</v>
      </c>
      <c r="F2905" s="21">
        <v>19456.0</v>
      </c>
      <c r="G2905" s="20"/>
      <c r="H2905" s="20" t="s">
        <v>5508</v>
      </c>
      <c r="I2905" s="5"/>
      <c r="J2905" s="20">
        <v>3.0</v>
      </c>
      <c r="K2905" s="20">
        <v>199.0</v>
      </c>
      <c r="L2905" s="20"/>
      <c r="M2905" s="20">
        <v>199.0</v>
      </c>
      <c r="N2905" s="5" t="s">
        <v>67</v>
      </c>
      <c r="O2905" s="20" t="b">
        <v>0</v>
      </c>
      <c r="P2905" s="20" t="s">
        <v>68</v>
      </c>
      <c r="Q2905" s="20" t="s">
        <v>69</v>
      </c>
      <c r="R2905" s="20" t="s">
        <v>5510</v>
      </c>
      <c r="T2905" s="20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</row>
    <row r="2906">
      <c r="A2906" s="15" t="s">
        <v>10407</v>
      </c>
      <c r="B2906" s="19">
        <v>44261.808333333334</v>
      </c>
      <c r="C2906" s="20">
        <v>49997.0</v>
      </c>
      <c r="D2906" s="20" t="s">
        <v>2546</v>
      </c>
      <c r="E2906" s="5">
        <v>9.19711341773E11</v>
      </c>
      <c r="F2906" s="21">
        <v>17509.0</v>
      </c>
      <c r="G2906" s="20"/>
      <c r="H2906" s="20" t="s">
        <v>2455</v>
      </c>
      <c r="I2906" s="5"/>
      <c r="J2906" s="20">
        <v>1.0</v>
      </c>
      <c r="K2906" s="20">
        <v>99.0</v>
      </c>
      <c r="L2906" s="20"/>
      <c r="M2906" s="20">
        <v>99.0</v>
      </c>
      <c r="N2906" s="5" t="s">
        <v>67</v>
      </c>
      <c r="O2906" s="20" t="b">
        <v>0</v>
      </c>
      <c r="P2906" s="20" t="s">
        <v>68</v>
      </c>
      <c r="Q2906" s="20" t="s">
        <v>69</v>
      </c>
      <c r="R2906" s="20" t="s">
        <v>2457</v>
      </c>
      <c r="T2906" s="20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</row>
    <row r="2907">
      <c r="A2907" s="15" t="s">
        <v>10408</v>
      </c>
      <c r="B2907" s="19">
        <v>44261.80972222222</v>
      </c>
      <c r="C2907" s="20">
        <v>50029.0</v>
      </c>
      <c r="D2907" s="20" t="s">
        <v>2879</v>
      </c>
      <c r="E2907" s="5">
        <v>9.19600183034E11</v>
      </c>
      <c r="F2907" s="21">
        <v>0.0</v>
      </c>
      <c r="G2907" s="20"/>
      <c r="H2907" s="20" t="s">
        <v>2761</v>
      </c>
      <c r="I2907" s="5"/>
      <c r="J2907" s="20">
        <v>6.0</v>
      </c>
      <c r="K2907" s="20">
        <v>349.0</v>
      </c>
      <c r="L2907" s="20"/>
      <c r="M2907" s="20">
        <v>349.0</v>
      </c>
      <c r="N2907" s="5" t="s">
        <v>67</v>
      </c>
      <c r="O2907" s="20" t="b">
        <v>0</v>
      </c>
      <c r="P2907" s="20" t="s">
        <v>151</v>
      </c>
      <c r="Q2907" s="20" t="s">
        <v>69</v>
      </c>
      <c r="R2907" s="20" t="s">
        <v>2876</v>
      </c>
      <c r="T2907" s="20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</row>
    <row r="2908">
      <c r="A2908" s="15" t="s">
        <v>10223</v>
      </c>
      <c r="B2908" s="19">
        <v>44233.979166666664</v>
      </c>
      <c r="C2908" s="20">
        <v>50065.0</v>
      </c>
      <c r="D2908" s="20" t="s">
        <v>2684</v>
      </c>
      <c r="E2908" s="5">
        <v>9.19167663335E11</v>
      </c>
      <c r="F2908" s="21">
        <v>19394.0</v>
      </c>
      <c r="G2908" s="20"/>
      <c r="H2908" s="20" t="s">
        <v>2601</v>
      </c>
      <c r="I2908" s="5"/>
      <c r="J2908" s="20">
        <v>1.0</v>
      </c>
      <c r="K2908" s="20">
        <v>99.0</v>
      </c>
      <c r="L2908" s="20"/>
      <c r="M2908" s="20">
        <v>99.0</v>
      </c>
      <c r="N2908" s="5" t="s">
        <v>67</v>
      </c>
      <c r="O2908" s="20" t="b">
        <v>0</v>
      </c>
      <c r="P2908" s="20" t="s">
        <v>68</v>
      </c>
      <c r="Q2908" s="20" t="s">
        <v>69</v>
      </c>
      <c r="R2908" s="20" t="s">
        <v>2685</v>
      </c>
      <c r="T2908" s="20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</row>
    <row r="2909">
      <c r="A2909" s="15" t="s">
        <v>10409</v>
      </c>
      <c r="B2909" s="19">
        <v>44261.822222222225</v>
      </c>
      <c r="C2909" s="20">
        <v>50052.0</v>
      </c>
      <c r="D2909" s="20" t="s">
        <v>4491</v>
      </c>
      <c r="E2909" s="5">
        <v>9.19594435171E11</v>
      </c>
      <c r="F2909" s="21">
        <v>19483.0</v>
      </c>
      <c r="G2909" s="20"/>
      <c r="H2909" s="20" t="s">
        <v>4433</v>
      </c>
      <c r="I2909" s="5"/>
      <c r="J2909" s="20">
        <v>1.0</v>
      </c>
      <c r="K2909" s="20">
        <v>99.0</v>
      </c>
      <c r="L2909" s="20"/>
      <c r="M2909" s="20">
        <v>99.0</v>
      </c>
      <c r="N2909" s="5" t="s">
        <v>67</v>
      </c>
      <c r="O2909" s="20" t="b">
        <v>0</v>
      </c>
      <c r="P2909" s="20" t="s">
        <v>68</v>
      </c>
      <c r="Q2909" s="20" t="s">
        <v>69</v>
      </c>
      <c r="R2909" s="20" t="s">
        <v>4435</v>
      </c>
      <c r="T2909" s="20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</row>
    <row r="2910">
      <c r="A2910" s="15" t="s">
        <v>10230</v>
      </c>
      <c r="B2910" s="19">
        <v>44536.9125</v>
      </c>
      <c r="C2910" s="20">
        <v>50029.0</v>
      </c>
      <c r="D2910" s="20" t="s">
        <v>2890</v>
      </c>
      <c r="E2910" s="5">
        <v>9.17000039027E11</v>
      </c>
      <c r="F2910" s="21">
        <v>19938.0</v>
      </c>
      <c r="G2910" s="20"/>
      <c r="H2910" s="20" t="s">
        <v>2761</v>
      </c>
      <c r="I2910" s="5"/>
      <c r="J2910" s="20">
        <v>6.0</v>
      </c>
      <c r="K2910" s="20">
        <v>349.0</v>
      </c>
      <c r="L2910" s="20"/>
      <c r="M2910" s="20">
        <v>349.0</v>
      </c>
      <c r="N2910" s="5" t="s">
        <v>67</v>
      </c>
      <c r="O2910" s="20" t="b">
        <v>0</v>
      </c>
      <c r="P2910" s="20" t="s">
        <v>74</v>
      </c>
      <c r="Q2910" s="20" t="s">
        <v>69</v>
      </c>
      <c r="R2910" s="20" t="s">
        <v>2763</v>
      </c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</row>
    <row r="2911">
      <c r="A2911" s="15" t="s">
        <v>10231</v>
      </c>
      <c r="B2911" s="19">
        <v>44233.78194444445</v>
      </c>
      <c r="C2911" s="20">
        <v>49899.0</v>
      </c>
      <c r="D2911" s="20" t="s">
        <v>6192</v>
      </c>
      <c r="E2911" s="5">
        <v>9.17978584688E11</v>
      </c>
      <c r="F2911" s="21">
        <v>19373.0</v>
      </c>
      <c r="G2911" s="20"/>
      <c r="H2911" s="20" t="s">
        <v>1016</v>
      </c>
      <c r="I2911" s="5"/>
      <c r="J2911" s="20">
        <v>3.0</v>
      </c>
      <c r="K2911" s="20">
        <v>299.0</v>
      </c>
      <c r="L2911" s="20"/>
      <c r="M2911" s="20">
        <v>299.0</v>
      </c>
      <c r="N2911" s="5" t="s">
        <v>67</v>
      </c>
      <c r="O2911" s="20" t="b">
        <v>0</v>
      </c>
      <c r="P2911" s="20" t="s">
        <v>151</v>
      </c>
      <c r="Q2911" s="20" t="s">
        <v>69</v>
      </c>
      <c r="R2911" s="20" t="s">
        <v>6186</v>
      </c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</row>
    <row r="2912">
      <c r="A2912" s="15" t="s">
        <v>10410</v>
      </c>
      <c r="B2912" s="19">
        <v>44261.82430555556</v>
      </c>
      <c r="C2912" s="20">
        <v>49907.0</v>
      </c>
      <c r="D2912" s="20" t="s">
        <v>3824</v>
      </c>
      <c r="E2912" s="5">
        <v>9.18446301948E11</v>
      </c>
      <c r="F2912" s="21">
        <v>19464.0</v>
      </c>
      <c r="G2912" s="20"/>
      <c r="H2912" s="20" t="s">
        <v>587</v>
      </c>
      <c r="I2912" s="5"/>
      <c r="J2912" s="20">
        <v>1.0</v>
      </c>
      <c r="K2912" s="20">
        <v>99.0</v>
      </c>
      <c r="L2912" s="20"/>
      <c r="M2912" s="20">
        <v>99.0</v>
      </c>
      <c r="N2912" s="5" t="s">
        <v>67</v>
      </c>
      <c r="O2912" s="20" t="b">
        <v>0</v>
      </c>
      <c r="P2912" s="20" t="s">
        <v>74</v>
      </c>
      <c r="Q2912" s="20" t="s">
        <v>69</v>
      </c>
      <c r="R2912" s="20" t="s">
        <v>3774</v>
      </c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</row>
    <row r="2913">
      <c r="A2913" s="15" t="s">
        <v>10229</v>
      </c>
      <c r="B2913" s="19">
        <v>44233.76944444444</v>
      </c>
      <c r="C2913" s="20">
        <v>50052.0</v>
      </c>
      <c r="D2913" s="20" t="s">
        <v>4488</v>
      </c>
      <c r="E2913" s="5">
        <v>9.19425692964E11</v>
      </c>
      <c r="F2913" s="21">
        <v>19372.0</v>
      </c>
      <c r="G2913" s="20"/>
      <c r="H2913" s="20" t="s">
        <v>4433</v>
      </c>
      <c r="I2913" s="5"/>
      <c r="J2913" s="20">
        <v>1.0</v>
      </c>
      <c r="K2913" s="20">
        <v>99.0</v>
      </c>
      <c r="L2913" s="20"/>
      <c r="M2913" s="20">
        <v>99.0</v>
      </c>
      <c r="N2913" s="5" t="s">
        <v>67</v>
      </c>
      <c r="O2913" s="20" t="b">
        <v>0</v>
      </c>
      <c r="P2913" s="20" t="s">
        <v>68</v>
      </c>
      <c r="Q2913" s="20" t="s">
        <v>69</v>
      </c>
      <c r="R2913" s="20" t="s">
        <v>4435</v>
      </c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</row>
    <row r="2914">
      <c r="A2914" s="15" t="s">
        <v>10233</v>
      </c>
      <c r="B2914" s="19">
        <v>44233.79513888889</v>
      </c>
      <c r="C2914" s="20">
        <v>49991.0</v>
      </c>
      <c r="D2914" s="20" t="s">
        <v>3139</v>
      </c>
      <c r="E2914" s="5">
        <v>9.1827603035E11</v>
      </c>
      <c r="F2914" s="21">
        <v>19374.0</v>
      </c>
      <c r="G2914" s="20"/>
      <c r="H2914" s="20" t="s">
        <v>3055</v>
      </c>
      <c r="I2914" s="5"/>
      <c r="J2914" s="20">
        <v>1.0</v>
      </c>
      <c r="K2914" s="20">
        <v>99.0</v>
      </c>
      <c r="L2914" s="20"/>
      <c r="M2914" s="20">
        <v>99.0</v>
      </c>
      <c r="N2914" s="5" t="s">
        <v>67</v>
      </c>
      <c r="O2914" s="20" t="b">
        <v>0</v>
      </c>
      <c r="P2914" s="20" t="s">
        <v>68</v>
      </c>
      <c r="Q2914" s="20" t="s">
        <v>69</v>
      </c>
      <c r="R2914" s="20" t="s">
        <v>3057</v>
      </c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</row>
    <row r="2915">
      <c r="A2915" s="15" t="s">
        <v>10234</v>
      </c>
      <c r="B2915" s="19">
        <v>44233.8125</v>
      </c>
      <c r="C2915" s="20">
        <v>50029.0</v>
      </c>
      <c r="D2915" s="20" t="s">
        <v>2875</v>
      </c>
      <c r="E2915" s="5">
        <v>9.19578500007E11</v>
      </c>
      <c r="F2915" s="21">
        <v>19413.0</v>
      </c>
      <c r="G2915" s="20"/>
      <c r="H2915" s="20" t="s">
        <v>2761</v>
      </c>
      <c r="I2915" s="5"/>
      <c r="J2915" s="20">
        <v>1.0</v>
      </c>
      <c r="K2915" s="20">
        <v>99.0</v>
      </c>
      <c r="L2915" s="20"/>
      <c r="M2915" s="20">
        <v>99.0</v>
      </c>
      <c r="N2915" s="5" t="s">
        <v>67</v>
      </c>
      <c r="O2915" s="20" t="b">
        <v>0</v>
      </c>
      <c r="P2915" s="20" t="s">
        <v>68</v>
      </c>
      <c r="Q2915" s="20" t="s">
        <v>69</v>
      </c>
      <c r="R2915" s="20" t="s">
        <v>2876</v>
      </c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</row>
    <row r="2916">
      <c r="A2916" s="15" t="s">
        <v>10236</v>
      </c>
      <c r="B2916" s="19">
        <v>44233.80416666667</v>
      </c>
      <c r="C2916" s="20">
        <v>50076.0</v>
      </c>
      <c r="D2916" s="20" t="s">
        <v>6150</v>
      </c>
      <c r="E2916" s="5">
        <v>9.18408895719E11</v>
      </c>
      <c r="F2916" s="21">
        <v>19375.0</v>
      </c>
      <c r="G2916" s="20"/>
      <c r="H2916" s="20" t="s">
        <v>5984</v>
      </c>
      <c r="I2916" s="5"/>
      <c r="J2916" s="20">
        <v>1.0</v>
      </c>
      <c r="K2916" s="20">
        <v>199.0</v>
      </c>
      <c r="L2916" s="20"/>
      <c r="M2916" s="20">
        <v>199.0</v>
      </c>
      <c r="N2916" s="5" t="s">
        <v>67</v>
      </c>
      <c r="O2916" s="20" t="b">
        <v>0</v>
      </c>
      <c r="P2916" s="20" t="s">
        <v>68</v>
      </c>
      <c r="Q2916" s="20" t="s">
        <v>69</v>
      </c>
      <c r="R2916" s="20" t="s">
        <v>5987</v>
      </c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</row>
    <row r="2917">
      <c r="A2917" s="15" t="s">
        <v>10414</v>
      </c>
      <c r="B2917" s="19">
        <v>44261.864583333336</v>
      </c>
      <c r="C2917" s="20">
        <v>50043.0</v>
      </c>
      <c r="D2917" s="20" t="s">
        <v>6419</v>
      </c>
      <c r="E2917" s="5">
        <v>9.18097978668E11</v>
      </c>
      <c r="F2917" s="21">
        <v>0.0</v>
      </c>
      <c r="G2917" s="20"/>
      <c r="H2917" s="20" t="s">
        <v>6367</v>
      </c>
      <c r="I2917" s="5"/>
      <c r="J2917" s="20">
        <v>1.0</v>
      </c>
      <c r="K2917" s="20">
        <v>99.0</v>
      </c>
      <c r="L2917" s="20"/>
      <c r="M2917" s="20">
        <v>99.0</v>
      </c>
      <c r="N2917" s="5" t="s">
        <v>67</v>
      </c>
      <c r="O2917" s="20" t="b">
        <v>0</v>
      </c>
      <c r="P2917" s="20" t="s">
        <v>68</v>
      </c>
      <c r="Q2917" s="20" t="s">
        <v>69</v>
      </c>
      <c r="R2917" s="20" t="s">
        <v>6369</v>
      </c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</row>
    <row r="2918">
      <c r="A2918" s="15" t="s">
        <v>10416</v>
      </c>
      <c r="B2918" s="19">
        <v>44261.881944444445</v>
      </c>
      <c r="C2918" s="20">
        <v>50104.0</v>
      </c>
      <c r="D2918" s="20" t="s">
        <v>3712</v>
      </c>
      <c r="E2918" s="5">
        <v>9.19940022321E11</v>
      </c>
      <c r="F2918" s="21">
        <v>19468.0</v>
      </c>
      <c r="G2918" s="20"/>
      <c r="H2918" s="20" t="s">
        <v>3708</v>
      </c>
      <c r="I2918" s="5"/>
      <c r="J2918" s="20">
        <v>3.0</v>
      </c>
      <c r="K2918" s="20">
        <v>199.0</v>
      </c>
      <c r="L2918" s="20"/>
      <c r="M2918" s="20">
        <v>199.0</v>
      </c>
      <c r="N2918" s="5" t="s">
        <v>67</v>
      </c>
      <c r="O2918" s="20" t="b">
        <v>0</v>
      </c>
      <c r="P2918" s="20" t="s">
        <v>97</v>
      </c>
      <c r="Q2918" s="20" t="s">
        <v>69</v>
      </c>
      <c r="R2918" s="20" t="s">
        <v>3710</v>
      </c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</row>
    <row r="2919">
      <c r="A2919" s="15" t="s">
        <v>10417</v>
      </c>
      <c r="B2919" s="19">
        <v>44261.88263888889</v>
      </c>
      <c r="C2919" s="20">
        <v>50086.0</v>
      </c>
      <c r="D2919" s="20" t="s">
        <v>3993</v>
      </c>
      <c r="E2919" s="5">
        <v>9.18072741848E11</v>
      </c>
      <c r="F2919" s="21">
        <v>19467.0</v>
      </c>
      <c r="G2919" s="20"/>
      <c r="H2919" s="20" t="s">
        <v>3986</v>
      </c>
      <c r="I2919" s="5"/>
      <c r="J2919" s="20">
        <v>1.0</v>
      </c>
      <c r="K2919" s="20">
        <v>249.0</v>
      </c>
      <c r="L2919" s="20"/>
      <c r="M2919" s="20">
        <v>249.0</v>
      </c>
      <c r="N2919" s="5" t="s">
        <v>67</v>
      </c>
      <c r="O2919" s="20" t="b">
        <v>0</v>
      </c>
      <c r="P2919" s="20" t="s">
        <v>68</v>
      </c>
      <c r="Q2919" s="20" t="s">
        <v>69</v>
      </c>
      <c r="R2919" s="20" t="s">
        <v>3988</v>
      </c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</row>
    <row r="2920">
      <c r="A2920" s="15" t="s">
        <v>10418</v>
      </c>
      <c r="B2920" s="19">
        <v>44261.88402777778</v>
      </c>
      <c r="C2920" s="20">
        <v>50073.0</v>
      </c>
      <c r="D2920" s="20" t="s">
        <v>6562</v>
      </c>
      <c r="E2920" s="5">
        <v>9.19884660705E11</v>
      </c>
      <c r="F2920" s="21">
        <v>0.0</v>
      </c>
      <c r="G2920" s="20"/>
      <c r="H2920" s="20" t="s">
        <v>2161</v>
      </c>
      <c r="I2920" s="5"/>
      <c r="J2920" s="20">
        <v>1.0</v>
      </c>
      <c r="K2920" s="20">
        <v>799.0</v>
      </c>
      <c r="L2920" s="20"/>
      <c r="M2920" s="20">
        <v>799.0</v>
      </c>
      <c r="N2920" s="5" t="s">
        <v>67</v>
      </c>
      <c r="O2920" s="20" t="b">
        <v>0</v>
      </c>
      <c r="P2920" s="20" t="s">
        <v>68</v>
      </c>
      <c r="Q2920" s="20" t="s">
        <v>69</v>
      </c>
      <c r="R2920" s="20" t="s">
        <v>6563</v>
      </c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</row>
    <row r="2921">
      <c r="A2921" s="15" t="s">
        <v>10415</v>
      </c>
      <c r="B2921" s="19">
        <v>44261.87291666667</v>
      </c>
      <c r="C2921" s="20">
        <v>50023.0</v>
      </c>
      <c r="D2921" s="20" t="s">
        <v>5561</v>
      </c>
      <c r="E2921" s="5">
        <v>9.17016649532E11</v>
      </c>
      <c r="F2921" s="21">
        <v>19465.0</v>
      </c>
      <c r="G2921" s="20"/>
      <c r="H2921" s="20" t="s">
        <v>5508</v>
      </c>
      <c r="I2921" s="5"/>
      <c r="J2921" s="20">
        <v>1.0</v>
      </c>
      <c r="K2921" s="20">
        <v>99.0</v>
      </c>
      <c r="L2921" s="20"/>
      <c r="M2921" s="20">
        <v>99.0</v>
      </c>
      <c r="N2921" s="5" t="s">
        <v>67</v>
      </c>
      <c r="O2921" s="20" t="b">
        <v>0</v>
      </c>
      <c r="P2921" s="20" t="s">
        <v>68</v>
      </c>
      <c r="Q2921" s="20" t="s">
        <v>69</v>
      </c>
      <c r="R2921" s="20" t="s">
        <v>5510</v>
      </c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</row>
    <row r="2922">
      <c r="A2922" s="15" t="s">
        <v>10241</v>
      </c>
      <c r="B2922" s="19">
        <v>44233.83125</v>
      </c>
      <c r="C2922" s="20">
        <v>49833.0</v>
      </c>
      <c r="D2922" s="20" t="s">
        <v>4190</v>
      </c>
      <c r="E2922" s="5">
        <v>9.1993054533E11</v>
      </c>
      <c r="F2922" s="21">
        <v>19378.0</v>
      </c>
      <c r="G2922" s="20"/>
      <c r="H2922" s="20" t="s">
        <v>4030</v>
      </c>
      <c r="I2922" s="5"/>
      <c r="J2922" s="20">
        <v>1.0</v>
      </c>
      <c r="K2922" s="20">
        <v>99.0</v>
      </c>
      <c r="L2922" s="20"/>
      <c r="M2922" s="20">
        <v>99.0</v>
      </c>
      <c r="N2922" s="5" t="s">
        <v>67</v>
      </c>
      <c r="O2922" s="20" t="b">
        <v>0</v>
      </c>
      <c r="P2922" s="20" t="s">
        <v>68</v>
      </c>
      <c r="Q2922" s="20" t="s">
        <v>69</v>
      </c>
      <c r="R2922" s="20" t="s">
        <v>4033</v>
      </c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</row>
    <row r="2923">
      <c r="A2923" s="15" t="s">
        <v>10242</v>
      </c>
      <c r="B2923" s="19">
        <v>44233.833333333336</v>
      </c>
      <c r="C2923" s="20">
        <v>50073.0</v>
      </c>
      <c r="D2923" s="20" t="s">
        <v>6559</v>
      </c>
      <c r="E2923" s="5">
        <v>9.18100081812E11</v>
      </c>
      <c r="F2923" s="21">
        <v>19380.0</v>
      </c>
      <c r="G2923" s="20"/>
      <c r="H2923" s="20" t="s">
        <v>2161</v>
      </c>
      <c r="I2923" s="5"/>
      <c r="J2923" s="20">
        <v>1.0</v>
      </c>
      <c r="K2923" s="20">
        <v>799.0</v>
      </c>
      <c r="L2923" s="20"/>
      <c r="M2923" s="20">
        <v>799.0</v>
      </c>
      <c r="N2923" s="5" t="s">
        <v>67</v>
      </c>
      <c r="O2923" s="20" t="b">
        <v>0</v>
      </c>
      <c r="P2923" s="20" t="s">
        <v>68</v>
      </c>
      <c r="Q2923" s="20" t="s">
        <v>69</v>
      </c>
      <c r="R2923" s="20" t="s">
        <v>6497</v>
      </c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</row>
    <row r="2924">
      <c r="A2924" s="15" t="s">
        <v>10239</v>
      </c>
      <c r="B2924" s="19">
        <v>44233.81805555556</v>
      </c>
      <c r="C2924" s="20">
        <v>50104.0</v>
      </c>
      <c r="D2924" s="20" t="s">
        <v>3711</v>
      </c>
      <c r="E2924" s="5">
        <v>9.19488509982E11</v>
      </c>
      <c r="F2924" s="21">
        <v>19377.0</v>
      </c>
      <c r="G2924" s="20"/>
      <c r="H2924" s="20" t="s">
        <v>3708</v>
      </c>
      <c r="I2924" s="5"/>
      <c r="J2924" s="20">
        <v>3.0</v>
      </c>
      <c r="K2924" s="20">
        <v>199.0</v>
      </c>
      <c r="L2924" s="20"/>
      <c r="M2924" s="20">
        <v>199.0</v>
      </c>
      <c r="N2924" s="5" t="s">
        <v>67</v>
      </c>
      <c r="O2924" s="20" t="b">
        <v>0</v>
      </c>
      <c r="P2924" s="20" t="s">
        <v>68</v>
      </c>
      <c r="Q2924" s="20" t="s">
        <v>69</v>
      </c>
      <c r="R2924" s="20" t="s">
        <v>3710</v>
      </c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</row>
    <row r="2925">
      <c r="A2925" s="15" t="s">
        <v>10243</v>
      </c>
      <c r="B2925" s="19">
        <v>44233.842361111114</v>
      </c>
      <c r="C2925" s="20">
        <v>50079.0</v>
      </c>
      <c r="D2925" s="20" t="s">
        <v>4340</v>
      </c>
      <c r="E2925" s="5">
        <v>9.19644518495E11</v>
      </c>
      <c r="F2925" s="21">
        <v>19379.0</v>
      </c>
      <c r="G2925" s="20"/>
      <c r="H2925" s="20" t="s">
        <v>4281</v>
      </c>
      <c r="I2925" s="5"/>
      <c r="J2925" s="20">
        <v>1.0</v>
      </c>
      <c r="K2925" s="20">
        <v>99.0</v>
      </c>
      <c r="L2925" s="20"/>
      <c r="M2925" s="20">
        <v>99.0</v>
      </c>
      <c r="N2925" s="5" t="s">
        <v>67</v>
      </c>
      <c r="O2925" s="20" t="b">
        <v>0</v>
      </c>
      <c r="P2925" s="20" t="s">
        <v>68</v>
      </c>
      <c r="Q2925" s="20" t="s">
        <v>69</v>
      </c>
      <c r="R2925" s="20" t="s">
        <v>4284</v>
      </c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</row>
    <row r="2926">
      <c r="A2926" s="15" t="s">
        <v>10421</v>
      </c>
      <c r="B2926" s="19">
        <v>44261.90833333333</v>
      </c>
      <c r="C2926" s="20">
        <v>50046.0</v>
      </c>
      <c r="D2926" s="20" t="s">
        <v>6245</v>
      </c>
      <c r="E2926" s="5">
        <v>9.19966884366E11</v>
      </c>
      <c r="F2926" s="21">
        <v>18674.0</v>
      </c>
      <c r="G2926" s="20"/>
      <c r="H2926" s="20" t="s">
        <v>6217</v>
      </c>
      <c r="I2926" s="5"/>
      <c r="J2926" s="20">
        <v>1.0</v>
      </c>
      <c r="K2926" s="20">
        <v>99.0</v>
      </c>
      <c r="L2926" s="20"/>
      <c r="M2926" s="20">
        <v>99.0</v>
      </c>
      <c r="N2926" s="5" t="s">
        <v>67</v>
      </c>
      <c r="O2926" s="20" t="b">
        <v>0</v>
      </c>
      <c r="P2926" s="20" t="s">
        <v>68</v>
      </c>
      <c r="Q2926" s="20" t="s">
        <v>69</v>
      </c>
      <c r="R2926" s="20" t="s">
        <v>6219</v>
      </c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</row>
    <row r="2927">
      <c r="A2927" s="15" t="s">
        <v>10245</v>
      </c>
      <c r="B2927" s="19">
        <v>44233.87152777778</v>
      </c>
      <c r="C2927" s="20">
        <v>50047.0</v>
      </c>
      <c r="D2927" s="20" t="s">
        <v>3259</v>
      </c>
      <c r="E2927" s="5">
        <v>9.17000941809E11</v>
      </c>
      <c r="F2927" s="21">
        <v>19382.0</v>
      </c>
      <c r="G2927" s="20"/>
      <c r="H2927" s="20" t="s">
        <v>3195</v>
      </c>
      <c r="I2927" s="5"/>
      <c r="J2927" s="20">
        <v>3.0</v>
      </c>
      <c r="K2927" s="20">
        <v>199.0</v>
      </c>
      <c r="L2927" s="20"/>
      <c r="M2927" s="20">
        <v>199.0</v>
      </c>
      <c r="N2927" s="5" t="s">
        <v>67</v>
      </c>
      <c r="O2927" s="20" t="b">
        <v>0</v>
      </c>
      <c r="P2927" s="20" t="s">
        <v>68</v>
      </c>
      <c r="Q2927" s="20" t="s">
        <v>69</v>
      </c>
      <c r="R2927" s="20" t="s">
        <v>3197</v>
      </c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</row>
    <row r="2928">
      <c r="A2928" s="15" t="s">
        <v>10253</v>
      </c>
      <c r="B2928" s="19">
        <v>44233.90416666667</v>
      </c>
      <c r="C2928" s="20">
        <v>50022.0</v>
      </c>
      <c r="D2928" s="20" t="s">
        <v>5281</v>
      </c>
      <c r="E2928" s="5">
        <v>9.19740170552E11</v>
      </c>
      <c r="F2928" s="21">
        <v>19383.0</v>
      </c>
      <c r="G2928" s="20"/>
      <c r="H2928" s="20" t="s">
        <v>5181</v>
      </c>
      <c r="I2928" s="5"/>
      <c r="J2928" s="20">
        <v>1.0</v>
      </c>
      <c r="K2928" s="20">
        <v>99.0</v>
      </c>
      <c r="L2928" s="20"/>
      <c r="M2928" s="20">
        <v>99.0</v>
      </c>
      <c r="N2928" s="5" t="s">
        <v>67</v>
      </c>
      <c r="O2928" s="20" t="b">
        <v>0</v>
      </c>
      <c r="P2928" s="20" t="s">
        <v>68</v>
      </c>
      <c r="Q2928" s="20" t="s">
        <v>69</v>
      </c>
      <c r="R2928" s="20" t="s">
        <v>5183</v>
      </c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</row>
    <row r="2929">
      <c r="A2929" s="15" t="s">
        <v>10250</v>
      </c>
      <c r="B2929" s="19">
        <v>44233.89513888889</v>
      </c>
      <c r="C2929" s="20">
        <v>49859.0</v>
      </c>
      <c r="D2929" s="20" t="s">
        <v>4735</v>
      </c>
      <c r="E2929" s="5">
        <v>9.1999086677E11</v>
      </c>
      <c r="F2929" s="21">
        <v>19386.0</v>
      </c>
      <c r="G2929" s="20"/>
      <c r="H2929" s="20" t="s">
        <v>1133</v>
      </c>
      <c r="I2929" s="5"/>
      <c r="J2929" s="20">
        <v>1.0</v>
      </c>
      <c r="K2929" s="20">
        <v>99.0</v>
      </c>
      <c r="L2929" s="20"/>
      <c r="M2929" s="20">
        <v>99.0</v>
      </c>
      <c r="N2929" s="5" t="s">
        <v>67</v>
      </c>
      <c r="O2929" s="20" t="b">
        <v>0</v>
      </c>
      <c r="P2929" s="20" t="s">
        <v>74</v>
      </c>
      <c r="Q2929" s="20" t="s">
        <v>69</v>
      </c>
      <c r="R2929" s="20" t="s">
        <v>4736</v>
      </c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</row>
    <row r="2930">
      <c r="A2930" s="15" t="s">
        <v>10423</v>
      </c>
      <c r="B2930" s="19">
        <v>44261.97430555556</v>
      </c>
      <c r="C2930" s="20">
        <v>50048.0</v>
      </c>
      <c r="D2930" s="20" t="s">
        <v>6178</v>
      </c>
      <c r="E2930" s="5">
        <v>9.19987808183E11</v>
      </c>
      <c r="F2930" s="21">
        <v>19476.0</v>
      </c>
      <c r="G2930" s="20"/>
      <c r="H2930" s="20" t="s">
        <v>1582</v>
      </c>
      <c r="I2930" s="20" t="s">
        <v>6175</v>
      </c>
      <c r="J2930" s="20">
        <v>1.0</v>
      </c>
      <c r="K2930" s="20">
        <v>299.0</v>
      </c>
      <c r="L2930" s="20"/>
      <c r="M2930" s="20">
        <v>299.0</v>
      </c>
      <c r="N2930" s="5" t="s">
        <v>67</v>
      </c>
      <c r="O2930" s="20" t="b">
        <v>0</v>
      </c>
      <c r="P2930" s="20" t="s">
        <v>68</v>
      </c>
      <c r="Q2930" s="20" t="s">
        <v>69</v>
      </c>
      <c r="R2930" s="20" t="s">
        <v>6179</v>
      </c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</row>
    <row r="2931">
      <c r="A2931" s="15" t="s">
        <v>10256</v>
      </c>
      <c r="B2931" s="19">
        <v>44233.91875</v>
      </c>
      <c r="C2931" s="20">
        <v>50023.0</v>
      </c>
      <c r="D2931" s="20" t="s">
        <v>5552</v>
      </c>
      <c r="E2931" s="5">
        <v>9.18802776998E11</v>
      </c>
      <c r="F2931" s="21">
        <v>19384.0</v>
      </c>
      <c r="G2931" s="20"/>
      <c r="H2931" s="20" t="s">
        <v>5508</v>
      </c>
      <c r="I2931" s="5"/>
      <c r="J2931" s="20">
        <v>1.0</v>
      </c>
      <c r="K2931" s="20">
        <v>99.0</v>
      </c>
      <c r="L2931" s="20"/>
      <c r="M2931" s="20">
        <v>99.0</v>
      </c>
      <c r="N2931" s="5" t="s">
        <v>67</v>
      </c>
      <c r="O2931" s="20" t="b">
        <v>0</v>
      </c>
      <c r="P2931" s="20" t="s">
        <v>68</v>
      </c>
      <c r="Q2931" s="20" t="s">
        <v>69</v>
      </c>
      <c r="R2931" s="20" t="s">
        <v>5510</v>
      </c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</row>
    <row r="2932">
      <c r="A2932" s="15" t="s">
        <v>10257</v>
      </c>
      <c r="B2932" s="19">
        <v>44233.916666666664</v>
      </c>
      <c r="C2932" s="20">
        <v>50113.0</v>
      </c>
      <c r="D2932" s="20" t="s">
        <v>4938</v>
      </c>
      <c r="E2932" s="5">
        <v>9.18879556953E11</v>
      </c>
      <c r="F2932" s="21">
        <v>19385.0</v>
      </c>
      <c r="G2932" s="20"/>
      <c r="H2932" s="20" t="s">
        <v>4914</v>
      </c>
      <c r="I2932" s="20" t="s">
        <v>4931</v>
      </c>
      <c r="J2932" s="20">
        <v>1.0</v>
      </c>
      <c r="K2932" s="20">
        <v>349.0</v>
      </c>
      <c r="L2932" s="20"/>
      <c r="M2932" s="20">
        <v>349.0</v>
      </c>
      <c r="N2932" s="5" t="s">
        <v>67</v>
      </c>
      <c r="O2932" s="20" t="b">
        <v>0</v>
      </c>
      <c r="P2932" s="20" t="s">
        <v>74</v>
      </c>
      <c r="Q2932" s="20" t="s">
        <v>69</v>
      </c>
      <c r="R2932" s="20" t="s">
        <v>4939</v>
      </c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</row>
    <row r="2933">
      <c r="A2933" s="15" t="s">
        <v>10261</v>
      </c>
      <c r="B2933" s="19">
        <v>44233.92847222222</v>
      </c>
      <c r="C2933" s="20">
        <v>49994.0</v>
      </c>
      <c r="D2933" s="20" t="s">
        <v>6646</v>
      </c>
      <c r="E2933" s="5">
        <v>9.19909768106E11</v>
      </c>
      <c r="F2933" s="22" t="s">
        <v>12593</v>
      </c>
      <c r="G2933" s="20"/>
      <c r="H2933" s="20" t="s">
        <v>1264</v>
      </c>
      <c r="I2933" s="5"/>
      <c r="J2933" s="20">
        <v>1.0</v>
      </c>
      <c r="K2933" s="20">
        <v>99.0</v>
      </c>
      <c r="L2933" s="20"/>
      <c r="M2933" s="20">
        <v>99.0</v>
      </c>
      <c r="N2933" s="5" t="s">
        <v>67</v>
      </c>
      <c r="O2933" s="20" t="b">
        <v>0</v>
      </c>
      <c r="P2933" s="20" t="s">
        <v>68</v>
      </c>
      <c r="Q2933" s="20" t="s">
        <v>69</v>
      </c>
      <c r="R2933" s="20" t="s">
        <v>6615</v>
      </c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</row>
    <row r="2934">
      <c r="A2934" s="15" t="s">
        <v>10262</v>
      </c>
      <c r="B2934" s="19">
        <v>44233.92986111111</v>
      </c>
      <c r="C2934" s="20">
        <v>49997.0</v>
      </c>
      <c r="D2934" s="20" t="s">
        <v>2543</v>
      </c>
      <c r="E2934" s="5">
        <v>9.18010405899E11</v>
      </c>
      <c r="F2934" s="21">
        <v>19388.0</v>
      </c>
      <c r="G2934" s="20"/>
      <c r="H2934" s="20" t="s">
        <v>2455</v>
      </c>
      <c r="I2934" s="5"/>
      <c r="J2934" s="20">
        <v>1.0</v>
      </c>
      <c r="K2934" s="20">
        <v>99.0</v>
      </c>
      <c r="L2934" s="20"/>
      <c r="M2934" s="20">
        <v>99.0</v>
      </c>
      <c r="N2934" s="5" t="s">
        <v>67</v>
      </c>
      <c r="O2934" s="20" t="b">
        <v>0</v>
      </c>
      <c r="P2934" s="20" t="s">
        <v>68</v>
      </c>
      <c r="Q2934" s="20" t="s">
        <v>69</v>
      </c>
      <c r="R2934" s="20" t="s">
        <v>2457</v>
      </c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</row>
    <row r="2935">
      <c r="A2935" s="15" t="s">
        <v>10263</v>
      </c>
      <c r="B2935" s="19">
        <v>44261.36319444444</v>
      </c>
      <c r="C2935" s="20">
        <v>50094.0</v>
      </c>
      <c r="D2935" s="20" t="s">
        <v>5045</v>
      </c>
      <c r="E2935" s="5">
        <v>9.19140585496E11</v>
      </c>
      <c r="F2935" s="21">
        <v>19401.0</v>
      </c>
      <c r="G2935" s="20"/>
      <c r="H2935" s="20" t="s">
        <v>4942</v>
      </c>
      <c r="I2935" s="5"/>
      <c r="J2935" s="20">
        <v>3.0</v>
      </c>
      <c r="K2935" s="20">
        <v>399.0</v>
      </c>
      <c r="L2935" s="20"/>
      <c r="M2935" s="20">
        <v>399.0</v>
      </c>
      <c r="N2935" s="5" t="s">
        <v>67</v>
      </c>
      <c r="O2935" s="20" t="b">
        <v>0</v>
      </c>
      <c r="P2935" s="20" t="s">
        <v>97</v>
      </c>
      <c r="Q2935" s="20" t="s">
        <v>69</v>
      </c>
      <c r="R2935" s="20" t="s">
        <v>4945</v>
      </c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</row>
    <row r="2936">
      <c r="A2936" s="15" t="s">
        <v>10264</v>
      </c>
      <c r="B2936" s="19">
        <v>44233.961805555555</v>
      </c>
      <c r="C2936" s="20">
        <v>50113.0</v>
      </c>
      <c r="D2936" s="20" t="s">
        <v>4940</v>
      </c>
      <c r="E2936" s="5">
        <v>9.1960946698E11</v>
      </c>
      <c r="F2936" s="21">
        <v>19433.0</v>
      </c>
      <c r="G2936" s="20"/>
      <c r="H2936" s="20" t="s">
        <v>4914</v>
      </c>
      <c r="I2936" s="20" t="s">
        <v>4915</v>
      </c>
      <c r="J2936" s="20">
        <v>1.0</v>
      </c>
      <c r="K2936" s="20">
        <v>499.0</v>
      </c>
      <c r="L2936" s="20"/>
      <c r="M2936" s="20">
        <v>499.0</v>
      </c>
      <c r="N2936" s="5" t="s">
        <v>67</v>
      </c>
      <c r="O2936" s="20" t="b">
        <v>0</v>
      </c>
      <c r="P2936" s="20" t="s">
        <v>151</v>
      </c>
      <c r="Q2936" s="20" t="s">
        <v>69</v>
      </c>
      <c r="R2936" s="20" t="s">
        <v>4939</v>
      </c>
      <c r="T2936" s="20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</row>
    <row r="2937">
      <c r="A2937" s="15" t="s">
        <v>10270</v>
      </c>
      <c r="B2937" s="19">
        <v>44233.981944444444</v>
      </c>
      <c r="C2937" s="20">
        <v>49991.0</v>
      </c>
      <c r="D2937" s="20" t="s">
        <v>3140</v>
      </c>
      <c r="E2937" s="5">
        <v>9.17811967779E11</v>
      </c>
      <c r="F2937" s="21">
        <v>19391.0</v>
      </c>
      <c r="G2937" s="20"/>
      <c r="H2937" s="20" t="s">
        <v>3055</v>
      </c>
      <c r="I2937" s="5"/>
      <c r="J2937" s="20">
        <v>1.0</v>
      </c>
      <c r="K2937" s="20">
        <v>99.0</v>
      </c>
      <c r="L2937" s="20"/>
      <c r="M2937" s="20">
        <v>99.0</v>
      </c>
      <c r="N2937" s="5" t="s">
        <v>67</v>
      </c>
      <c r="O2937" s="20" t="b">
        <v>0</v>
      </c>
      <c r="P2937" s="20" t="s">
        <v>68</v>
      </c>
      <c r="Q2937" s="20" t="s">
        <v>69</v>
      </c>
      <c r="R2937" s="20" t="s">
        <v>3057</v>
      </c>
      <c r="T2937" s="20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</row>
    <row r="2938">
      <c r="A2938" s="15" t="s">
        <v>10268</v>
      </c>
      <c r="B2938" s="19">
        <v>44233.975</v>
      </c>
      <c r="C2938" s="20">
        <v>50023.0</v>
      </c>
      <c r="D2938" s="20" t="s">
        <v>5553</v>
      </c>
      <c r="E2938" s="5">
        <v>9.19099812436E11</v>
      </c>
      <c r="F2938" s="21">
        <v>19390.0</v>
      </c>
      <c r="G2938" s="20"/>
      <c r="H2938" s="20" t="s">
        <v>5508</v>
      </c>
      <c r="I2938" s="5"/>
      <c r="J2938" s="20">
        <v>1.0</v>
      </c>
      <c r="K2938" s="20">
        <v>99.0</v>
      </c>
      <c r="L2938" s="20"/>
      <c r="M2938" s="20">
        <v>99.0</v>
      </c>
      <c r="N2938" s="5" t="s">
        <v>67</v>
      </c>
      <c r="O2938" s="20" t="b">
        <v>0</v>
      </c>
      <c r="P2938" s="20" t="s">
        <v>68</v>
      </c>
      <c r="Q2938" s="20" t="s">
        <v>69</v>
      </c>
      <c r="R2938" s="20" t="s">
        <v>5510</v>
      </c>
      <c r="T2938" s="20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</row>
    <row r="2939">
      <c r="A2939" s="15" t="s">
        <v>10273</v>
      </c>
      <c r="B2939" s="19">
        <v>44261.00625</v>
      </c>
      <c r="C2939" s="20">
        <v>49907.0</v>
      </c>
      <c r="D2939" s="20" t="s">
        <v>3817</v>
      </c>
      <c r="E2939" s="5">
        <v>9.18554919832E11</v>
      </c>
      <c r="F2939" s="21">
        <v>19392.0</v>
      </c>
      <c r="G2939" s="20"/>
      <c r="H2939" s="20" t="s">
        <v>587</v>
      </c>
      <c r="I2939" s="5"/>
      <c r="J2939" s="20">
        <v>1.0</v>
      </c>
      <c r="K2939" s="20">
        <v>99.0</v>
      </c>
      <c r="L2939" s="20"/>
      <c r="M2939" s="20">
        <v>99.0</v>
      </c>
      <c r="N2939" s="5" t="s">
        <v>67</v>
      </c>
      <c r="O2939" s="20" t="b">
        <v>0</v>
      </c>
      <c r="P2939" s="20" t="s">
        <v>68</v>
      </c>
      <c r="Q2939" s="20" t="s">
        <v>69</v>
      </c>
      <c r="R2939" s="20" t="s">
        <v>3774</v>
      </c>
      <c r="T2939" s="20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</row>
    <row r="2940">
      <c r="A2940" s="15" t="s">
        <v>10274</v>
      </c>
      <c r="B2940" s="19">
        <v>44261.04375</v>
      </c>
      <c r="C2940" s="20">
        <v>49991.0</v>
      </c>
      <c r="D2940" s="20" t="s">
        <v>3141</v>
      </c>
      <c r="E2940" s="5">
        <v>9.17903130415E11</v>
      </c>
      <c r="F2940" s="21">
        <v>19395.0</v>
      </c>
      <c r="G2940" s="20"/>
      <c r="H2940" s="20" t="s">
        <v>3055</v>
      </c>
      <c r="I2940" s="5"/>
      <c r="J2940" s="20">
        <v>1.0</v>
      </c>
      <c r="K2940" s="20">
        <v>99.0</v>
      </c>
      <c r="L2940" s="20"/>
      <c r="M2940" s="20">
        <v>99.0</v>
      </c>
      <c r="N2940" s="5" t="s">
        <v>67</v>
      </c>
      <c r="O2940" s="20" t="b">
        <v>0</v>
      </c>
      <c r="P2940" s="20" t="s">
        <v>68</v>
      </c>
      <c r="Q2940" s="20" t="s">
        <v>69</v>
      </c>
      <c r="R2940" s="20" t="s">
        <v>3142</v>
      </c>
      <c r="T2940" s="20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</row>
    <row r="2941">
      <c r="A2941" s="15" t="s">
        <v>10424</v>
      </c>
      <c r="B2941" s="19">
        <v>44292.129166666666</v>
      </c>
      <c r="C2941" s="20">
        <v>49997.0</v>
      </c>
      <c r="D2941" s="20" t="s">
        <v>1227</v>
      </c>
      <c r="E2941" s="5">
        <v>9.19681482727E11</v>
      </c>
      <c r="F2941" s="21">
        <v>16846.0</v>
      </c>
      <c r="G2941" s="20"/>
      <c r="H2941" s="20" t="s">
        <v>2455</v>
      </c>
      <c r="I2941" s="5"/>
      <c r="J2941" s="20">
        <v>1.0</v>
      </c>
      <c r="K2941" s="20">
        <v>99.0</v>
      </c>
      <c r="L2941" s="20"/>
      <c r="M2941" s="20">
        <v>99.0</v>
      </c>
      <c r="N2941" s="5" t="s">
        <v>67</v>
      </c>
      <c r="O2941" s="20" t="b">
        <v>0</v>
      </c>
      <c r="P2941" s="20" t="s">
        <v>151</v>
      </c>
      <c r="Q2941" s="20" t="s">
        <v>69</v>
      </c>
      <c r="R2941" s="20" t="s">
        <v>2457</v>
      </c>
      <c r="T2941" s="20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</row>
    <row r="2942">
      <c r="A2942" s="15" t="s">
        <v>10277</v>
      </c>
      <c r="B2942" s="19">
        <v>44261.07430555556</v>
      </c>
      <c r="C2942" s="20">
        <v>49833.0</v>
      </c>
      <c r="D2942" s="20" t="s">
        <v>4191</v>
      </c>
      <c r="E2942" s="5">
        <v>9.18709300469E11</v>
      </c>
      <c r="F2942" s="21">
        <v>19396.0</v>
      </c>
      <c r="G2942" s="20"/>
      <c r="H2942" s="20" t="s">
        <v>4030</v>
      </c>
      <c r="I2942" s="5"/>
      <c r="J2942" s="20">
        <v>1.0</v>
      </c>
      <c r="K2942" s="20">
        <v>99.0</v>
      </c>
      <c r="L2942" s="20"/>
      <c r="M2942" s="20">
        <v>99.0</v>
      </c>
      <c r="N2942" s="5" t="s">
        <v>67</v>
      </c>
      <c r="O2942" s="20" t="b">
        <v>0</v>
      </c>
      <c r="P2942" s="20" t="s">
        <v>68</v>
      </c>
      <c r="Q2942" s="20" t="s">
        <v>69</v>
      </c>
      <c r="R2942" s="20" t="s">
        <v>4033</v>
      </c>
      <c r="T2942" s="20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</row>
    <row r="2943">
      <c r="A2943" s="15" t="s">
        <v>10278</v>
      </c>
      <c r="B2943" s="19">
        <v>44261.10138888889</v>
      </c>
      <c r="C2943" s="20">
        <v>50030.0</v>
      </c>
      <c r="D2943" s="20" t="s">
        <v>3482</v>
      </c>
      <c r="E2943" s="5">
        <v>9.17899164935E11</v>
      </c>
      <c r="F2943" s="21">
        <v>19397.0</v>
      </c>
      <c r="G2943" s="20"/>
      <c r="H2943" s="20" t="s">
        <v>3326</v>
      </c>
      <c r="I2943" s="5"/>
      <c r="J2943" s="20">
        <v>1.0</v>
      </c>
      <c r="K2943" s="20">
        <v>99.0</v>
      </c>
      <c r="L2943" s="20"/>
      <c r="M2943" s="20">
        <v>99.0</v>
      </c>
      <c r="N2943" s="5" t="s">
        <v>67</v>
      </c>
      <c r="O2943" s="20" t="b">
        <v>0</v>
      </c>
      <c r="P2943" s="20" t="s">
        <v>68</v>
      </c>
      <c r="Q2943" s="20" t="s">
        <v>69</v>
      </c>
      <c r="R2943" s="20" t="s">
        <v>3328</v>
      </c>
      <c r="T2943" s="20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</row>
    <row r="2944">
      <c r="A2944" s="15" t="s">
        <v>10279</v>
      </c>
      <c r="B2944" s="19">
        <v>44261.149305555555</v>
      </c>
      <c r="C2944" s="20">
        <v>49833.0</v>
      </c>
      <c r="D2944" s="20" t="s">
        <v>4192</v>
      </c>
      <c r="E2944" s="5">
        <v>9.1858698907E11</v>
      </c>
      <c r="F2944" s="21">
        <v>19398.0</v>
      </c>
      <c r="G2944" s="20"/>
      <c r="H2944" s="20" t="s">
        <v>4030</v>
      </c>
      <c r="I2944" s="5"/>
      <c r="J2944" s="20">
        <v>3.0</v>
      </c>
      <c r="K2944" s="20">
        <v>199.0</v>
      </c>
      <c r="L2944" s="20"/>
      <c r="M2944" s="20">
        <v>199.0</v>
      </c>
      <c r="N2944" s="5" t="s">
        <v>67</v>
      </c>
      <c r="O2944" s="20" t="b">
        <v>0</v>
      </c>
      <c r="P2944" s="20" t="s">
        <v>151</v>
      </c>
      <c r="Q2944" s="20" t="s">
        <v>69</v>
      </c>
      <c r="R2944" s="20" t="s">
        <v>4033</v>
      </c>
      <c r="T2944" s="20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</row>
    <row r="2945">
      <c r="A2945" s="15" t="s">
        <v>10425</v>
      </c>
      <c r="B2945" s="19">
        <v>44292.27361111111</v>
      </c>
      <c r="C2945" s="20">
        <v>50054.0</v>
      </c>
      <c r="D2945" s="20" t="s">
        <v>5919</v>
      </c>
      <c r="E2945" s="5">
        <v>9.18249097433E11</v>
      </c>
      <c r="F2945" s="21">
        <v>17788.0</v>
      </c>
      <c r="G2945" s="20"/>
      <c r="H2945" s="20" t="s">
        <v>5822</v>
      </c>
      <c r="I2945" s="5"/>
      <c r="J2945" s="20">
        <v>3.0</v>
      </c>
      <c r="K2945" s="20">
        <v>199.0</v>
      </c>
      <c r="L2945" s="20"/>
      <c r="M2945" s="20">
        <v>199.0</v>
      </c>
      <c r="N2945" s="5" t="s">
        <v>67</v>
      </c>
      <c r="O2945" s="20" t="b">
        <v>0</v>
      </c>
      <c r="P2945" s="20" t="s">
        <v>151</v>
      </c>
      <c r="Q2945" s="20" t="s">
        <v>69</v>
      </c>
      <c r="R2945" s="20" t="s">
        <v>5824</v>
      </c>
      <c r="T2945" s="20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</row>
    <row r="2946">
      <c r="A2946" s="15" t="s">
        <v>10282</v>
      </c>
      <c r="B2946" s="19">
        <v>44261.29652777778</v>
      </c>
      <c r="C2946" s="20">
        <v>50073.0</v>
      </c>
      <c r="D2946" s="20" t="s">
        <v>6560</v>
      </c>
      <c r="E2946" s="5">
        <v>9.1852734351E11</v>
      </c>
      <c r="F2946" s="21">
        <v>17606.0</v>
      </c>
      <c r="G2946" s="20"/>
      <c r="H2946" s="20" t="s">
        <v>2161</v>
      </c>
      <c r="I2946" s="5"/>
      <c r="J2946" s="20">
        <v>3.0</v>
      </c>
      <c r="K2946" s="20">
        <v>1499.0</v>
      </c>
      <c r="L2946" s="20"/>
      <c r="M2946" s="20">
        <v>1499.0</v>
      </c>
      <c r="N2946" s="5" t="s">
        <v>67</v>
      </c>
      <c r="O2946" s="20" t="b">
        <v>0</v>
      </c>
      <c r="P2946" s="20" t="s">
        <v>97</v>
      </c>
      <c r="Q2946" s="20" t="s">
        <v>69</v>
      </c>
      <c r="R2946" s="20" t="s">
        <v>6561</v>
      </c>
      <c r="T2946" s="20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</row>
    <row r="2947">
      <c r="A2947" s="15" t="s">
        <v>10287</v>
      </c>
      <c r="B2947" s="19">
        <v>44261.31875</v>
      </c>
      <c r="C2947" s="20">
        <v>50023.0</v>
      </c>
      <c r="D2947" s="20" t="s">
        <v>5554</v>
      </c>
      <c r="E2947" s="5">
        <v>9.18978600632E11</v>
      </c>
      <c r="F2947" s="21">
        <v>19399.0</v>
      </c>
      <c r="G2947" s="20"/>
      <c r="H2947" s="20" t="s">
        <v>5508</v>
      </c>
      <c r="I2947" s="5"/>
      <c r="J2947" s="20">
        <v>1.0</v>
      </c>
      <c r="K2947" s="20">
        <v>99.0</v>
      </c>
      <c r="L2947" s="20"/>
      <c r="M2947" s="20">
        <v>99.0</v>
      </c>
      <c r="N2947" s="5" t="s">
        <v>67</v>
      </c>
      <c r="O2947" s="20" t="b">
        <v>0</v>
      </c>
      <c r="P2947" s="20" t="s">
        <v>68</v>
      </c>
      <c r="Q2947" s="20" t="s">
        <v>69</v>
      </c>
      <c r="R2947" s="20" t="s">
        <v>5510</v>
      </c>
      <c r="T2947" s="20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</row>
    <row r="2948">
      <c r="A2948" s="15" t="s">
        <v>10290</v>
      </c>
      <c r="B2948" s="19">
        <v>44261.35208333333</v>
      </c>
      <c r="C2948" s="20">
        <v>49833.0</v>
      </c>
      <c r="D2948" s="20" t="s">
        <v>4193</v>
      </c>
      <c r="E2948" s="5">
        <v>9.17406541514E11</v>
      </c>
      <c r="F2948" s="21">
        <v>19406.0</v>
      </c>
      <c r="G2948" s="20"/>
      <c r="H2948" s="20" t="s">
        <v>4030</v>
      </c>
      <c r="I2948" s="5"/>
      <c r="J2948" s="20">
        <v>1.0</v>
      </c>
      <c r="K2948" s="20">
        <v>99.0</v>
      </c>
      <c r="L2948" s="20"/>
      <c r="M2948" s="20">
        <v>99.0</v>
      </c>
      <c r="N2948" s="5" t="s">
        <v>67</v>
      </c>
      <c r="O2948" s="20" t="b">
        <v>0</v>
      </c>
      <c r="P2948" s="20" t="s">
        <v>68</v>
      </c>
      <c r="Q2948" s="20" t="s">
        <v>69</v>
      </c>
      <c r="R2948" s="20" t="s">
        <v>4033</v>
      </c>
      <c r="T2948" s="20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</row>
    <row r="2949">
      <c r="A2949" s="15" t="s">
        <v>10291</v>
      </c>
      <c r="B2949" s="19">
        <v>44261.35277777778</v>
      </c>
      <c r="C2949" s="20">
        <v>50022.0</v>
      </c>
      <c r="D2949" s="20" t="s">
        <v>5282</v>
      </c>
      <c r="E2949" s="5">
        <v>9.19840106359E11</v>
      </c>
      <c r="F2949" s="21">
        <v>19400.0</v>
      </c>
      <c r="G2949" s="20"/>
      <c r="H2949" s="20" t="s">
        <v>5181</v>
      </c>
      <c r="I2949" s="5"/>
      <c r="J2949" s="20">
        <v>1.0</v>
      </c>
      <c r="K2949" s="20">
        <v>99.0</v>
      </c>
      <c r="L2949" s="20"/>
      <c r="M2949" s="20">
        <v>99.0</v>
      </c>
      <c r="N2949" s="5" t="s">
        <v>67</v>
      </c>
      <c r="O2949" s="20" t="b">
        <v>0</v>
      </c>
      <c r="P2949" s="20" t="s">
        <v>68</v>
      </c>
      <c r="Q2949" s="20" t="s">
        <v>69</v>
      </c>
      <c r="R2949" s="20" t="s">
        <v>5183</v>
      </c>
      <c r="T2949" s="20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</row>
    <row r="2950">
      <c r="A2950" s="15" t="s">
        <v>10289</v>
      </c>
      <c r="B2950" s="19">
        <v>44261.342361111114</v>
      </c>
      <c r="C2950" s="20">
        <v>49994.0</v>
      </c>
      <c r="D2950" s="20" t="s">
        <v>6647</v>
      </c>
      <c r="E2950" s="5">
        <v>9.1788879458E11</v>
      </c>
      <c r="F2950" s="21">
        <v>19415.0</v>
      </c>
      <c r="G2950" s="20"/>
      <c r="H2950" s="20" t="s">
        <v>1264</v>
      </c>
      <c r="I2950" s="5"/>
      <c r="J2950" s="20">
        <v>3.0</v>
      </c>
      <c r="K2950" s="20">
        <v>199.0</v>
      </c>
      <c r="L2950" s="20"/>
      <c r="M2950" s="20">
        <v>199.0</v>
      </c>
      <c r="N2950" s="5" t="s">
        <v>67</v>
      </c>
      <c r="O2950" s="20" t="b">
        <v>0</v>
      </c>
      <c r="P2950" s="20" t="s">
        <v>68</v>
      </c>
      <c r="Q2950" s="20" t="s">
        <v>69</v>
      </c>
      <c r="R2950" s="20" t="s">
        <v>6615</v>
      </c>
      <c r="T2950" s="20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</row>
    <row r="2951">
      <c r="A2951" s="15" t="s">
        <v>10294</v>
      </c>
      <c r="B2951" s="19">
        <v>44261.368055555555</v>
      </c>
      <c r="C2951" s="20">
        <v>50052.0</v>
      </c>
      <c r="D2951" s="20" t="s">
        <v>4489</v>
      </c>
      <c r="E2951" s="5">
        <v>9.17904174347E11</v>
      </c>
      <c r="F2951" s="21">
        <v>19402.0</v>
      </c>
      <c r="G2951" s="20"/>
      <c r="H2951" s="20" t="s">
        <v>4433</v>
      </c>
      <c r="I2951" s="5"/>
      <c r="J2951" s="20">
        <v>1.0</v>
      </c>
      <c r="K2951" s="20">
        <v>99.0</v>
      </c>
      <c r="L2951" s="20"/>
      <c r="M2951" s="20">
        <v>99.0</v>
      </c>
      <c r="N2951" s="5" t="s">
        <v>67</v>
      </c>
      <c r="O2951" s="20" t="b">
        <v>0</v>
      </c>
      <c r="P2951" s="20" t="s">
        <v>68</v>
      </c>
      <c r="Q2951" s="20" t="s">
        <v>69</v>
      </c>
      <c r="R2951" s="20" t="s">
        <v>4435</v>
      </c>
      <c r="T2951" s="20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</row>
    <row r="2952">
      <c r="A2952" s="15" t="s">
        <v>10297</v>
      </c>
      <c r="B2952" s="19">
        <v>44261.370833333334</v>
      </c>
      <c r="C2952" s="20">
        <v>50023.0</v>
      </c>
      <c r="D2952" s="20" t="s">
        <v>5555</v>
      </c>
      <c r="E2952" s="5">
        <v>9.18962625363E11</v>
      </c>
      <c r="F2952" s="21">
        <v>19417.0</v>
      </c>
      <c r="G2952" s="20"/>
      <c r="H2952" s="20" t="s">
        <v>5508</v>
      </c>
      <c r="I2952" s="5"/>
      <c r="J2952" s="20">
        <v>3.0</v>
      </c>
      <c r="K2952" s="20">
        <v>199.0</v>
      </c>
      <c r="L2952" s="20"/>
      <c r="M2952" s="20">
        <v>199.0</v>
      </c>
      <c r="N2952" s="5" t="s">
        <v>67</v>
      </c>
      <c r="O2952" s="20" t="b">
        <v>0</v>
      </c>
      <c r="P2952" s="20" t="s">
        <v>68</v>
      </c>
      <c r="Q2952" s="20" t="s">
        <v>69</v>
      </c>
      <c r="R2952" s="20" t="s">
        <v>5510</v>
      </c>
      <c r="T2952" s="20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</row>
    <row r="2953">
      <c r="A2953" s="15" t="s">
        <v>10304</v>
      </c>
      <c r="B2953" s="19">
        <v>44261.38958333333</v>
      </c>
      <c r="C2953" s="20">
        <v>50023.0</v>
      </c>
      <c r="D2953" s="20" t="s">
        <v>5556</v>
      </c>
      <c r="E2953" s="5">
        <v>9.19000507561E11</v>
      </c>
      <c r="F2953" s="21">
        <v>19407.0</v>
      </c>
      <c r="G2953" s="20"/>
      <c r="H2953" s="20" t="s">
        <v>5508</v>
      </c>
      <c r="I2953" s="5"/>
      <c r="J2953" s="20">
        <v>3.0</v>
      </c>
      <c r="K2953" s="20">
        <v>199.0</v>
      </c>
      <c r="L2953" s="20"/>
      <c r="M2953" s="20">
        <v>199.0</v>
      </c>
      <c r="N2953" s="5" t="s">
        <v>67</v>
      </c>
      <c r="O2953" s="20" t="b">
        <v>0</v>
      </c>
      <c r="P2953" s="20" t="s">
        <v>68</v>
      </c>
      <c r="Q2953" s="20" t="s">
        <v>69</v>
      </c>
      <c r="R2953" s="20" t="s">
        <v>5510</v>
      </c>
      <c r="T2953" s="20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</row>
    <row r="2954">
      <c r="A2954" s="15" t="s">
        <v>10300</v>
      </c>
      <c r="B2954" s="19">
        <v>44261.37777777778</v>
      </c>
      <c r="C2954" s="20">
        <v>49997.0</v>
      </c>
      <c r="D2954" s="20" t="s">
        <v>2544</v>
      </c>
      <c r="E2954" s="5">
        <v>9.17904785764E11</v>
      </c>
      <c r="F2954" s="21">
        <v>19403.0</v>
      </c>
      <c r="G2954" s="20"/>
      <c r="H2954" s="20" t="s">
        <v>2455</v>
      </c>
      <c r="I2954" s="5"/>
      <c r="J2954" s="20">
        <v>1.0</v>
      </c>
      <c r="K2954" s="20">
        <v>99.0</v>
      </c>
      <c r="L2954" s="20"/>
      <c r="M2954" s="20">
        <v>99.0</v>
      </c>
      <c r="N2954" s="5" t="s">
        <v>67</v>
      </c>
      <c r="O2954" s="20" t="b">
        <v>0</v>
      </c>
      <c r="P2954" s="20" t="s">
        <v>68</v>
      </c>
      <c r="Q2954" s="20" t="s">
        <v>69</v>
      </c>
      <c r="R2954" s="20" t="s">
        <v>2457</v>
      </c>
      <c r="T2954" s="20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</row>
    <row r="2955">
      <c r="A2955" s="15" t="s">
        <v>10301</v>
      </c>
      <c r="B2955" s="19">
        <v>44261.37847222222</v>
      </c>
      <c r="C2955" s="20">
        <v>49844.0</v>
      </c>
      <c r="D2955" s="20" t="s">
        <v>5475</v>
      </c>
      <c r="E2955" s="5">
        <v>9.18878177386E11</v>
      </c>
      <c r="F2955" s="22" t="s">
        <v>12593</v>
      </c>
      <c r="G2955" s="20"/>
      <c r="H2955" s="20" t="s">
        <v>885</v>
      </c>
      <c r="I2955" s="5"/>
      <c r="J2955" s="20">
        <v>1.0</v>
      </c>
      <c r="K2955" s="20">
        <v>99.0</v>
      </c>
      <c r="L2955" s="20"/>
      <c r="M2955" s="20">
        <v>99.0</v>
      </c>
      <c r="N2955" s="5" t="s">
        <v>67</v>
      </c>
      <c r="O2955" s="20" t="b">
        <v>0</v>
      </c>
      <c r="P2955" s="20" t="s">
        <v>68</v>
      </c>
      <c r="Q2955" s="20" t="s">
        <v>69</v>
      </c>
      <c r="R2955" s="20" t="s">
        <v>5476</v>
      </c>
      <c r="T2955" s="20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</row>
    <row r="2956">
      <c r="A2956" s="15" t="s">
        <v>10305</v>
      </c>
      <c r="B2956" s="19">
        <v>44261.395833333336</v>
      </c>
      <c r="C2956" s="20">
        <v>50094.0</v>
      </c>
      <c r="D2956" s="20" t="s">
        <v>5046</v>
      </c>
      <c r="E2956" s="5">
        <v>9.18904226106E11</v>
      </c>
      <c r="F2956" s="21">
        <v>19408.0</v>
      </c>
      <c r="G2956" s="20"/>
      <c r="H2956" s="20" t="s">
        <v>4942</v>
      </c>
      <c r="I2956" s="5"/>
      <c r="J2956" s="20">
        <v>1.0</v>
      </c>
      <c r="K2956" s="20">
        <v>199.0</v>
      </c>
      <c r="L2956" s="20"/>
      <c r="M2956" s="20">
        <v>199.0</v>
      </c>
      <c r="N2956" s="5" t="s">
        <v>67</v>
      </c>
      <c r="O2956" s="20" t="b">
        <v>0</v>
      </c>
      <c r="P2956" s="20" t="s">
        <v>68</v>
      </c>
      <c r="Q2956" s="20" t="s">
        <v>69</v>
      </c>
      <c r="R2956" s="20" t="s">
        <v>4945</v>
      </c>
      <c r="T2956" s="20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</row>
    <row r="2957">
      <c r="A2957" s="15" t="s">
        <v>10302</v>
      </c>
      <c r="B2957" s="19">
        <v>44261.379166666666</v>
      </c>
      <c r="C2957" s="20">
        <v>50065.0</v>
      </c>
      <c r="D2957" s="20" t="s">
        <v>2686</v>
      </c>
      <c r="E2957" s="5">
        <v>9.1870006606E11</v>
      </c>
      <c r="F2957" s="21">
        <v>19405.0</v>
      </c>
      <c r="G2957" s="20"/>
      <c r="H2957" s="20" t="s">
        <v>2601</v>
      </c>
      <c r="I2957" s="5"/>
      <c r="J2957" s="20">
        <v>1.0</v>
      </c>
      <c r="K2957" s="20">
        <v>99.0</v>
      </c>
      <c r="L2957" s="20"/>
      <c r="M2957" s="20">
        <v>99.0</v>
      </c>
      <c r="N2957" s="5" t="s">
        <v>67</v>
      </c>
      <c r="O2957" s="20" t="b">
        <v>0</v>
      </c>
      <c r="P2957" s="20" t="s">
        <v>68</v>
      </c>
      <c r="Q2957" s="20" t="s">
        <v>69</v>
      </c>
      <c r="R2957" s="20" t="s">
        <v>2604</v>
      </c>
      <c r="T2957" s="20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</row>
    <row r="2958">
      <c r="A2958" s="15" t="s">
        <v>10303</v>
      </c>
      <c r="B2958" s="19">
        <v>44261.38055555556</v>
      </c>
      <c r="C2958" s="20">
        <v>50110.0</v>
      </c>
      <c r="D2958" s="20" t="s">
        <v>4409</v>
      </c>
      <c r="E2958" s="5">
        <v>9.19891363718E11</v>
      </c>
      <c r="F2958" s="21">
        <v>19409.0</v>
      </c>
      <c r="G2958" s="20"/>
      <c r="H2958" s="20" t="s">
        <v>4399</v>
      </c>
      <c r="I2958" s="5"/>
      <c r="J2958" s="20">
        <v>1.0</v>
      </c>
      <c r="K2958" s="20">
        <v>99.0</v>
      </c>
      <c r="L2958" s="20"/>
      <c r="M2958" s="20">
        <v>99.0</v>
      </c>
      <c r="N2958" s="5" t="s">
        <v>67</v>
      </c>
      <c r="O2958" s="20" t="b">
        <v>0</v>
      </c>
      <c r="P2958" s="20" t="s">
        <v>68</v>
      </c>
      <c r="Q2958" s="20" t="s">
        <v>69</v>
      </c>
      <c r="R2958" s="20" t="s">
        <v>4402</v>
      </c>
      <c r="T2958" s="20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</row>
    <row r="2959">
      <c r="A2959" s="15" t="s">
        <v>10306</v>
      </c>
      <c r="B2959" s="19">
        <v>44261.407638888886</v>
      </c>
      <c r="C2959" s="20">
        <v>50029.0</v>
      </c>
      <c r="D2959" s="20" t="s">
        <v>2877</v>
      </c>
      <c r="E2959" s="5">
        <v>9.18420041265E11</v>
      </c>
      <c r="F2959" s="21">
        <v>19410.0</v>
      </c>
      <c r="G2959" s="20"/>
      <c r="H2959" s="20" t="s">
        <v>2761</v>
      </c>
      <c r="I2959" s="5"/>
      <c r="J2959" s="20">
        <v>1.0</v>
      </c>
      <c r="K2959" s="20">
        <v>99.0</v>
      </c>
      <c r="L2959" s="20"/>
      <c r="M2959" s="20">
        <v>99.0</v>
      </c>
      <c r="N2959" s="5" t="s">
        <v>67</v>
      </c>
      <c r="O2959" s="20" t="b">
        <v>0</v>
      </c>
      <c r="P2959" s="20" t="s">
        <v>68</v>
      </c>
      <c r="Q2959" s="20" t="s">
        <v>69</v>
      </c>
      <c r="R2959" s="20" t="s">
        <v>2763</v>
      </c>
      <c r="T2959" s="20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</row>
    <row r="2960">
      <c r="A2960" s="15" t="s">
        <v>10315</v>
      </c>
      <c r="B2960" s="19">
        <v>44261.43402777778</v>
      </c>
      <c r="C2960" s="20">
        <v>50113.0</v>
      </c>
      <c r="D2960" s="20" t="s">
        <v>4941</v>
      </c>
      <c r="E2960" s="5">
        <v>9.19820586219E11</v>
      </c>
      <c r="F2960" s="21">
        <v>19414.0</v>
      </c>
      <c r="G2960" s="20"/>
      <c r="H2960" s="20" t="s">
        <v>4914</v>
      </c>
      <c r="I2960" s="20" t="s">
        <v>4915</v>
      </c>
      <c r="J2960" s="20">
        <v>1.0</v>
      </c>
      <c r="K2960" s="20">
        <v>499.0</v>
      </c>
      <c r="L2960" s="20"/>
      <c r="M2960" s="20">
        <v>499.0</v>
      </c>
      <c r="N2960" s="5" t="s">
        <v>67</v>
      </c>
      <c r="O2960" s="20" t="b">
        <v>0</v>
      </c>
      <c r="P2960" s="20" t="s">
        <v>68</v>
      </c>
      <c r="Q2960" s="20" t="s">
        <v>69</v>
      </c>
      <c r="R2960" s="20" t="s">
        <v>4939</v>
      </c>
      <c r="T2960" s="20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</row>
    <row r="2961">
      <c r="A2961" s="15" t="s">
        <v>10307</v>
      </c>
      <c r="B2961" s="19">
        <v>44261.42152777778</v>
      </c>
      <c r="C2961" s="20">
        <v>49996.0</v>
      </c>
      <c r="D2961" s="20" t="s">
        <v>4840</v>
      </c>
      <c r="E2961" s="5">
        <v>9.1809079517E11</v>
      </c>
      <c r="F2961" s="21">
        <v>19412.0</v>
      </c>
      <c r="G2961" s="20"/>
      <c r="H2961" s="20" t="s">
        <v>4796</v>
      </c>
      <c r="I2961" s="5"/>
      <c r="J2961" s="20">
        <v>1.0</v>
      </c>
      <c r="K2961" s="20">
        <v>99.0</v>
      </c>
      <c r="L2961" s="20"/>
      <c r="M2961" s="20">
        <v>99.0</v>
      </c>
      <c r="N2961" s="5" t="s">
        <v>67</v>
      </c>
      <c r="O2961" s="20" t="b">
        <v>0</v>
      </c>
      <c r="P2961" s="20" t="s">
        <v>68</v>
      </c>
      <c r="Q2961" s="20" t="s">
        <v>69</v>
      </c>
      <c r="R2961" s="20" t="s">
        <v>4799</v>
      </c>
      <c r="T2961" s="20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</row>
    <row r="2962">
      <c r="A2962" s="15" t="s">
        <v>10433</v>
      </c>
      <c r="B2962" s="19">
        <v>44292.49791666667</v>
      </c>
      <c r="C2962" s="20">
        <v>50047.0</v>
      </c>
      <c r="D2962" s="20" t="s">
        <v>3264</v>
      </c>
      <c r="E2962" s="5">
        <v>9.1773184172E11</v>
      </c>
      <c r="F2962" s="21">
        <v>19484.0</v>
      </c>
      <c r="G2962" s="20"/>
      <c r="H2962" s="20" t="s">
        <v>3195</v>
      </c>
      <c r="I2962" s="5"/>
      <c r="J2962" s="20">
        <v>6.0</v>
      </c>
      <c r="K2962" s="20">
        <v>299.0</v>
      </c>
      <c r="L2962" s="20"/>
      <c r="M2962" s="20">
        <v>299.0</v>
      </c>
      <c r="N2962" s="5" t="s">
        <v>67</v>
      </c>
      <c r="O2962" s="20" t="b">
        <v>0</v>
      </c>
      <c r="P2962" s="20" t="s">
        <v>68</v>
      </c>
      <c r="Q2962" s="20" t="s">
        <v>69</v>
      </c>
      <c r="R2962" s="20" t="s">
        <v>3261</v>
      </c>
      <c r="T2962" s="20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</row>
    <row r="2963">
      <c r="A2963" s="15" t="s">
        <v>10434</v>
      </c>
      <c r="B2963" s="19">
        <v>44292.51111111111</v>
      </c>
      <c r="C2963" s="20">
        <v>50022.0</v>
      </c>
      <c r="D2963" s="20" t="s">
        <v>5285</v>
      </c>
      <c r="E2963" s="5">
        <v>9.19351211353E11</v>
      </c>
      <c r="F2963" s="21">
        <v>19486.0</v>
      </c>
      <c r="G2963" s="20"/>
      <c r="H2963" s="20" t="s">
        <v>5181</v>
      </c>
      <c r="I2963" s="5"/>
      <c r="J2963" s="20">
        <v>1.0</v>
      </c>
      <c r="K2963" s="20">
        <v>99.0</v>
      </c>
      <c r="L2963" s="20"/>
      <c r="M2963" s="20">
        <v>99.0</v>
      </c>
      <c r="N2963" s="5" t="s">
        <v>67</v>
      </c>
      <c r="O2963" s="20" t="b">
        <v>0</v>
      </c>
      <c r="P2963" s="20" t="s">
        <v>68</v>
      </c>
      <c r="Q2963" s="20" t="s">
        <v>69</v>
      </c>
      <c r="R2963" s="20" t="s">
        <v>5286</v>
      </c>
      <c r="T2963" s="20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</row>
    <row r="2964">
      <c r="A2964" s="15" t="s">
        <v>10316</v>
      </c>
      <c r="B2964" s="19">
        <v>44261.45208333333</v>
      </c>
      <c r="C2964" s="20">
        <v>49844.0</v>
      </c>
      <c r="D2964" s="20" t="s">
        <v>5477</v>
      </c>
      <c r="E2964" s="5">
        <v>9.18296632605E11</v>
      </c>
      <c r="F2964" s="21">
        <v>19416.0</v>
      </c>
      <c r="G2964" s="20"/>
      <c r="H2964" s="20" t="s">
        <v>885</v>
      </c>
      <c r="I2964" s="5"/>
      <c r="J2964" s="20">
        <v>1.0</v>
      </c>
      <c r="K2964" s="20">
        <v>99.0</v>
      </c>
      <c r="L2964" s="20"/>
      <c r="M2964" s="20">
        <v>99.0</v>
      </c>
      <c r="N2964" s="5" t="s">
        <v>67</v>
      </c>
      <c r="O2964" s="20" t="b">
        <v>0</v>
      </c>
      <c r="P2964" s="20" t="s">
        <v>68</v>
      </c>
      <c r="Q2964" s="20" t="s">
        <v>69</v>
      </c>
      <c r="R2964" s="20" t="s">
        <v>5476</v>
      </c>
      <c r="T2964" s="20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</row>
    <row r="2965">
      <c r="A2965" s="15" t="s">
        <v>10320</v>
      </c>
      <c r="B2965" s="19">
        <v>44261.47152777778</v>
      </c>
      <c r="C2965" s="20">
        <v>49835.0</v>
      </c>
      <c r="D2965" s="20" t="s">
        <v>3928</v>
      </c>
      <c r="E2965" s="5">
        <v>9.180838735E11</v>
      </c>
      <c r="F2965" s="22" t="s">
        <v>12593</v>
      </c>
      <c r="G2965" s="20"/>
      <c r="H2965" s="20" t="s">
        <v>680</v>
      </c>
      <c r="I2965" s="5"/>
      <c r="J2965" s="20">
        <v>1.0</v>
      </c>
      <c r="K2965" s="20">
        <v>99.0</v>
      </c>
      <c r="L2965" s="20"/>
      <c r="M2965" s="20">
        <v>99.0</v>
      </c>
      <c r="N2965" s="5" t="s">
        <v>67</v>
      </c>
      <c r="O2965" s="20" t="b">
        <v>0</v>
      </c>
      <c r="P2965" s="20" t="s">
        <v>68</v>
      </c>
      <c r="Q2965" s="20" t="s">
        <v>69</v>
      </c>
      <c r="R2965" s="20" t="s">
        <v>3888</v>
      </c>
      <c r="T2965" s="20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</row>
    <row r="2966">
      <c r="A2966" s="15" t="s">
        <v>10317</v>
      </c>
      <c r="B2966" s="19">
        <v>44261.46041666667</v>
      </c>
      <c r="C2966" s="20">
        <v>49907.0</v>
      </c>
      <c r="D2966" s="20" t="s">
        <v>3818</v>
      </c>
      <c r="E2966" s="5">
        <v>9.19059043583E11</v>
      </c>
      <c r="F2966" s="21">
        <v>19418.0</v>
      </c>
      <c r="G2966" s="20"/>
      <c r="H2966" s="20" t="s">
        <v>587</v>
      </c>
      <c r="I2966" s="5"/>
      <c r="J2966" s="20">
        <v>1.0</v>
      </c>
      <c r="K2966" s="20">
        <v>99.0</v>
      </c>
      <c r="L2966" s="20"/>
      <c r="M2966" s="20">
        <v>99.0</v>
      </c>
      <c r="N2966" s="5" t="s">
        <v>67</v>
      </c>
      <c r="O2966" s="20" t="b">
        <v>0</v>
      </c>
      <c r="P2966" s="20" t="s">
        <v>97</v>
      </c>
      <c r="Q2966" s="20" t="s">
        <v>69</v>
      </c>
      <c r="R2966" s="20" t="s">
        <v>3774</v>
      </c>
      <c r="T2966" s="20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</row>
    <row r="2967">
      <c r="A2967" s="15" t="s">
        <v>10323</v>
      </c>
      <c r="B2967" s="19">
        <v>44261.479166666664</v>
      </c>
      <c r="C2967" s="20">
        <v>50023.0</v>
      </c>
      <c r="D2967" s="20" t="s">
        <v>5557</v>
      </c>
      <c r="E2967" s="5">
        <v>9.19877802556E11</v>
      </c>
      <c r="F2967" s="22" t="s">
        <v>12593</v>
      </c>
      <c r="G2967" s="20"/>
      <c r="H2967" s="20" t="s">
        <v>5508</v>
      </c>
      <c r="I2967" s="5"/>
      <c r="J2967" s="20">
        <v>1.0</v>
      </c>
      <c r="K2967" s="20">
        <v>99.0</v>
      </c>
      <c r="L2967" s="20"/>
      <c r="M2967" s="20">
        <v>99.0</v>
      </c>
      <c r="N2967" s="5" t="s">
        <v>67</v>
      </c>
      <c r="O2967" s="20" t="b">
        <v>0</v>
      </c>
      <c r="P2967" s="20" t="s">
        <v>68</v>
      </c>
      <c r="Q2967" s="20" t="s">
        <v>69</v>
      </c>
      <c r="R2967" s="20" t="s">
        <v>5510</v>
      </c>
      <c r="T2967" s="20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</row>
    <row r="2968">
      <c r="A2968" s="15" t="s">
        <v>10318</v>
      </c>
      <c r="B2968" s="19">
        <v>44261.46388888889</v>
      </c>
      <c r="C2968" s="20">
        <v>49991.0</v>
      </c>
      <c r="D2968" s="20" t="s">
        <v>3143</v>
      </c>
      <c r="E2968" s="5">
        <v>9.17505580579E11</v>
      </c>
      <c r="F2968" s="22" t="s">
        <v>12593</v>
      </c>
      <c r="G2968" s="20"/>
      <c r="H2968" s="20" t="s">
        <v>3055</v>
      </c>
      <c r="I2968" s="5"/>
      <c r="J2968" s="20">
        <v>1.0</v>
      </c>
      <c r="K2968" s="20">
        <v>99.0</v>
      </c>
      <c r="L2968" s="20"/>
      <c r="M2968" s="20">
        <v>99.0</v>
      </c>
      <c r="N2968" s="5" t="s">
        <v>67</v>
      </c>
      <c r="O2968" s="20" t="b">
        <v>0</v>
      </c>
      <c r="P2968" s="20" t="s">
        <v>68</v>
      </c>
      <c r="Q2968" s="20" t="s">
        <v>69</v>
      </c>
      <c r="R2968" s="20" t="s">
        <v>3057</v>
      </c>
      <c r="T2968" s="20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</row>
    <row r="2969">
      <c r="A2969" s="15" t="s">
        <v>10324</v>
      </c>
      <c r="B2969" s="19">
        <v>44261.48541666667</v>
      </c>
      <c r="C2969" s="20">
        <v>50023.0</v>
      </c>
      <c r="D2969" s="20" t="s">
        <v>5558</v>
      </c>
      <c r="E2969" s="5">
        <v>9.17078837488E11</v>
      </c>
      <c r="F2969" s="21">
        <v>19422.0</v>
      </c>
      <c r="G2969" s="20"/>
      <c r="H2969" s="20" t="s">
        <v>5508</v>
      </c>
      <c r="I2969" s="5"/>
      <c r="J2969" s="20">
        <v>1.0</v>
      </c>
      <c r="K2969" s="20">
        <v>99.0</v>
      </c>
      <c r="L2969" s="20"/>
      <c r="M2969" s="20">
        <v>99.0</v>
      </c>
      <c r="N2969" s="5" t="s">
        <v>67</v>
      </c>
      <c r="O2969" s="20" t="b">
        <v>0</v>
      </c>
      <c r="P2969" s="20" t="s">
        <v>68</v>
      </c>
      <c r="Q2969" s="20" t="s">
        <v>69</v>
      </c>
      <c r="R2969" s="20" t="s">
        <v>5510</v>
      </c>
      <c r="T2969" s="20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</row>
    <row r="2970">
      <c r="A2970" s="15" t="s">
        <v>10319</v>
      </c>
      <c r="B2970" s="19">
        <v>44261.46944444445</v>
      </c>
      <c r="C2970" s="20">
        <v>49991.0</v>
      </c>
      <c r="D2970" s="20" t="s">
        <v>3144</v>
      </c>
      <c r="E2970" s="5">
        <v>9.19810115373E11</v>
      </c>
      <c r="F2970" s="21">
        <v>19420.0</v>
      </c>
      <c r="G2970" s="20"/>
      <c r="H2970" s="20" t="s">
        <v>3055</v>
      </c>
      <c r="I2970" s="5"/>
      <c r="J2970" s="20">
        <v>1.0</v>
      </c>
      <c r="K2970" s="20">
        <v>99.0</v>
      </c>
      <c r="L2970" s="20"/>
      <c r="M2970" s="20">
        <v>99.0</v>
      </c>
      <c r="N2970" s="5" t="s">
        <v>67</v>
      </c>
      <c r="O2970" s="20" t="b">
        <v>0</v>
      </c>
      <c r="P2970" s="20" t="s">
        <v>97</v>
      </c>
      <c r="Q2970" s="20" t="s">
        <v>69</v>
      </c>
      <c r="R2970" s="20" t="s">
        <v>3057</v>
      </c>
      <c r="T2970" s="20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</row>
    <row r="2971">
      <c r="A2971" s="15" t="s">
        <v>10325</v>
      </c>
      <c r="B2971" s="19">
        <v>44261.493055555555</v>
      </c>
      <c r="C2971" s="20">
        <v>50041.0</v>
      </c>
      <c r="D2971" s="20" t="s">
        <v>5971</v>
      </c>
      <c r="E2971" s="5">
        <v>9.19930146203E11</v>
      </c>
      <c r="F2971" s="21">
        <v>19424.0</v>
      </c>
      <c r="G2971" s="20"/>
      <c r="H2971" s="20" t="s">
        <v>5956</v>
      </c>
      <c r="I2971" s="5"/>
      <c r="J2971" s="20">
        <v>3.0</v>
      </c>
      <c r="K2971" s="20">
        <v>399.0</v>
      </c>
      <c r="L2971" s="20"/>
      <c r="M2971" s="20">
        <v>399.0</v>
      </c>
      <c r="N2971" s="5" t="s">
        <v>67</v>
      </c>
      <c r="O2971" s="20" t="b">
        <v>0</v>
      </c>
      <c r="P2971" s="20" t="s">
        <v>74</v>
      </c>
      <c r="Q2971" s="20" t="s">
        <v>69</v>
      </c>
      <c r="R2971" s="20" t="s">
        <v>5958</v>
      </c>
      <c r="T2971" s="20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</row>
    <row r="2972">
      <c r="A2972" s="15" t="s">
        <v>10340</v>
      </c>
      <c r="B2972" s="19">
        <v>44261.5125</v>
      </c>
      <c r="C2972" s="20">
        <v>50054.0</v>
      </c>
      <c r="D2972" s="20" t="s">
        <v>5917</v>
      </c>
      <c r="E2972" s="5">
        <v>9.19673100939E11</v>
      </c>
      <c r="F2972" s="21">
        <v>19427.0</v>
      </c>
      <c r="G2972" s="20"/>
      <c r="H2972" s="20" t="s">
        <v>5822</v>
      </c>
      <c r="I2972" s="5"/>
      <c r="J2972" s="20">
        <v>1.0</v>
      </c>
      <c r="K2972" s="20">
        <v>99.0</v>
      </c>
      <c r="L2972" s="20"/>
      <c r="M2972" s="20">
        <v>99.0</v>
      </c>
      <c r="N2972" s="5" t="s">
        <v>67</v>
      </c>
      <c r="O2972" s="20" t="b">
        <v>0</v>
      </c>
      <c r="P2972" s="20" t="s">
        <v>68</v>
      </c>
      <c r="Q2972" s="20" t="s">
        <v>69</v>
      </c>
      <c r="R2972" s="20" t="s">
        <v>5824</v>
      </c>
      <c r="T2972" s="20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</row>
    <row r="2973">
      <c r="A2973" s="15" t="s">
        <v>10334</v>
      </c>
      <c r="B2973" s="19">
        <v>44261.501388888886</v>
      </c>
      <c r="C2973" s="20">
        <v>50039.0</v>
      </c>
      <c r="D2973" s="20" t="s">
        <v>4384</v>
      </c>
      <c r="E2973" s="5">
        <v>9.18460102401E11</v>
      </c>
      <c r="F2973" s="21">
        <v>19426.0</v>
      </c>
      <c r="G2973" s="20"/>
      <c r="H2973" s="20" t="s">
        <v>4341</v>
      </c>
      <c r="I2973" s="5"/>
      <c r="J2973" s="20">
        <v>3.0</v>
      </c>
      <c r="K2973" s="20">
        <v>199.0</v>
      </c>
      <c r="L2973" s="20"/>
      <c r="M2973" s="20">
        <v>199.0</v>
      </c>
      <c r="N2973" s="5" t="s">
        <v>67</v>
      </c>
      <c r="O2973" s="20" t="b">
        <v>0</v>
      </c>
      <c r="P2973" s="20" t="s">
        <v>68</v>
      </c>
      <c r="Q2973" s="20" t="s">
        <v>69</v>
      </c>
      <c r="R2973" s="20" t="s">
        <v>4343</v>
      </c>
      <c r="T2973" s="20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</row>
    <row r="2974">
      <c r="A2974" s="15" t="s">
        <v>10339</v>
      </c>
      <c r="B2974" s="19">
        <v>44261.506944444445</v>
      </c>
      <c r="C2974" s="20">
        <v>50065.0</v>
      </c>
      <c r="D2974" s="20" t="s">
        <v>2687</v>
      </c>
      <c r="E2974" s="5">
        <v>9.19877729858E11</v>
      </c>
      <c r="F2974" s="21">
        <v>19425.0</v>
      </c>
      <c r="G2974" s="20"/>
      <c r="H2974" s="20" t="s">
        <v>2601</v>
      </c>
      <c r="I2974" s="5"/>
      <c r="J2974" s="20">
        <v>1.0</v>
      </c>
      <c r="K2974" s="20">
        <v>99.0</v>
      </c>
      <c r="L2974" s="20"/>
      <c r="M2974" s="20">
        <v>99.0</v>
      </c>
      <c r="N2974" s="5" t="s">
        <v>67</v>
      </c>
      <c r="O2974" s="20" t="b">
        <v>0</v>
      </c>
      <c r="P2974" s="20" t="s">
        <v>68</v>
      </c>
      <c r="Q2974" s="20" t="s">
        <v>69</v>
      </c>
      <c r="R2974" s="20" t="s">
        <v>2604</v>
      </c>
      <c r="T2974" s="20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</row>
    <row r="2975">
      <c r="A2975" s="15" t="s">
        <v>10341</v>
      </c>
      <c r="B2975" s="19">
        <v>44261.52569444444</v>
      </c>
      <c r="C2975" s="20">
        <v>49998.0</v>
      </c>
      <c r="D2975" s="20" t="s">
        <v>6298</v>
      </c>
      <c r="E2975" s="5">
        <v>9.1870813506E11</v>
      </c>
      <c r="F2975" s="21">
        <v>19430.0</v>
      </c>
      <c r="G2975" s="20"/>
      <c r="H2975" s="20" t="s">
        <v>6250</v>
      </c>
      <c r="I2975" s="5"/>
      <c r="J2975" s="20">
        <v>1.0</v>
      </c>
      <c r="K2975" s="20">
        <v>99.0</v>
      </c>
      <c r="L2975" s="20"/>
      <c r="M2975" s="20">
        <v>99.0</v>
      </c>
      <c r="N2975" s="5" t="s">
        <v>67</v>
      </c>
      <c r="O2975" s="20" t="b">
        <v>0</v>
      </c>
      <c r="P2975" s="20" t="s">
        <v>68</v>
      </c>
      <c r="Q2975" s="20" t="s">
        <v>69</v>
      </c>
      <c r="R2975" s="20" t="s">
        <v>6252</v>
      </c>
      <c r="T2975" s="20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</row>
    <row r="2976">
      <c r="A2976" s="15" t="s">
        <v>10342</v>
      </c>
      <c r="B2976" s="19">
        <v>44261.52777777778</v>
      </c>
      <c r="C2976" s="20">
        <v>49859.0</v>
      </c>
      <c r="D2976" s="20" t="s">
        <v>4737</v>
      </c>
      <c r="E2976" s="5">
        <v>9.18197517349E11</v>
      </c>
      <c r="F2976" s="21">
        <v>19428.0</v>
      </c>
      <c r="G2976" s="20"/>
      <c r="H2976" s="20" t="s">
        <v>1133</v>
      </c>
      <c r="I2976" s="5"/>
      <c r="J2976" s="20">
        <v>1.0</v>
      </c>
      <c r="K2976" s="20">
        <v>99.0</v>
      </c>
      <c r="L2976" s="20"/>
      <c r="M2976" s="20">
        <v>99.0</v>
      </c>
      <c r="N2976" s="5" t="s">
        <v>67</v>
      </c>
      <c r="O2976" s="20" t="b">
        <v>0</v>
      </c>
      <c r="P2976" s="20" t="s">
        <v>68</v>
      </c>
      <c r="Q2976" s="20" t="s">
        <v>69</v>
      </c>
      <c r="R2976" s="20" t="s">
        <v>4736</v>
      </c>
      <c r="T2976" s="20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</row>
    <row r="2977">
      <c r="A2977" s="15" t="s">
        <v>10343</v>
      </c>
      <c r="B2977" s="19">
        <v>44261.532638888886</v>
      </c>
      <c r="C2977" s="20">
        <v>49859.0</v>
      </c>
      <c r="D2977" s="20" t="s">
        <v>4738</v>
      </c>
      <c r="E2977" s="5">
        <v>9.18056597405E11</v>
      </c>
      <c r="F2977" s="21">
        <v>19429.0</v>
      </c>
      <c r="G2977" s="20"/>
      <c r="H2977" s="20" t="s">
        <v>1133</v>
      </c>
      <c r="I2977" s="5"/>
      <c r="J2977" s="20">
        <v>1.0</v>
      </c>
      <c r="K2977" s="20">
        <v>99.0</v>
      </c>
      <c r="L2977" s="20"/>
      <c r="M2977" s="20">
        <v>99.0</v>
      </c>
      <c r="N2977" s="5" t="s">
        <v>67</v>
      </c>
      <c r="O2977" s="20" t="b">
        <v>0</v>
      </c>
      <c r="P2977" s="20" t="s">
        <v>68</v>
      </c>
      <c r="Q2977" s="20" t="s">
        <v>69</v>
      </c>
      <c r="R2977" s="20" t="s">
        <v>4736</v>
      </c>
      <c r="T2977" s="20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</row>
    <row r="2978">
      <c r="A2978" s="15" t="s">
        <v>10437</v>
      </c>
      <c r="B2978" s="19">
        <v>44292.6</v>
      </c>
      <c r="C2978" s="20">
        <v>50094.0</v>
      </c>
      <c r="D2978" s="20" t="s">
        <v>5050</v>
      </c>
      <c r="E2978" s="5">
        <v>9.19100224622E11</v>
      </c>
      <c r="F2978" s="21">
        <v>19490.0</v>
      </c>
      <c r="G2978" s="20"/>
      <c r="H2978" s="20" t="s">
        <v>4942</v>
      </c>
      <c r="I2978" s="5"/>
      <c r="J2978" s="20">
        <v>1.0</v>
      </c>
      <c r="K2978" s="20">
        <v>199.0</v>
      </c>
      <c r="L2978" s="20"/>
      <c r="M2978" s="20">
        <v>199.0</v>
      </c>
      <c r="N2978" s="5" t="s">
        <v>67</v>
      </c>
      <c r="O2978" s="20" t="b">
        <v>0</v>
      </c>
      <c r="P2978" s="20" t="s">
        <v>151</v>
      </c>
      <c r="Q2978" s="20" t="s">
        <v>69</v>
      </c>
      <c r="R2978" s="20" t="s">
        <v>4945</v>
      </c>
      <c r="T2978" s="20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</row>
    <row r="2979">
      <c r="A2979" s="15" t="s">
        <v>10346</v>
      </c>
      <c r="B2979" s="19">
        <v>44261.552083333336</v>
      </c>
      <c r="C2979" s="20">
        <v>50043.0</v>
      </c>
      <c r="D2979" s="20" t="s">
        <v>6417</v>
      </c>
      <c r="E2979" s="5">
        <v>9.1965421E11</v>
      </c>
      <c r="F2979" s="21">
        <v>19431.0</v>
      </c>
      <c r="G2979" s="20"/>
      <c r="H2979" s="20" t="s">
        <v>6367</v>
      </c>
      <c r="I2979" s="5"/>
      <c r="J2979" s="20">
        <v>6.0</v>
      </c>
      <c r="K2979" s="20">
        <v>349.0</v>
      </c>
      <c r="L2979" s="20"/>
      <c r="M2979" s="20">
        <v>349.0</v>
      </c>
      <c r="N2979" s="5" t="s">
        <v>67</v>
      </c>
      <c r="O2979" s="20" t="b">
        <v>0</v>
      </c>
      <c r="P2979" s="20" t="s">
        <v>74</v>
      </c>
      <c r="Q2979" s="20" t="s">
        <v>69</v>
      </c>
      <c r="R2979" s="20" t="s">
        <v>6369</v>
      </c>
      <c r="T2979" s="20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</row>
    <row r="2980">
      <c r="A2980" s="15" t="s">
        <v>10440</v>
      </c>
      <c r="B2980" s="19">
        <v>44292.6</v>
      </c>
      <c r="C2980" s="20">
        <v>49844.0</v>
      </c>
      <c r="D2980" s="20" t="s">
        <v>5478</v>
      </c>
      <c r="E2980" s="5">
        <v>9.19091560661E11</v>
      </c>
      <c r="F2980" s="21">
        <v>19491.0</v>
      </c>
      <c r="G2980" s="20"/>
      <c r="H2980" s="20" t="s">
        <v>885</v>
      </c>
      <c r="I2980" s="5"/>
      <c r="J2980" s="20">
        <v>6.0</v>
      </c>
      <c r="K2980" s="20">
        <v>349.0</v>
      </c>
      <c r="L2980" s="20"/>
      <c r="M2980" s="20">
        <v>349.0</v>
      </c>
      <c r="N2980" s="5" t="s">
        <v>67</v>
      </c>
      <c r="O2980" s="20" t="b">
        <v>0</v>
      </c>
      <c r="P2980" s="20" t="s">
        <v>68</v>
      </c>
      <c r="Q2980" s="20" t="s">
        <v>69</v>
      </c>
      <c r="R2980" s="20" t="s">
        <v>5476</v>
      </c>
      <c r="T2980" s="20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</row>
    <row r="2981">
      <c r="A2981" s="15" t="s">
        <v>10441</v>
      </c>
      <c r="B2981" s="19">
        <v>44292.62222222222</v>
      </c>
      <c r="C2981" s="20">
        <v>50047.0</v>
      </c>
      <c r="D2981" s="20" t="s">
        <v>3265</v>
      </c>
      <c r="E2981" s="5">
        <v>9.19818154017E11</v>
      </c>
      <c r="F2981" s="21">
        <v>19493.0</v>
      </c>
      <c r="G2981" s="20"/>
      <c r="H2981" s="20" t="s">
        <v>3195</v>
      </c>
      <c r="I2981" s="5"/>
      <c r="J2981" s="20">
        <v>6.0</v>
      </c>
      <c r="K2981" s="20">
        <v>299.0</v>
      </c>
      <c r="L2981" s="20"/>
      <c r="M2981" s="20">
        <v>299.0</v>
      </c>
      <c r="N2981" s="5" t="s">
        <v>67</v>
      </c>
      <c r="O2981" s="20" t="b">
        <v>0</v>
      </c>
      <c r="P2981" s="20" t="s">
        <v>68</v>
      </c>
      <c r="Q2981" s="20" t="s">
        <v>69</v>
      </c>
      <c r="R2981" s="20" t="s">
        <v>3197</v>
      </c>
      <c r="T2981" s="20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</row>
    <row r="2982">
      <c r="A2982" s="15" t="s">
        <v>10442</v>
      </c>
      <c r="B2982" s="19">
        <v>44292.620833333334</v>
      </c>
      <c r="C2982" s="20">
        <v>49907.0</v>
      </c>
      <c r="D2982" s="20" t="s">
        <v>3825</v>
      </c>
      <c r="E2982" s="5">
        <v>9.18247820094E11</v>
      </c>
      <c r="F2982" s="21">
        <v>19492.0</v>
      </c>
      <c r="G2982" s="20"/>
      <c r="H2982" s="20" t="s">
        <v>587</v>
      </c>
      <c r="I2982" s="5"/>
      <c r="J2982" s="20">
        <v>1.0</v>
      </c>
      <c r="K2982" s="20">
        <v>99.0</v>
      </c>
      <c r="L2982" s="20"/>
      <c r="M2982" s="20">
        <v>99.0</v>
      </c>
      <c r="N2982" s="5" t="s">
        <v>67</v>
      </c>
      <c r="O2982" s="20" t="b">
        <v>0</v>
      </c>
      <c r="P2982" s="20" t="s">
        <v>68</v>
      </c>
      <c r="Q2982" s="20" t="s">
        <v>69</v>
      </c>
      <c r="R2982" s="20" t="s">
        <v>3822</v>
      </c>
      <c r="T2982" s="20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</row>
    <row r="2983">
      <c r="A2983" s="15" t="s">
        <v>10349</v>
      </c>
      <c r="B2983" s="19">
        <v>44261.56319444445</v>
      </c>
      <c r="C2983" s="20">
        <v>50022.0</v>
      </c>
      <c r="D2983" s="20" t="s">
        <v>5283</v>
      </c>
      <c r="E2983" s="5">
        <v>9.16295797197E11</v>
      </c>
      <c r="F2983" s="21">
        <v>19432.0</v>
      </c>
      <c r="G2983" s="20"/>
      <c r="H2983" s="20" t="s">
        <v>5181</v>
      </c>
      <c r="I2983" s="5"/>
      <c r="J2983" s="20">
        <v>1.0</v>
      </c>
      <c r="K2983" s="20">
        <v>99.0</v>
      </c>
      <c r="L2983" s="20"/>
      <c r="M2983" s="20">
        <v>99.0</v>
      </c>
      <c r="N2983" s="5" t="s">
        <v>67</v>
      </c>
      <c r="O2983" s="20" t="b">
        <v>0</v>
      </c>
      <c r="P2983" s="20" t="s">
        <v>68</v>
      </c>
      <c r="Q2983" s="20" t="s">
        <v>69</v>
      </c>
      <c r="R2983" s="20" t="s">
        <v>5183</v>
      </c>
      <c r="T2983" s="20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</row>
    <row r="2984">
      <c r="A2984" s="15" t="s">
        <v>10356</v>
      </c>
      <c r="B2984" s="19">
        <v>44261.57847222222</v>
      </c>
      <c r="C2984" s="20">
        <v>49813.0</v>
      </c>
      <c r="D2984" s="20" t="s">
        <v>5161</v>
      </c>
      <c r="E2984" s="5">
        <v>9.18377877536E11</v>
      </c>
      <c r="F2984" s="21">
        <v>0.0</v>
      </c>
      <c r="G2984" s="20"/>
      <c r="H2984" s="20" t="s">
        <v>5114</v>
      </c>
      <c r="I2984" s="5"/>
      <c r="J2984" s="20">
        <v>1.0</v>
      </c>
      <c r="K2984" s="20">
        <v>299.0</v>
      </c>
      <c r="L2984" s="20"/>
      <c r="M2984" s="20">
        <v>299.0</v>
      </c>
      <c r="N2984" s="5" t="s">
        <v>67</v>
      </c>
      <c r="O2984" s="20" t="b">
        <v>0</v>
      </c>
      <c r="P2984" s="20" t="s">
        <v>68</v>
      </c>
      <c r="Q2984" s="20" t="s">
        <v>69</v>
      </c>
      <c r="R2984" s="20" t="s">
        <v>5162</v>
      </c>
      <c r="T2984" s="20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</row>
    <row r="2985">
      <c r="A2985" s="15" t="s">
        <v>10368</v>
      </c>
      <c r="B2985" s="19">
        <v>44261.59583333333</v>
      </c>
      <c r="C2985" s="20">
        <v>49907.0</v>
      </c>
      <c r="D2985" s="20" t="s">
        <v>3819</v>
      </c>
      <c r="E2985" s="5">
        <v>9.19962442942E11</v>
      </c>
      <c r="F2985" s="21">
        <v>19435.0</v>
      </c>
      <c r="G2985" s="20"/>
      <c r="H2985" s="20" t="s">
        <v>587</v>
      </c>
      <c r="I2985" s="5"/>
      <c r="J2985" s="20">
        <v>3.0</v>
      </c>
      <c r="K2985" s="20">
        <v>199.0</v>
      </c>
      <c r="L2985" s="20"/>
      <c r="M2985" s="20">
        <v>199.0</v>
      </c>
      <c r="N2985" s="5" t="s">
        <v>67</v>
      </c>
      <c r="O2985" s="20" t="b">
        <v>0</v>
      </c>
      <c r="P2985" s="20" t="s">
        <v>68</v>
      </c>
      <c r="Q2985" s="20" t="s">
        <v>69</v>
      </c>
      <c r="R2985" s="20" t="s">
        <v>3774</v>
      </c>
      <c r="T2985" s="20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</row>
    <row r="2986">
      <c r="A2986" s="15" t="s">
        <v>10443</v>
      </c>
      <c r="B2986" s="19">
        <v>44292.665972222225</v>
      </c>
      <c r="C2986" s="20">
        <v>50020.0</v>
      </c>
      <c r="D2986" s="20" t="s">
        <v>3048</v>
      </c>
      <c r="E2986" s="5">
        <v>9.19400802624E11</v>
      </c>
      <c r="F2986" s="21">
        <v>19494.0</v>
      </c>
      <c r="G2986" s="20"/>
      <c r="H2986" s="20" t="s">
        <v>3008</v>
      </c>
      <c r="I2986" s="5"/>
      <c r="J2986" s="20">
        <v>6.0</v>
      </c>
      <c r="K2986" s="20">
        <v>349.0</v>
      </c>
      <c r="L2986" s="20"/>
      <c r="M2986" s="20">
        <v>349.0</v>
      </c>
      <c r="N2986" s="5" t="s">
        <v>67</v>
      </c>
      <c r="O2986" s="20" t="b">
        <v>0</v>
      </c>
      <c r="P2986" s="20" t="s">
        <v>68</v>
      </c>
      <c r="Q2986" s="20" t="s">
        <v>69</v>
      </c>
      <c r="R2986" s="20" t="s">
        <v>3049</v>
      </c>
      <c r="T2986" s="20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</row>
    <row r="2987">
      <c r="A2987" s="15" t="s">
        <v>10369</v>
      </c>
      <c r="B2987" s="19">
        <v>44261.60833333333</v>
      </c>
      <c r="C2987" s="20">
        <v>50047.0</v>
      </c>
      <c r="D2987" s="20" t="s">
        <v>3262</v>
      </c>
      <c r="E2987" s="5">
        <v>9.18285442983E11</v>
      </c>
      <c r="F2987" s="21">
        <v>19437.0</v>
      </c>
      <c r="G2987" s="20"/>
      <c r="H2987" s="20" t="s">
        <v>3195</v>
      </c>
      <c r="I2987" s="5"/>
      <c r="J2987" s="20">
        <v>3.0</v>
      </c>
      <c r="K2987" s="20">
        <v>199.0</v>
      </c>
      <c r="L2987" s="20"/>
      <c r="M2987" s="20">
        <v>199.0</v>
      </c>
      <c r="N2987" s="5" t="s">
        <v>67</v>
      </c>
      <c r="O2987" s="20" t="b">
        <v>0</v>
      </c>
      <c r="P2987" s="20" t="s">
        <v>68</v>
      </c>
      <c r="Q2987" s="20" t="s">
        <v>69</v>
      </c>
      <c r="R2987" s="20" t="s">
        <v>3197</v>
      </c>
      <c r="T2987" s="20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</row>
    <row r="2988">
      <c r="A2988" s="15" t="s">
        <v>10361</v>
      </c>
      <c r="B2988" s="19">
        <v>44261.59652777778</v>
      </c>
      <c r="C2988" s="20">
        <v>49833.0</v>
      </c>
      <c r="D2988" s="20" t="s">
        <v>4194</v>
      </c>
      <c r="E2988" s="5">
        <v>9.17671013908E11</v>
      </c>
      <c r="F2988" s="21">
        <v>19436.0</v>
      </c>
      <c r="G2988" s="20"/>
      <c r="H2988" s="20" t="s">
        <v>4030</v>
      </c>
      <c r="I2988" s="5"/>
      <c r="J2988" s="20">
        <v>6.0</v>
      </c>
      <c r="K2988" s="20">
        <v>349.0</v>
      </c>
      <c r="L2988" s="20"/>
      <c r="M2988" s="20">
        <v>349.0</v>
      </c>
      <c r="N2988" s="5" t="s">
        <v>67</v>
      </c>
      <c r="O2988" s="20" t="b">
        <v>0</v>
      </c>
      <c r="P2988" s="20" t="s">
        <v>74</v>
      </c>
      <c r="Q2988" s="20" t="s">
        <v>69</v>
      </c>
      <c r="R2988" s="20" t="s">
        <v>4033</v>
      </c>
      <c r="T2988" s="20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</row>
    <row r="2989">
      <c r="A2989" s="15" t="s">
        <v>10370</v>
      </c>
      <c r="B2989" s="19">
        <v>44261.61666666667</v>
      </c>
      <c r="C2989" s="20">
        <v>50022.0</v>
      </c>
      <c r="D2989" s="20" t="s">
        <v>5284</v>
      </c>
      <c r="E2989" s="5">
        <v>9.19845819013E11</v>
      </c>
      <c r="F2989" s="22" t="s">
        <v>12593</v>
      </c>
      <c r="G2989" s="20"/>
      <c r="H2989" s="20" t="s">
        <v>5181</v>
      </c>
      <c r="I2989" s="5"/>
      <c r="J2989" s="20">
        <v>1.0</v>
      </c>
      <c r="K2989" s="20">
        <v>99.0</v>
      </c>
      <c r="L2989" s="20"/>
      <c r="M2989" s="20">
        <v>99.0</v>
      </c>
      <c r="N2989" s="5" t="s">
        <v>67</v>
      </c>
      <c r="O2989" s="20" t="b">
        <v>0</v>
      </c>
      <c r="P2989" s="20" t="s">
        <v>68</v>
      </c>
      <c r="Q2989" s="20" t="s">
        <v>69</v>
      </c>
      <c r="R2989" s="20" t="s">
        <v>5183</v>
      </c>
      <c r="T2989" s="20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</row>
    <row r="2990">
      <c r="A2990" s="15" t="s">
        <v>10372</v>
      </c>
      <c r="B2990" s="19">
        <v>44261.63402777778</v>
      </c>
      <c r="C2990" s="20">
        <v>49907.0</v>
      </c>
      <c r="D2990" s="20" t="s">
        <v>3820</v>
      </c>
      <c r="E2990" s="5">
        <v>9.18088096106E11</v>
      </c>
      <c r="F2990" s="21">
        <v>19439.0</v>
      </c>
      <c r="G2990" s="20"/>
      <c r="H2990" s="20" t="s">
        <v>587</v>
      </c>
      <c r="I2990" s="5"/>
      <c r="J2990" s="20">
        <v>1.0</v>
      </c>
      <c r="K2990" s="20">
        <v>99.0</v>
      </c>
      <c r="L2990" s="20"/>
      <c r="M2990" s="20">
        <v>99.0</v>
      </c>
      <c r="N2990" s="5" t="s">
        <v>67</v>
      </c>
      <c r="O2990" s="20" t="b">
        <v>0</v>
      </c>
      <c r="P2990" s="20" t="s">
        <v>68</v>
      </c>
      <c r="Q2990" s="20" t="s">
        <v>69</v>
      </c>
      <c r="R2990" s="20" t="s">
        <v>3774</v>
      </c>
      <c r="T2990" s="20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</row>
    <row r="2991">
      <c r="A2991" s="15" t="s">
        <v>10371</v>
      </c>
      <c r="B2991" s="19">
        <v>44261.618055555555</v>
      </c>
      <c r="C2991" s="20">
        <v>50094.0</v>
      </c>
      <c r="D2991" s="20" t="s">
        <v>5047</v>
      </c>
      <c r="E2991" s="5">
        <v>9.19701312827E11</v>
      </c>
      <c r="F2991" s="21">
        <v>19438.0</v>
      </c>
      <c r="G2991" s="20"/>
      <c r="H2991" s="20" t="s">
        <v>4942</v>
      </c>
      <c r="I2991" s="5"/>
      <c r="J2991" s="20">
        <v>1.0</v>
      </c>
      <c r="K2991" s="20">
        <v>199.0</v>
      </c>
      <c r="L2991" s="20"/>
      <c r="M2991" s="20">
        <v>199.0</v>
      </c>
      <c r="N2991" s="5" t="s">
        <v>67</v>
      </c>
      <c r="O2991" s="20" t="b">
        <v>0</v>
      </c>
      <c r="P2991" s="20" t="s">
        <v>68</v>
      </c>
      <c r="Q2991" s="20" t="s">
        <v>69</v>
      </c>
      <c r="R2991" s="20" t="s">
        <v>4945</v>
      </c>
      <c r="T2991" s="20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</row>
    <row r="2992">
      <c r="A2992" s="15" t="s">
        <v>10373</v>
      </c>
      <c r="B2992" s="19">
        <v>44261.654861111114</v>
      </c>
      <c r="C2992" s="20">
        <v>50047.0</v>
      </c>
      <c r="D2992" s="20" t="s">
        <v>3263</v>
      </c>
      <c r="E2992" s="5">
        <v>9.1908868016E11</v>
      </c>
      <c r="F2992" s="21">
        <v>19440.0</v>
      </c>
      <c r="G2992" s="20"/>
      <c r="H2992" s="20" t="s">
        <v>3195</v>
      </c>
      <c r="I2992" s="5"/>
      <c r="J2992" s="20">
        <v>12.0</v>
      </c>
      <c r="K2992" s="20">
        <v>499.0</v>
      </c>
      <c r="L2992" s="20"/>
      <c r="M2992" s="20">
        <v>499.0</v>
      </c>
      <c r="N2992" s="5" t="s">
        <v>67</v>
      </c>
      <c r="O2992" s="20" t="b">
        <v>0</v>
      </c>
      <c r="P2992" s="20" t="s">
        <v>68</v>
      </c>
      <c r="Q2992" s="20" t="s">
        <v>69</v>
      </c>
      <c r="R2992" s="20" t="s">
        <v>3197</v>
      </c>
      <c r="T2992" s="20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</row>
    <row r="2993">
      <c r="A2993" s="15" t="s">
        <v>10379</v>
      </c>
      <c r="B2993" s="19">
        <v>44261.666666666664</v>
      </c>
      <c r="C2993" s="20">
        <v>50043.0</v>
      </c>
      <c r="D2993" s="20" t="s">
        <v>6418</v>
      </c>
      <c r="E2993" s="5">
        <v>9.19100221702E11</v>
      </c>
      <c r="F2993" s="21">
        <v>19441.0</v>
      </c>
      <c r="G2993" s="20"/>
      <c r="H2993" s="20" t="s">
        <v>6367</v>
      </c>
      <c r="I2993" s="5"/>
      <c r="J2993" s="20">
        <v>1.0</v>
      </c>
      <c r="K2993" s="20">
        <v>99.0</v>
      </c>
      <c r="L2993" s="20"/>
      <c r="M2993" s="20">
        <v>99.0</v>
      </c>
      <c r="N2993" s="5" t="s">
        <v>67</v>
      </c>
      <c r="O2993" s="20" t="b">
        <v>0</v>
      </c>
      <c r="P2993" s="20" t="s">
        <v>68</v>
      </c>
      <c r="Q2993" s="20" t="s">
        <v>69</v>
      </c>
      <c r="R2993" s="20" t="s">
        <v>6369</v>
      </c>
      <c r="T2993" s="20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</row>
    <row r="2994">
      <c r="A2994" s="15" t="s">
        <v>10380</v>
      </c>
      <c r="B2994" s="19">
        <v>44261.66736111111</v>
      </c>
      <c r="C2994" s="20">
        <v>49997.0</v>
      </c>
      <c r="D2994" s="20" t="s">
        <v>2545</v>
      </c>
      <c r="E2994" s="5">
        <v>9.1962546471E11</v>
      </c>
      <c r="F2994" s="21">
        <v>19442.0</v>
      </c>
      <c r="G2994" s="20"/>
      <c r="H2994" s="20" t="s">
        <v>2455</v>
      </c>
      <c r="I2994" s="5"/>
      <c r="J2994" s="20">
        <v>1.0</v>
      </c>
      <c r="K2994" s="20">
        <v>99.0</v>
      </c>
      <c r="L2994" s="20"/>
      <c r="M2994" s="20">
        <v>99.0</v>
      </c>
      <c r="N2994" s="5" t="s">
        <v>67</v>
      </c>
      <c r="O2994" s="20" t="b">
        <v>0</v>
      </c>
      <c r="P2994" s="20" t="s">
        <v>68</v>
      </c>
      <c r="Q2994" s="20" t="s">
        <v>69</v>
      </c>
      <c r="R2994" s="20" t="s">
        <v>2457</v>
      </c>
      <c r="T2994" s="20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</row>
    <row r="2995">
      <c r="A2995" s="15" t="s">
        <v>10383</v>
      </c>
      <c r="B2995" s="19">
        <v>44261.69097222222</v>
      </c>
      <c r="C2995" s="20">
        <v>49833.0</v>
      </c>
      <c r="D2995" s="20" t="s">
        <v>4195</v>
      </c>
      <c r="E2995" s="5">
        <v>9.17978687669E11</v>
      </c>
      <c r="F2995" s="21">
        <v>19443.0</v>
      </c>
      <c r="G2995" s="20"/>
      <c r="H2995" s="20" t="s">
        <v>4030</v>
      </c>
      <c r="I2995" s="5"/>
      <c r="J2995" s="20">
        <v>1.0</v>
      </c>
      <c r="K2995" s="20">
        <v>99.0</v>
      </c>
      <c r="L2995" s="20"/>
      <c r="M2995" s="20">
        <v>99.0</v>
      </c>
      <c r="N2995" s="5" t="s">
        <v>67</v>
      </c>
      <c r="O2995" s="20" t="b">
        <v>0</v>
      </c>
      <c r="P2995" s="20" t="s">
        <v>68</v>
      </c>
      <c r="Q2995" s="20" t="s">
        <v>69</v>
      </c>
      <c r="R2995" s="20" t="s">
        <v>4033</v>
      </c>
      <c r="T2995" s="20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</row>
    <row r="2996">
      <c r="A2996" s="15" t="s">
        <v>10384</v>
      </c>
      <c r="B2996" s="19">
        <v>44261.69583333333</v>
      </c>
      <c r="C2996" s="20">
        <v>50094.0</v>
      </c>
      <c r="D2996" s="20" t="s">
        <v>5048</v>
      </c>
      <c r="E2996" s="5">
        <v>9.19493567276E11</v>
      </c>
      <c r="F2996" s="21">
        <v>19444.0</v>
      </c>
      <c r="G2996" s="20"/>
      <c r="H2996" s="20" t="s">
        <v>4942</v>
      </c>
      <c r="I2996" s="5"/>
      <c r="J2996" s="20">
        <v>1.0</v>
      </c>
      <c r="K2996" s="20">
        <v>199.0</v>
      </c>
      <c r="L2996" s="20"/>
      <c r="M2996" s="20">
        <v>199.0</v>
      </c>
      <c r="N2996" s="5" t="s">
        <v>67</v>
      </c>
      <c r="O2996" s="20" t="b">
        <v>0</v>
      </c>
      <c r="P2996" s="20" t="s">
        <v>74</v>
      </c>
      <c r="Q2996" s="20" t="s">
        <v>69</v>
      </c>
      <c r="R2996" s="20" t="s">
        <v>4945</v>
      </c>
      <c r="T2996" s="20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</row>
    <row r="2997">
      <c r="A2997" s="15" t="s">
        <v>10389</v>
      </c>
      <c r="B2997" s="19">
        <v>44261.71527777778</v>
      </c>
      <c r="C2997" s="20">
        <v>49833.0</v>
      </c>
      <c r="D2997" s="20" t="s">
        <v>4196</v>
      </c>
      <c r="E2997" s="5">
        <v>9.18496865968E11</v>
      </c>
      <c r="F2997" s="21">
        <v>19445.0</v>
      </c>
      <c r="G2997" s="20"/>
      <c r="H2997" s="20" t="s">
        <v>4030</v>
      </c>
      <c r="I2997" s="5"/>
      <c r="J2997" s="20">
        <v>1.0</v>
      </c>
      <c r="K2997" s="20">
        <v>99.0</v>
      </c>
      <c r="L2997" s="20"/>
      <c r="M2997" s="20">
        <v>99.0</v>
      </c>
      <c r="N2997" s="5" t="s">
        <v>67</v>
      </c>
      <c r="O2997" s="20" t="b">
        <v>0</v>
      </c>
      <c r="P2997" s="20" t="s">
        <v>68</v>
      </c>
      <c r="Q2997" s="20" t="s">
        <v>69</v>
      </c>
      <c r="R2997" s="20" t="s">
        <v>4033</v>
      </c>
      <c r="T2997" s="20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</row>
    <row r="2998">
      <c r="A2998" s="15" t="s">
        <v>10390</v>
      </c>
      <c r="B2998" s="19">
        <v>44261.720138888886</v>
      </c>
      <c r="C2998" s="20">
        <v>50054.0</v>
      </c>
      <c r="D2998" s="20" t="s">
        <v>5918</v>
      </c>
      <c r="E2998" s="5">
        <v>9.19893043063E11</v>
      </c>
      <c r="F2998" s="21">
        <v>0.0</v>
      </c>
      <c r="G2998" s="20"/>
      <c r="H2998" s="20" t="s">
        <v>5822</v>
      </c>
      <c r="I2998" s="5"/>
      <c r="J2998" s="20">
        <v>3.0</v>
      </c>
      <c r="K2998" s="20">
        <v>199.0</v>
      </c>
      <c r="L2998" s="20"/>
      <c r="M2998" s="20">
        <v>199.0</v>
      </c>
      <c r="N2998" s="5" t="s">
        <v>67</v>
      </c>
      <c r="O2998" s="20" t="b">
        <v>0</v>
      </c>
      <c r="P2998" s="20" t="s">
        <v>151</v>
      </c>
      <c r="Q2998" s="20" t="s">
        <v>69</v>
      </c>
      <c r="R2998" s="20" t="s">
        <v>5824</v>
      </c>
      <c r="T2998" s="20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</row>
    <row r="2999">
      <c r="A2999" s="15" t="s">
        <v>10445</v>
      </c>
      <c r="B2999" s="19">
        <v>44292.76458333333</v>
      </c>
      <c r="C2999" s="20">
        <v>49907.0</v>
      </c>
      <c r="D2999" s="20" t="s">
        <v>3826</v>
      </c>
      <c r="E2999" s="5">
        <v>9.1703636203E11</v>
      </c>
      <c r="F2999" s="21">
        <v>19510.0</v>
      </c>
      <c r="G2999" s="20"/>
      <c r="H2999" s="20" t="s">
        <v>587</v>
      </c>
      <c r="I2999" s="5"/>
      <c r="J2999" s="20">
        <v>1.0</v>
      </c>
      <c r="K2999" s="20">
        <v>99.0</v>
      </c>
      <c r="L2999" s="20"/>
      <c r="M2999" s="20">
        <v>99.0</v>
      </c>
      <c r="N2999" s="5" t="s">
        <v>67</v>
      </c>
      <c r="O2999" s="20" t="b">
        <v>0</v>
      </c>
      <c r="P2999" s="20" t="s">
        <v>68</v>
      </c>
      <c r="Q2999" s="20" t="s">
        <v>69</v>
      </c>
      <c r="R2999" s="20" t="s">
        <v>3822</v>
      </c>
      <c r="T2999" s="20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</row>
    <row r="3000">
      <c r="A3000" s="15" t="s">
        <v>10446</v>
      </c>
      <c r="B3000" s="19">
        <v>44292.76458333333</v>
      </c>
      <c r="C3000" s="20">
        <v>49907.0</v>
      </c>
      <c r="D3000" s="20" t="s">
        <v>3827</v>
      </c>
      <c r="E3000" s="5">
        <v>9.19133651692E11</v>
      </c>
      <c r="F3000" s="21">
        <v>19496.0</v>
      </c>
      <c r="G3000" s="20"/>
      <c r="H3000" s="20" t="s">
        <v>587</v>
      </c>
      <c r="I3000" s="5"/>
      <c r="J3000" s="20">
        <v>1.0</v>
      </c>
      <c r="K3000" s="20">
        <v>99.0</v>
      </c>
      <c r="L3000" s="20"/>
      <c r="M3000" s="20">
        <v>99.0</v>
      </c>
      <c r="N3000" s="5" t="s">
        <v>67</v>
      </c>
      <c r="O3000" s="20" t="b">
        <v>0</v>
      </c>
      <c r="P3000" s="20" t="s">
        <v>68</v>
      </c>
      <c r="Q3000" s="20" t="s">
        <v>69</v>
      </c>
      <c r="R3000" s="20" t="s">
        <v>3774</v>
      </c>
      <c r="T3000" s="20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</row>
    <row r="3001">
      <c r="A3001" s="15" t="s">
        <v>10388</v>
      </c>
      <c r="B3001" s="19">
        <v>44261.71041666667</v>
      </c>
      <c r="C3001" s="20">
        <v>50094.0</v>
      </c>
      <c r="D3001" s="20" t="s">
        <v>5049</v>
      </c>
      <c r="E3001" s="5">
        <v>9.19818066593E11</v>
      </c>
      <c r="F3001" s="21">
        <v>0.0</v>
      </c>
      <c r="G3001" s="20"/>
      <c r="H3001" s="20" t="s">
        <v>4942</v>
      </c>
      <c r="I3001" s="5"/>
      <c r="J3001" s="20">
        <v>1.0</v>
      </c>
      <c r="K3001" s="20">
        <v>199.0</v>
      </c>
      <c r="L3001" s="20"/>
      <c r="M3001" s="20">
        <v>199.0</v>
      </c>
      <c r="N3001" s="5" t="s">
        <v>67</v>
      </c>
      <c r="O3001" s="20" t="b">
        <v>0</v>
      </c>
      <c r="P3001" s="20" t="s">
        <v>68</v>
      </c>
      <c r="Q3001" s="20" t="s">
        <v>69</v>
      </c>
      <c r="R3001" s="20" t="s">
        <v>4945</v>
      </c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</row>
    <row r="3002">
      <c r="A3002" s="15" t="s">
        <v>10447</v>
      </c>
      <c r="B3002" s="19">
        <v>44292.77361111111</v>
      </c>
      <c r="C3002" s="20">
        <v>50036.0</v>
      </c>
      <c r="D3002" s="20" t="s">
        <v>5724</v>
      </c>
      <c r="E3002" s="5">
        <v>9.17416118311E11</v>
      </c>
      <c r="F3002" s="21">
        <v>19497.0</v>
      </c>
      <c r="G3002" s="20"/>
      <c r="H3002" s="20" t="s">
        <v>1320</v>
      </c>
      <c r="I3002" s="5"/>
      <c r="J3002" s="20">
        <v>1.0</v>
      </c>
      <c r="K3002" s="20">
        <v>199.0</v>
      </c>
      <c r="L3002" s="20"/>
      <c r="M3002" s="20">
        <v>199.0</v>
      </c>
      <c r="N3002" s="5" t="s">
        <v>67</v>
      </c>
      <c r="O3002" s="20" t="b">
        <v>0</v>
      </c>
      <c r="P3002" s="20" t="s">
        <v>97</v>
      </c>
      <c r="Q3002" s="20" t="s">
        <v>69</v>
      </c>
      <c r="R3002" s="20" t="s">
        <v>5709</v>
      </c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</row>
    <row r="3003">
      <c r="A3003" s="15" t="s">
        <v>10483</v>
      </c>
      <c r="B3003" s="19">
        <v>44353.36944444444</v>
      </c>
      <c r="C3003" s="20">
        <v>50023.0</v>
      </c>
      <c r="D3003" s="20" t="s">
        <v>5564</v>
      </c>
      <c r="E3003" s="5">
        <v>9.19983213992E11</v>
      </c>
      <c r="F3003" s="21">
        <v>19555.0</v>
      </c>
      <c r="G3003" s="20"/>
      <c r="H3003" s="20" t="s">
        <v>5508</v>
      </c>
      <c r="I3003" s="5"/>
      <c r="J3003" s="20">
        <v>1.0</v>
      </c>
      <c r="K3003" s="20">
        <v>99.0</v>
      </c>
      <c r="L3003" s="20"/>
      <c r="M3003" s="20">
        <v>99.0</v>
      </c>
      <c r="N3003" s="5" t="s">
        <v>67</v>
      </c>
      <c r="O3003" s="20" t="b">
        <v>0</v>
      </c>
      <c r="P3003" s="20" t="s">
        <v>68</v>
      </c>
      <c r="Q3003" s="20" t="s">
        <v>69</v>
      </c>
      <c r="R3003" s="20" t="s">
        <v>5510</v>
      </c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</row>
    <row r="3004">
      <c r="A3004" s="15" t="s">
        <v>10482</v>
      </c>
      <c r="B3004" s="19">
        <v>44353.3625</v>
      </c>
      <c r="C3004" s="20">
        <v>50023.0</v>
      </c>
      <c r="D3004" s="20" t="s">
        <v>5563</v>
      </c>
      <c r="E3004" s="5">
        <v>9.17088683014E11</v>
      </c>
      <c r="F3004" s="21">
        <v>19522.0</v>
      </c>
      <c r="G3004" s="20"/>
      <c r="H3004" s="20" t="s">
        <v>5508</v>
      </c>
      <c r="I3004" s="5"/>
      <c r="J3004" s="20">
        <v>1.0</v>
      </c>
      <c r="K3004" s="20">
        <v>99.0</v>
      </c>
      <c r="L3004" s="20"/>
      <c r="M3004" s="20">
        <v>99.0</v>
      </c>
      <c r="N3004" s="5" t="s">
        <v>67</v>
      </c>
      <c r="O3004" s="20" t="b">
        <v>0</v>
      </c>
      <c r="P3004" s="20" t="s">
        <v>68</v>
      </c>
      <c r="Q3004" s="20" t="s">
        <v>69</v>
      </c>
      <c r="R3004" s="20" t="s">
        <v>5510</v>
      </c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</row>
    <row r="3005">
      <c r="A3005" s="15" t="s">
        <v>10489</v>
      </c>
      <c r="B3005" s="19">
        <v>44353.44930555556</v>
      </c>
      <c r="C3005" s="20">
        <v>50030.0</v>
      </c>
      <c r="D3005" s="20" t="s">
        <v>3484</v>
      </c>
      <c r="E3005" s="5">
        <v>9.19591248618E11</v>
      </c>
      <c r="F3005" s="21">
        <v>20289.0</v>
      </c>
      <c r="G3005" s="20"/>
      <c r="H3005" s="20" t="s">
        <v>3326</v>
      </c>
      <c r="I3005" s="5"/>
      <c r="J3005" s="20">
        <v>6.0</v>
      </c>
      <c r="K3005" s="20">
        <v>349.0</v>
      </c>
      <c r="L3005" s="20"/>
      <c r="M3005" s="20">
        <v>349.0</v>
      </c>
      <c r="N3005" s="5" t="s">
        <v>67</v>
      </c>
      <c r="O3005" s="20" t="b">
        <v>0</v>
      </c>
      <c r="P3005" s="20" t="s">
        <v>68</v>
      </c>
      <c r="Q3005" s="20" t="s">
        <v>69</v>
      </c>
      <c r="R3005" s="20" t="s">
        <v>3328</v>
      </c>
      <c r="T3005" s="20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</row>
    <row r="3006">
      <c r="A3006" s="15" t="s">
        <v>10458</v>
      </c>
      <c r="B3006" s="19">
        <v>44322.427083333336</v>
      </c>
      <c r="C3006" s="20">
        <v>50036.0</v>
      </c>
      <c r="D3006" s="20" t="s">
        <v>5725</v>
      </c>
      <c r="E3006" s="5">
        <v>9.1991044804E11</v>
      </c>
      <c r="F3006" s="21">
        <v>17502.0</v>
      </c>
      <c r="G3006" s="20"/>
      <c r="H3006" s="20" t="s">
        <v>1320</v>
      </c>
      <c r="I3006" s="5"/>
      <c r="J3006" s="20">
        <v>1.0</v>
      </c>
      <c r="K3006" s="20">
        <v>199.0</v>
      </c>
      <c r="L3006" s="20"/>
      <c r="M3006" s="20">
        <v>199.0</v>
      </c>
      <c r="N3006" s="5" t="s">
        <v>67</v>
      </c>
      <c r="O3006" s="20" t="b">
        <v>0</v>
      </c>
      <c r="P3006" s="20" t="s">
        <v>68</v>
      </c>
      <c r="Q3006" s="20" t="s">
        <v>69</v>
      </c>
      <c r="R3006" s="20" t="s">
        <v>5726</v>
      </c>
      <c r="T3006" s="20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</row>
    <row r="3007">
      <c r="A3007" s="15" t="s">
        <v>10499</v>
      </c>
      <c r="B3007" s="19">
        <v>44353.4875</v>
      </c>
      <c r="C3007" s="20">
        <v>49996.0</v>
      </c>
      <c r="D3007" s="20" t="s">
        <v>4841</v>
      </c>
      <c r="E3007" s="5">
        <v>9.18408830222E11</v>
      </c>
      <c r="F3007" s="21">
        <v>19527.0</v>
      </c>
      <c r="G3007" s="20"/>
      <c r="H3007" s="20" t="s">
        <v>4796</v>
      </c>
      <c r="I3007" s="5"/>
      <c r="J3007" s="20">
        <v>1.0</v>
      </c>
      <c r="K3007" s="20">
        <v>99.0</v>
      </c>
      <c r="L3007" s="20"/>
      <c r="M3007" s="20">
        <v>99.0</v>
      </c>
      <c r="N3007" s="5" t="s">
        <v>67</v>
      </c>
      <c r="O3007" s="20" t="b">
        <v>0</v>
      </c>
      <c r="P3007" s="20" t="s">
        <v>68</v>
      </c>
      <c r="Q3007" s="20" t="s">
        <v>69</v>
      </c>
      <c r="R3007" s="20" t="s">
        <v>4799</v>
      </c>
      <c r="T3007" s="20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</row>
    <row r="3008">
      <c r="A3008" s="15" t="s">
        <v>10455</v>
      </c>
      <c r="B3008" s="19">
        <v>44322.41527777778</v>
      </c>
      <c r="C3008" s="20">
        <v>50054.0</v>
      </c>
      <c r="D3008" s="20" t="s">
        <v>5920</v>
      </c>
      <c r="E3008" s="5">
        <v>9.19836212221E11</v>
      </c>
      <c r="F3008" s="21">
        <v>0.0</v>
      </c>
      <c r="G3008" s="20"/>
      <c r="H3008" s="20" t="s">
        <v>5822</v>
      </c>
      <c r="I3008" s="5"/>
      <c r="J3008" s="20">
        <v>1.0</v>
      </c>
      <c r="K3008" s="20">
        <v>99.0</v>
      </c>
      <c r="L3008" s="20"/>
      <c r="M3008" s="20">
        <v>99.0</v>
      </c>
      <c r="N3008" s="5" t="s">
        <v>67</v>
      </c>
      <c r="O3008" s="20" t="b">
        <v>0</v>
      </c>
      <c r="P3008" s="20" t="s">
        <v>68</v>
      </c>
      <c r="Q3008" s="20" t="s">
        <v>69</v>
      </c>
      <c r="R3008" s="20" t="s">
        <v>5921</v>
      </c>
      <c r="T3008" s="20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</row>
    <row r="3009">
      <c r="A3009" s="15" t="s">
        <v>10459</v>
      </c>
      <c r="B3009" s="19">
        <v>44322.44027777778</v>
      </c>
      <c r="C3009" s="20">
        <v>50073.0</v>
      </c>
      <c r="D3009" s="20" t="s">
        <v>2343</v>
      </c>
      <c r="E3009" s="5">
        <v>9.18076913071E11</v>
      </c>
      <c r="F3009" s="21">
        <v>19507.0</v>
      </c>
      <c r="G3009" s="20"/>
      <c r="H3009" s="20" t="s">
        <v>2161</v>
      </c>
      <c r="I3009" s="5"/>
      <c r="J3009" s="20">
        <v>1.0</v>
      </c>
      <c r="K3009" s="20">
        <v>599.0</v>
      </c>
      <c r="L3009" s="20"/>
      <c r="M3009" s="20">
        <v>599.0</v>
      </c>
      <c r="N3009" s="5" t="s">
        <v>67</v>
      </c>
      <c r="O3009" s="20" t="b">
        <v>0</v>
      </c>
      <c r="P3009" s="20" t="s">
        <v>74</v>
      </c>
      <c r="Q3009" s="20" t="s">
        <v>69</v>
      </c>
      <c r="R3009" s="20" t="s">
        <v>6561</v>
      </c>
      <c r="T3009" s="20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</row>
    <row r="3010">
      <c r="A3010" s="15" t="s">
        <v>10504</v>
      </c>
      <c r="B3010" s="19">
        <v>44353.506944444445</v>
      </c>
      <c r="C3010" s="20">
        <v>49833.0</v>
      </c>
      <c r="D3010" s="20" t="s">
        <v>4199</v>
      </c>
      <c r="E3010" s="5">
        <v>9.19618671668E11</v>
      </c>
      <c r="F3010" s="21">
        <v>19523.0</v>
      </c>
      <c r="G3010" s="20"/>
      <c r="H3010" s="20" t="s">
        <v>4030</v>
      </c>
      <c r="I3010" s="5"/>
      <c r="J3010" s="20">
        <v>1.0</v>
      </c>
      <c r="K3010" s="20">
        <v>99.0</v>
      </c>
      <c r="L3010" s="20"/>
      <c r="M3010" s="20">
        <v>99.0</v>
      </c>
      <c r="N3010" s="5" t="s">
        <v>67</v>
      </c>
      <c r="O3010" s="20" t="b">
        <v>0</v>
      </c>
      <c r="P3010" s="20" t="s">
        <v>68</v>
      </c>
      <c r="Q3010" s="20" t="s">
        <v>69</v>
      </c>
      <c r="R3010" s="20" t="s">
        <v>4033</v>
      </c>
      <c r="T3010" s="20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</row>
    <row r="3011">
      <c r="A3011" s="15" t="s">
        <v>10505</v>
      </c>
      <c r="B3011" s="19">
        <v>44353.51111111111</v>
      </c>
      <c r="C3011" s="20">
        <v>49996.0</v>
      </c>
      <c r="D3011" s="20" t="s">
        <v>4842</v>
      </c>
      <c r="E3011" s="5">
        <v>9.18390160816E11</v>
      </c>
      <c r="F3011" s="21">
        <v>19524.0</v>
      </c>
      <c r="G3011" s="20"/>
      <c r="H3011" s="20" t="s">
        <v>4796</v>
      </c>
      <c r="I3011" s="5"/>
      <c r="J3011" s="20">
        <v>1.0</v>
      </c>
      <c r="K3011" s="20">
        <v>99.0</v>
      </c>
      <c r="L3011" s="20"/>
      <c r="M3011" s="20">
        <v>99.0</v>
      </c>
      <c r="N3011" s="5" t="s">
        <v>67</v>
      </c>
      <c r="O3011" s="20" t="b">
        <v>0</v>
      </c>
      <c r="P3011" s="20" t="s">
        <v>68</v>
      </c>
      <c r="Q3011" s="20" t="s">
        <v>69</v>
      </c>
      <c r="R3011" s="20" t="s">
        <v>4843</v>
      </c>
      <c r="T3011" s="20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</row>
    <row r="3012">
      <c r="A3012" s="15" t="s">
        <v>10508</v>
      </c>
      <c r="B3012" s="19">
        <v>44353.55347222222</v>
      </c>
      <c r="C3012" s="20">
        <v>49833.0</v>
      </c>
      <c r="D3012" s="20" t="s">
        <v>4200</v>
      </c>
      <c r="E3012" s="5">
        <v>9.17357857071E11</v>
      </c>
      <c r="F3012" s="21">
        <v>19525.0</v>
      </c>
      <c r="G3012" s="20"/>
      <c r="H3012" s="20" t="s">
        <v>4030</v>
      </c>
      <c r="I3012" s="5"/>
      <c r="J3012" s="20">
        <v>3.0</v>
      </c>
      <c r="K3012" s="20">
        <v>199.0</v>
      </c>
      <c r="L3012" s="20"/>
      <c r="M3012" s="20">
        <v>199.0</v>
      </c>
      <c r="N3012" s="5" t="s">
        <v>67</v>
      </c>
      <c r="O3012" s="20" t="b">
        <v>0</v>
      </c>
      <c r="P3012" s="20" t="s">
        <v>68</v>
      </c>
      <c r="Q3012" s="20" t="s">
        <v>69</v>
      </c>
      <c r="R3012" s="20" t="s">
        <v>4033</v>
      </c>
      <c r="T3012" s="20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</row>
    <row r="3013">
      <c r="A3013" s="15" t="s">
        <v>10512</v>
      </c>
      <c r="B3013" s="19">
        <v>44353.57152777778</v>
      </c>
      <c r="C3013" s="20">
        <v>50054.0</v>
      </c>
      <c r="D3013" s="20" t="s">
        <v>5922</v>
      </c>
      <c r="E3013" s="5">
        <v>9.19899978563E11</v>
      </c>
      <c r="F3013" s="21">
        <v>19542.0</v>
      </c>
      <c r="G3013" s="20"/>
      <c r="H3013" s="20" t="s">
        <v>5822</v>
      </c>
      <c r="I3013" s="5"/>
      <c r="J3013" s="20">
        <v>1.0</v>
      </c>
      <c r="K3013" s="20">
        <v>99.0</v>
      </c>
      <c r="L3013" s="20"/>
      <c r="M3013" s="20">
        <v>99.0</v>
      </c>
      <c r="N3013" s="5" t="s">
        <v>67</v>
      </c>
      <c r="O3013" s="20" t="b">
        <v>0</v>
      </c>
      <c r="P3013" s="20" t="s">
        <v>68</v>
      </c>
      <c r="Q3013" s="20" t="s">
        <v>69</v>
      </c>
      <c r="R3013" s="20" t="s">
        <v>5824</v>
      </c>
      <c r="T3013" s="20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</row>
    <row r="3014">
      <c r="A3014" s="15" t="s">
        <v>10509</v>
      </c>
      <c r="B3014" s="19">
        <v>44353.552777777775</v>
      </c>
      <c r="C3014" s="20">
        <v>50065.0</v>
      </c>
      <c r="D3014" s="20" t="s">
        <v>2688</v>
      </c>
      <c r="E3014" s="5">
        <v>9.19535628559E11</v>
      </c>
      <c r="F3014" s="21">
        <v>19526.0</v>
      </c>
      <c r="G3014" s="20"/>
      <c r="H3014" s="20" t="s">
        <v>2601</v>
      </c>
      <c r="I3014" s="5"/>
      <c r="J3014" s="20">
        <v>1.0</v>
      </c>
      <c r="K3014" s="20">
        <v>99.0</v>
      </c>
      <c r="L3014" s="20"/>
      <c r="M3014" s="20">
        <v>99.0</v>
      </c>
      <c r="N3014" s="5" t="s">
        <v>67</v>
      </c>
      <c r="O3014" s="20" t="b">
        <v>0</v>
      </c>
      <c r="P3014" s="20" t="s">
        <v>68</v>
      </c>
      <c r="Q3014" s="20" t="s">
        <v>69</v>
      </c>
      <c r="R3014" s="20" t="s">
        <v>2604</v>
      </c>
      <c r="T3014" s="20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</row>
    <row r="3015">
      <c r="A3015" s="15" t="s">
        <v>10513</v>
      </c>
      <c r="B3015" s="19">
        <v>44353.572916666664</v>
      </c>
      <c r="C3015" s="20">
        <v>49813.0</v>
      </c>
      <c r="D3015" s="20" t="s">
        <v>5164</v>
      </c>
      <c r="E3015" s="5">
        <v>9.19920441108E11</v>
      </c>
      <c r="F3015" s="21">
        <v>19528.0</v>
      </c>
      <c r="G3015" s="20"/>
      <c r="H3015" s="20" t="s">
        <v>5114</v>
      </c>
      <c r="I3015" s="5"/>
      <c r="J3015" s="20">
        <v>3.0</v>
      </c>
      <c r="K3015" s="20">
        <v>499.0</v>
      </c>
      <c r="L3015" s="20"/>
      <c r="M3015" s="20">
        <v>499.0</v>
      </c>
      <c r="N3015" s="5" t="s">
        <v>67</v>
      </c>
      <c r="O3015" s="20" t="b">
        <v>0</v>
      </c>
      <c r="P3015" s="20" t="s">
        <v>68</v>
      </c>
      <c r="Q3015" s="20" t="s">
        <v>69</v>
      </c>
      <c r="R3015" s="20" t="s">
        <v>5116</v>
      </c>
      <c r="T3015" s="20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</row>
    <row r="3016">
      <c r="A3016" s="15" t="s">
        <v>10460</v>
      </c>
      <c r="B3016" s="19">
        <v>44322.504166666666</v>
      </c>
      <c r="C3016" s="20">
        <v>50030.0</v>
      </c>
      <c r="D3016" s="20" t="s">
        <v>3483</v>
      </c>
      <c r="E3016" s="5">
        <v>9.17002080824E11</v>
      </c>
      <c r="F3016" s="21">
        <v>19508.0</v>
      </c>
      <c r="G3016" s="20"/>
      <c r="H3016" s="20" t="s">
        <v>3326</v>
      </c>
      <c r="I3016" s="5"/>
      <c r="J3016" s="20">
        <v>6.0</v>
      </c>
      <c r="K3016" s="20">
        <v>349.0</v>
      </c>
      <c r="L3016" s="20"/>
      <c r="M3016" s="20">
        <v>349.0</v>
      </c>
      <c r="N3016" s="5" t="s">
        <v>67</v>
      </c>
      <c r="O3016" s="20" t="b">
        <v>0</v>
      </c>
      <c r="P3016" s="20" t="s">
        <v>68</v>
      </c>
      <c r="Q3016" s="20" t="s">
        <v>69</v>
      </c>
      <c r="R3016" s="20" t="s">
        <v>3328</v>
      </c>
      <c r="T3016" s="20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</row>
    <row r="3017">
      <c r="A3017" s="15" t="s">
        <v>10464</v>
      </c>
      <c r="B3017" s="19">
        <v>44322.527083333334</v>
      </c>
      <c r="C3017" s="20">
        <v>50048.0</v>
      </c>
      <c r="D3017" s="20" t="s">
        <v>6180</v>
      </c>
      <c r="E3017" s="5">
        <v>9.19820684252E11</v>
      </c>
      <c r="F3017" s="21">
        <v>0.0</v>
      </c>
      <c r="G3017" s="20"/>
      <c r="H3017" s="20" t="s">
        <v>1582</v>
      </c>
      <c r="I3017" s="20" t="s">
        <v>6175</v>
      </c>
      <c r="J3017" s="20">
        <v>3.0</v>
      </c>
      <c r="K3017" s="20">
        <v>599.0</v>
      </c>
      <c r="L3017" s="20"/>
      <c r="M3017" s="20">
        <v>599.0</v>
      </c>
      <c r="N3017" s="5" t="s">
        <v>67</v>
      </c>
      <c r="O3017" s="20" t="b">
        <v>0</v>
      </c>
      <c r="P3017" s="20" t="s">
        <v>68</v>
      </c>
      <c r="Q3017" s="20" t="s">
        <v>69</v>
      </c>
      <c r="R3017" s="20" t="s">
        <v>6179</v>
      </c>
      <c r="T3017" s="20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</row>
    <row r="3018">
      <c r="A3018" s="15" t="s">
        <v>10514</v>
      </c>
      <c r="B3018" s="19">
        <v>44353.58819444444</v>
      </c>
      <c r="C3018" s="20">
        <v>49907.0</v>
      </c>
      <c r="D3018" s="20" t="s">
        <v>3828</v>
      </c>
      <c r="E3018" s="5">
        <v>9.19686911132E11</v>
      </c>
      <c r="F3018" s="21">
        <v>19529.0</v>
      </c>
      <c r="G3018" s="20"/>
      <c r="H3018" s="20" t="s">
        <v>587</v>
      </c>
      <c r="I3018" s="5"/>
      <c r="J3018" s="20">
        <v>6.0</v>
      </c>
      <c r="K3018" s="20">
        <v>349.0</v>
      </c>
      <c r="L3018" s="20"/>
      <c r="M3018" s="20">
        <v>349.0</v>
      </c>
      <c r="N3018" s="5" t="s">
        <v>67</v>
      </c>
      <c r="O3018" s="20" t="b">
        <v>0</v>
      </c>
      <c r="P3018" s="20" t="s">
        <v>68</v>
      </c>
      <c r="Q3018" s="20" t="s">
        <v>69</v>
      </c>
      <c r="R3018" s="20" t="s">
        <v>3774</v>
      </c>
      <c r="T3018" s="20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</row>
    <row r="3019">
      <c r="A3019" s="15" t="s">
        <v>10517</v>
      </c>
      <c r="B3019" s="19">
        <v>44353.60972222222</v>
      </c>
      <c r="C3019" s="20">
        <v>50039.0</v>
      </c>
      <c r="D3019" s="20" t="s">
        <v>4385</v>
      </c>
      <c r="E3019" s="5">
        <v>9.18457886513E11</v>
      </c>
      <c r="F3019" s="21">
        <v>0.0</v>
      </c>
      <c r="G3019" s="20"/>
      <c r="H3019" s="20" t="s">
        <v>4341</v>
      </c>
      <c r="I3019" s="5"/>
      <c r="J3019" s="20">
        <v>1.0</v>
      </c>
      <c r="K3019" s="20">
        <v>99.0</v>
      </c>
      <c r="L3019" s="20"/>
      <c r="M3019" s="20">
        <v>99.0</v>
      </c>
      <c r="N3019" s="5" t="s">
        <v>67</v>
      </c>
      <c r="O3019" s="20" t="b">
        <v>0</v>
      </c>
      <c r="P3019" s="20" t="s">
        <v>97</v>
      </c>
      <c r="Q3019" s="20" t="s">
        <v>69</v>
      </c>
      <c r="R3019" s="20" t="s">
        <v>4343</v>
      </c>
      <c r="T3019" s="20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</row>
    <row r="3020">
      <c r="A3020" s="15" t="s">
        <v>10518</v>
      </c>
      <c r="B3020" s="19">
        <v>44353.61111111111</v>
      </c>
      <c r="C3020" s="20">
        <v>50023.0</v>
      </c>
      <c r="D3020" s="20" t="s">
        <v>5565</v>
      </c>
      <c r="E3020" s="5">
        <v>9.1755850498E11</v>
      </c>
      <c r="F3020" s="21">
        <v>19530.0</v>
      </c>
      <c r="G3020" s="20"/>
      <c r="H3020" s="20" t="s">
        <v>5508</v>
      </c>
      <c r="I3020" s="5"/>
      <c r="J3020" s="20">
        <v>1.0</v>
      </c>
      <c r="K3020" s="20">
        <v>99.0</v>
      </c>
      <c r="L3020" s="20"/>
      <c r="M3020" s="20">
        <v>99.0</v>
      </c>
      <c r="N3020" s="5" t="s">
        <v>67</v>
      </c>
      <c r="O3020" s="20" t="b">
        <v>0</v>
      </c>
      <c r="P3020" s="20" t="s">
        <v>68</v>
      </c>
      <c r="Q3020" s="20" t="s">
        <v>69</v>
      </c>
      <c r="R3020" s="20" t="s">
        <v>5510</v>
      </c>
      <c r="T3020" s="20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</row>
    <row r="3021">
      <c r="A3021" s="15" t="s">
        <v>10519</v>
      </c>
      <c r="B3021" s="19">
        <v>44353.614583333336</v>
      </c>
      <c r="C3021" s="20">
        <v>50043.0</v>
      </c>
      <c r="D3021" s="20" t="s">
        <v>6420</v>
      </c>
      <c r="E3021" s="5">
        <v>9.19443309229E11</v>
      </c>
      <c r="F3021" s="21">
        <v>19531.0</v>
      </c>
      <c r="G3021" s="20"/>
      <c r="H3021" s="20" t="s">
        <v>6367</v>
      </c>
      <c r="I3021" s="5"/>
      <c r="J3021" s="20">
        <v>6.0</v>
      </c>
      <c r="K3021" s="20">
        <v>349.0</v>
      </c>
      <c r="L3021" s="20"/>
      <c r="M3021" s="20">
        <v>349.0</v>
      </c>
      <c r="N3021" s="5" t="s">
        <v>67</v>
      </c>
      <c r="O3021" s="20" t="b">
        <v>0</v>
      </c>
      <c r="P3021" s="20" t="s">
        <v>74</v>
      </c>
      <c r="Q3021" s="20" t="s">
        <v>69</v>
      </c>
      <c r="R3021" s="20" t="s">
        <v>6369</v>
      </c>
      <c r="T3021" s="20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</row>
    <row r="3022">
      <c r="A3022" s="15" t="s">
        <v>10516</v>
      </c>
      <c r="B3022" s="19">
        <v>44353.60138888889</v>
      </c>
      <c r="C3022" s="20">
        <v>50030.0</v>
      </c>
      <c r="D3022" s="20" t="s">
        <v>3485</v>
      </c>
      <c r="E3022" s="5">
        <v>9.19438055598E11</v>
      </c>
      <c r="F3022" s="21">
        <v>19533.0</v>
      </c>
      <c r="G3022" s="20"/>
      <c r="H3022" s="20" t="s">
        <v>3326</v>
      </c>
      <c r="I3022" s="5"/>
      <c r="J3022" s="20">
        <v>3.0</v>
      </c>
      <c r="K3022" s="20">
        <v>199.0</v>
      </c>
      <c r="L3022" s="20"/>
      <c r="M3022" s="20">
        <v>199.0</v>
      </c>
      <c r="N3022" s="5" t="s">
        <v>67</v>
      </c>
      <c r="O3022" s="20" t="b">
        <v>0</v>
      </c>
      <c r="P3022" s="20" t="s">
        <v>68</v>
      </c>
      <c r="Q3022" s="20" t="s">
        <v>69</v>
      </c>
      <c r="R3022" s="20" t="s">
        <v>3328</v>
      </c>
      <c r="T3022" s="20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</row>
    <row r="3023">
      <c r="A3023" s="15" t="s">
        <v>10520</v>
      </c>
      <c r="B3023" s="19">
        <v>44353.62291666667</v>
      </c>
      <c r="C3023" s="20">
        <v>50023.0</v>
      </c>
      <c r="D3023" s="20" t="s">
        <v>5566</v>
      </c>
      <c r="E3023" s="5">
        <v>9.17207605091E11</v>
      </c>
      <c r="F3023" s="21">
        <v>19532.0</v>
      </c>
      <c r="G3023" s="20"/>
      <c r="H3023" s="20" t="s">
        <v>5508</v>
      </c>
      <c r="I3023" s="5"/>
      <c r="J3023" s="20">
        <v>1.0</v>
      </c>
      <c r="K3023" s="20">
        <v>99.0</v>
      </c>
      <c r="L3023" s="20"/>
      <c r="M3023" s="20">
        <v>99.0</v>
      </c>
      <c r="N3023" s="5" t="s">
        <v>67</v>
      </c>
      <c r="O3023" s="20" t="b">
        <v>0</v>
      </c>
      <c r="P3023" s="20" t="s">
        <v>68</v>
      </c>
      <c r="Q3023" s="20" t="s">
        <v>69</v>
      </c>
      <c r="R3023" s="20" t="s">
        <v>5510</v>
      </c>
      <c r="T3023" s="20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</row>
    <row r="3024">
      <c r="A3024" s="15" t="s">
        <v>10521</v>
      </c>
      <c r="B3024" s="19">
        <v>44353.62986111111</v>
      </c>
      <c r="C3024" s="20">
        <v>50054.0</v>
      </c>
      <c r="D3024" s="20" t="s">
        <v>2075</v>
      </c>
      <c r="E3024" s="5">
        <v>9.18130226858E11</v>
      </c>
      <c r="F3024" s="21">
        <v>17249.0</v>
      </c>
      <c r="G3024" s="20"/>
      <c r="H3024" s="20" t="s">
        <v>5822</v>
      </c>
      <c r="I3024" s="5"/>
      <c r="J3024" s="20">
        <v>1.0</v>
      </c>
      <c r="K3024" s="20">
        <v>99.0</v>
      </c>
      <c r="L3024" s="20"/>
      <c r="M3024" s="20">
        <v>99.0</v>
      </c>
      <c r="N3024" s="5" t="s">
        <v>67</v>
      </c>
      <c r="O3024" s="20" t="b">
        <v>0</v>
      </c>
      <c r="P3024" s="20" t="s">
        <v>68</v>
      </c>
      <c r="Q3024" s="20" t="s">
        <v>69</v>
      </c>
      <c r="R3024" s="20" t="s">
        <v>5921</v>
      </c>
      <c r="T3024" s="20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</row>
    <row r="3025">
      <c r="A3025" s="15" t="s">
        <v>10522</v>
      </c>
      <c r="B3025" s="19">
        <v>44353.63888888889</v>
      </c>
      <c r="C3025" s="20">
        <v>50104.0</v>
      </c>
      <c r="D3025" s="20" t="s">
        <v>3713</v>
      </c>
      <c r="E3025" s="5">
        <v>9.18894882544E11</v>
      </c>
      <c r="F3025" s="21">
        <v>19535.0</v>
      </c>
      <c r="G3025" s="20"/>
      <c r="H3025" s="20" t="s">
        <v>3708</v>
      </c>
      <c r="I3025" s="5"/>
      <c r="J3025" s="20">
        <v>1.0</v>
      </c>
      <c r="K3025" s="20">
        <v>99.0</v>
      </c>
      <c r="L3025" s="20"/>
      <c r="M3025" s="20">
        <v>99.0</v>
      </c>
      <c r="N3025" s="5" t="s">
        <v>67</v>
      </c>
      <c r="O3025" s="20" t="b">
        <v>0</v>
      </c>
      <c r="P3025" s="20" t="s">
        <v>68</v>
      </c>
      <c r="Q3025" s="20" t="s">
        <v>69</v>
      </c>
      <c r="R3025" s="20" t="s">
        <v>3710</v>
      </c>
      <c r="T3025" s="20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</row>
    <row r="3026">
      <c r="A3026" s="15" t="s">
        <v>10523</v>
      </c>
      <c r="B3026" s="19">
        <v>44353.64027777778</v>
      </c>
      <c r="C3026" s="20">
        <v>50047.0</v>
      </c>
      <c r="D3026" s="20" t="s">
        <v>3266</v>
      </c>
      <c r="E3026" s="5">
        <v>9.18377944474E11</v>
      </c>
      <c r="F3026" s="21">
        <v>19534.0</v>
      </c>
      <c r="G3026" s="20"/>
      <c r="H3026" s="20" t="s">
        <v>3195</v>
      </c>
      <c r="I3026" s="5"/>
      <c r="J3026" s="20">
        <v>3.0</v>
      </c>
      <c r="K3026" s="20">
        <v>199.0</v>
      </c>
      <c r="L3026" s="20"/>
      <c r="M3026" s="20">
        <v>199.0</v>
      </c>
      <c r="N3026" s="5" t="s">
        <v>67</v>
      </c>
      <c r="O3026" s="20" t="b">
        <v>0</v>
      </c>
      <c r="P3026" s="20" t="s">
        <v>68</v>
      </c>
      <c r="Q3026" s="20" t="s">
        <v>69</v>
      </c>
      <c r="R3026" s="20" t="s">
        <v>3197</v>
      </c>
      <c r="T3026" s="20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</row>
    <row r="3027">
      <c r="A3027" s="15" t="s">
        <v>10529</v>
      </c>
      <c r="B3027" s="19">
        <v>44353.66111111111</v>
      </c>
      <c r="C3027" s="20">
        <v>49998.0</v>
      </c>
      <c r="D3027" s="20" t="s">
        <v>6299</v>
      </c>
      <c r="E3027" s="5">
        <v>9.19571183844E11</v>
      </c>
      <c r="F3027" s="21">
        <v>19539.0</v>
      </c>
      <c r="G3027" s="20"/>
      <c r="H3027" s="20" t="s">
        <v>6250</v>
      </c>
      <c r="I3027" s="5"/>
      <c r="J3027" s="20">
        <v>1.0</v>
      </c>
      <c r="K3027" s="20">
        <v>99.0</v>
      </c>
      <c r="L3027" s="20"/>
      <c r="M3027" s="20">
        <v>99.0</v>
      </c>
      <c r="N3027" s="5" t="s">
        <v>67</v>
      </c>
      <c r="O3027" s="20" t="b">
        <v>0</v>
      </c>
      <c r="P3027" s="20" t="s">
        <v>68</v>
      </c>
      <c r="Q3027" s="20" t="s">
        <v>69</v>
      </c>
      <c r="R3027" s="20" t="s">
        <v>6252</v>
      </c>
      <c r="T3027" s="20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</row>
    <row r="3028">
      <c r="A3028" s="15" t="s">
        <v>10525</v>
      </c>
      <c r="B3028" s="19">
        <v>44353.64791666667</v>
      </c>
      <c r="C3028" s="20">
        <v>49907.0</v>
      </c>
      <c r="D3028" s="20" t="s">
        <v>3829</v>
      </c>
      <c r="E3028" s="5">
        <v>9.16305893165E11</v>
      </c>
      <c r="F3028" s="21">
        <v>19536.0</v>
      </c>
      <c r="G3028" s="20"/>
      <c r="H3028" s="20" t="s">
        <v>587</v>
      </c>
      <c r="I3028" s="5"/>
      <c r="J3028" s="20">
        <v>1.0</v>
      </c>
      <c r="K3028" s="20">
        <v>99.0</v>
      </c>
      <c r="L3028" s="20"/>
      <c r="M3028" s="20">
        <v>99.0</v>
      </c>
      <c r="N3028" s="5" t="s">
        <v>67</v>
      </c>
      <c r="O3028" s="20" t="b">
        <v>0</v>
      </c>
      <c r="P3028" s="20" t="s">
        <v>68</v>
      </c>
      <c r="Q3028" s="20" t="s">
        <v>69</v>
      </c>
      <c r="R3028" s="20" t="s">
        <v>3774</v>
      </c>
      <c r="T3028" s="20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</row>
    <row r="3029">
      <c r="A3029" s="15" t="s">
        <v>10530</v>
      </c>
      <c r="B3029" s="19">
        <v>44353.67152777778</v>
      </c>
      <c r="C3029" s="20">
        <v>49835.0</v>
      </c>
      <c r="D3029" s="20" t="s">
        <v>3929</v>
      </c>
      <c r="E3029" s="5">
        <v>9.17396868755E11</v>
      </c>
      <c r="F3029" s="21">
        <v>19537.0</v>
      </c>
      <c r="G3029" s="20"/>
      <c r="H3029" s="20" t="s">
        <v>680</v>
      </c>
      <c r="I3029" s="5"/>
      <c r="J3029" s="20">
        <v>1.0</v>
      </c>
      <c r="K3029" s="20">
        <v>99.0</v>
      </c>
      <c r="L3029" s="20"/>
      <c r="M3029" s="20">
        <v>99.0</v>
      </c>
      <c r="N3029" s="5" t="s">
        <v>67</v>
      </c>
      <c r="O3029" s="20" t="b">
        <v>0</v>
      </c>
      <c r="P3029" s="20" t="s">
        <v>68</v>
      </c>
      <c r="Q3029" s="20" t="s">
        <v>69</v>
      </c>
      <c r="R3029" s="20" t="s">
        <v>3888</v>
      </c>
      <c r="T3029" s="20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</row>
    <row r="3030">
      <c r="A3030" s="15" t="s">
        <v>10531</v>
      </c>
      <c r="B3030" s="19">
        <v>44353.67638888889</v>
      </c>
      <c r="C3030" s="20">
        <v>49994.0</v>
      </c>
      <c r="D3030" s="20" t="s">
        <v>6649</v>
      </c>
      <c r="E3030" s="5">
        <v>9.19148004262E11</v>
      </c>
      <c r="F3030" s="21">
        <v>19540.0</v>
      </c>
      <c r="G3030" s="20"/>
      <c r="H3030" s="20" t="s">
        <v>1264</v>
      </c>
      <c r="I3030" s="5"/>
      <c r="J3030" s="20">
        <v>1.0</v>
      </c>
      <c r="K3030" s="20">
        <v>99.0</v>
      </c>
      <c r="L3030" s="20"/>
      <c r="M3030" s="20">
        <v>99.0</v>
      </c>
      <c r="N3030" s="5" t="s">
        <v>67</v>
      </c>
      <c r="O3030" s="20" t="b">
        <v>0</v>
      </c>
      <c r="P3030" s="20" t="s">
        <v>74</v>
      </c>
      <c r="Q3030" s="20" t="s">
        <v>69</v>
      </c>
      <c r="R3030" s="20" t="s">
        <v>6615</v>
      </c>
      <c r="T3030" s="20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</row>
    <row r="3031">
      <c r="A3031" s="15" t="s">
        <v>10532</v>
      </c>
      <c r="B3031" s="19">
        <v>44353.677083333336</v>
      </c>
      <c r="C3031" s="20">
        <v>50044.0</v>
      </c>
      <c r="D3031" s="20" t="s">
        <v>6351</v>
      </c>
      <c r="E3031" s="5">
        <v>9.19418436544E11</v>
      </c>
      <c r="F3031" s="21">
        <v>19538.0</v>
      </c>
      <c r="G3031" s="20"/>
      <c r="H3031" s="20" t="s">
        <v>6320</v>
      </c>
      <c r="I3031" s="5"/>
      <c r="J3031" s="20">
        <v>1.0</v>
      </c>
      <c r="K3031" s="20">
        <v>349.0</v>
      </c>
      <c r="L3031" s="20"/>
      <c r="M3031" s="20">
        <v>349.0</v>
      </c>
      <c r="N3031" s="5" t="s">
        <v>67</v>
      </c>
      <c r="O3031" s="20" t="b">
        <v>0</v>
      </c>
      <c r="P3031" s="20" t="s">
        <v>68</v>
      </c>
      <c r="Q3031" s="20" t="s">
        <v>69</v>
      </c>
      <c r="R3031" s="20" t="s">
        <v>6322</v>
      </c>
      <c r="T3031" s="20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</row>
    <row r="3032">
      <c r="A3032" s="15" t="s">
        <v>10536</v>
      </c>
      <c r="B3032" s="19">
        <v>44353.70625</v>
      </c>
      <c r="C3032" s="20">
        <v>50030.0</v>
      </c>
      <c r="D3032" s="20" t="s">
        <v>3486</v>
      </c>
      <c r="E3032" s="5">
        <v>9.1887039981E11</v>
      </c>
      <c r="F3032" s="21">
        <v>19541.0</v>
      </c>
      <c r="G3032" s="20"/>
      <c r="H3032" s="20" t="s">
        <v>3326</v>
      </c>
      <c r="I3032" s="5"/>
      <c r="J3032" s="20">
        <v>1.0</v>
      </c>
      <c r="K3032" s="20">
        <v>99.0</v>
      </c>
      <c r="L3032" s="20"/>
      <c r="M3032" s="20">
        <v>99.0</v>
      </c>
      <c r="N3032" s="5" t="s">
        <v>67</v>
      </c>
      <c r="O3032" s="20" t="b">
        <v>0</v>
      </c>
      <c r="P3032" s="20" t="s">
        <v>68</v>
      </c>
      <c r="Q3032" s="20" t="s">
        <v>69</v>
      </c>
      <c r="R3032" s="20" t="s">
        <v>3328</v>
      </c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</row>
    <row r="3033">
      <c r="A3033" s="15" t="s">
        <v>10535</v>
      </c>
      <c r="B3033" s="19">
        <v>44353.688888888886</v>
      </c>
      <c r="C3033" s="20">
        <v>49844.0</v>
      </c>
      <c r="D3033" s="20" t="s">
        <v>5479</v>
      </c>
      <c r="E3033" s="5">
        <v>9.18408011996E11</v>
      </c>
      <c r="F3033" s="21">
        <v>15675.0</v>
      </c>
      <c r="G3033" s="20"/>
      <c r="H3033" s="20" t="s">
        <v>885</v>
      </c>
      <c r="I3033" s="5"/>
      <c r="J3033" s="20">
        <v>1.0</v>
      </c>
      <c r="K3033" s="20">
        <v>99.0</v>
      </c>
      <c r="L3033" s="20"/>
      <c r="M3033" s="20">
        <v>99.0</v>
      </c>
      <c r="N3033" s="5" t="s">
        <v>67</v>
      </c>
      <c r="O3033" s="20" t="b">
        <v>0</v>
      </c>
      <c r="P3033" s="20" t="s">
        <v>68</v>
      </c>
      <c r="Q3033" s="20" t="s">
        <v>69</v>
      </c>
      <c r="R3033" s="20" t="s">
        <v>5476</v>
      </c>
      <c r="T3033" s="20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</row>
    <row r="3034">
      <c r="A3034" s="15" t="s">
        <v>10469</v>
      </c>
      <c r="B3034" s="19">
        <v>44322.677777777775</v>
      </c>
      <c r="C3034" s="20">
        <v>49833.0</v>
      </c>
      <c r="D3034" s="20" t="s">
        <v>4197</v>
      </c>
      <c r="E3034" s="5">
        <v>9.183090058E11</v>
      </c>
      <c r="F3034" s="21">
        <v>19511.0</v>
      </c>
      <c r="G3034" s="20"/>
      <c r="H3034" s="20" t="s">
        <v>4030</v>
      </c>
      <c r="I3034" s="5"/>
      <c r="J3034" s="20">
        <v>1.0</v>
      </c>
      <c r="K3034" s="20">
        <v>99.0</v>
      </c>
      <c r="L3034" s="20"/>
      <c r="M3034" s="20">
        <v>99.0</v>
      </c>
      <c r="N3034" s="5" t="s">
        <v>67</v>
      </c>
      <c r="O3034" s="20" t="b">
        <v>0</v>
      </c>
      <c r="P3034" s="20" t="s">
        <v>74</v>
      </c>
      <c r="Q3034" s="20" t="s">
        <v>69</v>
      </c>
      <c r="R3034" s="20" t="s">
        <v>4033</v>
      </c>
      <c r="T3034" s="20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</row>
    <row r="3035">
      <c r="A3035" s="15" t="s">
        <v>10540</v>
      </c>
      <c r="B3035" s="19">
        <v>44353.743055555555</v>
      </c>
      <c r="C3035" s="20">
        <v>49844.0</v>
      </c>
      <c r="D3035" s="20" t="s">
        <v>5480</v>
      </c>
      <c r="E3035" s="5">
        <v>9.18504043456E11</v>
      </c>
      <c r="F3035" s="21">
        <v>19543.0</v>
      </c>
      <c r="G3035" s="20"/>
      <c r="H3035" s="20" t="s">
        <v>885</v>
      </c>
      <c r="I3035" s="5"/>
      <c r="J3035" s="20">
        <v>3.0</v>
      </c>
      <c r="K3035" s="20">
        <v>199.0</v>
      </c>
      <c r="L3035" s="20"/>
      <c r="M3035" s="20">
        <v>199.0</v>
      </c>
      <c r="N3035" s="5" t="s">
        <v>67</v>
      </c>
      <c r="O3035" s="20" t="b">
        <v>0</v>
      </c>
      <c r="P3035" s="20" t="s">
        <v>68</v>
      </c>
      <c r="Q3035" s="20" t="s">
        <v>69</v>
      </c>
      <c r="R3035" s="20" t="s">
        <v>5476</v>
      </c>
      <c r="T3035" s="20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</row>
    <row r="3036">
      <c r="A3036" s="15" t="s">
        <v>10541</v>
      </c>
      <c r="B3036" s="19">
        <v>44353.74444444444</v>
      </c>
      <c r="C3036" s="20">
        <v>50030.0</v>
      </c>
      <c r="D3036" s="20" t="s">
        <v>3487</v>
      </c>
      <c r="E3036" s="5">
        <v>9.17052727179E11</v>
      </c>
      <c r="F3036" s="21">
        <v>19544.0</v>
      </c>
      <c r="G3036" s="20"/>
      <c r="H3036" s="20" t="s">
        <v>3326</v>
      </c>
      <c r="I3036" s="5"/>
      <c r="J3036" s="20">
        <v>1.0</v>
      </c>
      <c r="K3036" s="20">
        <v>99.0</v>
      </c>
      <c r="L3036" s="20"/>
      <c r="M3036" s="20">
        <v>99.0</v>
      </c>
      <c r="N3036" s="5" t="s">
        <v>67</v>
      </c>
      <c r="O3036" s="20" t="b">
        <v>0</v>
      </c>
      <c r="P3036" s="20" t="s">
        <v>68</v>
      </c>
      <c r="Q3036" s="20" t="s">
        <v>69</v>
      </c>
      <c r="R3036" s="20" t="s">
        <v>3328</v>
      </c>
      <c r="T3036" s="20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</row>
    <row r="3037">
      <c r="A3037" s="15" t="s">
        <v>10542</v>
      </c>
      <c r="B3037" s="19">
        <v>44353.75277777778</v>
      </c>
      <c r="C3037" s="20">
        <v>50052.0</v>
      </c>
      <c r="D3037" s="20" t="s">
        <v>4492</v>
      </c>
      <c r="E3037" s="5">
        <v>9.19769821754E11</v>
      </c>
      <c r="F3037" s="21">
        <v>19546.0</v>
      </c>
      <c r="G3037" s="20"/>
      <c r="H3037" s="20" t="s">
        <v>4433</v>
      </c>
      <c r="I3037" s="5"/>
      <c r="J3037" s="20">
        <v>1.0</v>
      </c>
      <c r="K3037" s="20">
        <v>99.0</v>
      </c>
      <c r="L3037" s="20"/>
      <c r="M3037" s="20">
        <v>99.0</v>
      </c>
      <c r="N3037" s="5" t="s">
        <v>67</v>
      </c>
      <c r="O3037" s="20" t="b">
        <v>0</v>
      </c>
      <c r="P3037" s="20" t="s">
        <v>68</v>
      </c>
      <c r="Q3037" s="20" t="s">
        <v>69</v>
      </c>
      <c r="R3037" s="20" t="s">
        <v>4435</v>
      </c>
      <c r="T3037" s="20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</row>
    <row r="3038">
      <c r="A3038" s="15" t="s">
        <v>10546</v>
      </c>
      <c r="B3038" s="19">
        <v>44353.774305555555</v>
      </c>
      <c r="C3038" s="20">
        <v>50030.0</v>
      </c>
      <c r="D3038" s="20" t="s">
        <v>3488</v>
      </c>
      <c r="E3038" s="5">
        <v>9.1962093764E11</v>
      </c>
      <c r="F3038" s="21">
        <v>19549.0</v>
      </c>
      <c r="G3038" s="20"/>
      <c r="H3038" s="20" t="s">
        <v>3326</v>
      </c>
      <c r="I3038" s="5"/>
      <c r="J3038" s="20">
        <v>1.0</v>
      </c>
      <c r="K3038" s="20">
        <v>99.0</v>
      </c>
      <c r="L3038" s="20"/>
      <c r="M3038" s="20">
        <v>99.0</v>
      </c>
      <c r="N3038" s="5" t="s">
        <v>67</v>
      </c>
      <c r="O3038" s="20" t="b">
        <v>0</v>
      </c>
      <c r="P3038" s="20" t="s">
        <v>68</v>
      </c>
      <c r="Q3038" s="20" t="s">
        <v>69</v>
      </c>
      <c r="R3038" s="20" t="s">
        <v>3328</v>
      </c>
      <c r="T3038" s="20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</row>
    <row r="3039">
      <c r="A3039" s="15" t="s">
        <v>10548</v>
      </c>
      <c r="B3039" s="19">
        <v>44353.775</v>
      </c>
      <c r="C3039" s="20">
        <v>49813.0</v>
      </c>
      <c r="D3039" s="20" t="s">
        <v>5165</v>
      </c>
      <c r="E3039" s="5">
        <v>9.19172373901E11</v>
      </c>
      <c r="F3039" s="21">
        <v>19551.0</v>
      </c>
      <c r="G3039" s="20"/>
      <c r="H3039" s="20" t="s">
        <v>5114</v>
      </c>
      <c r="I3039" s="5"/>
      <c r="J3039" s="20">
        <v>1.0</v>
      </c>
      <c r="K3039" s="20">
        <v>299.0</v>
      </c>
      <c r="L3039" s="20"/>
      <c r="M3039" s="20">
        <v>299.0</v>
      </c>
      <c r="N3039" s="5" t="s">
        <v>67</v>
      </c>
      <c r="O3039" s="20" t="b">
        <v>0</v>
      </c>
      <c r="P3039" s="20" t="s">
        <v>74</v>
      </c>
      <c r="Q3039" s="20" t="s">
        <v>69</v>
      </c>
      <c r="R3039" s="20" t="s">
        <v>5162</v>
      </c>
      <c r="T3039" s="20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</row>
    <row r="3040">
      <c r="A3040" s="15" t="s">
        <v>10543</v>
      </c>
      <c r="B3040" s="19">
        <v>44353.75833333333</v>
      </c>
      <c r="C3040" s="20">
        <v>49998.0</v>
      </c>
      <c r="D3040" s="20" t="s">
        <v>6300</v>
      </c>
      <c r="E3040" s="5">
        <v>9.19624530601E11</v>
      </c>
      <c r="F3040" s="21">
        <v>19547.0</v>
      </c>
      <c r="G3040" s="20"/>
      <c r="H3040" s="20" t="s">
        <v>6250</v>
      </c>
      <c r="I3040" s="5"/>
      <c r="J3040" s="20">
        <v>1.0</v>
      </c>
      <c r="K3040" s="20">
        <v>99.0</v>
      </c>
      <c r="L3040" s="20"/>
      <c r="M3040" s="20">
        <v>99.0</v>
      </c>
      <c r="N3040" s="5" t="s">
        <v>67</v>
      </c>
      <c r="O3040" s="20" t="b">
        <v>0</v>
      </c>
      <c r="P3040" s="20" t="s">
        <v>68</v>
      </c>
      <c r="Q3040" s="20" t="s">
        <v>69</v>
      </c>
      <c r="R3040" s="20" t="s">
        <v>6252</v>
      </c>
      <c r="T3040" s="20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</row>
    <row r="3041">
      <c r="A3041" s="15" t="s">
        <v>10544</v>
      </c>
      <c r="B3041" s="19">
        <v>44353.76736111111</v>
      </c>
      <c r="C3041" s="20">
        <v>50020.0</v>
      </c>
      <c r="D3041" s="20" t="s">
        <v>3050</v>
      </c>
      <c r="E3041" s="5">
        <v>9.19284395413E11</v>
      </c>
      <c r="F3041" s="21">
        <v>19548.0</v>
      </c>
      <c r="G3041" s="20"/>
      <c r="H3041" s="20" t="s">
        <v>3008</v>
      </c>
      <c r="I3041" s="5"/>
      <c r="J3041" s="20">
        <v>3.0</v>
      </c>
      <c r="K3041" s="20">
        <v>199.0</v>
      </c>
      <c r="L3041" s="20"/>
      <c r="M3041" s="20">
        <v>199.0</v>
      </c>
      <c r="N3041" s="5" t="s">
        <v>67</v>
      </c>
      <c r="O3041" s="20" t="b">
        <v>0</v>
      </c>
      <c r="P3041" s="20" t="s">
        <v>68</v>
      </c>
      <c r="Q3041" s="20" t="s">
        <v>69</v>
      </c>
      <c r="R3041" s="20" t="s">
        <v>3049</v>
      </c>
      <c r="T3041" s="20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</row>
    <row r="3042">
      <c r="A3042" s="15" t="s">
        <v>10551</v>
      </c>
      <c r="B3042" s="19">
        <v>44353.78402777778</v>
      </c>
      <c r="C3042" s="20">
        <v>50104.0</v>
      </c>
      <c r="D3042" s="20" t="s">
        <v>3714</v>
      </c>
      <c r="E3042" s="5">
        <v>9.19988251725E11</v>
      </c>
      <c r="F3042" s="21">
        <v>19550.0</v>
      </c>
      <c r="G3042" s="20"/>
      <c r="H3042" s="20" t="s">
        <v>3708</v>
      </c>
      <c r="I3042" s="5"/>
      <c r="J3042" s="20">
        <v>6.0</v>
      </c>
      <c r="K3042" s="20">
        <v>349.0</v>
      </c>
      <c r="L3042" s="20"/>
      <c r="M3042" s="20">
        <v>349.0</v>
      </c>
      <c r="N3042" s="5" t="s">
        <v>67</v>
      </c>
      <c r="O3042" s="20" t="b">
        <v>0</v>
      </c>
      <c r="P3042" s="20" t="s">
        <v>68</v>
      </c>
      <c r="Q3042" s="20" t="s">
        <v>69</v>
      </c>
      <c r="R3042" s="20" t="s">
        <v>3710</v>
      </c>
      <c r="T3042" s="20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</row>
    <row r="3043">
      <c r="A3043" s="15" t="s">
        <v>10552</v>
      </c>
      <c r="B3043" s="19">
        <v>44353.8</v>
      </c>
      <c r="C3043" s="20">
        <v>49991.0</v>
      </c>
      <c r="D3043" s="20" t="s">
        <v>3147</v>
      </c>
      <c r="E3043" s="5">
        <v>9.19819557546E11</v>
      </c>
      <c r="F3043" s="21">
        <v>19553.0</v>
      </c>
      <c r="G3043" s="20"/>
      <c r="H3043" s="20" t="s">
        <v>3055</v>
      </c>
      <c r="I3043" s="5"/>
      <c r="J3043" s="20">
        <v>1.0</v>
      </c>
      <c r="K3043" s="20">
        <v>99.0</v>
      </c>
      <c r="L3043" s="20"/>
      <c r="M3043" s="20">
        <v>99.0</v>
      </c>
      <c r="N3043" s="5" t="s">
        <v>67</v>
      </c>
      <c r="O3043" s="20" t="b">
        <v>0</v>
      </c>
      <c r="P3043" s="20" t="s">
        <v>74</v>
      </c>
      <c r="Q3043" s="20" t="s">
        <v>69</v>
      </c>
      <c r="R3043" s="20" t="s">
        <v>3057</v>
      </c>
      <c r="T3043" s="20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</row>
    <row r="3044">
      <c r="A3044" s="15" t="s">
        <v>10562</v>
      </c>
      <c r="B3044" s="19">
        <v>44353.81805555556</v>
      </c>
      <c r="C3044" s="20">
        <v>49997.0</v>
      </c>
      <c r="D3044" s="20" t="s">
        <v>2547</v>
      </c>
      <c r="E3044" s="5">
        <v>9.19110437338E11</v>
      </c>
      <c r="F3044" s="21">
        <v>19562.0</v>
      </c>
      <c r="G3044" s="20"/>
      <c r="H3044" s="20" t="s">
        <v>2455</v>
      </c>
      <c r="I3044" s="5"/>
      <c r="J3044" s="20">
        <v>1.0</v>
      </c>
      <c r="K3044" s="20">
        <v>99.0</v>
      </c>
      <c r="L3044" s="20"/>
      <c r="M3044" s="20">
        <v>99.0</v>
      </c>
      <c r="N3044" s="5" t="s">
        <v>67</v>
      </c>
      <c r="O3044" s="20" t="b">
        <v>0</v>
      </c>
      <c r="P3044" s="20" t="s">
        <v>68</v>
      </c>
      <c r="Q3044" s="20" t="s">
        <v>69</v>
      </c>
      <c r="R3044" s="20" t="s">
        <v>2457</v>
      </c>
      <c r="T3044" s="20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</row>
    <row r="3045">
      <c r="A3045" s="15" t="s">
        <v>10564</v>
      </c>
      <c r="B3045" s="19">
        <v>44353.82152777778</v>
      </c>
      <c r="C3045" s="20">
        <v>50043.0</v>
      </c>
      <c r="D3045" s="20" t="s">
        <v>6422</v>
      </c>
      <c r="E3045" s="5">
        <v>9.19811572056E11</v>
      </c>
      <c r="F3045" s="21">
        <v>19561.0</v>
      </c>
      <c r="G3045" s="20"/>
      <c r="H3045" s="20" t="s">
        <v>6367</v>
      </c>
      <c r="I3045" s="5"/>
      <c r="J3045" s="20">
        <v>1.0</v>
      </c>
      <c r="K3045" s="20">
        <v>99.0</v>
      </c>
      <c r="L3045" s="20"/>
      <c r="M3045" s="20">
        <v>99.0</v>
      </c>
      <c r="N3045" s="5" t="s">
        <v>67</v>
      </c>
      <c r="O3045" s="20" t="b">
        <v>0</v>
      </c>
      <c r="P3045" s="20" t="s">
        <v>68</v>
      </c>
      <c r="Q3045" s="20" t="s">
        <v>69</v>
      </c>
      <c r="R3045" s="20" t="s">
        <v>6369</v>
      </c>
      <c r="T3045" s="20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</row>
    <row r="3046">
      <c r="A3046" s="15" t="s">
        <v>10563</v>
      </c>
      <c r="B3046" s="19">
        <v>44353.822222222225</v>
      </c>
      <c r="C3046" s="20">
        <v>49859.0</v>
      </c>
      <c r="D3046" s="20" t="s">
        <v>4740</v>
      </c>
      <c r="E3046" s="5">
        <v>9.17526057875E11</v>
      </c>
      <c r="F3046" s="21">
        <v>0.0</v>
      </c>
      <c r="G3046" s="20"/>
      <c r="H3046" s="20" t="s">
        <v>1133</v>
      </c>
      <c r="I3046" s="5"/>
      <c r="J3046" s="20">
        <v>1.0</v>
      </c>
      <c r="K3046" s="20">
        <v>99.0</v>
      </c>
      <c r="L3046" s="20"/>
      <c r="M3046" s="20">
        <v>99.0</v>
      </c>
      <c r="N3046" s="5" t="s">
        <v>67</v>
      </c>
      <c r="O3046" s="20" t="b">
        <v>0</v>
      </c>
      <c r="P3046" s="20" t="s">
        <v>97</v>
      </c>
      <c r="Q3046" s="20" t="s">
        <v>69</v>
      </c>
      <c r="R3046" s="20" t="s">
        <v>4741</v>
      </c>
      <c r="T3046" s="20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</row>
    <row r="3047">
      <c r="A3047" s="15" t="s">
        <v>10553</v>
      </c>
      <c r="B3047" s="19">
        <v>44353.80416666667</v>
      </c>
      <c r="C3047" s="20">
        <v>50065.0</v>
      </c>
      <c r="D3047" s="20" t="s">
        <v>2689</v>
      </c>
      <c r="E3047" s="5">
        <v>9.199129077E11</v>
      </c>
      <c r="F3047" s="21">
        <v>19558.0</v>
      </c>
      <c r="G3047" s="20"/>
      <c r="H3047" s="20" t="s">
        <v>2601</v>
      </c>
      <c r="I3047" s="5"/>
      <c r="J3047" s="20">
        <v>1.0</v>
      </c>
      <c r="K3047" s="20">
        <v>99.0</v>
      </c>
      <c r="L3047" s="20"/>
      <c r="M3047" s="20">
        <v>99.0</v>
      </c>
      <c r="N3047" s="5" t="s">
        <v>67</v>
      </c>
      <c r="O3047" s="20" t="b">
        <v>0</v>
      </c>
      <c r="P3047" s="20" t="s">
        <v>68</v>
      </c>
      <c r="Q3047" s="20" t="s">
        <v>69</v>
      </c>
      <c r="R3047" s="20" t="s">
        <v>2604</v>
      </c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</row>
    <row r="3048">
      <c r="A3048" s="15" t="s">
        <v>10566</v>
      </c>
      <c r="B3048" s="19">
        <v>44353.82777777778</v>
      </c>
      <c r="C3048" s="20">
        <v>50023.0</v>
      </c>
      <c r="D3048" s="20" t="s">
        <v>5567</v>
      </c>
      <c r="E3048" s="5">
        <v>9.19919525412E11</v>
      </c>
      <c r="F3048" s="21">
        <v>19569.0</v>
      </c>
      <c r="G3048" s="20"/>
      <c r="H3048" s="20" t="s">
        <v>5508</v>
      </c>
      <c r="I3048" s="5"/>
      <c r="J3048" s="20">
        <v>1.0</v>
      </c>
      <c r="K3048" s="20">
        <v>99.0</v>
      </c>
      <c r="L3048" s="20"/>
      <c r="M3048" s="20">
        <v>99.0</v>
      </c>
      <c r="N3048" s="5" t="s">
        <v>67</v>
      </c>
      <c r="O3048" s="20" t="b">
        <v>0</v>
      </c>
      <c r="P3048" s="20" t="s">
        <v>68</v>
      </c>
      <c r="Q3048" s="20" t="s">
        <v>69</v>
      </c>
      <c r="R3048" s="20" t="s">
        <v>5510</v>
      </c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</row>
    <row r="3049">
      <c r="A3049" s="15" t="s">
        <v>10558</v>
      </c>
      <c r="B3049" s="19">
        <v>44353.81041666667</v>
      </c>
      <c r="C3049" s="20">
        <v>50043.0</v>
      </c>
      <c r="D3049" s="20" t="s">
        <v>6421</v>
      </c>
      <c r="E3049" s="5">
        <v>9.19790961843E11</v>
      </c>
      <c r="F3049" s="21">
        <v>19560.0</v>
      </c>
      <c r="G3049" s="20"/>
      <c r="H3049" s="20" t="s">
        <v>6367</v>
      </c>
      <c r="I3049" s="5"/>
      <c r="J3049" s="20">
        <v>1.0</v>
      </c>
      <c r="K3049" s="20">
        <v>99.0</v>
      </c>
      <c r="L3049" s="20"/>
      <c r="M3049" s="20">
        <v>99.0</v>
      </c>
      <c r="N3049" s="5" t="s">
        <v>67</v>
      </c>
      <c r="O3049" s="20" t="b">
        <v>0</v>
      </c>
      <c r="P3049" s="20" t="s">
        <v>68</v>
      </c>
      <c r="Q3049" s="20" t="s">
        <v>69</v>
      </c>
      <c r="R3049" s="20" t="s">
        <v>6369</v>
      </c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</row>
    <row r="3050">
      <c r="A3050" s="15" t="s">
        <v>10567</v>
      </c>
      <c r="B3050" s="19">
        <v>44353.82986111111</v>
      </c>
      <c r="C3050" s="20">
        <v>50094.0</v>
      </c>
      <c r="D3050" s="20" t="s">
        <v>5051</v>
      </c>
      <c r="E3050" s="5">
        <v>9.198055069E11</v>
      </c>
      <c r="F3050" s="21">
        <v>19565.0</v>
      </c>
      <c r="G3050" s="20"/>
      <c r="H3050" s="20" t="s">
        <v>4942</v>
      </c>
      <c r="I3050" s="5"/>
      <c r="J3050" s="20">
        <v>1.0</v>
      </c>
      <c r="K3050" s="20">
        <v>199.0</v>
      </c>
      <c r="L3050" s="20"/>
      <c r="M3050" s="20">
        <v>199.0</v>
      </c>
      <c r="N3050" s="5" t="s">
        <v>67</v>
      </c>
      <c r="O3050" s="20" t="b">
        <v>0</v>
      </c>
      <c r="P3050" s="20" t="s">
        <v>68</v>
      </c>
      <c r="Q3050" s="20" t="s">
        <v>69</v>
      </c>
      <c r="R3050" s="20" t="s">
        <v>4945</v>
      </c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</row>
    <row r="3051">
      <c r="A3051" s="15" t="s">
        <v>10568</v>
      </c>
      <c r="B3051" s="19">
        <v>44353.834027777775</v>
      </c>
      <c r="C3051" s="20">
        <v>50052.0</v>
      </c>
      <c r="D3051" s="20" t="s">
        <v>4493</v>
      </c>
      <c r="E3051" s="5">
        <v>9.17548867943E11</v>
      </c>
      <c r="F3051" s="21">
        <v>19566.0</v>
      </c>
      <c r="G3051" s="20"/>
      <c r="H3051" s="20" t="s">
        <v>4433</v>
      </c>
      <c r="I3051" s="5"/>
      <c r="J3051" s="20">
        <v>1.0</v>
      </c>
      <c r="K3051" s="20">
        <v>99.0</v>
      </c>
      <c r="L3051" s="20"/>
      <c r="M3051" s="20">
        <v>99.0</v>
      </c>
      <c r="N3051" s="5" t="s">
        <v>67</v>
      </c>
      <c r="O3051" s="20" t="b">
        <v>0</v>
      </c>
      <c r="P3051" s="20" t="s">
        <v>68</v>
      </c>
      <c r="Q3051" s="20" t="s">
        <v>69</v>
      </c>
      <c r="R3051" s="20" t="s">
        <v>4435</v>
      </c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</row>
    <row r="3052">
      <c r="A3052" s="15" t="s">
        <v>10477</v>
      </c>
      <c r="B3052" s="19">
        <v>44322.79722222222</v>
      </c>
      <c r="C3052" s="20">
        <v>49978.0</v>
      </c>
      <c r="D3052" s="20" t="s">
        <v>2151</v>
      </c>
      <c r="E3052" s="5">
        <v>9.18247716036E11</v>
      </c>
      <c r="F3052" s="21">
        <v>17501.0</v>
      </c>
      <c r="G3052" s="20"/>
      <c r="H3052" s="20" t="s">
        <v>2150</v>
      </c>
      <c r="I3052" s="5"/>
      <c r="J3052" s="20">
        <v>1.0</v>
      </c>
      <c r="K3052" s="20">
        <v>99.0</v>
      </c>
      <c r="L3052" s="20"/>
      <c r="M3052" s="20">
        <v>99.0</v>
      </c>
      <c r="N3052" s="5" t="s">
        <v>67</v>
      </c>
      <c r="O3052" s="20" t="b">
        <v>0</v>
      </c>
      <c r="P3052" s="20" t="s">
        <v>151</v>
      </c>
      <c r="Q3052" s="20" t="s">
        <v>69</v>
      </c>
      <c r="R3052" s="20" t="s">
        <v>6170</v>
      </c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</row>
    <row r="3053">
      <c r="A3053" s="1" t="s">
        <v>10668</v>
      </c>
      <c r="B3053" s="19">
        <v>44383.802083333336</v>
      </c>
      <c r="C3053" s="20">
        <v>49978.0</v>
      </c>
      <c r="D3053" s="20" t="s">
        <v>2151</v>
      </c>
      <c r="E3053" s="5">
        <v>9.18247716036E11</v>
      </c>
      <c r="F3053" s="21">
        <v>17501.0</v>
      </c>
      <c r="G3053" s="20"/>
      <c r="H3053" s="20" t="s">
        <v>2150</v>
      </c>
      <c r="I3053" s="5"/>
      <c r="J3053" s="20">
        <v>6.0</v>
      </c>
      <c r="K3053" s="20">
        <v>299.0</v>
      </c>
      <c r="L3053" s="20"/>
      <c r="M3053" s="20">
        <v>299.0</v>
      </c>
      <c r="N3053" s="5" t="s">
        <v>67</v>
      </c>
      <c r="O3053" s="20" t="b">
        <v>0</v>
      </c>
      <c r="P3053" s="20" t="s">
        <v>151</v>
      </c>
      <c r="Q3053" s="20" t="s">
        <v>69</v>
      </c>
      <c r="R3053" s="20" t="s">
        <v>6170</v>
      </c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</row>
    <row r="3054">
      <c r="A3054" s="15" t="s">
        <v>10474</v>
      </c>
      <c r="B3054" s="19">
        <v>44322.78125</v>
      </c>
      <c r="C3054" s="20">
        <v>49813.0</v>
      </c>
      <c r="D3054" s="20" t="s">
        <v>5163</v>
      </c>
      <c r="E3054" s="5">
        <v>9.1969643206E11</v>
      </c>
      <c r="F3054" s="21">
        <v>19515.0</v>
      </c>
      <c r="G3054" s="20"/>
      <c r="H3054" s="20" t="s">
        <v>5114</v>
      </c>
      <c r="I3054" s="5"/>
      <c r="J3054" s="20">
        <v>1.0</v>
      </c>
      <c r="K3054" s="20">
        <v>299.0</v>
      </c>
      <c r="L3054" s="20"/>
      <c r="M3054" s="20">
        <v>299.0</v>
      </c>
      <c r="N3054" s="5" t="s">
        <v>67</v>
      </c>
      <c r="O3054" s="20" t="b">
        <v>0</v>
      </c>
      <c r="P3054" s="20" t="s">
        <v>68</v>
      </c>
      <c r="Q3054" s="20" t="s">
        <v>69</v>
      </c>
      <c r="R3054" s="20" t="s">
        <v>5162</v>
      </c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</row>
    <row r="3055">
      <c r="A3055" s="15" t="s">
        <v>10571</v>
      </c>
      <c r="B3055" s="19">
        <v>44353.861805555556</v>
      </c>
      <c r="C3055" s="20">
        <v>50044.0</v>
      </c>
      <c r="D3055" s="20" t="s">
        <v>6352</v>
      </c>
      <c r="E3055" s="5">
        <v>9.17710820119E11</v>
      </c>
      <c r="F3055" s="21">
        <v>19568.0</v>
      </c>
      <c r="G3055" s="20"/>
      <c r="H3055" s="20" t="s">
        <v>6320</v>
      </c>
      <c r="I3055" s="5"/>
      <c r="J3055" s="20">
        <v>6.0</v>
      </c>
      <c r="K3055" s="20">
        <v>999.0</v>
      </c>
      <c r="L3055" s="20"/>
      <c r="M3055" s="20">
        <v>999.0</v>
      </c>
      <c r="N3055" s="5" t="s">
        <v>67</v>
      </c>
      <c r="O3055" s="20" t="b">
        <v>0</v>
      </c>
      <c r="P3055" s="20" t="s">
        <v>68</v>
      </c>
      <c r="Q3055" s="20" t="s">
        <v>69</v>
      </c>
      <c r="R3055" s="20" t="s">
        <v>6322</v>
      </c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</row>
    <row r="3056">
      <c r="A3056" s="15" t="s">
        <v>10572</v>
      </c>
      <c r="B3056" s="19">
        <v>44353.87708333333</v>
      </c>
      <c r="C3056" s="20">
        <v>50044.0</v>
      </c>
      <c r="D3056" s="20" t="s">
        <v>6353</v>
      </c>
      <c r="E3056" s="5">
        <v>9.19963362903E11</v>
      </c>
      <c r="F3056" s="21">
        <v>19570.0</v>
      </c>
      <c r="G3056" s="20"/>
      <c r="H3056" s="20" t="s">
        <v>6320</v>
      </c>
      <c r="I3056" s="5"/>
      <c r="J3056" s="20">
        <v>1.0</v>
      </c>
      <c r="K3056" s="20">
        <v>349.0</v>
      </c>
      <c r="L3056" s="20"/>
      <c r="M3056" s="20">
        <v>349.0</v>
      </c>
      <c r="N3056" s="5" t="s">
        <v>67</v>
      </c>
      <c r="O3056" s="20" t="b">
        <v>0</v>
      </c>
      <c r="P3056" s="20" t="s">
        <v>68</v>
      </c>
      <c r="Q3056" s="20" t="s">
        <v>69</v>
      </c>
      <c r="R3056" s="20" t="s">
        <v>6322</v>
      </c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</row>
    <row r="3057">
      <c r="A3057" s="15" t="s">
        <v>10478</v>
      </c>
      <c r="B3057" s="19">
        <v>44322.82083333333</v>
      </c>
      <c r="C3057" s="20">
        <v>50086.0</v>
      </c>
      <c r="D3057" s="20" t="s">
        <v>3994</v>
      </c>
      <c r="E3057" s="5">
        <v>9.19565555592E11</v>
      </c>
      <c r="F3057" s="21">
        <v>19517.0</v>
      </c>
      <c r="G3057" s="20"/>
      <c r="H3057" s="20" t="s">
        <v>3986</v>
      </c>
      <c r="I3057" s="5"/>
      <c r="J3057" s="20">
        <v>1.0</v>
      </c>
      <c r="K3057" s="20">
        <v>249.0</v>
      </c>
      <c r="L3057" s="20"/>
      <c r="M3057" s="20">
        <v>249.0</v>
      </c>
      <c r="N3057" s="5" t="s">
        <v>67</v>
      </c>
      <c r="O3057" s="20" t="b">
        <v>0</v>
      </c>
      <c r="P3057" s="20" t="s">
        <v>68</v>
      </c>
      <c r="Q3057" s="20" t="s">
        <v>69</v>
      </c>
      <c r="R3057" s="20" t="s">
        <v>3988</v>
      </c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</row>
    <row r="3058">
      <c r="A3058" s="15" t="s">
        <v>10573</v>
      </c>
      <c r="B3058" s="19">
        <v>44353.90902777778</v>
      </c>
      <c r="C3058" s="20">
        <v>49833.0</v>
      </c>
      <c r="D3058" s="20" t="s">
        <v>4201</v>
      </c>
      <c r="E3058" s="5">
        <v>9.1999543423E11</v>
      </c>
      <c r="F3058" s="21">
        <v>19572.0</v>
      </c>
      <c r="G3058" s="20"/>
      <c r="H3058" s="20" t="s">
        <v>4030</v>
      </c>
      <c r="I3058" s="5"/>
      <c r="J3058" s="20">
        <v>3.0</v>
      </c>
      <c r="K3058" s="20">
        <v>199.0</v>
      </c>
      <c r="L3058" s="20"/>
      <c r="M3058" s="20">
        <v>199.0</v>
      </c>
      <c r="N3058" s="5" t="s">
        <v>67</v>
      </c>
      <c r="O3058" s="20" t="b">
        <v>0</v>
      </c>
      <c r="P3058" s="20" t="s">
        <v>74</v>
      </c>
      <c r="Q3058" s="20" t="s">
        <v>69</v>
      </c>
      <c r="R3058" s="20" t="s">
        <v>4202</v>
      </c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</row>
    <row r="3059">
      <c r="A3059" s="15" t="s">
        <v>10575</v>
      </c>
      <c r="B3059" s="19">
        <v>44353.90902777778</v>
      </c>
      <c r="C3059" s="20">
        <v>50110.0</v>
      </c>
      <c r="D3059" s="20" t="s">
        <v>4410</v>
      </c>
      <c r="E3059" s="5">
        <v>9.19007260879E11</v>
      </c>
      <c r="F3059" s="21">
        <v>19571.0</v>
      </c>
      <c r="G3059" s="20"/>
      <c r="H3059" s="20" t="s">
        <v>4399</v>
      </c>
      <c r="I3059" s="5"/>
      <c r="J3059" s="20">
        <v>1.0</v>
      </c>
      <c r="K3059" s="20">
        <v>99.0</v>
      </c>
      <c r="L3059" s="20"/>
      <c r="M3059" s="20">
        <v>99.0</v>
      </c>
      <c r="N3059" s="5" t="s">
        <v>67</v>
      </c>
      <c r="O3059" s="20" t="b">
        <v>0</v>
      </c>
      <c r="P3059" s="20" t="s">
        <v>74</v>
      </c>
      <c r="Q3059" s="20" t="s">
        <v>69</v>
      </c>
      <c r="R3059" s="20" t="s">
        <v>4402</v>
      </c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</row>
    <row r="3060">
      <c r="A3060" s="15" t="s">
        <v>10580</v>
      </c>
      <c r="B3060" s="19">
        <v>44353.938888888886</v>
      </c>
      <c r="C3060" s="20">
        <v>49833.0</v>
      </c>
      <c r="D3060" s="20" t="s">
        <v>4203</v>
      </c>
      <c r="E3060" s="5">
        <v>9.19713479592E11</v>
      </c>
      <c r="F3060" s="21">
        <v>19658.0</v>
      </c>
      <c r="G3060" s="20"/>
      <c r="H3060" s="20" t="s">
        <v>4030</v>
      </c>
      <c r="I3060" s="5"/>
      <c r="J3060" s="20">
        <v>1.0</v>
      </c>
      <c r="K3060" s="20">
        <v>99.0</v>
      </c>
      <c r="L3060" s="20"/>
      <c r="M3060" s="20">
        <v>99.0</v>
      </c>
      <c r="N3060" s="5" t="s">
        <v>67</v>
      </c>
      <c r="O3060" s="20" t="b">
        <v>0</v>
      </c>
      <c r="P3060" s="20" t="s">
        <v>68</v>
      </c>
      <c r="Q3060" s="20" t="s">
        <v>69</v>
      </c>
      <c r="R3060" s="20" t="s">
        <v>4033</v>
      </c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</row>
    <row r="3061">
      <c r="A3061" s="15" t="s">
        <v>10582</v>
      </c>
      <c r="B3061" s="19">
        <v>44353.97638888889</v>
      </c>
      <c r="C3061" s="20">
        <v>49907.0</v>
      </c>
      <c r="D3061" s="20" t="s">
        <v>3830</v>
      </c>
      <c r="E3061" s="5">
        <v>9.1920683136E11</v>
      </c>
      <c r="F3061" s="21">
        <v>19575.0</v>
      </c>
      <c r="G3061" s="20"/>
      <c r="H3061" s="20" t="s">
        <v>587</v>
      </c>
      <c r="I3061" s="5"/>
      <c r="J3061" s="20">
        <v>3.0</v>
      </c>
      <c r="K3061" s="20">
        <v>199.0</v>
      </c>
      <c r="L3061" s="20"/>
      <c r="M3061" s="20">
        <v>199.0</v>
      </c>
      <c r="N3061" s="5" t="s">
        <v>67</v>
      </c>
      <c r="O3061" s="20" t="b">
        <v>0</v>
      </c>
      <c r="P3061" s="20" t="s">
        <v>68</v>
      </c>
      <c r="Q3061" s="20" t="s">
        <v>69</v>
      </c>
      <c r="R3061" s="20" t="s">
        <v>3774</v>
      </c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</row>
    <row r="3062">
      <c r="A3062" s="15" t="s">
        <v>10584</v>
      </c>
      <c r="B3062" s="19">
        <v>44353.978472222225</v>
      </c>
      <c r="C3062" s="20">
        <v>50030.0</v>
      </c>
      <c r="D3062" s="20" t="s">
        <v>3489</v>
      </c>
      <c r="E3062" s="5">
        <v>9.19618219528E11</v>
      </c>
      <c r="F3062" s="21">
        <v>0.0</v>
      </c>
      <c r="G3062" s="20"/>
      <c r="H3062" s="20" t="s">
        <v>3326</v>
      </c>
      <c r="I3062" s="5"/>
      <c r="J3062" s="20">
        <v>1.0</v>
      </c>
      <c r="K3062" s="20">
        <v>99.0</v>
      </c>
      <c r="L3062" s="20"/>
      <c r="M3062" s="20">
        <v>99.0</v>
      </c>
      <c r="N3062" s="5" t="s">
        <v>67</v>
      </c>
      <c r="O3062" s="20" t="b">
        <v>0</v>
      </c>
      <c r="P3062" s="20" t="s">
        <v>68</v>
      </c>
      <c r="Q3062" s="20" t="s">
        <v>69</v>
      </c>
      <c r="R3062" s="20" t="s">
        <v>3328</v>
      </c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</row>
    <row r="3063">
      <c r="A3063" s="15" t="s">
        <v>10479</v>
      </c>
      <c r="B3063" s="19">
        <v>44322.947222222225</v>
      </c>
      <c r="C3063" s="20">
        <v>50031.0</v>
      </c>
      <c r="D3063" s="20" t="s">
        <v>4617</v>
      </c>
      <c r="E3063" s="5">
        <v>9.19893972743E11</v>
      </c>
      <c r="F3063" s="21">
        <v>19519.0</v>
      </c>
      <c r="G3063" s="20"/>
      <c r="H3063" s="20" t="s">
        <v>4561</v>
      </c>
      <c r="I3063" s="5"/>
      <c r="J3063" s="20">
        <v>1.0</v>
      </c>
      <c r="K3063" s="20">
        <v>599.0</v>
      </c>
      <c r="L3063" s="20"/>
      <c r="M3063" s="20">
        <v>599.0</v>
      </c>
      <c r="N3063" s="5" t="s">
        <v>67</v>
      </c>
      <c r="O3063" s="20" t="b">
        <v>0</v>
      </c>
      <c r="P3063" s="20" t="s">
        <v>68</v>
      </c>
      <c r="Q3063" s="20" t="s">
        <v>69</v>
      </c>
      <c r="R3063" s="20" t="s">
        <v>4618</v>
      </c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</row>
    <row r="3064">
      <c r="A3064" s="15" t="s">
        <v>10585</v>
      </c>
      <c r="B3064" s="19">
        <v>44353.99166666667</v>
      </c>
      <c r="C3064" s="20">
        <v>50030.0</v>
      </c>
      <c r="D3064" s="20" t="s">
        <v>3490</v>
      </c>
      <c r="E3064" s="5">
        <v>9.19650598794E11</v>
      </c>
      <c r="F3064" s="21">
        <v>19609.0</v>
      </c>
      <c r="G3064" s="20"/>
      <c r="H3064" s="20" t="s">
        <v>3326</v>
      </c>
      <c r="I3064" s="5"/>
      <c r="J3064" s="20">
        <v>1.0</v>
      </c>
      <c r="K3064" s="20">
        <v>99.0</v>
      </c>
      <c r="L3064" s="20"/>
      <c r="M3064" s="20">
        <v>99.0</v>
      </c>
      <c r="N3064" s="5" t="s">
        <v>67</v>
      </c>
      <c r="O3064" s="20" t="b">
        <v>0</v>
      </c>
      <c r="P3064" s="20" t="s">
        <v>68</v>
      </c>
      <c r="Q3064" s="20" t="s">
        <v>69</v>
      </c>
      <c r="R3064" s="20" t="s">
        <v>3328</v>
      </c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</row>
    <row r="3065">
      <c r="A3065" s="15" t="s">
        <v>10581</v>
      </c>
      <c r="B3065" s="19">
        <v>44353.975</v>
      </c>
      <c r="C3065" s="20">
        <v>50052.0</v>
      </c>
      <c r="D3065" s="20" t="s">
        <v>4494</v>
      </c>
      <c r="E3065" s="5">
        <v>9.19690416784E11</v>
      </c>
      <c r="F3065" s="21">
        <v>19576.0</v>
      </c>
      <c r="G3065" s="20"/>
      <c r="H3065" s="20" t="s">
        <v>4433</v>
      </c>
      <c r="I3065" s="5"/>
      <c r="J3065" s="20">
        <v>1.0</v>
      </c>
      <c r="K3065" s="20">
        <v>99.0</v>
      </c>
      <c r="L3065" s="20"/>
      <c r="M3065" s="20">
        <v>99.0</v>
      </c>
      <c r="N3065" s="5" t="s">
        <v>67</v>
      </c>
      <c r="O3065" s="20" t="b">
        <v>0</v>
      </c>
      <c r="P3065" s="20" t="s">
        <v>68</v>
      </c>
      <c r="Q3065" s="20" t="s">
        <v>69</v>
      </c>
      <c r="R3065" s="20" t="s">
        <v>4435</v>
      </c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</row>
    <row r="3066">
      <c r="A3066" s="15" t="s">
        <v>10587</v>
      </c>
      <c r="B3066" s="19">
        <v>44383.01944444444</v>
      </c>
      <c r="C3066" s="20">
        <v>50023.0</v>
      </c>
      <c r="D3066" s="20" t="s">
        <v>5568</v>
      </c>
      <c r="E3066" s="5">
        <v>9.18383033821E11</v>
      </c>
      <c r="F3066" s="21">
        <v>19578.0</v>
      </c>
      <c r="G3066" s="20"/>
      <c r="H3066" s="20" t="s">
        <v>5508</v>
      </c>
      <c r="I3066" s="5"/>
      <c r="J3066" s="20">
        <v>3.0</v>
      </c>
      <c r="K3066" s="20">
        <v>199.0</v>
      </c>
      <c r="L3066" s="20"/>
      <c r="M3066" s="20">
        <v>199.0</v>
      </c>
      <c r="N3066" s="5" t="s">
        <v>67</v>
      </c>
      <c r="O3066" s="20" t="b">
        <v>0</v>
      </c>
      <c r="P3066" s="20" t="s">
        <v>68</v>
      </c>
      <c r="Q3066" s="20" t="s">
        <v>69</v>
      </c>
      <c r="R3066" s="20" t="s">
        <v>5510</v>
      </c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</row>
    <row r="3067">
      <c r="A3067" s="15" t="s">
        <v>10588</v>
      </c>
      <c r="B3067" s="19">
        <v>44383.021527777775</v>
      </c>
      <c r="C3067" s="20">
        <v>49833.0</v>
      </c>
      <c r="D3067" s="20" t="s">
        <v>4204</v>
      </c>
      <c r="E3067" s="5">
        <v>9.18501977101E11</v>
      </c>
      <c r="F3067" s="22" t="s">
        <v>12593</v>
      </c>
      <c r="G3067" s="20"/>
      <c r="H3067" s="20" t="s">
        <v>4030</v>
      </c>
      <c r="I3067" s="5"/>
      <c r="J3067" s="20">
        <v>1.0</v>
      </c>
      <c r="K3067" s="20">
        <v>99.0</v>
      </c>
      <c r="L3067" s="20"/>
      <c r="M3067" s="20">
        <v>99.0</v>
      </c>
      <c r="N3067" s="5" t="s">
        <v>67</v>
      </c>
      <c r="O3067" s="20" t="b">
        <v>0</v>
      </c>
      <c r="P3067" s="20" t="s">
        <v>68</v>
      </c>
      <c r="Q3067" s="20" t="s">
        <v>69</v>
      </c>
      <c r="R3067" s="20" t="s">
        <v>4033</v>
      </c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</row>
    <row r="3068">
      <c r="A3068" s="15" t="s">
        <v>10595</v>
      </c>
      <c r="B3068" s="19">
        <v>44383.23333333333</v>
      </c>
      <c r="C3068" s="20">
        <v>50023.0</v>
      </c>
      <c r="D3068" s="20" t="s">
        <v>5569</v>
      </c>
      <c r="E3068" s="5">
        <v>9.19888452619E11</v>
      </c>
      <c r="F3068" s="22" t="s">
        <v>12593</v>
      </c>
      <c r="G3068" s="20"/>
      <c r="H3068" s="20" t="s">
        <v>5508</v>
      </c>
      <c r="I3068" s="5"/>
      <c r="J3068" s="20">
        <v>1.0</v>
      </c>
      <c r="K3068" s="20">
        <v>99.0</v>
      </c>
      <c r="L3068" s="20"/>
      <c r="M3068" s="20">
        <v>99.0</v>
      </c>
      <c r="N3068" s="5" t="s">
        <v>67</v>
      </c>
      <c r="O3068" s="20" t="b">
        <v>0</v>
      </c>
      <c r="P3068" s="20" t="s">
        <v>68</v>
      </c>
      <c r="Q3068" s="20" t="s">
        <v>69</v>
      </c>
      <c r="R3068" s="20" t="s">
        <v>5510</v>
      </c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</row>
    <row r="3069">
      <c r="A3069" s="15" t="s">
        <v>10596</v>
      </c>
      <c r="B3069" s="19">
        <v>44383.33125</v>
      </c>
      <c r="C3069" s="20">
        <v>49996.0</v>
      </c>
      <c r="D3069" s="20" t="s">
        <v>4844</v>
      </c>
      <c r="E3069" s="5">
        <v>9.18897323795E11</v>
      </c>
      <c r="F3069" s="21">
        <v>19580.0</v>
      </c>
      <c r="G3069" s="20"/>
      <c r="H3069" s="20" t="s">
        <v>4796</v>
      </c>
      <c r="I3069" s="5"/>
      <c r="J3069" s="20">
        <v>1.0</v>
      </c>
      <c r="K3069" s="20">
        <v>99.0</v>
      </c>
      <c r="L3069" s="20"/>
      <c r="M3069" s="20">
        <v>99.0</v>
      </c>
      <c r="N3069" s="5" t="s">
        <v>67</v>
      </c>
      <c r="O3069" s="20" t="b">
        <v>0</v>
      </c>
      <c r="P3069" s="20" t="s">
        <v>68</v>
      </c>
      <c r="Q3069" s="20" t="s">
        <v>69</v>
      </c>
      <c r="R3069" s="20" t="s">
        <v>4843</v>
      </c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</row>
    <row r="3070">
      <c r="A3070" s="15" t="s">
        <v>10603</v>
      </c>
      <c r="B3070" s="19">
        <v>44383.34722222222</v>
      </c>
      <c r="C3070" s="20">
        <v>50030.0</v>
      </c>
      <c r="D3070" s="20" t="s">
        <v>3492</v>
      </c>
      <c r="E3070" s="5">
        <v>9.19894686997E11</v>
      </c>
      <c r="F3070" s="21">
        <v>19583.0</v>
      </c>
      <c r="G3070" s="20"/>
      <c r="H3070" s="20" t="s">
        <v>3326</v>
      </c>
      <c r="I3070" s="5"/>
      <c r="J3070" s="20">
        <v>1.0</v>
      </c>
      <c r="K3070" s="20">
        <v>99.0</v>
      </c>
      <c r="L3070" s="20"/>
      <c r="M3070" s="20">
        <v>99.0</v>
      </c>
      <c r="N3070" s="5" t="s">
        <v>67</v>
      </c>
      <c r="O3070" s="20" t="b">
        <v>0</v>
      </c>
      <c r="P3070" s="20" t="s">
        <v>68</v>
      </c>
      <c r="Q3070" s="20" t="s">
        <v>69</v>
      </c>
      <c r="R3070" s="20" t="s">
        <v>3328</v>
      </c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</row>
    <row r="3071">
      <c r="A3071" s="15" t="s">
        <v>10604</v>
      </c>
      <c r="B3071" s="19">
        <v>44383.34722222222</v>
      </c>
      <c r="C3071" s="20">
        <v>49835.0</v>
      </c>
      <c r="D3071" s="20" t="s">
        <v>3930</v>
      </c>
      <c r="E3071" s="5">
        <v>9.19365502715E11</v>
      </c>
      <c r="F3071" s="21">
        <v>19582.0</v>
      </c>
      <c r="G3071" s="20"/>
      <c r="H3071" s="20" t="s">
        <v>680</v>
      </c>
      <c r="I3071" s="5"/>
      <c r="J3071" s="20">
        <v>1.0</v>
      </c>
      <c r="K3071" s="20">
        <v>99.0</v>
      </c>
      <c r="L3071" s="20"/>
      <c r="M3071" s="20">
        <v>99.0</v>
      </c>
      <c r="N3071" s="5" t="s">
        <v>67</v>
      </c>
      <c r="O3071" s="20" t="b">
        <v>0</v>
      </c>
      <c r="P3071" s="20" t="s">
        <v>68</v>
      </c>
      <c r="Q3071" s="20" t="s">
        <v>69</v>
      </c>
      <c r="R3071" s="20" t="s">
        <v>3888</v>
      </c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</row>
    <row r="3072">
      <c r="A3072" s="15" t="s">
        <v>10600</v>
      </c>
      <c r="B3072" s="19">
        <v>44383.33263888889</v>
      </c>
      <c r="C3072" s="20">
        <v>50054.0</v>
      </c>
      <c r="D3072" s="20" t="s">
        <v>5923</v>
      </c>
      <c r="E3072" s="5">
        <v>9.19861879919E11</v>
      </c>
      <c r="F3072" s="21">
        <v>20081.0</v>
      </c>
      <c r="G3072" s="20"/>
      <c r="H3072" s="20" t="s">
        <v>5822</v>
      </c>
      <c r="I3072" s="5"/>
      <c r="J3072" s="20">
        <v>1.0</v>
      </c>
      <c r="K3072" s="20">
        <v>99.0</v>
      </c>
      <c r="L3072" s="20"/>
      <c r="M3072" s="20">
        <v>99.0</v>
      </c>
      <c r="N3072" s="5" t="s">
        <v>67</v>
      </c>
      <c r="O3072" s="20" t="b">
        <v>0</v>
      </c>
      <c r="P3072" s="20" t="s">
        <v>68</v>
      </c>
      <c r="Q3072" s="20" t="s">
        <v>69</v>
      </c>
      <c r="R3072" s="20" t="s">
        <v>5824</v>
      </c>
      <c r="T3072" s="20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</row>
    <row r="3073">
      <c r="A3073" s="15" t="s">
        <v>10601</v>
      </c>
      <c r="B3073" s="19">
        <v>44383.34722222222</v>
      </c>
      <c r="C3073" s="20">
        <v>50030.0</v>
      </c>
      <c r="D3073" s="20" t="s">
        <v>3491</v>
      </c>
      <c r="E3073" s="5">
        <v>9.19064181482E11</v>
      </c>
      <c r="F3073" s="21">
        <v>19703.0</v>
      </c>
      <c r="G3073" s="20"/>
      <c r="H3073" s="20" t="s">
        <v>3326</v>
      </c>
      <c r="I3073" s="5"/>
      <c r="J3073" s="20">
        <v>1.0</v>
      </c>
      <c r="K3073" s="20">
        <v>99.0</v>
      </c>
      <c r="L3073" s="20"/>
      <c r="M3073" s="20">
        <v>99.0</v>
      </c>
      <c r="N3073" s="5" t="s">
        <v>67</v>
      </c>
      <c r="O3073" s="20" t="b">
        <v>0</v>
      </c>
      <c r="P3073" s="20" t="s">
        <v>68</v>
      </c>
      <c r="Q3073" s="20" t="s">
        <v>69</v>
      </c>
      <c r="R3073" s="20" t="s">
        <v>3328</v>
      </c>
      <c r="T3073" s="20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</row>
    <row r="3074">
      <c r="A3074" s="15" t="s">
        <v>10602</v>
      </c>
      <c r="B3074" s="19">
        <v>44383.34097222222</v>
      </c>
      <c r="C3074" s="20">
        <v>49991.0</v>
      </c>
      <c r="D3074" s="20" t="s">
        <v>3148</v>
      </c>
      <c r="E3074" s="5">
        <v>9.19178852326E11</v>
      </c>
      <c r="F3074" s="21">
        <v>19581.0</v>
      </c>
      <c r="G3074" s="20"/>
      <c r="H3074" s="20" t="s">
        <v>3055</v>
      </c>
      <c r="I3074" s="5"/>
      <c r="J3074" s="20">
        <v>1.0</v>
      </c>
      <c r="K3074" s="20">
        <v>99.0</v>
      </c>
      <c r="L3074" s="20"/>
      <c r="M3074" s="20">
        <v>99.0</v>
      </c>
      <c r="N3074" s="5" t="s">
        <v>67</v>
      </c>
      <c r="O3074" s="20" t="b">
        <v>0</v>
      </c>
      <c r="P3074" s="20" t="s">
        <v>68</v>
      </c>
      <c r="Q3074" s="20" t="s">
        <v>69</v>
      </c>
      <c r="R3074" s="20" t="s">
        <v>3057</v>
      </c>
      <c r="T3074" s="20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</row>
    <row r="3075">
      <c r="A3075" s="15" t="s">
        <v>10605</v>
      </c>
      <c r="B3075" s="19">
        <v>44383.368055555555</v>
      </c>
      <c r="C3075" s="20">
        <v>50029.0</v>
      </c>
      <c r="D3075" s="20" t="s">
        <v>2880</v>
      </c>
      <c r="E3075" s="5">
        <v>9.19945349064E11</v>
      </c>
      <c r="F3075" s="21">
        <v>19584.0</v>
      </c>
      <c r="G3075" s="20"/>
      <c r="H3075" s="20" t="s">
        <v>2761</v>
      </c>
      <c r="I3075" s="5"/>
      <c r="J3075" s="20">
        <v>1.0</v>
      </c>
      <c r="K3075" s="20">
        <v>99.0</v>
      </c>
      <c r="L3075" s="20"/>
      <c r="M3075" s="20">
        <v>99.0</v>
      </c>
      <c r="N3075" s="5" t="s">
        <v>67</v>
      </c>
      <c r="O3075" s="20" t="b">
        <v>0</v>
      </c>
      <c r="P3075" s="20" t="s">
        <v>68</v>
      </c>
      <c r="Q3075" s="20" t="s">
        <v>69</v>
      </c>
      <c r="R3075" s="20" t="s">
        <v>2763</v>
      </c>
      <c r="T3075" s="20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</row>
    <row r="3076">
      <c r="A3076" s="15" t="s">
        <v>10606</v>
      </c>
      <c r="B3076" s="19">
        <v>44383.424305555556</v>
      </c>
      <c r="C3076" s="20">
        <v>49833.0</v>
      </c>
      <c r="D3076" s="20" t="s">
        <v>4205</v>
      </c>
      <c r="E3076" s="5">
        <v>9.18152910891E11</v>
      </c>
      <c r="F3076" s="21">
        <v>19589.0</v>
      </c>
      <c r="G3076" s="20"/>
      <c r="H3076" s="20" t="s">
        <v>4030</v>
      </c>
      <c r="I3076" s="5"/>
      <c r="J3076" s="20">
        <v>1.0</v>
      </c>
      <c r="K3076" s="20">
        <v>99.0</v>
      </c>
      <c r="L3076" s="20"/>
      <c r="M3076" s="20">
        <v>99.0</v>
      </c>
      <c r="N3076" s="5" t="s">
        <v>67</v>
      </c>
      <c r="O3076" s="20" t="b">
        <v>0</v>
      </c>
      <c r="P3076" s="20" t="s">
        <v>68</v>
      </c>
      <c r="Q3076" s="20" t="s">
        <v>69</v>
      </c>
      <c r="R3076" s="20" t="s">
        <v>4033</v>
      </c>
      <c r="T3076" s="20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</row>
    <row r="3077">
      <c r="A3077" s="15" t="s">
        <v>10607</v>
      </c>
      <c r="B3077" s="19">
        <v>44383.425</v>
      </c>
      <c r="C3077" s="20">
        <v>49844.0</v>
      </c>
      <c r="D3077" s="20" t="s">
        <v>5481</v>
      </c>
      <c r="E3077" s="5">
        <v>9.19773736657E11</v>
      </c>
      <c r="F3077" s="21">
        <v>19586.0</v>
      </c>
      <c r="G3077" s="20"/>
      <c r="H3077" s="20" t="s">
        <v>885</v>
      </c>
      <c r="I3077" s="5"/>
      <c r="J3077" s="20">
        <v>1.0</v>
      </c>
      <c r="K3077" s="20">
        <v>99.0</v>
      </c>
      <c r="L3077" s="20"/>
      <c r="M3077" s="20">
        <v>99.0</v>
      </c>
      <c r="N3077" s="5" t="s">
        <v>67</v>
      </c>
      <c r="O3077" s="20" t="b">
        <v>0</v>
      </c>
      <c r="P3077" s="20" t="s">
        <v>68</v>
      </c>
      <c r="Q3077" s="20" t="s">
        <v>69</v>
      </c>
      <c r="R3077" s="20" t="s">
        <v>5476</v>
      </c>
      <c r="T3077" s="20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</row>
    <row r="3078">
      <c r="A3078" s="15" t="s">
        <v>10609</v>
      </c>
      <c r="B3078" s="19">
        <v>44383.43472222222</v>
      </c>
      <c r="C3078" s="20">
        <v>50020.0</v>
      </c>
      <c r="D3078" s="20" t="s">
        <v>3051</v>
      </c>
      <c r="E3078" s="5">
        <v>9.17676374459E11</v>
      </c>
      <c r="F3078" s="21">
        <v>19587.0</v>
      </c>
      <c r="G3078" s="20"/>
      <c r="H3078" s="20" t="s">
        <v>3008</v>
      </c>
      <c r="I3078" s="5"/>
      <c r="J3078" s="20">
        <v>1.0</v>
      </c>
      <c r="K3078" s="20">
        <v>99.0</v>
      </c>
      <c r="L3078" s="20"/>
      <c r="M3078" s="20">
        <v>99.0</v>
      </c>
      <c r="N3078" s="5" t="s">
        <v>67</v>
      </c>
      <c r="O3078" s="20" t="b">
        <v>0</v>
      </c>
      <c r="P3078" s="20" t="s">
        <v>68</v>
      </c>
      <c r="Q3078" s="20" t="s">
        <v>69</v>
      </c>
      <c r="R3078" s="20" t="s">
        <v>3010</v>
      </c>
      <c r="T3078" s="20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</row>
    <row r="3079">
      <c r="A3079" s="15" t="s">
        <v>10612</v>
      </c>
      <c r="B3079" s="19">
        <v>44383.47430555556</v>
      </c>
      <c r="C3079" s="20">
        <v>49907.0</v>
      </c>
      <c r="D3079" s="20" t="s">
        <v>3831</v>
      </c>
      <c r="E3079" s="5">
        <v>9.17013379771E11</v>
      </c>
      <c r="F3079" s="21">
        <v>19597.0</v>
      </c>
      <c r="G3079" s="20"/>
      <c r="H3079" s="20" t="s">
        <v>587</v>
      </c>
      <c r="I3079" s="5"/>
      <c r="J3079" s="20">
        <v>1.0</v>
      </c>
      <c r="K3079" s="20">
        <v>99.0</v>
      </c>
      <c r="L3079" s="20"/>
      <c r="M3079" s="20">
        <v>99.0</v>
      </c>
      <c r="N3079" s="5" t="s">
        <v>67</v>
      </c>
      <c r="O3079" s="20" t="b">
        <v>0</v>
      </c>
      <c r="P3079" s="20" t="s">
        <v>68</v>
      </c>
      <c r="Q3079" s="20" t="s">
        <v>69</v>
      </c>
      <c r="R3079" s="20" t="s">
        <v>3774</v>
      </c>
      <c r="T3079" s="20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</row>
    <row r="3080">
      <c r="A3080" s="15" t="s">
        <v>10610</v>
      </c>
      <c r="B3080" s="19">
        <v>44383.455555555556</v>
      </c>
      <c r="C3080" s="20">
        <v>49996.0</v>
      </c>
      <c r="D3080" s="20" t="s">
        <v>4845</v>
      </c>
      <c r="E3080" s="5">
        <v>9.19749075836E11</v>
      </c>
      <c r="F3080" s="22" t="s">
        <v>12593</v>
      </c>
      <c r="G3080" s="20"/>
      <c r="H3080" s="20" t="s">
        <v>4796</v>
      </c>
      <c r="I3080" s="5"/>
      <c r="J3080" s="20">
        <v>1.0</v>
      </c>
      <c r="K3080" s="20">
        <v>99.0</v>
      </c>
      <c r="L3080" s="20"/>
      <c r="M3080" s="20">
        <v>99.0</v>
      </c>
      <c r="N3080" s="5" t="s">
        <v>67</v>
      </c>
      <c r="O3080" s="20" t="b">
        <v>0</v>
      </c>
      <c r="P3080" s="20" t="s">
        <v>68</v>
      </c>
      <c r="Q3080" s="20" t="s">
        <v>69</v>
      </c>
      <c r="R3080" s="20" t="s">
        <v>4799</v>
      </c>
      <c r="T3080" s="20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</row>
    <row r="3081">
      <c r="A3081" s="15" t="s">
        <v>10611</v>
      </c>
      <c r="B3081" s="19">
        <v>44383.46041666667</v>
      </c>
      <c r="C3081" s="20">
        <v>50047.0</v>
      </c>
      <c r="D3081" s="20" t="s">
        <v>3267</v>
      </c>
      <c r="E3081" s="5">
        <v>9.19446339439E11</v>
      </c>
      <c r="F3081" s="21">
        <v>19591.0</v>
      </c>
      <c r="G3081" s="20"/>
      <c r="H3081" s="20" t="s">
        <v>3195</v>
      </c>
      <c r="I3081" s="5"/>
      <c r="J3081" s="20">
        <v>3.0</v>
      </c>
      <c r="K3081" s="20">
        <v>199.0</v>
      </c>
      <c r="L3081" s="20"/>
      <c r="M3081" s="20">
        <v>199.0</v>
      </c>
      <c r="N3081" s="5" t="s">
        <v>67</v>
      </c>
      <c r="O3081" s="20" t="b">
        <v>0</v>
      </c>
      <c r="P3081" s="20" t="s">
        <v>68</v>
      </c>
      <c r="Q3081" s="20" t="s">
        <v>69</v>
      </c>
      <c r="R3081" s="20" t="s">
        <v>3197</v>
      </c>
      <c r="T3081" s="20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</row>
    <row r="3082">
      <c r="A3082" s="15" t="s">
        <v>10614</v>
      </c>
      <c r="B3082" s="19">
        <v>44383.54375</v>
      </c>
      <c r="C3082" s="20">
        <v>50104.0</v>
      </c>
      <c r="D3082" s="20" t="s">
        <v>3715</v>
      </c>
      <c r="E3082" s="5">
        <v>9.19833262219E11</v>
      </c>
      <c r="F3082" s="21">
        <v>0.0</v>
      </c>
      <c r="G3082" s="20"/>
      <c r="H3082" s="20" t="s">
        <v>3708</v>
      </c>
      <c r="I3082" s="5"/>
      <c r="J3082" s="20">
        <v>1.0</v>
      </c>
      <c r="K3082" s="20">
        <v>99.0</v>
      </c>
      <c r="L3082" s="20"/>
      <c r="M3082" s="20">
        <v>99.0</v>
      </c>
      <c r="N3082" s="5" t="s">
        <v>67</v>
      </c>
      <c r="O3082" s="20" t="b">
        <v>0</v>
      </c>
      <c r="P3082" s="20" t="s">
        <v>68</v>
      </c>
      <c r="Q3082" s="20" t="s">
        <v>69</v>
      </c>
      <c r="R3082" s="20" t="s">
        <v>3716</v>
      </c>
      <c r="T3082" s="20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</row>
    <row r="3083">
      <c r="A3083" s="15" t="s">
        <v>10615</v>
      </c>
      <c r="B3083" s="19">
        <v>44383.48888888889</v>
      </c>
      <c r="C3083" s="20">
        <v>50065.0</v>
      </c>
      <c r="D3083" s="20" t="s">
        <v>2690</v>
      </c>
      <c r="E3083" s="5">
        <v>9.1987802386E11</v>
      </c>
      <c r="F3083" s="22" t="s">
        <v>12593</v>
      </c>
      <c r="G3083" s="20"/>
      <c r="H3083" s="20" t="s">
        <v>2601</v>
      </c>
      <c r="I3083" s="5"/>
      <c r="J3083" s="20">
        <v>6.0</v>
      </c>
      <c r="K3083" s="20">
        <v>349.0</v>
      </c>
      <c r="L3083" s="20"/>
      <c r="M3083" s="20">
        <v>349.0</v>
      </c>
      <c r="N3083" s="5" t="s">
        <v>67</v>
      </c>
      <c r="O3083" s="20" t="b">
        <v>0</v>
      </c>
      <c r="P3083" s="20" t="s">
        <v>68</v>
      </c>
      <c r="Q3083" s="20" t="s">
        <v>69</v>
      </c>
      <c r="R3083" s="20" t="s">
        <v>2604</v>
      </c>
      <c r="T3083" s="20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</row>
    <row r="3084">
      <c r="A3084" s="15" t="s">
        <v>10620</v>
      </c>
      <c r="B3084" s="19">
        <v>44383.495833333334</v>
      </c>
      <c r="C3084" s="20">
        <v>50054.0</v>
      </c>
      <c r="D3084" s="20" t="s">
        <v>5924</v>
      </c>
      <c r="E3084" s="5">
        <v>9.19849338076E11</v>
      </c>
      <c r="F3084" s="21">
        <v>19594.0</v>
      </c>
      <c r="G3084" s="20"/>
      <c r="H3084" s="20" t="s">
        <v>5822</v>
      </c>
      <c r="I3084" s="5"/>
      <c r="J3084" s="20">
        <v>1.0</v>
      </c>
      <c r="K3084" s="20">
        <v>99.0</v>
      </c>
      <c r="L3084" s="20"/>
      <c r="M3084" s="20">
        <v>99.0</v>
      </c>
      <c r="N3084" s="5" t="s">
        <v>67</v>
      </c>
      <c r="O3084" s="20" t="b">
        <v>0</v>
      </c>
      <c r="P3084" s="20" t="s">
        <v>151</v>
      </c>
      <c r="Q3084" s="20" t="s">
        <v>69</v>
      </c>
      <c r="R3084" s="20" t="s">
        <v>5921</v>
      </c>
      <c r="T3084" s="20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</row>
    <row r="3085">
      <c r="A3085" s="15" t="s">
        <v>10619</v>
      </c>
      <c r="B3085" s="19">
        <v>44383.489583333336</v>
      </c>
      <c r="C3085" s="20">
        <v>49996.0</v>
      </c>
      <c r="D3085" s="20" t="s">
        <v>4846</v>
      </c>
      <c r="E3085" s="5">
        <v>9.19989054224E11</v>
      </c>
      <c r="F3085" s="21">
        <v>19592.0</v>
      </c>
      <c r="G3085" s="20"/>
      <c r="H3085" s="20" t="s">
        <v>4796</v>
      </c>
      <c r="I3085" s="5"/>
      <c r="J3085" s="20">
        <v>1.0</v>
      </c>
      <c r="K3085" s="20">
        <v>99.0</v>
      </c>
      <c r="L3085" s="20"/>
      <c r="M3085" s="20">
        <v>99.0</v>
      </c>
      <c r="N3085" s="5" t="s">
        <v>67</v>
      </c>
      <c r="O3085" s="20" t="b">
        <v>0</v>
      </c>
      <c r="P3085" s="20" t="s">
        <v>68</v>
      </c>
      <c r="Q3085" s="20" t="s">
        <v>69</v>
      </c>
      <c r="R3085" s="20" t="s">
        <v>4799</v>
      </c>
      <c r="T3085" s="20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</row>
    <row r="3086">
      <c r="A3086" s="15" t="s">
        <v>10624</v>
      </c>
      <c r="B3086" s="19">
        <v>44383.51597222222</v>
      </c>
      <c r="C3086" s="20">
        <v>49994.0</v>
      </c>
      <c r="D3086" s="20" t="s">
        <v>6650</v>
      </c>
      <c r="E3086" s="5">
        <v>9.19133191931E11</v>
      </c>
      <c r="F3086" s="21">
        <v>19596.0</v>
      </c>
      <c r="G3086" s="20"/>
      <c r="H3086" s="20" t="s">
        <v>1264</v>
      </c>
      <c r="I3086" s="5"/>
      <c r="J3086" s="20">
        <v>1.0</v>
      </c>
      <c r="K3086" s="20">
        <v>99.0</v>
      </c>
      <c r="L3086" s="20"/>
      <c r="M3086" s="20">
        <v>99.0</v>
      </c>
      <c r="N3086" s="5" t="s">
        <v>67</v>
      </c>
      <c r="O3086" s="20" t="b">
        <v>0</v>
      </c>
      <c r="P3086" s="20" t="s">
        <v>68</v>
      </c>
      <c r="Q3086" s="20" t="s">
        <v>69</v>
      </c>
      <c r="R3086" s="20" t="s">
        <v>6615</v>
      </c>
      <c r="T3086" s="20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</row>
    <row r="3087">
      <c r="A3087" s="15" t="s">
        <v>10623</v>
      </c>
      <c r="B3087" s="19">
        <v>44383.50069444445</v>
      </c>
      <c r="C3087" s="20">
        <v>50023.0</v>
      </c>
      <c r="D3087" s="20" t="s">
        <v>5570</v>
      </c>
      <c r="E3087" s="5">
        <v>9.19515689149E11</v>
      </c>
      <c r="F3087" s="21">
        <v>19595.0</v>
      </c>
      <c r="G3087" s="20"/>
      <c r="H3087" s="20" t="s">
        <v>5508</v>
      </c>
      <c r="I3087" s="5"/>
      <c r="J3087" s="20">
        <v>1.0</v>
      </c>
      <c r="K3087" s="20">
        <v>99.0</v>
      </c>
      <c r="L3087" s="20"/>
      <c r="M3087" s="20">
        <v>99.0</v>
      </c>
      <c r="N3087" s="5" t="s">
        <v>67</v>
      </c>
      <c r="O3087" s="20" t="b">
        <v>0</v>
      </c>
      <c r="P3087" s="20" t="s">
        <v>68</v>
      </c>
      <c r="Q3087" s="20" t="s">
        <v>69</v>
      </c>
      <c r="R3087" s="20" t="s">
        <v>5510</v>
      </c>
      <c r="T3087" s="20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</row>
    <row r="3088">
      <c r="A3088" s="15" t="s">
        <v>10625</v>
      </c>
      <c r="B3088" s="19">
        <v>44383.51944444444</v>
      </c>
      <c r="C3088" s="20">
        <v>50039.0</v>
      </c>
      <c r="D3088" s="20" t="s">
        <v>3721</v>
      </c>
      <c r="E3088" s="5">
        <v>9.19920356552E11</v>
      </c>
      <c r="F3088" s="22" t="s">
        <v>12593</v>
      </c>
      <c r="G3088" s="20"/>
      <c r="H3088" s="20" t="s">
        <v>4341</v>
      </c>
      <c r="I3088" s="5"/>
      <c r="J3088" s="20">
        <v>1.0</v>
      </c>
      <c r="K3088" s="20">
        <v>99.0</v>
      </c>
      <c r="L3088" s="20"/>
      <c r="M3088" s="20">
        <v>99.0</v>
      </c>
      <c r="N3088" s="5" t="s">
        <v>67</v>
      </c>
      <c r="O3088" s="20" t="b">
        <v>0</v>
      </c>
      <c r="P3088" s="20" t="s">
        <v>68</v>
      </c>
      <c r="Q3088" s="20" t="s">
        <v>69</v>
      </c>
      <c r="R3088" s="20" t="s">
        <v>4343</v>
      </c>
      <c r="T3088" s="20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</row>
    <row r="3089">
      <c r="A3089" s="15" t="s">
        <v>10626</v>
      </c>
      <c r="B3089" s="19">
        <v>44383.60972222222</v>
      </c>
      <c r="C3089" s="20">
        <v>49833.0</v>
      </c>
      <c r="D3089" s="20" t="s">
        <v>4207</v>
      </c>
      <c r="E3089" s="5">
        <v>9.19351666758E11</v>
      </c>
      <c r="F3089" s="21">
        <v>5166.0</v>
      </c>
      <c r="G3089" s="20"/>
      <c r="H3089" s="20" t="s">
        <v>4030</v>
      </c>
      <c r="I3089" s="5"/>
      <c r="J3089" s="20">
        <v>6.0</v>
      </c>
      <c r="K3089" s="20">
        <v>349.0</v>
      </c>
      <c r="L3089" s="20"/>
      <c r="M3089" s="20">
        <v>349.0</v>
      </c>
      <c r="N3089" s="5" t="s">
        <v>67</v>
      </c>
      <c r="O3089" s="20" t="b">
        <v>0</v>
      </c>
      <c r="P3089" s="20" t="s">
        <v>68</v>
      </c>
      <c r="Q3089" s="20" t="s">
        <v>69</v>
      </c>
      <c r="R3089" s="20" t="s">
        <v>4202</v>
      </c>
      <c r="T3089" s="20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</row>
    <row r="3090">
      <c r="A3090" s="15" t="s">
        <v>10627</v>
      </c>
      <c r="B3090" s="19">
        <v>44383.52916666667</v>
      </c>
      <c r="C3090" s="20">
        <v>50047.0</v>
      </c>
      <c r="D3090" s="20" t="s">
        <v>3268</v>
      </c>
      <c r="E3090" s="5">
        <v>9.19315501711E11</v>
      </c>
      <c r="F3090" s="21">
        <v>19599.0</v>
      </c>
      <c r="G3090" s="20"/>
      <c r="H3090" s="20" t="s">
        <v>3195</v>
      </c>
      <c r="I3090" s="5"/>
      <c r="J3090" s="20">
        <v>3.0</v>
      </c>
      <c r="K3090" s="20">
        <v>199.0</v>
      </c>
      <c r="L3090" s="20"/>
      <c r="M3090" s="20">
        <v>199.0</v>
      </c>
      <c r="N3090" s="5" t="s">
        <v>67</v>
      </c>
      <c r="O3090" s="20" t="b">
        <v>0</v>
      </c>
      <c r="P3090" s="20" t="s">
        <v>68</v>
      </c>
      <c r="Q3090" s="20" t="s">
        <v>69</v>
      </c>
      <c r="R3090" s="20" t="s">
        <v>3197</v>
      </c>
      <c r="T3090" s="20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</row>
    <row r="3091">
      <c r="A3091" s="15" t="s">
        <v>10629</v>
      </c>
      <c r="B3091" s="19">
        <v>44383.5625</v>
      </c>
      <c r="C3091" s="20">
        <v>50041.0</v>
      </c>
      <c r="D3091" s="20" t="s">
        <v>2109</v>
      </c>
      <c r="E3091" s="5">
        <v>9.19833928818E11</v>
      </c>
      <c r="F3091" s="21">
        <v>17463.0</v>
      </c>
      <c r="G3091" s="20"/>
      <c r="H3091" s="20" t="s">
        <v>5956</v>
      </c>
      <c r="I3091" s="20" t="s">
        <v>5972</v>
      </c>
      <c r="J3091" s="20">
        <v>12.0</v>
      </c>
      <c r="K3091" s="20">
        <v>399.0</v>
      </c>
      <c r="L3091" s="20"/>
      <c r="M3091" s="20">
        <v>399.0</v>
      </c>
      <c r="N3091" s="5" t="s">
        <v>67</v>
      </c>
      <c r="O3091" s="20" t="b">
        <v>0</v>
      </c>
      <c r="P3091" s="20" t="s">
        <v>68</v>
      </c>
      <c r="Q3091" s="20" t="s">
        <v>69</v>
      </c>
      <c r="R3091" s="20" t="s">
        <v>5958</v>
      </c>
      <c r="T3091" s="20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</row>
    <row r="3092">
      <c r="A3092" s="15" t="s">
        <v>10630</v>
      </c>
      <c r="B3092" s="19">
        <v>44383.55486111111</v>
      </c>
      <c r="C3092" s="20">
        <v>49833.0</v>
      </c>
      <c r="D3092" s="20" t="s">
        <v>4206</v>
      </c>
      <c r="E3092" s="5">
        <v>9.18108401195E11</v>
      </c>
      <c r="F3092" s="21">
        <v>19600.0</v>
      </c>
      <c r="G3092" s="20"/>
      <c r="H3092" s="20" t="s">
        <v>4030</v>
      </c>
      <c r="I3092" s="5"/>
      <c r="J3092" s="20">
        <v>1.0</v>
      </c>
      <c r="K3092" s="20">
        <v>99.0</v>
      </c>
      <c r="L3092" s="20"/>
      <c r="M3092" s="20">
        <v>99.0</v>
      </c>
      <c r="N3092" s="5" t="s">
        <v>67</v>
      </c>
      <c r="O3092" s="20" t="b">
        <v>0</v>
      </c>
      <c r="P3092" s="20" t="s">
        <v>68</v>
      </c>
      <c r="Q3092" s="20" t="s">
        <v>69</v>
      </c>
      <c r="R3092" s="20" t="s">
        <v>4033</v>
      </c>
      <c r="T3092" s="20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</row>
    <row r="3093">
      <c r="A3093" s="15" t="s">
        <v>10632</v>
      </c>
      <c r="B3093" s="19">
        <v>44383.580555555556</v>
      </c>
      <c r="C3093" s="20">
        <v>49844.0</v>
      </c>
      <c r="D3093" s="20" t="s">
        <v>5482</v>
      </c>
      <c r="E3093" s="5">
        <v>9.19167095969E11</v>
      </c>
      <c r="F3093" s="21">
        <v>19638.0</v>
      </c>
      <c r="G3093" s="20"/>
      <c r="H3093" s="20" t="s">
        <v>885</v>
      </c>
      <c r="I3093" s="5"/>
      <c r="J3093" s="20">
        <v>1.0</v>
      </c>
      <c r="K3093" s="20">
        <v>99.0</v>
      </c>
      <c r="L3093" s="20"/>
      <c r="M3093" s="20">
        <v>99.0</v>
      </c>
      <c r="N3093" s="5" t="s">
        <v>67</v>
      </c>
      <c r="O3093" s="20" t="b">
        <v>0</v>
      </c>
      <c r="P3093" s="20" t="s">
        <v>68</v>
      </c>
      <c r="Q3093" s="20" t="s">
        <v>69</v>
      </c>
      <c r="R3093" s="20" t="s">
        <v>5476</v>
      </c>
      <c r="T3093" s="20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</row>
    <row r="3094">
      <c r="A3094" s="15" t="s">
        <v>10634</v>
      </c>
      <c r="B3094" s="19">
        <v>44383.60625</v>
      </c>
      <c r="C3094" s="20">
        <v>49997.0</v>
      </c>
      <c r="D3094" s="20" t="s">
        <v>2548</v>
      </c>
      <c r="E3094" s="5">
        <v>9.17642034091E11</v>
      </c>
      <c r="F3094" s="21">
        <v>19603.0</v>
      </c>
      <c r="G3094" s="20"/>
      <c r="H3094" s="20" t="s">
        <v>2455</v>
      </c>
      <c r="I3094" s="5"/>
      <c r="J3094" s="20">
        <v>3.0</v>
      </c>
      <c r="K3094" s="20">
        <v>199.0</v>
      </c>
      <c r="L3094" s="20"/>
      <c r="M3094" s="20">
        <v>199.0</v>
      </c>
      <c r="N3094" s="5" t="s">
        <v>67</v>
      </c>
      <c r="O3094" s="20" t="b">
        <v>0</v>
      </c>
      <c r="P3094" s="20" t="s">
        <v>68</v>
      </c>
      <c r="Q3094" s="20" t="s">
        <v>69</v>
      </c>
      <c r="R3094" s="20" t="s">
        <v>2457</v>
      </c>
      <c r="T3094" s="20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</row>
    <row r="3095">
      <c r="A3095" s="15" t="s">
        <v>10635</v>
      </c>
      <c r="B3095" s="19">
        <v>44383.60833333333</v>
      </c>
      <c r="C3095" s="20">
        <v>49907.0</v>
      </c>
      <c r="D3095" s="20" t="s">
        <v>3833</v>
      </c>
      <c r="E3095" s="5">
        <v>9.19390224229E11</v>
      </c>
      <c r="F3095" s="21">
        <v>19605.0</v>
      </c>
      <c r="G3095" s="20"/>
      <c r="H3095" s="20" t="s">
        <v>587</v>
      </c>
      <c r="I3095" s="5"/>
      <c r="J3095" s="20">
        <v>1.0</v>
      </c>
      <c r="K3095" s="20">
        <v>99.0</v>
      </c>
      <c r="L3095" s="20"/>
      <c r="M3095" s="20">
        <v>99.0</v>
      </c>
      <c r="N3095" s="5" t="s">
        <v>67</v>
      </c>
      <c r="O3095" s="20" t="b">
        <v>0</v>
      </c>
      <c r="P3095" s="20" t="s">
        <v>68</v>
      </c>
      <c r="Q3095" s="20" t="s">
        <v>69</v>
      </c>
      <c r="R3095" s="20" t="s">
        <v>3774</v>
      </c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</row>
    <row r="3096">
      <c r="A3096" s="15" t="s">
        <v>10639</v>
      </c>
      <c r="B3096" s="19">
        <v>44383.62013888889</v>
      </c>
      <c r="C3096" s="20">
        <v>49835.0</v>
      </c>
      <c r="D3096" s="20" t="s">
        <v>3931</v>
      </c>
      <c r="E3096" s="5">
        <v>9.19156558855E11</v>
      </c>
      <c r="F3096" s="21">
        <v>19604.0</v>
      </c>
      <c r="G3096" s="20"/>
      <c r="H3096" s="20" t="s">
        <v>680</v>
      </c>
      <c r="I3096" s="5"/>
      <c r="J3096" s="20">
        <v>1.0</v>
      </c>
      <c r="K3096" s="20">
        <v>99.0</v>
      </c>
      <c r="L3096" s="20"/>
      <c r="M3096" s="20">
        <v>99.0</v>
      </c>
      <c r="N3096" s="5" t="s">
        <v>67</v>
      </c>
      <c r="O3096" s="20" t="b">
        <v>0</v>
      </c>
      <c r="P3096" s="20" t="s">
        <v>68</v>
      </c>
      <c r="Q3096" s="20" t="s">
        <v>69</v>
      </c>
      <c r="R3096" s="20" t="s">
        <v>3888</v>
      </c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</row>
    <row r="3097">
      <c r="A3097" s="15" t="s">
        <v>10643</v>
      </c>
      <c r="B3097" s="19">
        <v>44383.6375</v>
      </c>
      <c r="C3097" s="20">
        <v>49859.0</v>
      </c>
      <c r="D3097" s="20" t="s">
        <v>4742</v>
      </c>
      <c r="E3097" s="5">
        <v>9.19131583694E11</v>
      </c>
      <c r="F3097" s="22" t="s">
        <v>12593</v>
      </c>
      <c r="G3097" s="20"/>
      <c r="H3097" s="20" t="s">
        <v>1133</v>
      </c>
      <c r="I3097" s="5"/>
      <c r="J3097" s="20">
        <v>1.0</v>
      </c>
      <c r="K3097" s="20">
        <v>99.0</v>
      </c>
      <c r="L3097" s="20"/>
      <c r="M3097" s="20">
        <v>99.0</v>
      </c>
      <c r="N3097" s="5" t="s">
        <v>67</v>
      </c>
      <c r="O3097" s="20" t="b">
        <v>0</v>
      </c>
      <c r="P3097" s="20" t="s">
        <v>68</v>
      </c>
      <c r="Q3097" s="20" t="s">
        <v>69</v>
      </c>
      <c r="R3097" s="20" t="s">
        <v>4736</v>
      </c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</row>
    <row r="3098">
      <c r="A3098" s="15" t="s">
        <v>10640</v>
      </c>
      <c r="B3098" s="19">
        <v>44383.620833333334</v>
      </c>
      <c r="C3098" s="20">
        <v>49833.0</v>
      </c>
      <c r="D3098" s="20" t="s">
        <v>4208</v>
      </c>
      <c r="E3098" s="5">
        <v>9.1788900938E11</v>
      </c>
      <c r="F3098" s="21">
        <v>19606.0</v>
      </c>
      <c r="G3098" s="20"/>
      <c r="H3098" s="20" t="s">
        <v>4030</v>
      </c>
      <c r="I3098" s="5"/>
      <c r="J3098" s="20">
        <v>6.0</v>
      </c>
      <c r="K3098" s="20">
        <v>349.0</v>
      </c>
      <c r="L3098" s="20"/>
      <c r="M3098" s="20">
        <v>349.0</v>
      </c>
      <c r="N3098" s="5" t="s">
        <v>67</v>
      </c>
      <c r="O3098" s="20" t="b">
        <v>0</v>
      </c>
      <c r="P3098" s="20" t="s">
        <v>68</v>
      </c>
      <c r="Q3098" s="20" t="s">
        <v>69</v>
      </c>
      <c r="R3098" s="20" t="s">
        <v>4033</v>
      </c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</row>
    <row r="3099">
      <c r="A3099" s="15" t="s">
        <v>10644</v>
      </c>
      <c r="B3099" s="19">
        <v>44383.64791666667</v>
      </c>
      <c r="C3099" s="20">
        <v>50052.0</v>
      </c>
      <c r="D3099" s="20" t="s">
        <v>4495</v>
      </c>
      <c r="E3099" s="5">
        <v>9.19394347179E11</v>
      </c>
      <c r="F3099" s="21">
        <v>19607.0</v>
      </c>
      <c r="G3099" s="20"/>
      <c r="H3099" s="20" t="s">
        <v>4433</v>
      </c>
      <c r="I3099" s="5"/>
      <c r="J3099" s="20">
        <v>1.0</v>
      </c>
      <c r="K3099" s="20">
        <v>99.0</v>
      </c>
      <c r="L3099" s="20"/>
      <c r="M3099" s="20">
        <v>99.0</v>
      </c>
      <c r="N3099" s="5" t="s">
        <v>67</v>
      </c>
      <c r="O3099" s="20" t="b">
        <v>0</v>
      </c>
      <c r="P3099" s="20" t="s">
        <v>68</v>
      </c>
      <c r="Q3099" s="20" t="s">
        <v>69</v>
      </c>
      <c r="R3099" s="20" t="s">
        <v>4435</v>
      </c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</row>
    <row r="3100">
      <c r="A3100" s="15" t="s">
        <v>10646</v>
      </c>
      <c r="B3100" s="19">
        <v>44383.675</v>
      </c>
      <c r="C3100" s="20">
        <v>49844.0</v>
      </c>
      <c r="D3100" s="20" t="s">
        <v>5483</v>
      </c>
      <c r="E3100" s="5">
        <v>9.18848602007E11</v>
      </c>
      <c r="F3100" s="21">
        <v>19610.0</v>
      </c>
      <c r="G3100" s="20"/>
      <c r="H3100" s="20" t="s">
        <v>885</v>
      </c>
      <c r="I3100" s="5"/>
      <c r="J3100" s="20">
        <v>1.0</v>
      </c>
      <c r="K3100" s="20">
        <v>99.0</v>
      </c>
      <c r="L3100" s="20"/>
      <c r="M3100" s="20">
        <v>99.0</v>
      </c>
      <c r="N3100" s="5" t="s">
        <v>67</v>
      </c>
      <c r="O3100" s="20" t="b">
        <v>0</v>
      </c>
      <c r="P3100" s="20" t="s">
        <v>68</v>
      </c>
      <c r="Q3100" s="20" t="s">
        <v>69</v>
      </c>
      <c r="R3100" s="20" t="s">
        <v>5476</v>
      </c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</row>
    <row r="3101">
      <c r="A3101" s="15" t="s">
        <v>10647</v>
      </c>
      <c r="B3101" s="19">
        <v>44383.67986111111</v>
      </c>
      <c r="C3101" s="20">
        <v>50023.0</v>
      </c>
      <c r="D3101" s="20" t="s">
        <v>5571</v>
      </c>
      <c r="E3101" s="5">
        <v>9.19603725406E11</v>
      </c>
      <c r="F3101" s="21">
        <v>19611.0</v>
      </c>
      <c r="G3101" s="20"/>
      <c r="H3101" s="20" t="s">
        <v>5508</v>
      </c>
      <c r="I3101" s="5"/>
      <c r="J3101" s="20">
        <v>1.0</v>
      </c>
      <c r="K3101" s="20">
        <v>99.0</v>
      </c>
      <c r="L3101" s="20"/>
      <c r="M3101" s="20">
        <v>99.0</v>
      </c>
      <c r="N3101" s="5" t="s">
        <v>67</v>
      </c>
      <c r="O3101" s="20" t="b">
        <v>0</v>
      </c>
      <c r="P3101" s="20" t="s">
        <v>68</v>
      </c>
      <c r="Q3101" s="20" t="s">
        <v>69</v>
      </c>
      <c r="R3101" s="20" t="s">
        <v>5510</v>
      </c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</row>
    <row r="3102">
      <c r="A3102" s="15" t="s">
        <v>10645</v>
      </c>
      <c r="B3102" s="19">
        <v>44383.66458333333</v>
      </c>
      <c r="C3102" s="20">
        <v>50104.0</v>
      </c>
      <c r="D3102" s="20" t="s">
        <v>3717</v>
      </c>
      <c r="E3102" s="5">
        <v>9.18374838168E11</v>
      </c>
      <c r="F3102" s="21">
        <v>19608.0</v>
      </c>
      <c r="G3102" s="20"/>
      <c r="H3102" s="20" t="s">
        <v>3708</v>
      </c>
      <c r="I3102" s="5"/>
      <c r="J3102" s="20">
        <v>1.0</v>
      </c>
      <c r="K3102" s="20">
        <v>99.0</v>
      </c>
      <c r="L3102" s="20"/>
      <c r="M3102" s="20">
        <v>99.0</v>
      </c>
      <c r="N3102" s="5" t="s">
        <v>67</v>
      </c>
      <c r="O3102" s="20" t="b">
        <v>0</v>
      </c>
      <c r="P3102" s="20" t="s">
        <v>68</v>
      </c>
      <c r="Q3102" s="20" t="s">
        <v>69</v>
      </c>
      <c r="R3102" s="20" t="s">
        <v>3710</v>
      </c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</row>
    <row r="3103">
      <c r="A3103" s="15" t="s">
        <v>10648</v>
      </c>
      <c r="B3103" s="19">
        <v>44383.69375</v>
      </c>
      <c r="C3103" s="20">
        <v>50023.0</v>
      </c>
      <c r="D3103" s="20" t="s">
        <v>5572</v>
      </c>
      <c r="E3103" s="5">
        <v>9.19718236313E11</v>
      </c>
      <c r="F3103" s="21">
        <v>0.0</v>
      </c>
      <c r="G3103" s="20"/>
      <c r="H3103" s="20" t="s">
        <v>5508</v>
      </c>
      <c r="I3103" s="5"/>
      <c r="J3103" s="20">
        <v>1.0</v>
      </c>
      <c r="K3103" s="20">
        <v>99.0</v>
      </c>
      <c r="L3103" s="20"/>
      <c r="M3103" s="20">
        <v>99.0</v>
      </c>
      <c r="N3103" s="5" t="s">
        <v>67</v>
      </c>
      <c r="O3103" s="20" t="b">
        <v>0</v>
      </c>
      <c r="P3103" s="20" t="s">
        <v>68</v>
      </c>
      <c r="Q3103" s="20" t="s">
        <v>69</v>
      </c>
      <c r="R3103" s="20" t="s">
        <v>5510</v>
      </c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</row>
    <row r="3104">
      <c r="A3104" s="15" t="s">
        <v>10649</v>
      </c>
      <c r="B3104" s="19">
        <v>44383.697222222225</v>
      </c>
      <c r="C3104" s="20">
        <v>50104.0</v>
      </c>
      <c r="D3104" s="20" t="s">
        <v>3718</v>
      </c>
      <c r="E3104" s="5">
        <v>9.19008718406E11</v>
      </c>
      <c r="F3104" s="21">
        <v>19614.0</v>
      </c>
      <c r="G3104" s="20"/>
      <c r="H3104" s="20" t="s">
        <v>3708</v>
      </c>
      <c r="I3104" s="5"/>
      <c r="J3104" s="20">
        <v>1.0</v>
      </c>
      <c r="K3104" s="20">
        <v>99.0</v>
      </c>
      <c r="L3104" s="20"/>
      <c r="M3104" s="20">
        <v>99.0</v>
      </c>
      <c r="N3104" s="5" t="s">
        <v>67</v>
      </c>
      <c r="O3104" s="20" t="b">
        <v>0</v>
      </c>
      <c r="P3104" s="20" t="s">
        <v>74</v>
      </c>
      <c r="Q3104" s="20" t="s">
        <v>69</v>
      </c>
      <c r="R3104" s="20" t="s">
        <v>3710</v>
      </c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</row>
    <row r="3105">
      <c r="A3105" s="15" t="s">
        <v>10650</v>
      </c>
      <c r="B3105" s="19">
        <v>44383.69930555556</v>
      </c>
      <c r="C3105" s="20">
        <v>49835.0</v>
      </c>
      <c r="D3105" s="20" t="s">
        <v>3932</v>
      </c>
      <c r="E3105" s="5">
        <v>6.39089398155E11</v>
      </c>
      <c r="F3105" s="21">
        <v>19613.0</v>
      </c>
      <c r="G3105" s="20"/>
      <c r="H3105" s="20" t="s">
        <v>680</v>
      </c>
      <c r="I3105" s="5"/>
      <c r="J3105" s="20">
        <v>1.0</v>
      </c>
      <c r="K3105" s="20">
        <v>99.0</v>
      </c>
      <c r="L3105" s="20"/>
      <c r="M3105" s="20">
        <v>99.0</v>
      </c>
      <c r="N3105" s="5" t="s">
        <v>67</v>
      </c>
      <c r="O3105" s="20" t="b">
        <v>0</v>
      </c>
      <c r="P3105" s="20" t="s">
        <v>68</v>
      </c>
      <c r="Q3105" s="20" t="s">
        <v>69</v>
      </c>
      <c r="R3105" s="20" t="s">
        <v>3888</v>
      </c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</row>
    <row r="3106">
      <c r="A3106" s="15" t="s">
        <v>10652</v>
      </c>
      <c r="B3106" s="19">
        <v>44383.71805555555</v>
      </c>
      <c r="C3106" s="20">
        <v>50073.0</v>
      </c>
      <c r="D3106" s="20" t="s">
        <v>6565</v>
      </c>
      <c r="E3106" s="5">
        <v>9.17209943488E11</v>
      </c>
      <c r="F3106" s="21">
        <v>17740.0</v>
      </c>
      <c r="G3106" s="20"/>
      <c r="H3106" s="20" t="s">
        <v>2161</v>
      </c>
      <c r="I3106" s="5"/>
      <c r="J3106" s="20">
        <v>3.0</v>
      </c>
      <c r="K3106" s="20">
        <v>1499.0</v>
      </c>
      <c r="L3106" s="20"/>
      <c r="M3106" s="20">
        <v>1499.0</v>
      </c>
      <c r="N3106" s="5" t="s">
        <v>67</v>
      </c>
      <c r="O3106" s="20" t="b">
        <v>0</v>
      </c>
      <c r="P3106" s="20" t="s">
        <v>74</v>
      </c>
      <c r="Q3106" s="20" t="s">
        <v>69</v>
      </c>
      <c r="R3106" s="20" t="s">
        <v>6561</v>
      </c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</row>
    <row r="3107">
      <c r="A3107" s="15" t="s">
        <v>10651</v>
      </c>
      <c r="B3107" s="19">
        <v>44383.70138888889</v>
      </c>
      <c r="C3107" s="20">
        <v>50073.0</v>
      </c>
      <c r="D3107" s="20" t="s">
        <v>6564</v>
      </c>
      <c r="E3107" s="5">
        <v>9.19934935983E11</v>
      </c>
      <c r="F3107" s="21">
        <v>17508.0</v>
      </c>
      <c r="G3107" s="20"/>
      <c r="H3107" s="20" t="s">
        <v>2161</v>
      </c>
      <c r="I3107" s="5"/>
      <c r="J3107" s="20">
        <v>3.0</v>
      </c>
      <c r="K3107" s="20">
        <v>1499.0</v>
      </c>
      <c r="L3107" s="20"/>
      <c r="M3107" s="20">
        <v>1499.0</v>
      </c>
      <c r="N3107" s="5" t="s">
        <v>67</v>
      </c>
      <c r="O3107" s="20" t="b">
        <v>0</v>
      </c>
      <c r="P3107" s="20" t="s">
        <v>74</v>
      </c>
      <c r="Q3107" s="20" t="s">
        <v>69</v>
      </c>
      <c r="R3107" s="20" t="s">
        <v>6561</v>
      </c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</row>
    <row r="3108">
      <c r="A3108" s="15" t="s">
        <v>10653</v>
      </c>
      <c r="B3108" s="19">
        <v>44383.75</v>
      </c>
      <c r="C3108" s="20">
        <v>49996.0</v>
      </c>
      <c r="D3108" s="20" t="s">
        <v>4847</v>
      </c>
      <c r="E3108" s="5">
        <v>9.18667627957E11</v>
      </c>
      <c r="F3108" s="21">
        <v>19622.0</v>
      </c>
      <c r="G3108" s="20"/>
      <c r="H3108" s="20" t="s">
        <v>4796</v>
      </c>
      <c r="I3108" s="5"/>
      <c r="J3108" s="20">
        <v>1.0</v>
      </c>
      <c r="K3108" s="20">
        <v>99.0</v>
      </c>
      <c r="L3108" s="20"/>
      <c r="M3108" s="20">
        <v>99.0</v>
      </c>
      <c r="N3108" s="5" t="s">
        <v>67</v>
      </c>
      <c r="O3108" s="20" t="b">
        <v>0</v>
      </c>
      <c r="P3108" s="20" t="s">
        <v>68</v>
      </c>
      <c r="Q3108" s="20" t="s">
        <v>69</v>
      </c>
      <c r="R3108" s="20" t="s">
        <v>4799</v>
      </c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</row>
    <row r="3109">
      <c r="A3109" s="15" t="s">
        <v>10654</v>
      </c>
      <c r="B3109" s="19">
        <v>44383.75069444445</v>
      </c>
      <c r="C3109" s="20">
        <v>50104.0</v>
      </c>
      <c r="D3109" s="20" t="s">
        <v>3719</v>
      </c>
      <c r="E3109" s="5">
        <v>9.19525236334E11</v>
      </c>
      <c r="F3109" s="21">
        <v>19620.0</v>
      </c>
      <c r="G3109" s="20"/>
      <c r="H3109" s="20" t="s">
        <v>3708</v>
      </c>
      <c r="I3109" s="5"/>
      <c r="J3109" s="20">
        <v>6.0</v>
      </c>
      <c r="K3109" s="20">
        <v>349.0</v>
      </c>
      <c r="L3109" s="20"/>
      <c r="M3109" s="20">
        <v>349.0</v>
      </c>
      <c r="N3109" s="5" t="s">
        <v>67</v>
      </c>
      <c r="O3109" s="20" t="b">
        <v>0</v>
      </c>
      <c r="P3109" s="20" t="s">
        <v>68</v>
      </c>
      <c r="Q3109" s="20" t="s">
        <v>69</v>
      </c>
      <c r="R3109" s="20" t="s">
        <v>3710</v>
      </c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</row>
    <row r="3110">
      <c r="A3110" s="15" t="s">
        <v>10817</v>
      </c>
      <c r="B3110" s="19">
        <v>44414.84097222222</v>
      </c>
      <c r="C3110" s="20">
        <v>50054.0</v>
      </c>
      <c r="D3110" s="20" t="s">
        <v>5929</v>
      </c>
      <c r="E3110" s="5">
        <v>9.19414328532E11</v>
      </c>
      <c r="F3110" s="21">
        <v>19698.0</v>
      </c>
      <c r="G3110" s="20"/>
      <c r="H3110" s="20" t="s">
        <v>5822</v>
      </c>
      <c r="I3110" s="5"/>
      <c r="J3110" s="20">
        <v>1.0</v>
      </c>
      <c r="K3110" s="20">
        <v>99.0</v>
      </c>
      <c r="L3110" s="20"/>
      <c r="M3110" s="20">
        <v>99.0</v>
      </c>
      <c r="N3110" s="5" t="s">
        <v>67</v>
      </c>
      <c r="O3110" s="20" t="b">
        <v>0</v>
      </c>
      <c r="P3110" s="20" t="s">
        <v>151</v>
      </c>
      <c r="Q3110" s="20" t="s">
        <v>69</v>
      </c>
      <c r="R3110" s="20" t="s">
        <v>5921</v>
      </c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</row>
    <row r="3111">
      <c r="A3111" s="15" t="s">
        <v>10657</v>
      </c>
      <c r="B3111" s="19">
        <v>44383.78611111111</v>
      </c>
      <c r="C3111" s="20">
        <v>50022.0</v>
      </c>
      <c r="D3111" s="20" t="s">
        <v>5287</v>
      </c>
      <c r="E3111" s="5">
        <v>9.18861347671E11</v>
      </c>
      <c r="F3111" s="21">
        <v>19616.0</v>
      </c>
      <c r="G3111" s="20"/>
      <c r="H3111" s="20" t="s">
        <v>5181</v>
      </c>
      <c r="I3111" s="5"/>
      <c r="J3111" s="20">
        <v>1.0</v>
      </c>
      <c r="K3111" s="20">
        <v>99.0</v>
      </c>
      <c r="L3111" s="20"/>
      <c r="M3111" s="20">
        <v>99.0</v>
      </c>
      <c r="N3111" s="5" t="s">
        <v>67</v>
      </c>
      <c r="O3111" s="20" t="b">
        <v>0</v>
      </c>
      <c r="P3111" s="20" t="s">
        <v>68</v>
      </c>
      <c r="Q3111" s="20" t="s">
        <v>69</v>
      </c>
      <c r="R3111" s="20" t="s">
        <v>5183</v>
      </c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</row>
    <row r="3112">
      <c r="A3112" s="15" t="s">
        <v>10818</v>
      </c>
      <c r="B3112" s="19">
        <v>44414.79375</v>
      </c>
      <c r="C3112" s="20">
        <v>50065.0</v>
      </c>
      <c r="D3112" s="20" t="s">
        <v>2693</v>
      </c>
      <c r="E3112" s="5">
        <v>9.19632832897E11</v>
      </c>
      <c r="F3112" s="21">
        <v>19691.0</v>
      </c>
      <c r="G3112" s="20"/>
      <c r="H3112" s="20" t="s">
        <v>2601</v>
      </c>
      <c r="I3112" s="5"/>
      <c r="J3112" s="20">
        <v>6.0</v>
      </c>
      <c r="K3112" s="20">
        <v>349.0</v>
      </c>
      <c r="L3112" s="20"/>
      <c r="M3112" s="20">
        <v>349.0</v>
      </c>
      <c r="N3112" s="5" t="s">
        <v>67</v>
      </c>
      <c r="O3112" s="20" t="b">
        <v>0</v>
      </c>
      <c r="P3112" s="20" t="s">
        <v>68</v>
      </c>
      <c r="Q3112" s="20" t="s">
        <v>69</v>
      </c>
      <c r="R3112" s="20" t="s">
        <v>2604</v>
      </c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</row>
    <row r="3113">
      <c r="A3113" s="15" t="s">
        <v>10662</v>
      </c>
      <c r="B3113" s="19">
        <v>44383.78611111111</v>
      </c>
      <c r="C3113" s="20">
        <v>49813.0</v>
      </c>
      <c r="D3113" s="20" t="s">
        <v>5166</v>
      </c>
      <c r="E3113" s="5">
        <v>9.1965451071E11</v>
      </c>
      <c r="F3113" s="21">
        <v>14912.0</v>
      </c>
      <c r="G3113" s="20"/>
      <c r="H3113" s="20" t="s">
        <v>5114</v>
      </c>
      <c r="I3113" s="5"/>
      <c r="J3113" s="20">
        <v>1.0</v>
      </c>
      <c r="K3113" s="20">
        <v>299.0</v>
      </c>
      <c r="L3113" s="20"/>
      <c r="M3113" s="20">
        <v>299.0</v>
      </c>
      <c r="N3113" s="5" t="s">
        <v>67</v>
      </c>
      <c r="O3113" s="20" t="b">
        <v>0</v>
      </c>
      <c r="P3113" s="20" t="s">
        <v>68</v>
      </c>
      <c r="Q3113" s="20" t="s">
        <v>69</v>
      </c>
      <c r="R3113" s="20" t="s">
        <v>5116</v>
      </c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</row>
    <row r="3114">
      <c r="A3114" s="15" t="s">
        <v>10820</v>
      </c>
      <c r="B3114" s="19">
        <v>44414.822916666664</v>
      </c>
      <c r="C3114" s="20">
        <v>50030.0</v>
      </c>
      <c r="D3114" s="20" t="s">
        <v>3495</v>
      </c>
      <c r="E3114" s="5">
        <v>9.19818435102E11</v>
      </c>
      <c r="F3114" s="21">
        <v>19693.0</v>
      </c>
      <c r="G3114" s="20"/>
      <c r="H3114" s="20" t="s">
        <v>3326</v>
      </c>
      <c r="I3114" s="5"/>
      <c r="J3114" s="20">
        <v>6.0</v>
      </c>
      <c r="K3114" s="20">
        <v>349.0</v>
      </c>
      <c r="L3114" s="20"/>
      <c r="M3114" s="20">
        <v>349.0</v>
      </c>
      <c r="N3114" s="5" t="s">
        <v>67</v>
      </c>
      <c r="O3114" s="20" t="b">
        <v>0</v>
      </c>
      <c r="P3114" s="20" t="s">
        <v>68</v>
      </c>
      <c r="Q3114" s="20" t="s">
        <v>69</v>
      </c>
      <c r="R3114" s="20" t="s">
        <v>3328</v>
      </c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</row>
    <row r="3115">
      <c r="A3115" s="15" t="s">
        <v>10664</v>
      </c>
      <c r="B3115" s="19">
        <v>44383.78611111111</v>
      </c>
      <c r="C3115" s="20">
        <v>49833.0</v>
      </c>
      <c r="D3115" s="20" t="s">
        <v>4209</v>
      </c>
      <c r="E3115" s="5">
        <v>9.18851253061E11</v>
      </c>
      <c r="F3115" s="21">
        <v>5307.0</v>
      </c>
      <c r="G3115" s="20"/>
      <c r="H3115" s="20" t="s">
        <v>4030</v>
      </c>
      <c r="I3115" s="5"/>
      <c r="J3115" s="20">
        <v>1.0</v>
      </c>
      <c r="K3115" s="20">
        <v>99.0</v>
      </c>
      <c r="L3115" s="20"/>
      <c r="M3115" s="20">
        <v>99.0</v>
      </c>
      <c r="N3115" s="5" t="s">
        <v>67</v>
      </c>
      <c r="O3115" s="20" t="b">
        <v>0</v>
      </c>
      <c r="P3115" s="20" t="s">
        <v>74</v>
      </c>
      <c r="Q3115" s="20" t="s">
        <v>69</v>
      </c>
      <c r="R3115" s="20" t="s">
        <v>4033</v>
      </c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</row>
    <row r="3116">
      <c r="A3116" s="15" t="s">
        <v>10824</v>
      </c>
      <c r="B3116" s="19" t="s">
        <v>3873</v>
      </c>
      <c r="C3116" s="20">
        <v>49907.0</v>
      </c>
      <c r="D3116" s="20" t="s">
        <v>3872</v>
      </c>
      <c r="E3116" s="5">
        <v>9.17007956134E11</v>
      </c>
      <c r="F3116" s="21">
        <v>20319.0</v>
      </c>
      <c r="G3116" s="20"/>
      <c r="H3116" s="20" t="s">
        <v>587</v>
      </c>
      <c r="I3116" s="5"/>
      <c r="J3116" s="20">
        <v>1.0</v>
      </c>
      <c r="K3116" s="20">
        <v>99.0</v>
      </c>
      <c r="L3116" s="20"/>
      <c r="M3116" s="20">
        <v>99.0</v>
      </c>
      <c r="N3116" s="5" t="s">
        <v>67</v>
      </c>
      <c r="O3116" s="20" t="b">
        <v>0</v>
      </c>
      <c r="P3116" s="20" t="s">
        <v>68</v>
      </c>
      <c r="Q3116" s="20" t="s">
        <v>69</v>
      </c>
      <c r="R3116" s="20" t="s">
        <v>3774</v>
      </c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</row>
    <row r="3117">
      <c r="A3117" s="15" t="s">
        <v>10665</v>
      </c>
      <c r="B3117" s="19">
        <v>44383.78611111111</v>
      </c>
      <c r="C3117" s="20">
        <v>50054.0</v>
      </c>
      <c r="D3117" s="20" t="s">
        <v>5925</v>
      </c>
      <c r="E3117" s="5">
        <v>9.18722390555E11</v>
      </c>
      <c r="F3117" s="21">
        <v>19621.0</v>
      </c>
      <c r="G3117" s="20"/>
      <c r="H3117" s="20" t="s">
        <v>5822</v>
      </c>
      <c r="I3117" s="5"/>
      <c r="J3117" s="20">
        <v>1.0</v>
      </c>
      <c r="K3117" s="20">
        <v>99.0</v>
      </c>
      <c r="L3117" s="20"/>
      <c r="M3117" s="20">
        <v>99.0</v>
      </c>
      <c r="N3117" s="5" t="s">
        <v>67</v>
      </c>
      <c r="O3117" s="20" t="b">
        <v>0</v>
      </c>
      <c r="P3117" s="20" t="s">
        <v>97</v>
      </c>
      <c r="Q3117" s="20" t="s">
        <v>69</v>
      </c>
      <c r="R3117" s="20" t="s">
        <v>5921</v>
      </c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</row>
    <row r="3118">
      <c r="A3118" s="15" t="s">
        <v>10671</v>
      </c>
      <c r="B3118" s="19">
        <v>44383.80486111111</v>
      </c>
      <c r="C3118" s="20">
        <v>49844.0</v>
      </c>
      <c r="D3118" s="20" t="s">
        <v>5484</v>
      </c>
      <c r="E3118" s="5">
        <v>9.17349483853E11</v>
      </c>
      <c r="F3118" s="21">
        <v>19704.0</v>
      </c>
      <c r="G3118" s="20"/>
      <c r="H3118" s="20" t="s">
        <v>885</v>
      </c>
      <c r="I3118" s="5"/>
      <c r="J3118" s="20">
        <v>1.0</v>
      </c>
      <c r="K3118" s="20">
        <v>99.0</v>
      </c>
      <c r="L3118" s="20"/>
      <c r="M3118" s="20">
        <v>99.0</v>
      </c>
      <c r="N3118" s="5" t="s">
        <v>67</v>
      </c>
      <c r="O3118" s="20" t="b">
        <v>0</v>
      </c>
      <c r="P3118" s="20" t="s">
        <v>68</v>
      </c>
      <c r="Q3118" s="20" t="s">
        <v>69</v>
      </c>
      <c r="R3118" s="20" t="s">
        <v>5476</v>
      </c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</row>
    <row r="3119">
      <c r="A3119" s="15" t="s">
        <v>10672</v>
      </c>
      <c r="B3119" s="19">
        <v>44383.80972222222</v>
      </c>
      <c r="C3119" s="20">
        <v>50023.0</v>
      </c>
      <c r="D3119" s="20" t="s">
        <v>5573</v>
      </c>
      <c r="E3119" s="5">
        <v>9.1703722896E11</v>
      </c>
      <c r="F3119" s="21">
        <v>19623.0</v>
      </c>
      <c r="G3119" s="20"/>
      <c r="H3119" s="20" t="s">
        <v>5508</v>
      </c>
      <c r="I3119" s="5"/>
      <c r="J3119" s="20">
        <v>1.0</v>
      </c>
      <c r="K3119" s="20">
        <v>99.0</v>
      </c>
      <c r="L3119" s="20"/>
      <c r="M3119" s="20">
        <v>99.0</v>
      </c>
      <c r="N3119" s="5" t="s">
        <v>67</v>
      </c>
      <c r="O3119" s="20" t="b">
        <v>0</v>
      </c>
      <c r="P3119" s="20" t="s">
        <v>68</v>
      </c>
      <c r="Q3119" s="20" t="s">
        <v>69</v>
      </c>
      <c r="R3119" s="20" t="s">
        <v>5510</v>
      </c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</row>
    <row r="3120">
      <c r="A3120" s="15" t="s">
        <v>10673</v>
      </c>
      <c r="B3120" s="19">
        <v>44445.46527777778</v>
      </c>
      <c r="C3120" s="20">
        <v>49833.0</v>
      </c>
      <c r="D3120" s="20" t="s">
        <v>4218</v>
      </c>
      <c r="E3120" s="5">
        <v>9.19446697854E11</v>
      </c>
      <c r="F3120" s="21">
        <v>19722.0</v>
      </c>
      <c r="G3120" s="20"/>
      <c r="H3120" s="20" t="s">
        <v>4030</v>
      </c>
      <c r="I3120" s="5"/>
      <c r="J3120" s="20">
        <v>1.0</v>
      </c>
      <c r="K3120" s="20">
        <v>99.0</v>
      </c>
      <c r="L3120" s="20"/>
      <c r="M3120" s="20">
        <v>99.0</v>
      </c>
      <c r="N3120" s="5" t="s">
        <v>67</v>
      </c>
      <c r="O3120" s="20" t="b">
        <v>0</v>
      </c>
      <c r="P3120" s="20" t="s">
        <v>68</v>
      </c>
      <c r="Q3120" s="20" t="s">
        <v>69</v>
      </c>
      <c r="R3120" s="20" t="s">
        <v>4033</v>
      </c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</row>
    <row r="3121">
      <c r="A3121" s="15" t="s">
        <v>10676</v>
      </c>
      <c r="B3121" s="19">
        <v>44383.83888888889</v>
      </c>
      <c r="C3121" s="20">
        <v>50086.0</v>
      </c>
      <c r="D3121" s="20" t="s">
        <v>3995</v>
      </c>
      <c r="E3121" s="5">
        <v>9.18007939553E11</v>
      </c>
      <c r="F3121" s="21">
        <v>19630.0</v>
      </c>
      <c r="G3121" s="20"/>
      <c r="H3121" s="20" t="s">
        <v>3986</v>
      </c>
      <c r="I3121" s="5"/>
      <c r="J3121" s="20">
        <v>1.0</v>
      </c>
      <c r="K3121" s="20">
        <v>249.0</v>
      </c>
      <c r="L3121" s="20"/>
      <c r="M3121" s="20">
        <v>249.0</v>
      </c>
      <c r="N3121" s="5" t="s">
        <v>67</v>
      </c>
      <c r="O3121" s="20" t="b">
        <v>0</v>
      </c>
      <c r="P3121" s="20" t="s">
        <v>68</v>
      </c>
      <c r="Q3121" s="20" t="s">
        <v>69</v>
      </c>
      <c r="R3121" s="20" t="s">
        <v>3988</v>
      </c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</row>
    <row r="3122">
      <c r="A3122" s="15" t="s">
        <v>10679</v>
      </c>
      <c r="B3122" s="19">
        <v>44383.84375</v>
      </c>
      <c r="C3122" s="20">
        <v>50020.0</v>
      </c>
      <c r="D3122" s="20" t="s">
        <v>3052</v>
      </c>
      <c r="E3122" s="5">
        <v>9.19686668283E11</v>
      </c>
      <c r="F3122" s="21">
        <v>19624.0</v>
      </c>
      <c r="G3122" s="20"/>
      <c r="H3122" s="20" t="s">
        <v>3008</v>
      </c>
      <c r="I3122" s="5"/>
      <c r="J3122" s="20">
        <v>3.0</v>
      </c>
      <c r="K3122" s="20">
        <v>199.0</v>
      </c>
      <c r="L3122" s="20"/>
      <c r="M3122" s="20">
        <v>199.0</v>
      </c>
      <c r="N3122" s="5" t="s">
        <v>67</v>
      </c>
      <c r="O3122" s="20" t="b">
        <v>0</v>
      </c>
      <c r="P3122" s="20" t="s">
        <v>68</v>
      </c>
      <c r="Q3122" s="20" t="s">
        <v>69</v>
      </c>
      <c r="R3122" s="20" t="s">
        <v>3010</v>
      </c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</row>
    <row r="3123">
      <c r="A3123" s="15" t="s">
        <v>10831</v>
      </c>
      <c r="B3123" s="19">
        <v>44445.444444444445</v>
      </c>
      <c r="C3123" s="20">
        <v>49991.0</v>
      </c>
      <c r="D3123" s="20" t="s">
        <v>3153</v>
      </c>
      <c r="E3123" s="5">
        <v>9.19182259556E11</v>
      </c>
      <c r="F3123" s="21">
        <v>19718.0</v>
      </c>
      <c r="G3123" s="20"/>
      <c r="H3123" s="20" t="s">
        <v>3055</v>
      </c>
      <c r="I3123" s="5"/>
      <c r="J3123" s="20">
        <v>1.0</v>
      </c>
      <c r="K3123" s="20">
        <v>99.0</v>
      </c>
      <c r="L3123" s="20"/>
      <c r="M3123" s="20">
        <v>99.0</v>
      </c>
      <c r="N3123" s="5" t="s">
        <v>67</v>
      </c>
      <c r="O3123" s="20" t="b">
        <v>0</v>
      </c>
      <c r="P3123" s="20" t="s">
        <v>68</v>
      </c>
      <c r="Q3123" s="20" t="s">
        <v>69</v>
      </c>
      <c r="R3123" s="20" t="s">
        <v>3057</v>
      </c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</row>
    <row r="3124">
      <c r="A3124" s="14" t="s">
        <v>11766</v>
      </c>
      <c r="B3124" s="19" t="s">
        <v>3626</v>
      </c>
      <c r="C3124" s="20">
        <v>50136.0</v>
      </c>
      <c r="D3124" s="20" t="s">
        <v>3625</v>
      </c>
      <c r="E3124" s="5">
        <v>9.19930432551E11</v>
      </c>
      <c r="F3124" s="21">
        <v>19625.0</v>
      </c>
      <c r="G3124" s="20"/>
      <c r="H3124" s="20" t="s">
        <v>3618</v>
      </c>
      <c r="I3124" s="5"/>
      <c r="J3124" s="20">
        <v>6.0</v>
      </c>
      <c r="K3124" s="20">
        <v>349.0</v>
      </c>
      <c r="L3124" s="20"/>
      <c r="M3124" s="20">
        <v>349.0</v>
      </c>
      <c r="N3124" s="5" t="s">
        <v>67</v>
      </c>
      <c r="O3124" s="20" t="b">
        <v>0</v>
      </c>
      <c r="P3124" s="20" t="s">
        <v>68</v>
      </c>
      <c r="Q3124" s="20" t="s">
        <v>69</v>
      </c>
      <c r="R3124" s="20" t="s">
        <v>3624</v>
      </c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</row>
    <row r="3125">
      <c r="A3125" s="14" t="s">
        <v>10680</v>
      </c>
      <c r="B3125" s="19">
        <v>44383.85</v>
      </c>
      <c r="C3125" s="20">
        <v>49907.0</v>
      </c>
      <c r="D3125" s="20" t="s">
        <v>3625</v>
      </c>
      <c r="E3125" s="5">
        <v>9.19930432551E11</v>
      </c>
      <c r="F3125" s="21">
        <v>19625.0</v>
      </c>
      <c r="G3125" s="20"/>
      <c r="H3125" s="20" t="s">
        <v>587</v>
      </c>
      <c r="I3125" s="5"/>
      <c r="J3125" s="20">
        <v>6.0</v>
      </c>
      <c r="K3125" s="20">
        <v>349.0</v>
      </c>
      <c r="L3125" s="20"/>
      <c r="M3125" s="20">
        <v>349.0</v>
      </c>
      <c r="N3125" s="5" t="s">
        <v>67</v>
      </c>
      <c r="O3125" s="20" t="b">
        <v>0</v>
      </c>
      <c r="P3125" s="20" t="s">
        <v>68</v>
      </c>
      <c r="Q3125" s="20" t="s">
        <v>69</v>
      </c>
      <c r="R3125" s="20" t="s">
        <v>3774</v>
      </c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</row>
    <row r="3126">
      <c r="A3126" s="14" t="s">
        <v>11569</v>
      </c>
      <c r="B3126" s="19" t="s">
        <v>3946</v>
      </c>
      <c r="C3126" s="20">
        <v>49835.0</v>
      </c>
      <c r="D3126" s="20" t="s">
        <v>3625</v>
      </c>
      <c r="E3126" s="5">
        <v>9.19930432551E11</v>
      </c>
      <c r="F3126" s="21">
        <v>19625.0</v>
      </c>
      <c r="G3126" s="20"/>
      <c r="H3126" s="20" t="s">
        <v>680</v>
      </c>
      <c r="I3126" s="5"/>
      <c r="J3126" s="20">
        <v>6.0</v>
      </c>
      <c r="K3126" s="20">
        <v>349.0</v>
      </c>
      <c r="L3126" s="20"/>
      <c r="M3126" s="20">
        <v>349.0</v>
      </c>
      <c r="N3126" s="5" t="s">
        <v>67</v>
      </c>
      <c r="O3126" s="20" t="b">
        <v>0</v>
      </c>
      <c r="P3126" s="20" t="s">
        <v>68</v>
      </c>
      <c r="Q3126" s="20" t="s">
        <v>69</v>
      </c>
      <c r="R3126" s="20" t="s">
        <v>3888</v>
      </c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</row>
    <row r="3127">
      <c r="A3127" s="15" t="s">
        <v>10681</v>
      </c>
      <c r="B3127" s="19">
        <v>44383.854166666664</v>
      </c>
      <c r="C3127" s="20">
        <v>49844.0</v>
      </c>
      <c r="D3127" s="20" t="s">
        <v>5485</v>
      </c>
      <c r="E3127" s="5">
        <v>9.17440520944E11</v>
      </c>
      <c r="F3127" s="21">
        <v>19629.0</v>
      </c>
      <c r="G3127" s="20"/>
      <c r="H3127" s="20" t="s">
        <v>885</v>
      </c>
      <c r="I3127" s="5"/>
      <c r="J3127" s="20">
        <v>1.0</v>
      </c>
      <c r="K3127" s="20">
        <v>99.0</v>
      </c>
      <c r="L3127" s="20"/>
      <c r="M3127" s="20">
        <v>99.0</v>
      </c>
      <c r="N3127" s="5" t="s">
        <v>67</v>
      </c>
      <c r="O3127" s="20" t="b">
        <v>0</v>
      </c>
      <c r="P3127" s="20" t="s">
        <v>68</v>
      </c>
      <c r="Q3127" s="20" t="s">
        <v>69</v>
      </c>
      <c r="R3127" s="20" t="s">
        <v>5476</v>
      </c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</row>
    <row r="3128">
      <c r="A3128" s="15" t="s">
        <v>10682</v>
      </c>
      <c r="B3128" s="19">
        <v>44383.854166666664</v>
      </c>
      <c r="C3128" s="20">
        <v>50052.0</v>
      </c>
      <c r="D3128" s="20" t="s">
        <v>4496</v>
      </c>
      <c r="E3128" s="5">
        <v>9.19663735277E11</v>
      </c>
      <c r="F3128" s="21">
        <v>19626.0</v>
      </c>
      <c r="G3128" s="20"/>
      <c r="H3128" s="20" t="s">
        <v>4433</v>
      </c>
      <c r="I3128" s="5"/>
      <c r="J3128" s="20">
        <v>1.0</v>
      </c>
      <c r="K3128" s="20">
        <v>99.0</v>
      </c>
      <c r="L3128" s="20"/>
      <c r="M3128" s="20">
        <v>99.0</v>
      </c>
      <c r="N3128" s="5" t="s">
        <v>67</v>
      </c>
      <c r="O3128" s="20" t="b">
        <v>0</v>
      </c>
      <c r="P3128" s="20" t="s">
        <v>68</v>
      </c>
      <c r="Q3128" s="20" t="s">
        <v>69</v>
      </c>
      <c r="R3128" s="20" t="s">
        <v>4435</v>
      </c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</row>
    <row r="3129">
      <c r="A3129" s="15" t="s">
        <v>10833</v>
      </c>
      <c r="B3129" s="19">
        <v>44414.91805555556</v>
      </c>
      <c r="C3129" s="20">
        <v>50073.0</v>
      </c>
      <c r="D3129" s="20" t="s">
        <v>6567</v>
      </c>
      <c r="E3129" s="5">
        <v>9.18769526938E11</v>
      </c>
      <c r="F3129" s="21">
        <v>19699.0</v>
      </c>
      <c r="G3129" s="20"/>
      <c r="H3129" s="20" t="s">
        <v>2161</v>
      </c>
      <c r="I3129" s="5"/>
      <c r="J3129" s="20">
        <v>1.0</v>
      </c>
      <c r="K3129" s="20">
        <v>799.0</v>
      </c>
      <c r="L3129" s="20"/>
      <c r="M3129" s="20">
        <v>799.0</v>
      </c>
      <c r="N3129" s="5" t="s">
        <v>67</v>
      </c>
      <c r="O3129" s="20" t="b">
        <v>0</v>
      </c>
      <c r="P3129" s="20" t="s">
        <v>68</v>
      </c>
      <c r="Q3129" s="20" t="s">
        <v>69</v>
      </c>
      <c r="R3129" s="20" t="s">
        <v>6497</v>
      </c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</row>
    <row r="3130">
      <c r="A3130" s="15" t="s">
        <v>10690</v>
      </c>
      <c r="B3130" s="19">
        <v>44383.87777777778</v>
      </c>
      <c r="C3130" s="20">
        <v>49835.0</v>
      </c>
      <c r="D3130" s="20" t="s">
        <v>3933</v>
      </c>
      <c r="E3130" s="5">
        <v>9.19840100485E11</v>
      </c>
      <c r="F3130" s="22" t="s">
        <v>12593</v>
      </c>
      <c r="G3130" s="20"/>
      <c r="H3130" s="20" t="s">
        <v>680</v>
      </c>
      <c r="I3130" s="5"/>
      <c r="J3130" s="20">
        <v>1.0</v>
      </c>
      <c r="K3130" s="20">
        <v>99.0</v>
      </c>
      <c r="L3130" s="20"/>
      <c r="M3130" s="20">
        <v>99.0</v>
      </c>
      <c r="N3130" s="5" t="s">
        <v>67</v>
      </c>
      <c r="O3130" s="20" t="b">
        <v>0</v>
      </c>
      <c r="P3130" s="20" t="s">
        <v>74</v>
      </c>
      <c r="Q3130" s="20" t="s">
        <v>69</v>
      </c>
      <c r="R3130" s="20" t="s">
        <v>3888</v>
      </c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</row>
    <row r="3131">
      <c r="A3131" s="15" t="s">
        <v>10836</v>
      </c>
      <c r="B3131" s="19">
        <v>44414.94097222222</v>
      </c>
      <c r="C3131" s="20">
        <v>50104.0</v>
      </c>
      <c r="D3131" s="20" t="s">
        <v>3720</v>
      </c>
      <c r="E3131" s="5">
        <v>9.19892835224E11</v>
      </c>
      <c r="F3131" s="21">
        <v>19700.0</v>
      </c>
      <c r="G3131" s="20"/>
      <c r="H3131" s="20" t="s">
        <v>3708</v>
      </c>
      <c r="I3131" s="5"/>
      <c r="J3131" s="20">
        <v>1.0</v>
      </c>
      <c r="K3131" s="20">
        <v>99.0</v>
      </c>
      <c r="L3131" s="20"/>
      <c r="M3131" s="20">
        <v>99.0</v>
      </c>
      <c r="N3131" s="5" t="s">
        <v>67</v>
      </c>
      <c r="O3131" s="20" t="b">
        <v>0</v>
      </c>
      <c r="P3131" s="20" t="s">
        <v>68</v>
      </c>
      <c r="Q3131" s="20" t="s">
        <v>69</v>
      </c>
      <c r="R3131" s="20" t="s">
        <v>3710</v>
      </c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</row>
    <row r="3132">
      <c r="A3132" s="15" t="s">
        <v>10837</v>
      </c>
      <c r="B3132" s="19">
        <v>44414.941666666666</v>
      </c>
      <c r="C3132" s="20">
        <v>49833.0</v>
      </c>
      <c r="D3132" s="20" t="s">
        <v>4217</v>
      </c>
      <c r="E3132" s="5">
        <v>9.18801523296E11</v>
      </c>
      <c r="F3132" s="21">
        <v>19701.0</v>
      </c>
      <c r="G3132" s="20"/>
      <c r="H3132" s="20" t="s">
        <v>4030</v>
      </c>
      <c r="I3132" s="5"/>
      <c r="J3132" s="20">
        <v>3.0</v>
      </c>
      <c r="K3132" s="20">
        <v>199.0</v>
      </c>
      <c r="L3132" s="20"/>
      <c r="M3132" s="20">
        <v>199.0</v>
      </c>
      <c r="N3132" s="5" t="s">
        <v>67</v>
      </c>
      <c r="O3132" s="20" t="b">
        <v>0</v>
      </c>
      <c r="P3132" s="20" t="s">
        <v>68</v>
      </c>
      <c r="Q3132" s="20" t="s">
        <v>69</v>
      </c>
      <c r="R3132" s="20" t="s">
        <v>4033</v>
      </c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</row>
    <row r="3133">
      <c r="A3133" s="15" t="s">
        <v>10683</v>
      </c>
      <c r="B3133" s="19">
        <v>44383.865277777775</v>
      </c>
      <c r="C3133" s="20">
        <v>50023.0</v>
      </c>
      <c r="D3133" s="20" t="s">
        <v>5574</v>
      </c>
      <c r="E3133" s="5">
        <v>9.18826063256E11</v>
      </c>
      <c r="F3133" s="21">
        <v>19632.0</v>
      </c>
      <c r="G3133" s="20"/>
      <c r="H3133" s="20" t="s">
        <v>5508</v>
      </c>
      <c r="I3133" s="5"/>
      <c r="J3133" s="20">
        <v>1.0</v>
      </c>
      <c r="K3133" s="20">
        <v>99.0</v>
      </c>
      <c r="L3133" s="20"/>
      <c r="M3133" s="20">
        <v>99.0</v>
      </c>
      <c r="N3133" s="5" t="s">
        <v>67</v>
      </c>
      <c r="O3133" s="20" t="b">
        <v>0</v>
      </c>
      <c r="P3133" s="20" t="s">
        <v>68</v>
      </c>
      <c r="Q3133" s="20" t="s">
        <v>69</v>
      </c>
      <c r="R3133" s="20" t="s">
        <v>5510</v>
      </c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</row>
    <row r="3134">
      <c r="A3134" s="15" t="s">
        <v>10691</v>
      </c>
      <c r="B3134" s="19">
        <v>44383.88333333333</v>
      </c>
      <c r="C3134" s="20">
        <v>49844.0</v>
      </c>
      <c r="D3134" s="20" t="s">
        <v>5486</v>
      </c>
      <c r="E3134" s="5">
        <v>9.19656555196E11</v>
      </c>
      <c r="F3134" s="21">
        <v>19637.0</v>
      </c>
      <c r="G3134" s="20"/>
      <c r="H3134" s="20" t="s">
        <v>885</v>
      </c>
      <c r="I3134" s="5"/>
      <c r="J3134" s="20">
        <v>1.0</v>
      </c>
      <c r="K3134" s="20">
        <v>99.0</v>
      </c>
      <c r="L3134" s="20"/>
      <c r="M3134" s="20">
        <v>99.0</v>
      </c>
      <c r="N3134" s="5" t="s">
        <v>67</v>
      </c>
      <c r="O3134" s="20" t="b">
        <v>0</v>
      </c>
      <c r="P3134" s="20" t="s">
        <v>68</v>
      </c>
      <c r="Q3134" s="20" t="s">
        <v>69</v>
      </c>
      <c r="R3134" s="20" t="s">
        <v>5476</v>
      </c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</row>
    <row r="3135">
      <c r="A3135" s="15" t="s">
        <v>10692</v>
      </c>
      <c r="B3135" s="19">
        <v>44383.88402777778</v>
      </c>
      <c r="C3135" s="20">
        <v>50054.0</v>
      </c>
      <c r="D3135" s="20" t="s">
        <v>5926</v>
      </c>
      <c r="E3135" s="5">
        <v>9.18968902833E11</v>
      </c>
      <c r="F3135" s="21">
        <v>19636.0</v>
      </c>
      <c r="G3135" s="20"/>
      <c r="H3135" s="20" t="s">
        <v>5822</v>
      </c>
      <c r="I3135" s="5"/>
      <c r="J3135" s="20">
        <v>1.0</v>
      </c>
      <c r="K3135" s="20">
        <v>99.0</v>
      </c>
      <c r="L3135" s="20"/>
      <c r="M3135" s="20">
        <v>99.0</v>
      </c>
      <c r="N3135" s="5" t="s">
        <v>67</v>
      </c>
      <c r="O3135" s="20" t="b">
        <v>0</v>
      </c>
      <c r="P3135" s="20" t="s">
        <v>68</v>
      </c>
      <c r="Q3135" s="20" t="s">
        <v>69</v>
      </c>
      <c r="R3135" s="20" t="s">
        <v>5824</v>
      </c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</row>
    <row r="3136">
      <c r="A3136" s="15" t="s">
        <v>10838</v>
      </c>
      <c r="B3136" s="19">
        <v>44414.94513888889</v>
      </c>
      <c r="C3136" s="20">
        <v>50052.0</v>
      </c>
      <c r="D3136" s="20" t="s">
        <v>4500</v>
      </c>
      <c r="E3136" s="5">
        <v>9.18317334139E11</v>
      </c>
      <c r="F3136" s="21">
        <v>19702.0</v>
      </c>
      <c r="G3136" s="20"/>
      <c r="H3136" s="20" t="s">
        <v>4433</v>
      </c>
      <c r="I3136" s="5"/>
      <c r="J3136" s="20">
        <v>1.0</v>
      </c>
      <c r="K3136" s="20">
        <v>99.0</v>
      </c>
      <c r="L3136" s="20"/>
      <c r="M3136" s="20">
        <v>99.0</v>
      </c>
      <c r="N3136" s="5" t="s">
        <v>67</v>
      </c>
      <c r="O3136" s="20" t="b">
        <v>0</v>
      </c>
      <c r="P3136" s="20" t="s">
        <v>68</v>
      </c>
      <c r="Q3136" s="20" t="s">
        <v>69</v>
      </c>
      <c r="R3136" s="20" t="s">
        <v>4435</v>
      </c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</row>
    <row r="3137">
      <c r="A3137" s="15" t="s">
        <v>10684</v>
      </c>
      <c r="B3137" s="19">
        <v>44383.86875</v>
      </c>
      <c r="C3137" s="20">
        <v>49907.0</v>
      </c>
      <c r="D3137" s="20" t="s">
        <v>3834</v>
      </c>
      <c r="E3137" s="5">
        <v>9.17204999037E11</v>
      </c>
      <c r="F3137" s="21">
        <v>19633.0</v>
      </c>
      <c r="G3137" s="20"/>
      <c r="H3137" s="20" t="s">
        <v>587</v>
      </c>
      <c r="I3137" s="5"/>
      <c r="J3137" s="20">
        <v>3.0</v>
      </c>
      <c r="K3137" s="20">
        <v>199.0</v>
      </c>
      <c r="L3137" s="20"/>
      <c r="M3137" s="20">
        <v>199.0</v>
      </c>
      <c r="N3137" s="5" t="s">
        <v>67</v>
      </c>
      <c r="O3137" s="20" t="b">
        <v>0</v>
      </c>
      <c r="P3137" s="20" t="s">
        <v>68</v>
      </c>
      <c r="Q3137" s="20" t="s">
        <v>69</v>
      </c>
      <c r="R3137" s="20" t="s">
        <v>3774</v>
      </c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</row>
    <row r="3138">
      <c r="A3138" s="1" t="s">
        <v>11906</v>
      </c>
      <c r="B3138" s="19" t="s">
        <v>3958</v>
      </c>
      <c r="C3138" s="20">
        <v>49835.0</v>
      </c>
      <c r="D3138" s="20" t="s">
        <v>3957</v>
      </c>
      <c r="E3138" s="5">
        <v>9.18148413883E11</v>
      </c>
      <c r="F3138" s="21">
        <v>14905.0</v>
      </c>
      <c r="G3138" s="20"/>
      <c r="H3138" s="20" t="s">
        <v>680</v>
      </c>
      <c r="I3138" s="5"/>
      <c r="J3138" s="20">
        <v>1.0</v>
      </c>
      <c r="K3138" s="20">
        <v>99.0</v>
      </c>
      <c r="L3138" s="20"/>
      <c r="M3138" s="20">
        <v>99.0</v>
      </c>
      <c r="N3138" s="5" t="s">
        <v>67</v>
      </c>
      <c r="O3138" s="20" t="b">
        <v>0</v>
      </c>
      <c r="P3138" s="20" t="s">
        <v>74</v>
      </c>
      <c r="Q3138" s="20" t="s">
        <v>69</v>
      </c>
      <c r="R3138" s="20" t="s">
        <v>3888</v>
      </c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</row>
    <row r="3139">
      <c r="A3139" s="15" t="s">
        <v>10834</v>
      </c>
      <c r="B3139" s="19">
        <v>44414.933333333334</v>
      </c>
      <c r="C3139" s="20">
        <v>50110.0</v>
      </c>
      <c r="D3139" s="20" t="s">
        <v>3957</v>
      </c>
      <c r="E3139" s="5">
        <v>9.18148413883E11</v>
      </c>
      <c r="F3139" s="21">
        <v>14905.0</v>
      </c>
      <c r="G3139" s="20"/>
      <c r="H3139" s="20" t="s">
        <v>4399</v>
      </c>
      <c r="I3139" s="5"/>
      <c r="J3139" s="20">
        <v>1.0</v>
      </c>
      <c r="K3139" s="20">
        <v>99.0</v>
      </c>
      <c r="L3139" s="20"/>
      <c r="M3139" s="20">
        <v>99.0</v>
      </c>
      <c r="N3139" s="5" t="s">
        <v>67</v>
      </c>
      <c r="O3139" s="20" t="b">
        <v>0</v>
      </c>
      <c r="P3139" s="20" t="s">
        <v>74</v>
      </c>
      <c r="Q3139" s="20" t="s">
        <v>69</v>
      </c>
      <c r="R3139" s="20" t="s">
        <v>4412</v>
      </c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</row>
    <row r="3140">
      <c r="A3140" s="15" t="s">
        <v>10696</v>
      </c>
      <c r="B3140" s="19">
        <v>44383.913194444445</v>
      </c>
      <c r="C3140" s="20">
        <v>49833.0</v>
      </c>
      <c r="D3140" s="20" t="s">
        <v>4210</v>
      </c>
      <c r="E3140" s="5">
        <v>9.19345639466E11</v>
      </c>
      <c r="F3140" s="21">
        <v>19653.0</v>
      </c>
      <c r="G3140" s="20"/>
      <c r="H3140" s="20" t="s">
        <v>4030</v>
      </c>
      <c r="I3140" s="5"/>
      <c r="J3140" s="20">
        <v>1.0</v>
      </c>
      <c r="K3140" s="20">
        <v>99.0</v>
      </c>
      <c r="L3140" s="20"/>
      <c r="M3140" s="20">
        <v>99.0</v>
      </c>
      <c r="N3140" s="5" t="s">
        <v>67</v>
      </c>
      <c r="O3140" s="20" t="b">
        <v>0</v>
      </c>
      <c r="P3140" s="20" t="s">
        <v>68</v>
      </c>
      <c r="Q3140" s="20" t="s">
        <v>69</v>
      </c>
      <c r="R3140" s="20" t="s">
        <v>4033</v>
      </c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</row>
    <row r="3141">
      <c r="A3141" s="15" t="s">
        <v>10698</v>
      </c>
      <c r="B3141" s="19">
        <v>44383.91458333333</v>
      </c>
      <c r="C3141" s="20">
        <v>50023.0</v>
      </c>
      <c r="D3141" s="20" t="s">
        <v>5575</v>
      </c>
      <c r="E3141" s="5">
        <v>9.1952704452E11</v>
      </c>
      <c r="F3141" s="21">
        <v>19646.0</v>
      </c>
      <c r="G3141" s="20"/>
      <c r="H3141" s="20" t="s">
        <v>5508</v>
      </c>
      <c r="I3141" s="5"/>
      <c r="J3141" s="20">
        <v>1.0</v>
      </c>
      <c r="K3141" s="20">
        <v>99.0</v>
      </c>
      <c r="L3141" s="20"/>
      <c r="M3141" s="20">
        <v>99.0</v>
      </c>
      <c r="N3141" s="5" t="s">
        <v>67</v>
      </c>
      <c r="O3141" s="20" t="b">
        <v>0</v>
      </c>
      <c r="P3141" s="20" t="s">
        <v>68</v>
      </c>
      <c r="Q3141" s="20" t="s">
        <v>69</v>
      </c>
      <c r="R3141" s="20" t="s">
        <v>5510</v>
      </c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</row>
    <row r="3142">
      <c r="A3142" s="15" t="s">
        <v>10699</v>
      </c>
      <c r="B3142" s="19">
        <v>44383.916666666664</v>
      </c>
      <c r="C3142" s="20">
        <v>49835.0</v>
      </c>
      <c r="D3142" s="20" t="s">
        <v>3935</v>
      </c>
      <c r="E3142" s="5">
        <v>9.19558892187E11</v>
      </c>
      <c r="F3142" s="21">
        <v>19643.0</v>
      </c>
      <c r="G3142" s="20"/>
      <c r="H3142" s="20" t="s">
        <v>680</v>
      </c>
      <c r="I3142" s="5"/>
      <c r="J3142" s="20">
        <v>1.0</v>
      </c>
      <c r="K3142" s="20">
        <v>99.0</v>
      </c>
      <c r="L3142" s="20"/>
      <c r="M3142" s="20">
        <v>99.0</v>
      </c>
      <c r="N3142" s="5" t="s">
        <v>67</v>
      </c>
      <c r="O3142" s="20" t="b">
        <v>0</v>
      </c>
      <c r="P3142" s="20" t="s">
        <v>68</v>
      </c>
      <c r="Q3142" s="20" t="s">
        <v>69</v>
      </c>
      <c r="R3142" s="20" t="s">
        <v>3888</v>
      </c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</row>
    <row r="3143">
      <c r="A3143" s="15" t="s">
        <v>10695</v>
      </c>
      <c r="B3143" s="19">
        <v>44383.9</v>
      </c>
      <c r="C3143" s="20">
        <v>49835.0</v>
      </c>
      <c r="D3143" s="20" t="s">
        <v>3934</v>
      </c>
      <c r="E3143" s="5">
        <v>9.17741011418E11</v>
      </c>
      <c r="F3143" s="21">
        <v>19639.0</v>
      </c>
      <c r="G3143" s="20"/>
      <c r="H3143" s="20" t="s">
        <v>680</v>
      </c>
      <c r="I3143" s="5"/>
      <c r="J3143" s="20">
        <v>3.0</v>
      </c>
      <c r="K3143" s="20">
        <v>199.0</v>
      </c>
      <c r="L3143" s="20"/>
      <c r="M3143" s="20">
        <v>199.0</v>
      </c>
      <c r="N3143" s="5" t="s">
        <v>67</v>
      </c>
      <c r="O3143" s="20" t="b">
        <v>0</v>
      </c>
      <c r="P3143" s="20" t="s">
        <v>68</v>
      </c>
      <c r="Q3143" s="20" t="s">
        <v>69</v>
      </c>
      <c r="R3143" s="20" t="s">
        <v>3888</v>
      </c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</row>
    <row r="3144">
      <c r="A3144" s="15" t="s">
        <v>10839</v>
      </c>
      <c r="B3144" s="19">
        <v>44414.979166666664</v>
      </c>
      <c r="C3144" s="20">
        <v>49907.0</v>
      </c>
      <c r="D3144" s="20" t="s">
        <v>3836</v>
      </c>
      <c r="E3144" s="5">
        <v>9.17504133997E11</v>
      </c>
      <c r="F3144" s="21">
        <v>19707.0</v>
      </c>
      <c r="G3144" s="20"/>
      <c r="H3144" s="20" t="s">
        <v>587</v>
      </c>
      <c r="I3144" s="5"/>
      <c r="J3144" s="20">
        <v>1.0</v>
      </c>
      <c r="K3144" s="20">
        <v>99.0</v>
      </c>
      <c r="L3144" s="20"/>
      <c r="M3144" s="20">
        <v>99.0</v>
      </c>
      <c r="N3144" s="5" t="s">
        <v>67</v>
      </c>
      <c r="O3144" s="20" t="b">
        <v>0</v>
      </c>
      <c r="P3144" s="20" t="s">
        <v>68</v>
      </c>
      <c r="Q3144" s="20" t="s">
        <v>69</v>
      </c>
      <c r="R3144" s="20" t="s">
        <v>3774</v>
      </c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</row>
    <row r="3145">
      <c r="A3145" s="15" t="s">
        <v>10702</v>
      </c>
      <c r="B3145" s="19">
        <v>44383.93125</v>
      </c>
      <c r="C3145" s="20">
        <v>50065.0</v>
      </c>
      <c r="D3145" s="20" t="s">
        <v>2691</v>
      </c>
      <c r="E3145" s="5">
        <v>9.19845491945E11</v>
      </c>
      <c r="F3145" s="21">
        <v>19641.0</v>
      </c>
      <c r="G3145" s="20"/>
      <c r="H3145" s="20" t="s">
        <v>2601</v>
      </c>
      <c r="I3145" s="5"/>
      <c r="J3145" s="20">
        <v>6.0</v>
      </c>
      <c r="K3145" s="20">
        <v>349.0</v>
      </c>
      <c r="L3145" s="20"/>
      <c r="M3145" s="20">
        <v>349.0</v>
      </c>
      <c r="N3145" s="5" t="s">
        <v>67</v>
      </c>
      <c r="O3145" s="20" t="b">
        <v>0</v>
      </c>
      <c r="P3145" s="20" t="s">
        <v>68</v>
      </c>
      <c r="Q3145" s="20" t="s">
        <v>69</v>
      </c>
      <c r="R3145" s="20" t="s">
        <v>2604</v>
      </c>
      <c r="T3145" s="20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</row>
    <row r="3146">
      <c r="A3146" s="15" t="s">
        <v>10703</v>
      </c>
      <c r="B3146" s="19">
        <v>44383.93263888889</v>
      </c>
      <c r="C3146" s="20">
        <v>50030.0</v>
      </c>
      <c r="D3146" s="20" t="s">
        <v>3493</v>
      </c>
      <c r="E3146" s="5">
        <v>9.19511799363E11</v>
      </c>
      <c r="F3146" s="21">
        <v>19642.0</v>
      </c>
      <c r="G3146" s="20"/>
      <c r="H3146" s="20" t="s">
        <v>3326</v>
      </c>
      <c r="I3146" s="5"/>
      <c r="J3146" s="20">
        <v>1.0</v>
      </c>
      <c r="K3146" s="20">
        <v>99.0</v>
      </c>
      <c r="L3146" s="20"/>
      <c r="M3146" s="20">
        <v>99.0</v>
      </c>
      <c r="N3146" s="5" t="s">
        <v>67</v>
      </c>
      <c r="O3146" s="20" t="b">
        <v>0</v>
      </c>
      <c r="P3146" s="20" t="s">
        <v>68</v>
      </c>
      <c r="Q3146" s="20" t="s">
        <v>69</v>
      </c>
      <c r="R3146" s="20" t="s">
        <v>3328</v>
      </c>
      <c r="T3146" s="20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</row>
    <row r="3147">
      <c r="A3147" s="15" t="s">
        <v>10705</v>
      </c>
      <c r="B3147" s="19">
        <v>44383.95416666667</v>
      </c>
      <c r="C3147" s="20">
        <v>50023.0</v>
      </c>
      <c r="D3147" s="20" t="s">
        <v>5577</v>
      </c>
      <c r="E3147" s="5">
        <v>9.19319320335E11</v>
      </c>
      <c r="F3147" s="21">
        <v>0.0</v>
      </c>
      <c r="G3147" s="20"/>
      <c r="H3147" s="20" t="s">
        <v>5508</v>
      </c>
      <c r="I3147" s="5"/>
      <c r="J3147" s="20">
        <v>1.0</v>
      </c>
      <c r="K3147" s="20">
        <v>99.0</v>
      </c>
      <c r="L3147" s="20"/>
      <c r="M3147" s="20">
        <v>99.0</v>
      </c>
      <c r="N3147" s="5" t="s">
        <v>67</v>
      </c>
      <c r="O3147" s="20" t="b">
        <v>0</v>
      </c>
      <c r="P3147" s="20" t="s">
        <v>68</v>
      </c>
      <c r="Q3147" s="20" t="s">
        <v>69</v>
      </c>
      <c r="R3147" s="20" t="s">
        <v>5510</v>
      </c>
      <c r="T3147" s="20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</row>
    <row r="3148">
      <c r="A3148" s="15" t="s">
        <v>10704</v>
      </c>
      <c r="B3148" s="19">
        <v>44383.93680555555</v>
      </c>
      <c r="C3148" s="20">
        <v>50023.0</v>
      </c>
      <c r="D3148" s="20" t="s">
        <v>5576</v>
      </c>
      <c r="E3148" s="5">
        <v>9.18295118282E11</v>
      </c>
      <c r="F3148" s="21">
        <v>19644.0</v>
      </c>
      <c r="G3148" s="20"/>
      <c r="H3148" s="20" t="s">
        <v>5508</v>
      </c>
      <c r="I3148" s="5"/>
      <c r="J3148" s="20">
        <v>1.0</v>
      </c>
      <c r="K3148" s="20">
        <v>99.0</v>
      </c>
      <c r="L3148" s="20"/>
      <c r="M3148" s="20">
        <v>99.0</v>
      </c>
      <c r="N3148" s="5" t="s">
        <v>67</v>
      </c>
      <c r="O3148" s="20" t="b">
        <v>0</v>
      </c>
      <c r="P3148" s="20" t="s">
        <v>68</v>
      </c>
      <c r="Q3148" s="20" t="s">
        <v>69</v>
      </c>
      <c r="R3148" s="20" t="s">
        <v>5510</v>
      </c>
      <c r="T3148" s="20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</row>
    <row r="3149">
      <c r="A3149" s="15" t="s">
        <v>10843</v>
      </c>
      <c r="B3149" s="19">
        <v>44445.03402777778</v>
      </c>
      <c r="C3149" s="20">
        <v>50047.0</v>
      </c>
      <c r="D3149" s="20" t="s">
        <v>3271</v>
      </c>
      <c r="E3149" s="5">
        <v>9.19740594324E11</v>
      </c>
      <c r="F3149" s="21">
        <v>19708.0</v>
      </c>
      <c r="G3149" s="20"/>
      <c r="H3149" s="20" t="s">
        <v>3195</v>
      </c>
      <c r="I3149" s="5"/>
      <c r="J3149" s="20">
        <v>3.0</v>
      </c>
      <c r="K3149" s="20">
        <v>199.0</v>
      </c>
      <c r="L3149" s="20"/>
      <c r="M3149" s="20">
        <v>199.0</v>
      </c>
      <c r="N3149" s="5" t="s">
        <v>67</v>
      </c>
      <c r="O3149" s="20" t="b">
        <v>0</v>
      </c>
      <c r="P3149" s="20" t="s">
        <v>68</v>
      </c>
      <c r="Q3149" s="20" t="s">
        <v>69</v>
      </c>
      <c r="R3149" s="20" t="s">
        <v>3197</v>
      </c>
      <c r="T3149" s="20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</row>
    <row r="3150">
      <c r="A3150" s="15" t="s">
        <v>10706</v>
      </c>
      <c r="B3150" s="19">
        <v>44383.98611111111</v>
      </c>
      <c r="C3150" s="20">
        <v>49835.0</v>
      </c>
      <c r="D3150" s="20" t="s">
        <v>3936</v>
      </c>
      <c r="E3150" s="5">
        <v>9.19980509578E11</v>
      </c>
      <c r="F3150" s="21">
        <v>19651.0</v>
      </c>
      <c r="G3150" s="20"/>
      <c r="H3150" s="20" t="s">
        <v>680</v>
      </c>
      <c r="I3150" s="5"/>
      <c r="J3150" s="20">
        <v>1.0</v>
      </c>
      <c r="K3150" s="20">
        <v>99.0</v>
      </c>
      <c r="L3150" s="20"/>
      <c r="M3150" s="20">
        <v>99.0</v>
      </c>
      <c r="N3150" s="5" t="s">
        <v>67</v>
      </c>
      <c r="O3150" s="20" t="b">
        <v>0</v>
      </c>
      <c r="P3150" s="20" t="s">
        <v>68</v>
      </c>
      <c r="Q3150" s="20" t="s">
        <v>69</v>
      </c>
      <c r="R3150" s="20" t="s">
        <v>3888</v>
      </c>
      <c r="T3150" s="20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</row>
    <row r="3151">
      <c r="A3151" s="15" t="s">
        <v>10707</v>
      </c>
      <c r="B3151" s="19">
        <v>44383.98611111111</v>
      </c>
      <c r="C3151" s="20">
        <v>49997.0</v>
      </c>
      <c r="D3151" s="20" t="s">
        <v>2549</v>
      </c>
      <c r="E3151" s="5">
        <v>9.19614789882E11</v>
      </c>
      <c r="F3151" s="21">
        <v>19648.0</v>
      </c>
      <c r="G3151" s="20"/>
      <c r="H3151" s="20" t="s">
        <v>2455</v>
      </c>
      <c r="I3151" s="5"/>
      <c r="J3151" s="20">
        <v>3.0</v>
      </c>
      <c r="K3151" s="20">
        <v>199.0</v>
      </c>
      <c r="L3151" s="20"/>
      <c r="M3151" s="20">
        <v>199.0</v>
      </c>
      <c r="N3151" s="5" t="s">
        <v>67</v>
      </c>
      <c r="O3151" s="20" t="b">
        <v>0</v>
      </c>
      <c r="P3151" s="20" t="s">
        <v>68</v>
      </c>
      <c r="Q3151" s="20" t="s">
        <v>69</v>
      </c>
      <c r="R3151" s="20" t="s">
        <v>2457</v>
      </c>
      <c r="T3151" s="20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</row>
    <row r="3152">
      <c r="A3152" s="15" t="s">
        <v>10709</v>
      </c>
      <c r="B3152" s="19">
        <v>44383.989583333336</v>
      </c>
      <c r="C3152" s="20">
        <v>50052.0</v>
      </c>
      <c r="D3152" s="20" t="s">
        <v>4497</v>
      </c>
      <c r="E3152" s="5">
        <v>9.1956661891E11</v>
      </c>
      <c r="F3152" s="21">
        <v>19647.0</v>
      </c>
      <c r="G3152" s="20"/>
      <c r="H3152" s="20" t="s">
        <v>4433</v>
      </c>
      <c r="I3152" s="5"/>
      <c r="J3152" s="20">
        <v>1.0</v>
      </c>
      <c r="K3152" s="20">
        <v>99.0</v>
      </c>
      <c r="L3152" s="20"/>
      <c r="M3152" s="20">
        <v>99.0</v>
      </c>
      <c r="N3152" s="5" t="s">
        <v>67</v>
      </c>
      <c r="O3152" s="20" t="b">
        <v>0</v>
      </c>
      <c r="P3152" s="20" t="s">
        <v>74</v>
      </c>
      <c r="Q3152" s="20" t="s">
        <v>69</v>
      </c>
      <c r="R3152" s="20" t="s">
        <v>4435</v>
      </c>
      <c r="T3152" s="20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</row>
    <row r="3153">
      <c r="A3153" s="15" t="s">
        <v>10715</v>
      </c>
      <c r="B3153" s="19">
        <v>44414.04236111111</v>
      </c>
      <c r="C3153" s="20">
        <v>49994.0</v>
      </c>
      <c r="D3153" s="20" t="s">
        <v>6651</v>
      </c>
      <c r="E3153" s="5">
        <v>9.18886855527E11</v>
      </c>
      <c r="F3153" s="21">
        <v>19650.0</v>
      </c>
      <c r="G3153" s="20"/>
      <c r="H3153" s="20" t="s">
        <v>1264</v>
      </c>
      <c r="I3153" s="5"/>
      <c r="J3153" s="20">
        <v>1.0</v>
      </c>
      <c r="K3153" s="20">
        <v>99.0</v>
      </c>
      <c r="L3153" s="20"/>
      <c r="M3153" s="20">
        <v>99.0</v>
      </c>
      <c r="N3153" s="5" t="s">
        <v>67</v>
      </c>
      <c r="O3153" s="20" t="b">
        <v>0</v>
      </c>
      <c r="P3153" s="20" t="s">
        <v>68</v>
      </c>
      <c r="Q3153" s="20" t="s">
        <v>69</v>
      </c>
      <c r="R3153" s="20" t="s">
        <v>6615</v>
      </c>
      <c r="T3153" s="20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</row>
    <row r="3154">
      <c r="A3154" s="15" t="s">
        <v>10845</v>
      </c>
      <c r="B3154" s="19">
        <v>44445.103472222225</v>
      </c>
      <c r="C3154" s="20">
        <v>50023.0</v>
      </c>
      <c r="D3154" s="20" t="s">
        <v>5581</v>
      </c>
      <c r="E3154" s="5">
        <v>9.1811887471E11</v>
      </c>
      <c r="F3154" s="21">
        <v>19709.0</v>
      </c>
      <c r="G3154" s="20"/>
      <c r="H3154" s="20" t="s">
        <v>5508</v>
      </c>
      <c r="I3154" s="5"/>
      <c r="J3154" s="20">
        <v>1.0</v>
      </c>
      <c r="K3154" s="20">
        <v>99.0</v>
      </c>
      <c r="L3154" s="20"/>
      <c r="M3154" s="20">
        <v>99.0</v>
      </c>
      <c r="N3154" s="5" t="s">
        <v>67</v>
      </c>
      <c r="O3154" s="20" t="b">
        <v>0</v>
      </c>
      <c r="P3154" s="20" t="s">
        <v>68</v>
      </c>
      <c r="Q3154" s="20" t="s">
        <v>69</v>
      </c>
      <c r="R3154" s="20" t="s">
        <v>5510</v>
      </c>
      <c r="T3154" s="20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</row>
    <row r="3155">
      <c r="A3155" s="15" t="s">
        <v>10712</v>
      </c>
      <c r="B3155" s="19">
        <v>44414.032638888886</v>
      </c>
      <c r="C3155" s="20">
        <v>49997.0</v>
      </c>
      <c r="D3155" s="20" t="s">
        <v>2550</v>
      </c>
      <c r="E3155" s="5">
        <v>9.18861355515E11</v>
      </c>
      <c r="F3155" s="21">
        <v>19649.0</v>
      </c>
      <c r="G3155" s="20"/>
      <c r="H3155" s="20" t="s">
        <v>2455</v>
      </c>
      <c r="I3155" s="5"/>
      <c r="J3155" s="20">
        <v>1.0</v>
      </c>
      <c r="K3155" s="20">
        <v>99.0</v>
      </c>
      <c r="L3155" s="20"/>
      <c r="M3155" s="20">
        <v>99.0</v>
      </c>
      <c r="N3155" s="5" t="s">
        <v>67</v>
      </c>
      <c r="O3155" s="20" t="b">
        <v>0</v>
      </c>
      <c r="P3155" s="20" t="s">
        <v>68</v>
      </c>
      <c r="Q3155" s="20" t="s">
        <v>69</v>
      </c>
      <c r="R3155" s="20" t="s">
        <v>2457</v>
      </c>
      <c r="T3155" s="20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</row>
    <row r="3156">
      <c r="A3156" s="15" t="s">
        <v>10716</v>
      </c>
      <c r="B3156" s="19">
        <v>44414.15555555555</v>
      </c>
      <c r="C3156" s="20">
        <v>50047.0</v>
      </c>
      <c r="D3156" s="20" t="s">
        <v>3269</v>
      </c>
      <c r="E3156" s="5">
        <v>9.17265939492E11</v>
      </c>
      <c r="F3156" s="21">
        <v>19652.0</v>
      </c>
      <c r="G3156" s="20"/>
      <c r="H3156" s="20" t="s">
        <v>3195</v>
      </c>
      <c r="I3156" s="5"/>
      <c r="J3156" s="20">
        <v>3.0</v>
      </c>
      <c r="K3156" s="20">
        <v>199.0</v>
      </c>
      <c r="L3156" s="20"/>
      <c r="M3156" s="20">
        <v>199.0</v>
      </c>
      <c r="N3156" s="5" t="s">
        <v>67</v>
      </c>
      <c r="O3156" s="20" t="b">
        <v>0</v>
      </c>
      <c r="P3156" s="20" t="s">
        <v>74</v>
      </c>
      <c r="Q3156" s="20" t="s">
        <v>69</v>
      </c>
      <c r="R3156" s="20" t="s">
        <v>3197</v>
      </c>
      <c r="T3156" s="20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</row>
    <row r="3157">
      <c r="A3157" s="15" t="s">
        <v>10846</v>
      </c>
      <c r="B3157" s="19">
        <v>44445.254166666666</v>
      </c>
      <c r="C3157" s="20">
        <v>49835.0</v>
      </c>
      <c r="D3157" s="20" t="s">
        <v>3938</v>
      </c>
      <c r="E3157" s="5">
        <v>9.19740196916E11</v>
      </c>
      <c r="F3157" s="21">
        <v>19710.0</v>
      </c>
      <c r="G3157" s="20"/>
      <c r="H3157" s="20" t="s">
        <v>680</v>
      </c>
      <c r="I3157" s="5"/>
      <c r="J3157" s="20">
        <v>1.0</v>
      </c>
      <c r="K3157" s="20">
        <v>99.0</v>
      </c>
      <c r="L3157" s="20"/>
      <c r="M3157" s="20">
        <v>99.0</v>
      </c>
      <c r="N3157" s="5" t="s">
        <v>67</v>
      </c>
      <c r="O3157" s="20" t="b">
        <v>0</v>
      </c>
      <c r="P3157" s="20" t="s">
        <v>151</v>
      </c>
      <c r="Q3157" s="20" t="s">
        <v>69</v>
      </c>
      <c r="R3157" s="20" t="s">
        <v>3888</v>
      </c>
      <c r="T3157" s="20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</row>
    <row r="3158">
      <c r="A3158" s="15" t="s">
        <v>10851</v>
      </c>
      <c r="B3158" s="19">
        <v>44445.34444444445</v>
      </c>
      <c r="C3158" s="20">
        <v>49859.0</v>
      </c>
      <c r="D3158" s="20" t="s">
        <v>4744</v>
      </c>
      <c r="E3158" s="5">
        <v>9.19599483841E11</v>
      </c>
      <c r="F3158" s="21">
        <v>19712.0</v>
      </c>
      <c r="G3158" s="20"/>
      <c r="H3158" s="20" t="s">
        <v>1133</v>
      </c>
      <c r="I3158" s="5"/>
      <c r="J3158" s="20">
        <v>6.0</v>
      </c>
      <c r="K3158" s="20">
        <v>349.0</v>
      </c>
      <c r="L3158" s="20"/>
      <c r="M3158" s="20">
        <v>349.0</v>
      </c>
      <c r="N3158" s="5" t="s">
        <v>67</v>
      </c>
      <c r="O3158" s="20" t="b">
        <v>0</v>
      </c>
      <c r="P3158" s="20" t="s">
        <v>68</v>
      </c>
      <c r="Q3158" s="20" t="s">
        <v>69</v>
      </c>
      <c r="R3158" s="20" t="s">
        <v>4736</v>
      </c>
      <c r="T3158" s="20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</row>
    <row r="3159">
      <c r="A3159" s="15" t="s">
        <v>10721</v>
      </c>
      <c r="B3159" s="19">
        <v>44414.28611111111</v>
      </c>
      <c r="C3159" s="20">
        <v>50029.0</v>
      </c>
      <c r="D3159" s="20" t="s">
        <v>2881</v>
      </c>
      <c r="E3159" s="5">
        <v>9.19769140082E11</v>
      </c>
      <c r="F3159" s="21">
        <v>19659.0</v>
      </c>
      <c r="G3159" s="20"/>
      <c r="H3159" s="20" t="s">
        <v>2761</v>
      </c>
      <c r="I3159" s="5"/>
      <c r="J3159" s="20">
        <v>3.0</v>
      </c>
      <c r="K3159" s="20">
        <v>199.0</v>
      </c>
      <c r="L3159" s="20"/>
      <c r="M3159" s="20">
        <v>199.0</v>
      </c>
      <c r="N3159" s="5" t="s">
        <v>67</v>
      </c>
      <c r="O3159" s="20" t="b">
        <v>0</v>
      </c>
      <c r="P3159" s="20" t="s">
        <v>68</v>
      </c>
      <c r="Q3159" s="20" t="s">
        <v>69</v>
      </c>
      <c r="R3159" s="20" t="s">
        <v>2763</v>
      </c>
      <c r="T3159" s="20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</row>
    <row r="3160">
      <c r="A3160" s="15" t="s">
        <v>10850</v>
      </c>
      <c r="B3160" s="19">
        <v>44445.33194444444</v>
      </c>
      <c r="C3160" s="20">
        <v>49813.0</v>
      </c>
      <c r="D3160" s="20" t="s">
        <v>5167</v>
      </c>
      <c r="E3160" s="5">
        <v>9.17093045014E11</v>
      </c>
      <c r="F3160" s="21">
        <v>19711.0</v>
      </c>
      <c r="G3160" s="20"/>
      <c r="H3160" s="20" t="s">
        <v>5114</v>
      </c>
      <c r="I3160" s="5"/>
      <c r="J3160" s="20">
        <v>1.0</v>
      </c>
      <c r="K3160" s="20">
        <v>299.0</v>
      </c>
      <c r="L3160" s="20"/>
      <c r="M3160" s="20">
        <v>299.0</v>
      </c>
      <c r="N3160" s="5" t="s">
        <v>67</v>
      </c>
      <c r="O3160" s="20" t="b">
        <v>0</v>
      </c>
      <c r="P3160" s="20" t="s">
        <v>68</v>
      </c>
      <c r="Q3160" s="20" t="s">
        <v>69</v>
      </c>
      <c r="R3160" s="20" t="s">
        <v>5116</v>
      </c>
      <c r="T3160" s="20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</row>
    <row r="3161">
      <c r="A3161" s="15" t="s">
        <v>10852</v>
      </c>
      <c r="B3161" s="19">
        <v>44445.36319444444</v>
      </c>
      <c r="C3161" s="20">
        <v>50022.0</v>
      </c>
      <c r="D3161" s="20" t="s">
        <v>5288</v>
      </c>
      <c r="E3161" s="5">
        <v>9.19841025607E11</v>
      </c>
      <c r="F3161" s="21">
        <v>19713.0</v>
      </c>
      <c r="G3161" s="20"/>
      <c r="H3161" s="20" t="s">
        <v>5181</v>
      </c>
      <c r="I3161" s="5"/>
      <c r="J3161" s="20">
        <v>1.0</v>
      </c>
      <c r="K3161" s="20">
        <v>99.0</v>
      </c>
      <c r="L3161" s="20"/>
      <c r="M3161" s="20">
        <v>99.0</v>
      </c>
      <c r="N3161" s="5" t="s">
        <v>67</v>
      </c>
      <c r="O3161" s="20" t="b">
        <v>0</v>
      </c>
      <c r="P3161" s="20" t="s">
        <v>74</v>
      </c>
      <c r="Q3161" s="20" t="s">
        <v>69</v>
      </c>
      <c r="R3161" s="20" t="s">
        <v>5183</v>
      </c>
      <c r="T3161" s="20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</row>
    <row r="3162">
      <c r="A3162" s="15" t="s">
        <v>10856</v>
      </c>
      <c r="B3162" s="19">
        <v>44445.38125</v>
      </c>
      <c r="C3162" s="20">
        <v>50023.0</v>
      </c>
      <c r="D3162" s="20" t="s">
        <v>5582</v>
      </c>
      <c r="E3162" s="5">
        <v>9.18168141859E11</v>
      </c>
      <c r="F3162" s="21">
        <v>19714.0</v>
      </c>
      <c r="G3162" s="20"/>
      <c r="H3162" s="20" t="s">
        <v>5508</v>
      </c>
      <c r="I3162" s="5"/>
      <c r="J3162" s="20">
        <v>1.0</v>
      </c>
      <c r="K3162" s="20">
        <v>99.0</v>
      </c>
      <c r="L3162" s="20"/>
      <c r="M3162" s="20">
        <v>99.0</v>
      </c>
      <c r="N3162" s="5" t="s">
        <v>67</v>
      </c>
      <c r="O3162" s="20" t="b">
        <v>0</v>
      </c>
      <c r="P3162" s="20" t="s">
        <v>68</v>
      </c>
      <c r="Q3162" s="20" t="s">
        <v>69</v>
      </c>
      <c r="R3162" s="20" t="s">
        <v>5510</v>
      </c>
      <c r="T3162" s="20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</row>
    <row r="3163">
      <c r="A3163" s="15" t="s">
        <v>10853</v>
      </c>
      <c r="B3163" s="19">
        <v>44445.36597222222</v>
      </c>
      <c r="C3163" s="20">
        <v>49991.0</v>
      </c>
      <c r="D3163" s="20" t="s">
        <v>3152</v>
      </c>
      <c r="E3163" s="5">
        <v>9.19052925483E11</v>
      </c>
      <c r="F3163" s="21">
        <v>0.0</v>
      </c>
      <c r="G3163" s="20"/>
      <c r="H3163" s="20" t="s">
        <v>3055</v>
      </c>
      <c r="I3163" s="5"/>
      <c r="J3163" s="20">
        <v>1.0</v>
      </c>
      <c r="K3163" s="20">
        <v>99.0</v>
      </c>
      <c r="L3163" s="20"/>
      <c r="M3163" s="20">
        <v>99.0</v>
      </c>
      <c r="N3163" s="5" t="s">
        <v>67</v>
      </c>
      <c r="O3163" s="20" t="b">
        <v>0</v>
      </c>
      <c r="P3163" s="20" t="s">
        <v>68</v>
      </c>
      <c r="Q3163" s="20" t="s">
        <v>69</v>
      </c>
      <c r="R3163" s="20" t="s">
        <v>3057</v>
      </c>
      <c r="T3163" s="20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</row>
    <row r="3164">
      <c r="A3164" s="15" t="s">
        <v>10722</v>
      </c>
      <c r="B3164" s="19">
        <v>44414.311111111114</v>
      </c>
      <c r="C3164" s="20">
        <v>49991.0</v>
      </c>
      <c r="D3164" s="20" t="s">
        <v>3149</v>
      </c>
      <c r="E3164" s="5">
        <v>9.19979379645E11</v>
      </c>
      <c r="F3164" s="21">
        <v>19654.0</v>
      </c>
      <c r="G3164" s="20"/>
      <c r="H3164" s="20" t="s">
        <v>3055</v>
      </c>
      <c r="I3164" s="5"/>
      <c r="J3164" s="20">
        <v>1.0</v>
      </c>
      <c r="K3164" s="20">
        <v>99.0</v>
      </c>
      <c r="L3164" s="20"/>
      <c r="M3164" s="20">
        <v>99.0</v>
      </c>
      <c r="N3164" s="5" t="s">
        <v>67</v>
      </c>
      <c r="O3164" s="20" t="b">
        <v>0</v>
      </c>
      <c r="P3164" s="20" t="s">
        <v>74</v>
      </c>
      <c r="Q3164" s="20" t="s">
        <v>69</v>
      </c>
      <c r="R3164" s="20" t="s">
        <v>3150</v>
      </c>
      <c r="T3164" s="20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</row>
    <row r="3165">
      <c r="A3165" s="15" t="s">
        <v>10723</v>
      </c>
      <c r="B3165" s="19">
        <v>44414.36111111111</v>
      </c>
      <c r="C3165" s="20">
        <v>50065.0</v>
      </c>
      <c r="D3165" s="20" t="s">
        <v>2692</v>
      </c>
      <c r="E3165" s="5">
        <v>9.18390258878E11</v>
      </c>
      <c r="F3165" s="21">
        <v>19656.0</v>
      </c>
      <c r="G3165" s="20"/>
      <c r="H3165" s="20" t="s">
        <v>2601</v>
      </c>
      <c r="I3165" s="5"/>
      <c r="J3165" s="20">
        <v>1.0</v>
      </c>
      <c r="K3165" s="20">
        <v>99.0</v>
      </c>
      <c r="L3165" s="20"/>
      <c r="M3165" s="20">
        <v>99.0</v>
      </c>
      <c r="N3165" s="5" t="s">
        <v>67</v>
      </c>
      <c r="O3165" s="20" t="b">
        <v>0</v>
      </c>
      <c r="P3165" s="20" t="s">
        <v>68</v>
      </c>
      <c r="Q3165" s="20" t="s">
        <v>69</v>
      </c>
      <c r="R3165" s="20" t="s">
        <v>2604</v>
      </c>
      <c r="T3165" s="20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</row>
    <row r="3166">
      <c r="A3166" s="15" t="s">
        <v>10858</v>
      </c>
      <c r="B3166" s="19">
        <v>44445.404861111114</v>
      </c>
      <c r="C3166" s="20">
        <v>50054.0</v>
      </c>
      <c r="D3166" s="20" t="s">
        <v>5930</v>
      </c>
      <c r="E3166" s="5">
        <v>9.19822334266E11</v>
      </c>
      <c r="F3166" s="21">
        <v>19715.0</v>
      </c>
      <c r="G3166" s="20"/>
      <c r="H3166" s="20" t="s">
        <v>5822</v>
      </c>
      <c r="I3166" s="5"/>
      <c r="J3166" s="20">
        <v>6.0</v>
      </c>
      <c r="K3166" s="20">
        <v>349.0</v>
      </c>
      <c r="L3166" s="20"/>
      <c r="M3166" s="20">
        <v>349.0</v>
      </c>
      <c r="N3166" s="5" t="s">
        <v>67</v>
      </c>
      <c r="O3166" s="20" t="b">
        <v>0</v>
      </c>
      <c r="P3166" s="20" t="s">
        <v>74</v>
      </c>
      <c r="Q3166" s="20" t="s">
        <v>69</v>
      </c>
      <c r="R3166" s="20" t="s">
        <v>5824</v>
      </c>
      <c r="T3166" s="20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</row>
    <row r="3167">
      <c r="A3167" s="15" t="s">
        <v>10724</v>
      </c>
      <c r="B3167" s="19">
        <v>44414.37291666667</v>
      </c>
      <c r="C3167" s="20">
        <v>49996.0</v>
      </c>
      <c r="D3167" s="20" t="s">
        <v>4848</v>
      </c>
      <c r="E3167" s="5">
        <v>9.18830448148E11</v>
      </c>
      <c r="F3167" s="21">
        <v>19657.0</v>
      </c>
      <c r="G3167" s="20"/>
      <c r="H3167" s="20" t="s">
        <v>4796</v>
      </c>
      <c r="I3167" s="5"/>
      <c r="J3167" s="20">
        <v>1.0</v>
      </c>
      <c r="K3167" s="20">
        <v>99.0</v>
      </c>
      <c r="L3167" s="20"/>
      <c r="M3167" s="20">
        <v>99.0</v>
      </c>
      <c r="N3167" s="5" t="s">
        <v>67</v>
      </c>
      <c r="O3167" s="20" t="b">
        <v>0</v>
      </c>
      <c r="P3167" s="20" t="s">
        <v>68</v>
      </c>
      <c r="Q3167" s="20" t="s">
        <v>69</v>
      </c>
      <c r="R3167" s="20" t="s">
        <v>4799</v>
      </c>
      <c r="T3167" s="20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</row>
    <row r="3168">
      <c r="A3168" s="15" t="s">
        <v>10859</v>
      </c>
      <c r="B3168" s="19">
        <v>44445.41736111111</v>
      </c>
      <c r="C3168" s="20">
        <v>50104.0</v>
      </c>
      <c r="D3168" s="20" t="s">
        <v>3721</v>
      </c>
      <c r="E3168" s="5">
        <v>9.19920356582E11</v>
      </c>
      <c r="F3168" s="21">
        <v>19598.0</v>
      </c>
      <c r="G3168" s="20"/>
      <c r="H3168" s="20" t="s">
        <v>3708</v>
      </c>
      <c r="I3168" s="5"/>
      <c r="J3168" s="20">
        <v>1.0</v>
      </c>
      <c r="K3168" s="20">
        <v>99.0</v>
      </c>
      <c r="L3168" s="20"/>
      <c r="M3168" s="20">
        <v>99.0</v>
      </c>
      <c r="N3168" s="5" t="s">
        <v>67</v>
      </c>
      <c r="O3168" s="20" t="b">
        <v>0</v>
      </c>
      <c r="P3168" s="20" t="s">
        <v>68</v>
      </c>
      <c r="Q3168" s="20" t="s">
        <v>69</v>
      </c>
      <c r="R3168" s="20" t="s">
        <v>3710</v>
      </c>
      <c r="T3168" s="20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</row>
    <row r="3169">
      <c r="A3169" s="15" t="s">
        <v>10865</v>
      </c>
      <c r="B3169" s="19">
        <v>44445.45763888889</v>
      </c>
      <c r="C3169" s="20">
        <v>50023.0</v>
      </c>
      <c r="D3169" s="20" t="s">
        <v>5583</v>
      </c>
      <c r="E3169" s="5">
        <v>9.1766748865E11</v>
      </c>
      <c r="F3169" s="21">
        <v>19721.0</v>
      </c>
      <c r="G3169" s="20"/>
      <c r="H3169" s="20" t="s">
        <v>5508</v>
      </c>
      <c r="I3169" s="5"/>
      <c r="J3169" s="20">
        <v>1.0</v>
      </c>
      <c r="K3169" s="20">
        <v>99.0</v>
      </c>
      <c r="L3169" s="20"/>
      <c r="M3169" s="20">
        <v>99.0</v>
      </c>
      <c r="N3169" s="5" t="s">
        <v>67</v>
      </c>
      <c r="O3169" s="20" t="b">
        <v>0</v>
      </c>
      <c r="P3169" s="20" t="s">
        <v>74</v>
      </c>
      <c r="Q3169" s="20" t="s">
        <v>69</v>
      </c>
      <c r="R3169" s="20" t="s">
        <v>5584</v>
      </c>
      <c r="T3169" s="20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</row>
    <row r="3170">
      <c r="A3170" s="15" t="s">
        <v>10866</v>
      </c>
      <c r="B3170" s="19">
        <v>44445.441666666666</v>
      </c>
      <c r="C3170" s="20">
        <v>50022.0</v>
      </c>
      <c r="D3170" s="20" t="s">
        <v>5289</v>
      </c>
      <c r="E3170" s="5">
        <v>9.19482136591E11</v>
      </c>
      <c r="F3170" s="21">
        <v>19716.0</v>
      </c>
      <c r="G3170" s="20"/>
      <c r="H3170" s="20" t="s">
        <v>5181</v>
      </c>
      <c r="I3170" s="5"/>
      <c r="J3170" s="20">
        <v>3.0</v>
      </c>
      <c r="K3170" s="20">
        <v>199.0</v>
      </c>
      <c r="L3170" s="20"/>
      <c r="M3170" s="20">
        <v>199.0</v>
      </c>
      <c r="N3170" s="5" t="s">
        <v>67</v>
      </c>
      <c r="O3170" s="20" t="b">
        <v>0</v>
      </c>
      <c r="P3170" s="20" t="s">
        <v>68</v>
      </c>
      <c r="Q3170" s="20" t="s">
        <v>69</v>
      </c>
      <c r="R3170" s="20" t="s">
        <v>5183</v>
      </c>
      <c r="T3170" s="20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</row>
    <row r="3171">
      <c r="A3171" s="15" t="s">
        <v>10867</v>
      </c>
      <c r="B3171" s="19">
        <v>44445.44375</v>
      </c>
      <c r="C3171" s="20">
        <v>50030.0</v>
      </c>
      <c r="D3171" s="20" t="s">
        <v>3496</v>
      </c>
      <c r="E3171" s="5">
        <v>9.19130055145E11</v>
      </c>
      <c r="F3171" s="21">
        <v>19717.0</v>
      </c>
      <c r="G3171" s="20"/>
      <c r="H3171" s="20" t="s">
        <v>3326</v>
      </c>
      <c r="I3171" s="5"/>
      <c r="J3171" s="20">
        <v>1.0</v>
      </c>
      <c r="K3171" s="20">
        <v>99.0</v>
      </c>
      <c r="L3171" s="20"/>
      <c r="M3171" s="20">
        <v>99.0</v>
      </c>
      <c r="N3171" s="5" t="s">
        <v>67</v>
      </c>
      <c r="O3171" s="20" t="b">
        <v>0</v>
      </c>
      <c r="P3171" s="20" t="s">
        <v>68</v>
      </c>
      <c r="Q3171" s="20" t="s">
        <v>69</v>
      </c>
      <c r="R3171" s="20" t="s">
        <v>3328</v>
      </c>
      <c r="T3171" s="20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</row>
    <row r="3172">
      <c r="A3172" s="15" t="s">
        <v>10868</v>
      </c>
      <c r="B3172" s="19">
        <v>44445.444444444445</v>
      </c>
      <c r="C3172" s="20">
        <v>50054.0</v>
      </c>
      <c r="D3172" s="20" t="s">
        <v>5931</v>
      </c>
      <c r="E3172" s="5">
        <v>9.19717924468E11</v>
      </c>
      <c r="F3172" s="21">
        <v>19719.0</v>
      </c>
      <c r="G3172" s="20"/>
      <c r="H3172" s="20" t="s">
        <v>5822</v>
      </c>
      <c r="I3172" s="5"/>
      <c r="J3172" s="20">
        <v>3.0</v>
      </c>
      <c r="K3172" s="20">
        <v>199.0</v>
      </c>
      <c r="L3172" s="20"/>
      <c r="M3172" s="20">
        <v>199.0</v>
      </c>
      <c r="N3172" s="5" t="s">
        <v>67</v>
      </c>
      <c r="O3172" s="20" t="b">
        <v>0</v>
      </c>
      <c r="P3172" s="20" t="s">
        <v>68</v>
      </c>
      <c r="Q3172" s="20" t="s">
        <v>69</v>
      </c>
      <c r="R3172" s="20" t="s">
        <v>5824</v>
      </c>
      <c r="T3172" s="20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</row>
    <row r="3173">
      <c r="A3173" s="15" t="s">
        <v>10871</v>
      </c>
      <c r="B3173" s="19">
        <v>44445.450694444444</v>
      </c>
      <c r="C3173" s="20">
        <v>49998.0</v>
      </c>
      <c r="D3173" s="20" t="s">
        <v>6301</v>
      </c>
      <c r="E3173" s="5">
        <v>9.19939958815E11</v>
      </c>
      <c r="F3173" s="21">
        <v>19720.0</v>
      </c>
      <c r="G3173" s="20"/>
      <c r="H3173" s="20" t="s">
        <v>6250</v>
      </c>
      <c r="I3173" s="5"/>
      <c r="J3173" s="20">
        <v>1.0</v>
      </c>
      <c r="K3173" s="20">
        <v>99.0</v>
      </c>
      <c r="L3173" s="20"/>
      <c r="M3173" s="20">
        <v>99.0</v>
      </c>
      <c r="N3173" s="5" t="s">
        <v>67</v>
      </c>
      <c r="O3173" s="20" t="b">
        <v>0</v>
      </c>
      <c r="P3173" s="20" t="s">
        <v>68</v>
      </c>
      <c r="Q3173" s="20" t="s">
        <v>69</v>
      </c>
      <c r="R3173" s="20" t="s">
        <v>6252</v>
      </c>
      <c r="T3173" s="20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</row>
    <row r="3174">
      <c r="A3174" s="15" t="s">
        <v>10873</v>
      </c>
      <c r="B3174" s="19">
        <v>44445.45972222222</v>
      </c>
      <c r="C3174" s="20">
        <v>49859.0</v>
      </c>
      <c r="D3174" s="20" t="s">
        <v>4745</v>
      </c>
      <c r="E3174" s="5">
        <v>9.17569842427E11</v>
      </c>
      <c r="F3174" s="21">
        <v>11313.0</v>
      </c>
      <c r="G3174" s="20"/>
      <c r="H3174" s="20" t="s">
        <v>1133</v>
      </c>
      <c r="I3174" s="5"/>
      <c r="J3174" s="20">
        <v>1.0</v>
      </c>
      <c r="K3174" s="20">
        <v>99.0</v>
      </c>
      <c r="L3174" s="20"/>
      <c r="M3174" s="20">
        <v>99.0</v>
      </c>
      <c r="N3174" s="5" t="s">
        <v>67</v>
      </c>
      <c r="O3174" s="20" t="b">
        <v>0</v>
      </c>
      <c r="P3174" s="20" t="s">
        <v>68</v>
      </c>
      <c r="Q3174" s="20" t="s">
        <v>69</v>
      </c>
      <c r="R3174" s="20" t="s">
        <v>4741</v>
      </c>
      <c r="T3174" s="20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</row>
    <row r="3175">
      <c r="A3175" s="15" t="s">
        <v>10882</v>
      </c>
      <c r="B3175" s="19">
        <v>44445.47361111111</v>
      </c>
      <c r="C3175" s="20">
        <v>50023.0</v>
      </c>
      <c r="D3175" s="20" t="s">
        <v>5586</v>
      </c>
      <c r="E3175" s="5">
        <v>9.19012381546E11</v>
      </c>
      <c r="F3175" s="21">
        <v>19724.0</v>
      </c>
      <c r="G3175" s="20"/>
      <c r="H3175" s="20" t="s">
        <v>5508</v>
      </c>
      <c r="I3175" s="5"/>
      <c r="J3175" s="20">
        <v>1.0</v>
      </c>
      <c r="K3175" s="20">
        <v>99.0</v>
      </c>
      <c r="L3175" s="20"/>
      <c r="M3175" s="20">
        <v>99.0</v>
      </c>
      <c r="N3175" s="5" t="s">
        <v>67</v>
      </c>
      <c r="O3175" s="20" t="b">
        <v>0</v>
      </c>
      <c r="P3175" s="20" t="s">
        <v>68</v>
      </c>
      <c r="Q3175" s="20" t="s">
        <v>69</v>
      </c>
      <c r="R3175" s="20" t="s">
        <v>5510</v>
      </c>
      <c r="T3175" s="20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</row>
    <row r="3176">
      <c r="A3176" s="15" t="s">
        <v>10883</v>
      </c>
      <c r="B3176" s="19">
        <v>44445.47361111111</v>
      </c>
      <c r="C3176" s="20">
        <v>50039.0</v>
      </c>
      <c r="D3176" s="20" t="s">
        <v>4386</v>
      </c>
      <c r="E3176" s="5">
        <v>9.1944205424E11</v>
      </c>
      <c r="F3176" s="21">
        <v>19725.0</v>
      </c>
      <c r="G3176" s="20"/>
      <c r="H3176" s="20" t="s">
        <v>4341</v>
      </c>
      <c r="I3176" s="5"/>
      <c r="J3176" s="20">
        <v>1.0</v>
      </c>
      <c r="K3176" s="20">
        <v>99.0</v>
      </c>
      <c r="L3176" s="20"/>
      <c r="M3176" s="20">
        <v>99.0</v>
      </c>
      <c r="N3176" s="5" t="s">
        <v>67</v>
      </c>
      <c r="O3176" s="20" t="b">
        <v>0</v>
      </c>
      <c r="P3176" s="20" t="s">
        <v>74</v>
      </c>
      <c r="Q3176" s="20" t="s">
        <v>69</v>
      </c>
      <c r="R3176" s="20" t="s">
        <v>4343</v>
      </c>
      <c r="T3176" s="20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</row>
    <row r="3177">
      <c r="A3177" s="15" t="s">
        <v>10875</v>
      </c>
      <c r="B3177" s="19">
        <v>44445.464583333334</v>
      </c>
      <c r="C3177" s="20">
        <v>50023.0</v>
      </c>
      <c r="D3177" s="20" t="s">
        <v>5585</v>
      </c>
      <c r="E3177" s="5">
        <v>9.18447771521E11</v>
      </c>
      <c r="F3177" s="21">
        <v>19723.0</v>
      </c>
      <c r="G3177" s="20"/>
      <c r="H3177" s="20" t="s">
        <v>5508</v>
      </c>
      <c r="I3177" s="5"/>
      <c r="J3177" s="20">
        <v>1.0</v>
      </c>
      <c r="K3177" s="20">
        <v>99.0</v>
      </c>
      <c r="L3177" s="20"/>
      <c r="M3177" s="20">
        <v>99.0</v>
      </c>
      <c r="N3177" s="5" t="s">
        <v>67</v>
      </c>
      <c r="O3177" s="20" t="b">
        <v>0</v>
      </c>
      <c r="P3177" s="20" t="s">
        <v>151</v>
      </c>
      <c r="Q3177" s="20" t="s">
        <v>69</v>
      </c>
      <c r="R3177" s="20" t="s">
        <v>5584</v>
      </c>
      <c r="T3177" s="20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</row>
    <row r="3178">
      <c r="A3178" s="15" t="s">
        <v>10727</v>
      </c>
      <c r="B3178" s="19">
        <v>44414.45</v>
      </c>
      <c r="C3178" s="20">
        <v>49833.0</v>
      </c>
      <c r="D3178" s="20" t="s">
        <v>4211</v>
      </c>
      <c r="E3178" s="5">
        <v>9.19920620909E11</v>
      </c>
      <c r="F3178" s="21">
        <v>19660.0</v>
      </c>
      <c r="G3178" s="20"/>
      <c r="H3178" s="20" t="s">
        <v>4030</v>
      </c>
      <c r="I3178" s="5"/>
      <c r="J3178" s="20">
        <v>1.0</v>
      </c>
      <c r="K3178" s="20">
        <v>99.0</v>
      </c>
      <c r="L3178" s="20"/>
      <c r="M3178" s="20">
        <v>99.0</v>
      </c>
      <c r="N3178" s="5" t="s">
        <v>67</v>
      </c>
      <c r="O3178" s="20" t="b">
        <v>0</v>
      </c>
      <c r="P3178" s="20" t="s">
        <v>74</v>
      </c>
      <c r="Q3178" s="20" t="s">
        <v>69</v>
      </c>
      <c r="R3178" s="20" t="s">
        <v>4033</v>
      </c>
      <c r="T3178" s="20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</row>
    <row r="3179">
      <c r="A3179" s="15" t="s">
        <v>10893</v>
      </c>
      <c r="B3179" s="19">
        <v>44445.518055555556</v>
      </c>
      <c r="C3179" s="20">
        <v>49833.0</v>
      </c>
      <c r="D3179" s="20" t="s">
        <v>4219</v>
      </c>
      <c r="E3179" s="5">
        <v>9.18390855988E11</v>
      </c>
      <c r="F3179" s="21">
        <v>19727.0</v>
      </c>
      <c r="G3179" s="20"/>
      <c r="H3179" s="20" t="s">
        <v>4030</v>
      </c>
      <c r="I3179" s="5"/>
      <c r="J3179" s="20">
        <v>1.0</v>
      </c>
      <c r="K3179" s="20">
        <v>149.0</v>
      </c>
      <c r="L3179" s="20"/>
      <c r="M3179" s="20">
        <v>149.0</v>
      </c>
      <c r="N3179" s="5" t="s">
        <v>67</v>
      </c>
      <c r="O3179" s="20" t="b">
        <v>0</v>
      </c>
      <c r="P3179" s="20" t="s">
        <v>68</v>
      </c>
      <c r="Q3179" s="20" t="s">
        <v>69</v>
      </c>
      <c r="R3179" s="20" t="s">
        <v>4033</v>
      </c>
      <c r="T3179" s="20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</row>
    <row r="3180">
      <c r="A3180" s="15" t="s">
        <v>10894</v>
      </c>
      <c r="B3180" s="19">
        <v>44445.51944444444</v>
      </c>
      <c r="C3180" s="20">
        <v>49907.0</v>
      </c>
      <c r="D3180" s="20" t="s">
        <v>3837</v>
      </c>
      <c r="E3180" s="5">
        <v>9.19963933226E11</v>
      </c>
      <c r="F3180" s="21">
        <v>19726.0</v>
      </c>
      <c r="G3180" s="20"/>
      <c r="H3180" s="20" t="s">
        <v>587</v>
      </c>
      <c r="I3180" s="5"/>
      <c r="J3180" s="20">
        <v>1.0</v>
      </c>
      <c r="K3180" s="20">
        <v>99.0</v>
      </c>
      <c r="L3180" s="20"/>
      <c r="M3180" s="20">
        <v>99.0</v>
      </c>
      <c r="N3180" s="5" t="s">
        <v>67</v>
      </c>
      <c r="O3180" s="20" t="b">
        <v>0</v>
      </c>
      <c r="P3180" s="20" t="s">
        <v>74</v>
      </c>
      <c r="Q3180" s="20" t="s">
        <v>69</v>
      </c>
      <c r="R3180" s="20" t="s">
        <v>3774</v>
      </c>
      <c r="T3180" s="20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</row>
    <row r="3181">
      <c r="A3181" s="15" t="s">
        <v>10896</v>
      </c>
      <c r="B3181" s="19">
        <v>44445.52569444444</v>
      </c>
      <c r="C3181" s="20">
        <v>50052.0</v>
      </c>
      <c r="D3181" s="20" t="s">
        <v>4501</v>
      </c>
      <c r="E3181" s="5">
        <v>9.19667255077E11</v>
      </c>
      <c r="F3181" s="21">
        <v>19791.0</v>
      </c>
      <c r="G3181" s="20"/>
      <c r="H3181" s="20" t="s">
        <v>4433</v>
      </c>
      <c r="I3181" s="5"/>
      <c r="J3181" s="20">
        <v>1.0</v>
      </c>
      <c r="K3181" s="20">
        <v>99.0</v>
      </c>
      <c r="L3181" s="20"/>
      <c r="M3181" s="20">
        <v>99.0</v>
      </c>
      <c r="N3181" s="5" t="s">
        <v>67</v>
      </c>
      <c r="O3181" s="20" t="b">
        <v>0</v>
      </c>
      <c r="P3181" s="20" t="s">
        <v>68</v>
      </c>
      <c r="Q3181" s="20" t="s">
        <v>69</v>
      </c>
      <c r="R3181" s="20" t="s">
        <v>4435</v>
      </c>
      <c r="T3181" s="20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</row>
    <row r="3182">
      <c r="A3182" s="15" t="s">
        <v>10901</v>
      </c>
      <c r="B3182" s="19">
        <v>44445.53125</v>
      </c>
      <c r="C3182" s="20">
        <v>50043.0</v>
      </c>
      <c r="D3182" s="20" t="s">
        <v>6423</v>
      </c>
      <c r="E3182" s="5">
        <v>9.1783686829E11</v>
      </c>
      <c r="F3182" s="21">
        <v>19728.0</v>
      </c>
      <c r="G3182" s="20"/>
      <c r="H3182" s="20" t="s">
        <v>6367</v>
      </c>
      <c r="I3182" s="5"/>
      <c r="J3182" s="20">
        <v>3.0</v>
      </c>
      <c r="K3182" s="20">
        <v>199.0</v>
      </c>
      <c r="L3182" s="20"/>
      <c r="M3182" s="20">
        <v>199.0</v>
      </c>
      <c r="N3182" s="5" t="s">
        <v>67</v>
      </c>
      <c r="O3182" s="20" t="b">
        <v>0</v>
      </c>
      <c r="P3182" s="20" t="s">
        <v>68</v>
      </c>
      <c r="Q3182" s="20" t="s">
        <v>69</v>
      </c>
      <c r="R3182" s="20" t="s">
        <v>6369</v>
      </c>
      <c r="T3182" s="20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</row>
    <row r="3183">
      <c r="A3183" s="15" t="s">
        <v>10737</v>
      </c>
      <c r="B3183" s="19">
        <v>44414.475694444445</v>
      </c>
      <c r="C3183" s="20">
        <v>50073.0</v>
      </c>
      <c r="D3183" s="20" t="s">
        <v>2337</v>
      </c>
      <c r="E3183" s="5">
        <v>9.1981171518E11</v>
      </c>
      <c r="F3183" s="21">
        <v>17333.0</v>
      </c>
      <c r="G3183" s="20"/>
      <c r="H3183" s="20" t="s">
        <v>2161</v>
      </c>
      <c r="I3183" s="5"/>
      <c r="J3183" s="20">
        <v>3.0</v>
      </c>
      <c r="K3183" s="20">
        <v>1499.0</v>
      </c>
      <c r="L3183" s="20"/>
      <c r="M3183" s="20">
        <v>1499.0</v>
      </c>
      <c r="N3183" s="5" t="s">
        <v>67</v>
      </c>
      <c r="O3183" s="20" t="b">
        <v>0</v>
      </c>
      <c r="P3183" s="20" t="s">
        <v>68</v>
      </c>
      <c r="Q3183" s="20" t="s">
        <v>69</v>
      </c>
      <c r="R3183" s="20" t="s">
        <v>6561</v>
      </c>
      <c r="T3183" s="20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</row>
    <row r="3184">
      <c r="A3184" s="15" t="s">
        <v>10902</v>
      </c>
      <c r="B3184" s="19">
        <v>44445.5375</v>
      </c>
      <c r="C3184" s="20">
        <v>49844.0</v>
      </c>
      <c r="D3184" s="20" t="s">
        <v>5489</v>
      </c>
      <c r="E3184" s="5">
        <v>9.18200463339E11</v>
      </c>
      <c r="F3184" s="21">
        <v>19730.0</v>
      </c>
      <c r="G3184" s="20"/>
      <c r="H3184" s="20" t="s">
        <v>885</v>
      </c>
      <c r="I3184" s="5"/>
      <c r="J3184" s="20">
        <v>6.0</v>
      </c>
      <c r="K3184" s="20">
        <v>349.0</v>
      </c>
      <c r="L3184" s="20"/>
      <c r="M3184" s="20">
        <v>349.0</v>
      </c>
      <c r="N3184" s="5" t="s">
        <v>67</v>
      </c>
      <c r="O3184" s="20" t="b">
        <v>0</v>
      </c>
      <c r="P3184" s="20" t="s">
        <v>68</v>
      </c>
      <c r="Q3184" s="20" t="s">
        <v>69</v>
      </c>
      <c r="R3184" s="20" t="s">
        <v>5445</v>
      </c>
      <c r="T3184" s="20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</row>
    <row r="3185">
      <c r="A3185" s="15" t="s">
        <v>10745</v>
      </c>
      <c r="B3185" s="19">
        <v>44414.49652777778</v>
      </c>
      <c r="C3185" s="20">
        <v>50047.0</v>
      </c>
      <c r="D3185" s="20" t="s">
        <v>3270</v>
      </c>
      <c r="E3185" s="5">
        <v>9.16284176946E11</v>
      </c>
      <c r="F3185" s="21">
        <v>19661.0</v>
      </c>
      <c r="G3185" s="20"/>
      <c r="H3185" s="20" t="s">
        <v>3195</v>
      </c>
      <c r="I3185" s="5"/>
      <c r="J3185" s="20">
        <v>3.0</v>
      </c>
      <c r="K3185" s="20">
        <v>199.0</v>
      </c>
      <c r="L3185" s="20"/>
      <c r="M3185" s="20">
        <v>199.0</v>
      </c>
      <c r="N3185" s="5" t="s">
        <v>67</v>
      </c>
      <c r="O3185" s="20" t="b">
        <v>0</v>
      </c>
      <c r="P3185" s="20" t="s">
        <v>68</v>
      </c>
      <c r="Q3185" s="20" t="s">
        <v>69</v>
      </c>
      <c r="R3185" s="20" t="s">
        <v>3197</v>
      </c>
      <c r="T3185" s="20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</row>
    <row r="3186">
      <c r="A3186" s="15" t="s">
        <v>10905</v>
      </c>
      <c r="B3186" s="19">
        <v>44445.56319444445</v>
      </c>
      <c r="C3186" s="20">
        <v>49991.0</v>
      </c>
      <c r="D3186" s="20" t="s">
        <v>3154</v>
      </c>
      <c r="E3186" s="5">
        <v>9.1946107655E11</v>
      </c>
      <c r="F3186" s="21">
        <v>19735.0</v>
      </c>
      <c r="G3186" s="20"/>
      <c r="H3186" s="20" t="s">
        <v>3055</v>
      </c>
      <c r="I3186" s="5"/>
      <c r="J3186" s="20">
        <v>1.0</v>
      </c>
      <c r="K3186" s="20">
        <v>99.0</v>
      </c>
      <c r="L3186" s="20"/>
      <c r="M3186" s="20">
        <v>99.0</v>
      </c>
      <c r="N3186" s="5" t="s">
        <v>67</v>
      </c>
      <c r="O3186" s="20" t="b">
        <v>0</v>
      </c>
      <c r="P3186" s="20" t="s">
        <v>68</v>
      </c>
      <c r="Q3186" s="20" t="s">
        <v>69</v>
      </c>
      <c r="R3186" s="20" t="s">
        <v>3057</v>
      </c>
      <c r="T3186" s="20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</row>
    <row r="3187">
      <c r="A3187" s="15" t="s">
        <v>10750</v>
      </c>
      <c r="B3187" s="19">
        <v>44414.50555555556</v>
      </c>
      <c r="C3187" s="20">
        <v>50073.0</v>
      </c>
      <c r="D3187" s="20" t="s">
        <v>6566</v>
      </c>
      <c r="E3187" s="5">
        <v>9.19000578337E11</v>
      </c>
      <c r="F3187" s="21">
        <v>17765.0</v>
      </c>
      <c r="G3187" s="20"/>
      <c r="H3187" s="20" t="s">
        <v>2161</v>
      </c>
      <c r="I3187" s="5"/>
      <c r="J3187" s="20">
        <v>1.0</v>
      </c>
      <c r="K3187" s="20">
        <v>599.0</v>
      </c>
      <c r="L3187" s="20"/>
      <c r="M3187" s="20">
        <v>599.0</v>
      </c>
      <c r="N3187" s="5" t="s">
        <v>67</v>
      </c>
      <c r="O3187" s="20" t="b">
        <v>0</v>
      </c>
      <c r="P3187" s="20" t="s">
        <v>68</v>
      </c>
      <c r="Q3187" s="20" t="s">
        <v>69</v>
      </c>
      <c r="R3187" s="20" t="s">
        <v>6561</v>
      </c>
      <c r="T3187" s="20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</row>
    <row r="3188">
      <c r="A3188" s="15" t="s">
        <v>10751</v>
      </c>
      <c r="B3188" s="19">
        <v>44414.50833333333</v>
      </c>
      <c r="C3188" s="20">
        <v>49844.0</v>
      </c>
      <c r="D3188" s="20" t="s">
        <v>5487</v>
      </c>
      <c r="E3188" s="5">
        <v>9.18335883002E11</v>
      </c>
      <c r="F3188" s="21">
        <v>19662.0</v>
      </c>
      <c r="G3188" s="20"/>
      <c r="H3188" s="20" t="s">
        <v>885</v>
      </c>
      <c r="I3188" s="5"/>
      <c r="J3188" s="20">
        <v>3.0</v>
      </c>
      <c r="K3188" s="20">
        <v>199.0</v>
      </c>
      <c r="L3188" s="20"/>
      <c r="M3188" s="20">
        <v>199.0</v>
      </c>
      <c r="N3188" s="5" t="s">
        <v>67</v>
      </c>
      <c r="O3188" s="20" t="b">
        <v>0</v>
      </c>
      <c r="P3188" s="20" t="s">
        <v>68</v>
      </c>
      <c r="Q3188" s="20" t="s">
        <v>69</v>
      </c>
      <c r="R3188" s="20" t="s">
        <v>5476</v>
      </c>
      <c r="T3188" s="20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</row>
    <row r="3189">
      <c r="A3189" s="15" t="s">
        <v>10906</v>
      </c>
      <c r="B3189" s="19">
        <v>44445.56875</v>
      </c>
      <c r="C3189" s="20">
        <v>49997.0</v>
      </c>
      <c r="D3189" s="20" t="s">
        <v>2551</v>
      </c>
      <c r="E3189" s="5">
        <v>9.19035015257E11</v>
      </c>
      <c r="F3189" s="21">
        <v>19731.0</v>
      </c>
      <c r="G3189" s="20"/>
      <c r="H3189" s="20" t="s">
        <v>2455</v>
      </c>
      <c r="I3189" s="5"/>
      <c r="J3189" s="20">
        <v>3.0</v>
      </c>
      <c r="K3189" s="20">
        <v>199.0</v>
      </c>
      <c r="L3189" s="20"/>
      <c r="M3189" s="20">
        <v>199.0</v>
      </c>
      <c r="N3189" s="5" t="s">
        <v>67</v>
      </c>
      <c r="O3189" s="20" t="b">
        <v>0</v>
      </c>
      <c r="P3189" s="20" t="s">
        <v>68</v>
      </c>
      <c r="Q3189" s="20" t="s">
        <v>69</v>
      </c>
      <c r="R3189" s="20" t="s">
        <v>2457</v>
      </c>
      <c r="T3189" s="20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</row>
    <row r="3190">
      <c r="A3190" s="15" t="s">
        <v>10908</v>
      </c>
      <c r="B3190" s="19">
        <v>44445.5875</v>
      </c>
      <c r="C3190" s="20">
        <v>49835.0</v>
      </c>
      <c r="D3190" s="20" t="s">
        <v>3939</v>
      </c>
      <c r="E3190" s="5">
        <v>9.19907896802E11</v>
      </c>
      <c r="F3190" s="21">
        <v>19733.0</v>
      </c>
      <c r="G3190" s="20"/>
      <c r="H3190" s="20" t="s">
        <v>680</v>
      </c>
      <c r="I3190" s="5"/>
      <c r="J3190" s="20">
        <v>1.0</v>
      </c>
      <c r="K3190" s="20">
        <v>99.0</v>
      </c>
      <c r="L3190" s="20"/>
      <c r="M3190" s="20">
        <v>99.0</v>
      </c>
      <c r="N3190" s="5" t="s">
        <v>67</v>
      </c>
      <c r="O3190" s="20" t="b">
        <v>0</v>
      </c>
      <c r="P3190" s="20" t="s">
        <v>68</v>
      </c>
      <c r="Q3190" s="20" t="s">
        <v>69</v>
      </c>
      <c r="R3190" s="20" t="s">
        <v>3888</v>
      </c>
      <c r="T3190" s="20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</row>
    <row r="3191">
      <c r="A3191" s="15" t="s">
        <v>10752</v>
      </c>
      <c r="B3191" s="19">
        <v>44414.51180555556</v>
      </c>
      <c r="C3191" s="20">
        <v>50029.0</v>
      </c>
      <c r="D3191" s="20" t="s">
        <v>2882</v>
      </c>
      <c r="E3191" s="5">
        <v>9.19885039353E11</v>
      </c>
      <c r="F3191" s="21">
        <v>19663.0</v>
      </c>
      <c r="G3191" s="20"/>
      <c r="H3191" s="20" t="s">
        <v>2761</v>
      </c>
      <c r="I3191" s="5"/>
      <c r="J3191" s="20">
        <v>1.0</v>
      </c>
      <c r="K3191" s="20">
        <v>99.0</v>
      </c>
      <c r="L3191" s="20"/>
      <c r="M3191" s="20">
        <v>99.0</v>
      </c>
      <c r="N3191" s="5" t="s">
        <v>67</v>
      </c>
      <c r="O3191" s="20" t="b">
        <v>0</v>
      </c>
      <c r="P3191" s="20" t="s">
        <v>68</v>
      </c>
      <c r="Q3191" s="20" t="s">
        <v>69</v>
      </c>
      <c r="R3191" s="20" t="s">
        <v>2763</v>
      </c>
      <c r="T3191" s="20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</row>
    <row r="3192">
      <c r="A3192" s="15" t="s">
        <v>10907</v>
      </c>
      <c r="B3192" s="19">
        <v>44445.57152777778</v>
      </c>
      <c r="C3192" s="20">
        <v>50047.0</v>
      </c>
      <c r="D3192" s="20" t="s">
        <v>3272</v>
      </c>
      <c r="E3192" s="5">
        <v>9.19923400813E11</v>
      </c>
      <c r="F3192" s="21">
        <v>19732.0</v>
      </c>
      <c r="G3192" s="20"/>
      <c r="H3192" s="20" t="s">
        <v>3195</v>
      </c>
      <c r="I3192" s="5"/>
      <c r="J3192" s="20">
        <v>12.0</v>
      </c>
      <c r="K3192" s="20">
        <v>499.0</v>
      </c>
      <c r="L3192" s="20"/>
      <c r="M3192" s="20">
        <v>499.0</v>
      </c>
      <c r="N3192" s="5" t="s">
        <v>67</v>
      </c>
      <c r="O3192" s="20" t="b">
        <v>0</v>
      </c>
      <c r="P3192" s="20" t="s">
        <v>68</v>
      </c>
      <c r="Q3192" s="20" t="s">
        <v>69</v>
      </c>
      <c r="R3192" s="20" t="s">
        <v>3197</v>
      </c>
      <c r="T3192" s="20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</row>
    <row r="3193">
      <c r="A3193" s="15" t="s">
        <v>10757</v>
      </c>
      <c r="B3193" s="19">
        <v>44414.53055555555</v>
      </c>
      <c r="C3193" s="20">
        <v>49833.0</v>
      </c>
      <c r="D3193" s="20" t="s">
        <v>4212</v>
      </c>
      <c r="E3193" s="5">
        <v>9.19822271319E11</v>
      </c>
      <c r="F3193" s="21">
        <v>19665.0</v>
      </c>
      <c r="G3193" s="20"/>
      <c r="H3193" s="20" t="s">
        <v>4030</v>
      </c>
      <c r="I3193" s="5"/>
      <c r="J3193" s="20">
        <v>3.0</v>
      </c>
      <c r="K3193" s="20">
        <v>199.0</v>
      </c>
      <c r="L3193" s="20"/>
      <c r="M3193" s="20">
        <v>199.0</v>
      </c>
      <c r="N3193" s="5" t="s">
        <v>67</v>
      </c>
      <c r="O3193" s="20" t="b">
        <v>0</v>
      </c>
      <c r="P3193" s="20" t="s">
        <v>74</v>
      </c>
      <c r="Q3193" s="20" t="s">
        <v>69</v>
      </c>
      <c r="R3193" s="20" t="s">
        <v>4202</v>
      </c>
      <c r="T3193" s="20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</row>
    <row r="3194">
      <c r="A3194" s="15" t="s">
        <v>10909</v>
      </c>
      <c r="B3194" s="19">
        <v>44445.59166666667</v>
      </c>
      <c r="C3194" s="20">
        <v>50029.0</v>
      </c>
      <c r="D3194" s="20" t="s">
        <v>2883</v>
      </c>
      <c r="E3194" s="5">
        <v>9.17769805E11</v>
      </c>
      <c r="F3194" s="21">
        <v>19734.0</v>
      </c>
      <c r="G3194" s="20"/>
      <c r="H3194" s="20" t="s">
        <v>2761</v>
      </c>
      <c r="I3194" s="5"/>
      <c r="J3194" s="20">
        <v>1.0</v>
      </c>
      <c r="K3194" s="20">
        <v>99.0</v>
      </c>
      <c r="L3194" s="20"/>
      <c r="M3194" s="20">
        <v>99.0</v>
      </c>
      <c r="N3194" s="5" t="s">
        <v>67</v>
      </c>
      <c r="O3194" s="20" t="b">
        <v>0</v>
      </c>
      <c r="P3194" s="20" t="s">
        <v>68</v>
      </c>
      <c r="Q3194" s="20" t="s">
        <v>69</v>
      </c>
      <c r="R3194" s="20" t="s">
        <v>2763</v>
      </c>
      <c r="T3194" s="20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</row>
    <row r="3195">
      <c r="A3195" s="15" t="s">
        <v>10753</v>
      </c>
      <c r="B3195" s="19">
        <v>44414.520833333336</v>
      </c>
      <c r="C3195" s="20">
        <v>49996.0</v>
      </c>
      <c r="D3195" s="20" t="s">
        <v>4849</v>
      </c>
      <c r="E3195" s="5">
        <v>9.19958144371E11</v>
      </c>
      <c r="F3195" s="21">
        <v>19668.0</v>
      </c>
      <c r="G3195" s="20"/>
      <c r="H3195" s="20" t="s">
        <v>4796</v>
      </c>
      <c r="I3195" s="5"/>
      <c r="J3195" s="20">
        <v>1.0</v>
      </c>
      <c r="K3195" s="20">
        <v>99.0</v>
      </c>
      <c r="L3195" s="20"/>
      <c r="M3195" s="20">
        <v>99.0</v>
      </c>
      <c r="N3195" s="5" t="s">
        <v>67</v>
      </c>
      <c r="O3195" s="20" t="b">
        <v>0</v>
      </c>
      <c r="P3195" s="20" t="s">
        <v>68</v>
      </c>
      <c r="Q3195" s="20" t="s">
        <v>69</v>
      </c>
      <c r="R3195" s="20" t="s">
        <v>4799</v>
      </c>
      <c r="T3195" s="20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</row>
    <row r="3196">
      <c r="A3196" s="15" t="s">
        <v>10754</v>
      </c>
      <c r="B3196" s="19">
        <v>44414.52291666667</v>
      </c>
      <c r="C3196" s="20">
        <v>49844.0</v>
      </c>
      <c r="D3196" s="20" t="s">
        <v>5488</v>
      </c>
      <c r="E3196" s="5">
        <v>9.17384252628E11</v>
      </c>
      <c r="F3196" s="21">
        <v>19664.0</v>
      </c>
      <c r="G3196" s="20"/>
      <c r="H3196" s="20" t="s">
        <v>885</v>
      </c>
      <c r="I3196" s="5"/>
      <c r="J3196" s="20">
        <v>1.0</v>
      </c>
      <c r="K3196" s="20">
        <v>99.0</v>
      </c>
      <c r="L3196" s="20"/>
      <c r="M3196" s="20">
        <v>99.0</v>
      </c>
      <c r="N3196" s="5" t="s">
        <v>67</v>
      </c>
      <c r="O3196" s="20" t="b">
        <v>0</v>
      </c>
      <c r="P3196" s="20" t="s">
        <v>151</v>
      </c>
      <c r="Q3196" s="20" t="s">
        <v>69</v>
      </c>
      <c r="R3196" s="20" t="s">
        <v>5445</v>
      </c>
      <c r="T3196" s="20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</row>
    <row r="3197">
      <c r="A3197" s="15" t="s">
        <v>10912</v>
      </c>
      <c r="B3197" s="19">
        <v>44445.603472222225</v>
      </c>
      <c r="C3197" s="20">
        <v>49833.0</v>
      </c>
      <c r="D3197" s="20" t="s">
        <v>4220</v>
      </c>
      <c r="E3197" s="5">
        <v>9.18638183211E11</v>
      </c>
      <c r="F3197" s="22" t="s">
        <v>12593</v>
      </c>
      <c r="G3197" s="20"/>
      <c r="H3197" s="20" t="s">
        <v>4030</v>
      </c>
      <c r="I3197" s="5"/>
      <c r="J3197" s="20">
        <v>6.0</v>
      </c>
      <c r="K3197" s="20">
        <v>449.0</v>
      </c>
      <c r="L3197" s="20"/>
      <c r="M3197" s="20">
        <v>449.0</v>
      </c>
      <c r="N3197" s="5" t="s">
        <v>67</v>
      </c>
      <c r="O3197" s="20" t="b">
        <v>0</v>
      </c>
      <c r="P3197" s="20" t="s">
        <v>74</v>
      </c>
      <c r="Q3197" s="20" t="s">
        <v>69</v>
      </c>
      <c r="R3197" s="20" t="s">
        <v>4033</v>
      </c>
      <c r="T3197" s="20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</row>
    <row r="3198">
      <c r="A3198" s="15" t="s">
        <v>10764</v>
      </c>
      <c r="B3198" s="19">
        <v>44414.54791666667</v>
      </c>
      <c r="C3198" s="20">
        <v>49859.0</v>
      </c>
      <c r="D3198" s="20" t="s">
        <v>4743</v>
      </c>
      <c r="E3198" s="5">
        <v>9.17893266797E11</v>
      </c>
      <c r="F3198" s="21">
        <v>19667.0</v>
      </c>
      <c r="G3198" s="20"/>
      <c r="H3198" s="20" t="s">
        <v>1133</v>
      </c>
      <c r="I3198" s="5"/>
      <c r="J3198" s="20">
        <v>1.0</v>
      </c>
      <c r="K3198" s="20">
        <v>99.0</v>
      </c>
      <c r="L3198" s="20"/>
      <c r="M3198" s="20">
        <v>99.0</v>
      </c>
      <c r="N3198" s="5" t="s">
        <v>67</v>
      </c>
      <c r="O3198" s="20" t="b">
        <v>0</v>
      </c>
      <c r="P3198" s="20" t="s">
        <v>68</v>
      </c>
      <c r="Q3198" s="20" t="s">
        <v>69</v>
      </c>
      <c r="R3198" s="20" t="s">
        <v>4736</v>
      </c>
      <c r="T3198" s="20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</row>
    <row r="3199">
      <c r="A3199" s="15" t="s">
        <v>10765</v>
      </c>
      <c r="B3199" s="19">
        <v>44414.549305555556</v>
      </c>
      <c r="C3199" s="20">
        <v>50073.0</v>
      </c>
      <c r="D3199" s="20" t="s">
        <v>530</v>
      </c>
      <c r="E3199" s="5">
        <v>9.19828882444E11</v>
      </c>
      <c r="F3199" s="21">
        <v>19669.0</v>
      </c>
      <c r="G3199" s="20"/>
      <c r="H3199" s="20" t="s">
        <v>2161</v>
      </c>
      <c r="I3199" s="5"/>
      <c r="J3199" s="20">
        <v>1.0</v>
      </c>
      <c r="K3199" s="20">
        <v>799.0</v>
      </c>
      <c r="L3199" s="20"/>
      <c r="M3199" s="20">
        <v>799.0</v>
      </c>
      <c r="N3199" s="5" t="s">
        <v>67</v>
      </c>
      <c r="O3199" s="20" t="b">
        <v>0</v>
      </c>
      <c r="P3199" s="20" t="s">
        <v>68</v>
      </c>
      <c r="Q3199" s="20" t="s">
        <v>69</v>
      </c>
      <c r="R3199" s="20" t="s">
        <v>6563</v>
      </c>
      <c r="T3199" s="20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</row>
    <row r="3200">
      <c r="A3200" s="15" t="s">
        <v>10772</v>
      </c>
      <c r="B3200" s="19">
        <v>44414.56805555556</v>
      </c>
      <c r="C3200" s="20">
        <v>50023.0</v>
      </c>
      <c r="D3200" s="20" t="s">
        <v>5579</v>
      </c>
      <c r="E3200" s="5">
        <v>9.18971763523E11</v>
      </c>
      <c r="F3200" s="21">
        <v>19679.0</v>
      </c>
      <c r="G3200" s="20"/>
      <c r="H3200" s="20" t="s">
        <v>5508</v>
      </c>
      <c r="I3200" s="5"/>
      <c r="J3200" s="20">
        <v>3.0</v>
      </c>
      <c r="K3200" s="20">
        <v>199.0</v>
      </c>
      <c r="L3200" s="20"/>
      <c r="M3200" s="20">
        <v>199.0</v>
      </c>
      <c r="N3200" s="5" t="s">
        <v>67</v>
      </c>
      <c r="O3200" s="20" t="b">
        <v>0</v>
      </c>
      <c r="P3200" s="20" t="s">
        <v>68</v>
      </c>
      <c r="Q3200" s="20" t="s">
        <v>69</v>
      </c>
      <c r="R3200" s="20" t="s">
        <v>5510</v>
      </c>
      <c r="T3200" s="20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</row>
    <row r="3201">
      <c r="A3201" s="15" t="s">
        <v>10773</v>
      </c>
      <c r="B3201" s="19">
        <v>44414.56875</v>
      </c>
      <c r="C3201" s="20">
        <v>49907.0</v>
      </c>
      <c r="D3201" s="20" t="s">
        <v>3835</v>
      </c>
      <c r="E3201" s="5">
        <v>9.18827350954E11</v>
      </c>
      <c r="F3201" s="22" t="s">
        <v>12593</v>
      </c>
      <c r="G3201" s="20"/>
      <c r="H3201" s="20" t="s">
        <v>587</v>
      </c>
      <c r="I3201" s="5"/>
      <c r="J3201" s="20">
        <v>1.0</v>
      </c>
      <c r="K3201" s="20">
        <v>99.0</v>
      </c>
      <c r="L3201" s="20"/>
      <c r="M3201" s="20">
        <v>99.0</v>
      </c>
      <c r="N3201" s="5" t="s">
        <v>67</v>
      </c>
      <c r="O3201" s="20" t="b">
        <v>0</v>
      </c>
      <c r="P3201" s="20" t="s">
        <v>68</v>
      </c>
      <c r="Q3201" s="20" t="s">
        <v>69</v>
      </c>
      <c r="R3201" s="20" t="s">
        <v>3774</v>
      </c>
      <c r="T3201" s="20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</row>
    <row r="3202">
      <c r="A3202" s="15" t="s">
        <v>10774</v>
      </c>
      <c r="B3202" s="19">
        <v>44414.569444444445</v>
      </c>
      <c r="C3202" s="20">
        <v>49833.0</v>
      </c>
      <c r="D3202" s="20" t="s">
        <v>4213</v>
      </c>
      <c r="E3202" s="5">
        <v>9.18080221993E11</v>
      </c>
      <c r="F3202" s="21">
        <v>19674.0</v>
      </c>
      <c r="G3202" s="20"/>
      <c r="H3202" s="20" t="s">
        <v>4030</v>
      </c>
      <c r="I3202" s="5"/>
      <c r="J3202" s="20">
        <v>3.0</v>
      </c>
      <c r="K3202" s="20">
        <v>199.0</v>
      </c>
      <c r="L3202" s="20"/>
      <c r="M3202" s="20">
        <v>199.0</v>
      </c>
      <c r="N3202" s="5" t="s">
        <v>67</v>
      </c>
      <c r="O3202" s="20" t="b">
        <v>0</v>
      </c>
      <c r="P3202" s="20" t="s">
        <v>68</v>
      </c>
      <c r="Q3202" s="20" t="s">
        <v>69</v>
      </c>
      <c r="R3202" s="20" t="s">
        <v>4033</v>
      </c>
      <c r="T3202" s="20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</row>
    <row r="3203">
      <c r="A3203" s="15" t="s">
        <v>10775</v>
      </c>
      <c r="B3203" s="19">
        <v>44414.572222222225</v>
      </c>
      <c r="C3203" s="20">
        <v>50052.0</v>
      </c>
      <c r="D3203" s="20" t="s">
        <v>4498</v>
      </c>
      <c r="E3203" s="5">
        <v>9.19952412626E11</v>
      </c>
      <c r="F3203" s="21">
        <v>19673.0</v>
      </c>
      <c r="G3203" s="20"/>
      <c r="H3203" s="20" t="s">
        <v>4433</v>
      </c>
      <c r="I3203" s="5"/>
      <c r="J3203" s="20">
        <v>3.0</v>
      </c>
      <c r="K3203" s="20">
        <v>199.0</v>
      </c>
      <c r="L3203" s="20"/>
      <c r="M3203" s="20">
        <v>199.0</v>
      </c>
      <c r="N3203" s="5" t="s">
        <v>67</v>
      </c>
      <c r="O3203" s="20" t="b">
        <v>0</v>
      </c>
      <c r="P3203" s="20" t="s">
        <v>74</v>
      </c>
      <c r="Q3203" s="20" t="s">
        <v>69</v>
      </c>
      <c r="R3203" s="20" t="s">
        <v>4435</v>
      </c>
      <c r="T3203" s="20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</row>
    <row r="3204">
      <c r="A3204" s="15" t="s">
        <v>10766</v>
      </c>
      <c r="B3204" s="19">
        <v>44414.555555555555</v>
      </c>
      <c r="C3204" s="20">
        <v>49996.0</v>
      </c>
      <c r="D3204" s="20" t="s">
        <v>4850</v>
      </c>
      <c r="E3204" s="5">
        <v>9.17277976511E11</v>
      </c>
      <c r="F3204" s="21">
        <v>19670.0</v>
      </c>
      <c r="G3204" s="20"/>
      <c r="H3204" s="20" t="s">
        <v>4796</v>
      </c>
      <c r="I3204" s="5"/>
      <c r="J3204" s="20">
        <v>1.0</v>
      </c>
      <c r="K3204" s="20">
        <v>99.0</v>
      </c>
      <c r="L3204" s="20"/>
      <c r="M3204" s="20">
        <v>99.0</v>
      </c>
      <c r="N3204" s="5" t="s">
        <v>67</v>
      </c>
      <c r="O3204" s="20" t="b">
        <v>0</v>
      </c>
      <c r="P3204" s="20" t="s">
        <v>68</v>
      </c>
      <c r="Q3204" s="20" t="s">
        <v>69</v>
      </c>
      <c r="R3204" s="20" t="s">
        <v>4799</v>
      </c>
      <c r="T3204" s="20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</row>
    <row r="3205">
      <c r="A3205" s="15" t="s">
        <v>10913</v>
      </c>
      <c r="B3205" s="19">
        <v>44445.631944444445</v>
      </c>
      <c r="C3205" s="20">
        <v>49833.0</v>
      </c>
      <c r="D3205" s="20" t="s">
        <v>4221</v>
      </c>
      <c r="E3205" s="5">
        <v>9.19844501967E11</v>
      </c>
      <c r="F3205" s="21">
        <v>19736.0</v>
      </c>
      <c r="G3205" s="20"/>
      <c r="H3205" s="20" t="s">
        <v>4030</v>
      </c>
      <c r="I3205" s="5"/>
      <c r="J3205" s="20">
        <v>1.0</v>
      </c>
      <c r="K3205" s="20">
        <v>149.0</v>
      </c>
      <c r="L3205" s="20"/>
      <c r="M3205" s="20">
        <v>149.0</v>
      </c>
      <c r="N3205" s="5" t="s">
        <v>67</v>
      </c>
      <c r="O3205" s="20" t="b">
        <v>0</v>
      </c>
      <c r="P3205" s="20" t="s">
        <v>68</v>
      </c>
      <c r="Q3205" s="20" t="s">
        <v>69</v>
      </c>
      <c r="R3205" s="20" t="s">
        <v>4033</v>
      </c>
      <c r="T3205" s="20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</row>
    <row r="3206">
      <c r="A3206" s="15" t="s">
        <v>10769</v>
      </c>
      <c r="B3206" s="19">
        <v>44414.5625</v>
      </c>
      <c r="C3206" s="20">
        <v>50023.0</v>
      </c>
      <c r="D3206" s="20" t="s">
        <v>5578</v>
      </c>
      <c r="E3206" s="5">
        <v>9.17979931656E11</v>
      </c>
      <c r="F3206" s="21">
        <v>19671.0</v>
      </c>
      <c r="G3206" s="20"/>
      <c r="H3206" s="20" t="s">
        <v>5508</v>
      </c>
      <c r="I3206" s="5"/>
      <c r="J3206" s="20">
        <v>1.0</v>
      </c>
      <c r="K3206" s="20">
        <v>99.0</v>
      </c>
      <c r="L3206" s="20"/>
      <c r="M3206" s="20">
        <v>99.0</v>
      </c>
      <c r="N3206" s="5" t="s">
        <v>67</v>
      </c>
      <c r="O3206" s="20" t="b">
        <v>0</v>
      </c>
      <c r="P3206" s="20" t="s">
        <v>68</v>
      </c>
      <c r="Q3206" s="20" t="s">
        <v>69</v>
      </c>
      <c r="R3206" s="20" t="s">
        <v>5510</v>
      </c>
      <c r="T3206" s="20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</row>
    <row r="3207">
      <c r="A3207" s="15" t="s">
        <v>10916</v>
      </c>
      <c r="B3207" s="19">
        <v>44445.64444444444</v>
      </c>
      <c r="C3207" s="20">
        <v>49844.0</v>
      </c>
      <c r="D3207" s="20" t="s">
        <v>5490</v>
      </c>
      <c r="E3207" s="5">
        <v>9.18630509871E11</v>
      </c>
      <c r="F3207" s="21">
        <v>19738.0</v>
      </c>
      <c r="G3207" s="20"/>
      <c r="H3207" s="20" t="s">
        <v>885</v>
      </c>
      <c r="I3207" s="5"/>
      <c r="J3207" s="20">
        <v>6.0</v>
      </c>
      <c r="K3207" s="20">
        <v>349.0</v>
      </c>
      <c r="L3207" s="20"/>
      <c r="M3207" s="20">
        <v>349.0</v>
      </c>
      <c r="N3207" s="5" t="s">
        <v>67</v>
      </c>
      <c r="O3207" s="20" t="b">
        <v>0</v>
      </c>
      <c r="P3207" s="20" t="s">
        <v>68</v>
      </c>
      <c r="Q3207" s="20" t="s">
        <v>69</v>
      </c>
      <c r="R3207" s="20" t="s">
        <v>5445</v>
      </c>
      <c r="T3207" s="20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</row>
    <row r="3208">
      <c r="A3208" s="15" t="s">
        <v>10776</v>
      </c>
      <c r="B3208" s="19">
        <v>44414.586805555555</v>
      </c>
      <c r="C3208" s="20">
        <v>50054.0</v>
      </c>
      <c r="D3208" s="20" t="s">
        <v>5928</v>
      </c>
      <c r="E3208" s="5">
        <v>9.19137073565E11</v>
      </c>
      <c r="F3208" s="21">
        <v>19677.0</v>
      </c>
      <c r="G3208" s="20"/>
      <c r="H3208" s="20" t="s">
        <v>5822</v>
      </c>
      <c r="I3208" s="5"/>
      <c r="J3208" s="20">
        <v>1.0</v>
      </c>
      <c r="K3208" s="20">
        <v>99.0</v>
      </c>
      <c r="L3208" s="20"/>
      <c r="M3208" s="20">
        <v>99.0</v>
      </c>
      <c r="N3208" s="5" t="s">
        <v>67</v>
      </c>
      <c r="O3208" s="20" t="b">
        <v>0</v>
      </c>
      <c r="P3208" s="20" t="s">
        <v>68</v>
      </c>
      <c r="Q3208" s="20" t="s">
        <v>69</v>
      </c>
      <c r="R3208" s="20" t="s">
        <v>5824</v>
      </c>
      <c r="T3208" s="20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</row>
    <row r="3209">
      <c r="A3209" s="15" t="s">
        <v>10777</v>
      </c>
      <c r="B3209" s="19">
        <v>44414.58541666667</v>
      </c>
      <c r="C3209" s="20">
        <v>50054.0</v>
      </c>
      <c r="D3209" s="20" t="s">
        <v>5927</v>
      </c>
      <c r="E3209" s="5">
        <v>9.19049249508E11</v>
      </c>
      <c r="F3209" s="21">
        <v>19675.0</v>
      </c>
      <c r="G3209" s="20"/>
      <c r="H3209" s="20" t="s">
        <v>5822</v>
      </c>
      <c r="I3209" s="5"/>
      <c r="J3209" s="20">
        <v>3.0</v>
      </c>
      <c r="K3209" s="20">
        <v>199.0</v>
      </c>
      <c r="L3209" s="20"/>
      <c r="M3209" s="20">
        <v>199.0</v>
      </c>
      <c r="N3209" s="5" t="s">
        <v>67</v>
      </c>
      <c r="O3209" s="20" t="b">
        <v>0</v>
      </c>
      <c r="P3209" s="20" t="s">
        <v>68</v>
      </c>
      <c r="Q3209" s="20" t="s">
        <v>69</v>
      </c>
      <c r="R3209" s="20" t="s">
        <v>5824</v>
      </c>
      <c r="T3209" s="20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</row>
    <row r="3210">
      <c r="A3210" s="15" t="s">
        <v>10917</v>
      </c>
      <c r="B3210" s="19">
        <v>44445.646527777775</v>
      </c>
      <c r="C3210" s="20">
        <v>50104.0</v>
      </c>
      <c r="D3210" s="20" t="s">
        <v>3722</v>
      </c>
      <c r="E3210" s="5">
        <v>9.19569907211E11</v>
      </c>
      <c r="F3210" s="21">
        <v>19737.0</v>
      </c>
      <c r="G3210" s="20"/>
      <c r="H3210" s="20" t="s">
        <v>3708</v>
      </c>
      <c r="I3210" s="5"/>
      <c r="J3210" s="20">
        <v>1.0</v>
      </c>
      <c r="K3210" s="20">
        <v>99.0</v>
      </c>
      <c r="L3210" s="20"/>
      <c r="M3210" s="20">
        <v>99.0</v>
      </c>
      <c r="N3210" s="5" t="s">
        <v>67</v>
      </c>
      <c r="O3210" s="20" t="b">
        <v>0</v>
      </c>
      <c r="P3210" s="20" t="s">
        <v>68</v>
      </c>
      <c r="Q3210" s="20" t="s">
        <v>69</v>
      </c>
      <c r="R3210" s="20" t="s">
        <v>3710</v>
      </c>
      <c r="T3210" s="20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</row>
    <row r="3211">
      <c r="A3211" s="15" t="s">
        <v>10779</v>
      </c>
      <c r="B3211" s="19">
        <v>44414.589583333334</v>
      </c>
      <c r="C3211" s="20">
        <v>50052.0</v>
      </c>
      <c r="D3211" s="20" t="s">
        <v>4499</v>
      </c>
      <c r="E3211" s="5">
        <v>9.19099963966E11</v>
      </c>
      <c r="F3211" s="21">
        <v>19676.0</v>
      </c>
      <c r="G3211" s="20"/>
      <c r="H3211" s="20" t="s">
        <v>4433</v>
      </c>
      <c r="I3211" s="5"/>
      <c r="J3211" s="20">
        <v>1.0</v>
      </c>
      <c r="K3211" s="20">
        <v>99.0</v>
      </c>
      <c r="L3211" s="20"/>
      <c r="M3211" s="20">
        <v>99.0</v>
      </c>
      <c r="N3211" s="5" t="s">
        <v>67</v>
      </c>
      <c r="O3211" s="20" t="b">
        <v>0</v>
      </c>
      <c r="P3211" s="20" t="s">
        <v>68</v>
      </c>
      <c r="Q3211" s="20" t="s">
        <v>69</v>
      </c>
      <c r="R3211" s="20" t="s">
        <v>4435</v>
      </c>
      <c r="T3211" s="20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</row>
    <row r="3212">
      <c r="A3212" s="15" t="s">
        <v>10782</v>
      </c>
      <c r="B3212" s="19">
        <v>44414.60625</v>
      </c>
      <c r="C3212" s="20">
        <v>49833.0</v>
      </c>
      <c r="D3212" s="20" t="s">
        <v>4215</v>
      </c>
      <c r="E3212" s="5">
        <v>9.17814060491E11</v>
      </c>
      <c r="F3212" s="21">
        <v>0.0</v>
      </c>
      <c r="G3212" s="20"/>
      <c r="H3212" s="20" t="s">
        <v>4030</v>
      </c>
      <c r="I3212" s="5"/>
      <c r="J3212" s="20">
        <v>3.0</v>
      </c>
      <c r="K3212" s="20">
        <v>199.0</v>
      </c>
      <c r="L3212" s="20"/>
      <c r="M3212" s="20">
        <v>199.0</v>
      </c>
      <c r="N3212" s="5" t="s">
        <v>67</v>
      </c>
      <c r="O3212" s="20" t="b">
        <v>0</v>
      </c>
      <c r="P3212" s="20" t="s">
        <v>68</v>
      </c>
      <c r="Q3212" s="20" t="s">
        <v>69</v>
      </c>
      <c r="R3212" s="20" t="s">
        <v>4033</v>
      </c>
      <c r="T3212" s="20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</row>
    <row r="3213">
      <c r="A3213" s="15" t="s">
        <v>10919</v>
      </c>
      <c r="B3213" s="19">
        <v>44445.677083333336</v>
      </c>
      <c r="C3213" s="20">
        <v>50030.0</v>
      </c>
      <c r="D3213" s="20" t="s">
        <v>3497</v>
      </c>
      <c r="E3213" s="5">
        <v>9.1961972557E11</v>
      </c>
      <c r="F3213" s="21">
        <v>19743.0</v>
      </c>
      <c r="G3213" s="20"/>
      <c r="H3213" s="20" t="s">
        <v>3326</v>
      </c>
      <c r="I3213" s="5"/>
      <c r="J3213" s="20">
        <v>6.0</v>
      </c>
      <c r="K3213" s="20">
        <v>349.0</v>
      </c>
      <c r="L3213" s="20"/>
      <c r="M3213" s="20">
        <v>349.0</v>
      </c>
      <c r="N3213" s="5" t="s">
        <v>67</v>
      </c>
      <c r="O3213" s="20" t="b">
        <v>0</v>
      </c>
      <c r="P3213" s="20" t="s">
        <v>151</v>
      </c>
      <c r="Q3213" s="20" t="s">
        <v>69</v>
      </c>
      <c r="R3213" s="20" t="s">
        <v>3328</v>
      </c>
      <c r="T3213" s="20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</row>
    <row r="3214">
      <c r="A3214" s="15" t="s">
        <v>10918</v>
      </c>
      <c r="B3214" s="19">
        <v>44445.657638888886</v>
      </c>
      <c r="C3214" s="20">
        <v>50047.0</v>
      </c>
      <c r="D3214" s="20" t="s">
        <v>3273</v>
      </c>
      <c r="E3214" s="5">
        <v>9.19822354466E11</v>
      </c>
      <c r="F3214" s="21">
        <v>19740.0</v>
      </c>
      <c r="G3214" s="20"/>
      <c r="H3214" s="20" t="s">
        <v>3195</v>
      </c>
      <c r="I3214" s="5"/>
      <c r="J3214" s="20">
        <v>6.0</v>
      </c>
      <c r="K3214" s="20">
        <v>299.0</v>
      </c>
      <c r="L3214" s="20"/>
      <c r="M3214" s="20">
        <v>299.0</v>
      </c>
      <c r="N3214" s="5" t="s">
        <v>67</v>
      </c>
      <c r="O3214" s="20" t="b">
        <v>0</v>
      </c>
      <c r="P3214" s="20" t="s">
        <v>74</v>
      </c>
      <c r="Q3214" s="20" t="s">
        <v>69</v>
      </c>
      <c r="R3214" s="20" t="s">
        <v>3197</v>
      </c>
      <c r="T3214" s="20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</row>
    <row r="3215">
      <c r="A3215" s="15" t="s">
        <v>10783</v>
      </c>
      <c r="B3215" s="19">
        <v>44414.61875</v>
      </c>
      <c r="C3215" s="20">
        <v>50023.0</v>
      </c>
      <c r="D3215" s="20" t="s">
        <v>5580</v>
      </c>
      <c r="E3215" s="5">
        <v>9.19673631493E11</v>
      </c>
      <c r="F3215" s="21">
        <v>19681.0</v>
      </c>
      <c r="G3215" s="20"/>
      <c r="H3215" s="20" t="s">
        <v>5508</v>
      </c>
      <c r="I3215" s="5"/>
      <c r="J3215" s="20">
        <v>1.0</v>
      </c>
      <c r="K3215" s="20">
        <v>99.0</v>
      </c>
      <c r="L3215" s="20"/>
      <c r="M3215" s="20">
        <v>99.0</v>
      </c>
      <c r="N3215" s="5" t="s">
        <v>67</v>
      </c>
      <c r="O3215" s="20" t="b">
        <v>0</v>
      </c>
      <c r="P3215" s="20" t="s">
        <v>68</v>
      </c>
      <c r="Q3215" s="20" t="s">
        <v>69</v>
      </c>
      <c r="R3215" s="20" t="s">
        <v>5510</v>
      </c>
      <c r="T3215" s="20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</row>
    <row r="3216">
      <c r="A3216" s="15" t="s">
        <v>10922</v>
      </c>
      <c r="B3216" s="19">
        <v>44445.69930555556</v>
      </c>
      <c r="C3216" s="20">
        <v>49813.0</v>
      </c>
      <c r="D3216" s="20" t="s">
        <v>5169</v>
      </c>
      <c r="E3216" s="5">
        <v>9.19663693796E11</v>
      </c>
      <c r="F3216" s="21">
        <v>19747.0</v>
      </c>
      <c r="G3216" s="20"/>
      <c r="H3216" s="20" t="s">
        <v>5114</v>
      </c>
      <c r="I3216" s="5"/>
      <c r="J3216" s="20">
        <v>1.0</v>
      </c>
      <c r="K3216" s="20">
        <v>299.0</v>
      </c>
      <c r="L3216" s="20"/>
      <c r="M3216" s="20">
        <v>299.0</v>
      </c>
      <c r="N3216" s="5" t="s">
        <v>67</v>
      </c>
      <c r="O3216" s="20" t="b">
        <v>0</v>
      </c>
      <c r="P3216" s="20" t="s">
        <v>68</v>
      </c>
      <c r="Q3216" s="20" t="s">
        <v>69</v>
      </c>
      <c r="R3216" s="20" t="s">
        <v>5162</v>
      </c>
      <c r="T3216" s="20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</row>
    <row r="3217">
      <c r="A3217" s="15" t="s">
        <v>10781</v>
      </c>
      <c r="B3217" s="19">
        <v>44414.604166666664</v>
      </c>
      <c r="C3217" s="20">
        <v>49833.0</v>
      </c>
      <c r="D3217" s="20" t="s">
        <v>4214</v>
      </c>
      <c r="E3217" s="5">
        <v>9.19989395281E11</v>
      </c>
      <c r="F3217" s="21">
        <v>19678.0</v>
      </c>
      <c r="G3217" s="20"/>
      <c r="H3217" s="20" t="s">
        <v>4030</v>
      </c>
      <c r="I3217" s="5"/>
      <c r="J3217" s="20">
        <v>1.0</v>
      </c>
      <c r="K3217" s="20">
        <v>99.0</v>
      </c>
      <c r="L3217" s="20"/>
      <c r="M3217" s="20">
        <v>99.0</v>
      </c>
      <c r="N3217" s="5" t="s">
        <v>67</v>
      </c>
      <c r="O3217" s="20" t="b">
        <v>0</v>
      </c>
      <c r="P3217" s="20" t="s">
        <v>68</v>
      </c>
      <c r="Q3217" s="20" t="s">
        <v>69</v>
      </c>
      <c r="R3217" s="20" t="s">
        <v>4033</v>
      </c>
      <c r="T3217" s="20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</row>
    <row r="3218">
      <c r="A3218" s="15" t="s">
        <v>10924</v>
      </c>
      <c r="B3218" s="19">
        <v>44445.708333333336</v>
      </c>
      <c r="C3218" s="20">
        <v>50044.0</v>
      </c>
      <c r="D3218" s="20" t="s">
        <v>6354</v>
      </c>
      <c r="E3218" s="5">
        <v>9.17675021262E11</v>
      </c>
      <c r="F3218" s="21">
        <v>19745.0</v>
      </c>
      <c r="G3218" s="20"/>
      <c r="H3218" s="20" t="s">
        <v>6320</v>
      </c>
      <c r="I3218" s="5"/>
      <c r="J3218" s="20">
        <v>6.0</v>
      </c>
      <c r="K3218" s="20">
        <v>999.0</v>
      </c>
      <c r="L3218" s="20"/>
      <c r="M3218" s="20">
        <v>999.0</v>
      </c>
      <c r="N3218" s="5" t="s">
        <v>67</v>
      </c>
      <c r="O3218" s="20" t="b">
        <v>0</v>
      </c>
      <c r="P3218" s="20" t="s">
        <v>68</v>
      </c>
      <c r="Q3218" s="20" t="s">
        <v>69</v>
      </c>
      <c r="R3218" s="20" t="s">
        <v>6322</v>
      </c>
      <c r="T3218" s="20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</row>
    <row r="3219">
      <c r="A3219" s="15" t="s">
        <v>10925</v>
      </c>
      <c r="B3219" s="19">
        <v>44445.70972222222</v>
      </c>
      <c r="C3219" s="20">
        <v>50076.0</v>
      </c>
      <c r="D3219" s="20" t="s">
        <v>6151</v>
      </c>
      <c r="E3219" s="5">
        <v>9.18860625333E11</v>
      </c>
      <c r="F3219" s="21">
        <v>19746.0</v>
      </c>
      <c r="G3219" s="20"/>
      <c r="H3219" s="20" t="s">
        <v>5984</v>
      </c>
      <c r="I3219" s="5"/>
      <c r="J3219" s="20">
        <v>1.0</v>
      </c>
      <c r="K3219" s="20">
        <v>199.0</v>
      </c>
      <c r="L3219" s="20"/>
      <c r="M3219" s="20">
        <v>199.0</v>
      </c>
      <c r="N3219" s="5" t="s">
        <v>67</v>
      </c>
      <c r="O3219" s="20" t="b">
        <v>0</v>
      </c>
      <c r="P3219" s="20" t="s">
        <v>68</v>
      </c>
      <c r="Q3219" s="20" t="s">
        <v>69</v>
      </c>
      <c r="R3219" s="20" t="s">
        <v>6152</v>
      </c>
      <c r="T3219" s="20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</row>
    <row r="3220">
      <c r="A3220" s="15" t="s">
        <v>10926</v>
      </c>
      <c r="B3220" s="19">
        <v>44445.71875</v>
      </c>
      <c r="C3220" s="20">
        <v>50039.0</v>
      </c>
      <c r="D3220" s="20" t="s">
        <v>4387</v>
      </c>
      <c r="E3220" s="5">
        <v>9.19850173327E11</v>
      </c>
      <c r="F3220" s="21">
        <v>18348.0</v>
      </c>
      <c r="G3220" s="20"/>
      <c r="H3220" s="20" t="s">
        <v>4341</v>
      </c>
      <c r="I3220" s="5"/>
      <c r="J3220" s="20">
        <v>1.0</v>
      </c>
      <c r="K3220" s="20">
        <v>99.0</v>
      </c>
      <c r="L3220" s="20"/>
      <c r="M3220" s="20">
        <v>99.0</v>
      </c>
      <c r="N3220" s="5" t="s">
        <v>67</v>
      </c>
      <c r="O3220" s="20" t="b">
        <v>0</v>
      </c>
      <c r="P3220" s="20" t="s">
        <v>97</v>
      </c>
      <c r="Q3220" s="20" t="s">
        <v>69</v>
      </c>
      <c r="R3220" s="20" t="s">
        <v>4388</v>
      </c>
      <c r="T3220" s="20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</row>
    <row r="3221">
      <c r="A3221" s="15" t="s">
        <v>10927</v>
      </c>
      <c r="B3221" s="19">
        <v>44445.71597222222</v>
      </c>
      <c r="C3221" s="20">
        <v>49907.0</v>
      </c>
      <c r="D3221" s="20" t="s">
        <v>3838</v>
      </c>
      <c r="E3221" s="5">
        <v>9.19880931835E11</v>
      </c>
      <c r="F3221" s="21">
        <v>19748.0</v>
      </c>
      <c r="G3221" s="20"/>
      <c r="H3221" s="20" t="s">
        <v>587</v>
      </c>
      <c r="I3221" s="5"/>
      <c r="J3221" s="20">
        <v>1.0</v>
      </c>
      <c r="K3221" s="20">
        <v>99.0</v>
      </c>
      <c r="L3221" s="20"/>
      <c r="M3221" s="20">
        <v>99.0</v>
      </c>
      <c r="N3221" s="5" t="s">
        <v>67</v>
      </c>
      <c r="O3221" s="20" t="b">
        <v>0</v>
      </c>
      <c r="P3221" s="20" t="s">
        <v>68</v>
      </c>
      <c r="Q3221" s="20" t="s">
        <v>69</v>
      </c>
      <c r="R3221" s="20" t="s">
        <v>3774</v>
      </c>
      <c r="T3221" s="20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</row>
    <row r="3222">
      <c r="A3222" s="15" t="s">
        <v>10929</v>
      </c>
      <c r="B3222" s="19">
        <v>44445.722916666666</v>
      </c>
      <c r="C3222" s="20">
        <v>50043.0</v>
      </c>
      <c r="D3222" s="20" t="s">
        <v>6424</v>
      </c>
      <c r="E3222" s="5">
        <v>9.19789970712E11</v>
      </c>
      <c r="F3222" s="21">
        <v>19749.0</v>
      </c>
      <c r="G3222" s="20"/>
      <c r="H3222" s="20" t="s">
        <v>6367</v>
      </c>
      <c r="I3222" s="5"/>
      <c r="J3222" s="20">
        <v>1.0</v>
      </c>
      <c r="K3222" s="20">
        <v>99.0</v>
      </c>
      <c r="L3222" s="20"/>
      <c r="M3222" s="20">
        <v>99.0</v>
      </c>
      <c r="N3222" s="5" t="s">
        <v>67</v>
      </c>
      <c r="O3222" s="20" t="b">
        <v>0</v>
      </c>
      <c r="P3222" s="20" t="s">
        <v>68</v>
      </c>
      <c r="Q3222" s="20" t="s">
        <v>69</v>
      </c>
      <c r="R3222" s="20" t="s">
        <v>6369</v>
      </c>
      <c r="T3222" s="20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</row>
    <row r="3223">
      <c r="A3223" s="15" t="s">
        <v>10930</v>
      </c>
      <c r="B3223" s="19">
        <v>44445.72430555556</v>
      </c>
      <c r="C3223" s="20">
        <v>50047.0</v>
      </c>
      <c r="D3223" s="20" t="s">
        <v>3274</v>
      </c>
      <c r="E3223" s="5">
        <v>9.17893167586E11</v>
      </c>
      <c r="F3223" s="21">
        <v>19750.0</v>
      </c>
      <c r="G3223" s="20"/>
      <c r="H3223" s="20" t="s">
        <v>3195</v>
      </c>
      <c r="I3223" s="5"/>
      <c r="J3223" s="20">
        <v>3.0</v>
      </c>
      <c r="K3223" s="20">
        <v>199.0</v>
      </c>
      <c r="L3223" s="20"/>
      <c r="M3223" s="20">
        <v>199.0</v>
      </c>
      <c r="N3223" s="5" t="s">
        <v>67</v>
      </c>
      <c r="O3223" s="20" t="b">
        <v>0</v>
      </c>
      <c r="P3223" s="20" t="s">
        <v>68</v>
      </c>
      <c r="Q3223" s="20" t="s">
        <v>69</v>
      </c>
      <c r="R3223" s="20" t="s">
        <v>3197</v>
      </c>
      <c r="T3223" s="20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</row>
    <row r="3224">
      <c r="A3224" s="15" t="s">
        <v>10931</v>
      </c>
      <c r="B3224" s="19">
        <v>44445.73472222222</v>
      </c>
      <c r="C3224" s="20">
        <v>50023.0</v>
      </c>
      <c r="D3224" s="20" t="s">
        <v>5587</v>
      </c>
      <c r="E3224" s="5">
        <v>9.18975973296E11</v>
      </c>
      <c r="F3224" s="21">
        <v>19751.0</v>
      </c>
      <c r="G3224" s="20"/>
      <c r="H3224" s="20" t="s">
        <v>5508</v>
      </c>
      <c r="I3224" s="5"/>
      <c r="J3224" s="20">
        <v>1.0</v>
      </c>
      <c r="K3224" s="20">
        <v>99.0</v>
      </c>
      <c r="L3224" s="20"/>
      <c r="M3224" s="20">
        <v>99.0</v>
      </c>
      <c r="N3224" s="5" t="s">
        <v>67</v>
      </c>
      <c r="O3224" s="20" t="b">
        <v>0</v>
      </c>
      <c r="P3224" s="20" t="s">
        <v>68</v>
      </c>
      <c r="Q3224" s="20" t="s">
        <v>69</v>
      </c>
      <c r="R3224" s="20" t="s">
        <v>5510</v>
      </c>
      <c r="T3224" s="20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</row>
    <row r="3225">
      <c r="A3225" s="15" t="s">
        <v>10942</v>
      </c>
      <c r="B3225" s="19">
        <v>44445.75208333333</v>
      </c>
      <c r="C3225" s="20">
        <v>50047.0</v>
      </c>
      <c r="D3225" s="20" t="s">
        <v>3275</v>
      </c>
      <c r="E3225" s="5">
        <v>9.19996521691E11</v>
      </c>
      <c r="F3225" s="21">
        <v>0.0</v>
      </c>
      <c r="G3225" s="20"/>
      <c r="H3225" s="20" t="s">
        <v>3195</v>
      </c>
      <c r="I3225" s="5"/>
      <c r="J3225" s="20">
        <v>3.0</v>
      </c>
      <c r="K3225" s="20">
        <v>199.0</v>
      </c>
      <c r="L3225" s="20"/>
      <c r="M3225" s="20">
        <v>199.0</v>
      </c>
      <c r="N3225" s="5" t="s">
        <v>67</v>
      </c>
      <c r="O3225" s="20" t="b">
        <v>0</v>
      </c>
      <c r="P3225" s="20" t="s">
        <v>68</v>
      </c>
      <c r="Q3225" s="20" t="s">
        <v>69</v>
      </c>
      <c r="R3225" s="20" t="s">
        <v>3197</v>
      </c>
      <c r="T3225" s="20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</row>
    <row r="3226">
      <c r="A3226" s="15" t="s">
        <v>10943</v>
      </c>
      <c r="B3226" s="19">
        <v>44445.754166666666</v>
      </c>
      <c r="C3226" s="20">
        <v>49991.0</v>
      </c>
      <c r="D3226" s="20" t="s">
        <v>3155</v>
      </c>
      <c r="E3226" s="5">
        <v>9.19560033242E11</v>
      </c>
      <c r="F3226" s="21">
        <v>0.0</v>
      </c>
      <c r="G3226" s="20"/>
      <c r="H3226" s="20" t="s">
        <v>3055</v>
      </c>
      <c r="I3226" s="5"/>
      <c r="J3226" s="20">
        <v>1.0</v>
      </c>
      <c r="K3226" s="20">
        <v>99.0</v>
      </c>
      <c r="L3226" s="20"/>
      <c r="M3226" s="20">
        <v>99.0</v>
      </c>
      <c r="N3226" s="5" t="s">
        <v>67</v>
      </c>
      <c r="O3226" s="20" t="b">
        <v>0</v>
      </c>
      <c r="P3226" s="20" t="s">
        <v>74</v>
      </c>
      <c r="Q3226" s="20" t="s">
        <v>69</v>
      </c>
      <c r="R3226" s="20" t="s">
        <v>3150</v>
      </c>
      <c r="T3226" s="20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</row>
    <row r="3227">
      <c r="A3227" s="15" t="s">
        <v>10932</v>
      </c>
      <c r="B3227" s="19">
        <v>44445.739583333336</v>
      </c>
      <c r="C3227" s="20">
        <v>50086.0</v>
      </c>
      <c r="D3227" s="20" t="s">
        <v>3996</v>
      </c>
      <c r="E3227" s="5">
        <v>9.19900511779E11</v>
      </c>
      <c r="F3227" s="21">
        <v>0.0</v>
      </c>
      <c r="G3227" s="20"/>
      <c r="H3227" s="20" t="s">
        <v>3986</v>
      </c>
      <c r="I3227" s="5"/>
      <c r="J3227" s="20">
        <v>1.0</v>
      </c>
      <c r="K3227" s="20">
        <v>249.0</v>
      </c>
      <c r="L3227" s="20"/>
      <c r="M3227" s="20">
        <v>249.0</v>
      </c>
      <c r="N3227" s="5" t="s">
        <v>67</v>
      </c>
      <c r="O3227" s="20" t="b">
        <v>0</v>
      </c>
      <c r="P3227" s="20" t="s">
        <v>97</v>
      </c>
      <c r="Q3227" s="20" t="s">
        <v>69</v>
      </c>
      <c r="R3227" s="20" t="s">
        <v>3988</v>
      </c>
      <c r="T3227" s="20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</row>
    <row r="3228">
      <c r="A3228" s="15" t="s">
        <v>10946</v>
      </c>
      <c r="B3228" s="19">
        <v>44445.76180555556</v>
      </c>
      <c r="C3228" s="20">
        <v>49859.0</v>
      </c>
      <c r="D3228" s="20" t="s">
        <v>4746</v>
      </c>
      <c r="E3228" s="5">
        <v>9.19765669495E11</v>
      </c>
      <c r="F3228" s="21">
        <v>19754.0</v>
      </c>
      <c r="G3228" s="20"/>
      <c r="H3228" s="20" t="s">
        <v>1133</v>
      </c>
      <c r="I3228" s="5"/>
      <c r="J3228" s="20">
        <v>1.0</v>
      </c>
      <c r="K3228" s="20">
        <v>99.0</v>
      </c>
      <c r="L3228" s="20"/>
      <c r="M3228" s="20">
        <v>99.0</v>
      </c>
      <c r="N3228" s="5" t="s">
        <v>67</v>
      </c>
      <c r="O3228" s="20" t="b">
        <v>0</v>
      </c>
      <c r="P3228" s="20" t="s">
        <v>68</v>
      </c>
      <c r="Q3228" s="20" t="s">
        <v>69</v>
      </c>
      <c r="R3228" s="20" t="s">
        <v>4736</v>
      </c>
      <c r="T3228" s="20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</row>
    <row r="3229">
      <c r="A3229" s="15" t="s">
        <v>10937</v>
      </c>
      <c r="B3229" s="19">
        <v>44445.74444444444</v>
      </c>
      <c r="C3229" s="20">
        <v>50104.0</v>
      </c>
      <c r="D3229" s="20" t="s">
        <v>3723</v>
      </c>
      <c r="E3229" s="5">
        <v>9.19873879862E11</v>
      </c>
      <c r="F3229" s="21">
        <v>19753.0</v>
      </c>
      <c r="G3229" s="20"/>
      <c r="H3229" s="20" t="s">
        <v>3708</v>
      </c>
      <c r="I3229" s="5"/>
      <c r="J3229" s="20">
        <v>3.0</v>
      </c>
      <c r="K3229" s="20">
        <v>199.0</v>
      </c>
      <c r="L3229" s="20"/>
      <c r="M3229" s="20">
        <v>199.0</v>
      </c>
      <c r="N3229" s="5" t="s">
        <v>67</v>
      </c>
      <c r="O3229" s="20" t="b">
        <v>0</v>
      </c>
      <c r="P3229" s="20" t="s">
        <v>68</v>
      </c>
      <c r="Q3229" s="20" t="s">
        <v>69</v>
      </c>
      <c r="R3229" s="20" t="s">
        <v>3710</v>
      </c>
      <c r="T3229" s="20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</row>
    <row r="3230">
      <c r="A3230" s="15" t="s">
        <v>10938</v>
      </c>
      <c r="B3230" s="19">
        <v>44445.74722222222</v>
      </c>
      <c r="C3230" s="20">
        <v>50023.0</v>
      </c>
      <c r="D3230" s="20" t="s">
        <v>5588</v>
      </c>
      <c r="E3230" s="5">
        <v>9.18090205655E11</v>
      </c>
      <c r="F3230" s="21">
        <v>19752.0</v>
      </c>
      <c r="G3230" s="20"/>
      <c r="H3230" s="20" t="s">
        <v>5508</v>
      </c>
      <c r="I3230" s="5"/>
      <c r="J3230" s="20">
        <v>1.0</v>
      </c>
      <c r="K3230" s="20">
        <v>99.0</v>
      </c>
      <c r="L3230" s="20"/>
      <c r="M3230" s="20">
        <v>99.0</v>
      </c>
      <c r="N3230" s="5" t="s">
        <v>67</v>
      </c>
      <c r="O3230" s="20" t="b">
        <v>0</v>
      </c>
      <c r="P3230" s="20" t="s">
        <v>68</v>
      </c>
      <c r="Q3230" s="20" t="s">
        <v>69</v>
      </c>
      <c r="R3230" s="20" t="s">
        <v>5510</v>
      </c>
      <c r="T3230" s="20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</row>
    <row r="3231">
      <c r="A3231" s="15" t="s">
        <v>10947</v>
      </c>
      <c r="B3231" s="19">
        <v>44445.76388888889</v>
      </c>
      <c r="C3231" s="20">
        <v>50073.0</v>
      </c>
      <c r="D3231" s="20" t="s">
        <v>6568</v>
      </c>
      <c r="E3231" s="5">
        <v>9.19595822206E11</v>
      </c>
      <c r="F3231" s="21">
        <v>18007.0</v>
      </c>
      <c r="G3231" s="20"/>
      <c r="H3231" s="20" t="s">
        <v>2161</v>
      </c>
      <c r="I3231" s="5"/>
      <c r="J3231" s="20">
        <v>3.0</v>
      </c>
      <c r="K3231" s="20">
        <v>1499.0</v>
      </c>
      <c r="L3231" s="20"/>
      <c r="M3231" s="20">
        <v>1499.0</v>
      </c>
      <c r="N3231" s="5" t="s">
        <v>67</v>
      </c>
      <c r="O3231" s="20" t="b">
        <v>0</v>
      </c>
      <c r="P3231" s="20" t="s">
        <v>151</v>
      </c>
      <c r="Q3231" s="20" t="s">
        <v>69</v>
      </c>
      <c r="R3231" s="20" t="s">
        <v>6561</v>
      </c>
      <c r="T3231" s="20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</row>
    <row r="3232">
      <c r="A3232" s="15" t="s">
        <v>10952</v>
      </c>
      <c r="B3232" s="19">
        <v>44445.79375</v>
      </c>
      <c r="C3232" s="20">
        <v>50086.0</v>
      </c>
      <c r="D3232" s="20" t="s">
        <v>3997</v>
      </c>
      <c r="E3232" s="5">
        <v>2.44932825465E11</v>
      </c>
      <c r="F3232" s="21">
        <v>18351.0</v>
      </c>
      <c r="G3232" s="20"/>
      <c r="H3232" s="20" t="s">
        <v>3986</v>
      </c>
      <c r="I3232" s="5"/>
      <c r="J3232" s="20">
        <v>6.0</v>
      </c>
      <c r="K3232" s="20">
        <v>999.0</v>
      </c>
      <c r="L3232" s="20"/>
      <c r="M3232" s="20">
        <v>999.0</v>
      </c>
      <c r="N3232" s="5" t="s">
        <v>67</v>
      </c>
      <c r="O3232" s="20" t="b">
        <v>0</v>
      </c>
      <c r="P3232" s="20" t="s">
        <v>68</v>
      </c>
      <c r="Q3232" s="20" t="s">
        <v>69</v>
      </c>
      <c r="R3232" s="20" t="s">
        <v>3988</v>
      </c>
      <c r="T3232" s="20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</row>
    <row r="3233">
      <c r="A3233" s="15" t="s">
        <v>10804</v>
      </c>
      <c r="B3233" s="19">
        <v>44414.7375</v>
      </c>
      <c r="C3233" s="20">
        <v>49833.0</v>
      </c>
      <c r="D3233" s="20" t="s">
        <v>4216</v>
      </c>
      <c r="E3233" s="5">
        <v>9.17208157797E11</v>
      </c>
      <c r="F3233" s="22" t="s">
        <v>12593</v>
      </c>
      <c r="G3233" s="20"/>
      <c r="H3233" s="20" t="s">
        <v>4030</v>
      </c>
      <c r="I3233" s="5"/>
      <c r="J3233" s="20">
        <v>1.0</v>
      </c>
      <c r="K3233" s="20">
        <v>99.0</v>
      </c>
      <c r="L3233" s="20"/>
      <c r="M3233" s="20">
        <v>99.0</v>
      </c>
      <c r="N3233" s="5" t="s">
        <v>67</v>
      </c>
      <c r="O3233" s="20" t="b">
        <v>0</v>
      </c>
      <c r="P3233" s="20" t="s">
        <v>68</v>
      </c>
      <c r="Q3233" s="20" t="s">
        <v>69</v>
      </c>
      <c r="R3233" s="20" t="s">
        <v>4033</v>
      </c>
      <c r="T3233" s="20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</row>
    <row r="3234">
      <c r="A3234" s="15" t="s">
        <v>10806</v>
      </c>
      <c r="B3234" s="19">
        <v>44414.74097222222</v>
      </c>
      <c r="C3234" s="20">
        <v>49835.0</v>
      </c>
      <c r="D3234" s="20" t="s">
        <v>3937</v>
      </c>
      <c r="E3234" s="5">
        <v>9.19741115915E11</v>
      </c>
      <c r="F3234" s="21">
        <v>19686.0</v>
      </c>
      <c r="G3234" s="20"/>
      <c r="H3234" s="20" t="s">
        <v>680</v>
      </c>
      <c r="I3234" s="5"/>
      <c r="J3234" s="20">
        <v>1.0</v>
      </c>
      <c r="K3234" s="20">
        <v>99.0</v>
      </c>
      <c r="L3234" s="20"/>
      <c r="M3234" s="20">
        <v>99.0</v>
      </c>
      <c r="N3234" s="5" t="s">
        <v>67</v>
      </c>
      <c r="O3234" s="20" t="b">
        <v>0</v>
      </c>
      <c r="P3234" s="20" t="s">
        <v>97</v>
      </c>
      <c r="Q3234" s="20" t="s">
        <v>69</v>
      </c>
      <c r="R3234" s="20" t="s">
        <v>3888</v>
      </c>
      <c r="T3234" s="20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</row>
    <row r="3235">
      <c r="A3235" s="15" t="s">
        <v>10809</v>
      </c>
      <c r="B3235" s="19">
        <v>44414.76944444444</v>
      </c>
      <c r="C3235" s="20">
        <v>49991.0</v>
      </c>
      <c r="D3235" s="20" t="s">
        <v>3151</v>
      </c>
      <c r="E3235" s="5">
        <v>9.19540823923E11</v>
      </c>
      <c r="F3235" s="21">
        <v>19689.0</v>
      </c>
      <c r="G3235" s="20"/>
      <c r="H3235" s="20" t="s">
        <v>3055</v>
      </c>
      <c r="I3235" s="5"/>
      <c r="J3235" s="20">
        <v>1.0</v>
      </c>
      <c r="K3235" s="20">
        <v>99.0</v>
      </c>
      <c r="L3235" s="20"/>
      <c r="M3235" s="20">
        <v>99.0</v>
      </c>
      <c r="N3235" s="5" t="s">
        <v>67</v>
      </c>
      <c r="O3235" s="20" t="b">
        <v>0</v>
      </c>
      <c r="P3235" s="20" t="s">
        <v>68</v>
      </c>
      <c r="Q3235" s="20" t="s">
        <v>69</v>
      </c>
      <c r="R3235" s="20" t="s">
        <v>3150</v>
      </c>
      <c r="T3235" s="20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</row>
    <row r="3236">
      <c r="A3236" s="15" t="s">
        <v>10808</v>
      </c>
      <c r="B3236" s="19">
        <v>44414.75277777778</v>
      </c>
      <c r="C3236" s="20">
        <v>50030.0</v>
      </c>
      <c r="D3236" s="20" t="s">
        <v>3494</v>
      </c>
      <c r="E3236" s="5">
        <v>9.19667948057E11</v>
      </c>
      <c r="F3236" s="21">
        <v>19687.0</v>
      </c>
      <c r="G3236" s="20"/>
      <c r="H3236" s="20" t="s">
        <v>3326</v>
      </c>
      <c r="I3236" s="5"/>
      <c r="J3236" s="20">
        <v>3.0</v>
      </c>
      <c r="K3236" s="20">
        <v>199.0</v>
      </c>
      <c r="L3236" s="20"/>
      <c r="M3236" s="20">
        <v>199.0</v>
      </c>
      <c r="N3236" s="5" t="s">
        <v>67</v>
      </c>
      <c r="O3236" s="20" t="b">
        <v>0</v>
      </c>
      <c r="P3236" s="20" t="s">
        <v>68</v>
      </c>
      <c r="Q3236" s="20" t="s">
        <v>69</v>
      </c>
      <c r="R3236" s="20" t="s">
        <v>3328</v>
      </c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</row>
    <row r="3237">
      <c r="A3237" s="15" t="s">
        <v>10958</v>
      </c>
      <c r="B3237" s="19">
        <v>44445.84861111111</v>
      </c>
      <c r="C3237" s="20">
        <v>49835.0</v>
      </c>
      <c r="D3237" s="20" t="s">
        <v>3940</v>
      </c>
      <c r="E3237" s="5">
        <v>9.17744081753E11</v>
      </c>
      <c r="F3237" s="21">
        <v>19755.0</v>
      </c>
      <c r="G3237" s="20"/>
      <c r="H3237" s="20" t="s">
        <v>680</v>
      </c>
      <c r="I3237" s="5"/>
      <c r="J3237" s="20">
        <v>3.0</v>
      </c>
      <c r="K3237" s="20">
        <v>199.0</v>
      </c>
      <c r="L3237" s="20"/>
      <c r="M3237" s="20">
        <v>199.0</v>
      </c>
      <c r="N3237" s="5" t="s">
        <v>67</v>
      </c>
      <c r="O3237" s="20" t="b">
        <v>0</v>
      </c>
      <c r="P3237" s="20" t="s">
        <v>68</v>
      </c>
      <c r="Q3237" s="20" t="s">
        <v>69</v>
      </c>
      <c r="R3237" s="20" t="s">
        <v>3888</v>
      </c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</row>
    <row r="3238">
      <c r="A3238" s="15" t="s">
        <v>10960</v>
      </c>
      <c r="B3238" s="19">
        <v>44475.748611111114</v>
      </c>
      <c r="C3238" s="20">
        <v>49835.0</v>
      </c>
      <c r="D3238" s="20" t="s">
        <v>3942</v>
      </c>
      <c r="E3238" s="5">
        <v>9.17010780648E11</v>
      </c>
      <c r="F3238" s="21">
        <v>19809.0</v>
      </c>
      <c r="G3238" s="20"/>
      <c r="H3238" s="20" t="s">
        <v>680</v>
      </c>
      <c r="I3238" s="5"/>
      <c r="J3238" s="20">
        <v>1.0</v>
      </c>
      <c r="K3238" s="20">
        <v>99.0</v>
      </c>
      <c r="L3238" s="20"/>
      <c r="M3238" s="20">
        <v>99.0</v>
      </c>
      <c r="N3238" s="5" t="s">
        <v>67</v>
      </c>
      <c r="O3238" s="20" t="b">
        <v>0</v>
      </c>
      <c r="P3238" s="20" t="s">
        <v>68</v>
      </c>
      <c r="Q3238" s="20" t="s">
        <v>69</v>
      </c>
      <c r="R3238" s="20" t="s">
        <v>3888</v>
      </c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</row>
    <row r="3239">
      <c r="A3239" s="15" t="s">
        <v>10959</v>
      </c>
      <c r="B3239" s="19">
        <v>44445.90902777778</v>
      </c>
      <c r="C3239" s="20">
        <v>50073.0</v>
      </c>
      <c r="D3239" s="20" t="s">
        <v>6569</v>
      </c>
      <c r="E3239" s="5">
        <v>9.17905887677E11</v>
      </c>
      <c r="F3239" s="21">
        <v>19757.0</v>
      </c>
      <c r="G3239" s="20"/>
      <c r="H3239" s="20" t="s">
        <v>2161</v>
      </c>
      <c r="I3239" s="5"/>
      <c r="J3239" s="20">
        <v>1.0</v>
      </c>
      <c r="K3239" s="20">
        <v>799.0</v>
      </c>
      <c r="L3239" s="20"/>
      <c r="M3239" s="20">
        <v>799.0</v>
      </c>
      <c r="N3239" s="5" t="s">
        <v>67</v>
      </c>
      <c r="O3239" s="20" t="b">
        <v>0</v>
      </c>
      <c r="P3239" s="20" t="s">
        <v>74</v>
      </c>
      <c r="Q3239" s="20" t="s">
        <v>69</v>
      </c>
      <c r="R3239" s="20" t="s">
        <v>6497</v>
      </c>
      <c r="T3239" s="20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</row>
    <row r="3240">
      <c r="A3240" s="15" t="s">
        <v>10961</v>
      </c>
      <c r="B3240" s="19">
        <v>44445.930555555555</v>
      </c>
      <c r="C3240" s="20">
        <v>50026.0</v>
      </c>
      <c r="D3240" s="20" t="s">
        <v>4429</v>
      </c>
      <c r="E3240" s="5">
        <v>9.19384399515E11</v>
      </c>
      <c r="F3240" s="21">
        <v>19758.0</v>
      </c>
      <c r="G3240" s="20"/>
      <c r="H3240" s="20" t="s">
        <v>4422</v>
      </c>
      <c r="I3240" s="5"/>
      <c r="J3240" s="20">
        <v>1.0</v>
      </c>
      <c r="K3240" s="20">
        <v>499.0</v>
      </c>
      <c r="L3240" s="20"/>
      <c r="M3240" s="20">
        <v>499.0</v>
      </c>
      <c r="N3240" s="5" t="s">
        <v>67</v>
      </c>
      <c r="O3240" s="20" t="b">
        <v>0</v>
      </c>
      <c r="P3240" s="20" t="s">
        <v>68</v>
      </c>
      <c r="Q3240" s="20" t="s">
        <v>69</v>
      </c>
      <c r="R3240" s="20" t="s">
        <v>4430</v>
      </c>
      <c r="T3240" s="20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</row>
    <row r="3241">
      <c r="A3241" s="15" t="s">
        <v>10963</v>
      </c>
      <c r="B3241" s="19">
        <v>44445.93263888889</v>
      </c>
      <c r="C3241" s="20">
        <v>50047.0</v>
      </c>
      <c r="D3241" s="20" t="s">
        <v>3276</v>
      </c>
      <c r="E3241" s="5">
        <v>9.19028748097E11</v>
      </c>
      <c r="F3241" s="21">
        <v>19769.0</v>
      </c>
      <c r="G3241" s="20"/>
      <c r="H3241" s="20" t="s">
        <v>3195</v>
      </c>
      <c r="I3241" s="5"/>
      <c r="J3241" s="20">
        <v>3.0</v>
      </c>
      <c r="K3241" s="20">
        <v>199.0</v>
      </c>
      <c r="L3241" s="20"/>
      <c r="M3241" s="20">
        <v>199.0</v>
      </c>
      <c r="N3241" s="5" t="s">
        <v>67</v>
      </c>
      <c r="O3241" s="20" t="b">
        <v>0</v>
      </c>
      <c r="P3241" s="20" t="s">
        <v>68</v>
      </c>
      <c r="Q3241" s="20" t="s">
        <v>69</v>
      </c>
      <c r="R3241" s="20" t="s">
        <v>3197</v>
      </c>
      <c r="T3241" s="20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</row>
    <row r="3242">
      <c r="A3242" s="15" t="s">
        <v>10964</v>
      </c>
      <c r="B3242" s="19">
        <v>44445.93680555555</v>
      </c>
      <c r="C3242" s="20">
        <v>50054.0</v>
      </c>
      <c r="D3242" s="20" t="s">
        <v>5932</v>
      </c>
      <c r="E3242" s="5">
        <v>9.19115731291E11</v>
      </c>
      <c r="F3242" s="21">
        <v>0.0</v>
      </c>
      <c r="G3242" s="20"/>
      <c r="H3242" s="20" t="s">
        <v>5822</v>
      </c>
      <c r="I3242" s="5"/>
      <c r="J3242" s="20">
        <v>3.0</v>
      </c>
      <c r="K3242" s="20">
        <v>199.0</v>
      </c>
      <c r="L3242" s="20"/>
      <c r="M3242" s="20">
        <v>199.0</v>
      </c>
      <c r="N3242" s="5" t="s">
        <v>67</v>
      </c>
      <c r="O3242" s="20" t="b">
        <v>0</v>
      </c>
      <c r="P3242" s="20" t="s">
        <v>68</v>
      </c>
      <c r="Q3242" s="20" t="s">
        <v>69</v>
      </c>
      <c r="R3242" s="20" t="s">
        <v>5921</v>
      </c>
      <c r="T3242" s="20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</row>
    <row r="3243">
      <c r="A3243" s="15" t="s">
        <v>10965</v>
      </c>
      <c r="B3243" s="19">
        <v>44445.961805555555</v>
      </c>
      <c r="C3243" s="20">
        <v>50065.0</v>
      </c>
      <c r="D3243" s="20" t="s">
        <v>2698</v>
      </c>
      <c r="E3243" s="5">
        <v>9.19366199127E11</v>
      </c>
      <c r="F3243" s="21">
        <v>19760.0</v>
      </c>
      <c r="G3243" s="20"/>
      <c r="H3243" s="20" t="s">
        <v>2601</v>
      </c>
      <c r="I3243" s="5"/>
      <c r="J3243" s="20">
        <v>1.0</v>
      </c>
      <c r="K3243" s="20">
        <v>349.0</v>
      </c>
      <c r="L3243" s="20"/>
      <c r="M3243" s="20">
        <v>349.0</v>
      </c>
      <c r="N3243" s="5" t="s">
        <v>67</v>
      </c>
      <c r="O3243" s="20" t="b">
        <v>0</v>
      </c>
      <c r="P3243" s="20" t="s">
        <v>68</v>
      </c>
      <c r="Q3243" s="20" t="s">
        <v>69</v>
      </c>
      <c r="R3243" s="20" t="s">
        <v>2604</v>
      </c>
      <c r="T3243" s="20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</row>
    <row r="3244">
      <c r="A3244" s="15" t="s">
        <v>10968</v>
      </c>
      <c r="B3244" s="19">
        <v>44445.98263888889</v>
      </c>
      <c r="C3244" s="20">
        <v>49833.0</v>
      </c>
      <c r="D3244" s="20" t="s">
        <v>4222</v>
      </c>
      <c r="E3244" s="5">
        <v>9.1790631755E11</v>
      </c>
      <c r="F3244" s="21">
        <v>19763.0</v>
      </c>
      <c r="G3244" s="20"/>
      <c r="H3244" s="20" t="s">
        <v>4030</v>
      </c>
      <c r="I3244" s="5"/>
      <c r="J3244" s="20">
        <v>1.0</v>
      </c>
      <c r="K3244" s="20">
        <v>149.0</v>
      </c>
      <c r="L3244" s="20"/>
      <c r="M3244" s="20">
        <v>149.0</v>
      </c>
      <c r="N3244" s="5" t="s">
        <v>67</v>
      </c>
      <c r="O3244" s="20" t="b">
        <v>0</v>
      </c>
      <c r="P3244" s="20" t="s">
        <v>68</v>
      </c>
      <c r="Q3244" s="20" t="s">
        <v>69</v>
      </c>
      <c r="R3244" s="20" t="s">
        <v>4033</v>
      </c>
      <c r="T3244" s="20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</row>
    <row r="3245">
      <c r="A3245" s="15" t="s">
        <v>10972</v>
      </c>
      <c r="B3245" s="19">
        <v>44445.99791666667</v>
      </c>
      <c r="C3245" s="20">
        <v>49991.0</v>
      </c>
      <c r="D3245" s="20" t="s">
        <v>3157</v>
      </c>
      <c r="E3245" s="5">
        <v>9.18791606651E11</v>
      </c>
      <c r="F3245" s="21">
        <v>19764.0</v>
      </c>
      <c r="G3245" s="20"/>
      <c r="H3245" s="20" t="s">
        <v>3055</v>
      </c>
      <c r="I3245" s="5"/>
      <c r="J3245" s="20">
        <v>1.0</v>
      </c>
      <c r="K3245" s="20">
        <v>99.0</v>
      </c>
      <c r="L3245" s="20"/>
      <c r="M3245" s="20">
        <v>99.0</v>
      </c>
      <c r="N3245" s="5" t="s">
        <v>67</v>
      </c>
      <c r="O3245" s="20" t="b">
        <v>0</v>
      </c>
      <c r="P3245" s="20" t="s">
        <v>68</v>
      </c>
      <c r="Q3245" s="20" t="s">
        <v>69</v>
      </c>
      <c r="R3245" s="20" t="s">
        <v>3057</v>
      </c>
      <c r="T3245" s="20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</row>
    <row r="3246">
      <c r="A3246" s="15" t="s">
        <v>10970</v>
      </c>
      <c r="B3246" s="19">
        <v>44445.98333333333</v>
      </c>
      <c r="C3246" s="20">
        <v>49991.0</v>
      </c>
      <c r="D3246" s="20" t="s">
        <v>3156</v>
      </c>
      <c r="E3246" s="5">
        <v>9.19170902099E11</v>
      </c>
      <c r="F3246" s="21">
        <v>19762.0</v>
      </c>
      <c r="G3246" s="20"/>
      <c r="H3246" s="20" t="s">
        <v>3055</v>
      </c>
      <c r="I3246" s="5"/>
      <c r="J3246" s="20">
        <v>1.0</v>
      </c>
      <c r="K3246" s="20">
        <v>99.0</v>
      </c>
      <c r="L3246" s="20"/>
      <c r="M3246" s="20">
        <v>99.0</v>
      </c>
      <c r="N3246" s="5" t="s">
        <v>67</v>
      </c>
      <c r="O3246" s="20" t="b">
        <v>0</v>
      </c>
      <c r="P3246" s="20" t="s">
        <v>68</v>
      </c>
      <c r="Q3246" s="20" t="s">
        <v>69</v>
      </c>
      <c r="R3246" s="20" t="s">
        <v>3057</v>
      </c>
      <c r="T3246" s="20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</row>
    <row r="3247">
      <c r="A3247" s="15" t="s">
        <v>10971</v>
      </c>
      <c r="B3247" s="19">
        <v>44445.98472222222</v>
      </c>
      <c r="C3247" s="20">
        <v>49844.0</v>
      </c>
      <c r="D3247" s="20" t="s">
        <v>5491</v>
      </c>
      <c r="E3247" s="5">
        <v>9.19898782068E11</v>
      </c>
      <c r="F3247" s="21">
        <v>19765.0</v>
      </c>
      <c r="G3247" s="20"/>
      <c r="H3247" s="20" t="s">
        <v>885</v>
      </c>
      <c r="I3247" s="5"/>
      <c r="J3247" s="20">
        <v>6.0</v>
      </c>
      <c r="K3247" s="20">
        <v>349.0</v>
      </c>
      <c r="L3247" s="20"/>
      <c r="M3247" s="20">
        <v>349.0</v>
      </c>
      <c r="N3247" s="5" t="s">
        <v>67</v>
      </c>
      <c r="O3247" s="20" t="b">
        <v>0</v>
      </c>
      <c r="P3247" s="20" t="s">
        <v>74</v>
      </c>
      <c r="Q3247" s="20" t="s">
        <v>69</v>
      </c>
      <c r="R3247" s="20" t="s">
        <v>5476</v>
      </c>
      <c r="T3247" s="20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</row>
    <row r="3248">
      <c r="A3248" s="15" t="s">
        <v>10973</v>
      </c>
      <c r="B3248" s="19">
        <v>44475.00763888889</v>
      </c>
      <c r="C3248" s="20">
        <v>50023.0</v>
      </c>
      <c r="D3248" s="20" t="s">
        <v>5589</v>
      </c>
      <c r="E3248" s="5">
        <v>9.18081934339E11</v>
      </c>
      <c r="F3248" s="21">
        <v>19766.0</v>
      </c>
      <c r="G3248" s="20"/>
      <c r="H3248" s="20" t="s">
        <v>5508</v>
      </c>
      <c r="I3248" s="5"/>
      <c r="J3248" s="20">
        <v>1.0</v>
      </c>
      <c r="K3248" s="20">
        <v>99.0</v>
      </c>
      <c r="L3248" s="20"/>
      <c r="M3248" s="20">
        <v>99.0</v>
      </c>
      <c r="N3248" s="5" t="s">
        <v>67</v>
      </c>
      <c r="O3248" s="20" t="b">
        <v>0</v>
      </c>
      <c r="P3248" s="20" t="s">
        <v>68</v>
      </c>
      <c r="Q3248" s="20" t="s">
        <v>69</v>
      </c>
      <c r="R3248" s="20" t="s">
        <v>5510</v>
      </c>
      <c r="T3248" s="20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</row>
    <row r="3249">
      <c r="A3249" s="15" t="s">
        <v>10974</v>
      </c>
      <c r="B3249" s="19">
        <v>44475.01111111111</v>
      </c>
      <c r="C3249" s="20">
        <v>50030.0</v>
      </c>
      <c r="D3249" s="20" t="s">
        <v>3498</v>
      </c>
      <c r="E3249" s="5">
        <v>9.19899927413E11</v>
      </c>
      <c r="F3249" s="21">
        <v>19767.0</v>
      </c>
      <c r="G3249" s="20"/>
      <c r="H3249" s="20" t="s">
        <v>3326</v>
      </c>
      <c r="I3249" s="5"/>
      <c r="J3249" s="20">
        <v>3.0</v>
      </c>
      <c r="K3249" s="20">
        <v>199.0</v>
      </c>
      <c r="L3249" s="20"/>
      <c r="M3249" s="20">
        <v>199.0</v>
      </c>
      <c r="N3249" s="5" t="s">
        <v>67</v>
      </c>
      <c r="O3249" s="20" t="b">
        <v>0</v>
      </c>
      <c r="P3249" s="20" t="s">
        <v>68</v>
      </c>
      <c r="Q3249" s="20" t="s">
        <v>69</v>
      </c>
      <c r="R3249" s="20" t="s">
        <v>3328</v>
      </c>
      <c r="T3249" s="20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</row>
    <row r="3250">
      <c r="A3250" s="15" t="s">
        <v>10975</v>
      </c>
      <c r="B3250" s="19">
        <v>44475.17291666667</v>
      </c>
      <c r="C3250" s="20">
        <v>50054.0</v>
      </c>
      <c r="D3250" s="20" t="s">
        <v>5933</v>
      </c>
      <c r="E3250" s="5">
        <v>9.19892951909E11</v>
      </c>
      <c r="F3250" s="21">
        <v>19768.0</v>
      </c>
      <c r="G3250" s="20"/>
      <c r="H3250" s="20" t="s">
        <v>5822</v>
      </c>
      <c r="I3250" s="5"/>
      <c r="J3250" s="20">
        <v>3.0</v>
      </c>
      <c r="K3250" s="20">
        <v>199.0</v>
      </c>
      <c r="L3250" s="20"/>
      <c r="M3250" s="20">
        <v>199.0</v>
      </c>
      <c r="N3250" s="5" t="s">
        <v>67</v>
      </c>
      <c r="O3250" s="20" t="b">
        <v>0</v>
      </c>
      <c r="P3250" s="20" t="s">
        <v>68</v>
      </c>
      <c r="Q3250" s="20" t="s">
        <v>69</v>
      </c>
      <c r="R3250" s="20" t="s">
        <v>5824</v>
      </c>
      <c r="T3250" s="20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</row>
    <row r="3251">
      <c r="A3251" s="15" t="s">
        <v>10979</v>
      </c>
      <c r="B3251" s="19" t="s">
        <v>3569</v>
      </c>
      <c r="C3251" s="20">
        <v>50030.0</v>
      </c>
      <c r="D3251" s="20" t="s">
        <v>3568</v>
      </c>
      <c r="E3251" s="5">
        <v>9.17760461129E11</v>
      </c>
      <c r="F3251" s="21">
        <v>18140.0</v>
      </c>
      <c r="G3251" s="20"/>
      <c r="H3251" s="20" t="s">
        <v>3326</v>
      </c>
      <c r="I3251" s="5"/>
      <c r="J3251" s="20">
        <v>6.0</v>
      </c>
      <c r="K3251" s="20">
        <v>349.0</v>
      </c>
      <c r="L3251" s="20"/>
      <c r="M3251" s="20">
        <v>349.0</v>
      </c>
      <c r="N3251" s="5" t="s">
        <v>67</v>
      </c>
      <c r="O3251" s="20" t="b">
        <v>0</v>
      </c>
      <c r="P3251" s="20" t="s">
        <v>151</v>
      </c>
      <c r="Q3251" s="20" t="s">
        <v>69</v>
      </c>
      <c r="R3251" s="20" t="s">
        <v>3328</v>
      </c>
      <c r="T3251" s="20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</row>
    <row r="3252">
      <c r="A3252" s="15" t="s">
        <v>11142</v>
      </c>
      <c r="B3252" s="19">
        <v>44506.339583333334</v>
      </c>
      <c r="C3252" s="20">
        <v>50022.0</v>
      </c>
      <c r="D3252" s="20" t="s">
        <v>5293</v>
      </c>
      <c r="E3252" s="5">
        <v>9.19003200139E11</v>
      </c>
      <c r="F3252" s="21">
        <v>19848.0</v>
      </c>
      <c r="G3252" s="20"/>
      <c r="H3252" s="20" t="s">
        <v>5181</v>
      </c>
      <c r="I3252" s="5"/>
      <c r="J3252" s="20">
        <v>1.0</v>
      </c>
      <c r="K3252" s="20">
        <v>99.0</v>
      </c>
      <c r="L3252" s="20"/>
      <c r="M3252" s="20">
        <v>99.0</v>
      </c>
      <c r="N3252" s="5" t="s">
        <v>67</v>
      </c>
      <c r="O3252" s="20" t="b">
        <v>0</v>
      </c>
      <c r="P3252" s="20" t="s">
        <v>68</v>
      </c>
      <c r="Q3252" s="20" t="s">
        <v>69</v>
      </c>
      <c r="R3252" s="20" t="s">
        <v>5183</v>
      </c>
      <c r="T3252" s="20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</row>
    <row r="3253">
      <c r="A3253" s="15" t="s">
        <v>10980</v>
      </c>
      <c r="B3253" s="19">
        <v>44475.28125</v>
      </c>
      <c r="C3253" s="20">
        <v>50023.0</v>
      </c>
      <c r="D3253" s="20" t="s">
        <v>5590</v>
      </c>
      <c r="E3253" s="5">
        <v>9.17057092709E11</v>
      </c>
      <c r="F3253" s="21">
        <v>19770.0</v>
      </c>
      <c r="G3253" s="20"/>
      <c r="H3253" s="20" t="s">
        <v>5508</v>
      </c>
      <c r="I3253" s="5"/>
      <c r="J3253" s="20">
        <v>1.0</v>
      </c>
      <c r="K3253" s="20">
        <v>99.0</v>
      </c>
      <c r="L3253" s="20"/>
      <c r="M3253" s="20">
        <v>99.0</v>
      </c>
      <c r="N3253" s="5" t="s">
        <v>67</v>
      </c>
      <c r="O3253" s="20" t="b">
        <v>0</v>
      </c>
      <c r="P3253" s="20" t="s">
        <v>68</v>
      </c>
      <c r="Q3253" s="20" t="s">
        <v>69</v>
      </c>
      <c r="R3253" s="20" t="s">
        <v>5510</v>
      </c>
      <c r="T3253" s="20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</row>
    <row r="3254">
      <c r="A3254" s="15" t="s">
        <v>10981</v>
      </c>
      <c r="B3254" s="19">
        <v>44475.29375</v>
      </c>
      <c r="C3254" s="20">
        <v>50094.0</v>
      </c>
      <c r="D3254" s="20" t="s">
        <v>5052</v>
      </c>
      <c r="E3254" s="5">
        <v>9.19360794218E11</v>
      </c>
      <c r="F3254" s="21">
        <v>19771.0</v>
      </c>
      <c r="G3254" s="20"/>
      <c r="H3254" s="20" t="s">
        <v>4942</v>
      </c>
      <c r="I3254" s="5"/>
      <c r="J3254" s="20">
        <v>1.0</v>
      </c>
      <c r="K3254" s="20">
        <v>199.0</v>
      </c>
      <c r="L3254" s="20"/>
      <c r="M3254" s="20">
        <v>199.0</v>
      </c>
      <c r="N3254" s="5" t="s">
        <v>67</v>
      </c>
      <c r="O3254" s="20" t="b">
        <v>0</v>
      </c>
      <c r="P3254" s="20" t="s">
        <v>68</v>
      </c>
      <c r="Q3254" s="20" t="s">
        <v>69</v>
      </c>
      <c r="R3254" s="20" t="s">
        <v>4945</v>
      </c>
      <c r="T3254" s="20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</row>
    <row r="3255">
      <c r="A3255" s="15" t="s">
        <v>10986</v>
      </c>
      <c r="B3255" s="19">
        <v>44475.32847222222</v>
      </c>
      <c r="C3255" s="20">
        <v>49998.0</v>
      </c>
      <c r="D3255" s="20" t="s">
        <v>6302</v>
      </c>
      <c r="E3255" s="5">
        <v>9.17820939978E11</v>
      </c>
      <c r="F3255" s="21">
        <v>19772.0</v>
      </c>
      <c r="G3255" s="20"/>
      <c r="H3255" s="20" t="s">
        <v>6250</v>
      </c>
      <c r="I3255" s="5"/>
      <c r="J3255" s="20">
        <v>1.0</v>
      </c>
      <c r="K3255" s="20">
        <v>99.0</v>
      </c>
      <c r="L3255" s="20"/>
      <c r="M3255" s="20">
        <v>99.0</v>
      </c>
      <c r="N3255" s="5" t="s">
        <v>67</v>
      </c>
      <c r="O3255" s="20" t="b">
        <v>0</v>
      </c>
      <c r="P3255" s="20" t="s">
        <v>68</v>
      </c>
      <c r="Q3255" s="20" t="s">
        <v>69</v>
      </c>
      <c r="R3255" s="20" t="s">
        <v>6252</v>
      </c>
      <c r="T3255" s="20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</row>
    <row r="3256">
      <c r="A3256" s="15" t="s">
        <v>11145</v>
      </c>
      <c r="B3256" s="19">
        <v>44506.37430555555</v>
      </c>
      <c r="C3256" s="20">
        <v>50043.0</v>
      </c>
      <c r="D3256" s="20" t="s">
        <v>6426</v>
      </c>
      <c r="E3256" s="5">
        <v>9.19539598598E11</v>
      </c>
      <c r="F3256" s="21">
        <v>0.0</v>
      </c>
      <c r="G3256" s="20"/>
      <c r="H3256" s="20" t="s">
        <v>6367</v>
      </c>
      <c r="I3256" s="5"/>
      <c r="J3256" s="20">
        <v>1.0</v>
      </c>
      <c r="K3256" s="20">
        <v>99.0</v>
      </c>
      <c r="L3256" s="20"/>
      <c r="M3256" s="20">
        <v>99.0</v>
      </c>
      <c r="N3256" s="5" t="s">
        <v>67</v>
      </c>
      <c r="O3256" s="20" t="b">
        <v>0</v>
      </c>
      <c r="P3256" s="20" t="s">
        <v>151</v>
      </c>
      <c r="Q3256" s="20" t="s">
        <v>69</v>
      </c>
      <c r="R3256" s="20" t="s">
        <v>6369</v>
      </c>
      <c r="T3256" s="20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</row>
    <row r="3257">
      <c r="A3257" s="15" t="s">
        <v>10987</v>
      </c>
      <c r="B3257" s="19">
        <v>44475.339583333334</v>
      </c>
      <c r="C3257" s="20">
        <v>49844.0</v>
      </c>
      <c r="D3257" s="20" t="s">
        <v>5492</v>
      </c>
      <c r="E3257" s="5">
        <v>9.18297073432E11</v>
      </c>
      <c r="F3257" s="21">
        <v>0.0</v>
      </c>
      <c r="G3257" s="20"/>
      <c r="H3257" s="20" t="s">
        <v>885</v>
      </c>
      <c r="I3257" s="5"/>
      <c r="J3257" s="20">
        <v>1.0</v>
      </c>
      <c r="K3257" s="20">
        <v>99.0</v>
      </c>
      <c r="L3257" s="20"/>
      <c r="M3257" s="20">
        <v>99.0</v>
      </c>
      <c r="N3257" s="5" t="s">
        <v>67</v>
      </c>
      <c r="O3257" s="20" t="b">
        <v>0</v>
      </c>
      <c r="P3257" s="20" t="s">
        <v>74</v>
      </c>
      <c r="Q3257" s="20" t="s">
        <v>69</v>
      </c>
      <c r="R3257" s="20" t="s">
        <v>5476</v>
      </c>
      <c r="T3257" s="20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</row>
    <row r="3258">
      <c r="A3258" s="15" t="s">
        <v>11150</v>
      </c>
      <c r="B3258" s="19">
        <v>44506.419444444444</v>
      </c>
      <c r="C3258" s="20">
        <v>50023.0</v>
      </c>
      <c r="D3258" s="20" t="s">
        <v>5600</v>
      </c>
      <c r="E3258" s="5">
        <v>9.18726424329E11</v>
      </c>
      <c r="F3258" s="21">
        <v>19846.0</v>
      </c>
      <c r="G3258" s="20"/>
      <c r="H3258" s="20" t="s">
        <v>5508</v>
      </c>
      <c r="I3258" s="5"/>
      <c r="J3258" s="20">
        <v>1.0</v>
      </c>
      <c r="K3258" s="20">
        <v>99.0</v>
      </c>
      <c r="L3258" s="20"/>
      <c r="M3258" s="20">
        <v>99.0</v>
      </c>
      <c r="N3258" s="5" t="s">
        <v>67</v>
      </c>
      <c r="O3258" s="20" t="b">
        <v>0</v>
      </c>
      <c r="P3258" s="20" t="s">
        <v>68</v>
      </c>
      <c r="Q3258" s="20" t="s">
        <v>69</v>
      </c>
      <c r="R3258" s="20" t="s">
        <v>5510</v>
      </c>
      <c r="T3258" s="20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</row>
    <row r="3259">
      <c r="A3259" s="15" t="s">
        <v>11151</v>
      </c>
      <c r="B3259" s="19">
        <v>44506.419444444444</v>
      </c>
      <c r="C3259" s="20">
        <v>50043.0</v>
      </c>
      <c r="D3259" s="20" t="s">
        <v>6427</v>
      </c>
      <c r="E3259" s="5">
        <v>9.17991120092E11</v>
      </c>
      <c r="F3259" s="21">
        <v>19838.0</v>
      </c>
      <c r="G3259" s="20"/>
      <c r="H3259" s="20" t="s">
        <v>6367</v>
      </c>
      <c r="I3259" s="5"/>
      <c r="J3259" s="20">
        <v>1.0</v>
      </c>
      <c r="K3259" s="20">
        <v>99.0</v>
      </c>
      <c r="L3259" s="20"/>
      <c r="M3259" s="20">
        <v>99.0</v>
      </c>
      <c r="N3259" s="5" t="s">
        <v>67</v>
      </c>
      <c r="O3259" s="20" t="b">
        <v>0</v>
      </c>
      <c r="P3259" s="20" t="s">
        <v>68</v>
      </c>
      <c r="Q3259" s="20" t="s">
        <v>69</v>
      </c>
      <c r="R3259" s="20" t="s">
        <v>6369</v>
      </c>
      <c r="T3259" s="20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</row>
    <row r="3260">
      <c r="A3260" s="15" t="s">
        <v>11152</v>
      </c>
      <c r="B3260" s="19">
        <v>44506.42083333333</v>
      </c>
      <c r="C3260" s="20">
        <v>49844.0</v>
      </c>
      <c r="D3260" s="20" t="s">
        <v>5497</v>
      </c>
      <c r="E3260" s="5">
        <v>9.19701713538E11</v>
      </c>
      <c r="F3260" s="21">
        <v>19840.0</v>
      </c>
      <c r="G3260" s="20"/>
      <c r="H3260" s="20" t="s">
        <v>885</v>
      </c>
      <c r="I3260" s="5"/>
      <c r="J3260" s="20">
        <v>1.0</v>
      </c>
      <c r="K3260" s="20">
        <v>99.0</v>
      </c>
      <c r="L3260" s="20"/>
      <c r="M3260" s="20">
        <v>99.0</v>
      </c>
      <c r="N3260" s="5" t="s">
        <v>67</v>
      </c>
      <c r="O3260" s="20" t="b">
        <v>0</v>
      </c>
      <c r="P3260" s="20" t="s">
        <v>68</v>
      </c>
      <c r="Q3260" s="20" t="s">
        <v>69</v>
      </c>
      <c r="R3260" s="20" t="s">
        <v>5476</v>
      </c>
      <c r="T3260" s="20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</row>
    <row r="3261">
      <c r="A3261" s="15" t="s">
        <v>10991</v>
      </c>
      <c r="B3261" s="19">
        <v>44475.34444444445</v>
      </c>
      <c r="C3261" s="20">
        <v>50030.0</v>
      </c>
      <c r="D3261" s="20" t="s">
        <v>3499</v>
      </c>
      <c r="E3261" s="5">
        <v>9.19337946722E11</v>
      </c>
      <c r="F3261" s="21">
        <v>19773.0</v>
      </c>
      <c r="G3261" s="20"/>
      <c r="H3261" s="20" t="s">
        <v>3326</v>
      </c>
      <c r="I3261" s="5"/>
      <c r="J3261" s="20">
        <v>6.0</v>
      </c>
      <c r="K3261" s="20">
        <v>349.0</v>
      </c>
      <c r="L3261" s="20"/>
      <c r="M3261" s="20">
        <v>349.0</v>
      </c>
      <c r="N3261" s="5" t="s">
        <v>67</v>
      </c>
      <c r="O3261" s="20" t="b">
        <v>0</v>
      </c>
      <c r="P3261" s="20" t="s">
        <v>74</v>
      </c>
      <c r="Q3261" s="20" t="s">
        <v>69</v>
      </c>
      <c r="R3261" s="20" t="s">
        <v>3328</v>
      </c>
      <c r="T3261" s="20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</row>
    <row r="3262">
      <c r="A3262" s="15" t="s">
        <v>11153</v>
      </c>
      <c r="B3262" s="19">
        <v>44506.42222222222</v>
      </c>
      <c r="C3262" s="20">
        <v>49996.0</v>
      </c>
      <c r="D3262" s="20" t="s">
        <v>4852</v>
      </c>
      <c r="E3262" s="5">
        <v>9.18013117659E11</v>
      </c>
      <c r="F3262" s="21">
        <v>19841.0</v>
      </c>
      <c r="G3262" s="20"/>
      <c r="H3262" s="20" t="s">
        <v>4796</v>
      </c>
      <c r="I3262" s="5"/>
      <c r="J3262" s="20">
        <v>3.0</v>
      </c>
      <c r="K3262" s="20">
        <v>199.0</v>
      </c>
      <c r="L3262" s="20"/>
      <c r="M3262" s="20">
        <v>199.0</v>
      </c>
      <c r="N3262" s="5" t="s">
        <v>67</v>
      </c>
      <c r="O3262" s="20" t="b">
        <v>0</v>
      </c>
      <c r="P3262" s="20" t="s">
        <v>74</v>
      </c>
      <c r="Q3262" s="20" t="s">
        <v>69</v>
      </c>
      <c r="R3262" s="20" t="s">
        <v>4799</v>
      </c>
      <c r="T3262" s="20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</row>
    <row r="3263">
      <c r="A3263" s="15" t="s">
        <v>10992</v>
      </c>
      <c r="B3263" s="19">
        <v>44475.36388888889</v>
      </c>
      <c r="C3263" s="20">
        <v>49859.0</v>
      </c>
      <c r="D3263" s="20" t="s">
        <v>4747</v>
      </c>
      <c r="E3263" s="5">
        <v>9.19130612265E11</v>
      </c>
      <c r="F3263" s="21">
        <v>19774.0</v>
      </c>
      <c r="G3263" s="20"/>
      <c r="H3263" s="20" t="s">
        <v>1133</v>
      </c>
      <c r="I3263" s="5"/>
      <c r="J3263" s="20">
        <v>1.0</v>
      </c>
      <c r="K3263" s="20">
        <v>99.0</v>
      </c>
      <c r="L3263" s="20"/>
      <c r="M3263" s="20">
        <v>99.0</v>
      </c>
      <c r="N3263" s="5" t="s">
        <v>67</v>
      </c>
      <c r="O3263" s="20" t="b">
        <v>0</v>
      </c>
      <c r="P3263" s="20" t="s">
        <v>68</v>
      </c>
      <c r="Q3263" s="20" t="s">
        <v>69</v>
      </c>
      <c r="R3263" s="20" t="s">
        <v>4736</v>
      </c>
      <c r="T3263" s="20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</row>
    <row r="3264">
      <c r="A3264" s="15" t="s">
        <v>10993</v>
      </c>
      <c r="B3264" s="19">
        <v>44475.368055555555</v>
      </c>
      <c r="C3264" s="20">
        <v>49859.0</v>
      </c>
      <c r="D3264" s="20" t="s">
        <v>4748</v>
      </c>
      <c r="E3264" s="5">
        <v>9.19393444115E11</v>
      </c>
      <c r="F3264" s="21">
        <v>19775.0</v>
      </c>
      <c r="G3264" s="20"/>
      <c r="H3264" s="20" t="s">
        <v>1133</v>
      </c>
      <c r="I3264" s="5"/>
      <c r="J3264" s="20">
        <v>1.0</v>
      </c>
      <c r="K3264" s="20">
        <v>99.0</v>
      </c>
      <c r="L3264" s="20"/>
      <c r="M3264" s="20">
        <v>99.0</v>
      </c>
      <c r="N3264" s="5" t="s">
        <v>67</v>
      </c>
      <c r="O3264" s="20" t="b">
        <v>0</v>
      </c>
      <c r="P3264" s="20" t="s">
        <v>68</v>
      </c>
      <c r="Q3264" s="20" t="s">
        <v>69</v>
      </c>
      <c r="R3264" s="20" t="s">
        <v>4736</v>
      </c>
      <c r="T3264" s="20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</row>
    <row r="3265">
      <c r="A3265" s="15" t="s">
        <v>10996</v>
      </c>
      <c r="B3265" s="19">
        <v>44475.38055555556</v>
      </c>
      <c r="C3265" s="20">
        <v>49994.0</v>
      </c>
      <c r="D3265" s="20" t="s">
        <v>6652</v>
      </c>
      <c r="E3265" s="5">
        <v>9.18208793221E11</v>
      </c>
      <c r="F3265" s="21">
        <v>19776.0</v>
      </c>
      <c r="G3265" s="20"/>
      <c r="H3265" s="20" t="s">
        <v>1264</v>
      </c>
      <c r="I3265" s="5"/>
      <c r="J3265" s="20">
        <v>1.0</v>
      </c>
      <c r="K3265" s="20">
        <v>99.0</v>
      </c>
      <c r="L3265" s="20"/>
      <c r="M3265" s="20">
        <v>99.0</v>
      </c>
      <c r="N3265" s="5" t="s">
        <v>67</v>
      </c>
      <c r="O3265" s="20" t="b">
        <v>0</v>
      </c>
      <c r="P3265" s="20" t="s">
        <v>68</v>
      </c>
      <c r="Q3265" s="20" t="s">
        <v>69</v>
      </c>
      <c r="R3265" s="20" t="s">
        <v>6615</v>
      </c>
      <c r="T3265" s="20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</row>
    <row r="3266">
      <c r="A3266" s="15" t="s">
        <v>11160</v>
      </c>
      <c r="B3266" s="19">
        <v>44506.45</v>
      </c>
      <c r="C3266" s="20">
        <v>50052.0</v>
      </c>
      <c r="D3266" s="20" t="s">
        <v>4504</v>
      </c>
      <c r="E3266" s="5">
        <v>9.19725749488E11</v>
      </c>
      <c r="F3266" s="21">
        <v>19843.0</v>
      </c>
      <c r="G3266" s="20"/>
      <c r="H3266" s="20" t="s">
        <v>4433</v>
      </c>
      <c r="I3266" s="5"/>
      <c r="J3266" s="20">
        <v>1.0</v>
      </c>
      <c r="K3266" s="20">
        <v>99.0</v>
      </c>
      <c r="L3266" s="20"/>
      <c r="M3266" s="20">
        <v>99.0</v>
      </c>
      <c r="N3266" s="5" t="s">
        <v>67</v>
      </c>
      <c r="O3266" s="20" t="b">
        <v>0</v>
      </c>
      <c r="P3266" s="20" t="s">
        <v>74</v>
      </c>
      <c r="Q3266" s="20" t="s">
        <v>69</v>
      </c>
      <c r="R3266" s="20" t="s">
        <v>4435</v>
      </c>
      <c r="T3266" s="20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</row>
    <row r="3267">
      <c r="A3267" s="15" t="s">
        <v>11162</v>
      </c>
      <c r="B3267" s="19">
        <v>44506.45277777778</v>
      </c>
      <c r="C3267" s="20">
        <v>50054.0</v>
      </c>
      <c r="D3267" s="20" t="s">
        <v>5935</v>
      </c>
      <c r="E3267" s="5">
        <v>9.19573000477E11</v>
      </c>
      <c r="F3267" s="21">
        <v>19844.0</v>
      </c>
      <c r="G3267" s="20"/>
      <c r="H3267" s="20" t="s">
        <v>5822</v>
      </c>
      <c r="I3267" s="5"/>
      <c r="J3267" s="20">
        <v>3.0</v>
      </c>
      <c r="K3267" s="20">
        <v>199.0</v>
      </c>
      <c r="L3267" s="20"/>
      <c r="M3267" s="20">
        <v>199.0</v>
      </c>
      <c r="N3267" s="5" t="s">
        <v>67</v>
      </c>
      <c r="O3267" s="20" t="b">
        <v>0</v>
      </c>
      <c r="P3267" s="20" t="s">
        <v>68</v>
      </c>
      <c r="Q3267" s="20" t="s">
        <v>69</v>
      </c>
      <c r="R3267" s="20" t="s">
        <v>5824</v>
      </c>
      <c r="T3267" s="20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</row>
    <row r="3268">
      <c r="A3268" s="15" t="s">
        <v>11163</v>
      </c>
      <c r="B3268" s="19">
        <v>44506.45763888889</v>
      </c>
      <c r="C3268" s="20">
        <v>50023.0</v>
      </c>
      <c r="D3268" s="20" t="s">
        <v>5601</v>
      </c>
      <c r="E3268" s="5">
        <v>9.17999614131E11</v>
      </c>
      <c r="F3268" s="21">
        <v>19845.0</v>
      </c>
      <c r="G3268" s="20"/>
      <c r="H3268" s="20" t="s">
        <v>5508</v>
      </c>
      <c r="I3268" s="5"/>
      <c r="J3268" s="20">
        <v>1.0</v>
      </c>
      <c r="K3268" s="20">
        <v>99.0</v>
      </c>
      <c r="L3268" s="20"/>
      <c r="M3268" s="20">
        <v>99.0</v>
      </c>
      <c r="N3268" s="5" t="s">
        <v>67</v>
      </c>
      <c r="O3268" s="20" t="b">
        <v>0</v>
      </c>
      <c r="P3268" s="20" t="s">
        <v>151</v>
      </c>
      <c r="Q3268" s="20" t="s">
        <v>69</v>
      </c>
      <c r="R3268" s="20" t="s">
        <v>5584</v>
      </c>
      <c r="T3268" s="20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</row>
    <row r="3269">
      <c r="A3269" s="15" t="s">
        <v>11001</v>
      </c>
      <c r="B3269" s="19">
        <v>44475.395833333336</v>
      </c>
      <c r="C3269" s="20">
        <v>49859.0</v>
      </c>
      <c r="D3269" s="20" t="s">
        <v>4749</v>
      </c>
      <c r="E3269" s="5">
        <v>9.1888767375E11</v>
      </c>
      <c r="F3269" s="21">
        <v>19777.0</v>
      </c>
      <c r="G3269" s="20"/>
      <c r="H3269" s="20" t="s">
        <v>1133</v>
      </c>
      <c r="I3269" s="5"/>
      <c r="J3269" s="20">
        <v>1.0</v>
      </c>
      <c r="K3269" s="20">
        <v>99.0</v>
      </c>
      <c r="L3269" s="20"/>
      <c r="M3269" s="20">
        <v>99.0</v>
      </c>
      <c r="N3269" s="5" t="s">
        <v>67</v>
      </c>
      <c r="O3269" s="20" t="b">
        <v>0</v>
      </c>
      <c r="P3269" s="20" t="s">
        <v>68</v>
      </c>
      <c r="Q3269" s="20" t="s">
        <v>69</v>
      </c>
      <c r="R3269" s="20" t="s">
        <v>4736</v>
      </c>
      <c r="T3269" s="20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</row>
    <row r="3270">
      <c r="A3270" s="15" t="s">
        <v>11002</v>
      </c>
      <c r="B3270" s="19">
        <v>44475.42152777778</v>
      </c>
      <c r="C3270" s="20">
        <v>49844.0</v>
      </c>
      <c r="D3270" s="20" t="s">
        <v>5493</v>
      </c>
      <c r="E3270" s="5">
        <v>9.18108894246E11</v>
      </c>
      <c r="F3270" s="21">
        <v>19780.0</v>
      </c>
      <c r="G3270" s="20"/>
      <c r="H3270" s="20" t="s">
        <v>885</v>
      </c>
      <c r="I3270" s="5"/>
      <c r="J3270" s="20">
        <v>1.0</v>
      </c>
      <c r="K3270" s="20">
        <v>99.0</v>
      </c>
      <c r="L3270" s="20"/>
      <c r="M3270" s="20">
        <v>99.0</v>
      </c>
      <c r="N3270" s="5" t="s">
        <v>67</v>
      </c>
      <c r="O3270" s="20" t="b">
        <v>0</v>
      </c>
      <c r="P3270" s="20" t="s">
        <v>68</v>
      </c>
      <c r="Q3270" s="20" t="s">
        <v>69</v>
      </c>
      <c r="R3270" s="20" t="s">
        <v>5476</v>
      </c>
      <c r="T3270" s="20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</row>
    <row r="3271">
      <c r="A3271" s="15" t="s">
        <v>11003</v>
      </c>
      <c r="B3271" s="19">
        <v>44475.42083333333</v>
      </c>
      <c r="C3271" s="20">
        <v>49991.0</v>
      </c>
      <c r="D3271" s="20" t="s">
        <v>3158</v>
      </c>
      <c r="E3271" s="5">
        <v>9.19790471941E11</v>
      </c>
      <c r="F3271" s="21">
        <v>19778.0</v>
      </c>
      <c r="G3271" s="20"/>
      <c r="H3271" s="20" t="s">
        <v>3055</v>
      </c>
      <c r="I3271" s="5"/>
      <c r="J3271" s="20">
        <v>1.0</v>
      </c>
      <c r="K3271" s="20">
        <v>99.0</v>
      </c>
      <c r="L3271" s="20"/>
      <c r="M3271" s="20">
        <v>99.0</v>
      </c>
      <c r="N3271" s="5" t="s">
        <v>67</v>
      </c>
      <c r="O3271" s="20" t="b">
        <v>0</v>
      </c>
      <c r="P3271" s="20" t="s">
        <v>68</v>
      </c>
      <c r="Q3271" s="20" t="s">
        <v>69</v>
      </c>
      <c r="R3271" s="20" t="s">
        <v>3150</v>
      </c>
      <c r="T3271" s="20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</row>
    <row r="3272">
      <c r="A3272" s="1" t="s">
        <v>11028</v>
      </c>
      <c r="B3272" s="19">
        <v>44475.566666666666</v>
      </c>
      <c r="C3272" s="20">
        <v>49996.0</v>
      </c>
      <c r="D3272" s="20" t="s">
        <v>3158</v>
      </c>
      <c r="E3272" s="5">
        <v>9.19790471941E11</v>
      </c>
      <c r="F3272" s="21">
        <v>19778.0</v>
      </c>
      <c r="G3272" s="20"/>
      <c r="H3272" s="20" t="s">
        <v>4796</v>
      </c>
      <c r="I3272" s="5"/>
      <c r="J3272" s="20">
        <v>1.0</v>
      </c>
      <c r="K3272" s="20">
        <v>99.0</v>
      </c>
      <c r="L3272" s="20"/>
      <c r="M3272" s="20">
        <v>99.0</v>
      </c>
      <c r="N3272" s="5" t="s">
        <v>67</v>
      </c>
      <c r="O3272" s="20" t="b">
        <v>0</v>
      </c>
      <c r="P3272" s="20" t="s">
        <v>68</v>
      </c>
      <c r="Q3272" s="20" t="s">
        <v>69</v>
      </c>
      <c r="R3272" s="20" t="s">
        <v>4843</v>
      </c>
      <c r="T3272" s="20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</row>
    <row r="3273">
      <c r="A3273" s="15" t="s">
        <v>11004</v>
      </c>
      <c r="B3273" s="19">
        <v>44475.43125</v>
      </c>
      <c r="C3273" s="20">
        <v>50094.0</v>
      </c>
      <c r="D3273" s="20" t="s">
        <v>5053</v>
      </c>
      <c r="E3273" s="5">
        <v>9.19819597283E11</v>
      </c>
      <c r="F3273" s="21">
        <v>19781.0</v>
      </c>
      <c r="G3273" s="20"/>
      <c r="H3273" s="20" t="s">
        <v>4942</v>
      </c>
      <c r="I3273" s="5"/>
      <c r="J3273" s="20">
        <v>1.0</v>
      </c>
      <c r="K3273" s="20">
        <v>199.0</v>
      </c>
      <c r="L3273" s="20"/>
      <c r="M3273" s="20">
        <v>199.0</v>
      </c>
      <c r="N3273" s="5" t="s">
        <v>67</v>
      </c>
      <c r="O3273" s="20" t="b">
        <v>0</v>
      </c>
      <c r="P3273" s="20" t="s">
        <v>68</v>
      </c>
      <c r="Q3273" s="20" t="s">
        <v>69</v>
      </c>
      <c r="R3273" s="20" t="s">
        <v>4945</v>
      </c>
      <c r="T3273" s="20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</row>
    <row r="3274">
      <c r="A3274" s="15" t="s">
        <v>11005</v>
      </c>
      <c r="B3274" s="19">
        <v>44475.43194444444</v>
      </c>
      <c r="C3274" s="20">
        <v>50029.0</v>
      </c>
      <c r="D3274" s="20" t="s">
        <v>2884</v>
      </c>
      <c r="E3274" s="5">
        <v>9.19986932177E11</v>
      </c>
      <c r="F3274" s="21">
        <v>19782.0</v>
      </c>
      <c r="G3274" s="20"/>
      <c r="H3274" s="20" t="s">
        <v>2761</v>
      </c>
      <c r="I3274" s="5"/>
      <c r="J3274" s="20">
        <v>1.0</v>
      </c>
      <c r="K3274" s="20">
        <v>99.0</v>
      </c>
      <c r="L3274" s="20"/>
      <c r="M3274" s="20">
        <v>99.0</v>
      </c>
      <c r="N3274" s="5" t="s">
        <v>67</v>
      </c>
      <c r="O3274" s="20" t="b">
        <v>0</v>
      </c>
      <c r="P3274" s="20" t="s">
        <v>68</v>
      </c>
      <c r="Q3274" s="20" t="s">
        <v>69</v>
      </c>
      <c r="R3274" s="20" t="s">
        <v>2763</v>
      </c>
      <c r="T3274" s="20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</row>
    <row r="3275">
      <c r="A3275" s="15" t="s">
        <v>11166</v>
      </c>
      <c r="B3275" s="19">
        <v>44506.49930555555</v>
      </c>
      <c r="C3275" s="20">
        <v>49859.0</v>
      </c>
      <c r="D3275" s="20" t="s">
        <v>4754</v>
      </c>
      <c r="E3275" s="5">
        <v>9.19644673402E11</v>
      </c>
      <c r="F3275" s="21">
        <v>19866.0</v>
      </c>
      <c r="G3275" s="20"/>
      <c r="H3275" s="20" t="s">
        <v>1133</v>
      </c>
      <c r="I3275" s="5"/>
      <c r="J3275" s="20">
        <v>1.0</v>
      </c>
      <c r="K3275" s="20">
        <v>99.0</v>
      </c>
      <c r="L3275" s="20"/>
      <c r="M3275" s="20">
        <v>99.0</v>
      </c>
      <c r="N3275" s="5" t="s">
        <v>67</v>
      </c>
      <c r="O3275" s="20" t="b">
        <v>0</v>
      </c>
      <c r="P3275" s="20" t="s">
        <v>151</v>
      </c>
      <c r="Q3275" s="20" t="s">
        <v>69</v>
      </c>
      <c r="R3275" s="20" t="s">
        <v>4736</v>
      </c>
      <c r="T3275" s="20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</row>
    <row r="3276">
      <c r="A3276" s="15" t="s">
        <v>11179</v>
      </c>
      <c r="B3276" s="19">
        <v>44506.51666666667</v>
      </c>
      <c r="C3276" s="20">
        <v>50029.0</v>
      </c>
      <c r="D3276" s="20" t="s">
        <v>2887</v>
      </c>
      <c r="E3276" s="5">
        <v>9.19900872847E11</v>
      </c>
      <c r="F3276" s="21">
        <v>0.0</v>
      </c>
      <c r="G3276" s="20"/>
      <c r="H3276" s="20" t="s">
        <v>2761</v>
      </c>
      <c r="I3276" s="5"/>
      <c r="J3276" s="20">
        <v>1.0</v>
      </c>
      <c r="K3276" s="20">
        <v>99.0</v>
      </c>
      <c r="L3276" s="20"/>
      <c r="M3276" s="20">
        <v>99.0</v>
      </c>
      <c r="N3276" s="5" t="s">
        <v>67</v>
      </c>
      <c r="O3276" s="20" t="b">
        <v>0</v>
      </c>
      <c r="P3276" s="20" t="s">
        <v>68</v>
      </c>
      <c r="Q3276" s="20" t="s">
        <v>69</v>
      </c>
      <c r="R3276" s="20" t="s">
        <v>2763</v>
      </c>
      <c r="T3276" s="20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</row>
    <row r="3277">
      <c r="A3277" s="15" t="s">
        <v>11006</v>
      </c>
      <c r="B3277" s="19">
        <v>44475.46527777778</v>
      </c>
      <c r="C3277" s="20">
        <v>49991.0</v>
      </c>
      <c r="D3277" s="20" t="s">
        <v>3159</v>
      </c>
      <c r="E3277" s="5">
        <v>9.1797077293E11</v>
      </c>
      <c r="F3277" s="21">
        <v>19783.0</v>
      </c>
      <c r="G3277" s="20"/>
      <c r="H3277" s="20" t="s">
        <v>3055</v>
      </c>
      <c r="I3277" s="5"/>
      <c r="J3277" s="20">
        <v>1.0</v>
      </c>
      <c r="K3277" s="20">
        <v>99.0</v>
      </c>
      <c r="L3277" s="20"/>
      <c r="M3277" s="20">
        <v>99.0</v>
      </c>
      <c r="N3277" s="5" t="s">
        <v>67</v>
      </c>
      <c r="O3277" s="20" t="b">
        <v>0</v>
      </c>
      <c r="P3277" s="20" t="s">
        <v>68</v>
      </c>
      <c r="Q3277" s="20" t="s">
        <v>69</v>
      </c>
      <c r="R3277" s="20" t="s">
        <v>3057</v>
      </c>
      <c r="T3277" s="20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</row>
    <row r="3278">
      <c r="A3278" s="15" t="s">
        <v>11014</v>
      </c>
      <c r="B3278" s="19">
        <v>44475.49236111111</v>
      </c>
      <c r="C3278" s="20">
        <v>50023.0</v>
      </c>
      <c r="D3278" s="20" t="s">
        <v>5591</v>
      </c>
      <c r="E3278" s="5">
        <v>9.19720803108E11</v>
      </c>
      <c r="F3278" s="21">
        <v>19786.0</v>
      </c>
      <c r="G3278" s="20"/>
      <c r="H3278" s="20" t="s">
        <v>5508</v>
      </c>
      <c r="I3278" s="5"/>
      <c r="J3278" s="20">
        <v>1.0</v>
      </c>
      <c r="K3278" s="20">
        <v>99.0</v>
      </c>
      <c r="L3278" s="20"/>
      <c r="M3278" s="20">
        <v>99.0</v>
      </c>
      <c r="N3278" s="5" t="s">
        <v>67</v>
      </c>
      <c r="O3278" s="20" t="b">
        <v>0</v>
      </c>
      <c r="P3278" s="20" t="s">
        <v>68</v>
      </c>
      <c r="Q3278" s="20" t="s">
        <v>69</v>
      </c>
      <c r="R3278" s="20" t="s">
        <v>5584</v>
      </c>
      <c r="T3278" s="20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</row>
    <row r="3279">
      <c r="A3279" s="15" t="s">
        <v>11007</v>
      </c>
      <c r="B3279" s="19">
        <v>44475.47222222222</v>
      </c>
      <c r="C3279" s="20">
        <v>49991.0</v>
      </c>
      <c r="D3279" s="20" t="s">
        <v>3160</v>
      </c>
      <c r="E3279" s="5">
        <v>9.18093944003E11</v>
      </c>
      <c r="F3279" s="21">
        <v>19784.0</v>
      </c>
      <c r="G3279" s="20"/>
      <c r="H3279" s="20" t="s">
        <v>3055</v>
      </c>
      <c r="I3279" s="5"/>
      <c r="J3279" s="20">
        <v>1.0</v>
      </c>
      <c r="K3279" s="20">
        <v>99.0</v>
      </c>
      <c r="L3279" s="20"/>
      <c r="M3279" s="20">
        <v>99.0</v>
      </c>
      <c r="N3279" s="5" t="s">
        <v>67</v>
      </c>
      <c r="O3279" s="20" t="b">
        <v>0</v>
      </c>
      <c r="P3279" s="20" t="s">
        <v>74</v>
      </c>
      <c r="Q3279" s="20" t="s">
        <v>69</v>
      </c>
      <c r="R3279" s="20" t="s">
        <v>3057</v>
      </c>
      <c r="T3279" s="20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</row>
    <row r="3280">
      <c r="A3280" s="15" t="s">
        <v>11181</v>
      </c>
      <c r="B3280" s="19">
        <v>44506.53402777778</v>
      </c>
      <c r="C3280" s="20">
        <v>50022.0</v>
      </c>
      <c r="D3280" s="20" t="s">
        <v>5294</v>
      </c>
      <c r="E3280" s="5">
        <v>9.18224030254E11</v>
      </c>
      <c r="F3280" s="21">
        <v>19850.0</v>
      </c>
      <c r="G3280" s="20"/>
      <c r="H3280" s="20" t="s">
        <v>5181</v>
      </c>
      <c r="I3280" s="5"/>
      <c r="J3280" s="20">
        <v>1.0</v>
      </c>
      <c r="K3280" s="20">
        <v>99.0</v>
      </c>
      <c r="L3280" s="20"/>
      <c r="M3280" s="20">
        <v>99.0</v>
      </c>
      <c r="N3280" s="5" t="s">
        <v>67</v>
      </c>
      <c r="O3280" s="20" t="b">
        <v>0</v>
      </c>
      <c r="P3280" s="20" t="s">
        <v>68</v>
      </c>
      <c r="Q3280" s="20" t="s">
        <v>69</v>
      </c>
      <c r="R3280" s="20" t="s">
        <v>5183</v>
      </c>
      <c r="T3280" s="20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</row>
    <row r="3281">
      <c r="A3281" s="15" t="s">
        <v>11012</v>
      </c>
      <c r="B3281" s="19">
        <v>44475.475694444445</v>
      </c>
      <c r="C3281" s="20">
        <v>50047.0</v>
      </c>
      <c r="D3281" s="20" t="s">
        <v>3277</v>
      </c>
      <c r="E3281" s="5">
        <v>9.19900767046E11</v>
      </c>
      <c r="F3281" s="21">
        <v>19785.0</v>
      </c>
      <c r="G3281" s="20"/>
      <c r="H3281" s="20" t="s">
        <v>3195</v>
      </c>
      <c r="I3281" s="5"/>
      <c r="J3281" s="20">
        <v>3.0</v>
      </c>
      <c r="K3281" s="20">
        <v>199.0</v>
      </c>
      <c r="L3281" s="20"/>
      <c r="M3281" s="20">
        <v>199.0</v>
      </c>
      <c r="N3281" s="5" t="s">
        <v>67</v>
      </c>
      <c r="O3281" s="20" t="b">
        <v>0</v>
      </c>
      <c r="P3281" s="20" t="s">
        <v>68</v>
      </c>
      <c r="Q3281" s="20" t="s">
        <v>69</v>
      </c>
      <c r="R3281" s="20" t="s">
        <v>3197</v>
      </c>
      <c r="T3281" s="20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</row>
    <row r="3282">
      <c r="A3282" s="15" t="s">
        <v>11184</v>
      </c>
      <c r="B3282" s="19">
        <v>44506.53680555556</v>
      </c>
      <c r="C3282" s="20">
        <v>49994.0</v>
      </c>
      <c r="D3282" s="20" t="s">
        <v>6654</v>
      </c>
      <c r="E3282" s="5">
        <v>9.19790193074E11</v>
      </c>
      <c r="F3282" s="21">
        <v>19851.0</v>
      </c>
      <c r="G3282" s="20"/>
      <c r="H3282" s="20" t="s">
        <v>1264</v>
      </c>
      <c r="I3282" s="5"/>
      <c r="J3282" s="20">
        <v>1.0</v>
      </c>
      <c r="K3282" s="20">
        <v>99.0</v>
      </c>
      <c r="L3282" s="20"/>
      <c r="M3282" s="20">
        <v>99.0</v>
      </c>
      <c r="N3282" s="5" t="s">
        <v>67</v>
      </c>
      <c r="O3282" s="20" t="b">
        <v>0</v>
      </c>
      <c r="P3282" s="20" t="s">
        <v>68</v>
      </c>
      <c r="Q3282" s="20" t="s">
        <v>69</v>
      </c>
      <c r="R3282" s="20" t="s">
        <v>6615</v>
      </c>
      <c r="T3282" s="20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</row>
    <row r="3283">
      <c r="A3283" s="15" t="s">
        <v>11185</v>
      </c>
      <c r="B3283" s="19">
        <v>44506.55625</v>
      </c>
      <c r="C3283" s="20">
        <v>50110.0</v>
      </c>
      <c r="D3283" s="20" t="s">
        <v>4413</v>
      </c>
      <c r="E3283" s="5">
        <v>9.18574492554E11</v>
      </c>
      <c r="F3283" s="21">
        <v>19852.0</v>
      </c>
      <c r="G3283" s="20"/>
      <c r="H3283" s="20" t="s">
        <v>4399</v>
      </c>
      <c r="I3283" s="5"/>
      <c r="J3283" s="20">
        <v>1.0</v>
      </c>
      <c r="K3283" s="20">
        <v>99.0</v>
      </c>
      <c r="L3283" s="20"/>
      <c r="M3283" s="20">
        <v>99.0</v>
      </c>
      <c r="N3283" s="5" t="s">
        <v>67</v>
      </c>
      <c r="O3283" s="20" t="b">
        <v>0</v>
      </c>
      <c r="P3283" s="20" t="s">
        <v>68</v>
      </c>
      <c r="Q3283" s="20" t="s">
        <v>69</v>
      </c>
      <c r="R3283" s="20" t="s">
        <v>4402</v>
      </c>
      <c r="T3283" s="20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</row>
    <row r="3284">
      <c r="A3284" s="15" t="s">
        <v>11016</v>
      </c>
      <c r="B3284" s="19">
        <v>44475.49791666667</v>
      </c>
      <c r="C3284" s="20">
        <v>50029.0</v>
      </c>
      <c r="D3284" s="20" t="s">
        <v>2885</v>
      </c>
      <c r="E3284" s="5">
        <v>9.18921529516E11</v>
      </c>
      <c r="F3284" s="21">
        <v>19787.0</v>
      </c>
      <c r="G3284" s="20"/>
      <c r="H3284" s="20" t="s">
        <v>2761</v>
      </c>
      <c r="I3284" s="5"/>
      <c r="J3284" s="20">
        <v>1.0</v>
      </c>
      <c r="K3284" s="20">
        <v>99.0</v>
      </c>
      <c r="L3284" s="20"/>
      <c r="M3284" s="20">
        <v>99.0</v>
      </c>
      <c r="N3284" s="5" t="s">
        <v>67</v>
      </c>
      <c r="O3284" s="20" t="b">
        <v>0</v>
      </c>
      <c r="P3284" s="20" t="s">
        <v>68</v>
      </c>
      <c r="Q3284" s="20" t="s">
        <v>69</v>
      </c>
      <c r="R3284" s="20" t="s">
        <v>2763</v>
      </c>
      <c r="T3284" s="20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</row>
    <row r="3285">
      <c r="A3285" s="15" t="s">
        <v>11186</v>
      </c>
      <c r="B3285" s="19">
        <v>44506.56180555555</v>
      </c>
      <c r="C3285" s="20">
        <v>50023.0</v>
      </c>
      <c r="D3285" s="20" t="s">
        <v>5602</v>
      </c>
      <c r="E3285" s="5">
        <v>9.1903020214E11</v>
      </c>
      <c r="F3285" s="21">
        <v>19853.0</v>
      </c>
      <c r="G3285" s="20"/>
      <c r="H3285" s="20" t="s">
        <v>5508</v>
      </c>
      <c r="I3285" s="5"/>
      <c r="J3285" s="20">
        <v>3.0</v>
      </c>
      <c r="K3285" s="20">
        <v>199.0</v>
      </c>
      <c r="L3285" s="20"/>
      <c r="M3285" s="20">
        <v>199.0</v>
      </c>
      <c r="N3285" s="5" t="s">
        <v>67</v>
      </c>
      <c r="O3285" s="20" t="b">
        <v>0</v>
      </c>
      <c r="P3285" s="20" t="s">
        <v>68</v>
      </c>
      <c r="Q3285" s="20" t="s">
        <v>69</v>
      </c>
      <c r="R3285" s="20" t="s">
        <v>5510</v>
      </c>
      <c r="T3285" s="20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</row>
    <row r="3286">
      <c r="A3286" s="15" t="s">
        <v>11187</v>
      </c>
      <c r="B3286" s="19">
        <v>44506.56180555555</v>
      </c>
      <c r="C3286" s="20">
        <v>50030.0</v>
      </c>
      <c r="D3286" s="20" t="s">
        <v>3504</v>
      </c>
      <c r="E3286" s="5">
        <v>9.19811303373E11</v>
      </c>
      <c r="F3286" s="21">
        <v>19854.0</v>
      </c>
      <c r="G3286" s="20"/>
      <c r="H3286" s="20" t="s">
        <v>3326</v>
      </c>
      <c r="I3286" s="5"/>
      <c r="J3286" s="20">
        <v>6.0</v>
      </c>
      <c r="K3286" s="20">
        <v>349.0</v>
      </c>
      <c r="L3286" s="20"/>
      <c r="M3286" s="20">
        <v>349.0</v>
      </c>
      <c r="N3286" s="5" t="s">
        <v>67</v>
      </c>
      <c r="O3286" s="20" t="b">
        <v>0</v>
      </c>
      <c r="P3286" s="20" t="s">
        <v>68</v>
      </c>
      <c r="Q3286" s="20" t="s">
        <v>69</v>
      </c>
      <c r="R3286" s="20" t="s">
        <v>3505</v>
      </c>
      <c r="T3286" s="20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</row>
    <row r="3287">
      <c r="A3287" s="15" t="s">
        <v>11191</v>
      </c>
      <c r="B3287" s="19">
        <v>44506.58472222222</v>
      </c>
      <c r="C3287" s="20">
        <v>50054.0</v>
      </c>
      <c r="D3287" s="20" t="s">
        <v>5936</v>
      </c>
      <c r="E3287" s="5">
        <v>9.19375375303E11</v>
      </c>
      <c r="F3287" s="21">
        <v>19855.0</v>
      </c>
      <c r="G3287" s="20"/>
      <c r="H3287" s="20" t="s">
        <v>5822</v>
      </c>
      <c r="I3287" s="5"/>
      <c r="J3287" s="20">
        <v>1.0</v>
      </c>
      <c r="K3287" s="20">
        <v>99.0</v>
      </c>
      <c r="L3287" s="20"/>
      <c r="M3287" s="20">
        <v>99.0</v>
      </c>
      <c r="N3287" s="5" t="s">
        <v>67</v>
      </c>
      <c r="O3287" s="20" t="b">
        <v>0</v>
      </c>
      <c r="P3287" s="20" t="s">
        <v>68</v>
      </c>
      <c r="Q3287" s="20" t="s">
        <v>69</v>
      </c>
      <c r="R3287" s="20" t="s">
        <v>5824</v>
      </c>
      <c r="T3287" s="20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</row>
    <row r="3288">
      <c r="A3288" s="15" t="s">
        <v>11021</v>
      </c>
      <c r="B3288" s="19">
        <v>44475.52638888889</v>
      </c>
      <c r="C3288" s="20">
        <v>50039.0</v>
      </c>
      <c r="D3288" s="20" t="s">
        <v>4389</v>
      </c>
      <c r="E3288" s="5">
        <v>9.18919555586E11</v>
      </c>
      <c r="F3288" s="21">
        <v>19789.0</v>
      </c>
      <c r="G3288" s="20"/>
      <c r="H3288" s="20" t="s">
        <v>4341</v>
      </c>
      <c r="I3288" s="5"/>
      <c r="J3288" s="20">
        <v>3.0</v>
      </c>
      <c r="K3288" s="20">
        <v>199.0</v>
      </c>
      <c r="L3288" s="20"/>
      <c r="M3288" s="20">
        <v>199.0</v>
      </c>
      <c r="N3288" s="5" t="s">
        <v>67</v>
      </c>
      <c r="O3288" s="20" t="b">
        <v>0</v>
      </c>
      <c r="P3288" s="20" t="s">
        <v>68</v>
      </c>
      <c r="Q3288" s="20" t="s">
        <v>69</v>
      </c>
      <c r="R3288" s="20" t="s">
        <v>4343</v>
      </c>
      <c r="T3288" s="20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</row>
    <row r="3289">
      <c r="A3289" s="15" t="s">
        <v>11017</v>
      </c>
      <c r="B3289" s="19">
        <v>44475.51111111111</v>
      </c>
      <c r="C3289" s="20">
        <v>49844.0</v>
      </c>
      <c r="D3289" s="20" t="s">
        <v>5494</v>
      </c>
      <c r="E3289" s="5">
        <v>9.17007526375E11</v>
      </c>
      <c r="F3289" s="21">
        <v>19788.0</v>
      </c>
      <c r="G3289" s="20"/>
      <c r="H3289" s="20" t="s">
        <v>885</v>
      </c>
      <c r="I3289" s="5"/>
      <c r="J3289" s="20">
        <v>1.0</v>
      </c>
      <c r="K3289" s="20">
        <v>99.0</v>
      </c>
      <c r="L3289" s="20"/>
      <c r="M3289" s="20">
        <v>99.0</v>
      </c>
      <c r="N3289" s="5" t="s">
        <v>67</v>
      </c>
      <c r="O3289" s="20" t="b">
        <v>0</v>
      </c>
      <c r="P3289" s="20" t="s">
        <v>68</v>
      </c>
      <c r="Q3289" s="20" t="s">
        <v>69</v>
      </c>
      <c r="R3289" s="20" t="s">
        <v>5476</v>
      </c>
      <c r="T3289" s="20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</row>
    <row r="3290">
      <c r="A3290" s="15" t="s">
        <v>11018</v>
      </c>
      <c r="B3290" s="19">
        <v>44475.51388888889</v>
      </c>
      <c r="C3290" s="20">
        <v>50023.0</v>
      </c>
      <c r="D3290" s="20" t="s">
        <v>5592</v>
      </c>
      <c r="E3290" s="5">
        <v>9.17506863248E11</v>
      </c>
      <c r="F3290" s="21">
        <v>19792.0</v>
      </c>
      <c r="G3290" s="20"/>
      <c r="H3290" s="20" t="s">
        <v>5508</v>
      </c>
      <c r="I3290" s="5"/>
      <c r="J3290" s="20">
        <v>1.0</v>
      </c>
      <c r="K3290" s="20">
        <v>99.0</v>
      </c>
      <c r="L3290" s="20"/>
      <c r="M3290" s="20">
        <v>99.0</v>
      </c>
      <c r="N3290" s="5" t="s">
        <v>67</v>
      </c>
      <c r="O3290" s="20" t="b">
        <v>0</v>
      </c>
      <c r="P3290" s="20" t="s">
        <v>68</v>
      </c>
      <c r="Q3290" s="20" t="s">
        <v>69</v>
      </c>
      <c r="R3290" s="20" t="s">
        <v>5510</v>
      </c>
      <c r="T3290" s="20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</row>
    <row r="3291">
      <c r="A3291" s="15" t="s">
        <v>11024</v>
      </c>
      <c r="B3291" s="19">
        <v>44475.544444444444</v>
      </c>
      <c r="C3291" s="20">
        <v>50043.0</v>
      </c>
      <c r="D3291" s="20" t="s">
        <v>6425</v>
      </c>
      <c r="E3291" s="5">
        <v>9.17013284115E11</v>
      </c>
      <c r="F3291" s="21">
        <v>19790.0</v>
      </c>
      <c r="G3291" s="20"/>
      <c r="H3291" s="20" t="s">
        <v>6367</v>
      </c>
      <c r="I3291" s="5"/>
      <c r="J3291" s="20">
        <v>6.0</v>
      </c>
      <c r="K3291" s="20">
        <v>349.0</v>
      </c>
      <c r="L3291" s="20"/>
      <c r="M3291" s="20">
        <v>349.0</v>
      </c>
      <c r="N3291" s="5" t="s">
        <v>67</v>
      </c>
      <c r="O3291" s="20" t="b">
        <v>0</v>
      </c>
      <c r="P3291" s="20" t="s">
        <v>68</v>
      </c>
      <c r="Q3291" s="20" t="s">
        <v>69</v>
      </c>
      <c r="R3291" s="20" t="s">
        <v>6369</v>
      </c>
      <c r="T3291" s="20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</row>
    <row r="3292">
      <c r="A3292" s="15" t="s">
        <v>11194</v>
      </c>
      <c r="B3292" s="19">
        <v>44506.623611111114</v>
      </c>
      <c r="C3292" s="20">
        <v>49859.0</v>
      </c>
      <c r="D3292" s="20" t="s">
        <v>4755</v>
      </c>
      <c r="E3292" s="5">
        <v>9.19888848898E11</v>
      </c>
      <c r="F3292" s="21">
        <v>19857.0</v>
      </c>
      <c r="G3292" s="20"/>
      <c r="H3292" s="20" t="s">
        <v>1133</v>
      </c>
      <c r="I3292" s="5"/>
      <c r="J3292" s="20">
        <v>1.0</v>
      </c>
      <c r="K3292" s="20">
        <v>99.0</v>
      </c>
      <c r="L3292" s="20"/>
      <c r="M3292" s="20">
        <v>99.0</v>
      </c>
      <c r="N3292" s="5" t="s">
        <v>67</v>
      </c>
      <c r="O3292" s="20" t="b">
        <v>0</v>
      </c>
      <c r="P3292" s="20" t="s">
        <v>74</v>
      </c>
      <c r="Q3292" s="20" t="s">
        <v>69</v>
      </c>
      <c r="R3292" s="20" t="s">
        <v>4741</v>
      </c>
      <c r="T3292" s="20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</row>
    <row r="3293">
      <c r="A3293" s="15" t="s">
        <v>11195</v>
      </c>
      <c r="B3293" s="19">
        <v>44506.62430555555</v>
      </c>
      <c r="C3293" s="20">
        <v>50030.0</v>
      </c>
      <c r="D3293" s="20" t="s">
        <v>3506</v>
      </c>
      <c r="E3293" s="5">
        <v>9.19307241591E11</v>
      </c>
      <c r="F3293" s="21">
        <v>19856.0</v>
      </c>
      <c r="G3293" s="20"/>
      <c r="H3293" s="20" t="s">
        <v>3326</v>
      </c>
      <c r="I3293" s="5"/>
      <c r="J3293" s="20">
        <v>1.0</v>
      </c>
      <c r="K3293" s="20">
        <v>99.0</v>
      </c>
      <c r="L3293" s="20"/>
      <c r="M3293" s="20">
        <v>99.0</v>
      </c>
      <c r="N3293" s="5" t="s">
        <v>67</v>
      </c>
      <c r="O3293" s="20" t="b">
        <v>0</v>
      </c>
      <c r="P3293" s="20" t="s">
        <v>68</v>
      </c>
      <c r="Q3293" s="20" t="s">
        <v>69</v>
      </c>
      <c r="R3293" s="20" t="s">
        <v>3328</v>
      </c>
      <c r="T3293" s="20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</row>
    <row r="3294">
      <c r="A3294" s="15" t="s">
        <v>11025</v>
      </c>
      <c r="B3294" s="19">
        <v>44475.55694444444</v>
      </c>
      <c r="C3294" s="20">
        <v>49835.0</v>
      </c>
      <c r="D3294" s="20" t="s">
        <v>3941</v>
      </c>
      <c r="E3294" s="5">
        <v>9.19004757978E11</v>
      </c>
      <c r="F3294" s="21">
        <v>19842.0</v>
      </c>
      <c r="G3294" s="20"/>
      <c r="H3294" s="20" t="s">
        <v>680</v>
      </c>
      <c r="I3294" s="5"/>
      <c r="J3294" s="20">
        <v>1.0</v>
      </c>
      <c r="K3294" s="20">
        <v>99.0</v>
      </c>
      <c r="L3294" s="20"/>
      <c r="M3294" s="20">
        <v>99.0</v>
      </c>
      <c r="N3294" s="5" t="s">
        <v>67</v>
      </c>
      <c r="O3294" s="20" t="b">
        <v>0</v>
      </c>
      <c r="P3294" s="20" t="s">
        <v>68</v>
      </c>
      <c r="Q3294" s="20" t="s">
        <v>69</v>
      </c>
      <c r="R3294" s="20" t="s">
        <v>3888</v>
      </c>
      <c r="T3294" s="20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</row>
    <row r="3295">
      <c r="A3295" s="15" t="s">
        <v>11029</v>
      </c>
      <c r="B3295" s="19">
        <v>44475.57708333333</v>
      </c>
      <c r="C3295" s="20">
        <v>50052.0</v>
      </c>
      <c r="D3295" s="20" t="s">
        <v>4502</v>
      </c>
      <c r="E3295" s="5">
        <v>9.19820808583E11</v>
      </c>
      <c r="F3295" s="21">
        <v>19793.0</v>
      </c>
      <c r="G3295" s="20"/>
      <c r="H3295" s="20" t="s">
        <v>4433</v>
      </c>
      <c r="I3295" s="5"/>
      <c r="J3295" s="20">
        <v>1.0</v>
      </c>
      <c r="K3295" s="20">
        <v>99.0</v>
      </c>
      <c r="L3295" s="20"/>
      <c r="M3295" s="20">
        <v>99.0</v>
      </c>
      <c r="N3295" s="5" t="s">
        <v>67</v>
      </c>
      <c r="O3295" s="20" t="b">
        <v>0</v>
      </c>
      <c r="P3295" s="20" t="s">
        <v>68</v>
      </c>
      <c r="Q3295" s="20" t="s">
        <v>69</v>
      </c>
      <c r="R3295" s="20" t="s">
        <v>4435</v>
      </c>
      <c r="T3295" s="20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</row>
    <row r="3296">
      <c r="A3296" s="15" t="s">
        <v>11196</v>
      </c>
      <c r="B3296" s="19">
        <v>44506.67569444444</v>
      </c>
      <c r="C3296" s="20">
        <v>50030.0</v>
      </c>
      <c r="D3296" s="20" t="s">
        <v>3508</v>
      </c>
      <c r="E3296" s="5">
        <v>9.19711114851E11</v>
      </c>
      <c r="F3296" s="21">
        <v>19868.0</v>
      </c>
      <c r="G3296" s="20"/>
      <c r="H3296" s="20" t="s">
        <v>3326</v>
      </c>
      <c r="I3296" s="5"/>
      <c r="J3296" s="20">
        <v>6.0</v>
      </c>
      <c r="K3296" s="20">
        <v>349.0</v>
      </c>
      <c r="L3296" s="20"/>
      <c r="M3296" s="20">
        <v>349.0</v>
      </c>
      <c r="N3296" s="5" t="s">
        <v>67</v>
      </c>
      <c r="O3296" s="20" t="b">
        <v>0</v>
      </c>
      <c r="P3296" s="20" t="s">
        <v>68</v>
      </c>
      <c r="Q3296" s="20" t="s">
        <v>69</v>
      </c>
      <c r="R3296" s="20" t="s">
        <v>3505</v>
      </c>
      <c r="T3296" s="20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</row>
    <row r="3297">
      <c r="A3297" s="15" t="s">
        <v>11198</v>
      </c>
      <c r="B3297" s="19">
        <v>44506.67569444444</v>
      </c>
      <c r="C3297" s="20">
        <v>50030.0</v>
      </c>
      <c r="D3297" s="20" t="s">
        <v>3507</v>
      </c>
      <c r="E3297" s="5">
        <v>9.19910056385E11</v>
      </c>
      <c r="F3297" s="21">
        <v>19863.0</v>
      </c>
      <c r="G3297" s="20"/>
      <c r="H3297" s="20" t="s">
        <v>3326</v>
      </c>
      <c r="I3297" s="5"/>
      <c r="J3297" s="20">
        <v>1.0</v>
      </c>
      <c r="K3297" s="20">
        <v>99.0</v>
      </c>
      <c r="L3297" s="20"/>
      <c r="M3297" s="20">
        <v>99.0</v>
      </c>
      <c r="N3297" s="5" t="s">
        <v>67</v>
      </c>
      <c r="O3297" s="20" t="b">
        <v>0</v>
      </c>
      <c r="P3297" s="20" t="s">
        <v>68</v>
      </c>
      <c r="Q3297" s="20" t="s">
        <v>69</v>
      </c>
      <c r="R3297" s="20" t="s">
        <v>3505</v>
      </c>
      <c r="T3297" s="20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</row>
    <row r="3298">
      <c r="A3298" s="15" t="s">
        <v>11199</v>
      </c>
      <c r="B3298" s="19">
        <v>44506.67569444444</v>
      </c>
      <c r="C3298" s="20">
        <v>50023.0</v>
      </c>
      <c r="D3298" s="20" t="s">
        <v>5603</v>
      </c>
      <c r="E3298" s="5">
        <v>9.17987369143E11</v>
      </c>
      <c r="F3298" s="21">
        <v>19861.0</v>
      </c>
      <c r="G3298" s="20"/>
      <c r="H3298" s="20" t="s">
        <v>5508</v>
      </c>
      <c r="I3298" s="5"/>
      <c r="J3298" s="20">
        <v>1.0</v>
      </c>
      <c r="K3298" s="20">
        <v>99.0</v>
      </c>
      <c r="L3298" s="20"/>
      <c r="M3298" s="20">
        <v>99.0</v>
      </c>
      <c r="N3298" s="5" t="s">
        <v>67</v>
      </c>
      <c r="O3298" s="20" t="b">
        <v>0</v>
      </c>
      <c r="P3298" s="20" t="s">
        <v>68</v>
      </c>
      <c r="Q3298" s="20" t="s">
        <v>69</v>
      </c>
      <c r="R3298" s="20" t="s">
        <v>5510</v>
      </c>
      <c r="T3298" s="20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</row>
    <row r="3299">
      <c r="A3299" s="15" t="s">
        <v>11200</v>
      </c>
      <c r="B3299" s="19">
        <v>44506.677083333336</v>
      </c>
      <c r="C3299" s="20">
        <v>49907.0</v>
      </c>
      <c r="D3299" s="20" t="s">
        <v>3841</v>
      </c>
      <c r="E3299" s="5">
        <v>9.17709261519E11</v>
      </c>
      <c r="F3299" s="21">
        <v>19867.0</v>
      </c>
      <c r="G3299" s="20"/>
      <c r="H3299" s="20" t="s">
        <v>587</v>
      </c>
      <c r="I3299" s="5"/>
      <c r="J3299" s="20">
        <v>1.0</v>
      </c>
      <c r="K3299" s="20">
        <v>99.0</v>
      </c>
      <c r="L3299" s="20"/>
      <c r="M3299" s="20">
        <v>99.0</v>
      </c>
      <c r="N3299" s="5" t="s">
        <v>67</v>
      </c>
      <c r="O3299" s="20" t="b">
        <v>0</v>
      </c>
      <c r="P3299" s="20" t="s">
        <v>68</v>
      </c>
      <c r="Q3299" s="20" t="s">
        <v>69</v>
      </c>
      <c r="R3299" s="20" t="s">
        <v>3774</v>
      </c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</row>
    <row r="3300">
      <c r="A3300" s="15" t="s">
        <v>11202</v>
      </c>
      <c r="B3300" s="19">
        <v>44506.677777777775</v>
      </c>
      <c r="C3300" s="20">
        <v>50030.0</v>
      </c>
      <c r="D3300" s="20" t="s">
        <v>3509</v>
      </c>
      <c r="E3300" s="5">
        <v>9.17835860107E11</v>
      </c>
      <c r="F3300" s="21">
        <v>19862.0</v>
      </c>
      <c r="G3300" s="20"/>
      <c r="H3300" s="20" t="s">
        <v>3326</v>
      </c>
      <c r="I3300" s="5"/>
      <c r="J3300" s="20">
        <v>1.0</v>
      </c>
      <c r="K3300" s="20">
        <v>99.0</v>
      </c>
      <c r="L3300" s="20"/>
      <c r="M3300" s="20">
        <v>99.0</v>
      </c>
      <c r="N3300" s="5" t="s">
        <v>67</v>
      </c>
      <c r="O3300" s="20" t="b">
        <v>0</v>
      </c>
      <c r="P3300" s="20" t="s">
        <v>74</v>
      </c>
      <c r="Q3300" s="20" t="s">
        <v>69</v>
      </c>
      <c r="R3300" s="20" t="s">
        <v>3505</v>
      </c>
      <c r="T3300" s="20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</row>
    <row r="3301">
      <c r="A3301" s="15" t="s">
        <v>11204</v>
      </c>
      <c r="B3301" s="19">
        <v>44506.67986111111</v>
      </c>
      <c r="C3301" s="20">
        <v>49833.0</v>
      </c>
      <c r="D3301" s="20" t="s">
        <v>4225</v>
      </c>
      <c r="E3301" s="5">
        <v>9.18618210959E11</v>
      </c>
      <c r="F3301" s="21">
        <v>19864.0</v>
      </c>
      <c r="G3301" s="20"/>
      <c r="H3301" s="20" t="s">
        <v>4030</v>
      </c>
      <c r="I3301" s="5"/>
      <c r="J3301" s="20">
        <v>1.0</v>
      </c>
      <c r="K3301" s="20">
        <v>149.0</v>
      </c>
      <c r="L3301" s="20"/>
      <c r="M3301" s="20">
        <v>149.0</v>
      </c>
      <c r="N3301" s="5" t="s">
        <v>67</v>
      </c>
      <c r="O3301" s="20" t="b">
        <v>0</v>
      </c>
      <c r="P3301" s="20" t="s">
        <v>68</v>
      </c>
      <c r="Q3301" s="20" t="s">
        <v>69</v>
      </c>
      <c r="R3301" s="20" t="s">
        <v>4033</v>
      </c>
      <c r="T3301" s="20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</row>
    <row r="3302">
      <c r="A3302" s="15" t="s">
        <v>11205</v>
      </c>
      <c r="B3302" s="19">
        <v>44506.68402777778</v>
      </c>
      <c r="C3302" s="20">
        <v>50043.0</v>
      </c>
      <c r="D3302" s="20" t="s">
        <v>6428</v>
      </c>
      <c r="E3302" s="5">
        <v>9.18975580139E11</v>
      </c>
      <c r="F3302" s="21">
        <v>19865.0</v>
      </c>
      <c r="G3302" s="20"/>
      <c r="H3302" s="20" t="s">
        <v>6367</v>
      </c>
      <c r="I3302" s="5"/>
      <c r="J3302" s="20">
        <v>3.0</v>
      </c>
      <c r="K3302" s="20">
        <v>199.0</v>
      </c>
      <c r="L3302" s="20"/>
      <c r="M3302" s="20">
        <v>199.0</v>
      </c>
      <c r="N3302" s="5" t="s">
        <v>67</v>
      </c>
      <c r="O3302" s="20" t="b">
        <v>0</v>
      </c>
      <c r="P3302" s="20" t="s">
        <v>68</v>
      </c>
      <c r="Q3302" s="20" t="s">
        <v>69</v>
      </c>
      <c r="R3302" s="20" t="s">
        <v>6369</v>
      </c>
      <c r="T3302" s="20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</row>
    <row r="3303">
      <c r="A3303" s="15" t="s">
        <v>11043</v>
      </c>
      <c r="B3303" s="19">
        <v>44475.62430555555</v>
      </c>
      <c r="C3303" s="20">
        <v>50030.0</v>
      </c>
      <c r="D3303" s="20" t="s">
        <v>3500</v>
      </c>
      <c r="E3303" s="5">
        <v>9.18317432829E11</v>
      </c>
      <c r="F3303" s="21">
        <v>19795.0</v>
      </c>
      <c r="G3303" s="20"/>
      <c r="H3303" s="20" t="s">
        <v>3326</v>
      </c>
      <c r="I3303" s="5"/>
      <c r="J3303" s="20">
        <v>1.0</v>
      </c>
      <c r="K3303" s="20">
        <v>99.0</v>
      </c>
      <c r="L3303" s="20"/>
      <c r="M3303" s="20">
        <v>99.0</v>
      </c>
      <c r="N3303" s="5" t="s">
        <v>67</v>
      </c>
      <c r="O3303" s="20" t="b">
        <v>0</v>
      </c>
      <c r="P3303" s="20" t="s">
        <v>68</v>
      </c>
      <c r="Q3303" s="20" t="s">
        <v>69</v>
      </c>
      <c r="R3303" s="20" t="s">
        <v>3328</v>
      </c>
      <c r="T3303" s="20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</row>
    <row r="3304">
      <c r="A3304" s="15" t="s">
        <v>11048</v>
      </c>
      <c r="B3304" s="19">
        <v>44475.649305555555</v>
      </c>
      <c r="C3304" s="20">
        <v>50047.0</v>
      </c>
      <c r="D3304" s="20" t="s">
        <v>3278</v>
      </c>
      <c r="E3304" s="5">
        <v>9.1773814126E11</v>
      </c>
      <c r="F3304" s="21">
        <v>19799.0</v>
      </c>
      <c r="G3304" s="20"/>
      <c r="H3304" s="20" t="s">
        <v>3195</v>
      </c>
      <c r="I3304" s="5"/>
      <c r="J3304" s="20">
        <v>3.0</v>
      </c>
      <c r="K3304" s="20">
        <v>199.0</v>
      </c>
      <c r="L3304" s="20"/>
      <c r="M3304" s="20">
        <v>199.0</v>
      </c>
      <c r="N3304" s="5" t="s">
        <v>67</v>
      </c>
      <c r="O3304" s="20" t="b">
        <v>0</v>
      </c>
      <c r="P3304" s="20" t="s">
        <v>68</v>
      </c>
      <c r="Q3304" s="20" t="s">
        <v>69</v>
      </c>
      <c r="R3304" s="20" t="s">
        <v>3197</v>
      </c>
      <c r="T3304" s="20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</row>
    <row r="3305">
      <c r="A3305" s="15" t="s">
        <v>11049</v>
      </c>
      <c r="B3305" s="19">
        <v>44475.65069444444</v>
      </c>
      <c r="C3305" s="20">
        <v>50054.0</v>
      </c>
      <c r="D3305" s="20" t="s">
        <v>5934</v>
      </c>
      <c r="E3305" s="5">
        <v>9.19049999609E11</v>
      </c>
      <c r="F3305" s="21">
        <v>19798.0</v>
      </c>
      <c r="G3305" s="20"/>
      <c r="H3305" s="20" t="s">
        <v>5822</v>
      </c>
      <c r="I3305" s="5"/>
      <c r="J3305" s="20">
        <v>1.0</v>
      </c>
      <c r="K3305" s="20">
        <v>99.0</v>
      </c>
      <c r="L3305" s="20"/>
      <c r="M3305" s="20">
        <v>99.0</v>
      </c>
      <c r="N3305" s="5" t="s">
        <v>67</v>
      </c>
      <c r="O3305" s="20" t="b">
        <v>0</v>
      </c>
      <c r="P3305" s="20" t="s">
        <v>97</v>
      </c>
      <c r="Q3305" s="20" t="s">
        <v>69</v>
      </c>
      <c r="R3305" s="20" t="s">
        <v>5824</v>
      </c>
      <c r="T3305" s="20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</row>
    <row r="3306">
      <c r="A3306" s="15" t="s">
        <v>11206</v>
      </c>
      <c r="B3306" s="19">
        <v>44506.69652777778</v>
      </c>
      <c r="C3306" s="20">
        <v>50052.0</v>
      </c>
      <c r="D3306" s="20" t="s">
        <v>4505</v>
      </c>
      <c r="E3306" s="5">
        <v>9.1911397354E11</v>
      </c>
      <c r="F3306" s="21">
        <v>19933.0</v>
      </c>
      <c r="G3306" s="20"/>
      <c r="H3306" s="20" t="s">
        <v>4433</v>
      </c>
      <c r="I3306" s="5"/>
      <c r="J3306" s="20">
        <v>3.0</v>
      </c>
      <c r="K3306" s="20">
        <v>199.0</v>
      </c>
      <c r="L3306" s="20"/>
      <c r="M3306" s="20">
        <v>199.0</v>
      </c>
      <c r="N3306" s="5" t="s">
        <v>67</v>
      </c>
      <c r="O3306" s="20" t="b">
        <v>0</v>
      </c>
      <c r="P3306" s="20" t="s">
        <v>68</v>
      </c>
      <c r="Q3306" s="20" t="s">
        <v>69</v>
      </c>
      <c r="R3306" s="20" t="s">
        <v>4435</v>
      </c>
      <c r="T3306" s="20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</row>
    <row r="3307">
      <c r="A3307" s="15" t="s">
        <v>11046</v>
      </c>
      <c r="B3307" s="19">
        <v>44475.6375</v>
      </c>
      <c r="C3307" s="20">
        <v>49859.0</v>
      </c>
      <c r="D3307" s="20" t="s">
        <v>4750</v>
      </c>
      <c r="E3307" s="5">
        <v>9.170244462E11</v>
      </c>
      <c r="F3307" s="21">
        <v>19802.0</v>
      </c>
      <c r="G3307" s="20"/>
      <c r="H3307" s="20" t="s">
        <v>1133</v>
      </c>
      <c r="I3307" s="5"/>
      <c r="J3307" s="20">
        <v>3.0</v>
      </c>
      <c r="K3307" s="20">
        <v>199.0</v>
      </c>
      <c r="L3307" s="20"/>
      <c r="M3307" s="20">
        <v>199.0</v>
      </c>
      <c r="N3307" s="5" t="s">
        <v>67</v>
      </c>
      <c r="O3307" s="20" t="b">
        <v>0</v>
      </c>
      <c r="P3307" s="20" t="s">
        <v>68</v>
      </c>
      <c r="Q3307" s="20" t="s">
        <v>69</v>
      </c>
      <c r="R3307" s="20" t="s">
        <v>4741</v>
      </c>
      <c r="T3307" s="20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</row>
    <row r="3308">
      <c r="A3308" s="15" t="s">
        <v>11047</v>
      </c>
      <c r="B3308" s="19">
        <v>44475.63958333333</v>
      </c>
      <c r="C3308" s="20">
        <v>50029.0</v>
      </c>
      <c r="D3308" s="20" t="s">
        <v>2886</v>
      </c>
      <c r="E3308" s="5">
        <v>9.18288928554E11</v>
      </c>
      <c r="F3308" s="21">
        <v>19797.0</v>
      </c>
      <c r="G3308" s="20"/>
      <c r="H3308" s="20" t="s">
        <v>2761</v>
      </c>
      <c r="I3308" s="5"/>
      <c r="J3308" s="20">
        <v>1.0</v>
      </c>
      <c r="K3308" s="20">
        <v>99.0</v>
      </c>
      <c r="L3308" s="20"/>
      <c r="M3308" s="20">
        <v>99.0</v>
      </c>
      <c r="N3308" s="5" t="s">
        <v>67</v>
      </c>
      <c r="O3308" s="20" t="b">
        <v>0</v>
      </c>
      <c r="P3308" s="20" t="s">
        <v>68</v>
      </c>
      <c r="Q3308" s="20" t="s">
        <v>69</v>
      </c>
      <c r="R3308" s="20" t="s">
        <v>2763</v>
      </c>
      <c r="T3308" s="20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</row>
    <row r="3309">
      <c r="A3309" s="15" t="s">
        <v>11055</v>
      </c>
      <c r="B3309" s="19">
        <v>44475.66736111111</v>
      </c>
      <c r="C3309" s="20">
        <v>50104.0</v>
      </c>
      <c r="D3309" s="20" t="s">
        <v>3724</v>
      </c>
      <c r="E3309" s="5">
        <v>9.17585806931E11</v>
      </c>
      <c r="F3309" s="21">
        <v>19800.0</v>
      </c>
      <c r="G3309" s="20"/>
      <c r="H3309" s="20" t="s">
        <v>3708</v>
      </c>
      <c r="I3309" s="5"/>
      <c r="J3309" s="20">
        <v>1.0</v>
      </c>
      <c r="K3309" s="20">
        <v>99.0</v>
      </c>
      <c r="L3309" s="20"/>
      <c r="M3309" s="20">
        <v>99.0</v>
      </c>
      <c r="N3309" s="5" t="s">
        <v>67</v>
      </c>
      <c r="O3309" s="20" t="b">
        <v>0</v>
      </c>
      <c r="P3309" s="20" t="s">
        <v>68</v>
      </c>
      <c r="Q3309" s="20" t="s">
        <v>69</v>
      </c>
      <c r="R3309" s="20" t="s">
        <v>3710</v>
      </c>
      <c r="T3309" s="20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</row>
    <row r="3310">
      <c r="A3310" s="15" t="s">
        <v>11210</v>
      </c>
      <c r="B3310" s="19">
        <v>44506.728472222225</v>
      </c>
      <c r="C3310" s="20">
        <v>49833.0</v>
      </c>
      <c r="D3310" s="20" t="s">
        <v>4226</v>
      </c>
      <c r="E3310" s="5">
        <v>9.19890658863E11</v>
      </c>
      <c r="F3310" s="21">
        <v>19869.0</v>
      </c>
      <c r="G3310" s="20"/>
      <c r="H3310" s="20" t="s">
        <v>4030</v>
      </c>
      <c r="I3310" s="5"/>
      <c r="J3310" s="20">
        <v>1.0</v>
      </c>
      <c r="K3310" s="20">
        <v>149.0</v>
      </c>
      <c r="L3310" s="20"/>
      <c r="M3310" s="20">
        <v>149.0</v>
      </c>
      <c r="N3310" s="5" t="s">
        <v>67</v>
      </c>
      <c r="O3310" s="20" t="b">
        <v>0</v>
      </c>
      <c r="P3310" s="20" t="s">
        <v>68</v>
      </c>
      <c r="Q3310" s="20" t="s">
        <v>69</v>
      </c>
      <c r="R3310" s="20" t="s">
        <v>4033</v>
      </c>
      <c r="T3310" s="20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</row>
    <row r="3311">
      <c r="A3311" s="15" t="s">
        <v>11212</v>
      </c>
      <c r="B3311" s="19">
        <v>44506.73333333333</v>
      </c>
      <c r="C3311" s="20">
        <v>49833.0</v>
      </c>
      <c r="D3311" s="20" t="s">
        <v>4227</v>
      </c>
      <c r="E3311" s="5">
        <v>9.19657742062E11</v>
      </c>
      <c r="F3311" s="21">
        <v>19870.0</v>
      </c>
      <c r="G3311" s="20"/>
      <c r="H3311" s="20" t="s">
        <v>4030</v>
      </c>
      <c r="I3311" s="5"/>
      <c r="J3311" s="20">
        <v>1.0</v>
      </c>
      <c r="K3311" s="20">
        <v>149.0</v>
      </c>
      <c r="L3311" s="20"/>
      <c r="M3311" s="20">
        <v>149.0</v>
      </c>
      <c r="N3311" s="5" t="s">
        <v>67</v>
      </c>
      <c r="O3311" s="20" t="b">
        <v>0</v>
      </c>
      <c r="P3311" s="20" t="s">
        <v>68</v>
      </c>
      <c r="Q3311" s="20" t="s">
        <v>69</v>
      </c>
      <c r="R3311" s="20" t="s">
        <v>4033</v>
      </c>
      <c r="T3311" s="20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</row>
    <row r="3312">
      <c r="A3312" s="1" t="s">
        <v>11348</v>
      </c>
      <c r="B3312" s="19">
        <v>44536.59305555555</v>
      </c>
      <c r="C3312" s="20">
        <v>49844.0</v>
      </c>
      <c r="D3312" s="20" t="s">
        <v>4227</v>
      </c>
      <c r="E3312" s="5">
        <v>9.19657742062E11</v>
      </c>
      <c r="F3312" s="21">
        <v>19870.0</v>
      </c>
      <c r="G3312" s="20"/>
      <c r="H3312" s="20" t="s">
        <v>885</v>
      </c>
      <c r="I3312" s="5"/>
      <c r="J3312" s="20">
        <v>1.0</v>
      </c>
      <c r="K3312" s="20">
        <v>99.0</v>
      </c>
      <c r="L3312" s="20"/>
      <c r="M3312" s="20">
        <v>99.0</v>
      </c>
      <c r="N3312" s="5" t="s">
        <v>67</v>
      </c>
      <c r="O3312" s="20" t="b">
        <v>0</v>
      </c>
      <c r="P3312" s="20" t="s">
        <v>68</v>
      </c>
      <c r="Q3312" s="20" t="s">
        <v>69</v>
      </c>
      <c r="R3312" s="20" t="s">
        <v>5445</v>
      </c>
      <c r="T3312" s="20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</row>
    <row r="3313">
      <c r="A3313" s="15" t="s">
        <v>11056</v>
      </c>
      <c r="B3313" s="19">
        <v>44475.67638888889</v>
      </c>
      <c r="C3313" s="20">
        <v>50086.0</v>
      </c>
      <c r="D3313" s="20" t="s">
        <v>3998</v>
      </c>
      <c r="E3313" s="5">
        <v>9.1967317997E11</v>
      </c>
      <c r="F3313" s="21">
        <v>0.0</v>
      </c>
      <c r="G3313" s="20"/>
      <c r="H3313" s="20" t="s">
        <v>3986</v>
      </c>
      <c r="I3313" s="5"/>
      <c r="J3313" s="20">
        <v>1.0</v>
      </c>
      <c r="K3313" s="20">
        <v>249.0</v>
      </c>
      <c r="L3313" s="20"/>
      <c r="M3313" s="20">
        <v>249.0</v>
      </c>
      <c r="N3313" s="5" t="s">
        <v>67</v>
      </c>
      <c r="O3313" s="20" t="b">
        <v>0</v>
      </c>
      <c r="P3313" s="20" t="s">
        <v>68</v>
      </c>
      <c r="Q3313" s="20" t="s">
        <v>69</v>
      </c>
      <c r="R3313" s="20" t="s">
        <v>3988</v>
      </c>
      <c r="T3313" s="20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</row>
    <row r="3314">
      <c r="A3314" s="15" t="s">
        <v>11213</v>
      </c>
      <c r="B3314" s="19">
        <v>44506.75555555556</v>
      </c>
      <c r="C3314" s="20">
        <v>49859.0</v>
      </c>
      <c r="D3314" s="20" t="s">
        <v>4756</v>
      </c>
      <c r="E3314" s="5">
        <v>9.18797619002E11</v>
      </c>
      <c r="F3314" s="21">
        <v>19873.0</v>
      </c>
      <c r="G3314" s="20"/>
      <c r="H3314" s="20" t="s">
        <v>1133</v>
      </c>
      <c r="I3314" s="5"/>
      <c r="J3314" s="20">
        <v>1.0</v>
      </c>
      <c r="K3314" s="20">
        <v>99.0</v>
      </c>
      <c r="L3314" s="20"/>
      <c r="M3314" s="20">
        <v>99.0</v>
      </c>
      <c r="N3314" s="5" t="s">
        <v>67</v>
      </c>
      <c r="O3314" s="20" t="b">
        <v>0</v>
      </c>
      <c r="P3314" s="20" t="s">
        <v>68</v>
      </c>
      <c r="Q3314" s="20" t="s">
        <v>69</v>
      </c>
      <c r="R3314" s="20" t="s">
        <v>4736</v>
      </c>
      <c r="T3314" s="20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</row>
    <row r="3315">
      <c r="A3315" s="15" t="s">
        <v>11214</v>
      </c>
      <c r="B3315" s="19">
        <v>44506.75625</v>
      </c>
      <c r="C3315" s="20">
        <v>50023.0</v>
      </c>
      <c r="D3315" s="20" t="s">
        <v>5604</v>
      </c>
      <c r="E3315" s="5">
        <v>9.16260341849E11</v>
      </c>
      <c r="F3315" s="21">
        <v>19872.0</v>
      </c>
      <c r="G3315" s="20"/>
      <c r="H3315" s="20" t="s">
        <v>5508</v>
      </c>
      <c r="I3315" s="5"/>
      <c r="J3315" s="20">
        <v>1.0</v>
      </c>
      <c r="K3315" s="20">
        <v>99.0</v>
      </c>
      <c r="L3315" s="20"/>
      <c r="M3315" s="20">
        <v>99.0</v>
      </c>
      <c r="N3315" s="5" t="s">
        <v>67</v>
      </c>
      <c r="O3315" s="20" t="b">
        <v>0</v>
      </c>
      <c r="P3315" s="20" t="s">
        <v>74</v>
      </c>
      <c r="Q3315" s="20" t="s">
        <v>69</v>
      </c>
      <c r="R3315" s="20" t="s">
        <v>5510</v>
      </c>
      <c r="T3315" s="20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</row>
    <row r="3316">
      <c r="A3316" s="15" t="s">
        <v>11057</v>
      </c>
      <c r="B3316" s="19">
        <v>44475.68125</v>
      </c>
      <c r="C3316" s="20">
        <v>49997.0</v>
      </c>
      <c r="D3316" s="20" t="s">
        <v>2552</v>
      </c>
      <c r="E3316" s="5">
        <v>9.18427693486E11</v>
      </c>
      <c r="F3316" s="21">
        <v>19801.0</v>
      </c>
      <c r="G3316" s="20"/>
      <c r="H3316" s="20" t="s">
        <v>2455</v>
      </c>
      <c r="I3316" s="5"/>
      <c r="J3316" s="20">
        <v>1.0</v>
      </c>
      <c r="K3316" s="20">
        <v>99.0</v>
      </c>
      <c r="L3316" s="20"/>
      <c r="M3316" s="20">
        <v>99.0</v>
      </c>
      <c r="N3316" s="5" t="s">
        <v>67</v>
      </c>
      <c r="O3316" s="20" t="b">
        <v>0</v>
      </c>
      <c r="P3316" s="20" t="s">
        <v>68</v>
      </c>
      <c r="Q3316" s="20" t="s">
        <v>69</v>
      </c>
      <c r="R3316" s="20" t="s">
        <v>2457</v>
      </c>
      <c r="T3316" s="20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</row>
    <row r="3317">
      <c r="A3317" s="15" t="s">
        <v>11062</v>
      </c>
      <c r="B3317" s="19">
        <v>44475.700694444444</v>
      </c>
      <c r="C3317" s="20">
        <v>50104.0</v>
      </c>
      <c r="D3317" s="20" t="s">
        <v>3725</v>
      </c>
      <c r="E3317" s="5">
        <v>9.19910014871E11</v>
      </c>
      <c r="F3317" s="21">
        <v>19803.0</v>
      </c>
      <c r="G3317" s="20"/>
      <c r="H3317" s="20" t="s">
        <v>3708</v>
      </c>
      <c r="I3317" s="5"/>
      <c r="J3317" s="20">
        <v>1.0</v>
      </c>
      <c r="K3317" s="20">
        <v>99.0</v>
      </c>
      <c r="L3317" s="20"/>
      <c r="M3317" s="20">
        <v>99.0</v>
      </c>
      <c r="N3317" s="5" t="s">
        <v>67</v>
      </c>
      <c r="O3317" s="20" t="b">
        <v>0</v>
      </c>
      <c r="P3317" s="20" t="s">
        <v>68</v>
      </c>
      <c r="Q3317" s="20" t="s">
        <v>69</v>
      </c>
      <c r="R3317" s="20" t="s">
        <v>3710</v>
      </c>
      <c r="T3317" s="20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</row>
    <row r="3318">
      <c r="A3318" s="15" t="s">
        <v>11063</v>
      </c>
      <c r="B3318" s="19">
        <v>44475.70763888889</v>
      </c>
      <c r="C3318" s="20">
        <v>49859.0</v>
      </c>
      <c r="D3318" s="20" t="s">
        <v>4751</v>
      </c>
      <c r="E3318" s="5">
        <v>9.18360293596E11</v>
      </c>
      <c r="F3318" s="21">
        <v>19804.0</v>
      </c>
      <c r="G3318" s="20"/>
      <c r="H3318" s="20" t="s">
        <v>1133</v>
      </c>
      <c r="I3318" s="5"/>
      <c r="J3318" s="20">
        <v>1.0</v>
      </c>
      <c r="K3318" s="20">
        <v>99.0</v>
      </c>
      <c r="L3318" s="20"/>
      <c r="M3318" s="20">
        <v>99.0</v>
      </c>
      <c r="N3318" s="5" t="s">
        <v>67</v>
      </c>
      <c r="O3318" s="20" t="b">
        <v>0</v>
      </c>
      <c r="P3318" s="20" t="s">
        <v>74</v>
      </c>
      <c r="Q3318" s="20" t="s">
        <v>69</v>
      </c>
      <c r="R3318" s="20" t="s">
        <v>4736</v>
      </c>
      <c r="T3318" s="20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</row>
    <row r="3319">
      <c r="A3319" s="15" t="s">
        <v>11068</v>
      </c>
      <c r="B3319" s="19">
        <v>44475.725694444445</v>
      </c>
      <c r="C3319" s="20">
        <v>49907.0</v>
      </c>
      <c r="D3319" s="20" t="s">
        <v>3839</v>
      </c>
      <c r="E3319" s="5">
        <v>9.18756894044E11</v>
      </c>
      <c r="F3319" s="21">
        <v>19806.0</v>
      </c>
      <c r="G3319" s="20"/>
      <c r="H3319" s="20" t="s">
        <v>587</v>
      </c>
      <c r="I3319" s="5"/>
      <c r="J3319" s="20">
        <v>6.0</v>
      </c>
      <c r="K3319" s="20">
        <v>349.0</v>
      </c>
      <c r="L3319" s="20"/>
      <c r="M3319" s="20">
        <v>349.0</v>
      </c>
      <c r="N3319" s="5" t="s">
        <v>67</v>
      </c>
      <c r="O3319" s="20" t="b">
        <v>0</v>
      </c>
      <c r="P3319" s="20" t="s">
        <v>68</v>
      </c>
      <c r="Q3319" s="20" t="s">
        <v>69</v>
      </c>
      <c r="R3319" s="20" t="s">
        <v>3774</v>
      </c>
      <c r="T3319" s="20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</row>
    <row r="3320">
      <c r="A3320" s="15" t="s">
        <v>11215</v>
      </c>
      <c r="B3320" s="19">
        <v>44506.78680555556</v>
      </c>
      <c r="C3320" s="20">
        <v>50043.0</v>
      </c>
      <c r="D3320" s="20" t="s">
        <v>6429</v>
      </c>
      <c r="E3320" s="5">
        <v>9.181253253E11</v>
      </c>
      <c r="F3320" s="21">
        <v>19874.0</v>
      </c>
      <c r="G3320" s="20"/>
      <c r="H3320" s="20" t="s">
        <v>6367</v>
      </c>
      <c r="I3320" s="5"/>
      <c r="J3320" s="20">
        <v>1.0</v>
      </c>
      <c r="K3320" s="20">
        <v>99.0</v>
      </c>
      <c r="L3320" s="20"/>
      <c r="M3320" s="20">
        <v>99.0</v>
      </c>
      <c r="N3320" s="5" t="s">
        <v>67</v>
      </c>
      <c r="O3320" s="20" t="b">
        <v>0</v>
      </c>
      <c r="P3320" s="20" t="s">
        <v>74</v>
      </c>
      <c r="Q3320" s="20" t="s">
        <v>69</v>
      </c>
      <c r="R3320" s="20" t="s">
        <v>6369</v>
      </c>
      <c r="T3320" s="20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</row>
    <row r="3321">
      <c r="A3321" s="15" t="s">
        <v>11216</v>
      </c>
      <c r="B3321" s="19">
        <v>44506.790972222225</v>
      </c>
      <c r="C3321" s="20">
        <v>50023.0</v>
      </c>
      <c r="D3321" s="20" t="s">
        <v>5605</v>
      </c>
      <c r="E3321" s="5">
        <v>9.17889752242E11</v>
      </c>
      <c r="F3321" s="21">
        <v>19875.0</v>
      </c>
      <c r="G3321" s="20"/>
      <c r="H3321" s="20" t="s">
        <v>5508</v>
      </c>
      <c r="I3321" s="5"/>
      <c r="J3321" s="20">
        <v>1.0</v>
      </c>
      <c r="K3321" s="20">
        <v>99.0</v>
      </c>
      <c r="L3321" s="20"/>
      <c r="M3321" s="20">
        <v>99.0</v>
      </c>
      <c r="N3321" s="5" t="s">
        <v>67</v>
      </c>
      <c r="O3321" s="20" t="b">
        <v>0</v>
      </c>
      <c r="P3321" s="20" t="s">
        <v>74</v>
      </c>
      <c r="Q3321" s="20" t="s">
        <v>69</v>
      </c>
      <c r="R3321" s="20" t="s">
        <v>5510</v>
      </c>
      <c r="T3321" s="20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</row>
    <row r="3322">
      <c r="A3322" s="15" t="s">
        <v>11064</v>
      </c>
      <c r="B3322" s="19">
        <v>44475.714583333334</v>
      </c>
      <c r="C3322" s="20">
        <v>49859.0</v>
      </c>
      <c r="D3322" s="20" t="s">
        <v>4752</v>
      </c>
      <c r="E3322" s="5">
        <v>9.191649878E11</v>
      </c>
      <c r="F3322" s="21">
        <v>19805.0</v>
      </c>
      <c r="G3322" s="20"/>
      <c r="H3322" s="20" t="s">
        <v>1133</v>
      </c>
      <c r="I3322" s="5"/>
      <c r="J3322" s="20">
        <v>1.0</v>
      </c>
      <c r="K3322" s="20">
        <v>99.0</v>
      </c>
      <c r="L3322" s="20"/>
      <c r="M3322" s="20">
        <v>99.0</v>
      </c>
      <c r="N3322" s="5" t="s">
        <v>67</v>
      </c>
      <c r="O3322" s="20" t="b">
        <v>0</v>
      </c>
      <c r="P3322" s="20" t="s">
        <v>74</v>
      </c>
      <c r="Q3322" s="20" t="s">
        <v>69</v>
      </c>
      <c r="R3322" s="20" t="s">
        <v>4736</v>
      </c>
      <c r="T3322" s="20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</row>
    <row r="3323">
      <c r="A3323" s="15" t="s">
        <v>11220</v>
      </c>
      <c r="B3323" s="19">
        <v>44506.79652777778</v>
      </c>
      <c r="C3323" s="20">
        <v>49859.0</v>
      </c>
      <c r="D3323" s="20" t="s">
        <v>4757</v>
      </c>
      <c r="E3323" s="5">
        <v>9.19840792616E11</v>
      </c>
      <c r="F3323" s="21">
        <v>19876.0</v>
      </c>
      <c r="G3323" s="20"/>
      <c r="H3323" s="20" t="s">
        <v>1133</v>
      </c>
      <c r="I3323" s="5"/>
      <c r="J3323" s="20">
        <v>1.0</v>
      </c>
      <c r="K3323" s="20">
        <v>99.0</v>
      </c>
      <c r="L3323" s="20"/>
      <c r="M3323" s="20">
        <v>99.0</v>
      </c>
      <c r="N3323" s="5" t="s">
        <v>67</v>
      </c>
      <c r="O3323" s="20" t="b">
        <v>0</v>
      </c>
      <c r="P3323" s="20" t="s">
        <v>68</v>
      </c>
      <c r="Q3323" s="20" t="s">
        <v>69</v>
      </c>
      <c r="R3323" s="20" t="s">
        <v>4736</v>
      </c>
      <c r="T3323" s="20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</row>
    <row r="3324">
      <c r="A3324" s="15" t="s">
        <v>11067</v>
      </c>
      <c r="B3324" s="19">
        <v>44475.722916666666</v>
      </c>
      <c r="C3324" s="20">
        <v>50052.0</v>
      </c>
      <c r="D3324" s="20" t="s">
        <v>4503</v>
      </c>
      <c r="E3324" s="5">
        <v>9.18149833346E11</v>
      </c>
      <c r="F3324" s="21">
        <v>19807.0</v>
      </c>
      <c r="G3324" s="20"/>
      <c r="H3324" s="20" t="s">
        <v>4433</v>
      </c>
      <c r="I3324" s="5"/>
      <c r="J3324" s="20">
        <v>1.0</v>
      </c>
      <c r="K3324" s="20">
        <v>99.0</v>
      </c>
      <c r="L3324" s="20"/>
      <c r="M3324" s="20">
        <v>99.0</v>
      </c>
      <c r="N3324" s="5" t="s">
        <v>67</v>
      </c>
      <c r="O3324" s="20" t="b">
        <v>0</v>
      </c>
      <c r="P3324" s="20" t="s">
        <v>68</v>
      </c>
      <c r="Q3324" s="20" t="s">
        <v>69</v>
      </c>
      <c r="R3324" s="20" t="s">
        <v>4435</v>
      </c>
      <c r="T3324" s="20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</row>
    <row r="3325">
      <c r="A3325" s="15" t="s">
        <v>11069</v>
      </c>
      <c r="B3325" s="19">
        <v>44475.74791666667</v>
      </c>
      <c r="C3325" s="20">
        <v>50022.0</v>
      </c>
      <c r="D3325" s="20" t="s">
        <v>5290</v>
      </c>
      <c r="E3325" s="5">
        <v>9.19717389836E11</v>
      </c>
      <c r="F3325" s="21">
        <v>19808.0</v>
      </c>
      <c r="G3325" s="20"/>
      <c r="H3325" s="20" t="s">
        <v>5181</v>
      </c>
      <c r="I3325" s="5"/>
      <c r="J3325" s="20">
        <v>1.0</v>
      </c>
      <c r="K3325" s="20">
        <v>99.0</v>
      </c>
      <c r="L3325" s="20"/>
      <c r="M3325" s="20">
        <v>99.0</v>
      </c>
      <c r="N3325" s="5" t="s">
        <v>67</v>
      </c>
      <c r="O3325" s="20" t="b">
        <v>0</v>
      </c>
      <c r="P3325" s="20" t="s">
        <v>68</v>
      </c>
      <c r="Q3325" s="20" t="s">
        <v>69</v>
      </c>
      <c r="R3325" s="20" t="s">
        <v>5183</v>
      </c>
      <c r="T3325" s="20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</row>
    <row r="3326">
      <c r="A3326" s="15" t="s">
        <v>11227</v>
      </c>
      <c r="B3326" s="19">
        <v>44506.82847222222</v>
      </c>
      <c r="C3326" s="20">
        <v>49991.0</v>
      </c>
      <c r="D3326" s="20" t="s">
        <v>3161</v>
      </c>
      <c r="E3326" s="5">
        <v>9.16374455234E11</v>
      </c>
      <c r="F3326" s="21">
        <v>19879.0</v>
      </c>
      <c r="G3326" s="20"/>
      <c r="H3326" s="20" t="s">
        <v>3055</v>
      </c>
      <c r="I3326" s="5"/>
      <c r="J3326" s="20">
        <v>3.0</v>
      </c>
      <c r="K3326" s="20">
        <v>199.0</v>
      </c>
      <c r="L3326" s="20"/>
      <c r="M3326" s="20">
        <v>199.0</v>
      </c>
      <c r="N3326" s="5" t="s">
        <v>67</v>
      </c>
      <c r="O3326" s="20" t="b">
        <v>0</v>
      </c>
      <c r="P3326" s="20" t="s">
        <v>68</v>
      </c>
      <c r="Q3326" s="20" t="s">
        <v>69</v>
      </c>
      <c r="R3326" s="20" t="s">
        <v>3057</v>
      </c>
      <c r="T3326" s="20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</row>
    <row r="3327">
      <c r="A3327" s="15" t="s">
        <v>11071</v>
      </c>
      <c r="B3327" s="19">
        <v>44475.77638888889</v>
      </c>
      <c r="C3327" s="20">
        <v>50022.0</v>
      </c>
      <c r="D3327" s="20" t="s">
        <v>5291</v>
      </c>
      <c r="E3327" s="5">
        <v>9.19911240246E11</v>
      </c>
      <c r="F3327" s="21">
        <v>19810.0</v>
      </c>
      <c r="G3327" s="20"/>
      <c r="H3327" s="20" t="s">
        <v>5181</v>
      </c>
      <c r="I3327" s="5"/>
      <c r="J3327" s="20">
        <v>1.0</v>
      </c>
      <c r="K3327" s="20">
        <v>99.0</v>
      </c>
      <c r="L3327" s="20"/>
      <c r="M3327" s="20">
        <v>99.0</v>
      </c>
      <c r="N3327" s="5" t="s">
        <v>67</v>
      </c>
      <c r="O3327" s="20" t="b">
        <v>0</v>
      </c>
      <c r="P3327" s="20" t="s">
        <v>68</v>
      </c>
      <c r="Q3327" s="20" t="s">
        <v>69</v>
      </c>
      <c r="R3327" s="20" t="s">
        <v>5183</v>
      </c>
      <c r="T3327" s="20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</row>
    <row r="3328">
      <c r="A3328" s="15" t="s">
        <v>11229</v>
      </c>
      <c r="B3328" s="19">
        <v>44506.83819444444</v>
      </c>
      <c r="C3328" s="20">
        <v>49998.0</v>
      </c>
      <c r="D3328" s="20" t="s">
        <v>6303</v>
      </c>
      <c r="E3328" s="5">
        <v>9.19686615732E11</v>
      </c>
      <c r="F3328" s="21">
        <v>19880.0</v>
      </c>
      <c r="G3328" s="20"/>
      <c r="H3328" s="20" t="s">
        <v>6250</v>
      </c>
      <c r="I3328" s="5"/>
      <c r="J3328" s="20">
        <v>1.0</v>
      </c>
      <c r="K3328" s="20">
        <v>99.0</v>
      </c>
      <c r="L3328" s="20"/>
      <c r="M3328" s="20">
        <v>99.0</v>
      </c>
      <c r="N3328" s="5" t="s">
        <v>67</v>
      </c>
      <c r="O3328" s="20" t="b">
        <v>0</v>
      </c>
      <c r="P3328" s="20" t="s">
        <v>68</v>
      </c>
      <c r="Q3328" s="20" t="s">
        <v>69</v>
      </c>
      <c r="R3328" s="20" t="s">
        <v>6252</v>
      </c>
      <c r="T3328" s="20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</row>
    <row r="3329">
      <c r="A3329" s="15" t="s">
        <v>11224</v>
      </c>
      <c r="B3329" s="19">
        <v>44506.822916666664</v>
      </c>
      <c r="C3329" s="20">
        <v>50054.0</v>
      </c>
      <c r="D3329" s="20" t="s">
        <v>5937</v>
      </c>
      <c r="E3329" s="5">
        <v>9.19616260864E11</v>
      </c>
      <c r="F3329" s="21">
        <v>19878.0</v>
      </c>
      <c r="G3329" s="20"/>
      <c r="H3329" s="20" t="s">
        <v>5822</v>
      </c>
      <c r="I3329" s="5"/>
      <c r="J3329" s="20">
        <v>1.0</v>
      </c>
      <c r="K3329" s="20">
        <v>99.0</v>
      </c>
      <c r="L3329" s="20"/>
      <c r="M3329" s="20">
        <v>99.0</v>
      </c>
      <c r="N3329" s="5" t="s">
        <v>67</v>
      </c>
      <c r="O3329" s="20" t="b">
        <v>0</v>
      </c>
      <c r="P3329" s="20" t="s">
        <v>68</v>
      </c>
      <c r="Q3329" s="20" t="s">
        <v>69</v>
      </c>
      <c r="R3329" s="20" t="s">
        <v>5824</v>
      </c>
      <c r="T3329" s="20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</row>
    <row r="3330">
      <c r="A3330" s="15" t="s">
        <v>11072</v>
      </c>
      <c r="B3330" s="19">
        <v>44475.78125</v>
      </c>
      <c r="C3330" s="20">
        <v>49997.0</v>
      </c>
      <c r="D3330" s="20" t="s">
        <v>2553</v>
      </c>
      <c r="E3330" s="5">
        <v>9.17875897782E11</v>
      </c>
      <c r="F3330" s="21">
        <v>19811.0</v>
      </c>
      <c r="G3330" s="20"/>
      <c r="H3330" s="20" t="s">
        <v>2455</v>
      </c>
      <c r="I3330" s="5"/>
      <c r="J3330" s="20">
        <v>1.0</v>
      </c>
      <c r="K3330" s="20">
        <v>99.0</v>
      </c>
      <c r="L3330" s="20"/>
      <c r="M3330" s="20">
        <v>99.0</v>
      </c>
      <c r="N3330" s="5" t="s">
        <v>67</v>
      </c>
      <c r="O3330" s="20" t="b">
        <v>0</v>
      </c>
      <c r="P3330" s="20" t="s">
        <v>68</v>
      </c>
      <c r="Q3330" s="20" t="s">
        <v>69</v>
      </c>
      <c r="R3330" s="20" t="s">
        <v>2457</v>
      </c>
      <c r="T3330" s="20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</row>
    <row r="3331">
      <c r="A3331" s="15" t="s">
        <v>11225</v>
      </c>
      <c r="B3331" s="19">
        <v>44506.825</v>
      </c>
      <c r="C3331" s="20">
        <v>50030.0</v>
      </c>
      <c r="D3331" s="20" t="s">
        <v>3510</v>
      </c>
      <c r="E3331" s="5">
        <v>9.18660231308E11</v>
      </c>
      <c r="F3331" s="21">
        <v>19926.0</v>
      </c>
      <c r="G3331" s="20"/>
      <c r="H3331" s="20" t="s">
        <v>3326</v>
      </c>
      <c r="I3331" s="5"/>
      <c r="J3331" s="20">
        <v>1.0</v>
      </c>
      <c r="K3331" s="20">
        <v>99.0</v>
      </c>
      <c r="L3331" s="20"/>
      <c r="M3331" s="20">
        <v>99.0</v>
      </c>
      <c r="N3331" s="5" t="s">
        <v>67</v>
      </c>
      <c r="O3331" s="20" t="b">
        <v>0</v>
      </c>
      <c r="P3331" s="20" t="s">
        <v>68</v>
      </c>
      <c r="Q3331" s="20" t="s">
        <v>69</v>
      </c>
      <c r="R3331" s="20" t="s">
        <v>3328</v>
      </c>
      <c r="T3331" s="20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</row>
    <row r="3332">
      <c r="A3332" s="15" t="s">
        <v>11232</v>
      </c>
      <c r="B3332" s="19">
        <v>44506.845138888886</v>
      </c>
      <c r="C3332" s="20">
        <v>50086.0</v>
      </c>
      <c r="D3332" s="20" t="s">
        <v>4002</v>
      </c>
      <c r="E3332" s="5">
        <v>9.19145030714E11</v>
      </c>
      <c r="F3332" s="21">
        <v>19882.0</v>
      </c>
      <c r="G3332" s="20"/>
      <c r="H3332" s="20" t="s">
        <v>3986</v>
      </c>
      <c r="I3332" s="5"/>
      <c r="J3332" s="20">
        <v>1.0</v>
      </c>
      <c r="K3332" s="20">
        <v>249.0</v>
      </c>
      <c r="L3332" s="20"/>
      <c r="M3332" s="20">
        <v>249.0</v>
      </c>
      <c r="N3332" s="5" t="s">
        <v>67</v>
      </c>
      <c r="O3332" s="20" t="b">
        <v>0</v>
      </c>
      <c r="P3332" s="20" t="s">
        <v>68</v>
      </c>
      <c r="Q3332" s="20" t="s">
        <v>69</v>
      </c>
      <c r="R3332" s="20" t="s">
        <v>4001</v>
      </c>
      <c r="T3332" s="20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</row>
    <row r="3333">
      <c r="A3333" s="15" t="s">
        <v>11233</v>
      </c>
      <c r="B3333" s="19">
        <v>44506.84652777778</v>
      </c>
      <c r="C3333" s="20">
        <v>49859.0</v>
      </c>
      <c r="D3333" s="20" t="s">
        <v>4758</v>
      </c>
      <c r="E3333" s="5">
        <v>9.19145261102E11</v>
      </c>
      <c r="F3333" s="21">
        <v>19881.0</v>
      </c>
      <c r="G3333" s="20"/>
      <c r="H3333" s="20" t="s">
        <v>1133</v>
      </c>
      <c r="I3333" s="5"/>
      <c r="J3333" s="20">
        <v>1.0</v>
      </c>
      <c r="K3333" s="20">
        <v>99.0</v>
      </c>
      <c r="L3333" s="20"/>
      <c r="M3333" s="20">
        <v>99.0</v>
      </c>
      <c r="N3333" s="5" t="s">
        <v>67</v>
      </c>
      <c r="O3333" s="20" t="b">
        <v>0</v>
      </c>
      <c r="P3333" s="20" t="s">
        <v>68</v>
      </c>
      <c r="Q3333" s="20" t="s">
        <v>69</v>
      </c>
      <c r="R3333" s="20" t="s">
        <v>4736</v>
      </c>
      <c r="T3333" s="20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</row>
    <row r="3334">
      <c r="A3334" s="15" t="s">
        <v>11238</v>
      </c>
      <c r="B3334" s="19">
        <v>44506.84930555556</v>
      </c>
      <c r="C3334" s="20">
        <v>49998.0</v>
      </c>
      <c r="D3334" s="20" t="s">
        <v>6304</v>
      </c>
      <c r="E3334" s="5">
        <v>9.17680808084E11</v>
      </c>
      <c r="F3334" s="21">
        <v>19889.0</v>
      </c>
      <c r="G3334" s="20"/>
      <c r="H3334" s="20" t="s">
        <v>6250</v>
      </c>
      <c r="I3334" s="5"/>
      <c r="J3334" s="20">
        <v>1.0</v>
      </c>
      <c r="K3334" s="20">
        <v>99.0</v>
      </c>
      <c r="L3334" s="20"/>
      <c r="M3334" s="20">
        <v>99.0</v>
      </c>
      <c r="N3334" s="5" t="s">
        <v>67</v>
      </c>
      <c r="O3334" s="20" t="b">
        <v>0</v>
      </c>
      <c r="P3334" s="20" t="s">
        <v>68</v>
      </c>
      <c r="Q3334" s="20" t="s">
        <v>69</v>
      </c>
      <c r="R3334" s="20" t="s">
        <v>6252</v>
      </c>
      <c r="T3334" s="20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</row>
    <row r="3335">
      <c r="A3335" s="15" t="s">
        <v>11245</v>
      </c>
      <c r="B3335" s="19">
        <v>44506.87291666667</v>
      </c>
      <c r="C3335" s="20">
        <v>49996.0</v>
      </c>
      <c r="D3335" s="20" t="s">
        <v>4853</v>
      </c>
      <c r="E3335" s="5">
        <v>9.18667096433E11</v>
      </c>
      <c r="F3335" s="21">
        <v>19887.0</v>
      </c>
      <c r="G3335" s="20"/>
      <c r="H3335" s="20" t="s">
        <v>4796</v>
      </c>
      <c r="I3335" s="5"/>
      <c r="J3335" s="20">
        <v>1.0</v>
      </c>
      <c r="K3335" s="20">
        <v>99.0</v>
      </c>
      <c r="L3335" s="20"/>
      <c r="M3335" s="20">
        <v>99.0</v>
      </c>
      <c r="N3335" s="5" t="s">
        <v>67</v>
      </c>
      <c r="O3335" s="20" t="b">
        <v>0</v>
      </c>
      <c r="P3335" s="20" t="s">
        <v>68</v>
      </c>
      <c r="Q3335" s="20" t="s">
        <v>69</v>
      </c>
      <c r="R3335" s="20" t="s">
        <v>4843</v>
      </c>
      <c r="T3335" s="20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</row>
    <row r="3336">
      <c r="A3336" s="15" t="s">
        <v>11074</v>
      </c>
      <c r="B3336" s="19">
        <v>44475.81458333333</v>
      </c>
      <c r="C3336" s="20">
        <v>49994.0</v>
      </c>
      <c r="D3336" s="20" t="s">
        <v>6653</v>
      </c>
      <c r="E3336" s="5">
        <v>9.18770198368E11</v>
      </c>
      <c r="F3336" s="21">
        <v>19812.0</v>
      </c>
      <c r="G3336" s="20"/>
      <c r="H3336" s="20" t="s">
        <v>1264</v>
      </c>
      <c r="I3336" s="5"/>
      <c r="J3336" s="20">
        <v>1.0</v>
      </c>
      <c r="K3336" s="20">
        <v>99.0</v>
      </c>
      <c r="L3336" s="20"/>
      <c r="M3336" s="20">
        <v>99.0</v>
      </c>
      <c r="N3336" s="5" t="s">
        <v>67</v>
      </c>
      <c r="O3336" s="20" t="b">
        <v>0</v>
      </c>
      <c r="P3336" s="20" t="s">
        <v>68</v>
      </c>
      <c r="Q3336" s="20" t="s">
        <v>69</v>
      </c>
      <c r="R3336" s="20" t="s">
        <v>6615</v>
      </c>
      <c r="T3336" s="20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</row>
    <row r="3337">
      <c r="A3337" s="15" t="s">
        <v>11239</v>
      </c>
      <c r="B3337" s="19">
        <v>44506.85833333333</v>
      </c>
      <c r="C3337" s="20">
        <v>49997.0</v>
      </c>
      <c r="D3337" s="20" t="s">
        <v>2555</v>
      </c>
      <c r="E3337" s="5">
        <v>9.19634081231E11</v>
      </c>
      <c r="F3337" s="21">
        <v>19883.0</v>
      </c>
      <c r="G3337" s="20"/>
      <c r="H3337" s="20" t="s">
        <v>2455</v>
      </c>
      <c r="I3337" s="5"/>
      <c r="J3337" s="20">
        <v>1.0</v>
      </c>
      <c r="K3337" s="20">
        <v>99.0</v>
      </c>
      <c r="L3337" s="20"/>
      <c r="M3337" s="20">
        <v>99.0</v>
      </c>
      <c r="N3337" s="5" t="s">
        <v>67</v>
      </c>
      <c r="O3337" s="20" t="b">
        <v>0</v>
      </c>
      <c r="P3337" s="20" t="s">
        <v>68</v>
      </c>
      <c r="Q3337" s="20" t="s">
        <v>69</v>
      </c>
      <c r="R3337" s="20" t="s">
        <v>2457</v>
      </c>
      <c r="T3337" s="20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</row>
    <row r="3338">
      <c r="A3338" s="15" t="s">
        <v>11075</v>
      </c>
      <c r="B3338" s="19">
        <v>44475.81597222222</v>
      </c>
      <c r="C3338" s="20">
        <v>49859.0</v>
      </c>
      <c r="D3338" s="20" t="s">
        <v>4753</v>
      </c>
      <c r="E3338" s="5">
        <v>9.19051517176E11</v>
      </c>
      <c r="F3338" s="21">
        <v>19813.0</v>
      </c>
      <c r="G3338" s="20"/>
      <c r="H3338" s="20" t="s">
        <v>1133</v>
      </c>
      <c r="I3338" s="5"/>
      <c r="J3338" s="20">
        <v>1.0</v>
      </c>
      <c r="K3338" s="20">
        <v>99.0</v>
      </c>
      <c r="L3338" s="20"/>
      <c r="M3338" s="20">
        <v>99.0</v>
      </c>
      <c r="N3338" s="5" t="s">
        <v>67</v>
      </c>
      <c r="O3338" s="20" t="b">
        <v>0</v>
      </c>
      <c r="P3338" s="20" t="s">
        <v>68</v>
      </c>
      <c r="Q3338" s="20" t="s">
        <v>69</v>
      </c>
      <c r="R3338" s="20" t="s">
        <v>4736</v>
      </c>
      <c r="T3338" s="20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</row>
    <row r="3339">
      <c r="A3339" s="15" t="s">
        <v>11246</v>
      </c>
      <c r="B3339" s="19">
        <v>44506.87708333333</v>
      </c>
      <c r="C3339" s="20">
        <v>50043.0</v>
      </c>
      <c r="D3339" s="20" t="s">
        <v>6430</v>
      </c>
      <c r="E3339" s="5">
        <v>9.18586066209E11</v>
      </c>
      <c r="F3339" s="21">
        <v>19886.0</v>
      </c>
      <c r="G3339" s="20"/>
      <c r="H3339" s="20" t="s">
        <v>6367</v>
      </c>
      <c r="I3339" s="5"/>
      <c r="J3339" s="20">
        <v>1.0</v>
      </c>
      <c r="K3339" s="20">
        <v>99.0</v>
      </c>
      <c r="L3339" s="20"/>
      <c r="M3339" s="20">
        <v>99.0</v>
      </c>
      <c r="N3339" s="5" t="s">
        <v>67</v>
      </c>
      <c r="O3339" s="20" t="b">
        <v>0</v>
      </c>
      <c r="P3339" s="20" t="s">
        <v>68</v>
      </c>
      <c r="Q3339" s="20" t="s">
        <v>69</v>
      </c>
      <c r="R3339" s="20" t="s">
        <v>6369</v>
      </c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</row>
    <row r="3340">
      <c r="A3340" s="15" t="s">
        <v>11240</v>
      </c>
      <c r="B3340" s="19">
        <v>44506.86041666667</v>
      </c>
      <c r="C3340" s="20">
        <v>49991.0</v>
      </c>
      <c r="D3340" s="20" t="s">
        <v>3162</v>
      </c>
      <c r="E3340" s="5">
        <v>9.19971688162E11</v>
      </c>
      <c r="F3340" s="21">
        <v>19884.0</v>
      </c>
      <c r="G3340" s="20"/>
      <c r="H3340" s="20" t="s">
        <v>3055</v>
      </c>
      <c r="I3340" s="5"/>
      <c r="J3340" s="20">
        <v>1.0</v>
      </c>
      <c r="K3340" s="20">
        <v>99.0</v>
      </c>
      <c r="L3340" s="20"/>
      <c r="M3340" s="20">
        <v>99.0</v>
      </c>
      <c r="N3340" s="5" t="s">
        <v>67</v>
      </c>
      <c r="O3340" s="20" t="b">
        <v>0</v>
      </c>
      <c r="P3340" s="20" t="s">
        <v>74</v>
      </c>
      <c r="Q3340" s="20" t="s">
        <v>69</v>
      </c>
      <c r="R3340" s="20" t="s">
        <v>3057</v>
      </c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</row>
    <row r="3341">
      <c r="A3341" s="15" t="s">
        <v>11076</v>
      </c>
      <c r="B3341" s="19">
        <v>44475.819444444445</v>
      </c>
      <c r="C3341" s="20">
        <v>50143.0</v>
      </c>
      <c r="D3341" s="20" t="s">
        <v>2442</v>
      </c>
      <c r="E3341" s="5">
        <v>9.18283088675E11</v>
      </c>
      <c r="F3341" s="21">
        <v>19814.0</v>
      </c>
      <c r="G3341" s="20"/>
      <c r="H3341" s="20" t="s">
        <v>2441</v>
      </c>
      <c r="I3341" s="5"/>
      <c r="J3341" s="20">
        <v>6.0</v>
      </c>
      <c r="K3341" s="20">
        <v>999.0</v>
      </c>
      <c r="L3341" s="20"/>
      <c r="M3341" s="20">
        <v>999.0</v>
      </c>
      <c r="N3341" s="5" t="s">
        <v>67</v>
      </c>
      <c r="O3341" s="20" t="b">
        <v>0</v>
      </c>
      <c r="P3341" s="20" t="s">
        <v>68</v>
      </c>
      <c r="Q3341" s="20" t="s">
        <v>69</v>
      </c>
      <c r="R3341" s="20" t="s">
        <v>2443</v>
      </c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</row>
    <row r="3342">
      <c r="A3342" s="15" t="s">
        <v>11079</v>
      </c>
      <c r="B3342" s="19">
        <v>44475.82152777778</v>
      </c>
      <c r="C3342" s="20">
        <v>49844.0</v>
      </c>
      <c r="D3342" s="20" t="s">
        <v>5495</v>
      </c>
      <c r="E3342" s="5">
        <v>9.19123065728E11</v>
      </c>
      <c r="F3342" s="21">
        <v>19815.0</v>
      </c>
      <c r="G3342" s="20"/>
      <c r="H3342" s="20" t="s">
        <v>885</v>
      </c>
      <c r="I3342" s="5"/>
      <c r="J3342" s="20">
        <v>1.0</v>
      </c>
      <c r="K3342" s="20">
        <v>99.0</v>
      </c>
      <c r="L3342" s="20"/>
      <c r="M3342" s="20">
        <v>99.0</v>
      </c>
      <c r="N3342" s="5" t="s">
        <v>67</v>
      </c>
      <c r="O3342" s="20" t="b">
        <v>0</v>
      </c>
      <c r="P3342" s="20" t="s">
        <v>68</v>
      </c>
      <c r="Q3342" s="20" t="s">
        <v>69</v>
      </c>
      <c r="R3342" s="20" t="s">
        <v>5476</v>
      </c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</row>
    <row r="3343">
      <c r="A3343" s="15" t="s">
        <v>11080</v>
      </c>
      <c r="B3343" s="19">
        <v>44475.825694444444</v>
      </c>
      <c r="C3343" s="20">
        <v>50023.0</v>
      </c>
      <c r="D3343" s="20" t="s">
        <v>5593</v>
      </c>
      <c r="E3343" s="5">
        <v>9.19741601609E11</v>
      </c>
      <c r="F3343" s="21">
        <v>19816.0</v>
      </c>
      <c r="G3343" s="20"/>
      <c r="H3343" s="20" t="s">
        <v>5508</v>
      </c>
      <c r="I3343" s="5"/>
      <c r="J3343" s="20">
        <v>1.0</v>
      </c>
      <c r="K3343" s="20">
        <v>99.0</v>
      </c>
      <c r="L3343" s="20"/>
      <c r="M3343" s="20">
        <v>99.0</v>
      </c>
      <c r="N3343" s="5" t="s">
        <v>67</v>
      </c>
      <c r="O3343" s="20" t="b">
        <v>0</v>
      </c>
      <c r="P3343" s="20" t="s">
        <v>68</v>
      </c>
      <c r="Q3343" s="20" t="s">
        <v>69</v>
      </c>
      <c r="R3343" s="20" t="s">
        <v>5510</v>
      </c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</row>
    <row r="3344">
      <c r="A3344" s="15" t="s">
        <v>11248</v>
      </c>
      <c r="B3344" s="19">
        <v>44506.888194444444</v>
      </c>
      <c r="C3344" s="20">
        <v>50023.0</v>
      </c>
      <c r="D3344" s="20" t="s">
        <v>5606</v>
      </c>
      <c r="E3344" s="5">
        <v>9.18096838739E11</v>
      </c>
      <c r="F3344" s="21">
        <v>19888.0</v>
      </c>
      <c r="G3344" s="20"/>
      <c r="H3344" s="20" t="s">
        <v>5508</v>
      </c>
      <c r="I3344" s="5"/>
      <c r="J3344" s="20">
        <v>1.0</v>
      </c>
      <c r="K3344" s="20">
        <v>99.0</v>
      </c>
      <c r="L3344" s="20"/>
      <c r="M3344" s="20">
        <v>99.0</v>
      </c>
      <c r="N3344" s="5" t="s">
        <v>67</v>
      </c>
      <c r="O3344" s="20" t="b">
        <v>0</v>
      </c>
      <c r="P3344" s="20" t="s">
        <v>68</v>
      </c>
      <c r="Q3344" s="20" t="s">
        <v>69</v>
      </c>
      <c r="R3344" s="20" t="s">
        <v>5510</v>
      </c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</row>
    <row r="3345">
      <c r="A3345" s="15" t="s">
        <v>11082</v>
      </c>
      <c r="B3345" s="19">
        <v>44475.830555555556</v>
      </c>
      <c r="C3345" s="20">
        <v>50094.0</v>
      </c>
      <c r="D3345" s="20" t="s">
        <v>5055</v>
      </c>
      <c r="E3345" s="5">
        <v>9.19657233842E11</v>
      </c>
      <c r="F3345" s="21">
        <v>19069.0</v>
      </c>
      <c r="G3345" s="20"/>
      <c r="H3345" s="20" t="s">
        <v>4942</v>
      </c>
      <c r="I3345" s="5"/>
      <c r="J3345" s="20">
        <v>1.0</v>
      </c>
      <c r="K3345" s="20">
        <v>199.0</v>
      </c>
      <c r="L3345" s="20"/>
      <c r="M3345" s="20">
        <v>199.0</v>
      </c>
      <c r="N3345" s="5" t="s">
        <v>67</v>
      </c>
      <c r="O3345" s="20" t="b">
        <v>0</v>
      </c>
      <c r="P3345" s="20" t="s">
        <v>68</v>
      </c>
      <c r="Q3345" s="20" t="s">
        <v>69</v>
      </c>
      <c r="R3345" s="20" t="s">
        <v>4945</v>
      </c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</row>
    <row r="3346">
      <c r="A3346" s="15" t="s">
        <v>11087</v>
      </c>
      <c r="B3346" s="19">
        <v>44475.85</v>
      </c>
      <c r="C3346" s="20">
        <v>49907.0</v>
      </c>
      <c r="D3346" s="20" t="s">
        <v>3840</v>
      </c>
      <c r="E3346" s="5">
        <v>9.19004650532E11</v>
      </c>
      <c r="F3346" s="21">
        <v>19819.0</v>
      </c>
      <c r="G3346" s="20"/>
      <c r="H3346" s="20" t="s">
        <v>587</v>
      </c>
      <c r="I3346" s="5"/>
      <c r="J3346" s="20">
        <v>1.0</v>
      </c>
      <c r="K3346" s="20">
        <v>99.0</v>
      </c>
      <c r="L3346" s="20"/>
      <c r="M3346" s="20">
        <v>99.0</v>
      </c>
      <c r="N3346" s="5" t="s">
        <v>67</v>
      </c>
      <c r="O3346" s="20" t="b">
        <v>0</v>
      </c>
      <c r="P3346" s="20" t="s">
        <v>68</v>
      </c>
      <c r="Q3346" s="20" t="s">
        <v>69</v>
      </c>
      <c r="R3346" s="20" t="s">
        <v>3774</v>
      </c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</row>
    <row r="3347">
      <c r="A3347" s="15" t="s">
        <v>11083</v>
      </c>
      <c r="B3347" s="19">
        <v>44475.834027777775</v>
      </c>
      <c r="C3347" s="20">
        <v>50030.0</v>
      </c>
      <c r="D3347" s="20" t="s">
        <v>3501</v>
      </c>
      <c r="E3347" s="5">
        <v>9.19987116121E11</v>
      </c>
      <c r="F3347" s="21">
        <v>19817.0</v>
      </c>
      <c r="G3347" s="20"/>
      <c r="H3347" s="20" t="s">
        <v>3326</v>
      </c>
      <c r="I3347" s="5"/>
      <c r="J3347" s="20">
        <v>1.0</v>
      </c>
      <c r="K3347" s="20">
        <v>99.0</v>
      </c>
      <c r="L3347" s="20"/>
      <c r="M3347" s="20">
        <v>99.0</v>
      </c>
      <c r="N3347" s="5" t="s">
        <v>67</v>
      </c>
      <c r="O3347" s="20" t="b">
        <v>0</v>
      </c>
      <c r="P3347" s="20" t="s">
        <v>68</v>
      </c>
      <c r="Q3347" s="20" t="s">
        <v>69</v>
      </c>
      <c r="R3347" s="20" t="s">
        <v>3328</v>
      </c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</row>
    <row r="3348">
      <c r="A3348" s="15" t="s">
        <v>11251</v>
      </c>
      <c r="B3348" s="19">
        <v>44506.895833333336</v>
      </c>
      <c r="C3348" s="20">
        <v>50036.0</v>
      </c>
      <c r="D3348" s="20" t="s">
        <v>5727</v>
      </c>
      <c r="E3348" s="5">
        <v>9.198619804E11</v>
      </c>
      <c r="F3348" s="21">
        <v>19890.0</v>
      </c>
      <c r="G3348" s="20"/>
      <c r="H3348" s="20" t="s">
        <v>1320</v>
      </c>
      <c r="I3348" s="5"/>
      <c r="J3348" s="20">
        <v>1.0</v>
      </c>
      <c r="K3348" s="20">
        <v>199.0</v>
      </c>
      <c r="L3348" s="20"/>
      <c r="M3348" s="20">
        <v>199.0</v>
      </c>
      <c r="N3348" s="5" t="s">
        <v>67</v>
      </c>
      <c r="O3348" s="20" t="b">
        <v>0</v>
      </c>
      <c r="P3348" s="20" t="s">
        <v>68</v>
      </c>
      <c r="Q3348" s="20" t="s">
        <v>69</v>
      </c>
      <c r="R3348" s="20" t="s">
        <v>5709</v>
      </c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</row>
    <row r="3349">
      <c r="A3349" s="15" t="s">
        <v>11258</v>
      </c>
      <c r="B3349" s="19">
        <v>44506.913194444445</v>
      </c>
      <c r="C3349" s="20">
        <v>50043.0</v>
      </c>
      <c r="D3349" s="20" t="s">
        <v>6431</v>
      </c>
      <c r="E3349" s="5">
        <v>9.16370480629E11</v>
      </c>
      <c r="F3349" s="21">
        <v>19892.0</v>
      </c>
      <c r="G3349" s="20"/>
      <c r="H3349" s="20" t="s">
        <v>6367</v>
      </c>
      <c r="I3349" s="5"/>
      <c r="J3349" s="20">
        <v>3.0</v>
      </c>
      <c r="K3349" s="20">
        <v>199.0</v>
      </c>
      <c r="L3349" s="20"/>
      <c r="M3349" s="20">
        <v>199.0</v>
      </c>
      <c r="N3349" s="5" t="s">
        <v>67</v>
      </c>
      <c r="O3349" s="20" t="b">
        <v>0</v>
      </c>
      <c r="P3349" s="20" t="s">
        <v>68</v>
      </c>
      <c r="Q3349" s="20" t="s">
        <v>69</v>
      </c>
      <c r="R3349" s="20" t="s">
        <v>6369</v>
      </c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</row>
    <row r="3350">
      <c r="A3350" s="15" t="s">
        <v>11252</v>
      </c>
      <c r="B3350" s="19">
        <v>44506.90277777778</v>
      </c>
      <c r="C3350" s="20">
        <v>50044.0</v>
      </c>
      <c r="D3350" s="20" t="s">
        <v>6355</v>
      </c>
      <c r="E3350" s="5">
        <v>9.1994015434E11</v>
      </c>
      <c r="F3350" s="21">
        <v>19891.0</v>
      </c>
      <c r="G3350" s="20"/>
      <c r="H3350" s="20" t="s">
        <v>6320</v>
      </c>
      <c r="I3350" s="5"/>
      <c r="J3350" s="20">
        <v>1.0</v>
      </c>
      <c r="K3350" s="20">
        <v>349.0</v>
      </c>
      <c r="L3350" s="20"/>
      <c r="M3350" s="20">
        <v>349.0</v>
      </c>
      <c r="N3350" s="5" t="s">
        <v>67</v>
      </c>
      <c r="O3350" s="20" t="b">
        <v>0</v>
      </c>
      <c r="P3350" s="20" t="s">
        <v>74</v>
      </c>
      <c r="Q3350" s="20" t="s">
        <v>69</v>
      </c>
      <c r="R3350" s="20" t="s">
        <v>6322</v>
      </c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</row>
    <row r="3351">
      <c r="A3351" s="15" t="s">
        <v>11261</v>
      </c>
      <c r="B3351" s="19">
        <v>44506.91875</v>
      </c>
      <c r="C3351" s="20">
        <v>50029.0</v>
      </c>
      <c r="D3351" s="20" t="s">
        <v>2888</v>
      </c>
      <c r="E3351" s="5">
        <v>9.19866931997E11</v>
      </c>
      <c r="F3351" s="21">
        <v>19893.0</v>
      </c>
      <c r="G3351" s="20"/>
      <c r="H3351" s="20" t="s">
        <v>2761</v>
      </c>
      <c r="I3351" s="5"/>
      <c r="J3351" s="20">
        <v>3.0</v>
      </c>
      <c r="K3351" s="20">
        <v>199.0</v>
      </c>
      <c r="L3351" s="20"/>
      <c r="M3351" s="20">
        <v>199.0</v>
      </c>
      <c r="N3351" s="5" t="s">
        <v>67</v>
      </c>
      <c r="O3351" s="20" t="b">
        <v>0</v>
      </c>
      <c r="P3351" s="20" t="s">
        <v>68</v>
      </c>
      <c r="Q3351" s="20" t="s">
        <v>69</v>
      </c>
      <c r="R3351" s="20" t="s">
        <v>2763</v>
      </c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</row>
    <row r="3352">
      <c r="A3352" s="15" t="s">
        <v>11084</v>
      </c>
      <c r="B3352" s="19">
        <v>44475.842361111114</v>
      </c>
      <c r="C3352" s="20">
        <v>50023.0</v>
      </c>
      <c r="D3352" s="20" t="s">
        <v>5594</v>
      </c>
      <c r="E3352" s="5">
        <v>9.1807698554E11</v>
      </c>
      <c r="F3352" s="21">
        <v>19818.0</v>
      </c>
      <c r="G3352" s="20"/>
      <c r="H3352" s="20" t="s">
        <v>5508</v>
      </c>
      <c r="I3352" s="5"/>
      <c r="J3352" s="20">
        <v>1.0</v>
      </c>
      <c r="K3352" s="20">
        <v>99.0</v>
      </c>
      <c r="L3352" s="20"/>
      <c r="M3352" s="20">
        <v>99.0</v>
      </c>
      <c r="N3352" s="5" t="s">
        <v>67</v>
      </c>
      <c r="O3352" s="20" t="b">
        <v>0</v>
      </c>
      <c r="P3352" s="20" t="s">
        <v>68</v>
      </c>
      <c r="Q3352" s="20" t="s">
        <v>69</v>
      </c>
      <c r="R3352" s="20" t="s">
        <v>5510</v>
      </c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</row>
    <row r="3353">
      <c r="A3353" s="15" t="s">
        <v>11262</v>
      </c>
      <c r="B3353" s="19">
        <v>44506.927083333336</v>
      </c>
      <c r="C3353" s="20">
        <v>49833.0</v>
      </c>
      <c r="D3353" s="20" t="s">
        <v>4228</v>
      </c>
      <c r="E3353" s="5">
        <v>9.19445965711E11</v>
      </c>
      <c r="F3353" s="21">
        <v>19894.0</v>
      </c>
      <c r="G3353" s="20"/>
      <c r="H3353" s="20" t="s">
        <v>4030</v>
      </c>
      <c r="I3353" s="5"/>
      <c r="J3353" s="20">
        <v>6.0</v>
      </c>
      <c r="K3353" s="20">
        <v>449.0</v>
      </c>
      <c r="L3353" s="20"/>
      <c r="M3353" s="20">
        <v>449.0</v>
      </c>
      <c r="N3353" s="5" t="s">
        <v>67</v>
      </c>
      <c r="O3353" s="20" t="b">
        <v>0</v>
      </c>
      <c r="P3353" s="20" t="s">
        <v>68</v>
      </c>
      <c r="Q3353" s="20" t="s">
        <v>69</v>
      </c>
      <c r="R3353" s="20" t="s">
        <v>4033</v>
      </c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</row>
    <row r="3354">
      <c r="A3354" s="15" t="s">
        <v>11265</v>
      </c>
      <c r="B3354" s="19">
        <v>44506.93125</v>
      </c>
      <c r="C3354" s="20">
        <v>49998.0</v>
      </c>
      <c r="D3354" s="20" t="s">
        <v>6305</v>
      </c>
      <c r="E3354" s="5">
        <v>9.1629431586E11</v>
      </c>
      <c r="F3354" s="21">
        <v>19897.0</v>
      </c>
      <c r="G3354" s="20"/>
      <c r="H3354" s="20" t="s">
        <v>6250</v>
      </c>
      <c r="I3354" s="5"/>
      <c r="J3354" s="20">
        <v>3.0</v>
      </c>
      <c r="K3354" s="20">
        <v>199.0</v>
      </c>
      <c r="L3354" s="20"/>
      <c r="M3354" s="20">
        <v>199.0</v>
      </c>
      <c r="N3354" s="5" t="s">
        <v>67</v>
      </c>
      <c r="O3354" s="20" t="b">
        <v>0</v>
      </c>
      <c r="P3354" s="20" t="s">
        <v>68</v>
      </c>
      <c r="Q3354" s="20" t="s">
        <v>69</v>
      </c>
      <c r="R3354" s="20" t="s">
        <v>6252</v>
      </c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</row>
    <row r="3355">
      <c r="A3355" s="15" t="s">
        <v>11271</v>
      </c>
      <c r="B3355" s="19">
        <v>44506.93541666667</v>
      </c>
      <c r="C3355" s="20">
        <v>50039.0</v>
      </c>
      <c r="D3355" s="20" t="s">
        <v>4391</v>
      </c>
      <c r="E3355" s="5">
        <v>9.19819663556E11</v>
      </c>
      <c r="F3355" s="21">
        <v>19895.0</v>
      </c>
      <c r="G3355" s="20"/>
      <c r="H3355" s="20" t="s">
        <v>4341</v>
      </c>
      <c r="I3355" s="5"/>
      <c r="J3355" s="20">
        <v>6.0</v>
      </c>
      <c r="K3355" s="20">
        <v>349.0</v>
      </c>
      <c r="L3355" s="20"/>
      <c r="M3355" s="20">
        <v>349.0</v>
      </c>
      <c r="N3355" s="5" t="s">
        <v>67</v>
      </c>
      <c r="O3355" s="20" t="b">
        <v>0</v>
      </c>
      <c r="P3355" s="20" t="s">
        <v>68</v>
      </c>
      <c r="Q3355" s="20" t="s">
        <v>69</v>
      </c>
      <c r="R3355" s="20" t="s">
        <v>4343</v>
      </c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</row>
    <row r="3356">
      <c r="A3356" s="15" t="s">
        <v>11274</v>
      </c>
      <c r="B3356" s="19">
        <v>44506.93958333333</v>
      </c>
      <c r="C3356" s="20">
        <v>49994.0</v>
      </c>
      <c r="D3356" s="20" t="s">
        <v>6655</v>
      </c>
      <c r="E3356" s="5">
        <v>9.19762128751E11</v>
      </c>
      <c r="F3356" s="21">
        <v>19896.0</v>
      </c>
      <c r="G3356" s="20"/>
      <c r="H3356" s="20" t="s">
        <v>1264</v>
      </c>
      <c r="I3356" s="5"/>
      <c r="J3356" s="20">
        <v>1.0</v>
      </c>
      <c r="K3356" s="20">
        <v>99.0</v>
      </c>
      <c r="L3356" s="20"/>
      <c r="M3356" s="20">
        <v>99.0</v>
      </c>
      <c r="N3356" s="5" t="s">
        <v>67</v>
      </c>
      <c r="O3356" s="20" t="b">
        <v>0</v>
      </c>
      <c r="P3356" s="20" t="s">
        <v>68</v>
      </c>
      <c r="Q3356" s="20" t="s">
        <v>69</v>
      </c>
      <c r="R3356" s="20" t="s">
        <v>6615</v>
      </c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</row>
    <row r="3357">
      <c r="A3357" s="15" t="s">
        <v>11091</v>
      </c>
      <c r="B3357" s="19">
        <v>44475.88125</v>
      </c>
      <c r="C3357" s="20">
        <v>50104.0</v>
      </c>
      <c r="D3357" s="20" t="s">
        <v>3726</v>
      </c>
      <c r="E3357" s="5">
        <v>9.19174444411E11</v>
      </c>
      <c r="F3357" s="21">
        <v>19820.0</v>
      </c>
      <c r="G3357" s="20"/>
      <c r="H3357" s="20" t="s">
        <v>3708</v>
      </c>
      <c r="I3357" s="5"/>
      <c r="J3357" s="20">
        <v>1.0</v>
      </c>
      <c r="K3357" s="20">
        <v>99.0</v>
      </c>
      <c r="L3357" s="20"/>
      <c r="M3357" s="20">
        <v>99.0</v>
      </c>
      <c r="N3357" s="5" t="s">
        <v>67</v>
      </c>
      <c r="O3357" s="20" t="b">
        <v>0</v>
      </c>
      <c r="P3357" s="20" t="s">
        <v>74</v>
      </c>
      <c r="Q3357" s="20" t="s">
        <v>69</v>
      </c>
      <c r="R3357" s="20" t="s">
        <v>3710</v>
      </c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</row>
    <row r="3358">
      <c r="A3358" s="15" t="s">
        <v>11092</v>
      </c>
      <c r="B3358" s="19">
        <v>44475.881944444445</v>
      </c>
      <c r="C3358" s="20">
        <v>49833.0</v>
      </c>
      <c r="D3358" s="20" t="s">
        <v>4223</v>
      </c>
      <c r="E3358" s="5">
        <v>9.19560893235E11</v>
      </c>
      <c r="F3358" s="21">
        <v>19821.0</v>
      </c>
      <c r="G3358" s="20"/>
      <c r="H3358" s="20" t="s">
        <v>4030</v>
      </c>
      <c r="I3358" s="5"/>
      <c r="J3358" s="20">
        <v>1.0</v>
      </c>
      <c r="K3358" s="20">
        <v>149.0</v>
      </c>
      <c r="L3358" s="20"/>
      <c r="M3358" s="20">
        <v>149.0</v>
      </c>
      <c r="N3358" s="5" t="s">
        <v>67</v>
      </c>
      <c r="O3358" s="20" t="b">
        <v>0</v>
      </c>
      <c r="P3358" s="20" t="s">
        <v>68</v>
      </c>
      <c r="Q3358" s="20" t="s">
        <v>69</v>
      </c>
      <c r="R3358" s="20" t="s">
        <v>4033</v>
      </c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</row>
    <row r="3359">
      <c r="A3359" s="15" t="s">
        <v>11282</v>
      </c>
      <c r="B3359" s="19">
        <v>44506.95972222222</v>
      </c>
      <c r="C3359" s="20">
        <v>50023.0</v>
      </c>
      <c r="D3359" s="20" t="s">
        <v>5607</v>
      </c>
      <c r="E3359" s="5">
        <v>9.16261182699E11</v>
      </c>
      <c r="F3359" s="21">
        <v>19898.0</v>
      </c>
      <c r="G3359" s="20"/>
      <c r="H3359" s="20" t="s">
        <v>5508</v>
      </c>
      <c r="I3359" s="5"/>
      <c r="J3359" s="20">
        <v>1.0</v>
      </c>
      <c r="K3359" s="20">
        <v>99.0</v>
      </c>
      <c r="L3359" s="20"/>
      <c r="M3359" s="20">
        <v>99.0</v>
      </c>
      <c r="N3359" s="5" t="s">
        <v>67</v>
      </c>
      <c r="O3359" s="20" t="b">
        <v>0</v>
      </c>
      <c r="P3359" s="20" t="s">
        <v>68</v>
      </c>
      <c r="Q3359" s="20" t="s">
        <v>69</v>
      </c>
      <c r="R3359" s="20" t="s">
        <v>5510</v>
      </c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</row>
    <row r="3360">
      <c r="A3360" s="15" t="s">
        <v>11094</v>
      </c>
      <c r="B3360" s="19">
        <v>44475.888194444444</v>
      </c>
      <c r="C3360" s="20">
        <v>49833.0</v>
      </c>
      <c r="D3360" s="20" t="s">
        <v>4224</v>
      </c>
      <c r="E3360" s="5">
        <v>9.17358489972E11</v>
      </c>
      <c r="F3360" s="21">
        <v>19822.0</v>
      </c>
      <c r="G3360" s="20"/>
      <c r="H3360" s="20" t="s">
        <v>4030</v>
      </c>
      <c r="I3360" s="5"/>
      <c r="J3360" s="20">
        <v>1.0</v>
      </c>
      <c r="K3360" s="20">
        <v>149.0</v>
      </c>
      <c r="L3360" s="20"/>
      <c r="M3360" s="20">
        <v>149.0</v>
      </c>
      <c r="N3360" s="5" t="s">
        <v>67</v>
      </c>
      <c r="O3360" s="20" t="b">
        <v>0</v>
      </c>
      <c r="P3360" s="20" t="s">
        <v>68</v>
      </c>
      <c r="Q3360" s="20" t="s">
        <v>69</v>
      </c>
      <c r="R3360" s="20" t="s">
        <v>4033</v>
      </c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</row>
    <row r="3361">
      <c r="A3361" s="15" t="s">
        <v>11283</v>
      </c>
      <c r="B3361" s="19">
        <v>44506.96388888889</v>
      </c>
      <c r="C3361" s="20">
        <v>50094.0</v>
      </c>
      <c r="D3361" s="20" t="s">
        <v>5057</v>
      </c>
      <c r="E3361" s="5">
        <v>9.16369380433E11</v>
      </c>
      <c r="F3361" s="21">
        <v>19899.0</v>
      </c>
      <c r="G3361" s="20"/>
      <c r="H3361" s="20" t="s">
        <v>4942</v>
      </c>
      <c r="I3361" s="5"/>
      <c r="J3361" s="20">
        <v>1.0</v>
      </c>
      <c r="K3361" s="20">
        <v>199.0</v>
      </c>
      <c r="L3361" s="20"/>
      <c r="M3361" s="20">
        <v>199.0</v>
      </c>
      <c r="N3361" s="5" t="s">
        <v>67</v>
      </c>
      <c r="O3361" s="20" t="b">
        <v>0</v>
      </c>
      <c r="P3361" s="20" t="s">
        <v>151</v>
      </c>
      <c r="Q3361" s="20" t="s">
        <v>69</v>
      </c>
      <c r="R3361" s="20" t="s">
        <v>4945</v>
      </c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</row>
    <row r="3362">
      <c r="A3362" s="15" t="s">
        <v>11101</v>
      </c>
      <c r="B3362" s="19">
        <v>44475.90555555555</v>
      </c>
      <c r="C3362" s="20">
        <v>50030.0</v>
      </c>
      <c r="D3362" s="20" t="s">
        <v>3502</v>
      </c>
      <c r="E3362" s="5">
        <v>9.19769683159E11</v>
      </c>
      <c r="F3362" s="21">
        <v>19823.0</v>
      </c>
      <c r="G3362" s="20"/>
      <c r="H3362" s="20" t="s">
        <v>3326</v>
      </c>
      <c r="I3362" s="5"/>
      <c r="J3362" s="20">
        <v>1.0</v>
      </c>
      <c r="K3362" s="20">
        <v>99.0</v>
      </c>
      <c r="L3362" s="20"/>
      <c r="M3362" s="20">
        <v>99.0</v>
      </c>
      <c r="N3362" s="5" t="s">
        <v>67</v>
      </c>
      <c r="O3362" s="20" t="b">
        <v>0</v>
      </c>
      <c r="P3362" s="20" t="s">
        <v>68</v>
      </c>
      <c r="Q3362" s="20" t="s">
        <v>69</v>
      </c>
      <c r="R3362" s="20" t="s">
        <v>3328</v>
      </c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</row>
    <row r="3363">
      <c r="A3363" s="15" t="s">
        <v>11103</v>
      </c>
      <c r="B3363" s="19">
        <v>44475.93402777778</v>
      </c>
      <c r="C3363" s="20">
        <v>50023.0</v>
      </c>
      <c r="D3363" s="20" t="s">
        <v>5595</v>
      </c>
      <c r="E3363" s="5">
        <v>9.179729688E11</v>
      </c>
      <c r="F3363" s="21">
        <v>19826.0</v>
      </c>
      <c r="G3363" s="20"/>
      <c r="H3363" s="20" t="s">
        <v>5508</v>
      </c>
      <c r="I3363" s="5"/>
      <c r="J3363" s="20">
        <v>1.0</v>
      </c>
      <c r="K3363" s="20">
        <v>99.0</v>
      </c>
      <c r="L3363" s="20"/>
      <c r="M3363" s="20">
        <v>99.0</v>
      </c>
      <c r="N3363" s="5" t="s">
        <v>67</v>
      </c>
      <c r="O3363" s="20" t="b">
        <v>0</v>
      </c>
      <c r="P3363" s="20" t="s">
        <v>68</v>
      </c>
      <c r="Q3363" s="20" t="s">
        <v>69</v>
      </c>
      <c r="R3363" s="20" t="s">
        <v>5510</v>
      </c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</row>
    <row r="3364">
      <c r="A3364" s="15" t="s">
        <v>11104</v>
      </c>
      <c r="B3364" s="19">
        <v>44475.93263888889</v>
      </c>
      <c r="C3364" s="20">
        <v>50030.0</v>
      </c>
      <c r="D3364" s="20" t="s">
        <v>3503</v>
      </c>
      <c r="E3364" s="5">
        <v>9.19749886626E11</v>
      </c>
      <c r="F3364" s="21">
        <v>19824.0</v>
      </c>
      <c r="G3364" s="20"/>
      <c r="H3364" s="20" t="s">
        <v>3326</v>
      </c>
      <c r="I3364" s="5"/>
      <c r="J3364" s="20">
        <v>1.0</v>
      </c>
      <c r="K3364" s="20">
        <v>99.0</v>
      </c>
      <c r="L3364" s="20"/>
      <c r="M3364" s="20">
        <v>99.0</v>
      </c>
      <c r="N3364" s="5" t="s">
        <v>67</v>
      </c>
      <c r="O3364" s="20" t="b">
        <v>0</v>
      </c>
      <c r="P3364" s="20" t="s">
        <v>68</v>
      </c>
      <c r="Q3364" s="20" t="s">
        <v>69</v>
      </c>
      <c r="R3364" s="20" t="s">
        <v>3328</v>
      </c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</row>
    <row r="3365">
      <c r="A3365" s="15" t="s">
        <v>11106</v>
      </c>
      <c r="B3365" s="19">
        <v>44475.93472222222</v>
      </c>
      <c r="C3365" s="20">
        <v>50023.0</v>
      </c>
      <c r="D3365" s="20" t="s">
        <v>5596</v>
      </c>
      <c r="E3365" s="5">
        <v>9.19793163491E11</v>
      </c>
      <c r="F3365" s="21">
        <v>19839.0</v>
      </c>
      <c r="G3365" s="20"/>
      <c r="H3365" s="20" t="s">
        <v>5508</v>
      </c>
      <c r="I3365" s="5"/>
      <c r="J3365" s="20">
        <v>1.0</v>
      </c>
      <c r="K3365" s="20">
        <v>99.0</v>
      </c>
      <c r="L3365" s="20"/>
      <c r="M3365" s="20">
        <v>99.0</v>
      </c>
      <c r="N3365" s="5" t="s">
        <v>67</v>
      </c>
      <c r="O3365" s="20" t="b">
        <v>0</v>
      </c>
      <c r="P3365" s="20" t="s">
        <v>68</v>
      </c>
      <c r="Q3365" s="20" t="s">
        <v>69</v>
      </c>
      <c r="R3365" s="20" t="s">
        <v>5510</v>
      </c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</row>
    <row r="3366">
      <c r="A3366" s="15" t="s">
        <v>11284</v>
      </c>
      <c r="B3366" s="19">
        <v>44506.981944444444</v>
      </c>
      <c r="C3366" s="20">
        <v>50086.0</v>
      </c>
      <c r="D3366" s="20" t="s">
        <v>4003</v>
      </c>
      <c r="E3366" s="5">
        <v>9.19711281125E11</v>
      </c>
      <c r="F3366" s="21">
        <v>0.0</v>
      </c>
      <c r="G3366" s="20"/>
      <c r="H3366" s="20" t="s">
        <v>3986</v>
      </c>
      <c r="I3366" s="5"/>
      <c r="J3366" s="20">
        <v>1.0</v>
      </c>
      <c r="K3366" s="20">
        <v>249.0</v>
      </c>
      <c r="L3366" s="20"/>
      <c r="M3366" s="20">
        <v>249.0</v>
      </c>
      <c r="N3366" s="5" t="s">
        <v>67</v>
      </c>
      <c r="O3366" s="20" t="b">
        <v>0</v>
      </c>
      <c r="P3366" s="20" t="s">
        <v>74</v>
      </c>
      <c r="Q3366" s="20" t="s">
        <v>69</v>
      </c>
      <c r="R3366" s="20" t="s">
        <v>3988</v>
      </c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</row>
    <row r="3367">
      <c r="A3367" s="15" t="s">
        <v>11109</v>
      </c>
      <c r="B3367" s="19">
        <v>44475.93819444445</v>
      </c>
      <c r="C3367" s="20">
        <v>50023.0</v>
      </c>
      <c r="D3367" s="20" t="s">
        <v>5597</v>
      </c>
      <c r="E3367" s="5">
        <v>9.18000436505E11</v>
      </c>
      <c r="F3367" s="21">
        <v>19825.0</v>
      </c>
      <c r="G3367" s="20"/>
      <c r="H3367" s="20" t="s">
        <v>5508</v>
      </c>
      <c r="I3367" s="5"/>
      <c r="J3367" s="20">
        <v>3.0</v>
      </c>
      <c r="K3367" s="20">
        <v>199.0</v>
      </c>
      <c r="L3367" s="20"/>
      <c r="M3367" s="20">
        <v>199.0</v>
      </c>
      <c r="N3367" s="5" t="s">
        <v>67</v>
      </c>
      <c r="O3367" s="20" t="b">
        <v>0</v>
      </c>
      <c r="P3367" s="20" t="s">
        <v>68</v>
      </c>
      <c r="Q3367" s="20" t="s">
        <v>69</v>
      </c>
      <c r="R3367" s="20" t="s">
        <v>5510</v>
      </c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</row>
    <row r="3368">
      <c r="A3368" s="15" t="s">
        <v>11114</v>
      </c>
      <c r="B3368" s="19">
        <v>44475.95277777778</v>
      </c>
      <c r="C3368" s="20">
        <v>50022.0</v>
      </c>
      <c r="D3368" s="20" t="s">
        <v>5292</v>
      </c>
      <c r="E3368" s="5">
        <v>9.17007308238E11</v>
      </c>
      <c r="F3368" s="21">
        <v>0.0</v>
      </c>
      <c r="G3368" s="20"/>
      <c r="H3368" s="20" t="s">
        <v>5181</v>
      </c>
      <c r="I3368" s="5"/>
      <c r="J3368" s="20">
        <v>1.0</v>
      </c>
      <c r="K3368" s="20">
        <v>99.0</v>
      </c>
      <c r="L3368" s="20"/>
      <c r="M3368" s="20">
        <v>99.0</v>
      </c>
      <c r="N3368" s="5" t="s">
        <v>67</v>
      </c>
      <c r="O3368" s="20" t="b">
        <v>0</v>
      </c>
      <c r="P3368" s="20" t="s">
        <v>68</v>
      </c>
      <c r="Q3368" s="20" t="s">
        <v>69</v>
      </c>
      <c r="R3368" s="20" t="s">
        <v>5183</v>
      </c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</row>
    <row r="3369">
      <c r="A3369" s="15" t="s">
        <v>11288</v>
      </c>
      <c r="B3369" s="19">
        <v>44536.029861111114</v>
      </c>
      <c r="C3369" s="20">
        <v>50086.0</v>
      </c>
      <c r="D3369" s="20" t="s">
        <v>4004</v>
      </c>
      <c r="E3369" s="5">
        <v>9.19205082927E11</v>
      </c>
      <c r="F3369" s="21">
        <v>18801.0</v>
      </c>
      <c r="G3369" s="20"/>
      <c r="H3369" s="20" t="s">
        <v>3986</v>
      </c>
      <c r="I3369" s="5"/>
      <c r="J3369" s="20">
        <v>1.0</v>
      </c>
      <c r="K3369" s="20">
        <v>249.0</v>
      </c>
      <c r="L3369" s="20"/>
      <c r="M3369" s="20">
        <v>249.0</v>
      </c>
      <c r="N3369" s="5" t="s">
        <v>67</v>
      </c>
      <c r="O3369" s="20" t="b">
        <v>0</v>
      </c>
      <c r="P3369" s="20" t="s">
        <v>74</v>
      </c>
      <c r="Q3369" s="20" t="s">
        <v>69</v>
      </c>
      <c r="R3369" s="20" t="s">
        <v>4001</v>
      </c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</row>
    <row r="3370">
      <c r="A3370" s="15" t="s">
        <v>11286</v>
      </c>
      <c r="B3370" s="19">
        <v>44536.01388888889</v>
      </c>
      <c r="C3370" s="20">
        <v>49859.0</v>
      </c>
      <c r="D3370" s="20" t="s">
        <v>4759</v>
      </c>
      <c r="E3370" s="5">
        <v>9.19036328693E11</v>
      </c>
      <c r="F3370" s="21">
        <v>19900.0</v>
      </c>
      <c r="G3370" s="20"/>
      <c r="H3370" s="20" t="s">
        <v>1133</v>
      </c>
      <c r="I3370" s="5"/>
      <c r="J3370" s="20">
        <v>1.0</v>
      </c>
      <c r="K3370" s="20">
        <v>99.0</v>
      </c>
      <c r="L3370" s="20"/>
      <c r="M3370" s="20">
        <v>99.0</v>
      </c>
      <c r="N3370" s="5" t="s">
        <v>67</v>
      </c>
      <c r="O3370" s="20" t="b">
        <v>0</v>
      </c>
      <c r="P3370" s="20" t="s">
        <v>68</v>
      </c>
      <c r="Q3370" s="20" t="s">
        <v>69</v>
      </c>
      <c r="R3370" s="20" t="s">
        <v>4736</v>
      </c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</row>
    <row r="3371">
      <c r="A3371" s="15" t="s">
        <v>11120</v>
      </c>
      <c r="B3371" s="19">
        <v>44475.97361111111</v>
      </c>
      <c r="C3371" s="20">
        <v>50023.0</v>
      </c>
      <c r="D3371" s="20" t="s">
        <v>5598</v>
      </c>
      <c r="E3371" s="5">
        <v>9.19738212989E11</v>
      </c>
      <c r="F3371" s="21">
        <v>19829.0</v>
      </c>
      <c r="G3371" s="20"/>
      <c r="H3371" s="20" t="s">
        <v>5508</v>
      </c>
      <c r="I3371" s="5"/>
      <c r="J3371" s="20">
        <v>1.0</v>
      </c>
      <c r="K3371" s="20">
        <v>99.0</v>
      </c>
      <c r="L3371" s="20"/>
      <c r="M3371" s="20">
        <v>99.0</v>
      </c>
      <c r="N3371" s="5" t="s">
        <v>67</v>
      </c>
      <c r="O3371" s="20" t="b">
        <v>0</v>
      </c>
      <c r="P3371" s="20" t="s">
        <v>68</v>
      </c>
      <c r="Q3371" s="20" t="s">
        <v>69</v>
      </c>
      <c r="R3371" s="20" t="s">
        <v>5510</v>
      </c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</row>
    <row r="3372">
      <c r="A3372" s="15" t="s">
        <v>11291</v>
      </c>
      <c r="B3372" s="19">
        <v>44536.03611111111</v>
      </c>
      <c r="C3372" s="20">
        <v>50023.0</v>
      </c>
      <c r="D3372" s="20" t="s">
        <v>5608</v>
      </c>
      <c r="E3372" s="5">
        <v>9.18789837244E11</v>
      </c>
      <c r="F3372" s="21">
        <v>19902.0</v>
      </c>
      <c r="G3372" s="20"/>
      <c r="H3372" s="20" t="s">
        <v>5508</v>
      </c>
      <c r="I3372" s="5"/>
      <c r="J3372" s="20">
        <v>3.0</v>
      </c>
      <c r="K3372" s="20">
        <v>199.0</v>
      </c>
      <c r="L3372" s="20"/>
      <c r="M3372" s="20">
        <v>199.0</v>
      </c>
      <c r="N3372" s="5" t="s">
        <v>67</v>
      </c>
      <c r="O3372" s="20" t="b">
        <v>0</v>
      </c>
      <c r="P3372" s="20" t="s">
        <v>68</v>
      </c>
      <c r="Q3372" s="20" t="s">
        <v>69</v>
      </c>
      <c r="R3372" s="20" t="s">
        <v>5510</v>
      </c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</row>
    <row r="3373">
      <c r="A3373" s="15" t="s">
        <v>11121</v>
      </c>
      <c r="B3373" s="19">
        <v>44475.98055555556</v>
      </c>
      <c r="C3373" s="20">
        <v>50065.0</v>
      </c>
      <c r="D3373" s="20" t="s">
        <v>2699</v>
      </c>
      <c r="E3373" s="5">
        <v>9.17291925134E11</v>
      </c>
      <c r="F3373" s="21">
        <v>0.0</v>
      </c>
      <c r="G3373" s="20"/>
      <c r="H3373" s="20" t="s">
        <v>2601</v>
      </c>
      <c r="I3373" s="5"/>
      <c r="J3373" s="20">
        <v>1.0</v>
      </c>
      <c r="K3373" s="20">
        <v>349.0</v>
      </c>
      <c r="L3373" s="20"/>
      <c r="M3373" s="20">
        <v>349.0</v>
      </c>
      <c r="N3373" s="5" t="s">
        <v>67</v>
      </c>
      <c r="O3373" s="20" t="b">
        <v>0</v>
      </c>
      <c r="P3373" s="20" t="s">
        <v>68</v>
      </c>
      <c r="Q3373" s="20" t="s">
        <v>69</v>
      </c>
      <c r="R3373" s="20" t="s">
        <v>2604</v>
      </c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</row>
    <row r="3374">
      <c r="A3374" s="15" t="s">
        <v>11287</v>
      </c>
      <c r="B3374" s="19">
        <v>44536.027083333334</v>
      </c>
      <c r="C3374" s="20">
        <v>50044.0</v>
      </c>
      <c r="D3374" s="20" t="s">
        <v>6356</v>
      </c>
      <c r="E3374" s="5">
        <v>9.18411866088E11</v>
      </c>
      <c r="F3374" s="21">
        <v>19901.0</v>
      </c>
      <c r="G3374" s="20"/>
      <c r="H3374" s="20" t="s">
        <v>6320</v>
      </c>
      <c r="I3374" s="5"/>
      <c r="J3374" s="20">
        <v>1.0</v>
      </c>
      <c r="K3374" s="20">
        <v>349.0</v>
      </c>
      <c r="L3374" s="20"/>
      <c r="M3374" s="20">
        <v>349.0</v>
      </c>
      <c r="N3374" s="5" t="s">
        <v>67</v>
      </c>
      <c r="O3374" s="20" t="b">
        <v>0</v>
      </c>
      <c r="P3374" s="20" t="s">
        <v>68</v>
      </c>
      <c r="Q3374" s="20" t="s">
        <v>69</v>
      </c>
      <c r="R3374" s="20" t="s">
        <v>6322</v>
      </c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</row>
    <row r="3375">
      <c r="A3375" s="15" t="s">
        <v>11119</v>
      </c>
      <c r="B3375" s="19">
        <v>44475.96875</v>
      </c>
      <c r="C3375" s="20">
        <v>50086.0</v>
      </c>
      <c r="D3375" s="20" t="s">
        <v>3999</v>
      </c>
      <c r="E3375" s="5">
        <v>9.19871330327E11</v>
      </c>
      <c r="F3375" s="21">
        <v>19828.0</v>
      </c>
      <c r="G3375" s="20"/>
      <c r="H3375" s="20" t="s">
        <v>3986</v>
      </c>
      <c r="I3375" s="5"/>
      <c r="J3375" s="20">
        <v>1.0</v>
      </c>
      <c r="K3375" s="20">
        <v>249.0</v>
      </c>
      <c r="L3375" s="20"/>
      <c r="M3375" s="20">
        <v>249.0</v>
      </c>
      <c r="N3375" s="5" t="s">
        <v>67</v>
      </c>
      <c r="O3375" s="20" t="b">
        <v>0</v>
      </c>
      <c r="P3375" s="20" t="s">
        <v>68</v>
      </c>
      <c r="Q3375" s="20" t="s">
        <v>69</v>
      </c>
      <c r="R3375" s="20" t="s">
        <v>3988</v>
      </c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</row>
    <row r="3376">
      <c r="A3376" s="15" t="s">
        <v>11294</v>
      </c>
      <c r="B3376" s="19">
        <v>44536.049305555556</v>
      </c>
      <c r="C3376" s="20">
        <v>49833.0</v>
      </c>
      <c r="D3376" s="20" t="s">
        <v>4229</v>
      </c>
      <c r="E3376" s="5">
        <v>9.18197653704E11</v>
      </c>
      <c r="F3376" s="21">
        <v>19903.0</v>
      </c>
      <c r="G3376" s="20"/>
      <c r="H3376" s="20" t="s">
        <v>4030</v>
      </c>
      <c r="I3376" s="5"/>
      <c r="J3376" s="20">
        <v>1.0</v>
      </c>
      <c r="K3376" s="20">
        <v>149.0</v>
      </c>
      <c r="L3376" s="20"/>
      <c r="M3376" s="20">
        <v>149.0</v>
      </c>
      <c r="N3376" s="5" t="s">
        <v>67</v>
      </c>
      <c r="O3376" s="20" t="b">
        <v>0</v>
      </c>
      <c r="P3376" s="20" t="s">
        <v>68</v>
      </c>
      <c r="Q3376" s="20" t="s">
        <v>69</v>
      </c>
      <c r="R3376" s="20" t="s">
        <v>4033</v>
      </c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</row>
    <row r="3377">
      <c r="A3377" s="15" t="s">
        <v>11122</v>
      </c>
      <c r="B3377" s="19">
        <v>44475.99930555555</v>
      </c>
      <c r="C3377" s="20">
        <v>49844.0</v>
      </c>
      <c r="D3377" s="20" t="s">
        <v>5496</v>
      </c>
      <c r="E3377" s="5">
        <v>9.19992649292E11</v>
      </c>
      <c r="F3377" s="21">
        <v>19976.0</v>
      </c>
      <c r="G3377" s="20"/>
      <c r="H3377" s="20" t="s">
        <v>885</v>
      </c>
      <c r="I3377" s="5"/>
      <c r="J3377" s="20">
        <v>1.0</v>
      </c>
      <c r="K3377" s="20">
        <v>99.0</v>
      </c>
      <c r="L3377" s="20"/>
      <c r="M3377" s="20">
        <v>99.0</v>
      </c>
      <c r="N3377" s="5" t="s">
        <v>67</v>
      </c>
      <c r="O3377" s="20" t="b">
        <v>0</v>
      </c>
      <c r="P3377" s="20" t="s">
        <v>68</v>
      </c>
      <c r="Q3377" s="20" t="s">
        <v>69</v>
      </c>
      <c r="R3377" s="20" t="s">
        <v>5445</v>
      </c>
      <c r="T3377" s="20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</row>
    <row r="3378">
      <c r="A3378" s="15" t="s">
        <v>11123</v>
      </c>
      <c r="B3378" s="19">
        <v>44506.004166666666</v>
      </c>
      <c r="C3378" s="20">
        <v>50023.0</v>
      </c>
      <c r="D3378" s="20" t="s">
        <v>5599</v>
      </c>
      <c r="E3378" s="5">
        <v>9.19896986611E11</v>
      </c>
      <c r="F3378" s="21">
        <v>19830.0</v>
      </c>
      <c r="G3378" s="20"/>
      <c r="H3378" s="20" t="s">
        <v>5508</v>
      </c>
      <c r="I3378" s="5"/>
      <c r="J3378" s="20">
        <v>1.0</v>
      </c>
      <c r="K3378" s="20">
        <v>99.0</v>
      </c>
      <c r="L3378" s="20"/>
      <c r="M3378" s="20">
        <v>99.0</v>
      </c>
      <c r="N3378" s="5" t="s">
        <v>67</v>
      </c>
      <c r="O3378" s="20" t="b">
        <v>0</v>
      </c>
      <c r="P3378" s="20" t="s">
        <v>68</v>
      </c>
      <c r="Q3378" s="20" t="s">
        <v>69</v>
      </c>
      <c r="R3378" s="20" t="s">
        <v>5510</v>
      </c>
      <c r="T3378" s="20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</row>
    <row r="3379">
      <c r="A3379" s="15" t="s">
        <v>11124</v>
      </c>
      <c r="B3379" s="19">
        <v>44506.02569444444</v>
      </c>
      <c r="C3379" s="20">
        <v>49997.0</v>
      </c>
      <c r="D3379" s="20" t="s">
        <v>2554</v>
      </c>
      <c r="E3379" s="5">
        <v>9.17321988222E11</v>
      </c>
      <c r="F3379" s="21">
        <v>19831.0</v>
      </c>
      <c r="G3379" s="20"/>
      <c r="H3379" s="20" t="s">
        <v>2455</v>
      </c>
      <c r="I3379" s="5"/>
      <c r="J3379" s="20">
        <v>3.0</v>
      </c>
      <c r="K3379" s="20">
        <v>199.0</v>
      </c>
      <c r="L3379" s="20"/>
      <c r="M3379" s="20">
        <v>199.0</v>
      </c>
      <c r="N3379" s="5" t="s">
        <v>67</v>
      </c>
      <c r="O3379" s="20" t="b">
        <v>0</v>
      </c>
      <c r="P3379" s="20" t="s">
        <v>68</v>
      </c>
      <c r="Q3379" s="20" t="s">
        <v>69</v>
      </c>
      <c r="R3379" s="20" t="s">
        <v>2457</v>
      </c>
      <c r="T3379" s="20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</row>
    <row r="3380">
      <c r="A3380" s="15" t="s">
        <v>11297</v>
      </c>
      <c r="B3380" s="19">
        <v>44536.08888888889</v>
      </c>
      <c r="C3380" s="20">
        <v>50030.0</v>
      </c>
      <c r="D3380" s="20" t="s">
        <v>3511</v>
      </c>
      <c r="E3380" s="5">
        <v>9.18111077416E11</v>
      </c>
      <c r="F3380" s="21">
        <v>19904.0</v>
      </c>
      <c r="G3380" s="20"/>
      <c r="H3380" s="20" t="s">
        <v>3326</v>
      </c>
      <c r="I3380" s="5"/>
      <c r="J3380" s="20">
        <v>1.0</v>
      </c>
      <c r="K3380" s="20">
        <v>99.0</v>
      </c>
      <c r="L3380" s="20"/>
      <c r="M3380" s="20">
        <v>99.0</v>
      </c>
      <c r="N3380" s="5" t="s">
        <v>67</v>
      </c>
      <c r="O3380" s="20" t="b">
        <v>0</v>
      </c>
      <c r="P3380" s="20" t="s">
        <v>68</v>
      </c>
      <c r="Q3380" s="20" t="s">
        <v>69</v>
      </c>
      <c r="R3380" s="20" t="s">
        <v>3328</v>
      </c>
      <c r="T3380" s="20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</row>
    <row r="3381">
      <c r="A3381" s="15" t="s">
        <v>11299</v>
      </c>
      <c r="B3381" s="19">
        <v>44536.1125</v>
      </c>
      <c r="C3381" s="20">
        <v>50052.0</v>
      </c>
      <c r="D3381" s="20" t="s">
        <v>4506</v>
      </c>
      <c r="E3381" s="5">
        <v>9.19988487048E11</v>
      </c>
      <c r="F3381" s="21">
        <v>19905.0</v>
      </c>
      <c r="G3381" s="20"/>
      <c r="H3381" s="20" t="s">
        <v>4433</v>
      </c>
      <c r="I3381" s="5"/>
      <c r="J3381" s="20">
        <v>1.0</v>
      </c>
      <c r="K3381" s="20">
        <v>99.0</v>
      </c>
      <c r="L3381" s="20"/>
      <c r="M3381" s="20">
        <v>99.0</v>
      </c>
      <c r="N3381" s="5" t="s">
        <v>67</v>
      </c>
      <c r="O3381" s="20" t="b">
        <v>0</v>
      </c>
      <c r="P3381" s="20" t="s">
        <v>68</v>
      </c>
      <c r="Q3381" s="20" t="s">
        <v>69</v>
      </c>
      <c r="R3381" s="20" t="s">
        <v>4435</v>
      </c>
      <c r="T3381" s="20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</row>
    <row r="3382">
      <c r="A3382" s="15" t="s">
        <v>11125</v>
      </c>
      <c r="B3382" s="19">
        <v>44506.07986111111</v>
      </c>
      <c r="C3382" s="20">
        <v>50039.0</v>
      </c>
      <c r="D3382" s="20" t="s">
        <v>4390</v>
      </c>
      <c r="E3382" s="5">
        <v>9.19960903637E11</v>
      </c>
      <c r="F3382" s="21">
        <v>19832.0</v>
      </c>
      <c r="G3382" s="20"/>
      <c r="H3382" s="20" t="s">
        <v>4341</v>
      </c>
      <c r="I3382" s="5"/>
      <c r="J3382" s="20">
        <v>6.0</v>
      </c>
      <c r="K3382" s="20">
        <v>349.0</v>
      </c>
      <c r="L3382" s="20"/>
      <c r="M3382" s="20">
        <v>349.0</v>
      </c>
      <c r="N3382" s="5" t="s">
        <v>67</v>
      </c>
      <c r="O3382" s="20" t="b">
        <v>0</v>
      </c>
      <c r="P3382" s="20" t="s">
        <v>68</v>
      </c>
      <c r="Q3382" s="20" t="s">
        <v>69</v>
      </c>
      <c r="R3382" s="20" t="s">
        <v>4343</v>
      </c>
      <c r="T3382" s="20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</row>
    <row r="3383">
      <c r="A3383" s="15" t="s">
        <v>11300</v>
      </c>
      <c r="B3383" s="19">
        <v>44536.14444444444</v>
      </c>
      <c r="C3383" s="20">
        <v>50047.0</v>
      </c>
      <c r="D3383" s="20" t="s">
        <v>3279</v>
      </c>
      <c r="E3383" s="5">
        <v>9.19995955888E11</v>
      </c>
      <c r="F3383" s="21">
        <v>0.0</v>
      </c>
      <c r="G3383" s="20"/>
      <c r="H3383" s="20" t="s">
        <v>3195</v>
      </c>
      <c r="I3383" s="5"/>
      <c r="J3383" s="20">
        <v>6.0</v>
      </c>
      <c r="K3383" s="20">
        <v>299.0</v>
      </c>
      <c r="L3383" s="20"/>
      <c r="M3383" s="20">
        <v>299.0</v>
      </c>
      <c r="N3383" s="5" t="s">
        <v>67</v>
      </c>
      <c r="O3383" s="20" t="b">
        <v>0</v>
      </c>
      <c r="P3383" s="20" t="s">
        <v>68</v>
      </c>
      <c r="Q3383" s="20" t="s">
        <v>69</v>
      </c>
      <c r="R3383" s="20" t="s">
        <v>3197</v>
      </c>
      <c r="T3383" s="20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</row>
    <row r="3384">
      <c r="A3384" s="15" t="s">
        <v>11303</v>
      </c>
      <c r="B3384" s="19">
        <v>44536.169444444444</v>
      </c>
      <c r="C3384" s="20">
        <v>50043.0</v>
      </c>
      <c r="D3384" s="20" t="s">
        <v>6432</v>
      </c>
      <c r="E3384" s="5">
        <v>9.19550943152E11</v>
      </c>
      <c r="F3384" s="21">
        <v>19906.0</v>
      </c>
      <c r="G3384" s="20"/>
      <c r="H3384" s="20" t="s">
        <v>6367</v>
      </c>
      <c r="I3384" s="5"/>
      <c r="J3384" s="20">
        <v>1.0</v>
      </c>
      <c r="K3384" s="20">
        <v>99.0</v>
      </c>
      <c r="L3384" s="20"/>
      <c r="M3384" s="20">
        <v>99.0</v>
      </c>
      <c r="N3384" s="5" t="s">
        <v>67</v>
      </c>
      <c r="O3384" s="20" t="b">
        <v>0</v>
      </c>
      <c r="P3384" s="20" t="s">
        <v>68</v>
      </c>
      <c r="Q3384" s="20" t="s">
        <v>69</v>
      </c>
      <c r="R3384" s="20" t="s">
        <v>6369</v>
      </c>
      <c r="T3384" s="20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</row>
    <row r="3385">
      <c r="A3385" s="15" t="s">
        <v>11129</v>
      </c>
      <c r="B3385" s="19">
        <v>44506.2625</v>
      </c>
      <c r="C3385" s="20">
        <v>50086.0</v>
      </c>
      <c r="D3385" s="20" t="s">
        <v>4000</v>
      </c>
      <c r="E3385" s="5">
        <v>9.19819675259E11</v>
      </c>
      <c r="F3385" s="21">
        <v>19833.0</v>
      </c>
      <c r="G3385" s="20"/>
      <c r="H3385" s="20" t="s">
        <v>3986</v>
      </c>
      <c r="I3385" s="5"/>
      <c r="J3385" s="20">
        <v>1.0</v>
      </c>
      <c r="K3385" s="20">
        <v>249.0</v>
      </c>
      <c r="L3385" s="20"/>
      <c r="M3385" s="20">
        <v>249.0</v>
      </c>
      <c r="N3385" s="5" t="s">
        <v>67</v>
      </c>
      <c r="O3385" s="20" t="b">
        <v>0</v>
      </c>
      <c r="P3385" s="20" t="s">
        <v>68</v>
      </c>
      <c r="Q3385" s="20" t="s">
        <v>69</v>
      </c>
      <c r="R3385" s="20" t="s">
        <v>4001</v>
      </c>
      <c r="T3385" s="20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</row>
    <row r="3386">
      <c r="A3386" s="15" t="s">
        <v>11132</v>
      </c>
      <c r="B3386" s="19">
        <v>44506.26597222222</v>
      </c>
      <c r="C3386" s="20">
        <v>49835.0</v>
      </c>
      <c r="D3386" s="20" t="s">
        <v>3943</v>
      </c>
      <c r="E3386" s="5">
        <v>9.18924876557E11</v>
      </c>
      <c r="F3386" s="21">
        <v>19834.0</v>
      </c>
      <c r="G3386" s="20"/>
      <c r="H3386" s="20" t="s">
        <v>680</v>
      </c>
      <c r="I3386" s="5"/>
      <c r="J3386" s="20">
        <v>1.0</v>
      </c>
      <c r="K3386" s="20">
        <v>99.0</v>
      </c>
      <c r="L3386" s="20"/>
      <c r="M3386" s="20">
        <v>99.0</v>
      </c>
      <c r="N3386" s="5" t="s">
        <v>67</v>
      </c>
      <c r="O3386" s="20" t="b">
        <v>0</v>
      </c>
      <c r="P3386" s="20" t="s">
        <v>68</v>
      </c>
      <c r="Q3386" s="20" t="s">
        <v>69</v>
      </c>
      <c r="R3386" s="20" t="s">
        <v>3888</v>
      </c>
      <c r="T3386" s="20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</row>
    <row r="3387">
      <c r="A3387" s="15" t="s">
        <v>11312</v>
      </c>
      <c r="B3387" s="19">
        <v>44536.36041666667</v>
      </c>
      <c r="C3387" s="20">
        <v>50022.0</v>
      </c>
      <c r="D3387" s="20" t="s">
        <v>5295</v>
      </c>
      <c r="E3387" s="5">
        <v>9.19706154411E11</v>
      </c>
      <c r="F3387" s="21">
        <v>19907.0</v>
      </c>
      <c r="G3387" s="20"/>
      <c r="H3387" s="20" t="s">
        <v>5181</v>
      </c>
      <c r="I3387" s="5"/>
      <c r="J3387" s="20">
        <v>3.0</v>
      </c>
      <c r="K3387" s="20">
        <v>199.0</v>
      </c>
      <c r="L3387" s="20"/>
      <c r="M3387" s="20">
        <v>199.0</v>
      </c>
      <c r="N3387" s="5" t="s">
        <v>67</v>
      </c>
      <c r="O3387" s="20" t="b">
        <v>0</v>
      </c>
      <c r="P3387" s="20" t="s">
        <v>68</v>
      </c>
      <c r="Q3387" s="20" t="s">
        <v>69</v>
      </c>
      <c r="R3387" s="20" t="s">
        <v>5183</v>
      </c>
      <c r="T3387" s="20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</row>
    <row r="3388">
      <c r="A3388" s="15" t="s">
        <v>11315</v>
      </c>
      <c r="B3388" s="19">
        <v>44536.381944444445</v>
      </c>
      <c r="C3388" s="20">
        <v>49813.0</v>
      </c>
      <c r="D3388" s="20" t="s">
        <v>5171</v>
      </c>
      <c r="E3388" s="5">
        <v>9.19051955503E11</v>
      </c>
      <c r="F3388" s="21">
        <v>19908.0</v>
      </c>
      <c r="G3388" s="20"/>
      <c r="H3388" s="20" t="s">
        <v>5114</v>
      </c>
      <c r="I3388" s="5"/>
      <c r="J3388" s="20">
        <v>3.0</v>
      </c>
      <c r="K3388" s="20">
        <v>499.0</v>
      </c>
      <c r="L3388" s="20"/>
      <c r="M3388" s="20">
        <v>499.0</v>
      </c>
      <c r="N3388" s="5" t="s">
        <v>67</v>
      </c>
      <c r="O3388" s="20" t="b">
        <v>0</v>
      </c>
      <c r="P3388" s="20" t="s">
        <v>68</v>
      </c>
      <c r="Q3388" s="20" t="s">
        <v>69</v>
      </c>
      <c r="R3388" s="20" t="s">
        <v>5116</v>
      </c>
      <c r="T3388" s="20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</row>
    <row r="3389">
      <c r="A3389" s="15" t="s">
        <v>11320</v>
      </c>
      <c r="B3389" s="19">
        <v>44536.40625</v>
      </c>
      <c r="C3389" s="20">
        <v>50030.0</v>
      </c>
      <c r="D3389" s="20" t="s">
        <v>3512</v>
      </c>
      <c r="E3389" s="5">
        <v>9.19899626999E11</v>
      </c>
      <c r="F3389" s="21">
        <v>16974.0</v>
      </c>
      <c r="G3389" s="20"/>
      <c r="H3389" s="20" t="s">
        <v>3326</v>
      </c>
      <c r="I3389" s="5"/>
      <c r="J3389" s="20">
        <v>1.0</v>
      </c>
      <c r="K3389" s="20">
        <v>99.0</v>
      </c>
      <c r="L3389" s="20"/>
      <c r="M3389" s="20">
        <v>99.0</v>
      </c>
      <c r="N3389" s="5" t="s">
        <v>67</v>
      </c>
      <c r="O3389" s="20" t="b">
        <v>0</v>
      </c>
      <c r="P3389" s="20" t="s">
        <v>68</v>
      </c>
      <c r="Q3389" s="20" t="s">
        <v>69</v>
      </c>
      <c r="R3389" s="20" t="s">
        <v>3328</v>
      </c>
      <c r="T3389" s="20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</row>
    <row r="3390">
      <c r="A3390" s="15" t="s">
        <v>11318</v>
      </c>
      <c r="B3390" s="19">
        <v>44536.39166666667</v>
      </c>
      <c r="C3390" s="20">
        <v>50104.0</v>
      </c>
      <c r="D3390" s="20" t="s">
        <v>3727</v>
      </c>
      <c r="E3390" s="5">
        <v>9.17006196007E11</v>
      </c>
      <c r="F3390" s="21">
        <v>19909.0</v>
      </c>
      <c r="G3390" s="20"/>
      <c r="H3390" s="20" t="s">
        <v>3708</v>
      </c>
      <c r="I3390" s="5"/>
      <c r="J3390" s="20">
        <v>1.0</v>
      </c>
      <c r="K3390" s="20">
        <v>99.0</v>
      </c>
      <c r="L3390" s="20"/>
      <c r="M3390" s="20">
        <v>99.0</v>
      </c>
      <c r="N3390" s="5" t="s">
        <v>67</v>
      </c>
      <c r="O3390" s="20" t="b">
        <v>0</v>
      </c>
      <c r="P3390" s="20" t="s">
        <v>151</v>
      </c>
      <c r="Q3390" s="20" t="s">
        <v>69</v>
      </c>
      <c r="R3390" s="20" t="s">
        <v>3710</v>
      </c>
      <c r="T3390" s="20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</row>
    <row r="3391">
      <c r="A3391" s="1" t="s">
        <v>11772</v>
      </c>
      <c r="B3391" s="19" t="s">
        <v>3542</v>
      </c>
      <c r="C3391" s="20">
        <v>50030.0</v>
      </c>
      <c r="D3391" s="20" t="s">
        <v>3541</v>
      </c>
      <c r="E3391" s="5">
        <v>9.19503201603E11</v>
      </c>
      <c r="F3391" s="21">
        <v>19910.0</v>
      </c>
      <c r="G3391" s="20"/>
      <c r="H3391" s="20" t="s">
        <v>3326</v>
      </c>
      <c r="I3391" s="5"/>
      <c r="J3391" s="20">
        <v>1.0</v>
      </c>
      <c r="K3391" s="20">
        <v>349.0</v>
      </c>
      <c r="L3391" s="20"/>
      <c r="M3391" s="20">
        <v>349.0</v>
      </c>
      <c r="N3391" s="5" t="s">
        <v>67</v>
      </c>
      <c r="O3391" s="20" t="b">
        <v>0</v>
      </c>
      <c r="P3391" s="20" t="s">
        <v>68</v>
      </c>
      <c r="Q3391" s="20" t="s">
        <v>69</v>
      </c>
      <c r="R3391" s="20" t="s">
        <v>3328</v>
      </c>
      <c r="T3391" s="20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</row>
    <row r="3392">
      <c r="A3392" s="15" t="s">
        <v>11319</v>
      </c>
      <c r="B3392" s="19">
        <v>44536.39375</v>
      </c>
      <c r="C3392" s="20">
        <v>49813.0</v>
      </c>
      <c r="D3392" s="20" t="s">
        <v>3541</v>
      </c>
      <c r="E3392" s="5">
        <v>9.19503201603E11</v>
      </c>
      <c r="F3392" s="21">
        <v>19910.0</v>
      </c>
      <c r="G3392" s="20"/>
      <c r="H3392" s="20" t="s">
        <v>5114</v>
      </c>
      <c r="I3392" s="5"/>
      <c r="J3392" s="20">
        <v>3.0</v>
      </c>
      <c r="K3392" s="20">
        <v>499.0</v>
      </c>
      <c r="L3392" s="20"/>
      <c r="M3392" s="20">
        <v>499.0</v>
      </c>
      <c r="N3392" s="5" t="s">
        <v>67</v>
      </c>
      <c r="O3392" s="20" t="b">
        <v>0</v>
      </c>
      <c r="P3392" s="20" t="s">
        <v>68</v>
      </c>
      <c r="Q3392" s="20" t="s">
        <v>69</v>
      </c>
      <c r="R3392" s="20" t="s">
        <v>5116</v>
      </c>
      <c r="T3392" s="20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</row>
    <row r="3393">
      <c r="A3393" s="15" t="s">
        <v>11323</v>
      </c>
      <c r="B3393" s="19">
        <v>44536.416666666664</v>
      </c>
      <c r="C3393" s="20">
        <v>50043.0</v>
      </c>
      <c r="D3393" s="20" t="s">
        <v>6433</v>
      </c>
      <c r="E3393" s="5">
        <v>9.19502485697E11</v>
      </c>
      <c r="F3393" s="21">
        <v>19911.0</v>
      </c>
      <c r="G3393" s="20"/>
      <c r="H3393" s="20" t="s">
        <v>6367</v>
      </c>
      <c r="I3393" s="5"/>
      <c r="J3393" s="20">
        <v>1.0</v>
      </c>
      <c r="K3393" s="20">
        <v>99.0</v>
      </c>
      <c r="L3393" s="20"/>
      <c r="M3393" s="20">
        <v>99.0</v>
      </c>
      <c r="N3393" s="5" t="s">
        <v>67</v>
      </c>
      <c r="O3393" s="20" t="b">
        <v>0</v>
      </c>
      <c r="P3393" s="20" t="s">
        <v>68</v>
      </c>
      <c r="Q3393" s="20" t="s">
        <v>69</v>
      </c>
      <c r="R3393" s="20" t="s">
        <v>6369</v>
      </c>
      <c r="T3393" s="20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</row>
    <row r="3394">
      <c r="A3394" s="15" t="s">
        <v>11327</v>
      </c>
      <c r="B3394" s="19">
        <v>44536.44027777778</v>
      </c>
      <c r="C3394" s="20">
        <v>49996.0</v>
      </c>
      <c r="D3394" s="20" t="s">
        <v>4855</v>
      </c>
      <c r="E3394" s="5">
        <v>9.19730330847E11</v>
      </c>
      <c r="F3394" s="21">
        <v>19912.0</v>
      </c>
      <c r="G3394" s="20"/>
      <c r="H3394" s="20" t="s">
        <v>4796</v>
      </c>
      <c r="I3394" s="5"/>
      <c r="J3394" s="20">
        <v>6.0</v>
      </c>
      <c r="K3394" s="20">
        <v>349.0</v>
      </c>
      <c r="L3394" s="20"/>
      <c r="M3394" s="20">
        <v>349.0</v>
      </c>
      <c r="N3394" s="5" t="s">
        <v>67</v>
      </c>
      <c r="O3394" s="20" t="b">
        <v>0</v>
      </c>
      <c r="P3394" s="20" t="s">
        <v>68</v>
      </c>
      <c r="Q3394" s="20" t="s">
        <v>69</v>
      </c>
      <c r="R3394" s="20" t="s">
        <v>4799</v>
      </c>
      <c r="T3394" s="20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</row>
    <row r="3395">
      <c r="A3395" s="15" t="s">
        <v>11326</v>
      </c>
      <c r="B3395" s="19">
        <v>44536.43263888889</v>
      </c>
      <c r="C3395" s="20">
        <v>49996.0</v>
      </c>
      <c r="D3395" s="20" t="s">
        <v>4854</v>
      </c>
      <c r="E3395" s="5">
        <v>9.1738516545E11</v>
      </c>
      <c r="F3395" s="21">
        <v>19918.0</v>
      </c>
      <c r="G3395" s="20"/>
      <c r="H3395" s="20" t="s">
        <v>4796</v>
      </c>
      <c r="I3395" s="5"/>
      <c r="J3395" s="20">
        <v>1.0</v>
      </c>
      <c r="K3395" s="20">
        <v>99.0</v>
      </c>
      <c r="L3395" s="20"/>
      <c r="M3395" s="20">
        <v>99.0</v>
      </c>
      <c r="N3395" s="5" t="s">
        <v>67</v>
      </c>
      <c r="O3395" s="20" t="b">
        <v>0</v>
      </c>
      <c r="P3395" s="20" t="s">
        <v>68</v>
      </c>
      <c r="Q3395" s="20" t="s">
        <v>69</v>
      </c>
      <c r="R3395" s="20" t="s">
        <v>4799</v>
      </c>
      <c r="T3395" s="20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</row>
    <row r="3396">
      <c r="A3396" s="15" t="s">
        <v>11328</v>
      </c>
      <c r="B3396" s="19">
        <v>44536.458333333336</v>
      </c>
      <c r="C3396" s="20">
        <v>50043.0</v>
      </c>
      <c r="D3396" s="20" t="s">
        <v>6434</v>
      </c>
      <c r="E3396" s="5">
        <v>9.18884733798E11</v>
      </c>
      <c r="F3396" s="21">
        <v>19913.0</v>
      </c>
      <c r="G3396" s="20"/>
      <c r="H3396" s="20" t="s">
        <v>6367</v>
      </c>
      <c r="I3396" s="5"/>
      <c r="J3396" s="20">
        <v>1.0</v>
      </c>
      <c r="K3396" s="20">
        <v>99.0</v>
      </c>
      <c r="L3396" s="20"/>
      <c r="M3396" s="20">
        <v>99.0</v>
      </c>
      <c r="N3396" s="5" t="s">
        <v>67</v>
      </c>
      <c r="O3396" s="20" t="b">
        <v>0</v>
      </c>
      <c r="P3396" s="20" t="s">
        <v>97</v>
      </c>
      <c r="Q3396" s="20" t="s">
        <v>69</v>
      </c>
      <c r="R3396" s="20" t="s">
        <v>6369</v>
      </c>
      <c r="T3396" s="20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</row>
    <row r="3397">
      <c r="A3397" s="15" t="s">
        <v>11329</v>
      </c>
      <c r="B3397" s="19">
        <v>44536.47222222222</v>
      </c>
      <c r="C3397" s="20">
        <v>50030.0</v>
      </c>
      <c r="D3397" s="20" t="s">
        <v>3513</v>
      </c>
      <c r="E3397" s="5">
        <v>9.19628433919E11</v>
      </c>
      <c r="F3397" s="21">
        <v>19914.0</v>
      </c>
      <c r="G3397" s="20"/>
      <c r="H3397" s="20" t="s">
        <v>3326</v>
      </c>
      <c r="I3397" s="5"/>
      <c r="J3397" s="20">
        <v>1.0</v>
      </c>
      <c r="K3397" s="20">
        <v>99.0</v>
      </c>
      <c r="L3397" s="20"/>
      <c r="M3397" s="20">
        <v>99.0</v>
      </c>
      <c r="N3397" s="5" t="s">
        <v>67</v>
      </c>
      <c r="O3397" s="20" t="b">
        <v>0</v>
      </c>
      <c r="P3397" s="20" t="s">
        <v>68</v>
      </c>
      <c r="Q3397" s="20" t="s">
        <v>69</v>
      </c>
      <c r="R3397" s="20" t="s">
        <v>3328</v>
      </c>
      <c r="T3397" s="20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</row>
    <row r="3398">
      <c r="A3398" s="15" t="s">
        <v>11330</v>
      </c>
      <c r="B3398" s="19">
        <v>44536.50555555556</v>
      </c>
      <c r="C3398" s="20">
        <v>49907.0</v>
      </c>
      <c r="D3398" s="20" t="s">
        <v>3842</v>
      </c>
      <c r="E3398" s="5">
        <v>9.19381831659E11</v>
      </c>
      <c r="F3398" s="21">
        <v>19915.0</v>
      </c>
      <c r="G3398" s="20"/>
      <c r="H3398" s="20" t="s">
        <v>587</v>
      </c>
      <c r="I3398" s="5"/>
      <c r="J3398" s="20">
        <v>3.0</v>
      </c>
      <c r="K3398" s="20">
        <v>199.0</v>
      </c>
      <c r="L3398" s="20"/>
      <c r="M3398" s="20">
        <v>199.0</v>
      </c>
      <c r="N3398" s="5" t="s">
        <v>67</v>
      </c>
      <c r="O3398" s="20" t="b">
        <v>0</v>
      </c>
      <c r="P3398" s="20" t="s">
        <v>68</v>
      </c>
      <c r="Q3398" s="20" t="s">
        <v>69</v>
      </c>
      <c r="R3398" s="20" t="s">
        <v>3774</v>
      </c>
      <c r="T3398" s="20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</row>
    <row r="3399">
      <c r="A3399" s="15" t="s">
        <v>11338</v>
      </c>
      <c r="B3399" s="19">
        <v>44536.527083333334</v>
      </c>
      <c r="C3399" s="20">
        <v>50029.0</v>
      </c>
      <c r="D3399" s="20" t="s">
        <v>287</v>
      </c>
      <c r="E3399" s="5">
        <v>9.19752391479E11</v>
      </c>
      <c r="F3399" s="21">
        <v>16472.0</v>
      </c>
      <c r="G3399" s="20"/>
      <c r="H3399" s="20" t="s">
        <v>2761</v>
      </c>
      <c r="I3399" s="5"/>
      <c r="J3399" s="20">
        <v>3.0</v>
      </c>
      <c r="K3399" s="20">
        <v>199.0</v>
      </c>
      <c r="L3399" s="20"/>
      <c r="M3399" s="20">
        <v>199.0</v>
      </c>
      <c r="N3399" s="5" t="s">
        <v>67</v>
      </c>
      <c r="O3399" s="20" t="b">
        <v>0</v>
      </c>
      <c r="P3399" s="20" t="s">
        <v>68</v>
      </c>
      <c r="Q3399" s="20" t="s">
        <v>69</v>
      </c>
      <c r="R3399" s="20" t="s">
        <v>2876</v>
      </c>
      <c r="T3399" s="20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</row>
    <row r="3400">
      <c r="A3400" s="15" t="s">
        <v>11339</v>
      </c>
      <c r="B3400" s="19">
        <v>44536.55347222222</v>
      </c>
      <c r="C3400" s="20">
        <v>50073.0</v>
      </c>
      <c r="D3400" s="20" t="s">
        <v>6571</v>
      </c>
      <c r="E3400" s="5">
        <v>9.19999888018E11</v>
      </c>
      <c r="F3400" s="21">
        <v>0.0</v>
      </c>
      <c r="G3400" s="20"/>
      <c r="H3400" s="20" t="s">
        <v>2161</v>
      </c>
      <c r="I3400" s="5"/>
      <c r="J3400" s="20">
        <v>1.0</v>
      </c>
      <c r="K3400" s="20">
        <v>799.0</v>
      </c>
      <c r="L3400" s="20"/>
      <c r="M3400" s="20">
        <v>799.0</v>
      </c>
      <c r="N3400" s="5" t="s">
        <v>67</v>
      </c>
      <c r="O3400" s="20" t="b">
        <v>0</v>
      </c>
      <c r="P3400" s="20" t="s">
        <v>68</v>
      </c>
      <c r="Q3400" s="20" t="s">
        <v>69</v>
      </c>
      <c r="R3400" s="20" t="s">
        <v>6497</v>
      </c>
      <c r="T3400" s="20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</row>
    <row r="3401">
      <c r="A3401" s="15" t="s">
        <v>11345</v>
      </c>
      <c r="B3401" s="19">
        <v>44536.59097222222</v>
      </c>
      <c r="C3401" s="20">
        <v>50023.0</v>
      </c>
      <c r="D3401" s="20" t="s">
        <v>5609</v>
      </c>
      <c r="E3401" s="5">
        <v>9.19337562517E11</v>
      </c>
      <c r="F3401" s="21">
        <v>19917.0</v>
      </c>
      <c r="G3401" s="20"/>
      <c r="H3401" s="20" t="s">
        <v>5508</v>
      </c>
      <c r="I3401" s="5"/>
      <c r="J3401" s="20">
        <v>1.0</v>
      </c>
      <c r="K3401" s="20">
        <v>99.0</v>
      </c>
      <c r="L3401" s="20"/>
      <c r="M3401" s="20">
        <v>99.0</v>
      </c>
      <c r="N3401" s="5" t="s">
        <v>67</v>
      </c>
      <c r="O3401" s="20" t="b">
        <v>0</v>
      </c>
      <c r="P3401" s="20" t="s">
        <v>68</v>
      </c>
      <c r="Q3401" s="20" t="s">
        <v>69</v>
      </c>
      <c r="R3401" s="20" t="s">
        <v>5510</v>
      </c>
      <c r="T3401" s="20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</row>
    <row r="3402">
      <c r="A3402" s="15" t="s">
        <v>11344</v>
      </c>
      <c r="B3402" s="19">
        <v>44536.58888888889</v>
      </c>
      <c r="C3402" s="20">
        <v>49991.0</v>
      </c>
      <c r="D3402" s="20" t="s">
        <v>3163</v>
      </c>
      <c r="E3402" s="5">
        <v>9.19886040796E11</v>
      </c>
      <c r="F3402" s="22" t="s">
        <v>12593</v>
      </c>
      <c r="G3402" s="20"/>
      <c r="H3402" s="20" t="s">
        <v>3055</v>
      </c>
      <c r="I3402" s="5"/>
      <c r="J3402" s="20">
        <v>3.0</v>
      </c>
      <c r="K3402" s="20">
        <v>199.0</v>
      </c>
      <c r="L3402" s="20"/>
      <c r="M3402" s="20">
        <v>199.0</v>
      </c>
      <c r="N3402" s="5" t="s">
        <v>67</v>
      </c>
      <c r="O3402" s="20" t="b">
        <v>0</v>
      </c>
      <c r="P3402" s="20" t="s">
        <v>68</v>
      </c>
      <c r="Q3402" s="20" t="s">
        <v>69</v>
      </c>
      <c r="R3402" s="20" t="s">
        <v>3057</v>
      </c>
      <c r="T3402" s="20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</row>
    <row r="3403">
      <c r="A3403" s="1" t="s">
        <v>11927</v>
      </c>
      <c r="B3403" s="19" t="s">
        <v>3054</v>
      </c>
      <c r="C3403" s="20">
        <v>50020.0</v>
      </c>
      <c r="D3403" s="20" t="s">
        <v>3053</v>
      </c>
      <c r="E3403" s="5">
        <v>9.18769792927E11</v>
      </c>
      <c r="F3403" s="22" t="s">
        <v>12593</v>
      </c>
      <c r="G3403" s="20"/>
      <c r="H3403" s="20" t="s">
        <v>3008</v>
      </c>
      <c r="I3403" s="5"/>
      <c r="J3403" s="20">
        <v>1.0</v>
      </c>
      <c r="K3403" s="20">
        <v>99.0</v>
      </c>
      <c r="L3403" s="20"/>
      <c r="M3403" s="20">
        <v>99.0</v>
      </c>
      <c r="N3403" s="5" t="s">
        <v>67</v>
      </c>
      <c r="O3403" s="20" t="b">
        <v>0</v>
      </c>
      <c r="P3403" s="20" t="s">
        <v>68</v>
      </c>
      <c r="Q3403" s="20" t="s">
        <v>69</v>
      </c>
      <c r="R3403" s="20" t="s">
        <v>3010</v>
      </c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</row>
    <row r="3404">
      <c r="A3404" s="15" t="s">
        <v>11350</v>
      </c>
      <c r="B3404" s="19">
        <v>44536.60625</v>
      </c>
      <c r="C3404" s="20">
        <v>50086.0</v>
      </c>
      <c r="D3404" s="20" t="s">
        <v>3053</v>
      </c>
      <c r="E3404" s="5">
        <v>9.18769792927E11</v>
      </c>
      <c r="F3404" s="21">
        <v>3163.0</v>
      </c>
      <c r="G3404" s="20"/>
      <c r="H3404" s="20" t="s">
        <v>3986</v>
      </c>
      <c r="I3404" s="5"/>
      <c r="J3404" s="20">
        <v>1.0</v>
      </c>
      <c r="K3404" s="20">
        <v>249.0</v>
      </c>
      <c r="L3404" s="20"/>
      <c r="M3404" s="20">
        <v>249.0</v>
      </c>
      <c r="N3404" s="5" t="s">
        <v>67</v>
      </c>
      <c r="O3404" s="20" t="b">
        <v>0</v>
      </c>
      <c r="P3404" s="20" t="s">
        <v>68</v>
      </c>
      <c r="Q3404" s="20" t="s">
        <v>69</v>
      </c>
      <c r="R3404" s="20" t="s">
        <v>4001</v>
      </c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</row>
    <row r="3405">
      <c r="A3405" s="15" t="s">
        <v>11349</v>
      </c>
      <c r="B3405" s="19" t="s">
        <v>5945</v>
      </c>
      <c r="C3405" s="20">
        <v>50054.0</v>
      </c>
      <c r="D3405" s="20" t="s">
        <v>5944</v>
      </c>
      <c r="E3405" s="5">
        <v>9.19476172172E11</v>
      </c>
      <c r="F3405" s="21">
        <v>19983.0</v>
      </c>
      <c r="G3405" s="20"/>
      <c r="H3405" s="20" t="s">
        <v>5822</v>
      </c>
      <c r="I3405" s="5"/>
      <c r="J3405" s="20">
        <v>3.0</v>
      </c>
      <c r="K3405" s="20">
        <v>199.0</v>
      </c>
      <c r="L3405" s="20"/>
      <c r="M3405" s="20">
        <v>199.0</v>
      </c>
      <c r="N3405" s="5" t="s">
        <v>67</v>
      </c>
      <c r="O3405" s="20" t="b">
        <v>0</v>
      </c>
      <c r="P3405" s="20" t="s">
        <v>151</v>
      </c>
      <c r="Q3405" s="20" t="s">
        <v>69</v>
      </c>
      <c r="R3405" s="20" t="s">
        <v>5824</v>
      </c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</row>
    <row r="3406">
      <c r="A3406" s="15" t="s">
        <v>11351</v>
      </c>
      <c r="B3406" s="19">
        <v>44536.62986111111</v>
      </c>
      <c r="C3406" s="20">
        <v>50086.0</v>
      </c>
      <c r="D3406" s="20" t="s">
        <v>4005</v>
      </c>
      <c r="E3406" s="5">
        <v>9.18055382304E11</v>
      </c>
      <c r="F3406" s="21">
        <v>19919.0</v>
      </c>
      <c r="G3406" s="20"/>
      <c r="H3406" s="20" t="s">
        <v>3986</v>
      </c>
      <c r="I3406" s="5"/>
      <c r="J3406" s="20">
        <v>1.0</v>
      </c>
      <c r="K3406" s="20">
        <v>249.0</v>
      </c>
      <c r="L3406" s="20"/>
      <c r="M3406" s="20">
        <v>249.0</v>
      </c>
      <c r="N3406" s="5" t="s">
        <v>67</v>
      </c>
      <c r="O3406" s="20" t="b">
        <v>0</v>
      </c>
      <c r="P3406" s="20" t="s">
        <v>68</v>
      </c>
      <c r="Q3406" s="20" t="s">
        <v>69</v>
      </c>
      <c r="R3406" s="20" t="s">
        <v>3988</v>
      </c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</row>
    <row r="3407">
      <c r="A3407" s="15" t="s">
        <v>11363</v>
      </c>
      <c r="B3407" s="19">
        <v>44536.65902777778</v>
      </c>
      <c r="C3407" s="20">
        <v>50052.0</v>
      </c>
      <c r="D3407" s="20" t="s">
        <v>4507</v>
      </c>
      <c r="E3407" s="5">
        <v>9.18867534485E11</v>
      </c>
      <c r="F3407" s="21">
        <v>19920.0</v>
      </c>
      <c r="G3407" s="20"/>
      <c r="H3407" s="20" t="s">
        <v>4433</v>
      </c>
      <c r="I3407" s="5"/>
      <c r="J3407" s="20">
        <v>3.0</v>
      </c>
      <c r="K3407" s="20">
        <v>199.0</v>
      </c>
      <c r="L3407" s="20"/>
      <c r="M3407" s="20">
        <v>199.0</v>
      </c>
      <c r="N3407" s="5" t="s">
        <v>67</v>
      </c>
      <c r="O3407" s="20" t="b">
        <v>0</v>
      </c>
      <c r="P3407" s="20" t="s">
        <v>68</v>
      </c>
      <c r="Q3407" s="20" t="s">
        <v>69</v>
      </c>
      <c r="R3407" s="20" t="s">
        <v>4435</v>
      </c>
      <c r="T3407" s="20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</row>
    <row r="3408">
      <c r="A3408" s="15" t="s">
        <v>11364</v>
      </c>
      <c r="B3408" s="19">
        <v>44536.68541666667</v>
      </c>
      <c r="C3408" s="20">
        <v>49833.0</v>
      </c>
      <c r="D3408" s="20" t="s">
        <v>4230</v>
      </c>
      <c r="E3408" s="5">
        <v>9.1999974073E11</v>
      </c>
      <c r="F3408" s="21">
        <v>19921.0</v>
      </c>
      <c r="G3408" s="20"/>
      <c r="H3408" s="20" t="s">
        <v>4030</v>
      </c>
      <c r="I3408" s="5"/>
      <c r="J3408" s="20">
        <v>6.0</v>
      </c>
      <c r="K3408" s="20">
        <v>449.0</v>
      </c>
      <c r="L3408" s="20"/>
      <c r="M3408" s="20">
        <v>449.0</v>
      </c>
      <c r="N3408" s="5" t="s">
        <v>67</v>
      </c>
      <c r="O3408" s="20" t="b">
        <v>0</v>
      </c>
      <c r="P3408" s="20" t="s">
        <v>68</v>
      </c>
      <c r="Q3408" s="20" t="s">
        <v>69</v>
      </c>
      <c r="R3408" s="20" t="s">
        <v>4033</v>
      </c>
      <c r="T3408" s="20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</row>
    <row r="3409">
      <c r="A3409" s="15" t="s">
        <v>11365</v>
      </c>
      <c r="B3409" s="19">
        <v>44536.69583333333</v>
      </c>
      <c r="C3409" s="20">
        <v>50104.0</v>
      </c>
      <c r="D3409" s="20" t="s">
        <v>3728</v>
      </c>
      <c r="E3409" s="5">
        <v>9.19881995594E11</v>
      </c>
      <c r="F3409" s="21">
        <v>19922.0</v>
      </c>
      <c r="G3409" s="20"/>
      <c r="H3409" s="20" t="s">
        <v>3708</v>
      </c>
      <c r="I3409" s="5"/>
      <c r="J3409" s="20">
        <v>1.0</v>
      </c>
      <c r="K3409" s="20">
        <v>99.0</v>
      </c>
      <c r="L3409" s="20"/>
      <c r="M3409" s="20">
        <v>99.0</v>
      </c>
      <c r="N3409" s="5" t="s">
        <v>67</v>
      </c>
      <c r="O3409" s="20" t="b">
        <v>0</v>
      </c>
      <c r="P3409" s="20" t="s">
        <v>68</v>
      </c>
      <c r="Q3409" s="20" t="s">
        <v>69</v>
      </c>
      <c r="R3409" s="20" t="s">
        <v>3710</v>
      </c>
      <c r="T3409" s="20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</row>
    <row r="3410">
      <c r="A3410" s="15" t="s">
        <v>11370</v>
      </c>
      <c r="B3410" s="19">
        <v>44536.74166666667</v>
      </c>
      <c r="C3410" s="20">
        <v>49833.0</v>
      </c>
      <c r="D3410" s="20" t="s">
        <v>4231</v>
      </c>
      <c r="E3410" s="5">
        <v>9.18669167266E11</v>
      </c>
      <c r="F3410" s="21">
        <v>19924.0</v>
      </c>
      <c r="G3410" s="20"/>
      <c r="H3410" s="20" t="s">
        <v>4030</v>
      </c>
      <c r="I3410" s="5"/>
      <c r="J3410" s="20">
        <v>1.0</v>
      </c>
      <c r="K3410" s="20">
        <v>149.0</v>
      </c>
      <c r="L3410" s="20"/>
      <c r="M3410" s="20">
        <v>149.0</v>
      </c>
      <c r="N3410" s="5" t="s">
        <v>67</v>
      </c>
      <c r="O3410" s="20" t="b">
        <v>0</v>
      </c>
      <c r="P3410" s="20" t="s">
        <v>74</v>
      </c>
      <c r="Q3410" s="20" t="s">
        <v>69</v>
      </c>
      <c r="R3410" s="20" t="s">
        <v>4033</v>
      </c>
      <c r="T3410" s="20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</row>
    <row r="3411">
      <c r="A3411" s="15" t="s">
        <v>11371</v>
      </c>
      <c r="B3411" s="19" t="s">
        <v>2594</v>
      </c>
      <c r="C3411" s="20">
        <v>49997.0</v>
      </c>
      <c r="D3411" s="20" t="s">
        <v>2593</v>
      </c>
      <c r="E3411" s="5">
        <v>9.19582646447E11</v>
      </c>
      <c r="F3411" s="21">
        <v>20297.0</v>
      </c>
      <c r="G3411" s="20"/>
      <c r="H3411" s="20" t="s">
        <v>2455</v>
      </c>
      <c r="I3411" s="5"/>
      <c r="J3411" s="20">
        <v>1.0</v>
      </c>
      <c r="K3411" s="20">
        <v>99.0</v>
      </c>
      <c r="L3411" s="20"/>
      <c r="M3411" s="20">
        <v>99.0</v>
      </c>
      <c r="N3411" s="5" t="s">
        <v>67</v>
      </c>
      <c r="O3411" s="20" t="b">
        <v>0</v>
      </c>
      <c r="P3411" s="20" t="s">
        <v>68</v>
      </c>
      <c r="Q3411" s="20" t="s">
        <v>69</v>
      </c>
      <c r="R3411" s="20" t="s">
        <v>2457</v>
      </c>
      <c r="T3411" s="20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</row>
    <row r="3412">
      <c r="A3412" s="15" t="s">
        <v>11377</v>
      </c>
      <c r="B3412" s="19">
        <v>44536.76736111111</v>
      </c>
      <c r="C3412" s="20">
        <v>50104.0</v>
      </c>
      <c r="D3412" s="20" t="s">
        <v>3729</v>
      </c>
      <c r="E3412" s="5">
        <v>9.1974876393E11</v>
      </c>
      <c r="F3412" s="21">
        <v>19925.0</v>
      </c>
      <c r="G3412" s="20"/>
      <c r="H3412" s="20" t="s">
        <v>3708</v>
      </c>
      <c r="I3412" s="5"/>
      <c r="J3412" s="20">
        <v>1.0</v>
      </c>
      <c r="K3412" s="20">
        <v>99.0</v>
      </c>
      <c r="L3412" s="20"/>
      <c r="M3412" s="20">
        <v>99.0</v>
      </c>
      <c r="N3412" s="5" t="s">
        <v>67</v>
      </c>
      <c r="O3412" s="20" t="b">
        <v>0</v>
      </c>
      <c r="P3412" s="20" t="s">
        <v>74</v>
      </c>
      <c r="Q3412" s="20" t="s">
        <v>69</v>
      </c>
      <c r="R3412" s="20" t="s">
        <v>3710</v>
      </c>
      <c r="T3412" s="20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</row>
    <row r="3413">
      <c r="A3413" s="15" t="s">
        <v>11564</v>
      </c>
      <c r="B3413" s="19" t="s">
        <v>5617</v>
      </c>
      <c r="C3413" s="20">
        <v>50023.0</v>
      </c>
      <c r="D3413" s="20" t="s">
        <v>5616</v>
      </c>
      <c r="E3413" s="5">
        <v>9.17643978998E11</v>
      </c>
      <c r="F3413" s="21">
        <v>19991.0</v>
      </c>
      <c r="G3413" s="20"/>
      <c r="H3413" s="20" t="s">
        <v>5508</v>
      </c>
      <c r="I3413" s="5"/>
      <c r="J3413" s="20">
        <v>1.0</v>
      </c>
      <c r="K3413" s="20">
        <v>99.0</v>
      </c>
      <c r="L3413" s="20"/>
      <c r="M3413" s="20">
        <v>99.0</v>
      </c>
      <c r="N3413" s="5" t="s">
        <v>67</v>
      </c>
      <c r="O3413" s="20" t="b">
        <v>0</v>
      </c>
      <c r="P3413" s="20" t="s">
        <v>68</v>
      </c>
      <c r="Q3413" s="20" t="s">
        <v>69</v>
      </c>
      <c r="R3413" s="20" t="s">
        <v>5510</v>
      </c>
      <c r="T3413" s="20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</row>
    <row r="3414">
      <c r="A3414" s="15" t="s">
        <v>11385</v>
      </c>
      <c r="B3414" s="19" t="s">
        <v>5953</v>
      </c>
      <c r="C3414" s="20">
        <v>50054.0</v>
      </c>
      <c r="D3414" s="20" t="s">
        <v>5952</v>
      </c>
      <c r="E3414" s="5">
        <v>9.18218695021E11</v>
      </c>
      <c r="F3414" s="21">
        <v>20098.0</v>
      </c>
      <c r="G3414" s="20"/>
      <c r="H3414" s="20" t="s">
        <v>5822</v>
      </c>
      <c r="I3414" s="5"/>
      <c r="J3414" s="20">
        <v>6.0</v>
      </c>
      <c r="K3414" s="20">
        <v>349.0</v>
      </c>
      <c r="L3414" s="20"/>
      <c r="M3414" s="20">
        <v>349.0</v>
      </c>
      <c r="N3414" s="5" t="s">
        <v>67</v>
      </c>
      <c r="O3414" s="20" t="b">
        <v>0</v>
      </c>
      <c r="P3414" s="20" t="s">
        <v>74</v>
      </c>
      <c r="Q3414" s="20" t="s">
        <v>69</v>
      </c>
      <c r="R3414" s="20" t="s">
        <v>5921</v>
      </c>
      <c r="T3414" s="20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</row>
    <row r="3415">
      <c r="A3415" s="15" t="s">
        <v>11570</v>
      </c>
      <c r="B3415" s="19" t="s">
        <v>4010</v>
      </c>
      <c r="C3415" s="20">
        <v>50086.0</v>
      </c>
      <c r="D3415" s="20" t="s">
        <v>4009</v>
      </c>
      <c r="E3415" s="5">
        <v>9.19905403893E11</v>
      </c>
      <c r="F3415" s="21">
        <v>19990.0</v>
      </c>
      <c r="G3415" s="20"/>
      <c r="H3415" s="20" t="s">
        <v>3986</v>
      </c>
      <c r="I3415" s="5"/>
      <c r="J3415" s="20">
        <v>1.0</v>
      </c>
      <c r="K3415" s="20">
        <v>249.0</v>
      </c>
      <c r="L3415" s="20"/>
      <c r="M3415" s="20">
        <v>249.0</v>
      </c>
      <c r="N3415" s="5" t="s">
        <v>67</v>
      </c>
      <c r="O3415" s="20" t="b">
        <v>0</v>
      </c>
      <c r="P3415" s="20" t="s">
        <v>68</v>
      </c>
      <c r="Q3415" s="20" t="s">
        <v>69</v>
      </c>
      <c r="R3415" s="20" t="s">
        <v>3988</v>
      </c>
      <c r="T3415" s="20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</row>
    <row r="3416">
      <c r="A3416" s="15" t="s">
        <v>11565</v>
      </c>
      <c r="B3416" s="19" t="s">
        <v>6443</v>
      </c>
      <c r="C3416" s="20">
        <v>50043.0</v>
      </c>
      <c r="D3416" s="20" t="s">
        <v>6442</v>
      </c>
      <c r="E3416" s="5">
        <v>9.17007637726E11</v>
      </c>
      <c r="F3416" s="21">
        <v>19987.0</v>
      </c>
      <c r="G3416" s="20"/>
      <c r="H3416" s="20" t="s">
        <v>6367</v>
      </c>
      <c r="I3416" s="5"/>
      <c r="J3416" s="20">
        <v>1.0</v>
      </c>
      <c r="K3416" s="20">
        <v>99.0</v>
      </c>
      <c r="L3416" s="20"/>
      <c r="M3416" s="20">
        <v>99.0</v>
      </c>
      <c r="N3416" s="5" t="s">
        <v>67</v>
      </c>
      <c r="O3416" s="20" t="b">
        <v>0</v>
      </c>
      <c r="P3416" s="20" t="s">
        <v>68</v>
      </c>
      <c r="Q3416" s="20" t="s">
        <v>69</v>
      </c>
      <c r="R3416" s="20" t="s">
        <v>6369</v>
      </c>
      <c r="T3416" s="20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</row>
    <row r="3417">
      <c r="A3417" s="15" t="s">
        <v>11571</v>
      </c>
      <c r="B3417" s="19" t="s">
        <v>5619</v>
      </c>
      <c r="C3417" s="20">
        <v>50023.0</v>
      </c>
      <c r="D3417" s="20" t="s">
        <v>5618</v>
      </c>
      <c r="E3417" s="5">
        <v>9.18866868669E11</v>
      </c>
      <c r="F3417" s="21">
        <v>19992.0</v>
      </c>
      <c r="G3417" s="20"/>
      <c r="H3417" s="20" t="s">
        <v>5508</v>
      </c>
      <c r="I3417" s="5"/>
      <c r="J3417" s="20">
        <v>1.0</v>
      </c>
      <c r="K3417" s="20">
        <v>99.0</v>
      </c>
      <c r="L3417" s="20"/>
      <c r="M3417" s="20">
        <v>99.0</v>
      </c>
      <c r="N3417" s="5" t="s">
        <v>67</v>
      </c>
      <c r="O3417" s="20" t="b">
        <v>0</v>
      </c>
      <c r="P3417" s="20" t="s">
        <v>68</v>
      </c>
      <c r="Q3417" s="20" t="s">
        <v>69</v>
      </c>
      <c r="R3417" s="20" t="s">
        <v>5510</v>
      </c>
      <c r="T3417" s="20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</row>
    <row r="3418">
      <c r="A3418" s="15" t="s">
        <v>11567</v>
      </c>
      <c r="B3418" s="19" t="s">
        <v>3167</v>
      </c>
      <c r="C3418" s="20">
        <v>49833.0</v>
      </c>
      <c r="D3418" s="20" t="s">
        <v>4236</v>
      </c>
      <c r="E3418" s="5">
        <v>9.17605977705E11</v>
      </c>
      <c r="F3418" s="21">
        <v>19988.0</v>
      </c>
      <c r="G3418" s="20"/>
      <c r="H3418" s="20" t="s">
        <v>4030</v>
      </c>
      <c r="I3418" s="5"/>
      <c r="J3418" s="20">
        <v>3.0</v>
      </c>
      <c r="K3418" s="20">
        <v>299.0</v>
      </c>
      <c r="L3418" s="20"/>
      <c r="M3418" s="20">
        <v>299.0</v>
      </c>
      <c r="N3418" s="5" t="s">
        <v>67</v>
      </c>
      <c r="O3418" s="20" t="b">
        <v>0</v>
      </c>
      <c r="P3418" s="20" t="s">
        <v>68</v>
      </c>
      <c r="Q3418" s="20" t="s">
        <v>69</v>
      </c>
      <c r="R3418" s="20" t="s">
        <v>4033</v>
      </c>
      <c r="T3418" s="20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</row>
    <row r="3419">
      <c r="A3419" s="15" t="s">
        <v>11575</v>
      </c>
      <c r="B3419" s="19" t="s">
        <v>3849</v>
      </c>
      <c r="C3419" s="20">
        <v>49907.0</v>
      </c>
      <c r="D3419" s="20" t="s">
        <v>3848</v>
      </c>
      <c r="E3419" s="5">
        <v>9.19890928205E11</v>
      </c>
      <c r="F3419" s="22" t="s">
        <v>12593</v>
      </c>
      <c r="G3419" s="20"/>
      <c r="H3419" s="20" t="s">
        <v>587</v>
      </c>
      <c r="I3419" s="5"/>
      <c r="J3419" s="20">
        <v>1.0</v>
      </c>
      <c r="K3419" s="20">
        <v>99.0</v>
      </c>
      <c r="L3419" s="20"/>
      <c r="M3419" s="20">
        <v>99.0</v>
      </c>
      <c r="N3419" s="5" t="s">
        <v>67</v>
      </c>
      <c r="O3419" s="20" t="b">
        <v>0</v>
      </c>
      <c r="P3419" s="20" t="s">
        <v>68</v>
      </c>
      <c r="Q3419" s="20" t="s">
        <v>69</v>
      </c>
      <c r="R3419" s="20" t="s">
        <v>3774</v>
      </c>
      <c r="T3419" s="20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</row>
    <row r="3420">
      <c r="A3420" s="15" t="s">
        <v>11576</v>
      </c>
      <c r="B3420" s="19" t="s">
        <v>6573</v>
      </c>
      <c r="C3420" s="20">
        <v>50073.0</v>
      </c>
      <c r="D3420" s="20" t="s">
        <v>6572</v>
      </c>
      <c r="E3420" s="5">
        <v>9.18650001204E11</v>
      </c>
      <c r="F3420" s="21">
        <v>0.0</v>
      </c>
      <c r="G3420" s="20"/>
      <c r="H3420" s="20" t="s">
        <v>2161</v>
      </c>
      <c r="I3420" s="5"/>
      <c r="J3420" s="20">
        <v>1.0</v>
      </c>
      <c r="K3420" s="20">
        <v>799.0</v>
      </c>
      <c r="L3420" s="20"/>
      <c r="M3420" s="20">
        <v>799.0</v>
      </c>
      <c r="N3420" s="5" t="s">
        <v>67</v>
      </c>
      <c r="O3420" s="20" t="b">
        <v>0</v>
      </c>
      <c r="P3420" s="20" t="s">
        <v>97</v>
      </c>
      <c r="Q3420" s="20" t="s">
        <v>69</v>
      </c>
      <c r="R3420" s="20" t="s">
        <v>6563</v>
      </c>
      <c r="T3420" s="20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</row>
    <row r="3421">
      <c r="A3421" s="15" t="s">
        <v>11389</v>
      </c>
      <c r="B3421" s="19">
        <v>44536.845138888886</v>
      </c>
      <c r="C3421" s="20">
        <v>49998.0</v>
      </c>
      <c r="D3421" s="20" t="s">
        <v>6306</v>
      </c>
      <c r="E3421" s="5">
        <v>9.18853595117E11</v>
      </c>
      <c r="F3421" s="21">
        <v>19927.0</v>
      </c>
      <c r="G3421" s="20"/>
      <c r="H3421" s="20" t="s">
        <v>6250</v>
      </c>
      <c r="I3421" s="5"/>
      <c r="J3421" s="20">
        <v>1.0</v>
      </c>
      <c r="K3421" s="20">
        <v>99.0</v>
      </c>
      <c r="L3421" s="20"/>
      <c r="M3421" s="20">
        <v>99.0</v>
      </c>
      <c r="N3421" s="5" t="s">
        <v>67</v>
      </c>
      <c r="O3421" s="20" t="b">
        <v>0</v>
      </c>
      <c r="P3421" s="20" t="s">
        <v>151</v>
      </c>
      <c r="Q3421" s="20" t="s">
        <v>69</v>
      </c>
      <c r="R3421" s="20" t="s">
        <v>6252</v>
      </c>
      <c r="T3421" s="20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</row>
    <row r="3422">
      <c r="A3422" s="15" t="s">
        <v>11577</v>
      </c>
      <c r="B3422" s="19" t="s">
        <v>4515</v>
      </c>
      <c r="C3422" s="20">
        <v>50052.0</v>
      </c>
      <c r="D3422" s="20" t="s">
        <v>4514</v>
      </c>
      <c r="E3422" s="5">
        <v>9.17045856108E11</v>
      </c>
      <c r="F3422" s="21">
        <v>19993.0</v>
      </c>
      <c r="G3422" s="20"/>
      <c r="H3422" s="20" t="s">
        <v>4433</v>
      </c>
      <c r="I3422" s="5"/>
      <c r="J3422" s="20">
        <v>1.0</v>
      </c>
      <c r="K3422" s="20">
        <v>99.0</v>
      </c>
      <c r="L3422" s="20"/>
      <c r="M3422" s="20">
        <v>99.0</v>
      </c>
      <c r="N3422" s="5" t="s">
        <v>67</v>
      </c>
      <c r="O3422" s="20" t="b">
        <v>0</v>
      </c>
      <c r="P3422" s="20" t="s">
        <v>151</v>
      </c>
      <c r="Q3422" s="20" t="s">
        <v>69</v>
      </c>
      <c r="R3422" s="20" t="s">
        <v>4435</v>
      </c>
      <c r="T3422" s="20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</row>
    <row r="3423">
      <c r="A3423" s="15" t="s">
        <v>11390</v>
      </c>
      <c r="B3423" s="19">
        <v>44536.85</v>
      </c>
      <c r="C3423" s="20">
        <v>50030.0</v>
      </c>
      <c r="D3423" s="20" t="s">
        <v>3514</v>
      </c>
      <c r="E3423" s="5">
        <v>9.1790819378E11</v>
      </c>
      <c r="F3423" s="21">
        <v>19928.0</v>
      </c>
      <c r="G3423" s="20"/>
      <c r="H3423" s="20" t="s">
        <v>3326</v>
      </c>
      <c r="I3423" s="5"/>
      <c r="J3423" s="20">
        <v>1.0</v>
      </c>
      <c r="K3423" s="20">
        <v>99.0</v>
      </c>
      <c r="L3423" s="20"/>
      <c r="M3423" s="20">
        <v>99.0</v>
      </c>
      <c r="N3423" s="5" t="s">
        <v>67</v>
      </c>
      <c r="O3423" s="20" t="b">
        <v>0</v>
      </c>
      <c r="P3423" s="20" t="s">
        <v>151</v>
      </c>
      <c r="Q3423" s="20" t="s">
        <v>69</v>
      </c>
      <c r="R3423" s="20" t="s">
        <v>3505</v>
      </c>
      <c r="T3423" s="20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</row>
    <row r="3424">
      <c r="A3424" s="15" t="s">
        <v>11579</v>
      </c>
      <c r="B3424" s="19" t="s">
        <v>3851</v>
      </c>
      <c r="C3424" s="20">
        <v>49907.0</v>
      </c>
      <c r="D3424" s="20" t="s">
        <v>3850</v>
      </c>
      <c r="E3424" s="5">
        <v>9.19901218564E11</v>
      </c>
      <c r="F3424" s="21">
        <v>19994.0</v>
      </c>
      <c r="G3424" s="20"/>
      <c r="H3424" s="20" t="s">
        <v>587</v>
      </c>
      <c r="I3424" s="5"/>
      <c r="J3424" s="20">
        <v>1.0</v>
      </c>
      <c r="K3424" s="20">
        <v>99.0</v>
      </c>
      <c r="L3424" s="20"/>
      <c r="M3424" s="20">
        <v>99.0</v>
      </c>
      <c r="N3424" s="5" t="s">
        <v>67</v>
      </c>
      <c r="O3424" s="20" t="b">
        <v>0</v>
      </c>
      <c r="P3424" s="20" t="s">
        <v>151</v>
      </c>
      <c r="Q3424" s="20" t="s">
        <v>69</v>
      </c>
      <c r="R3424" s="20" t="s">
        <v>3774</v>
      </c>
      <c r="T3424" s="20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</row>
    <row r="3425">
      <c r="A3425" s="15" t="s">
        <v>11391</v>
      </c>
      <c r="B3425" s="19">
        <v>44536.85625</v>
      </c>
      <c r="C3425" s="20">
        <v>49997.0</v>
      </c>
      <c r="D3425" s="20" t="s">
        <v>2556</v>
      </c>
      <c r="E3425" s="5">
        <v>9.19677235852E11</v>
      </c>
      <c r="F3425" s="21">
        <v>19929.0</v>
      </c>
      <c r="G3425" s="20"/>
      <c r="H3425" s="20" t="s">
        <v>2455</v>
      </c>
      <c r="I3425" s="5"/>
      <c r="J3425" s="20">
        <v>1.0</v>
      </c>
      <c r="K3425" s="20">
        <v>99.0</v>
      </c>
      <c r="L3425" s="20"/>
      <c r="M3425" s="20">
        <v>99.0</v>
      </c>
      <c r="N3425" s="5" t="s">
        <v>67</v>
      </c>
      <c r="O3425" s="20" t="b">
        <v>0</v>
      </c>
      <c r="P3425" s="20" t="s">
        <v>151</v>
      </c>
      <c r="Q3425" s="20" t="s">
        <v>69</v>
      </c>
      <c r="R3425" s="20" t="s">
        <v>2457</v>
      </c>
      <c r="T3425" s="20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</row>
    <row r="3426">
      <c r="A3426" s="15" t="s">
        <v>11392</v>
      </c>
      <c r="B3426" s="19">
        <v>44536.85902777778</v>
      </c>
      <c r="C3426" s="20">
        <v>50023.0</v>
      </c>
      <c r="D3426" s="20" t="s">
        <v>5610</v>
      </c>
      <c r="E3426" s="5">
        <v>9.17744870296E11</v>
      </c>
      <c r="F3426" s="21">
        <v>19930.0</v>
      </c>
      <c r="G3426" s="20"/>
      <c r="H3426" s="20" t="s">
        <v>5508</v>
      </c>
      <c r="I3426" s="5"/>
      <c r="J3426" s="20">
        <v>1.0</v>
      </c>
      <c r="K3426" s="20">
        <v>99.0</v>
      </c>
      <c r="L3426" s="20"/>
      <c r="M3426" s="20">
        <v>99.0</v>
      </c>
      <c r="N3426" s="5" t="s">
        <v>67</v>
      </c>
      <c r="O3426" s="20" t="b">
        <v>0</v>
      </c>
      <c r="P3426" s="20" t="s">
        <v>151</v>
      </c>
      <c r="Q3426" s="20" t="s">
        <v>69</v>
      </c>
      <c r="R3426" s="20" t="s">
        <v>5510</v>
      </c>
      <c r="T3426" s="20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</row>
    <row r="3427">
      <c r="A3427" s="15" t="s">
        <v>11388</v>
      </c>
      <c r="B3427" s="19">
        <v>44536.84166666667</v>
      </c>
      <c r="C3427" s="20">
        <v>49833.0</v>
      </c>
      <c r="D3427" s="20" t="s">
        <v>189</v>
      </c>
      <c r="E3427" s="5">
        <v>9.1910822943E11</v>
      </c>
      <c r="F3427" s="21">
        <v>16263.0</v>
      </c>
      <c r="G3427" s="20"/>
      <c r="H3427" s="20" t="s">
        <v>4030</v>
      </c>
      <c r="I3427" s="5"/>
      <c r="J3427" s="20">
        <v>3.0</v>
      </c>
      <c r="K3427" s="20">
        <v>299.0</v>
      </c>
      <c r="L3427" s="20"/>
      <c r="M3427" s="20">
        <v>299.0</v>
      </c>
      <c r="N3427" s="5" t="s">
        <v>67</v>
      </c>
      <c r="O3427" s="20" t="b">
        <v>0</v>
      </c>
      <c r="P3427" s="20" t="s">
        <v>68</v>
      </c>
      <c r="Q3427" s="20" t="s">
        <v>69</v>
      </c>
      <c r="R3427" s="20" t="s">
        <v>4232</v>
      </c>
      <c r="T3427" s="20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</row>
    <row r="3428">
      <c r="A3428" s="15" t="s">
        <v>11580</v>
      </c>
      <c r="B3428" s="19" t="s">
        <v>5061</v>
      </c>
      <c r="C3428" s="20">
        <v>50043.0</v>
      </c>
      <c r="D3428" s="20" t="s">
        <v>6444</v>
      </c>
      <c r="E3428" s="5">
        <v>9.196669536E11</v>
      </c>
      <c r="F3428" s="21">
        <v>19995.0</v>
      </c>
      <c r="G3428" s="20"/>
      <c r="H3428" s="20" t="s">
        <v>6367</v>
      </c>
      <c r="I3428" s="5"/>
      <c r="J3428" s="20">
        <v>1.0</v>
      </c>
      <c r="K3428" s="20">
        <v>99.0</v>
      </c>
      <c r="L3428" s="20"/>
      <c r="M3428" s="20">
        <v>99.0</v>
      </c>
      <c r="N3428" s="5" t="s">
        <v>67</v>
      </c>
      <c r="O3428" s="20" t="b">
        <v>0</v>
      </c>
      <c r="P3428" s="20" t="s">
        <v>68</v>
      </c>
      <c r="Q3428" s="20" t="s">
        <v>69</v>
      </c>
      <c r="R3428" s="20" t="s">
        <v>6369</v>
      </c>
      <c r="T3428" s="20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</row>
    <row r="3429">
      <c r="A3429" s="15" t="s">
        <v>11581</v>
      </c>
      <c r="B3429" s="19" t="s">
        <v>5061</v>
      </c>
      <c r="C3429" s="20">
        <v>50094.0</v>
      </c>
      <c r="D3429" s="20" t="s">
        <v>5060</v>
      </c>
      <c r="E3429" s="5">
        <v>9.16363220815E11</v>
      </c>
      <c r="F3429" s="22" t="s">
        <v>12593</v>
      </c>
      <c r="G3429" s="20"/>
      <c r="H3429" s="20" t="s">
        <v>4942</v>
      </c>
      <c r="I3429" s="5"/>
      <c r="J3429" s="20">
        <v>1.0</v>
      </c>
      <c r="K3429" s="20">
        <v>199.0</v>
      </c>
      <c r="L3429" s="20"/>
      <c r="M3429" s="20">
        <v>199.0</v>
      </c>
      <c r="N3429" s="5" t="s">
        <v>67</v>
      </c>
      <c r="O3429" s="20" t="b">
        <v>0</v>
      </c>
      <c r="P3429" s="20" t="s">
        <v>74</v>
      </c>
      <c r="Q3429" s="20" t="s">
        <v>69</v>
      </c>
      <c r="R3429" s="20" t="s">
        <v>4945</v>
      </c>
      <c r="T3429" s="20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</row>
    <row r="3430">
      <c r="A3430" s="15" t="s">
        <v>11584</v>
      </c>
      <c r="B3430" s="19" t="s">
        <v>3523</v>
      </c>
      <c r="C3430" s="20">
        <v>50030.0</v>
      </c>
      <c r="D3430" s="20" t="s">
        <v>3522</v>
      </c>
      <c r="E3430" s="5">
        <v>9.19739963138E11</v>
      </c>
      <c r="F3430" s="21">
        <v>19996.0</v>
      </c>
      <c r="G3430" s="20"/>
      <c r="H3430" s="20" t="s">
        <v>3326</v>
      </c>
      <c r="I3430" s="5"/>
      <c r="J3430" s="20">
        <v>1.0</v>
      </c>
      <c r="K3430" s="20">
        <v>99.0</v>
      </c>
      <c r="L3430" s="20"/>
      <c r="M3430" s="20">
        <v>99.0</v>
      </c>
      <c r="N3430" s="5" t="s">
        <v>67</v>
      </c>
      <c r="O3430" s="20" t="b">
        <v>0</v>
      </c>
      <c r="P3430" s="20" t="s">
        <v>68</v>
      </c>
      <c r="Q3430" s="20" t="s">
        <v>69</v>
      </c>
      <c r="R3430" s="20" t="s">
        <v>3328</v>
      </c>
      <c r="T3430" s="20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</row>
    <row r="3431">
      <c r="A3431" s="15" t="s">
        <v>11404</v>
      </c>
      <c r="B3431" s="19">
        <v>44536.88888888889</v>
      </c>
      <c r="C3431" s="20">
        <v>50029.0</v>
      </c>
      <c r="D3431" s="20" t="s">
        <v>2889</v>
      </c>
      <c r="E3431" s="5">
        <v>9.1722888847E11</v>
      </c>
      <c r="F3431" s="21">
        <v>19934.0</v>
      </c>
      <c r="G3431" s="20"/>
      <c r="H3431" s="20" t="s">
        <v>2761</v>
      </c>
      <c r="I3431" s="5"/>
      <c r="J3431" s="20">
        <v>1.0</v>
      </c>
      <c r="K3431" s="20">
        <v>99.0</v>
      </c>
      <c r="L3431" s="20"/>
      <c r="M3431" s="20">
        <v>99.0</v>
      </c>
      <c r="N3431" s="5" t="s">
        <v>67</v>
      </c>
      <c r="O3431" s="20" t="b">
        <v>0</v>
      </c>
      <c r="P3431" s="20" t="s">
        <v>68</v>
      </c>
      <c r="Q3431" s="20" t="s">
        <v>69</v>
      </c>
      <c r="R3431" s="20" t="s">
        <v>2763</v>
      </c>
      <c r="T3431" s="20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</row>
    <row r="3432">
      <c r="A3432" s="15" t="s">
        <v>11400</v>
      </c>
      <c r="B3432" s="19">
        <v>44536.90347222222</v>
      </c>
      <c r="C3432" s="20">
        <v>50023.0</v>
      </c>
      <c r="D3432" s="20" t="s">
        <v>5611</v>
      </c>
      <c r="E3432" s="5">
        <v>9.19699764241E11</v>
      </c>
      <c r="F3432" s="21">
        <v>0.0</v>
      </c>
      <c r="G3432" s="20"/>
      <c r="H3432" s="20" t="s">
        <v>5508</v>
      </c>
      <c r="I3432" s="5"/>
      <c r="J3432" s="20">
        <v>1.0</v>
      </c>
      <c r="K3432" s="20">
        <v>99.0</v>
      </c>
      <c r="L3432" s="20"/>
      <c r="M3432" s="20">
        <v>99.0</v>
      </c>
      <c r="N3432" s="5" t="s">
        <v>67</v>
      </c>
      <c r="O3432" s="20" t="b">
        <v>0</v>
      </c>
      <c r="P3432" s="20" t="s">
        <v>151</v>
      </c>
      <c r="Q3432" s="20" t="s">
        <v>69</v>
      </c>
      <c r="R3432" s="20" t="s">
        <v>5584</v>
      </c>
      <c r="T3432" s="20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</row>
    <row r="3433">
      <c r="A3433" s="15" t="s">
        <v>11405</v>
      </c>
      <c r="B3433" s="19">
        <v>44536.89375</v>
      </c>
      <c r="C3433" s="20">
        <v>49833.0</v>
      </c>
      <c r="D3433" s="20" t="s">
        <v>4233</v>
      </c>
      <c r="E3433" s="5">
        <v>9.18788034988E11</v>
      </c>
      <c r="F3433" s="21">
        <v>19935.0</v>
      </c>
      <c r="G3433" s="20"/>
      <c r="H3433" s="20" t="s">
        <v>4030</v>
      </c>
      <c r="I3433" s="5"/>
      <c r="J3433" s="20">
        <v>1.0</v>
      </c>
      <c r="K3433" s="20">
        <v>149.0</v>
      </c>
      <c r="L3433" s="20"/>
      <c r="M3433" s="20">
        <v>149.0</v>
      </c>
      <c r="N3433" s="5" t="s">
        <v>67</v>
      </c>
      <c r="O3433" s="20" t="b">
        <v>0</v>
      </c>
      <c r="P3433" s="20" t="s">
        <v>68</v>
      </c>
      <c r="Q3433" s="20" t="s">
        <v>69</v>
      </c>
      <c r="R3433" s="20" t="s">
        <v>4033</v>
      </c>
      <c r="T3433" s="20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</row>
    <row r="3434">
      <c r="A3434" s="15" t="s">
        <v>11586</v>
      </c>
      <c r="B3434" s="19" t="s">
        <v>5621</v>
      </c>
      <c r="C3434" s="20">
        <v>50023.0</v>
      </c>
      <c r="D3434" s="20" t="s">
        <v>5620</v>
      </c>
      <c r="E3434" s="5">
        <v>9.18819015555E11</v>
      </c>
      <c r="F3434" s="21">
        <v>19998.0</v>
      </c>
      <c r="G3434" s="20"/>
      <c r="H3434" s="20" t="s">
        <v>5508</v>
      </c>
      <c r="I3434" s="5"/>
      <c r="J3434" s="20">
        <v>1.0</v>
      </c>
      <c r="K3434" s="20">
        <v>99.0</v>
      </c>
      <c r="L3434" s="20"/>
      <c r="M3434" s="20">
        <v>99.0</v>
      </c>
      <c r="N3434" s="5" t="s">
        <v>67</v>
      </c>
      <c r="O3434" s="20" t="b">
        <v>0</v>
      </c>
      <c r="P3434" s="20" t="s">
        <v>68</v>
      </c>
      <c r="Q3434" s="20" t="s">
        <v>69</v>
      </c>
      <c r="R3434" s="20" t="s">
        <v>5510</v>
      </c>
      <c r="T3434" s="20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</row>
    <row r="3435">
      <c r="A3435" s="15" t="s">
        <v>11406</v>
      </c>
      <c r="B3435" s="19">
        <v>44536.89375</v>
      </c>
      <c r="C3435" s="20">
        <v>49996.0</v>
      </c>
      <c r="D3435" s="20" t="s">
        <v>4856</v>
      </c>
      <c r="E3435" s="5">
        <v>9.1776056774E11</v>
      </c>
      <c r="F3435" s="21">
        <v>19941.0</v>
      </c>
      <c r="G3435" s="20"/>
      <c r="H3435" s="20" t="s">
        <v>4796</v>
      </c>
      <c r="I3435" s="5"/>
      <c r="J3435" s="20">
        <v>1.0</v>
      </c>
      <c r="K3435" s="20">
        <v>99.0</v>
      </c>
      <c r="L3435" s="20"/>
      <c r="M3435" s="20">
        <v>99.0</v>
      </c>
      <c r="N3435" s="5" t="s">
        <v>67</v>
      </c>
      <c r="O3435" s="20" t="b">
        <v>0</v>
      </c>
      <c r="P3435" s="20" t="s">
        <v>68</v>
      </c>
      <c r="Q3435" s="20" t="s">
        <v>69</v>
      </c>
      <c r="R3435" s="20" t="s">
        <v>4799</v>
      </c>
      <c r="T3435" s="20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</row>
    <row r="3436">
      <c r="A3436" s="15" t="s">
        <v>11401</v>
      </c>
      <c r="B3436" s="19">
        <v>44536.87847222222</v>
      </c>
      <c r="C3436" s="20">
        <v>49994.0</v>
      </c>
      <c r="D3436" s="20" t="s">
        <v>6656</v>
      </c>
      <c r="E3436" s="5">
        <v>9.18329794326E11</v>
      </c>
      <c r="F3436" s="21">
        <v>19931.0</v>
      </c>
      <c r="G3436" s="20"/>
      <c r="H3436" s="20" t="s">
        <v>1264</v>
      </c>
      <c r="I3436" s="5"/>
      <c r="J3436" s="20">
        <v>1.0</v>
      </c>
      <c r="K3436" s="20">
        <v>99.0</v>
      </c>
      <c r="L3436" s="20"/>
      <c r="M3436" s="20">
        <v>99.0</v>
      </c>
      <c r="N3436" s="5" t="s">
        <v>67</v>
      </c>
      <c r="O3436" s="20" t="b">
        <v>0</v>
      </c>
      <c r="P3436" s="20" t="s">
        <v>68</v>
      </c>
      <c r="Q3436" s="20" t="s">
        <v>69</v>
      </c>
      <c r="R3436" s="20" t="s">
        <v>6615</v>
      </c>
      <c r="T3436" s="20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</row>
    <row r="3437">
      <c r="A3437" s="15" t="s">
        <v>11585</v>
      </c>
      <c r="B3437" s="19" t="s">
        <v>3525</v>
      </c>
      <c r="C3437" s="20">
        <v>50030.0</v>
      </c>
      <c r="D3437" s="20" t="s">
        <v>3524</v>
      </c>
      <c r="E3437" s="5">
        <v>9.19529934008E11</v>
      </c>
      <c r="F3437" s="21">
        <v>19997.0</v>
      </c>
      <c r="G3437" s="20"/>
      <c r="H3437" s="20" t="s">
        <v>3326</v>
      </c>
      <c r="I3437" s="5"/>
      <c r="J3437" s="20">
        <v>1.0</v>
      </c>
      <c r="K3437" s="20">
        <v>99.0</v>
      </c>
      <c r="L3437" s="20"/>
      <c r="M3437" s="20">
        <v>99.0</v>
      </c>
      <c r="N3437" s="5" t="s">
        <v>67</v>
      </c>
      <c r="O3437" s="20" t="b">
        <v>0</v>
      </c>
      <c r="P3437" s="20" t="s">
        <v>68</v>
      </c>
      <c r="Q3437" s="20" t="s">
        <v>69</v>
      </c>
      <c r="R3437" s="20" t="s">
        <v>3328</v>
      </c>
      <c r="T3437" s="20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</row>
    <row r="3438">
      <c r="A3438" s="15" t="s">
        <v>11413</v>
      </c>
      <c r="B3438" s="19">
        <v>44536.90625</v>
      </c>
      <c r="C3438" s="20">
        <v>50086.0</v>
      </c>
      <c r="D3438" s="20" t="s">
        <v>4006</v>
      </c>
      <c r="E3438" s="5">
        <v>9.18171055284E11</v>
      </c>
      <c r="F3438" s="21">
        <v>19937.0</v>
      </c>
      <c r="G3438" s="20"/>
      <c r="H3438" s="20" t="s">
        <v>3986</v>
      </c>
      <c r="I3438" s="5"/>
      <c r="J3438" s="20">
        <v>1.0</v>
      </c>
      <c r="K3438" s="20">
        <v>249.0</v>
      </c>
      <c r="L3438" s="20"/>
      <c r="M3438" s="20">
        <v>249.0</v>
      </c>
      <c r="N3438" s="5" t="s">
        <v>67</v>
      </c>
      <c r="O3438" s="20" t="b">
        <v>0</v>
      </c>
      <c r="P3438" s="20" t="s">
        <v>74</v>
      </c>
      <c r="Q3438" s="20" t="s">
        <v>69</v>
      </c>
      <c r="R3438" s="20" t="s">
        <v>3988</v>
      </c>
      <c r="T3438" s="20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</row>
    <row r="3439">
      <c r="A3439" s="15" t="s">
        <v>11597</v>
      </c>
      <c r="B3439" s="19" t="s">
        <v>4517</v>
      </c>
      <c r="C3439" s="20">
        <v>50052.0</v>
      </c>
      <c r="D3439" s="20" t="s">
        <v>4516</v>
      </c>
      <c r="E3439" s="5">
        <v>9.19899144734E11</v>
      </c>
      <c r="F3439" s="21">
        <v>20002.0</v>
      </c>
      <c r="G3439" s="20"/>
      <c r="H3439" s="20" t="s">
        <v>4433</v>
      </c>
      <c r="I3439" s="5"/>
      <c r="J3439" s="20">
        <v>1.0</v>
      </c>
      <c r="K3439" s="20">
        <v>99.0</v>
      </c>
      <c r="L3439" s="20"/>
      <c r="M3439" s="20">
        <v>99.0</v>
      </c>
      <c r="N3439" s="5" t="s">
        <v>67</v>
      </c>
      <c r="O3439" s="20" t="b">
        <v>0</v>
      </c>
      <c r="P3439" s="20" t="s">
        <v>68</v>
      </c>
      <c r="Q3439" s="20" t="s">
        <v>69</v>
      </c>
      <c r="R3439" s="20" t="s">
        <v>4435</v>
      </c>
      <c r="T3439" s="20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</row>
    <row r="3440">
      <c r="A3440" s="15" t="s">
        <v>11589</v>
      </c>
      <c r="B3440" s="19" t="s">
        <v>3734</v>
      </c>
      <c r="C3440" s="20">
        <v>50104.0</v>
      </c>
      <c r="D3440" s="20" t="s">
        <v>3733</v>
      </c>
      <c r="E3440" s="5">
        <v>9.1779565864E11</v>
      </c>
      <c r="F3440" s="21">
        <v>19999.0</v>
      </c>
      <c r="G3440" s="20"/>
      <c r="H3440" s="20" t="s">
        <v>3708</v>
      </c>
      <c r="I3440" s="5"/>
      <c r="J3440" s="20">
        <v>1.0</v>
      </c>
      <c r="K3440" s="20">
        <v>99.0</v>
      </c>
      <c r="L3440" s="20"/>
      <c r="M3440" s="20">
        <v>99.0</v>
      </c>
      <c r="N3440" s="5" t="s">
        <v>67</v>
      </c>
      <c r="O3440" s="20" t="b">
        <v>0</v>
      </c>
      <c r="P3440" s="20" t="s">
        <v>68</v>
      </c>
      <c r="Q3440" s="20" t="s">
        <v>69</v>
      </c>
      <c r="R3440" s="20" t="s">
        <v>3716</v>
      </c>
      <c r="T3440" s="20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</row>
    <row r="3441">
      <c r="A3441" s="15" t="s">
        <v>11598</v>
      </c>
      <c r="B3441" s="19" t="s">
        <v>4417</v>
      </c>
      <c r="C3441" s="20">
        <v>50110.0</v>
      </c>
      <c r="D3441" s="20" t="s">
        <v>4416</v>
      </c>
      <c r="E3441" s="5">
        <v>9.19581414567E11</v>
      </c>
      <c r="F3441" s="21">
        <v>20003.0</v>
      </c>
      <c r="G3441" s="20"/>
      <c r="H3441" s="20" t="s">
        <v>4399</v>
      </c>
      <c r="I3441" s="5"/>
      <c r="J3441" s="20">
        <v>1.0</v>
      </c>
      <c r="K3441" s="20">
        <v>99.0</v>
      </c>
      <c r="L3441" s="20"/>
      <c r="M3441" s="20">
        <v>99.0</v>
      </c>
      <c r="N3441" s="5" t="s">
        <v>67</v>
      </c>
      <c r="O3441" s="20" t="b">
        <v>0</v>
      </c>
      <c r="P3441" s="20" t="s">
        <v>68</v>
      </c>
      <c r="Q3441" s="20" t="s">
        <v>69</v>
      </c>
      <c r="R3441" s="20" t="s">
        <v>4402</v>
      </c>
      <c r="T3441" s="20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</row>
    <row r="3442">
      <c r="A3442" s="15" t="s">
        <v>11417</v>
      </c>
      <c r="B3442" s="19">
        <v>44536.9125</v>
      </c>
      <c r="C3442" s="20">
        <v>49991.0</v>
      </c>
      <c r="D3442" s="20" t="s">
        <v>3164</v>
      </c>
      <c r="E3442" s="5">
        <v>9.17772877279E11</v>
      </c>
      <c r="F3442" s="21">
        <v>19936.0</v>
      </c>
      <c r="G3442" s="20"/>
      <c r="H3442" s="20" t="s">
        <v>3055</v>
      </c>
      <c r="I3442" s="5"/>
      <c r="J3442" s="20">
        <v>6.0</v>
      </c>
      <c r="K3442" s="20">
        <v>349.0</v>
      </c>
      <c r="L3442" s="20"/>
      <c r="M3442" s="20">
        <v>349.0</v>
      </c>
      <c r="N3442" s="5" t="s">
        <v>67</v>
      </c>
      <c r="O3442" s="20" t="b">
        <v>0</v>
      </c>
      <c r="P3442" s="20" t="s">
        <v>74</v>
      </c>
      <c r="Q3442" s="20" t="s">
        <v>69</v>
      </c>
      <c r="R3442" s="20" t="s">
        <v>3057</v>
      </c>
      <c r="T3442" s="20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</row>
    <row r="3443">
      <c r="A3443" s="15" t="s">
        <v>11418</v>
      </c>
      <c r="B3443" s="19">
        <v>44536.92013888889</v>
      </c>
      <c r="C3443" s="20">
        <v>49994.0</v>
      </c>
      <c r="D3443" s="20" t="s">
        <v>6657</v>
      </c>
      <c r="E3443" s="5">
        <v>9.1740450535E11</v>
      </c>
      <c r="F3443" s="21">
        <v>19940.0</v>
      </c>
      <c r="G3443" s="20"/>
      <c r="H3443" s="20" t="s">
        <v>1264</v>
      </c>
      <c r="I3443" s="5"/>
      <c r="J3443" s="20">
        <v>1.0</v>
      </c>
      <c r="K3443" s="20">
        <v>99.0</v>
      </c>
      <c r="L3443" s="20"/>
      <c r="M3443" s="20">
        <v>99.0</v>
      </c>
      <c r="N3443" s="5" t="s">
        <v>67</v>
      </c>
      <c r="O3443" s="20" t="b">
        <v>0</v>
      </c>
      <c r="P3443" s="20" t="s">
        <v>151</v>
      </c>
      <c r="Q3443" s="20" t="s">
        <v>69</v>
      </c>
      <c r="R3443" s="20" t="s">
        <v>6615</v>
      </c>
      <c r="T3443" s="20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</row>
    <row r="3444">
      <c r="A3444" s="15" t="s">
        <v>11419</v>
      </c>
      <c r="B3444" s="19">
        <v>44536.915972222225</v>
      </c>
      <c r="C3444" s="20">
        <v>50052.0</v>
      </c>
      <c r="D3444" s="20" t="s">
        <v>4508</v>
      </c>
      <c r="E3444" s="5">
        <v>9.19004343795E11</v>
      </c>
      <c r="F3444" s="21">
        <v>19939.0</v>
      </c>
      <c r="G3444" s="20"/>
      <c r="H3444" s="20" t="s">
        <v>4433</v>
      </c>
      <c r="I3444" s="5"/>
      <c r="J3444" s="20">
        <v>1.0</v>
      </c>
      <c r="K3444" s="20">
        <v>99.0</v>
      </c>
      <c r="L3444" s="20"/>
      <c r="M3444" s="20">
        <v>99.0</v>
      </c>
      <c r="N3444" s="5" t="s">
        <v>67</v>
      </c>
      <c r="O3444" s="20" t="b">
        <v>0</v>
      </c>
      <c r="P3444" s="20" t="s">
        <v>68</v>
      </c>
      <c r="Q3444" s="20" t="s">
        <v>69</v>
      </c>
      <c r="R3444" s="20" t="s">
        <v>4435</v>
      </c>
      <c r="T3444" s="20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</row>
    <row r="3445">
      <c r="A3445" s="15" t="s">
        <v>11593</v>
      </c>
      <c r="B3445" s="19" t="s">
        <v>3736</v>
      </c>
      <c r="C3445" s="20">
        <v>50104.0</v>
      </c>
      <c r="D3445" s="20" t="s">
        <v>3735</v>
      </c>
      <c r="E3445" s="5">
        <v>9.17416560803E11</v>
      </c>
      <c r="F3445" s="21">
        <v>20004.0</v>
      </c>
      <c r="G3445" s="20"/>
      <c r="H3445" s="20" t="s">
        <v>3708</v>
      </c>
      <c r="I3445" s="5"/>
      <c r="J3445" s="20">
        <v>3.0</v>
      </c>
      <c r="K3445" s="20">
        <v>199.0</v>
      </c>
      <c r="L3445" s="20"/>
      <c r="M3445" s="20">
        <v>199.0</v>
      </c>
      <c r="N3445" s="5" t="s">
        <v>67</v>
      </c>
      <c r="O3445" s="20" t="b">
        <v>0</v>
      </c>
      <c r="P3445" s="20" t="s">
        <v>68</v>
      </c>
      <c r="Q3445" s="20" t="s">
        <v>69</v>
      </c>
      <c r="R3445" s="20" t="s">
        <v>3710</v>
      </c>
      <c r="T3445" s="20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</row>
    <row r="3446">
      <c r="A3446" s="15" t="s">
        <v>11433</v>
      </c>
      <c r="B3446" s="19">
        <v>44536.936111111114</v>
      </c>
      <c r="C3446" s="20">
        <v>50104.0</v>
      </c>
      <c r="D3446" s="20" t="s">
        <v>3730</v>
      </c>
      <c r="E3446" s="5">
        <v>9.1941912044E11</v>
      </c>
      <c r="F3446" s="21">
        <v>19942.0</v>
      </c>
      <c r="G3446" s="20"/>
      <c r="H3446" s="20" t="s">
        <v>3708</v>
      </c>
      <c r="I3446" s="5"/>
      <c r="J3446" s="20">
        <v>1.0</v>
      </c>
      <c r="K3446" s="20">
        <v>99.0</v>
      </c>
      <c r="L3446" s="20"/>
      <c r="M3446" s="20">
        <v>99.0</v>
      </c>
      <c r="N3446" s="5" t="s">
        <v>67</v>
      </c>
      <c r="O3446" s="20" t="b">
        <v>0</v>
      </c>
      <c r="P3446" s="20" t="s">
        <v>68</v>
      </c>
      <c r="Q3446" s="20" t="s">
        <v>69</v>
      </c>
      <c r="R3446" s="20" t="s">
        <v>3710</v>
      </c>
      <c r="T3446" s="20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</row>
    <row r="3447">
      <c r="A3447" s="15" t="s">
        <v>11436</v>
      </c>
      <c r="B3447" s="19">
        <v>44536.9375</v>
      </c>
      <c r="C3447" s="20">
        <v>49991.0</v>
      </c>
      <c r="D3447" s="20" t="s">
        <v>3165</v>
      </c>
      <c r="E3447" s="5">
        <v>9.1981166785E11</v>
      </c>
      <c r="F3447" s="21">
        <v>19944.0</v>
      </c>
      <c r="G3447" s="20"/>
      <c r="H3447" s="20" t="s">
        <v>3055</v>
      </c>
      <c r="I3447" s="5"/>
      <c r="J3447" s="20">
        <v>3.0</v>
      </c>
      <c r="K3447" s="20">
        <v>199.0</v>
      </c>
      <c r="L3447" s="20"/>
      <c r="M3447" s="20">
        <v>199.0</v>
      </c>
      <c r="N3447" s="5" t="s">
        <v>67</v>
      </c>
      <c r="O3447" s="20" t="b">
        <v>0</v>
      </c>
      <c r="P3447" s="20" t="s">
        <v>68</v>
      </c>
      <c r="Q3447" s="20" t="s">
        <v>69</v>
      </c>
      <c r="R3447" s="20" t="s">
        <v>3057</v>
      </c>
      <c r="T3447" s="20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</row>
    <row r="3448">
      <c r="A3448" s="15" t="s">
        <v>11594</v>
      </c>
      <c r="B3448" s="19" t="s">
        <v>3169</v>
      </c>
      <c r="C3448" s="20">
        <v>49991.0</v>
      </c>
      <c r="D3448" s="20" t="s">
        <v>3168</v>
      </c>
      <c r="E3448" s="5">
        <v>9.19924840933E11</v>
      </c>
      <c r="F3448" s="21">
        <v>20000.0</v>
      </c>
      <c r="G3448" s="20"/>
      <c r="H3448" s="20" t="s">
        <v>3055</v>
      </c>
      <c r="I3448" s="5"/>
      <c r="J3448" s="20">
        <v>1.0</v>
      </c>
      <c r="K3448" s="20">
        <v>99.0</v>
      </c>
      <c r="L3448" s="20"/>
      <c r="M3448" s="20">
        <v>99.0</v>
      </c>
      <c r="N3448" s="5" t="s">
        <v>67</v>
      </c>
      <c r="O3448" s="20" t="b">
        <v>0</v>
      </c>
      <c r="P3448" s="20" t="s">
        <v>68</v>
      </c>
      <c r="Q3448" s="20" t="s">
        <v>69</v>
      </c>
      <c r="R3448" s="20" t="s">
        <v>3057</v>
      </c>
      <c r="T3448" s="20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</row>
    <row r="3449">
      <c r="A3449" s="15" t="s">
        <v>11595</v>
      </c>
      <c r="B3449" s="19" t="s">
        <v>5499</v>
      </c>
      <c r="C3449" s="20">
        <v>49844.0</v>
      </c>
      <c r="D3449" s="20" t="s">
        <v>5498</v>
      </c>
      <c r="E3449" s="5">
        <v>9.17989902303E11</v>
      </c>
      <c r="F3449" s="21">
        <v>20001.0</v>
      </c>
      <c r="G3449" s="20"/>
      <c r="H3449" s="20" t="s">
        <v>885</v>
      </c>
      <c r="I3449" s="5"/>
      <c r="J3449" s="20">
        <v>6.0</v>
      </c>
      <c r="K3449" s="20">
        <v>349.0</v>
      </c>
      <c r="L3449" s="20"/>
      <c r="M3449" s="20">
        <v>349.0</v>
      </c>
      <c r="N3449" s="5" t="s">
        <v>67</v>
      </c>
      <c r="O3449" s="20" t="b">
        <v>0</v>
      </c>
      <c r="P3449" s="20" t="s">
        <v>68</v>
      </c>
      <c r="Q3449" s="20" t="s">
        <v>69</v>
      </c>
      <c r="R3449" s="20" t="s">
        <v>5476</v>
      </c>
      <c r="T3449" s="20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</row>
    <row r="3450">
      <c r="A3450" s="15" t="s">
        <v>11427</v>
      </c>
      <c r="B3450" s="19">
        <v>44536.92152777778</v>
      </c>
      <c r="C3450" s="20">
        <v>50043.0</v>
      </c>
      <c r="D3450" s="20" t="s">
        <v>6435</v>
      </c>
      <c r="E3450" s="5">
        <v>9.19650566904E11</v>
      </c>
      <c r="F3450" s="21">
        <v>19970.0</v>
      </c>
      <c r="G3450" s="20"/>
      <c r="H3450" s="20" t="s">
        <v>6367</v>
      </c>
      <c r="I3450" s="5"/>
      <c r="J3450" s="20">
        <v>1.0</v>
      </c>
      <c r="K3450" s="20">
        <v>99.0</v>
      </c>
      <c r="L3450" s="20"/>
      <c r="M3450" s="20">
        <v>99.0</v>
      </c>
      <c r="N3450" s="5" t="s">
        <v>67</v>
      </c>
      <c r="O3450" s="20" t="b">
        <v>0</v>
      </c>
      <c r="P3450" s="20" t="s">
        <v>68</v>
      </c>
      <c r="Q3450" s="20" t="s">
        <v>69</v>
      </c>
      <c r="R3450" s="20" t="s">
        <v>6369</v>
      </c>
      <c r="T3450" s="20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</row>
    <row r="3451">
      <c r="A3451" s="15" t="s">
        <v>11439</v>
      </c>
      <c r="B3451" s="19">
        <v>44536.94652777778</v>
      </c>
      <c r="C3451" s="20">
        <v>50054.0</v>
      </c>
      <c r="D3451" s="20" t="s">
        <v>5938</v>
      </c>
      <c r="E3451" s="5">
        <v>9.18087723261E11</v>
      </c>
      <c r="F3451" s="21">
        <v>19945.0</v>
      </c>
      <c r="G3451" s="20"/>
      <c r="H3451" s="20" t="s">
        <v>5822</v>
      </c>
      <c r="I3451" s="5"/>
      <c r="J3451" s="20">
        <v>3.0</v>
      </c>
      <c r="K3451" s="20">
        <v>199.0</v>
      </c>
      <c r="L3451" s="20"/>
      <c r="M3451" s="20">
        <v>199.0</v>
      </c>
      <c r="N3451" s="5" t="s">
        <v>67</v>
      </c>
      <c r="O3451" s="20" t="b">
        <v>0</v>
      </c>
      <c r="P3451" s="20" t="s">
        <v>68</v>
      </c>
      <c r="Q3451" s="20" t="s">
        <v>69</v>
      </c>
      <c r="R3451" s="20" t="s">
        <v>5824</v>
      </c>
      <c r="T3451" s="20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</row>
    <row r="3452">
      <c r="A3452" s="15" t="s">
        <v>11438</v>
      </c>
      <c r="B3452" s="19">
        <v>44536.95486111111</v>
      </c>
      <c r="C3452" s="20">
        <v>50030.0</v>
      </c>
      <c r="D3452" s="20" t="s">
        <v>3515</v>
      </c>
      <c r="E3452" s="5">
        <v>9.19597055662E11</v>
      </c>
      <c r="F3452" s="21">
        <v>19947.0</v>
      </c>
      <c r="G3452" s="20"/>
      <c r="H3452" s="20" t="s">
        <v>3326</v>
      </c>
      <c r="I3452" s="5"/>
      <c r="J3452" s="20">
        <v>1.0</v>
      </c>
      <c r="K3452" s="20">
        <v>99.0</v>
      </c>
      <c r="L3452" s="20"/>
      <c r="M3452" s="20">
        <v>99.0</v>
      </c>
      <c r="N3452" s="5" t="s">
        <v>67</v>
      </c>
      <c r="O3452" s="20" t="b">
        <v>0</v>
      </c>
      <c r="P3452" s="20" t="s">
        <v>74</v>
      </c>
      <c r="Q3452" s="20" t="s">
        <v>69</v>
      </c>
      <c r="R3452" s="20" t="s">
        <v>3505</v>
      </c>
      <c r="T3452" s="20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</row>
    <row r="3453">
      <c r="A3453" s="15" t="s">
        <v>11599</v>
      </c>
      <c r="B3453" s="19" t="s">
        <v>4519</v>
      </c>
      <c r="C3453" s="20">
        <v>50052.0</v>
      </c>
      <c r="D3453" s="20" t="s">
        <v>4518</v>
      </c>
      <c r="E3453" s="5">
        <v>9.1984668441E11</v>
      </c>
      <c r="F3453" s="21">
        <v>0.0</v>
      </c>
      <c r="G3453" s="20"/>
      <c r="H3453" s="20" t="s">
        <v>4433</v>
      </c>
      <c r="I3453" s="5"/>
      <c r="J3453" s="20">
        <v>1.0</v>
      </c>
      <c r="K3453" s="20">
        <v>99.0</v>
      </c>
      <c r="L3453" s="20"/>
      <c r="M3453" s="20">
        <v>99.0</v>
      </c>
      <c r="N3453" s="5" t="s">
        <v>67</v>
      </c>
      <c r="O3453" s="20" t="b">
        <v>0</v>
      </c>
      <c r="P3453" s="20" t="s">
        <v>68</v>
      </c>
      <c r="Q3453" s="20" t="s">
        <v>69</v>
      </c>
      <c r="R3453" s="20" t="s">
        <v>4435</v>
      </c>
      <c r="T3453" s="20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</row>
    <row r="3454">
      <c r="A3454" s="15" t="s">
        <v>11449</v>
      </c>
      <c r="B3454" s="19">
        <v>44536.96875</v>
      </c>
      <c r="C3454" s="20">
        <v>50029.0</v>
      </c>
      <c r="D3454" s="20" t="s">
        <v>2891</v>
      </c>
      <c r="E3454" s="5">
        <v>9.17573044691E11</v>
      </c>
      <c r="F3454" s="21">
        <v>19949.0</v>
      </c>
      <c r="G3454" s="20"/>
      <c r="H3454" s="20" t="s">
        <v>2761</v>
      </c>
      <c r="I3454" s="5"/>
      <c r="J3454" s="20">
        <v>1.0</v>
      </c>
      <c r="K3454" s="20">
        <v>99.0</v>
      </c>
      <c r="L3454" s="20"/>
      <c r="M3454" s="20">
        <v>99.0</v>
      </c>
      <c r="N3454" s="5" t="s">
        <v>67</v>
      </c>
      <c r="O3454" s="20" t="b">
        <v>0</v>
      </c>
      <c r="P3454" s="20" t="s">
        <v>68</v>
      </c>
      <c r="Q3454" s="20" t="s">
        <v>69</v>
      </c>
      <c r="R3454" s="20" t="s">
        <v>2763</v>
      </c>
      <c r="T3454" s="20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</row>
    <row r="3455">
      <c r="A3455" s="15" t="s">
        <v>11445</v>
      </c>
      <c r="B3455" s="19">
        <v>44536.95694444444</v>
      </c>
      <c r="C3455" s="20">
        <v>50052.0</v>
      </c>
      <c r="D3455" s="20" t="s">
        <v>4509</v>
      </c>
      <c r="E3455" s="5">
        <v>9.18511139665E11</v>
      </c>
      <c r="F3455" s="21">
        <v>19946.0</v>
      </c>
      <c r="G3455" s="20"/>
      <c r="H3455" s="20" t="s">
        <v>4433</v>
      </c>
      <c r="I3455" s="5"/>
      <c r="J3455" s="20">
        <v>1.0</v>
      </c>
      <c r="K3455" s="20">
        <v>99.0</v>
      </c>
      <c r="L3455" s="20"/>
      <c r="M3455" s="20">
        <v>99.0</v>
      </c>
      <c r="N3455" s="5" t="s">
        <v>67</v>
      </c>
      <c r="O3455" s="20" t="b">
        <v>0</v>
      </c>
      <c r="P3455" s="20" t="s">
        <v>68</v>
      </c>
      <c r="Q3455" s="20" t="s">
        <v>69</v>
      </c>
      <c r="R3455" s="20" t="s">
        <v>4435</v>
      </c>
      <c r="T3455" s="20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</row>
    <row r="3456">
      <c r="A3456" s="15" t="s">
        <v>11450</v>
      </c>
      <c r="B3456" s="19">
        <v>44536.975694444445</v>
      </c>
      <c r="C3456" s="20">
        <v>49907.0</v>
      </c>
      <c r="D3456" s="20" t="s">
        <v>3843</v>
      </c>
      <c r="E3456" s="5">
        <v>9.17718044568E11</v>
      </c>
      <c r="F3456" s="21">
        <v>19950.0</v>
      </c>
      <c r="G3456" s="20"/>
      <c r="H3456" s="20" t="s">
        <v>587</v>
      </c>
      <c r="I3456" s="5"/>
      <c r="J3456" s="20">
        <v>6.0</v>
      </c>
      <c r="K3456" s="20">
        <v>349.0</v>
      </c>
      <c r="L3456" s="20"/>
      <c r="M3456" s="20">
        <v>349.0</v>
      </c>
      <c r="N3456" s="5" t="s">
        <v>67</v>
      </c>
      <c r="O3456" s="20" t="b">
        <v>0</v>
      </c>
      <c r="P3456" s="20" t="s">
        <v>68</v>
      </c>
      <c r="Q3456" s="20" t="s">
        <v>69</v>
      </c>
      <c r="R3456" s="20" t="s">
        <v>3774</v>
      </c>
      <c r="T3456" s="20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</row>
    <row r="3457">
      <c r="A3457" s="15" t="s">
        <v>11446</v>
      </c>
      <c r="B3457" s="19">
        <v>44536.95972222222</v>
      </c>
      <c r="C3457" s="20">
        <v>49996.0</v>
      </c>
      <c r="D3457" s="20" t="s">
        <v>1912</v>
      </c>
      <c r="E3457" s="5">
        <v>9.1981165092E11</v>
      </c>
      <c r="F3457" s="21">
        <v>17256.0</v>
      </c>
      <c r="G3457" s="20"/>
      <c r="H3457" s="20" t="s">
        <v>4796</v>
      </c>
      <c r="I3457" s="5"/>
      <c r="J3457" s="20">
        <v>1.0</v>
      </c>
      <c r="K3457" s="20">
        <v>99.0</v>
      </c>
      <c r="L3457" s="20"/>
      <c r="M3457" s="20">
        <v>99.0</v>
      </c>
      <c r="N3457" s="5" t="s">
        <v>67</v>
      </c>
      <c r="O3457" s="20" t="b">
        <v>0</v>
      </c>
      <c r="P3457" s="20" t="s">
        <v>68</v>
      </c>
      <c r="Q3457" s="20" t="s">
        <v>69</v>
      </c>
      <c r="R3457" s="20" t="s">
        <v>4799</v>
      </c>
      <c r="T3457" s="20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</row>
    <row r="3458">
      <c r="A3458" s="15" t="s">
        <v>11602</v>
      </c>
      <c r="B3458" s="19" t="s">
        <v>2561</v>
      </c>
      <c r="C3458" s="20">
        <v>49997.0</v>
      </c>
      <c r="D3458" s="20" t="s">
        <v>2560</v>
      </c>
      <c r="E3458" s="5">
        <v>9.17015129688E11</v>
      </c>
      <c r="F3458" s="21">
        <v>20006.0</v>
      </c>
      <c r="G3458" s="20"/>
      <c r="H3458" s="20" t="s">
        <v>2455</v>
      </c>
      <c r="I3458" s="5"/>
      <c r="J3458" s="20">
        <v>1.0</v>
      </c>
      <c r="K3458" s="20">
        <v>99.0</v>
      </c>
      <c r="L3458" s="20"/>
      <c r="M3458" s="20">
        <v>99.0</v>
      </c>
      <c r="N3458" s="5" t="s">
        <v>67</v>
      </c>
      <c r="O3458" s="20" t="b">
        <v>0</v>
      </c>
      <c r="P3458" s="20" t="s">
        <v>68</v>
      </c>
      <c r="Q3458" s="20" t="s">
        <v>69</v>
      </c>
      <c r="R3458" s="20" t="s">
        <v>2457</v>
      </c>
      <c r="T3458" s="20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</row>
    <row r="3459">
      <c r="A3459" s="15" t="s">
        <v>11447</v>
      </c>
      <c r="B3459" s="19">
        <v>44536.96666666667</v>
      </c>
      <c r="C3459" s="20">
        <v>49997.0</v>
      </c>
      <c r="D3459" s="20" t="s">
        <v>2557</v>
      </c>
      <c r="E3459" s="5">
        <v>9.1971135085E11</v>
      </c>
      <c r="F3459" s="21">
        <v>19948.0</v>
      </c>
      <c r="G3459" s="20"/>
      <c r="H3459" s="20" t="s">
        <v>2455</v>
      </c>
      <c r="I3459" s="5"/>
      <c r="J3459" s="20">
        <v>1.0</v>
      </c>
      <c r="K3459" s="20">
        <v>99.0</v>
      </c>
      <c r="L3459" s="20"/>
      <c r="M3459" s="20">
        <v>99.0</v>
      </c>
      <c r="N3459" s="5" t="s">
        <v>67</v>
      </c>
      <c r="O3459" s="20" t="b">
        <v>0</v>
      </c>
      <c r="P3459" s="20" t="s">
        <v>151</v>
      </c>
      <c r="Q3459" s="20" t="s">
        <v>69</v>
      </c>
      <c r="R3459" s="20" t="s">
        <v>2457</v>
      </c>
      <c r="T3459" s="20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</row>
    <row r="3460">
      <c r="A3460" s="15" t="s">
        <v>11603</v>
      </c>
      <c r="B3460" s="19" t="s">
        <v>3527</v>
      </c>
      <c r="C3460" s="20">
        <v>50030.0</v>
      </c>
      <c r="D3460" s="20" t="s">
        <v>3526</v>
      </c>
      <c r="E3460" s="5">
        <v>9.19532289158E11</v>
      </c>
      <c r="F3460" s="21">
        <v>20007.0</v>
      </c>
      <c r="G3460" s="20"/>
      <c r="H3460" s="20" t="s">
        <v>3326</v>
      </c>
      <c r="I3460" s="5"/>
      <c r="J3460" s="20">
        <v>1.0</v>
      </c>
      <c r="K3460" s="20">
        <v>99.0</v>
      </c>
      <c r="L3460" s="20"/>
      <c r="M3460" s="20">
        <v>99.0</v>
      </c>
      <c r="N3460" s="5" t="s">
        <v>67</v>
      </c>
      <c r="O3460" s="20" t="b">
        <v>0</v>
      </c>
      <c r="P3460" s="20" t="s">
        <v>68</v>
      </c>
      <c r="Q3460" s="20" t="s">
        <v>69</v>
      </c>
      <c r="R3460" s="20" t="s">
        <v>3505</v>
      </c>
      <c r="T3460" s="20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</row>
    <row r="3461">
      <c r="A3461" s="15" t="s">
        <v>11605</v>
      </c>
      <c r="B3461" s="19" t="s">
        <v>5623</v>
      </c>
      <c r="C3461" s="20">
        <v>50023.0</v>
      </c>
      <c r="D3461" s="20" t="s">
        <v>5622</v>
      </c>
      <c r="E3461" s="5">
        <v>9.17814200641E11</v>
      </c>
      <c r="F3461" s="21">
        <v>20008.0</v>
      </c>
      <c r="G3461" s="20"/>
      <c r="H3461" s="20" t="s">
        <v>5508</v>
      </c>
      <c r="I3461" s="5"/>
      <c r="J3461" s="20">
        <v>1.0</v>
      </c>
      <c r="K3461" s="20">
        <v>99.0</v>
      </c>
      <c r="L3461" s="20"/>
      <c r="M3461" s="20">
        <v>99.0</v>
      </c>
      <c r="N3461" s="5" t="s">
        <v>67</v>
      </c>
      <c r="O3461" s="20" t="b">
        <v>0</v>
      </c>
      <c r="P3461" s="20" t="s">
        <v>68</v>
      </c>
      <c r="Q3461" s="20" t="s">
        <v>69</v>
      </c>
      <c r="R3461" s="20" t="s">
        <v>5584</v>
      </c>
      <c r="T3461" s="20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</row>
    <row r="3462">
      <c r="A3462" s="15" t="s">
        <v>11452</v>
      </c>
      <c r="B3462" s="19" t="s">
        <v>5613</v>
      </c>
      <c r="C3462" s="20">
        <v>50023.0</v>
      </c>
      <c r="D3462" s="20" t="s">
        <v>5612</v>
      </c>
      <c r="E3462" s="5">
        <v>9.19723627628E11</v>
      </c>
      <c r="F3462" s="21">
        <v>19951.0</v>
      </c>
      <c r="G3462" s="20"/>
      <c r="H3462" s="20" t="s">
        <v>5508</v>
      </c>
      <c r="I3462" s="5"/>
      <c r="J3462" s="20">
        <v>1.0</v>
      </c>
      <c r="K3462" s="20">
        <v>99.0</v>
      </c>
      <c r="L3462" s="20"/>
      <c r="M3462" s="20">
        <v>99.0</v>
      </c>
      <c r="N3462" s="5" t="s">
        <v>67</v>
      </c>
      <c r="O3462" s="20" t="b">
        <v>0</v>
      </c>
      <c r="P3462" s="20" t="s">
        <v>68</v>
      </c>
      <c r="Q3462" s="20" t="s">
        <v>69</v>
      </c>
      <c r="R3462" s="20" t="s">
        <v>5510</v>
      </c>
      <c r="T3462" s="20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</row>
    <row r="3463">
      <c r="A3463" s="15" t="s">
        <v>11604</v>
      </c>
      <c r="B3463" s="19" t="s">
        <v>3947</v>
      </c>
      <c r="C3463" s="20">
        <v>49835.0</v>
      </c>
      <c r="D3463" s="20" t="s">
        <v>703</v>
      </c>
      <c r="E3463" s="5">
        <v>9.18248059061E11</v>
      </c>
      <c r="F3463" s="21">
        <v>16312.0</v>
      </c>
      <c r="G3463" s="20"/>
      <c r="H3463" s="20" t="s">
        <v>680</v>
      </c>
      <c r="I3463" s="5"/>
      <c r="J3463" s="20">
        <v>1.0</v>
      </c>
      <c r="K3463" s="20">
        <v>99.0</v>
      </c>
      <c r="L3463" s="20"/>
      <c r="M3463" s="20">
        <v>99.0</v>
      </c>
      <c r="N3463" s="5" t="s">
        <v>67</v>
      </c>
      <c r="O3463" s="20" t="b">
        <v>0</v>
      </c>
      <c r="P3463" s="20" t="s">
        <v>68</v>
      </c>
      <c r="Q3463" s="20" t="s">
        <v>69</v>
      </c>
      <c r="R3463" s="20" t="s">
        <v>3888</v>
      </c>
      <c r="T3463" s="20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</row>
    <row r="3464">
      <c r="A3464" s="15" t="s">
        <v>11457</v>
      </c>
      <c r="B3464" s="19" t="s">
        <v>3517</v>
      </c>
      <c r="C3464" s="20">
        <v>50030.0</v>
      </c>
      <c r="D3464" s="20" t="s">
        <v>3516</v>
      </c>
      <c r="E3464" s="5">
        <v>9.19643233737E11</v>
      </c>
      <c r="F3464" s="21">
        <v>19952.0</v>
      </c>
      <c r="G3464" s="20"/>
      <c r="H3464" s="20" t="s">
        <v>3326</v>
      </c>
      <c r="I3464" s="5"/>
      <c r="J3464" s="20">
        <v>6.0</v>
      </c>
      <c r="K3464" s="20">
        <v>349.0</v>
      </c>
      <c r="L3464" s="20"/>
      <c r="M3464" s="20">
        <v>349.0</v>
      </c>
      <c r="N3464" s="5" t="s">
        <v>67</v>
      </c>
      <c r="O3464" s="20" t="b">
        <v>0</v>
      </c>
      <c r="P3464" s="20" t="s">
        <v>68</v>
      </c>
      <c r="Q3464" s="20" t="s">
        <v>69</v>
      </c>
      <c r="R3464" s="20" t="s">
        <v>3328</v>
      </c>
      <c r="T3464" s="20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</row>
    <row r="3465">
      <c r="A3465" s="15" t="s">
        <v>11459</v>
      </c>
      <c r="B3465" s="19" t="s">
        <v>4533</v>
      </c>
      <c r="C3465" s="20">
        <v>50052.0</v>
      </c>
      <c r="D3465" s="20" t="s">
        <v>4532</v>
      </c>
      <c r="E3465" s="5">
        <v>9.19829060727E11</v>
      </c>
      <c r="F3465" s="21">
        <v>20247.0</v>
      </c>
      <c r="G3465" s="20"/>
      <c r="H3465" s="20" t="s">
        <v>4433</v>
      </c>
      <c r="I3465" s="5"/>
      <c r="J3465" s="20">
        <v>1.0</v>
      </c>
      <c r="K3465" s="20">
        <v>99.0</v>
      </c>
      <c r="L3465" s="20"/>
      <c r="M3465" s="20">
        <v>99.0</v>
      </c>
      <c r="N3465" s="5" t="s">
        <v>67</v>
      </c>
      <c r="O3465" s="20" t="b">
        <v>0</v>
      </c>
      <c r="P3465" s="20" t="s">
        <v>68</v>
      </c>
      <c r="Q3465" s="20" t="s">
        <v>69</v>
      </c>
      <c r="R3465" s="20" t="s">
        <v>4435</v>
      </c>
      <c r="T3465" s="20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</row>
    <row r="3466">
      <c r="A3466" s="15" t="s">
        <v>11608</v>
      </c>
      <c r="B3466" s="19" t="s">
        <v>6575</v>
      </c>
      <c r="C3466" s="20">
        <v>50073.0</v>
      </c>
      <c r="D3466" s="20" t="s">
        <v>6574</v>
      </c>
      <c r="E3466" s="5">
        <v>9.19513333019E11</v>
      </c>
      <c r="F3466" s="21">
        <v>20024.0</v>
      </c>
      <c r="G3466" s="20"/>
      <c r="H3466" s="20" t="s">
        <v>2161</v>
      </c>
      <c r="I3466" s="5"/>
      <c r="J3466" s="20">
        <v>1.0</v>
      </c>
      <c r="K3466" s="20">
        <v>799.0</v>
      </c>
      <c r="L3466" s="20"/>
      <c r="M3466" s="20">
        <v>799.0</v>
      </c>
      <c r="N3466" s="5" t="s">
        <v>67</v>
      </c>
      <c r="O3466" s="20" t="b">
        <v>0</v>
      </c>
      <c r="P3466" s="20" t="s">
        <v>68</v>
      </c>
      <c r="Q3466" s="20" t="s">
        <v>69</v>
      </c>
      <c r="R3466" s="20" t="s">
        <v>6497</v>
      </c>
      <c r="T3466" s="20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</row>
    <row r="3467">
      <c r="A3467" s="15" t="s">
        <v>11609</v>
      </c>
      <c r="B3467" s="19" t="s">
        <v>3853</v>
      </c>
      <c r="C3467" s="20">
        <v>49907.0</v>
      </c>
      <c r="D3467" s="20" t="s">
        <v>3852</v>
      </c>
      <c r="E3467" s="5">
        <v>9.19175893212E11</v>
      </c>
      <c r="F3467" s="21">
        <v>20012.0</v>
      </c>
      <c r="G3467" s="20"/>
      <c r="H3467" s="20" t="s">
        <v>587</v>
      </c>
      <c r="I3467" s="5"/>
      <c r="J3467" s="20">
        <v>3.0</v>
      </c>
      <c r="K3467" s="20">
        <v>199.0</v>
      </c>
      <c r="L3467" s="20"/>
      <c r="M3467" s="20">
        <v>199.0</v>
      </c>
      <c r="N3467" s="5" t="s">
        <v>67</v>
      </c>
      <c r="O3467" s="20" t="b">
        <v>0</v>
      </c>
      <c r="P3467" s="20" t="s">
        <v>68</v>
      </c>
      <c r="Q3467" s="20" t="s">
        <v>69</v>
      </c>
      <c r="R3467" s="20" t="s">
        <v>3774</v>
      </c>
      <c r="T3467" s="20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</row>
    <row r="3468">
      <c r="A3468" s="15" t="s">
        <v>11610</v>
      </c>
      <c r="B3468" s="19" t="s">
        <v>6358</v>
      </c>
      <c r="C3468" s="20">
        <v>50044.0</v>
      </c>
      <c r="D3468" s="20" t="s">
        <v>6357</v>
      </c>
      <c r="E3468" s="5">
        <v>9.19971133337E11</v>
      </c>
      <c r="F3468" s="21">
        <v>20011.0</v>
      </c>
      <c r="G3468" s="20"/>
      <c r="H3468" s="20" t="s">
        <v>6320</v>
      </c>
      <c r="I3468" s="5"/>
      <c r="J3468" s="20">
        <v>1.0</v>
      </c>
      <c r="K3468" s="20">
        <v>349.0</v>
      </c>
      <c r="L3468" s="20"/>
      <c r="M3468" s="20">
        <v>349.0</v>
      </c>
      <c r="N3468" s="5" t="s">
        <v>67</v>
      </c>
      <c r="O3468" s="20" t="b">
        <v>0</v>
      </c>
      <c r="P3468" s="20" t="s">
        <v>68</v>
      </c>
      <c r="Q3468" s="20" t="s">
        <v>69</v>
      </c>
      <c r="R3468" s="20" t="s">
        <v>6322</v>
      </c>
      <c r="T3468" s="20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</row>
    <row r="3469">
      <c r="A3469" s="15" t="s">
        <v>11464</v>
      </c>
      <c r="B3469" s="19" t="s">
        <v>4858</v>
      </c>
      <c r="C3469" s="20">
        <v>49996.0</v>
      </c>
      <c r="D3469" s="20" t="s">
        <v>4857</v>
      </c>
      <c r="E3469" s="5">
        <v>9.19818748603E11</v>
      </c>
      <c r="F3469" s="21">
        <v>19953.0</v>
      </c>
      <c r="G3469" s="20"/>
      <c r="H3469" s="20" t="s">
        <v>4796</v>
      </c>
      <c r="I3469" s="5"/>
      <c r="J3469" s="20">
        <v>1.0</v>
      </c>
      <c r="K3469" s="20">
        <v>99.0</v>
      </c>
      <c r="L3469" s="20"/>
      <c r="M3469" s="20">
        <v>99.0</v>
      </c>
      <c r="N3469" s="5" t="s">
        <v>67</v>
      </c>
      <c r="O3469" s="20" t="b">
        <v>0</v>
      </c>
      <c r="P3469" s="20" t="s">
        <v>68</v>
      </c>
      <c r="Q3469" s="20" t="s">
        <v>69</v>
      </c>
      <c r="R3469" s="20" t="s">
        <v>4799</v>
      </c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</row>
    <row r="3470">
      <c r="A3470" s="15" t="s">
        <v>11621</v>
      </c>
      <c r="B3470" s="19" t="s">
        <v>3855</v>
      </c>
      <c r="C3470" s="20">
        <v>49907.0</v>
      </c>
      <c r="D3470" s="20" t="s">
        <v>3854</v>
      </c>
      <c r="E3470" s="5">
        <v>9.19100218494E11</v>
      </c>
      <c r="F3470" s="21">
        <v>20013.0</v>
      </c>
      <c r="G3470" s="20"/>
      <c r="H3470" s="20" t="s">
        <v>587</v>
      </c>
      <c r="I3470" s="5"/>
      <c r="J3470" s="20">
        <v>3.0</v>
      </c>
      <c r="K3470" s="20">
        <v>199.0</v>
      </c>
      <c r="L3470" s="20"/>
      <c r="M3470" s="20">
        <v>199.0</v>
      </c>
      <c r="N3470" s="5" t="s">
        <v>67</v>
      </c>
      <c r="O3470" s="20" t="b">
        <v>0</v>
      </c>
      <c r="P3470" s="20" t="s">
        <v>151</v>
      </c>
      <c r="Q3470" s="20" t="s">
        <v>69</v>
      </c>
      <c r="R3470" s="20" t="s">
        <v>3774</v>
      </c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</row>
    <row r="3471">
      <c r="A3471" s="15" t="s">
        <v>11625</v>
      </c>
      <c r="B3471" s="19" t="s">
        <v>4521</v>
      </c>
      <c r="C3471" s="20">
        <v>50052.0</v>
      </c>
      <c r="D3471" s="20" t="s">
        <v>4520</v>
      </c>
      <c r="E3471" s="5">
        <v>9.17975250261E11</v>
      </c>
      <c r="F3471" s="21">
        <v>20014.0</v>
      </c>
      <c r="G3471" s="20"/>
      <c r="H3471" s="20" t="s">
        <v>4433</v>
      </c>
      <c r="I3471" s="5"/>
      <c r="J3471" s="20">
        <v>3.0</v>
      </c>
      <c r="K3471" s="20">
        <v>199.0</v>
      </c>
      <c r="L3471" s="20"/>
      <c r="M3471" s="20">
        <v>199.0</v>
      </c>
      <c r="N3471" s="5" t="s">
        <v>67</v>
      </c>
      <c r="O3471" s="20" t="b">
        <v>0</v>
      </c>
      <c r="P3471" s="20" t="s">
        <v>68</v>
      </c>
      <c r="Q3471" s="20" t="s">
        <v>69</v>
      </c>
      <c r="R3471" s="20" t="s">
        <v>4435</v>
      </c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</row>
    <row r="3472">
      <c r="A3472" s="1" t="s">
        <v>12354</v>
      </c>
      <c r="B3472" s="19" t="s">
        <v>6586</v>
      </c>
      <c r="C3472" s="20">
        <v>50073.0</v>
      </c>
      <c r="D3472" s="20" t="s">
        <v>4520</v>
      </c>
      <c r="E3472" s="5">
        <v>9.17975250261E11</v>
      </c>
      <c r="F3472" s="22" t="s">
        <v>12593</v>
      </c>
      <c r="G3472" s="20"/>
      <c r="H3472" s="20" t="s">
        <v>2161</v>
      </c>
      <c r="I3472" s="5"/>
      <c r="J3472" s="20">
        <v>1.0</v>
      </c>
      <c r="K3472" s="20">
        <v>799.0</v>
      </c>
      <c r="L3472" s="20"/>
      <c r="M3472" s="20">
        <v>799.0</v>
      </c>
      <c r="N3472" s="5" t="s">
        <v>67</v>
      </c>
      <c r="O3472" s="20" t="b">
        <v>0</v>
      </c>
      <c r="P3472" s="20" t="s">
        <v>68</v>
      </c>
      <c r="Q3472" s="20" t="s">
        <v>69</v>
      </c>
      <c r="R3472" s="20" t="s">
        <v>6563</v>
      </c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</row>
    <row r="3473">
      <c r="A3473" s="15" t="s">
        <v>11466</v>
      </c>
      <c r="B3473" s="19" t="s">
        <v>3732</v>
      </c>
      <c r="C3473" s="20">
        <v>50104.0</v>
      </c>
      <c r="D3473" s="20" t="s">
        <v>3731</v>
      </c>
      <c r="E3473" s="5">
        <v>9.19925607799E11</v>
      </c>
      <c r="F3473" s="21">
        <v>19954.0</v>
      </c>
      <c r="G3473" s="20"/>
      <c r="H3473" s="20" t="s">
        <v>3708</v>
      </c>
      <c r="I3473" s="5"/>
      <c r="J3473" s="20">
        <v>3.0</v>
      </c>
      <c r="K3473" s="20">
        <v>199.0</v>
      </c>
      <c r="L3473" s="20"/>
      <c r="M3473" s="20">
        <v>199.0</v>
      </c>
      <c r="N3473" s="5" t="s">
        <v>67</v>
      </c>
      <c r="O3473" s="20" t="b">
        <v>0</v>
      </c>
      <c r="P3473" s="20" t="s">
        <v>68</v>
      </c>
      <c r="Q3473" s="20" t="s">
        <v>69</v>
      </c>
      <c r="R3473" s="20" t="s">
        <v>3710</v>
      </c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</row>
    <row r="3474">
      <c r="A3474" s="15" t="s">
        <v>11627</v>
      </c>
      <c r="B3474" s="19" t="s">
        <v>5625</v>
      </c>
      <c r="C3474" s="20">
        <v>50023.0</v>
      </c>
      <c r="D3474" s="20" t="s">
        <v>5624</v>
      </c>
      <c r="E3474" s="5">
        <v>9.19982501293E11</v>
      </c>
      <c r="F3474" s="21">
        <v>20015.0</v>
      </c>
      <c r="G3474" s="20"/>
      <c r="H3474" s="20" t="s">
        <v>5508</v>
      </c>
      <c r="I3474" s="5"/>
      <c r="J3474" s="20">
        <v>1.0</v>
      </c>
      <c r="K3474" s="20">
        <v>99.0</v>
      </c>
      <c r="L3474" s="20"/>
      <c r="M3474" s="20">
        <v>99.0</v>
      </c>
      <c r="N3474" s="5" t="s">
        <v>67</v>
      </c>
      <c r="O3474" s="20" t="b">
        <v>0</v>
      </c>
      <c r="P3474" s="20" t="s">
        <v>68</v>
      </c>
      <c r="Q3474" s="20" t="s">
        <v>69</v>
      </c>
      <c r="R3474" s="20" t="s">
        <v>5510</v>
      </c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</row>
    <row r="3475">
      <c r="A3475" s="15" t="s">
        <v>11469</v>
      </c>
      <c r="B3475" s="19" t="s">
        <v>6437</v>
      </c>
      <c r="C3475" s="20">
        <v>50043.0</v>
      </c>
      <c r="D3475" s="20" t="s">
        <v>6436</v>
      </c>
      <c r="E3475" s="5">
        <v>9.19866042682E11</v>
      </c>
      <c r="F3475" s="21">
        <v>19958.0</v>
      </c>
      <c r="G3475" s="20"/>
      <c r="H3475" s="20" t="s">
        <v>6367</v>
      </c>
      <c r="I3475" s="5"/>
      <c r="J3475" s="20">
        <v>3.0</v>
      </c>
      <c r="K3475" s="20">
        <v>199.0</v>
      </c>
      <c r="L3475" s="20"/>
      <c r="M3475" s="20">
        <v>199.0</v>
      </c>
      <c r="N3475" s="5" t="s">
        <v>67</v>
      </c>
      <c r="O3475" s="20" t="b">
        <v>0</v>
      </c>
      <c r="P3475" s="20" t="s">
        <v>151</v>
      </c>
      <c r="Q3475" s="20" t="s">
        <v>69</v>
      </c>
      <c r="R3475" s="20" t="s">
        <v>6369</v>
      </c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</row>
    <row r="3476">
      <c r="A3476" s="15" t="s">
        <v>11639</v>
      </c>
      <c r="B3476" s="19" t="s">
        <v>2563</v>
      </c>
      <c r="C3476" s="20">
        <v>49997.0</v>
      </c>
      <c r="D3476" s="20" t="s">
        <v>2562</v>
      </c>
      <c r="E3476" s="5">
        <v>9.17906020996E11</v>
      </c>
      <c r="F3476" s="21">
        <v>20017.0</v>
      </c>
      <c r="G3476" s="20"/>
      <c r="H3476" s="20" t="s">
        <v>2455</v>
      </c>
      <c r="I3476" s="5"/>
      <c r="J3476" s="20">
        <v>1.0</v>
      </c>
      <c r="K3476" s="20">
        <v>99.0</v>
      </c>
      <c r="L3476" s="20"/>
      <c r="M3476" s="20">
        <v>99.0</v>
      </c>
      <c r="N3476" s="5" t="s">
        <v>67</v>
      </c>
      <c r="O3476" s="20" t="b">
        <v>0</v>
      </c>
      <c r="P3476" s="20" t="s">
        <v>68</v>
      </c>
      <c r="Q3476" s="20" t="s">
        <v>69</v>
      </c>
      <c r="R3476" s="20" t="s">
        <v>2457</v>
      </c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</row>
    <row r="3477">
      <c r="A3477" s="15" t="s">
        <v>11470</v>
      </c>
      <c r="B3477" s="19" t="s">
        <v>4860</v>
      </c>
      <c r="C3477" s="20">
        <v>49996.0</v>
      </c>
      <c r="D3477" s="20" t="s">
        <v>4859</v>
      </c>
      <c r="E3477" s="5">
        <v>9.16201264611E11</v>
      </c>
      <c r="F3477" s="21">
        <v>19955.0</v>
      </c>
      <c r="G3477" s="20"/>
      <c r="H3477" s="20" t="s">
        <v>4796</v>
      </c>
      <c r="I3477" s="5"/>
      <c r="J3477" s="20">
        <v>3.0</v>
      </c>
      <c r="K3477" s="20">
        <v>199.0</v>
      </c>
      <c r="L3477" s="20"/>
      <c r="M3477" s="20">
        <v>199.0</v>
      </c>
      <c r="N3477" s="5" t="s">
        <v>67</v>
      </c>
      <c r="O3477" s="20" t="b">
        <v>0</v>
      </c>
      <c r="P3477" s="20" t="s">
        <v>68</v>
      </c>
      <c r="Q3477" s="20" t="s">
        <v>69</v>
      </c>
      <c r="R3477" s="20" t="s">
        <v>4799</v>
      </c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</row>
    <row r="3478">
      <c r="A3478" s="15" t="s">
        <v>11640</v>
      </c>
      <c r="B3478" s="19" t="s">
        <v>5627</v>
      </c>
      <c r="C3478" s="20">
        <v>50023.0</v>
      </c>
      <c r="D3478" s="20" t="s">
        <v>5626</v>
      </c>
      <c r="E3478" s="5">
        <v>9.18126300309E11</v>
      </c>
      <c r="F3478" s="21">
        <v>20018.0</v>
      </c>
      <c r="G3478" s="20"/>
      <c r="H3478" s="20" t="s">
        <v>5508</v>
      </c>
      <c r="I3478" s="5"/>
      <c r="J3478" s="20">
        <v>3.0</v>
      </c>
      <c r="K3478" s="20">
        <v>199.0</v>
      </c>
      <c r="L3478" s="20"/>
      <c r="M3478" s="20">
        <v>199.0</v>
      </c>
      <c r="N3478" s="5" t="s">
        <v>67</v>
      </c>
      <c r="O3478" s="20" t="b">
        <v>0</v>
      </c>
      <c r="P3478" s="20" t="s">
        <v>151</v>
      </c>
      <c r="Q3478" s="20" t="s">
        <v>69</v>
      </c>
      <c r="R3478" s="20" t="s">
        <v>5510</v>
      </c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</row>
    <row r="3479">
      <c r="A3479" s="15" t="s">
        <v>11641</v>
      </c>
      <c r="B3479" s="19" t="s">
        <v>3738</v>
      </c>
      <c r="C3479" s="20">
        <v>50104.0</v>
      </c>
      <c r="D3479" s="20" t="s">
        <v>3737</v>
      </c>
      <c r="E3479" s="5">
        <v>9.17838069203E11</v>
      </c>
      <c r="F3479" s="21">
        <v>20019.0</v>
      </c>
      <c r="G3479" s="20"/>
      <c r="H3479" s="20" t="s">
        <v>3708</v>
      </c>
      <c r="I3479" s="5"/>
      <c r="J3479" s="20">
        <v>1.0</v>
      </c>
      <c r="K3479" s="20">
        <v>99.0</v>
      </c>
      <c r="L3479" s="20"/>
      <c r="M3479" s="20">
        <v>99.0</v>
      </c>
      <c r="N3479" s="5" t="s">
        <v>67</v>
      </c>
      <c r="O3479" s="20" t="b">
        <v>0</v>
      </c>
      <c r="P3479" s="20" t="s">
        <v>68</v>
      </c>
      <c r="Q3479" s="20" t="s">
        <v>69</v>
      </c>
      <c r="R3479" s="20" t="s">
        <v>3710</v>
      </c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</row>
    <row r="3480">
      <c r="A3480" s="15" t="s">
        <v>11634</v>
      </c>
      <c r="B3480" s="19" t="s">
        <v>5981</v>
      </c>
      <c r="C3480" s="20">
        <v>49993.0</v>
      </c>
      <c r="D3480" s="20" t="s">
        <v>5980</v>
      </c>
      <c r="E3480" s="5">
        <v>9.18884543295E11</v>
      </c>
      <c r="F3480" s="22" t="s">
        <v>12593</v>
      </c>
      <c r="G3480" s="20"/>
      <c r="H3480" s="20" t="s">
        <v>1104</v>
      </c>
      <c r="I3480" s="5"/>
      <c r="J3480" s="20">
        <v>1.0</v>
      </c>
      <c r="K3480" s="20">
        <v>199.0</v>
      </c>
      <c r="L3480" s="20"/>
      <c r="M3480" s="20">
        <v>199.0</v>
      </c>
      <c r="N3480" s="5" t="s">
        <v>67</v>
      </c>
      <c r="O3480" s="20" t="b">
        <v>0</v>
      </c>
      <c r="P3480" s="20" t="s">
        <v>68</v>
      </c>
      <c r="Q3480" s="20" t="s">
        <v>69</v>
      </c>
      <c r="R3480" s="20" t="s">
        <v>5974</v>
      </c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</row>
    <row r="3481">
      <c r="A3481" s="15" t="s">
        <v>11476</v>
      </c>
      <c r="B3481" s="19" t="s">
        <v>6308</v>
      </c>
      <c r="C3481" s="20">
        <v>49998.0</v>
      </c>
      <c r="D3481" s="20" t="s">
        <v>6307</v>
      </c>
      <c r="E3481" s="5">
        <v>9.19706034962E11</v>
      </c>
      <c r="F3481" s="21">
        <v>19956.0</v>
      </c>
      <c r="G3481" s="20"/>
      <c r="H3481" s="20" t="s">
        <v>6250</v>
      </c>
      <c r="I3481" s="5"/>
      <c r="J3481" s="20">
        <v>1.0</v>
      </c>
      <c r="K3481" s="20">
        <v>99.0</v>
      </c>
      <c r="L3481" s="20"/>
      <c r="M3481" s="20">
        <v>99.0</v>
      </c>
      <c r="N3481" s="5" t="s">
        <v>67</v>
      </c>
      <c r="O3481" s="20" t="b">
        <v>0</v>
      </c>
      <c r="P3481" s="20" t="s">
        <v>74</v>
      </c>
      <c r="Q3481" s="20" t="s">
        <v>69</v>
      </c>
      <c r="R3481" s="20" t="s">
        <v>6252</v>
      </c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</row>
    <row r="3482">
      <c r="A3482" s="15" t="s">
        <v>11642</v>
      </c>
      <c r="B3482" s="19" t="s">
        <v>2565</v>
      </c>
      <c r="C3482" s="20">
        <v>49997.0</v>
      </c>
      <c r="D3482" s="20" t="s">
        <v>2564</v>
      </c>
      <c r="E3482" s="5">
        <v>9.17987036123E11</v>
      </c>
      <c r="F3482" s="21">
        <v>20020.0</v>
      </c>
      <c r="G3482" s="20"/>
      <c r="H3482" s="20" t="s">
        <v>2455</v>
      </c>
      <c r="I3482" s="5"/>
      <c r="J3482" s="20">
        <v>1.0</v>
      </c>
      <c r="K3482" s="20">
        <v>99.0</v>
      </c>
      <c r="L3482" s="20"/>
      <c r="M3482" s="20">
        <v>99.0</v>
      </c>
      <c r="N3482" s="5" t="s">
        <v>67</v>
      </c>
      <c r="O3482" s="20" t="b">
        <v>0</v>
      </c>
      <c r="P3482" s="20" t="s">
        <v>68</v>
      </c>
      <c r="Q3482" s="20" t="s">
        <v>69</v>
      </c>
      <c r="R3482" s="20" t="s">
        <v>2457</v>
      </c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</row>
    <row r="3483">
      <c r="A3483" s="15" t="s">
        <v>11478</v>
      </c>
      <c r="B3483" s="19" t="s">
        <v>2893</v>
      </c>
      <c r="C3483" s="20">
        <v>50029.0</v>
      </c>
      <c r="D3483" s="20" t="s">
        <v>2892</v>
      </c>
      <c r="E3483" s="5">
        <v>9.17386272829E11</v>
      </c>
      <c r="F3483" s="21">
        <v>19957.0</v>
      </c>
      <c r="G3483" s="20"/>
      <c r="H3483" s="20" t="s">
        <v>2761</v>
      </c>
      <c r="I3483" s="5"/>
      <c r="J3483" s="20">
        <v>1.0</v>
      </c>
      <c r="K3483" s="20">
        <v>99.0</v>
      </c>
      <c r="L3483" s="20"/>
      <c r="M3483" s="20">
        <v>99.0</v>
      </c>
      <c r="N3483" s="5" t="s">
        <v>67</v>
      </c>
      <c r="O3483" s="20" t="b">
        <v>0</v>
      </c>
      <c r="P3483" s="20" t="s">
        <v>68</v>
      </c>
      <c r="Q3483" s="20" t="s">
        <v>69</v>
      </c>
      <c r="R3483" s="20" t="s">
        <v>2763</v>
      </c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</row>
    <row r="3484">
      <c r="A3484" s="15" t="s">
        <v>11647</v>
      </c>
      <c r="B3484" s="19" t="s">
        <v>4013</v>
      </c>
      <c r="C3484" s="20">
        <v>50086.0</v>
      </c>
      <c r="D3484" s="20" t="s">
        <v>4012</v>
      </c>
      <c r="E3484" s="5">
        <v>9.19727068089E11</v>
      </c>
      <c r="F3484" s="21">
        <v>20218.0</v>
      </c>
      <c r="G3484" s="20"/>
      <c r="H3484" s="20" t="s">
        <v>3986</v>
      </c>
      <c r="I3484" s="5"/>
      <c r="J3484" s="20">
        <v>3.0</v>
      </c>
      <c r="K3484" s="20">
        <v>599.0</v>
      </c>
      <c r="L3484" s="20"/>
      <c r="M3484" s="20">
        <v>599.0</v>
      </c>
      <c r="N3484" s="5" t="s">
        <v>67</v>
      </c>
      <c r="O3484" s="20" t="b">
        <v>0</v>
      </c>
      <c r="P3484" s="20" t="s">
        <v>151</v>
      </c>
      <c r="Q3484" s="20" t="s">
        <v>69</v>
      </c>
      <c r="R3484" s="20" t="s">
        <v>3988</v>
      </c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</row>
    <row r="3485">
      <c r="A3485" s="15" t="s">
        <v>11645</v>
      </c>
      <c r="B3485" s="19" t="s">
        <v>3620</v>
      </c>
      <c r="C3485" s="20">
        <v>50136.0</v>
      </c>
      <c r="D3485" s="20" t="s">
        <v>3619</v>
      </c>
      <c r="E3485" s="5">
        <v>9.18264960042E11</v>
      </c>
      <c r="F3485" s="21">
        <v>18617.0</v>
      </c>
      <c r="G3485" s="20"/>
      <c r="H3485" s="20" t="s">
        <v>3618</v>
      </c>
      <c r="I3485" s="5"/>
      <c r="J3485" s="20">
        <v>1.0</v>
      </c>
      <c r="K3485" s="20">
        <v>99.0</v>
      </c>
      <c r="L3485" s="20"/>
      <c r="M3485" s="20">
        <v>99.0</v>
      </c>
      <c r="N3485" s="5" t="s">
        <v>67</v>
      </c>
      <c r="O3485" s="20" t="b">
        <v>0</v>
      </c>
      <c r="P3485" s="20" t="s">
        <v>151</v>
      </c>
      <c r="Q3485" s="20" t="s">
        <v>69</v>
      </c>
      <c r="R3485" s="20" t="s">
        <v>3621</v>
      </c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</row>
    <row r="3486">
      <c r="A3486" s="15" t="s">
        <v>11650</v>
      </c>
      <c r="B3486" s="19" t="s">
        <v>3529</v>
      </c>
      <c r="C3486" s="20">
        <v>50030.0</v>
      </c>
      <c r="D3486" s="20" t="s">
        <v>3528</v>
      </c>
      <c r="E3486" s="5">
        <v>9.18121895951E11</v>
      </c>
      <c r="F3486" s="21">
        <v>20021.0</v>
      </c>
      <c r="G3486" s="20"/>
      <c r="H3486" s="20" t="s">
        <v>3326</v>
      </c>
      <c r="I3486" s="5"/>
      <c r="J3486" s="20">
        <v>6.0</v>
      </c>
      <c r="K3486" s="20">
        <v>349.0</v>
      </c>
      <c r="L3486" s="20"/>
      <c r="M3486" s="20">
        <v>349.0</v>
      </c>
      <c r="N3486" s="5" t="s">
        <v>67</v>
      </c>
      <c r="O3486" s="20" t="b">
        <v>0</v>
      </c>
      <c r="P3486" s="20" t="s">
        <v>74</v>
      </c>
      <c r="Q3486" s="20" t="s">
        <v>69</v>
      </c>
      <c r="R3486" s="20" t="s">
        <v>3505</v>
      </c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</row>
    <row r="3487">
      <c r="A3487" s="15" t="s">
        <v>11479</v>
      </c>
      <c r="B3487" s="19" t="s">
        <v>4862</v>
      </c>
      <c r="C3487" s="20">
        <v>49996.0</v>
      </c>
      <c r="D3487" s="20" t="s">
        <v>4861</v>
      </c>
      <c r="E3487" s="5">
        <v>9.19159495802E11</v>
      </c>
      <c r="F3487" s="21">
        <v>19959.0</v>
      </c>
      <c r="G3487" s="20"/>
      <c r="H3487" s="20" t="s">
        <v>4796</v>
      </c>
      <c r="I3487" s="5"/>
      <c r="J3487" s="20">
        <v>1.0</v>
      </c>
      <c r="K3487" s="20">
        <v>99.0</v>
      </c>
      <c r="L3487" s="20"/>
      <c r="M3487" s="20">
        <v>99.0</v>
      </c>
      <c r="N3487" s="5" t="s">
        <v>67</v>
      </c>
      <c r="O3487" s="20" t="b">
        <v>0</v>
      </c>
      <c r="P3487" s="20" t="s">
        <v>68</v>
      </c>
      <c r="Q3487" s="20" t="s">
        <v>69</v>
      </c>
      <c r="R3487" s="20" t="s">
        <v>4799</v>
      </c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</row>
    <row r="3488">
      <c r="A3488" s="15" t="s">
        <v>11483</v>
      </c>
      <c r="B3488" s="19" t="s">
        <v>4864</v>
      </c>
      <c r="C3488" s="20">
        <v>49996.0</v>
      </c>
      <c r="D3488" s="20" t="s">
        <v>4863</v>
      </c>
      <c r="E3488" s="5">
        <v>9.16304175156E11</v>
      </c>
      <c r="F3488" s="21">
        <v>19960.0</v>
      </c>
      <c r="G3488" s="20"/>
      <c r="H3488" s="20" t="s">
        <v>4796</v>
      </c>
      <c r="I3488" s="5"/>
      <c r="J3488" s="20">
        <v>1.0</v>
      </c>
      <c r="K3488" s="20">
        <v>99.0</v>
      </c>
      <c r="L3488" s="20"/>
      <c r="M3488" s="20">
        <v>99.0</v>
      </c>
      <c r="N3488" s="5" t="s">
        <v>67</v>
      </c>
      <c r="O3488" s="20" t="b">
        <v>0</v>
      </c>
      <c r="P3488" s="20" t="s">
        <v>68</v>
      </c>
      <c r="Q3488" s="20" t="s">
        <v>69</v>
      </c>
      <c r="R3488" s="20" t="s">
        <v>4799</v>
      </c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</row>
    <row r="3489">
      <c r="A3489" s="15" t="s">
        <v>11488</v>
      </c>
      <c r="B3489" s="19" t="s">
        <v>4511</v>
      </c>
      <c r="C3489" s="20">
        <v>50052.0</v>
      </c>
      <c r="D3489" s="20" t="s">
        <v>4510</v>
      </c>
      <c r="E3489" s="5">
        <v>9.19819047773E11</v>
      </c>
      <c r="F3489" s="21">
        <v>19963.0</v>
      </c>
      <c r="G3489" s="20"/>
      <c r="H3489" s="20" t="s">
        <v>4433</v>
      </c>
      <c r="I3489" s="5"/>
      <c r="J3489" s="20">
        <v>6.0</v>
      </c>
      <c r="K3489" s="20">
        <v>349.0</v>
      </c>
      <c r="L3489" s="20"/>
      <c r="M3489" s="20">
        <v>349.0</v>
      </c>
      <c r="N3489" s="5" t="s">
        <v>67</v>
      </c>
      <c r="O3489" s="20" t="b">
        <v>0</v>
      </c>
      <c r="P3489" s="20" t="s">
        <v>74</v>
      </c>
      <c r="Q3489" s="20" t="s">
        <v>69</v>
      </c>
      <c r="R3489" s="20" t="s">
        <v>4512</v>
      </c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</row>
    <row r="3490">
      <c r="A3490" s="15" t="s">
        <v>11656</v>
      </c>
      <c r="B3490" s="19" t="s">
        <v>5983</v>
      </c>
      <c r="C3490" s="20">
        <v>49993.0</v>
      </c>
      <c r="D3490" s="20" t="s">
        <v>5982</v>
      </c>
      <c r="E3490" s="5">
        <v>9.19886495459E11</v>
      </c>
      <c r="F3490" s="21">
        <v>20023.0</v>
      </c>
      <c r="G3490" s="20"/>
      <c r="H3490" s="20" t="s">
        <v>1104</v>
      </c>
      <c r="I3490" s="5"/>
      <c r="J3490" s="20">
        <v>1.0</v>
      </c>
      <c r="K3490" s="20">
        <v>199.0</v>
      </c>
      <c r="L3490" s="20"/>
      <c r="M3490" s="20">
        <v>199.0</v>
      </c>
      <c r="N3490" s="5" t="s">
        <v>67</v>
      </c>
      <c r="O3490" s="20" t="b">
        <v>0</v>
      </c>
      <c r="P3490" s="20" t="s">
        <v>74</v>
      </c>
      <c r="Q3490" s="20" t="s">
        <v>69</v>
      </c>
      <c r="R3490" s="20" t="s">
        <v>5974</v>
      </c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</row>
    <row r="3491">
      <c r="A3491" s="15" t="s">
        <v>11491</v>
      </c>
      <c r="B3491" s="19" t="s">
        <v>5941</v>
      </c>
      <c r="C3491" s="20">
        <v>50054.0</v>
      </c>
      <c r="D3491" s="20" t="s">
        <v>5940</v>
      </c>
      <c r="E3491" s="5">
        <v>9.1745681081E11</v>
      </c>
      <c r="F3491" s="21">
        <v>19962.0</v>
      </c>
      <c r="G3491" s="20"/>
      <c r="H3491" s="20" t="s">
        <v>5822</v>
      </c>
      <c r="I3491" s="5"/>
      <c r="J3491" s="20">
        <v>6.0</v>
      </c>
      <c r="K3491" s="20">
        <v>349.0</v>
      </c>
      <c r="L3491" s="20"/>
      <c r="M3491" s="20">
        <v>349.0</v>
      </c>
      <c r="N3491" s="5" t="s">
        <v>67</v>
      </c>
      <c r="O3491" s="20" t="b">
        <v>0</v>
      </c>
      <c r="P3491" s="20" t="s">
        <v>68</v>
      </c>
      <c r="Q3491" s="20" t="s">
        <v>69</v>
      </c>
      <c r="R3491" s="20" t="s">
        <v>5824</v>
      </c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</row>
    <row r="3492">
      <c r="A3492" s="15" t="s">
        <v>11657</v>
      </c>
      <c r="B3492" s="19" t="s">
        <v>2567</v>
      </c>
      <c r="C3492" s="20">
        <v>49997.0</v>
      </c>
      <c r="D3492" s="20" t="s">
        <v>2566</v>
      </c>
      <c r="E3492" s="5">
        <v>9.19897523433E11</v>
      </c>
      <c r="F3492" s="21">
        <v>20022.0</v>
      </c>
      <c r="G3492" s="20"/>
      <c r="H3492" s="20" t="s">
        <v>2455</v>
      </c>
      <c r="I3492" s="5"/>
      <c r="J3492" s="20">
        <v>1.0</v>
      </c>
      <c r="K3492" s="20">
        <v>99.0</v>
      </c>
      <c r="L3492" s="20"/>
      <c r="M3492" s="20">
        <v>99.0</v>
      </c>
      <c r="N3492" s="5" t="s">
        <v>67</v>
      </c>
      <c r="O3492" s="20" t="b">
        <v>0</v>
      </c>
      <c r="P3492" s="20" t="s">
        <v>68</v>
      </c>
      <c r="Q3492" s="20" t="s">
        <v>69</v>
      </c>
      <c r="R3492" s="20" t="s">
        <v>2457</v>
      </c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</row>
    <row r="3493">
      <c r="A3493" s="15" t="s">
        <v>11502</v>
      </c>
      <c r="B3493" s="19" t="s">
        <v>5297</v>
      </c>
      <c r="C3493" s="20">
        <v>50022.0</v>
      </c>
      <c r="D3493" s="20" t="s">
        <v>5296</v>
      </c>
      <c r="E3493" s="5">
        <v>9.19298858281E11</v>
      </c>
      <c r="F3493" s="21">
        <v>19965.0</v>
      </c>
      <c r="G3493" s="20"/>
      <c r="H3493" s="20" t="s">
        <v>5181</v>
      </c>
      <c r="I3493" s="5"/>
      <c r="J3493" s="20">
        <v>3.0</v>
      </c>
      <c r="K3493" s="20">
        <v>199.0</v>
      </c>
      <c r="L3493" s="20"/>
      <c r="M3493" s="20">
        <v>199.0</v>
      </c>
      <c r="N3493" s="5" t="s">
        <v>67</v>
      </c>
      <c r="O3493" s="20" t="b">
        <v>0</v>
      </c>
      <c r="P3493" s="20" t="s">
        <v>74</v>
      </c>
      <c r="Q3493" s="20" t="s">
        <v>69</v>
      </c>
      <c r="R3493" s="20" t="s">
        <v>5183</v>
      </c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</row>
    <row r="3494">
      <c r="A3494" s="15" t="s">
        <v>11503</v>
      </c>
      <c r="B3494" s="19" t="s">
        <v>2559</v>
      </c>
      <c r="C3494" s="20">
        <v>50022.0</v>
      </c>
      <c r="D3494" s="20" t="s">
        <v>5298</v>
      </c>
      <c r="E3494" s="5">
        <v>9.19413867417E11</v>
      </c>
      <c r="F3494" s="21">
        <v>19964.0</v>
      </c>
      <c r="G3494" s="20"/>
      <c r="H3494" s="20" t="s">
        <v>5181</v>
      </c>
      <c r="I3494" s="5"/>
      <c r="J3494" s="20">
        <v>1.0</v>
      </c>
      <c r="K3494" s="20">
        <v>99.0</v>
      </c>
      <c r="L3494" s="20"/>
      <c r="M3494" s="20">
        <v>99.0</v>
      </c>
      <c r="N3494" s="5" t="s">
        <v>67</v>
      </c>
      <c r="O3494" s="20" t="b">
        <v>0</v>
      </c>
      <c r="P3494" s="20" t="s">
        <v>68</v>
      </c>
      <c r="Q3494" s="20" t="s">
        <v>69</v>
      </c>
      <c r="R3494" s="20" t="s">
        <v>5183</v>
      </c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</row>
    <row r="3495">
      <c r="A3495" s="15" t="s">
        <v>11504</v>
      </c>
      <c r="B3495" s="19" t="s">
        <v>2559</v>
      </c>
      <c r="C3495" s="20">
        <v>49997.0</v>
      </c>
      <c r="D3495" s="20" t="s">
        <v>2558</v>
      </c>
      <c r="E3495" s="5">
        <v>9.18185918851E11</v>
      </c>
      <c r="F3495" s="21">
        <v>19966.0</v>
      </c>
      <c r="G3495" s="20"/>
      <c r="H3495" s="20" t="s">
        <v>2455</v>
      </c>
      <c r="I3495" s="5"/>
      <c r="J3495" s="20">
        <v>3.0</v>
      </c>
      <c r="K3495" s="20">
        <v>199.0</v>
      </c>
      <c r="L3495" s="20"/>
      <c r="M3495" s="20">
        <v>199.0</v>
      </c>
      <c r="N3495" s="5" t="s">
        <v>67</v>
      </c>
      <c r="O3495" s="20" t="b">
        <v>0</v>
      </c>
      <c r="P3495" s="20" t="s">
        <v>68</v>
      </c>
      <c r="Q3495" s="20" t="s">
        <v>69</v>
      </c>
      <c r="R3495" s="20" t="s">
        <v>2457</v>
      </c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</row>
    <row r="3496">
      <c r="A3496" s="15" t="s">
        <v>11658</v>
      </c>
      <c r="B3496" s="19" t="s">
        <v>4764</v>
      </c>
      <c r="C3496" s="20">
        <v>49859.0</v>
      </c>
      <c r="D3496" s="20" t="s">
        <v>4763</v>
      </c>
      <c r="E3496" s="5">
        <v>9.1932267789E11</v>
      </c>
      <c r="F3496" s="21">
        <v>20046.0</v>
      </c>
      <c r="G3496" s="20"/>
      <c r="H3496" s="20" t="s">
        <v>1133</v>
      </c>
      <c r="I3496" s="5"/>
      <c r="J3496" s="20">
        <v>1.0</v>
      </c>
      <c r="K3496" s="20">
        <v>99.0</v>
      </c>
      <c r="L3496" s="20"/>
      <c r="M3496" s="20">
        <v>99.0</v>
      </c>
      <c r="N3496" s="5" t="s">
        <v>67</v>
      </c>
      <c r="O3496" s="20" t="b">
        <v>0</v>
      </c>
      <c r="P3496" s="20" t="s">
        <v>68</v>
      </c>
      <c r="Q3496" s="20" t="s">
        <v>69</v>
      </c>
      <c r="R3496" s="20" t="s">
        <v>4736</v>
      </c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</row>
    <row r="3497">
      <c r="A3497" s="15" t="s">
        <v>11662</v>
      </c>
      <c r="B3497" s="19" t="s">
        <v>4419</v>
      </c>
      <c r="C3497" s="20">
        <v>50110.0</v>
      </c>
      <c r="D3497" s="20" t="s">
        <v>4418</v>
      </c>
      <c r="E3497" s="5">
        <v>9.18793790617E11</v>
      </c>
      <c r="F3497" s="21">
        <v>20027.0</v>
      </c>
      <c r="G3497" s="20"/>
      <c r="H3497" s="20" t="s">
        <v>4399</v>
      </c>
      <c r="I3497" s="5"/>
      <c r="J3497" s="20">
        <v>3.0</v>
      </c>
      <c r="K3497" s="20">
        <v>199.0</v>
      </c>
      <c r="L3497" s="20"/>
      <c r="M3497" s="20">
        <v>199.0</v>
      </c>
      <c r="N3497" s="5" t="s">
        <v>67</v>
      </c>
      <c r="O3497" s="20" t="b">
        <v>0</v>
      </c>
      <c r="P3497" s="20" t="s">
        <v>68</v>
      </c>
      <c r="Q3497" s="20" t="s">
        <v>69</v>
      </c>
      <c r="R3497" s="20" t="s">
        <v>4402</v>
      </c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</row>
    <row r="3498">
      <c r="A3498" s="15" t="s">
        <v>11664</v>
      </c>
      <c r="B3498" s="19" t="s">
        <v>6661</v>
      </c>
      <c r="C3498" s="20">
        <v>49994.0</v>
      </c>
      <c r="D3498" s="20" t="s">
        <v>6660</v>
      </c>
      <c r="E3498" s="5">
        <v>9.19811339168E11</v>
      </c>
      <c r="F3498" s="21">
        <v>20028.0</v>
      </c>
      <c r="G3498" s="20"/>
      <c r="H3498" s="20" t="s">
        <v>1264</v>
      </c>
      <c r="I3498" s="5"/>
      <c r="J3498" s="20">
        <v>1.0</v>
      </c>
      <c r="K3498" s="20">
        <v>99.0</v>
      </c>
      <c r="L3498" s="20"/>
      <c r="M3498" s="20">
        <v>99.0</v>
      </c>
      <c r="N3498" s="5" t="s">
        <v>67</v>
      </c>
      <c r="O3498" s="20" t="b">
        <v>0</v>
      </c>
      <c r="P3498" s="20" t="s">
        <v>68</v>
      </c>
      <c r="Q3498" s="20" t="s">
        <v>69</v>
      </c>
      <c r="R3498" s="20" t="s">
        <v>6615</v>
      </c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</row>
    <row r="3499">
      <c r="A3499" s="14" t="s">
        <v>12334</v>
      </c>
      <c r="B3499" s="19" t="s">
        <v>2452</v>
      </c>
      <c r="C3499" s="20">
        <v>50143.0</v>
      </c>
      <c r="D3499" s="20" t="s">
        <v>2451</v>
      </c>
      <c r="E3499" s="5">
        <v>9.19731761212E11</v>
      </c>
      <c r="F3499" s="21">
        <v>19967.0</v>
      </c>
      <c r="G3499" s="20"/>
      <c r="H3499" s="20" t="s">
        <v>2441</v>
      </c>
      <c r="I3499" s="5"/>
      <c r="J3499" s="20">
        <v>1.0</v>
      </c>
      <c r="K3499" s="20">
        <v>199.0</v>
      </c>
      <c r="L3499" s="20"/>
      <c r="M3499" s="20">
        <v>199.0</v>
      </c>
      <c r="N3499" s="5" t="s">
        <v>67</v>
      </c>
      <c r="O3499" s="20" t="b">
        <v>0</v>
      </c>
      <c r="P3499" s="20" t="s">
        <v>68</v>
      </c>
      <c r="Q3499" s="20" t="s">
        <v>69</v>
      </c>
      <c r="R3499" s="20" t="s">
        <v>2453</v>
      </c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</row>
    <row r="3500">
      <c r="A3500" s="14" t="s">
        <v>12338</v>
      </c>
      <c r="B3500" s="19" t="s">
        <v>2454</v>
      </c>
      <c r="C3500" s="20">
        <v>50143.0</v>
      </c>
      <c r="D3500" s="20" t="s">
        <v>2451</v>
      </c>
      <c r="E3500" s="5">
        <v>9.19731761212E11</v>
      </c>
      <c r="F3500" s="21">
        <v>19967.0</v>
      </c>
      <c r="G3500" s="20"/>
      <c r="H3500" s="20" t="s">
        <v>2441</v>
      </c>
      <c r="I3500" s="5"/>
      <c r="J3500" s="20">
        <v>1.0</v>
      </c>
      <c r="K3500" s="20">
        <v>199.0</v>
      </c>
      <c r="L3500" s="20"/>
      <c r="M3500" s="20">
        <v>199.0</v>
      </c>
      <c r="N3500" s="5" t="s">
        <v>67</v>
      </c>
      <c r="O3500" s="20" t="b">
        <v>0</v>
      </c>
      <c r="P3500" s="20" t="s">
        <v>68</v>
      </c>
      <c r="Q3500" s="20" t="s">
        <v>69</v>
      </c>
      <c r="R3500" s="20" t="s">
        <v>2453</v>
      </c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</row>
    <row r="3501">
      <c r="A3501" s="14" t="s">
        <v>12287</v>
      </c>
      <c r="B3501" s="19" t="s">
        <v>3761</v>
      </c>
      <c r="C3501" s="20">
        <v>50104.0</v>
      </c>
      <c r="D3501" s="20" t="s">
        <v>2451</v>
      </c>
      <c r="E3501" s="5">
        <v>9.19731761212E11</v>
      </c>
      <c r="F3501" s="21">
        <v>19967.0</v>
      </c>
      <c r="G3501" s="20"/>
      <c r="H3501" s="20" t="s">
        <v>3708</v>
      </c>
      <c r="I3501" s="5"/>
      <c r="J3501" s="20">
        <v>1.0</v>
      </c>
      <c r="K3501" s="20">
        <v>99.0</v>
      </c>
      <c r="L3501" s="20"/>
      <c r="M3501" s="20">
        <v>99.0</v>
      </c>
      <c r="N3501" s="5" t="s">
        <v>67</v>
      </c>
      <c r="O3501" s="20" t="b">
        <v>0</v>
      </c>
      <c r="P3501" s="20" t="s">
        <v>68</v>
      </c>
      <c r="Q3501" s="20" t="s">
        <v>69</v>
      </c>
      <c r="R3501" s="20" t="s">
        <v>3716</v>
      </c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</row>
    <row r="3502">
      <c r="A3502" s="15" t="s">
        <v>11507</v>
      </c>
      <c r="B3502" s="19" t="s">
        <v>4760</v>
      </c>
      <c r="C3502" s="20">
        <v>49859.0</v>
      </c>
      <c r="D3502" s="20" t="s">
        <v>2451</v>
      </c>
      <c r="E3502" s="5">
        <v>9.19731761212E11</v>
      </c>
      <c r="F3502" s="21">
        <v>19967.0</v>
      </c>
      <c r="G3502" s="20"/>
      <c r="H3502" s="20" t="s">
        <v>1133</v>
      </c>
      <c r="I3502" s="5"/>
      <c r="J3502" s="20">
        <v>1.0</v>
      </c>
      <c r="K3502" s="20">
        <v>99.0</v>
      </c>
      <c r="L3502" s="20"/>
      <c r="M3502" s="20">
        <v>99.0</v>
      </c>
      <c r="N3502" s="5" t="s">
        <v>67</v>
      </c>
      <c r="O3502" s="20" t="b">
        <v>0</v>
      </c>
      <c r="P3502" s="20" t="s">
        <v>68</v>
      </c>
      <c r="Q3502" s="20" t="s">
        <v>69</v>
      </c>
      <c r="R3502" s="20" t="s">
        <v>4741</v>
      </c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</row>
    <row r="3503">
      <c r="A3503" s="15" t="s">
        <v>11665</v>
      </c>
      <c r="B3503" s="19" t="s">
        <v>5300</v>
      </c>
      <c r="C3503" s="20">
        <v>50022.0</v>
      </c>
      <c r="D3503" s="20" t="s">
        <v>5299</v>
      </c>
      <c r="E3503" s="5">
        <v>9.1981881646E11</v>
      </c>
      <c r="F3503" s="21">
        <v>20035.0</v>
      </c>
      <c r="G3503" s="20"/>
      <c r="H3503" s="20" t="s">
        <v>5181</v>
      </c>
      <c r="I3503" s="5"/>
      <c r="J3503" s="20">
        <v>6.0</v>
      </c>
      <c r="K3503" s="20">
        <v>349.0</v>
      </c>
      <c r="L3503" s="20"/>
      <c r="M3503" s="20">
        <v>349.0</v>
      </c>
      <c r="N3503" s="5" t="s">
        <v>67</v>
      </c>
      <c r="O3503" s="20" t="b">
        <v>0</v>
      </c>
      <c r="P3503" s="20" t="s">
        <v>74</v>
      </c>
      <c r="Q3503" s="20" t="s">
        <v>69</v>
      </c>
      <c r="R3503" s="20" t="s">
        <v>5183</v>
      </c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</row>
    <row r="3504">
      <c r="A3504" s="15" t="s">
        <v>11511</v>
      </c>
      <c r="B3504" s="19" t="s">
        <v>4762</v>
      </c>
      <c r="C3504" s="20">
        <v>49859.0</v>
      </c>
      <c r="D3504" s="20" t="s">
        <v>4761</v>
      </c>
      <c r="E3504" s="5">
        <v>9.19113845355E11</v>
      </c>
      <c r="F3504" s="21">
        <v>19973.0</v>
      </c>
      <c r="G3504" s="20"/>
      <c r="H3504" s="20" t="s">
        <v>1133</v>
      </c>
      <c r="I3504" s="5"/>
      <c r="J3504" s="20">
        <v>1.0</v>
      </c>
      <c r="K3504" s="20">
        <v>99.0</v>
      </c>
      <c r="L3504" s="20"/>
      <c r="M3504" s="20">
        <v>99.0</v>
      </c>
      <c r="N3504" s="5" t="s">
        <v>67</v>
      </c>
      <c r="O3504" s="20" t="b">
        <v>0</v>
      </c>
      <c r="P3504" s="20" t="s">
        <v>68</v>
      </c>
      <c r="Q3504" s="20" t="s">
        <v>69</v>
      </c>
      <c r="R3504" s="20" t="s">
        <v>4736</v>
      </c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</row>
    <row r="3505">
      <c r="A3505" s="15" t="s">
        <v>11661</v>
      </c>
      <c r="B3505" s="19" t="s">
        <v>5629</v>
      </c>
      <c r="C3505" s="20">
        <v>50023.0</v>
      </c>
      <c r="D3505" s="20" t="s">
        <v>5628</v>
      </c>
      <c r="E3505" s="5">
        <v>9.18500253053E11</v>
      </c>
      <c r="F3505" s="21">
        <v>20025.0</v>
      </c>
      <c r="G3505" s="20"/>
      <c r="H3505" s="20" t="s">
        <v>5508</v>
      </c>
      <c r="I3505" s="5"/>
      <c r="J3505" s="20">
        <v>1.0</v>
      </c>
      <c r="K3505" s="20">
        <v>99.0</v>
      </c>
      <c r="L3505" s="20"/>
      <c r="M3505" s="20">
        <v>99.0</v>
      </c>
      <c r="N3505" s="5" t="s">
        <v>67</v>
      </c>
      <c r="O3505" s="20" t="b">
        <v>0</v>
      </c>
      <c r="P3505" s="20" t="s">
        <v>68</v>
      </c>
      <c r="Q3505" s="20" t="s">
        <v>69</v>
      </c>
      <c r="R3505" s="20" t="s">
        <v>5510</v>
      </c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</row>
    <row r="3506">
      <c r="A3506" s="15" t="s">
        <v>11525</v>
      </c>
      <c r="B3506" s="19" t="s">
        <v>3167</v>
      </c>
      <c r="C3506" s="20">
        <v>49991.0</v>
      </c>
      <c r="D3506" s="20" t="s">
        <v>3166</v>
      </c>
      <c r="E3506" s="5">
        <v>9.19028663456E11</v>
      </c>
      <c r="F3506" s="21">
        <v>20031.0</v>
      </c>
      <c r="G3506" s="20"/>
      <c r="H3506" s="20" t="s">
        <v>3055</v>
      </c>
      <c r="I3506" s="5"/>
      <c r="J3506" s="20">
        <v>6.0</v>
      </c>
      <c r="K3506" s="20">
        <v>349.0</v>
      </c>
      <c r="L3506" s="20"/>
      <c r="M3506" s="20">
        <v>349.0</v>
      </c>
      <c r="N3506" s="5" t="s">
        <v>67</v>
      </c>
      <c r="O3506" s="20" t="b">
        <v>0</v>
      </c>
      <c r="P3506" s="20" t="s">
        <v>151</v>
      </c>
      <c r="Q3506" s="20" t="s">
        <v>69</v>
      </c>
      <c r="R3506" s="20" t="s">
        <v>3057</v>
      </c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</row>
    <row r="3507">
      <c r="A3507" s="15" t="s">
        <v>11666</v>
      </c>
      <c r="B3507" s="19" t="s">
        <v>4421</v>
      </c>
      <c r="C3507" s="20">
        <v>50110.0</v>
      </c>
      <c r="D3507" s="20" t="s">
        <v>4420</v>
      </c>
      <c r="E3507" s="5">
        <v>9.19515372808E11</v>
      </c>
      <c r="F3507" s="21">
        <v>20029.0</v>
      </c>
      <c r="G3507" s="20"/>
      <c r="H3507" s="20" t="s">
        <v>4399</v>
      </c>
      <c r="I3507" s="5"/>
      <c r="J3507" s="20">
        <v>1.0</v>
      </c>
      <c r="K3507" s="20">
        <v>99.0</v>
      </c>
      <c r="L3507" s="20"/>
      <c r="M3507" s="20">
        <v>99.0</v>
      </c>
      <c r="N3507" s="5" t="s">
        <v>67</v>
      </c>
      <c r="O3507" s="20" t="b">
        <v>0</v>
      </c>
      <c r="P3507" s="20" t="s">
        <v>68</v>
      </c>
      <c r="Q3507" s="20" t="s">
        <v>69</v>
      </c>
      <c r="R3507" s="20" t="s">
        <v>4402</v>
      </c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</row>
    <row r="3508">
      <c r="A3508" s="15" t="s">
        <v>11527</v>
      </c>
      <c r="B3508" s="19" t="s">
        <v>4011</v>
      </c>
      <c r="C3508" s="20">
        <v>50086.0</v>
      </c>
      <c r="D3508" s="20" t="s">
        <v>4007</v>
      </c>
      <c r="E3508" s="5">
        <v>9.71502845925E11</v>
      </c>
      <c r="F3508" s="21">
        <v>19969.0</v>
      </c>
      <c r="G3508" s="20"/>
      <c r="H3508" s="20" t="s">
        <v>3986</v>
      </c>
      <c r="I3508" s="5"/>
      <c r="J3508" s="20">
        <v>1.0</v>
      </c>
      <c r="K3508" s="20">
        <v>249.0</v>
      </c>
      <c r="L3508" s="20"/>
      <c r="M3508" s="20">
        <v>249.0</v>
      </c>
      <c r="N3508" s="5" t="s">
        <v>67</v>
      </c>
      <c r="O3508" s="20" t="b">
        <v>0</v>
      </c>
      <c r="P3508" s="20" t="s">
        <v>97</v>
      </c>
      <c r="Q3508" s="20" t="s">
        <v>69</v>
      </c>
      <c r="R3508" s="20" t="s">
        <v>3988</v>
      </c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</row>
    <row r="3509">
      <c r="A3509" s="15" t="s">
        <v>11528</v>
      </c>
      <c r="B3509" s="19" t="s">
        <v>4008</v>
      </c>
      <c r="C3509" s="20">
        <v>50086.0</v>
      </c>
      <c r="D3509" s="20" t="s">
        <v>4007</v>
      </c>
      <c r="E3509" s="5">
        <v>9.7470718294E10</v>
      </c>
      <c r="F3509" s="21">
        <v>19969.0</v>
      </c>
      <c r="G3509" s="20"/>
      <c r="H3509" s="20" t="s">
        <v>3986</v>
      </c>
      <c r="I3509" s="5"/>
      <c r="J3509" s="20">
        <v>1.0</v>
      </c>
      <c r="K3509" s="20">
        <v>249.0</v>
      </c>
      <c r="L3509" s="20"/>
      <c r="M3509" s="20">
        <v>249.0</v>
      </c>
      <c r="N3509" s="5" t="s">
        <v>67</v>
      </c>
      <c r="O3509" s="20" t="b">
        <v>0</v>
      </c>
      <c r="P3509" s="20" t="s">
        <v>97</v>
      </c>
      <c r="Q3509" s="20" t="s">
        <v>69</v>
      </c>
      <c r="R3509" s="20" t="s">
        <v>4001</v>
      </c>
      <c r="T3509" s="20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</row>
    <row r="3510">
      <c r="A3510" s="15" t="s">
        <v>11668</v>
      </c>
      <c r="B3510" s="19" t="s">
        <v>5949</v>
      </c>
      <c r="C3510" s="20">
        <v>50054.0</v>
      </c>
      <c r="D3510" s="20" t="s">
        <v>5948</v>
      </c>
      <c r="E3510" s="5">
        <v>9.19988882382E11</v>
      </c>
      <c r="F3510" s="21">
        <v>20040.0</v>
      </c>
      <c r="G3510" s="20"/>
      <c r="H3510" s="20" t="s">
        <v>5822</v>
      </c>
      <c r="I3510" s="5"/>
      <c r="J3510" s="20">
        <v>1.0</v>
      </c>
      <c r="K3510" s="20">
        <v>99.0</v>
      </c>
      <c r="L3510" s="20"/>
      <c r="M3510" s="20">
        <v>99.0</v>
      </c>
      <c r="N3510" s="5" t="s">
        <v>67</v>
      </c>
      <c r="O3510" s="20" t="b">
        <v>0</v>
      </c>
      <c r="P3510" s="20" t="s">
        <v>68</v>
      </c>
      <c r="Q3510" s="20" t="s">
        <v>69</v>
      </c>
      <c r="R3510" s="20" t="s">
        <v>5824</v>
      </c>
      <c r="T3510" s="20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</row>
    <row r="3511">
      <c r="A3511" s="15" t="s">
        <v>11532</v>
      </c>
      <c r="B3511" s="19" t="s">
        <v>6439</v>
      </c>
      <c r="C3511" s="20">
        <v>50043.0</v>
      </c>
      <c r="D3511" s="20" t="s">
        <v>6438</v>
      </c>
      <c r="E3511" s="5">
        <v>9.19398678985E11</v>
      </c>
      <c r="F3511" s="21">
        <v>6938.0</v>
      </c>
      <c r="G3511" s="20"/>
      <c r="H3511" s="20" t="s">
        <v>6367</v>
      </c>
      <c r="I3511" s="5"/>
      <c r="J3511" s="20">
        <v>1.0</v>
      </c>
      <c r="K3511" s="20">
        <v>99.0</v>
      </c>
      <c r="L3511" s="20"/>
      <c r="M3511" s="20">
        <v>99.0</v>
      </c>
      <c r="N3511" s="5" t="s">
        <v>67</v>
      </c>
      <c r="O3511" s="20" t="b">
        <v>0</v>
      </c>
      <c r="P3511" s="20" t="s">
        <v>68</v>
      </c>
      <c r="Q3511" s="20" t="s">
        <v>69</v>
      </c>
      <c r="R3511" s="20" t="s">
        <v>6369</v>
      </c>
      <c r="T3511" s="20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</row>
    <row r="3512">
      <c r="A3512" s="15" t="s">
        <v>11529</v>
      </c>
      <c r="B3512" s="19" t="s">
        <v>5615</v>
      </c>
      <c r="C3512" s="20">
        <v>50023.0</v>
      </c>
      <c r="D3512" s="20" t="s">
        <v>5614</v>
      </c>
      <c r="E3512" s="5">
        <v>9.19011744354E11</v>
      </c>
      <c r="F3512" s="21">
        <v>19971.0</v>
      </c>
      <c r="G3512" s="20"/>
      <c r="H3512" s="20" t="s">
        <v>5508</v>
      </c>
      <c r="I3512" s="5"/>
      <c r="J3512" s="20">
        <v>1.0</v>
      </c>
      <c r="K3512" s="20">
        <v>99.0</v>
      </c>
      <c r="L3512" s="20"/>
      <c r="M3512" s="20">
        <v>99.0</v>
      </c>
      <c r="N3512" s="5" t="s">
        <v>67</v>
      </c>
      <c r="O3512" s="20" t="b">
        <v>0</v>
      </c>
      <c r="P3512" s="20" t="s">
        <v>68</v>
      </c>
      <c r="Q3512" s="20" t="s">
        <v>69</v>
      </c>
      <c r="R3512" s="20" t="s">
        <v>5510</v>
      </c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</row>
    <row r="3513">
      <c r="A3513" s="15" t="s">
        <v>11534</v>
      </c>
      <c r="B3513" s="19" t="s">
        <v>5059</v>
      </c>
      <c r="C3513" s="20">
        <v>50094.0</v>
      </c>
      <c r="D3513" s="20" t="s">
        <v>5058</v>
      </c>
      <c r="E3513" s="5">
        <v>9.18884536957E11</v>
      </c>
      <c r="F3513" s="21">
        <v>19972.0</v>
      </c>
      <c r="G3513" s="20"/>
      <c r="H3513" s="20" t="s">
        <v>4942</v>
      </c>
      <c r="I3513" s="5"/>
      <c r="J3513" s="20">
        <v>1.0</v>
      </c>
      <c r="K3513" s="20">
        <v>199.0</v>
      </c>
      <c r="L3513" s="20"/>
      <c r="M3513" s="20">
        <v>199.0</v>
      </c>
      <c r="N3513" s="5" t="s">
        <v>67</v>
      </c>
      <c r="O3513" s="20" t="b">
        <v>0</v>
      </c>
      <c r="P3513" s="20" t="s">
        <v>68</v>
      </c>
      <c r="Q3513" s="20" t="s">
        <v>69</v>
      </c>
      <c r="R3513" s="20" t="s">
        <v>4945</v>
      </c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</row>
    <row r="3514">
      <c r="A3514" s="15" t="s">
        <v>11667</v>
      </c>
      <c r="B3514" s="19" t="s">
        <v>6360</v>
      </c>
      <c r="C3514" s="20">
        <v>50044.0</v>
      </c>
      <c r="D3514" s="20" t="s">
        <v>6359</v>
      </c>
      <c r="E3514" s="5">
        <v>9.1983692598E11</v>
      </c>
      <c r="F3514" s="21">
        <v>20030.0</v>
      </c>
      <c r="G3514" s="20"/>
      <c r="H3514" s="20" t="s">
        <v>6320</v>
      </c>
      <c r="I3514" s="5"/>
      <c r="J3514" s="20">
        <v>1.0</v>
      </c>
      <c r="K3514" s="20">
        <v>349.0</v>
      </c>
      <c r="L3514" s="20"/>
      <c r="M3514" s="20">
        <v>349.0</v>
      </c>
      <c r="N3514" s="5" t="s">
        <v>67</v>
      </c>
      <c r="O3514" s="20" t="b">
        <v>0</v>
      </c>
      <c r="P3514" s="20" t="s">
        <v>74</v>
      </c>
      <c r="Q3514" s="20" t="s">
        <v>69</v>
      </c>
      <c r="R3514" s="20" t="s">
        <v>6322</v>
      </c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</row>
    <row r="3515">
      <c r="A3515" s="15" t="s">
        <v>11535</v>
      </c>
      <c r="B3515" s="19" t="s">
        <v>6247</v>
      </c>
      <c r="C3515" s="20">
        <v>50046.0</v>
      </c>
      <c r="D3515" s="20" t="s">
        <v>6246</v>
      </c>
      <c r="E3515" s="5">
        <v>9.17741853402E11</v>
      </c>
      <c r="F3515" s="21">
        <v>1680.0</v>
      </c>
      <c r="G3515" s="20"/>
      <c r="H3515" s="20" t="s">
        <v>6217</v>
      </c>
      <c r="I3515" s="5"/>
      <c r="J3515" s="20">
        <v>3.0</v>
      </c>
      <c r="K3515" s="20">
        <v>199.0</v>
      </c>
      <c r="L3515" s="20"/>
      <c r="M3515" s="20">
        <v>199.0</v>
      </c>
      <c r="N3515" s="5" t="s">
        <v>67</v>
      </c>
      <c r="O3515" s="20" t="b">
        <v>0</v>
      </c>
      <c r="P3515" s="20" t="s">
        <v>151</v>
      </c>
      <c r="Q3515" s="20" t="s">
        <v>69</v>
      </c>
      <c r="R3515" s="20" t="s">
        <v>6219</v>
      </c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</row>
    <row r="3516">
      <c r="A3516" s="15" t="s">
        <v>11673</v>
      </c>
      <c r="B3516" s="19" t="s">
        <v>5063</v>
      </c>
      <c r="C3516" s="20">
        <v>50094.0</v>
      </c>
      <c r="D3516" s="20" t="s">
        <v>5062</v>
      </c>
      <c r="E3516" s="5">
        <v>9.17093237385E11</v>
      </c>
      <c r="F3516" s="21">
        <v>20032.0</v>
      </c>
      <c r="G3516" s="20"/>
      <c r="H3516" s="20" t="s">
        <v>4942</v>
      </c>
      <c r="I3516" s="5"/>
      <c r="J3516" s="20">
        <v>1.0</v>
      </c>
      <c r="K3516" s="20">
        <v>199.0</v>
      </c>
      <c r="L3516" s="20"/>
      <c r="M3516" s="20">
        <v>199.0</v>
      </c>
      <c r="N3516" s="5" t="s">
        <v>67</v>
      </c>
      <c r="O3516" s="20" t="b">
        <v>0</v>
      </c>
      <c r="P3516" s="20" t="s">
        <v>68</v>
      </c>
      <c r="Q3516" s="20" t="s">
        <v>69</v>
      </c>
      <c r="R3516" s="20" t="s">
        <v>4945</v>
      </c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</row>
    <row r="3517">
      <c r="A3517" s="15" t="s">
        <v>11671</v>
      </c>
      <c r="B3517" s="19" t="s">
        <v>3531</v>
      </c>
      <c r="C3517" s="20">
        <v>50030.0</v>
      </c>
      <c r="D3517" s="20" t="s">
        <v>3530</v>
      </c>
      <c r="E3517" s="5">
        <v>9.17840841999E11</v>
      </c>
      <c r="F3517" s="21">
        <v>20034.0</v>
      </c>
      <c r="G3517" s="20"/>
      <c r="H3517" s="20" t="s">
        <v>3326</v>
      </c>
      <c r="I3517" s="5"/>
      <c r="J3517" s="20">
        <v>1.0</v>
      </c>
      <c r="K3517" s="20">
        <v>99.0</v>
      </c>
      <c r="L3517" s="20"/>
      <c r="M3517" s="20">
        <v>99.0</v>
      </c>
      <c r="N3517" s="5" t="s">
        <v>67</v>
      </c>
      <c r="O3517" s="20" t="b">
        <v>0</v>
      </c>
      <c r="P3517" s="20" t="s">
        <v>151</v>
      </c>
      <c r="Q3517" s="20" t="s">
        <v>69</v>
      </c>
      <c r="R3517" s="20" t="s">
        <v>3505</v>
      </c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</row>
    <row r="3518">
      <c r="A3518" s="15" t="s">
        <v>11536</v>
      </c>
      <c r="B3518" s="19" t="s">
        <v>3281</v>
      </c>
      <c r="C3518" s="20">
        <v>50047.0</v>
      </c>
      <c r="D3518" s="20" t="s">
        <v>3280</v>
      </c>
      <c r="E3518" s="5">
        <v>9.19654434593E11</v>
      </c>
      <c r="F3518" s="21">
        <v>19975.0</v>
      </c>
      <c r="G3518" s="20"/>
      <c r="H3518" s="20" t="s">
        <v>3195</v>
      </c>
      <c r="I3518" s="5"/>
      <c r="J3518" s="20">
        <v>3.0</v>
      </c>
      <c r="K3518" s="20">
        <v>199.0</v>
      </c>
      <c r="L3518" s="20"/>
      <c r="M3518" s="20">
        <v>199.0</v>
      </c>
      <c r="N3518" s="5" t="s">
        <v>67</v>
      </c>
      <c r="O3518" s="20" t="b">
        <v>0</v>
      </c>
      <c r="P3518" s="20" t="s">
        <v>68</v>
      </c>
      <c r="Q3518" s="20" t="s">
        <v>69</v>
      </c>
      <c r="R3518" s="20" t="s">
        <v>3197</v>
      </c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</row>
    <row r="3519">
      <c r="A3519" s="15" t="s">
        <v>11676</v>
      </c>
      <c r="B3519" s="19" t="s">
        <v>5631</v>
      </c>
      <c r="C3519" s="20">
        <v>50023.0</v>
      </c>
      <c r="D3519" s="20" t="s">
        <v>5630</v>
      </c>
      <c r="E3519" s="5">
        <v>9.19722544329E11</v>
      </c>
      <c r="F3519" s="21">
        <v>20033.0</v>
      </c>
      <c r="G3519" s="20"/>
      <c r="H3519" s="20" t="s">
        <v>5508</v>
      </c>
      <c r="I3519" s="5"/>
      <c r="J3519" s="20">
        <v>1.0</v>
      </c>
      <c r="K3519" s="20">
        <v>99.0</v>
      </c>
      <c r="L3519" s="20"/>
      <c r="M3519" s="20">
        <v>99.0</v>
      </c>
      <c r="N3519" s="5" t="s">
        <v>67</v>
      </c>
      <c r="O3519" s="20" t="b">
        <v>0</v>
      </c>
      <c r="P3519" s="20" t="s">
        <v>151</v>
      </c>
      <c r="Q3519" s="20" t="s">
        <v>69</v>
      </c>
      <c r="R3519" s="20" t="s">
        <v>5510</v>
      </c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</row>
    <row r="3520">
      <c r="A3520" s="15" t="s">
        <v>11539</v>
      </c>
      <c r="B3520" s="19" t="s">
        <v>6441</v>
      </c>
      <c r="C3520" s="20">
        <v>50043.0</v>
      </c>
      <c r="D3520" s="20" t="s">
        <v>6440</v>
      </c>
      <c r="E3520" s="5">
        <v>9.18446333789E11</v>
      </c>
      <c r="F3520" s="21">
        <v>19989.0</v>
      </c>
      <c r="G3520" s="20"/>
      <c r="H3520" s="20" t="s">
        <v>6367</v>
      </c>
      <c r="I3520" s="5"/>
      <c r="J3520" s="20">
        <v>1.0</v>
      </c>
      <c r="K3520" s="20">
        <v>99.0</v>
      </c>
      <c r="L3520" s="20"/>
      <c r="M3520" s="20">
        <v>99.0</v>
      </c>
      <c r="N3520" s="5" t="s">
        <v>67</v>
      </c>
      <c r="O3520" s="20" t="b">
        <v>0</v>
      </c>
      <c r="P3520" s="20" t="s">
        <v>68</v>
      </c>
      <c r="Q3520" s="20" t="s">
        <v>69</v>
      </c>
      <c r="R3520" s="20" t="s">
        <v>6369</v>
      </c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</row>
    <row r="3521">
      <c r="A3521" s="15" t="s">
        <v>11540</v>
      </c>
      <c r="B3521" s="19" t="s">
        <v>6310</v>
      </c>
      <c r="C3521" s="20">
        <v>49998.0</v>
      </c>
      <c r="D3521" s="20" t="s">
        <v>6309</v>
      </c>
      <c r="E3521" s="5">
        <v>9.17652067825E11</v>
      </c>
      <c r="F3521" s="21">
        <v>2362.0</v>
      </c>
      <c r="G3521" s="20"/>
      <c r="H3521" s="20" t="s">
        <v>6250</v>
      </c>
      <c r="I3521" s="5"/>
      <c r="J3521" s="20">
        <v>1.0</v>
      </c>
      <c r="K3521" s="20">
        <v>99.0</v>
      </c>
      <c r="L3521" s="20"/>
      <c r="M3521" s="20">
        <v>99.0</v>
      </c>
      <c r="N3521" s="5" t="s">
        <v>67</v>
      </c>
      <c r="O3521" s="20" t="b">
        <v>0</v>
      </c>
      <c r="P3521" s="20" t="s">
        <v>74</v>
      </c>
      <c r="Q3521" s="20" t="s">
        <v>69</v>
      </c>
      <c r="R3521" s="20" t="s">
        <v>6311</v>
      </c>
      <c r="T3521" s="20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</row>
    <row r="3522">
      <c r="A3522" s="15" t="s">
        <v>11682</v>
      </c>
      <c r="B3522" s="19" t="s">
        <v>3533</v>
      </c>
      <c r="C3522" s="20">
        <v>50030.0</v>
      </c>
      <c r="D3522" s="20" t="s">
        <v>3532</v>
      </c>
      <c r="E3522" s="5">
        <v>9.19874883791E11</v>
      </c>
      <c r="F3522" s="21">
        <v>20036.0</v>
      </c>
      <c r="G3522" s="20"/>
      <c r="H3522" s="20" t="s">
        <v>3326</v>
      </c>
      <c r="I3522" s="5"/>
      <c r="J3522" s="20">
        <v>1.0</v>
      </c>
      <c r="K3522" s="20">
        <v>99.0</v>
      </c>
      <c r="L3522" s="20"/>
      <c r="M3522" s="20">
        <v>99.0</v>
      </c>
      <c r="N3522" s="5" t="s">
        <v>67</v>
      </c>
      <c r="O3522" s="20" t="b">
        <v>0</v>
      </c>
      <c r="P3522" s="20" t="s">
        <v>68</v>
      </c>
      <c r="Q3522" s="20" t="s">
        <v>69</v>
      </c>
      <c r="R3522" s="20" t="s">
        <v>3505</v>
      </c>
      <c r="T3522" s="20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</row>
    <row r="3523">
      <c r="A3523" s="15" t="s">
        <v>11683</v>
      </c>
      <c r="B3523" s="19" t="s">
        <v>5501</v>
      </c>
      <c r="C3523" s="20">
        <v>49844.0</v>
      </c>
      <c r="D3523" s="20" t="s">
        <v>5500</v>
      </c>
      <c r="E3523" s="5">
        <v>9.18921299687E11</v>
      </c>
      <c r="F3523" s="21">
        <v>20037.0</v>
      </c>
      <c r="G3523" s="20"/>
      <c r="H3523" s="20" t="s">
        <v>885</v>
      </c>
      <c r="I3523" s="5"/>
      <c r="J3523" s="20">
        <v>3.0</v>
      </c>
      <c r="K3523" s="20">
        <v>199.0</v>
      </c>
      <c r="L3523" s="20"/>
      <c r="M3523" s="20">
        <v>199.0</v>
      </c>
      <c r="N3523" s="5" t="s">
        <v>67</v>
      </c>
      <c r="O3523" s="20" t="b">
        <v>0</v>
      </c>
      <c r="P3523" s="20" t="s">
        <v>74</v>
      </c>
      <c r="Q3523" s="20" t="s">
        <v>69</v>
      </c>
      <c r="R3523" s="20" t="s">
        <v>5445</v>
      </c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</row>
    <row r="3524">
      <c r="A3524" s="15" t="s">
        <v>11685</v>
      </c>
      <c r="B3524" s="19" t="s">
        <v>3535</v>
      </c>
      <c r="C3524" s="20">
        <v>50030.0</v>
      </c>
      <c r="D3524" s="20" t="s">
        <v>3534</v>
      </c>
      <c r="E3524" s="5">
        <v>9.19686891279E11</v>
      </c>
      <c r="F3524" s="21">
        <v>20038.0</v>
      </c>
      <c r="G3524" s="20"/>
      <c r="H3524" s="20" t="s">
        <v>3326</v>
      </c>
      <c r="I3524" s="5"/>
      <c r="J3524" s="20">
        <v>1.0</v>
      </c>
      <c r="K3524" s="20">
        <v>99.0</v>
      </c>
      <c r="L3524" s="20"/>
      <c r="M3524" s="20">
        <v>99.0</v>
      </c>
      <c r="N3524" s="5" t="s">
        <v>67</v>
      </c>
      <c r="O3524" s="20" t="b">
        <v>0</v>
      </c>
      <c r="P3524" s="20" t="s">
        <v>68</v>
      </c>
      <c r="Q3524" s="20" t="s">
        <v>69</v>
      </c>
      <c r="R3524" s="20" t="s">
        <v>3328</v>
      </c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</row>
    <row r="3525">
      <c r="A3525" s="15" t="s">
        <v>11687</v>
      </c>
      <c r="B3525" s="19" t="s">
        <v>3949</v>
      </c>
      <c r="C3525" s="20">
        <v>49835.0</v>
      </c>
      <c r="D3525" s="20" t="s">
        <v>3948</v>
      </c>
      <c r="E3525" s="5">
        <v>9.19307421735E11</v>
      </c>
      <c r="F3525" s="21">
        <v>20039.0</v>
      </c>
      <c r="G3525" s="20"/>
      <c r="H3525" s="20" t="s">
        <v>680</v>
      </c>
      <c r="I3525" s="5"/>
      <c r="J3525" s="20">
        <v>3.0</v>
      </c>
      <c r="K3525" s="20">
        <v>199.0</v>
      </c>
      <c r="L3525" s="20"/>
      <c r="M3525" s="20">
        <v>199.0</v>
      </c>
      <c r="N3525" s="5" t="s">
        <v>67</v>
      </c>
      <c r="O3525" s="20" t="b">
        <v>0</v>
      </c>
      <c r="P3525" s="20" t="s">
        <v>68</v>
      </c>
      <c r="Q3525" s="20" t="s">
        <v>69</v>
      </c>
      <c r="R3525" s="20" t="s">
        <v>3888</v>
      </c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</row>
    <row r="3526">
      <c r="A3526" s="15" t="s">
        <v>11688</v>
      </c>
      <c r="B3526" s="19" t="s">
        <v>5633</v>
      </c>
      <c r="C3526" s="20">
        <v>50023.0</v>
      </c>
      <c r="D3526" s="20" t="s">
        <v>5632</v>
      </c>
      <c r="E3526" s="5">
        <v>9.18076195663E11</v>
      </c>
      <c r="F3526" s="21">
        <v>20041.0</v>
      </c>
      <c r="G3526" s="20"/>
      <c r="H3526" s="20" t="s">
        <v>5508</v>
      </c>
      <c r="I3526" s="5"/>
      <c r="J3526" s="20">
        <v>3.0</v>
      </c>
      <c r="K3526" s="20">
        <v>199.0</v>
      </c>
      <c r="L3526" s="20"/>
      <c r="M3526" s="20">
        <v>199.0</v>
      </c>
      <c r="N3526" s="5" t="s">
        <v>67</v>
      </c>
      <c r="O3526" s="20" t="b">
        <v>0</v>
      </c>
      <c r="P3526" s="20" t="s">
        <v>68</v>
      </c>
      <c r="Q3526" s="20" t="s">
        <v>69</v>
      </c>
      <c r="R3526" s="20" t="s">
        <v>5510</v>
      </c>
      <c r="T3526" s="20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</row>
    <row r="3527">
      <c r="A3527" s="15" t="s">
        <v>11689</v>
      </c>
      <c r="B3527" s="19" t="s">
        <v>3740</v>
      </c>
      <c r="C3527" s="20">
        <v>50104.0</v>
      </c>
      <c r="D3527" s="20" t="s">
        <v>3739</v>
      </c>
      <c r="E3527" s="5">
        <v>9.19662084121E11</v>
      </c>
      <c r="F3527" s="21">
        <v>20042.0</v>
      </c>
      <c r="G3527" s="20"/>
      <c r="H3527" s="20" t="s">
        <v>3708</v>
      </c>
      <c r="I3527" s="5"/>
      <c r="J3527" s="20">
        <v>1.0</v>
      </c>
      <c r="K3527" s="20">
        <v>99.0</v>
      </c>
      <c r="L3527" s="20"/>
      <c r="M3527" s="20">
        <v>99.0</v>
      </c>
      <c r="N3527" s="5" t="s">
        <v>67</v>
      </c>
      <c r="O3527" s="20" t="b">
        <v>0</v>
      </c>
      <c r="P3527" s="20" t="s">
        <v>151</v>
      </c>
      <c r="Q3527" s="20" t="s">
        <v>69</v>
      </c>
      <c r="R3527" s="20" t="s">
        <v>3710</v>
      </c>
      <c r="T3527" s="20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</row>
    <row r="3528">
      <c r="A3528" s="15" t="s">
        <v>11547</v>
      </c>
      <c r="B3528" s="19" t="s">
        <v>3519</v>
      </c>
      <c r="C3528" s="20">
        <v>50052.0</v>
      </c>
      <c r="D3528" s="20" t="s">
        <v>4513</v>
      </c>
      <c r="E3528" s="5">
        <v>9.19148591569E11</v>
      </c>
      <c r="F3528" s="21">
        <v>19977.0</v>
      </c>
      <c r="G3528" s="20"/>
      <c r="H3528" s="20" t="s">
        <v>4433</v>
      </c>
      <c r="I3528" s="5"/>
      <c r="J3528" s="20">
        <v>3.0</v>
      </c>
      <c r="K3528" s="20">
        <v>199.0</v>
      </c>
      <c r="L3528" s="20"/>
      <c r="M3528" s="20">
        <v>199.0</v>
      </c>
      <c r="N3528" s="5" t="s">
        <v>67</v>
      </c>
      <c r="O3528" s="20" t="b">
        <v>0</v>
      </c>
      <c r="P3528" s="20" t="s">
        <v>68</v>
      </c>
      <c r="Q3528" s="20" t="s">
        <v>69</v>
      </c>
      <c r="R3528" s="20" t="s">
        <v>4435</v>
      </c>
      <c r="T3528" s="20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</row>
    <row r="3529">
      <c r="A3529" s="15" t="s">
        <v>11548</v>
      </c>
      <c r="B3529" s="19" t="s">
        <v>3519</v>
      </c>
      <c r="C3529" s="20">
        <v>50030.0</v>
      </c>
      <c r="D3529" s="20" t="s">
        <v>3518</v>
      </c>
      <c r="E3529" s="5">
        <v>9.17093159311E11</v>
      </c>
      <c r="F3529" s="21">
        <v>19978.0</v>
      </c>
      <c r="G3529" s="20"/>
      <c r="H3529" s="20" t="s">
        <v>3326</v>
      </c>
      <c r="I3529" s="5"/>
      <c r="J3529" s="20">
        <v>1.0</v>
      </c>
      <c r="K3529" s="20">
        <v>99.0</v>
      </c>
      <c r="L3529" s="20"/>
      <c r="M3529" s="20">
        <v>99.0</v>
      </c>
      <c r="N3529" s="5" t="s">
        <v>67</v>
      </c>
      <c r="O3529" s="20" t="b">
        <v>0</v>
      </c>
      <c r="P3529" s="20" t="s">
        <v>68</v>
      </c>
      <c r="Q3529" s="20" t="s">
        <v>69</v>
      </c>
      <c r="R3529" s="20" t="s">
        <v>3328</v>
      </c>
      <c r="T3529" s="20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</row>
    <row r="3530">
      <c r="A3530" s="15" t="s">
        <v>11692</v>
      </c>
      <c r="B3530" s="19" t="s">
        <v>3283</v>
      </c>
      <c r="C3530" s="20">
        <v>50047.0</v>
      </c>
      <c r="D3530" s="20" t="s">
        <v>3282</v>
      </c>
      <c r="E3530" s="5">
        <v>9.19400008888E11</v>
      </c>
      <c r="F3530" s="21">
        <v>20043.0</v>
      </c>
      <c r="G3530" s="20"/>
      <c r="H3530" s="20" t="s">
        <v>3195</v>
      </c>
      <c r="I3530" s="5"/>
      <c r="J3530" s="20">
        <v>6.0</v>
      </c>
      <c r="K3530" s="20">
        <v>299.0</v>
      </c>
      <c r="L3530" s="20"/>
      <c r="M3530" s="20">
        <v>299.0</v>
      </c>
      <c r="N3530" s="5" t="s">
        <v>67</v>
      </c>
      <c r="O3530" s="20" t="b">
        <v>0</v>
      </c>
      <c r="P3530" s="20" t="s">
        <v>74</v>
      </c>
      <c r="Q3530" s="20" t="s">
        <v>69</v>
      </c>
      <c r="R3530" s="20" t="s">
        <v>3197</v>
      </c>
      <c r="T3530" s="20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</row>
    <row r="3531">
      <c r="A3531" s="15" t="s">
        <v>11693</v>
      </c>
      <c r="B3531" s="19" t="s">
        <v>5635</v>
      </c>
      <c r="C3531" s="20">
        <v>50023.0</v>
      </c>
      <c r="D3531" s="20" t="s">
        <v>5634</v>
      </c>
      <c r="E3531" s="5">
        <v>9.19660969602E11</v>
      </c>
      <c r="F3531" s="22" t="s">
        <v>12593</v>
      </c>
      <c r="G3531" s="20"/>
      <c r="H3531" s="20" t="s">
        <v>5508</v>
      </c>
      <c r="I3531" s="5"/>
      <c r="J3531" s="20">
        <v>1.0</v>
      </c>
      <c r="K3531" s="20">
        <v>99.0</v>
      </c>
      <c r="L3531" s="20"/>
      <c r="M3531" s="20">
        <v>99.0</v>
      </c>
      <c r="N3531" s="5" t="s">
        <v>67</v>
      </c>
      <c r="O3531" s="20" t="b">
        <v>0</v>
      </c>
      <c r="P3531" s="20" t="s">
        <v>68</v>
      </c>
      <c r="Q3531" s="20" t="s">
        <v>69</v>
      </c>
      <c r="R3531" s="20" t="s">
        <v>5510</v>
      </c>
      <c r="T3531" s="20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</row>
    <row r="3532">
      <c r="A3532" s="15" t="s">
        <v>11694</v>
      </c>
      <c r="B3532" s="19" t="s">
        <v>5302</v>
      </c>
      <c r="C3532" s="20">
        <v>50022.0</v>
      </c>
      <c r="D3532" s="20" t="s">
        <v>5301</v>
      </c>
      <c r="E3532" s="5">
        <v>9.1725901883E11</v>
      </c>
      <c r="F3532" s="21">
        <v>20045.0</v>
      </c>
      <c r="G3532" s="20"/>
      <c r="H3532" s="20" t="s">
        <v>5181</v>
      </c>
      <c r="I3532" s="5"/>
      <c r="J3532" s="20">
        <v>1.0</v>
      </c>
      <c r="K3532" s="20">
        <v>99.0</v>
      </c>
      <c r="L3532" s="20"/>
      <c r="M3532" s="20">
        <v>99.0</v>
      </c>
      <c r="N3532" s="5" t="s">
        <v>67</v>
      </c>
      <c r="O3532" s="20" t="b">
        <v>0</v>
      </c>
      <c r="P3532" s="20" t="s">
        <v>68</v>
      </c>
      <c r="Q3532" s="20" t="s">
        <v>69</v>
      </c>
      <c r="R3532" s="20" t="s">
        <v>5183</v>
      </c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</row>
    <row r="3533">
      <c r="A3533" s="15" t="s">
        <v>11549</v>
      </c>
      <c r="B3533" s="19" t="s">
        <v>3845</v>
      </c>
      <c r="C3533" s="20">
        <v>49907.0</v>
      </c>
      <c r="D3533" s="20" t="s">
        <v>3844</v>
      </c>
      <c r="E3533" s="5">
        <v>9.17978416682E11</v>
      </c>
      <c r="F3533" s="21">
        <v>19979.0</v>
      </c>
      <c r="G3533" s="20"/>
      <c r="H3533" s="20" t="s">
        <v>587</v>
      </c>
      <c r="I3533" s="5"/>
      <c r="J3533" s="20">
        <v>3.0</v>
      </c>
      <c r="K3533" s="20">
        <v>199.0</v>
      </c>
      <c r="L3533" s="20"/>
      <c r="M3533" s="20">
        <v>199.0</v>
      </c>
      <c r="N3533" s="5" t="s">
        <v>67</v>
      </c>
      <c r="O3533" s="20" t="b">
        <v>0</v>
      </c>
      <c r="P3533" s="20" t="s">
        <v>68</v>
      </c>
      <c r="Q3533" s="20" t="s">
        <v>69</v>
      </c>
      <c r="R3533" s="20" t="s">
        <v>3774</v>
      </c>
      <c r="T3533" s="20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</row>
    <row r="3534">
      <c r="A3534" s="15" t="s">
        <v>11697</v>
      </c>
      <c r="B3534" s="19" t="s">
        <v>4866</v>
      </c>
      <c r="C3534" s="20">
        <v>49996.0</v>
      </c>
      <c r="D3534" s="20" t="s">
        <v>4865</v>
      </c>
      <c r="E3534" s="5">
        <v>9.1733891777E11</v>
      </c>
      <c r="F3534" s="21">
        <v>20047.0</v>
      </c>
      <c r="G3534" s="20"/>
      <c r="H3534" s="20" t="s">
        <v>4796</v>
      </c>
      <c r="I3534" s="5"/>
      <c r="J3534" s="20">
        <v>1.0</v>
      </c>
      <c r="K3534" s="20">
        <v>99.0</v>
      </c>
      <c r="L3534" s="20"/>
      <c r="M3534" s="20">
        <v>99.0</v>
      </c>
      <c r="N3534" s="5" t="s">
        <v>67</v>
      </c>
      <c r="O3534" s="20" t="b">
        <v>0</v>
      </c>
      <c r="P3534" s="20" t="s">
        <v>68</v>
      </c>
      <c r="Q3534" s="20" t="s">
        <v>69</v>
      </c>
      <c r="R3534" s="20" t="s">
        <v>4799</v>
      </c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</row>
    <row r="3535">
      <c r="A3535" s="15" t="s">
        <v>11550</v>
      </c>
      <c r="B3535" s="19" t="s">
        <v>6659</v>
      </c>
      <c r="C3535" s="20">
        <v>49994.0</v>
      </c>
      <c r="D3535" s="20" t="s">
        <v>6658</v>
      </c>
      <c r="E3535" s="5">
        <v>9.18074370645E11</v>
      </c>
      <c r="F3535" s="21">
        <v>19981.0</v>
      </c>
      <c r="G3535" s="20"/>
      <c r="H3535" s="20" t="s">
        <v>1264</v>
      </c>
      <c r="I3535" s="5"/>
      <c r="J3535" s="20">
        <v>3.0</v>
      </c>
      <c r="K3535" s="20">
        <v>199.0</v>
      </c>
      <c r="L3535" s="20"/>
      <c r="M3535" s="20">
        <v>199.0</v>
      </c>
      <c r="N3535" s="5" t="s">
        <v>67</v>
      </c>
      <c r="O3535" s="20" t="b">
        <v>0</v>
      </c>
      <c r="P3535" s="20" t="s">
        <v>74</v>
      </c>
      <c r="Q3535" s="20" t="s">
        <v>69</v>
      </c>
      <c r="R3535" s="20" t="s">
        <v>6615</v>
      </c>
      <c r="T3535" s="20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</row>
    <row r="3536">
      <c r="A3536" s="15" t="s">
        <v>11554</v>
      </c>
      <c r="B3536" s="19" t="s">
        <v>3847</v>
      </c>
      <c r="C3536" s="20">
        <v>49907.0</v>
      </c>
      <c r="D3536" s="20" t="s">
        <v>3846</v>
      </c>
      <c r="E3536" s="5">
        <v>9.19080496022E11</v>
      </c>
      <c r="F3536" s="21">
        <v>19984.0</v>
      </c>
      <c r="G3536" s="20"/>
      <c r="H3536" s="20" t="s">
        <v>587</v>
      </c>
      <c r="I3536" s="5"/>
      <c r="J3536" s="20">
        <v>1.0</v>
      </c>
      <c r="K3536" s="20">
        <v>99.0</v>
      </c>
      <c r="L3536" s="20"/>
      <c r="M3536" s="20">
        <v>99.0</v>
      </c>
      <c r="N3536" s="5" t="s">
        <v>67</v>
      </c>
      <c r="O3536" s="20" t="b">
        <v>0</v>
      </c>
      <c r="P3536" s="20" t="s">
        <v>68</v>
      </c>
      <c r="Q3536" s="20" t="s">
        <v>69</v>
      </c>
      <c r="R3536" s="20" t="s">
        <v>3774</v>
      </c>
      <c r="T3536" s="20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</row>
    <row r="3537">
      <c r="A3537" s="15" t="s">
        <v>11551</v>
      </c>
      <c r="B3537" s="19" t="s">
        <v>5943</v>
      </c>
      <c r="C3537" s="20">
        <v>50054.0</v>
      </c>
      <c r="D3537" s="20" t="s">
        <v>5942</v>
      </c>
      <c r="E3537" s="5">
        <v>9.19820577642E11</v>
      </c>
      <c r="F3537" s="21">
        <v>19982.0</v>
      </c>
      <c r="G3537" s="20"/>
      <c r="H3537" s="20" t="s">
        <v>5822</v>
      </c>
      <c r="I3537" s="5"/>
      <c r="J3537" s="20">
        <v>3.0</v>
      </c>
      <c r="K3537" s="20">
        <v>199.0</v>
      </c>
      <c r="L3537" s="20"/>
      <c r="M3537" s="20">
        <v>199.0</v>
      </c>
      <c r="N3537" s="5" t="s">
        <v>67</v>
      </c>
      <c r="O3537" s="20" t="b">
        <v>0</v>
      </c>
      <c r="P3537" s="20" t="s">
        <v>68</v>
      </c>
      <c r="Q3537" s="20" t="s">
        <v>69</v>
      </c>
      <c r="R3537" s="20" t="s">
        <v>5824</v>
      </c>
      <c r="T3537" s="20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</row>
    <row r="3538">
      <c r="A3538" s="15" t="s">
        <v>11701</v>
      </c>
      <c r="B3538" s="19" t="s">
        <v>6446</v>
      </c>
      <c r="C3538" s="20">
        <v>50043.0</v>
      </c>
      <c r="D3538" s="20" t="s">
        <v>6445</v>
      </c>
      <c r="E3538" s="5">
        <v>9.19720208787E11</v>
      </c>
      <c r="F3538" s="21">
        <v>20048.0</v>
      </c>
      <c r="G3538" s="20"/>
      <c r="H3538" s="20" t="s">
        <v>6367</v>
      </c>
      <c r="I3538" s="5"/>
      <c r="J3538" s="20">
        <v>1.0</v>
      </c>
      <c r="K3538" s="20">
        <v>99.0</v>
      </c>
      <c r="L3538" s="20"/>
      <c r="M3538" s="20">
        <v>99.0</v>
      </c>
      <c r="N3538" s="5" t="s">
        <v>67</v>
      </c>
      <c r="O3538" s="20" t="b">
        <v>0</v>
      </c>
      <c r="P3538" s="20" t="s">
        <v>68</v>
      </c>
      <c r="Q3538" s="20" t="s">
        <v>69</v>
      </c>
      <c r="R3538" s="20" t="s">
        <v>6369</v>
      </c>
      <c r="T3538" s="20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</row>
    <row r="3539">
      <c r="A3539" s="15" t="s">
        <v>11703</v>
      </c>
      <c r="B3539" s="19" t="s">
        <v>5637</v>
      </c>
      <c r="C3539" s="20">
        <v>50023.0</v>
      </c>
      <c r="D3539" s="20" t="s">
        <v>5636</v>
      </c>
      <c r="E3539" s="5">
        <v>9.19049119829E11</v>
      </c>
      <c r="F3539" s="21">
        <v>20049.0</v>
      </c>
      <c r="G3539" s="20"/>
      <c r="H3539" s="20" t="s">
        <v>5508</v>
      </c>
      <c r="I3539" s="5"/>
      <c r="J3539" s="20">
        <v>1.0</v>
      </c>
      <c r="K3539" s="20">
        <v>99.0</v>
      </c>
      <c r="L3539" s="20"/>
      <c r="M3539" s="20">
        <v>99.0</v>
      </c>
      <c r="N3539" s="5" t="s">
        <v>67</v>
      </c>
      <c r="O3539" s="20" t="b">
        <v>0</v>
      </c>
      <c r="P3539" s="20" t="s">
        <v>74</v>
      </c>
      <c r="Q3539" s="20" t="s">
        <v>69</v>
      </c>
      <c r="R3539" s="20" t="s">
        <v>5510</v>
      </c>
      <c r="T3539" s="20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</row>
    <row r="3540">
      <c r="A3540" s="15" t="s">
        <v>11708</v>
      </c>
      <c r="B3540" s="19" t="s">
        <v>3537</v>
      </c>
      <c r="C3540" s="20">
        <v>50030.0</v>
      </c>
      <c r="D3540" s="20" t="s">
        <v>3536</v>
      </c>
      <c r="E3540" s="5">
        <v>9.17906047649E11</v>
      </c>
      <c r="F3540" s="21">
        <v>20055.0</v>
      </c>
      <c r="G3540" s="20"/>
      <c r="H3540" s="20" t="s">
        <v>3326</v>
      </c>
      <c r="I3540" s="5"/>
      <c r="J3540" s="20">
        <v>3.0</v>
      </c>
      <c r="K3540" s="20">
        <v>199.0</v>
      </c>
      <c r="L3540" s="20"/>
      <c r="M3540" s="20">
        <v>199.0</v>
      </c>
      <c r="N3540" s="5" t="s">
        <v>67</v>
      </c>
      <c r="O3540" s="20" t="b">
        <v>0</v>
      </c>
      <c r="P3540" s="20" t="s">
        <v>68</v>
      </c>
      <c r="Q3540" s="20" t="s">
        <v>69</v>
      </c>
      <c r="R3540" s="20" t="s">
        <v>3328</v>
      </c>
      <c r="T3540" s="20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</row>
    <row r="3541">
      <c r="A3541" s="15" t="s">
        <v>11704</v>
      </c>
      <c r="B3541" s="19" t="s">
        <v>3951</v>
      </c>
      <c r="C3541" s="20">
        <v>49835.0</v>
      </c>
      <c r="D3541" s="20" t="s">
        <v>3950</v>
      </c>
      <c r="E3541" s="5">
        <v>9.19886693316E11</v>
      </c>
      <c r="F3541" s="21">
        <v>20050.0</v>
      </c>
      <c r="G3541" s="20"/>
      <c r="H3541" s="20" t="s">
        <v>680</v>
      </c>
      <c r="I3541" s="5"/>
      <c r="J3541" s="20">
        <v>1.0</v>
      </c>
      <c r="K3541" s="20">
        <v>99.0</v>
      </c>
      <c r="L3541" s="20"/>
      <c r="M3541" s="20">
        <v>99.0</v>
      </c>
      <c r="N3541" s="5" t="s">
        <v>67</v>
      </c>
      <c r="O3541" s="20" t="b">
        <v>0</v>
      </c>
      <c r="P3541" s="20" t="s">
        <v>68</v>
      </c>
      <c r="Q3541" s="20" t="s">
        <v>69</v>
      </c>
      <c r="R3541" s="20" t="s">
        <v>3952</v>
      </c>
      <c r="T3541" s="20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</row>
    <row r="3542">
      <c r="A3542" s="15" t="s">
        <v>11709</v>
      </c>
      <c r="B3542" s="19" t="s">
        <v>5173</v>
      </c>
      <c r="C3542" s="20">
        <v>49813.0</v>
      </c>
      <c r="D3542" s="20" t="s">
        <v>5172</v>
      </c>
      <c r="E3542" s="5">
        <v>9.1974017294E11</v>
      </c>
      <c r="F3542" s="21">
        <v>20051.0</v>
      </c>
      <c r="G3542" s="20"/>
      <c r="H3542" s="20" t="s">
        <v>5114</v>
      </c>
      <c r="I3542" s="5"/>
      <c r="J3542" s="20">
        <v>3.0</v>
      </c>
      <c r="K3542" s="20">
        <v>499.0</v>
      </c>
      <c r="L3542" s="20"/>
      <c r="M3542" s="20">
        <v>499.0</v>
      </c>
      <c r="N3542" s="5" t="s">
        <v>67</v>
      </c>
      <c r="O3542" s="20" t="b">
        <v>0</v>
      </c>
      <c r="P3542" s="20" t="s">
        <v>68</v>
      </c>
      <c r="Q3542" s="20" t="s">
        <v>69</v>
      </c>
      <c r="R3542" s="20" t="s">
        <v>5116</v>
      </c>
      <c r="T3542" s="20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</row>
    <row r="3543">
      <c r="A3543" s="15" t="s">
        <v>11557</v>
      </c>
      <c r="B3543" s="19" t="s">
        <v>3945</v>
      </c>
      <c r="C3543" s="20">
        <v>49835.0</v>
      </c>
      <c r="D3543" s="20" t="s">
        <v>3944</v>
      </c>
      <c r="E3543" s="5">
        <v>9.19163195924E11</v>
      </c>
      <c r="F3543" s="21">
        <v>19985.0</v>
      </c>
      <c r="G3543" s="20"/>
      <c r="H3543" s="20" t="s">
        <v>680</v>
      </c>
      <c r="I3543" s="5"/>
      <c r="J3543" s="20">
        <v>1.0</v>
      </c>
      <c r="K3543" s="20">
        <v>99.0</v>
      </c>
      <c r="L3543" s="20"/>
      <c r="M3543" s="20">
        <v>99.0</v>
      </c>
      <c r="N3543" s="5" t="s">
        <v>67</v>
      </c>
      <c r="O3543" s="20" t="b">
        <v>0</v>
      </c>
      <c r="P3543" s="20" t="s">
        <v>68</v>
      </c>
      <c r="Q3543" s="20" t="s">
        <v>69</v>
      </c>
      <c r="R3543" s="20" t="s">
        <v>3888</v>
      </c>
      <c r="T3543" s="20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</row>
    <row r="3544">
      <c r="A3544" s="15" t="s">
        <v>11563</v>
      </c>
      <c r="B3544" s="19" t="s">
        <v>3521</v>
      </c>
      <c r="C3544" s="20">
        <v>50030.0</v>
      </c>
      <c r="D3544" s="20" t="s">
        <v>3520</v>
      </c>
      <c r="E3544" s="5">
        <v>9.19638223553E11</v>
      </c>
      <c r="F3544" s="21">
        <v>0.0</v>
      </c>
      <c r="G3544" s="20"/>
      <c r="H3544" s="20" t="s">
        <v>3326</v>
      </c>
      <c r="I3544" s="5"/>
      <c r="J3544" s="20">
        <v>1.0</v>
      </c>
      <c r="K3544" s="20">
        <v>99.0</v>
      </c>
      <c r="L3544" s="20"/>
      <c r="M3544" s="20">
        <v>99.0</v>
      </c>
      <c r="N3544" s="5" t="s">
        <v>67</v>
      </c>
      <c r="O3544" s="20" t="b">
        <v>0</v>
      </c>
      <c r="P3544" s="20" t="s">
        <v>68</v>
      </c>
      <c r="Q3544" s="20" t="s">
        <v>69</v>
      </c>
      <c r="R3544" s="20" t="s">
        <v>3328</v>
      </c>
      <c r="T3544" s="20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</row>
    <row r="3545">
      <c r="A3545" s="15" t="s">
        <v>11710</v>
      </c>
      <c r="B3545" s="19" t="s">
        <v>6448</v>
      </c>
      <c r="C3545" s="20">
        <v>50043.0</v>
      </c>
      <c r="D3545" s="20" t="s">
        <v>6447</v>
      </c>
      <c r="E3545" s="5">
        <v>9.19100805185E11</v>
      </c>
      <c r="F3545" s="21">
        <v>20053.0</v>
      </c>
      <c r="G3545" s="20"/>
      <c r="H3545" s="20" t="s">
        <v>6367</v>
      </c>
      <c r="I3545" s="5"/>
      <c r="J3545" s="20">
        <v>6.0</v>
      </c>
      <c r="K3545" s="20">
        <v>349.0</v>
      </c>
      <c r="L3545" s="20"/>
      <c r="M3545" s="20">
        <v>349.0</v>
      </c>
      <c r="N3545" s="5" t="s">
        <v>67</v>
      </c>
      <c r="O3545" s="20" t="b">
        <v>0</v>
      </c>
      <c r="P3545" s="20" t="s">
        <v>68</v>
      </c>
      <c r="Q3545" s="20" t="s">
        <v>69</v>
      </c>
      <c r="R3545" s="20" t="s">
        <v>6369</v>
      </c>
      <c r="T3545" s="20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</row>
    <row r="3546">
      <c r="A3546" s="15" t="s">
        <v>11711</v>
      </c>
      <c r="B3546" s="19" t="s">
        <v>4238</v>
      </c>
      <c r="C3546" s="20">
        <v>49833.0</v>
      </c>
      <c r="D3546" s="20" t="s">
        <v>4237</v>
      </c>
      <c r="E3546" s="5">
        <v>9.19321852038E11</v>
      </c>
      <c r="F3546" s="21">
        <v>20054.0</v>
      </c>
      <c r="G3546" s="20"/>
      <c r="H3546" s="20" t="s">
        <v>4030</v>
      </c>
      <c r="I3546" s="5"/>
      <c r="J3546" s="20">
        <v>1.0</v>
      </c>
      <c r="K3546" s="20">
        <v>149.0</v>
      </c>
      <c r="L3546" s="20"/>
      <c r="M3546" s="20">
        <v>149.0</v>
      </c>
      <c r="N3546" s="5" t="s">
        <v>67</v>
      </c>
      <c r="O3546" s="20" t="b">
        <v>0</v>
      </c>
      <c r="P3546" s="20" t="s">
        <v>68</v>
      </c>
      <c r="Q3546" s="20" t="s">
        <v>69</v>
      </c>
      <c r="R3546" s="20" t="s">
        <v>4033</v>
      </c>
      <c r="T3546" s="20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</row>
    <row r="3547">
      <c r="A3547" s="15" t="s">
        <v>11712</v>
      </c>
      <c r="B3547" s="19" t="s">
        <v>5065</v>
      </c>
      <c r="C3547" s="20">
        <v>49995.0</v>
      </c>
      <c r="D3547" s="20" t="s">
        <v>5396</v>
      </c>
      <c r="E3547" s="5">
        <v>9.18375947597E11</v>
      </c>
      <c r="F3547" s="21">
        <v>20057.0</v>
      </c>
      <c r="G3547" s="20"/>
      <c r="H3547" s="20" t="s">
        <v>5321</v>
      </c>
      <c r="I3547" s="5"/>
      <c r="J3547" s="20">
        <v>1.0</v>
      </c>
      <c r="K3547" s="20">
        <v>99.0</v>
      </c>
      <c r="L3547" s="20"/>
      <c r="M3547" s="20">
        <v>99.0</v>
      </c>
      <c r="N3547" s="5" t="s">
        <v>67</v>
      </c>
      <c r="O3547" s="20" t="b">
        <v>0</v>
      </c>
      <c r="P3547" s="20" t="s">
        <v>68</v>
      </c>
      <c r="Q3547" s="20" t="s">
        <v>69</v>
      </c>
      <c r="R3547" s="20" t="s">
        <v>5323</v>
      </c>
      <c r="T3547" s="20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</row>
    <row r="3548">
      <c r="A3548" s="15" t="s">
        <v>11713</v>
      </c>
      <c r="B3548" s="19" t="s">
        <v>5065</v>
      </c>
      <c r="C3548" s="20">
        <v>50094.0</v>
      </c>
      <c r="D3548" s="20" t="s">
        <v>5064</v>
      </c>
      <c r="E3548" s="5">
        <v>9.18297270835E11</v>
      </c>
      <c r="F3548" s="21">
        <v>20056.0</v>
      </c>
      <c r="G3548" s="20"/>
      <c r="H3548" s="20" t="s">
        <v>4942</v>
      </c>
      <c r="I3548" s="5"/>
      <c r="J3548" s="20">
        <v>1.0</v>
      </c>
      <c r="K3548" s="20">
        <v>199.0</v>
      </c>
      <c r="L3548" s="20"/>
      <c r="M3548" s="20">
        <v>199.0</v>
      </c>
      <c r="N3548" s="5" t="s">
        <v>67</v>
      </c>
      <c r="O3548" s="20" t="b">
        <v>0</v>
      </c>
      <c r="P3548" s="20" t="s">
        <v>68</v>
      </c>
      <c r="Q3548" s="20" t="s">
        <v>69</v>
      </c>
      <c r="R3548" s="20" t="s">
        <v>4945</v>
      </c>
      <c r="T3548" s="20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</row>
    <row r="3549">
      <c r="A3549" s="15" t="s">
        <v>11715</v>
      </c>
      <c r="B3549" s="19" t="s">
        <v>5951</v>
      </c>
      <c r="C3549" s="20">
        <v>50054.0</v>
      </c>
      <c r="D3549" s="20" t="s">
        <v>5950</v>
      </c>
      <c r="E3549" s="5">
        <v>9.19886693396E11</v>
      </c>
      <c r="F3549" s="21">
        <v>20059.0</v>
      </c>
      <c r="G3549" s="20"/>
      <c r="H3549" s="20" t="s">
        <v>5822</v>
      </c>
      <c r="I3549" s="5"/>
      <c r="J3549" s="20">
        <v>1.0</v>
      </c>
      <c r="K3549" s="20">
        <v>99.0</v>
      </c>
      <c r="L3549" s="20"/>
      <c r="M3549" s="20">
        <v>99.0</v>
      </c>
      <c r="N3549" s="5" t="s">
        <v>67</v>
      </c>
      <c r="O3549" s="20" t="b">
        <v>0</v>
      </c>
      <c r="P3549" s="20" t="s">
        <v>68</v>
      </c>
      <c r="Q3549" s="20" t="s">
        <v>69</v>
      </c>
      <c r="R3549" s="20" t="s">
        <v>5921</v>
      </c>
      <c r="T3549" s="20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</row>
    <row r="3550">
      <c r="A3550" s="15" t="s">
        <v>11714</v>
      </c>
      <c r="B3550" s="19" t="s">
        <v>4523</v>
      </c>
      <c r="C3550" s="20">
        <v>50052.0</v>
      </c>
      <c r="D3550" s="20" t="s">
        <v>4522</v>
      </c>
      <c r="E3550" s="5">
        <v>9.17023222297E11</v>
      </c>
      <c r="F3550" s="21">
        <v>20058.0</v>
      </c>
      <c r="G3550" s="20"/>
      <c r="H3550" s="20" t="s">
        <v>4433</v>
      </c>
      <c r="I3550" s="5"/>
      <c r="J3550" s="20">
        <v>1.0</v>
      </c>
      <c r="K3550" s="20">
        <v>99.0</v>
      </c>
      <c r="L3550" s="20"/>
      <c r="M3550" s="20">
        <v>99.0</v>
      </c>
      <c r="N3550" s="5" t="s">
        <v>67</v>
      </c>
      <c r="O3550" s="20" t="b">
        <v>0</v>
      </c>
      <c r="P3550" s="20" t="s">
        <v>68</v>
      </c>
      <c r="Q3550" s="20" t="s">
        <v>69</v>
      </c>
      <c r="R3550" s="20" t="s">
        <v>4435</v>
      </c>
      <c r="T3550" s="20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</row>
    <row r="3551">
      <c r="A3551" s="15" t="s">
        <v>11718</v>
      </c>
      <c r="B3551" s="19" t="s">
        <v>3539</v>
      </c>
      <c r="C3551" s="20">
        <v>50030.0</v>
      </c>
      <c r="D3551" s="20" t="s">
        <v>3538</v>
      </c>
      <c r="E3551" s="5">
        <v>9.18610981633E11</v>
      </c>
      <c r="F3551" s="21">
        <v>20060.0</v>
      </c>
      <c r="G3551" s="20"/>
      <c r="H3551" s="20" t="s">
        <v>3326</v>
      </c>
      <c r="I3551" s="5"/>
      <c r="J3551" s="20">
        <v>1.0</v>
      </c>
      <c r="K3551" s="20">
        <v>99.0</v>
      </c>
      <c r="L3551" s="20"/>
      <c r="M3551" s="20">
        <v>99.0</v>
      </c>
      <c r="N3551" s="5" t="s">
        <v>67</v>
      </c>
      <c r="O3551" s="20" t="b">
        <v>0</v>
      </c>
      <c r="P3551" s="20" t="s">
        <v>68</v>
      </c>
      <c r="Q3551" s="20" t="s">
        <v>69</v>
      </c>
      <c r="R3551" s="20" t="s">
        <v>3328</v>
      </c>
      <c r="T3551" s="20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</row>
    <row r="3552">
      <c r="A3552" s="15" t="s">
        <v>11719</v>
      </c>
      <c r="B3552" s="19" t="s">
        <v>5639</v>
      </c>
      <c r="C3552" s="20">
        <v>50023.0</v>
      </c>
      <c r="D3552" s="20" t="s">
        <v>5638</v>
      </c>
      <c r="E3552" s="5">
        <v>9.19664013366E11</v>
      </c>
      <c r="F3552" s="21">
        <v>20061.0</v>
      </c>
      <c r="G3552" s="20"/>
      <c r="H3552" s="20" t="s">
        <v>5508</v>
      </c>
      <c r="I3552" s="5"/>
      <c r="J3552" s="20">
        <v>1.0</v>
      </c>
      <c r="K3552" s="20">
        <v>99.0</v>
      </c>
      <c r="L3552" s="20"/>
      <c r="M3552" s="20">
        <v>99.0</v>
      </c>
      <c r="N3552" s="5" t="s">
        <v>67</v>
      </c>
      <c r="O3552" s="20" t="b">
        <v>0</v>
      </c>
      <c r="P3552" s="20" t="s">
        <v>68</v>
      </c>
      <c r="Q3552" s="20" t="s">
        <v>69</v>
      </c>
      <c r="R3552" s="20" t="s">
        <v>5510</v>
      </c>
      <c r="T3552" s="20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</row>
    <row r="3553">
      <c r="A3553" s="15" t="s">
        <v>11720</v>
      </c>
      <c r="B3553" s="19" t="s">
        <v>5639</v>
      </c>
      <c r="C3553" s="20">
        <v>50023.0</v>
      </c>
      <c r="D3553" s="20" t="s">
        <v>5640</v>
      </c>
      <c r="E3553" s="5">
        <v>9.1996707667E11</v>
      </c>
      <c r="F3553" s="21">
        <v>20062.0</v>
      </c>
      <c r="G3553" s="20"/>
      <c r="H3553" s="20" t="s">
        <v>5508</v>
      </c>
      <c r="I3553" s="5"/>
      <c r="J3553" s="20">
        <v>1.0</v>
      </c>
      <c r="K3553" s="20">
        <v>99.0</v>
      </c>
      <c r="L3553" s="20"/>
      <c r="M3553" s="20">
        <v>99.0</v>
      </c>
      <c r="N3553" s="5" t="s">
        <v>67</v>
      </c>
      <c r="O3553" s="20" t="b">
        <v>0</v>
      </c>
      <c r="P3553" s="20" t="s">
        <v>68</v>
      </c>
      <c r="Q3553" s="20" t="s">
        <v>69</v>
      </c>
      <c r="R3553" s="20" t="s">
        <v>5510</v>
      </c>
      <c r="T3553" s="20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</row>
    <row r="3554">
      <c r="A3554" s="15" t="s">
        <v>11724</v>
      </c>
      <c r="B3554" s="19" t="s">
        <v>3171</v>
      </c>
      <c r="C3554" s="20">
        <v>49991.0</v>
      </c>
      <c r="D3554" s="20" t="s">
        <v>3170</v>
      </c>
      <c r="E3554" s="5">
        <v>9.18709040667E11</v>
      </c>
      <c r="F3554" s="21">
        <v>20063.0</v>
      </c>
      <c r="G3554" s="20"/>
      <c r="H3554" s="20" t="s">
        <v>3055</v>
      </c>
      <c r="I3554" s="5"/>
      <c r="J3554" s="20">
        <v>1.0</v>
      </c>
      <c r="K3554" s="20">
        <v>99.0</v>
      </c>
      <c r="L3554" s="20"/>
      <c r="M3554" s="20">
        <v>99.0</v>
      </c>
      <c r="N3554" s="5" t="s">
        <v>67</v>
      </c>
      <c r="O3554" s="20" t="b">
        <v>0</v>
      </c>
      <c r="P3554" s="20" t="s">
        <v>68</v>
      </c>
      <c r="Q3554" s="20" t="s">
        <v>69</v>
      </c>
      <c r="R3554" s="20" t="s">
        <v>3057</v>
      </c>
      <c r="T3554" s="20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</row>
    <row r="3555">
      <c r="A3555" s="15" t="s">
        <v>11726</v>
      </c>
      <c r="B3555" s="19" t="s">
        <v>3285</v>
      </c>
      <c r="C3555" s="20">
        <v>50047.0</v>
      </c>
      <c r="D3555" s="20" t="s">
        <v>3284</v>
      </c>
      <c r="E3555" s="5">
        <v>9.19594593197E11</v>
      </c>
      <c r="F3555" s="21">
        <v>20064.0</v>
      </c>
      <c r="G3555" s="20"/>
      <c r="H3555" s="20" t="s">
        <v>3195</v>
      </c>
      <c r="I3555" s="5"/>
      <c r="J3555" s="20">
        <v>3.0</v>
      </c>
      <c r="K3555" s="20">
        <v>199.0</v>
      </c>
      <c r="L3555" s="20"/>
      <c r="M3555" s="20">
        <v>199.0</v>
      </c>
      <c r="N3555" s="5" t="s">
        <v>67</v>
      </c>
      <c r="O3555" s="20" t="b">
        <v>0</v>
      </c>
      <c r="P3555" s="20" t="s">
        <v>68</v>
      </c>
      <c r="Q3555" s="20" t="s">
        <v>69</v>
      </c>
      <c r="R3555" s="20" t="s">
        <v>3197</v>
      </c>
      <c r="T3555" s="20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</row>
    <row r="3556">
      <c r="A3556" s="15" t="s">
        <v>11730</v>
      </c>
      <c r="B3556" s="19" t="s">
        <v>6362</v>
      </c>
      <c r="C3556" s="20">
        <v>50044.0</v>
      </c>
      <c r="D3556" s="20" t="s">
        <v>6361</v>
      </c>
      <c r="E3556" s="5">
        <v>9.19550195891E11</v>
      </c>
      <c r="F3556" s="21">
        <v>20066.0</v>
      </c>
      <c r="G3556" s="20"/>
      <c r="H3556" s="20" t="s">
        <v>6320</v>
      </c>
      <c r="I3556" s="5"/>
      <c r="J3556" s="20">
        <v>3.0</v>
      </c>
      <c r="K3556" s="20">
        <v>599.0</v>
      </c>
      <c r="L3556" s="20"/>
      <c r="M3556" s="20">
        <v>599.0</v>
      </c>
      <c r="N3556" s="5" t="s">
        <v>67</v>
      </c>
      <c r="O3556" s="20" t="b">
        <v>0</v>
      </c>
      <c r="P3556" s="20" t="s">
        <v>68</v>
      </c>
      <c r="Q3556" s="20" t="s">
        <v>69</v>
      </c>
      <c r="R3556" s="20" t="s">
        <v>6322</v>
      </c>
      <c r="T3556" s="20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</row>
    <row r="3557">
      <c r="A3557" s="15" t="s">
        <v>11729</v>
      </c>
      <c r="B3557" s="19" t="s">
        <v>4766</v>
      </c>
      <c r="C3557" s="20">
        <v>49859.0</v>
      </c>
      <c r="D3557" s="20" t="s">
        <v>4765</v>
      </c>
      <c r="E3557" s="5">
        <v>9.1916079483E11</v>
      </c>
      <c r="F3557" s="21">
        <v>20065.0</v>
      </c>
      <c r="G3557" s="20"/>
      <c r="H3557" s="20" t="s">
        <v>1133</v>
      </c>
      <c r="I3557" s="5"/>
      <c r="J3557" s="20">
        <v>1.0</v>
      </c>
      <c r="K3557" s="20">
        <v>99.0</v>
      </c>
      <c r="L3557" s="20"/>
      <c r="M3557" s="20">
        <v>99.0</v>
      </c>
      <c r="N3557" s="5" t="s">
        <v>67</v>
      </c>
      <c r="O3557" s="20" t="b">
        <v>0</v>
      </c>
      <c r="P3557" s="20" t="s">
        <v>74</v>
      </c>
      <c r="Q3557" s="20" t="s">
        <v>69</v>
      </c>
      <c r="R3557" s="20" t="s">
        <v>4736</v>
      </c>
      <c r="T3557" s="20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</row>
    <row r="3558">
      <c r="A3558" s="15" t="s">
        <v>11864</v>
      </c>
      <c r="B3558" s="19" t="s">
        <v>3748</v>
      </c>
      <c r="C3558" s="20">
        <v>50104.0</v>
      </c>
      <c r="D3558" s="20" t="s">
        <v>3747</v>
      </c>
      <c r="E3558" s="5">
        <v>9.17985528091E11</v>
      </c>
      <c r="F3558" s="21">
        <v>20118.0</v>
      </c>
      <c r="G3558" s="20"/>
      <c r="H3558" s="20" t="s">
        <v>3708</v>
      </c>
      <c r="I3558" s="5"/>
      <c r="J3558" s="20">
        <v>1.0</v>
      </c>
      <c r="K3558" s="20">
        <v>99.0</v>
      </c>
      <c r="L3558" s="20"/>
      <c r="M3558" s="20">
        <v>99.0</v>
      </c>
      <c r="N3558" s="5" t="s">
        <v>67</v>
      </c>
      <c r="O3558" s="20" t="b">
        <v>0</v>
      </c>
      <c r="P3558" s="20" t="s">
        <v>68</v>
      </c>
      <c r="Q3558" s="20" t="s">
        <v>69</v>
      </c>
      <c r="R3558" s="20" t="s">
        <v>3710</v>
      </c>
      <c r="T3558" s="20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</row>
    <row r="3559">
      <c r="A3559" s="15" t="s">
        <v>11865</v>
      </c>
      <c r="B3559" s="19" t="s">
        <v>3548</v>
      </c>
      <c r="C3559" s="20">
        <v>50030.0</v>
      </c>
      <c r="D3559" s="20" t="s">
        <v>3547</v>
      </c>
      <c r="E3559" s="5">
        <v>9.18368147772E11</v>
      </c>
      <c r="F3559" s="21">
        <v>20120.0</v>
      </c>
      <c r="G3559" s="20"/>
      <c r="H3559" s="20" t="s">
        <v>3326</v>
      </c>
      <c r="I3559" s="5"/>
      <c r="J3559" s="20">
        <v>1.0</v>
      </c>
      <c r="K3559" s="20">
        <v>99.0</v>
      </c>
      <c r="L3559" s="20"/>
      <c r="M3559" s="20">
        <v>99.0</v>
      </c>
      <c r="N3559" s="5" t="s">
        <v>67</v>
      </c>
      <c r="O3559" s="20" t="b">
        <v>0</v>
      </c>
      <c r="P3559" s="20" t="s">
        <v>68</v>
      </c>
      <c r="Q3559" s="20" t="s">
        <v>69</v>
      </c>
      <c r="R3559" s="20" t="s">
        <v>3328</v>
      </c>
      <c r="T3559" s="20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</row>
    <row r="3560">
      <c r="A3560" s="15" t="s">
        <v>11866</v>
      </c>
      <c r="B3560" s="19" t="s">
        <v>6663</v>
      </c>
      <c r="C3560" s="20">
        <v>49994.0</v>
      </c>
      <c r="D3560" s="20" t="s">
        <v>6662</v>
      </c>
      <c r="E3560" s="5">
        <v>9.19714784363E11</v>
      </c>
      <c r="F3560" s="21">
        <v>20119.0</v>
      </c>
      <c r="G3560" s="20"/>
      <c r="H3560" s="20" t="s">
        <v>1264</v>
      </c>
      <c r="I3560" s="5"/>
      <c r="J3560" s="20">
        <v>1.0</v>
      </c>
      <c r="K3560" s="20">
        <v>99.0</v>
      </c>
      <c r="L3560" s="20"/>
      <c r="M3560" s="20">
        <v>99.0</v>
      </c>
      <c r="N3560" s="5" t="s">
        <v>67</v>
      </c>
      <c r="O3560" s="20" t="b">
        <v>0</v>
      </c>
      <c r="P3560" s="20" t="s">
        <v>68</v>
      </c>
      <c r="Q3560" s="20" t="s">
        <v>69</v>
      </c>
      <c r="R3560" s="20" t="s">
        <v>6615</v>
      </c>
      <c r="T3560" s="20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</row>
    <row r="3561">
      <c r="A3561" s="15" t="s">
        <v>11867</v>
      </c>
      <c r="B3561" s="19" t="s">
        <v>3750</v>
      </c>
      <c r="C3561" s="20">
        <v>50104.0</v>
      </c>
      <c r="D3561" s="20" t="s">
        <v>3749</v>
      </c>
      <c r="E3561" s="5">
        <v>9.19850255984E11</v>
      </c>
      <c r="F3561" s="21">
        <v>0.0</v>
      </c>
      <c r="G3561" s="20"/>
      <c r="H3561" s="20" t="s">
        <v>3708</v>
      </c>
      <c r="I3561" s="5"/>
      <c r="J3561" s="20">
        <v>1.0</v>
      </c>
      <c r="K3561" s="20">
        <v>99.0</v>
      </c>
      <c r="L3561" s="20"/>
      <c r="M3561" s="20">
        <v>99.0</v>
      </c>
      <c r="N3561" s="5" t="s">
        <v>67</v>
      </c>
      <c r="O3561" s="20" t="b">
        <v>0</v>
      </c>
      <c r="P3561" s="20" t="s">
        <v>68</v>
      </c>
      <c r="Q3561" s="20" t="s">
        <v>69</v>
      </c>
      <c r="R3561" s="20" t="s">
        <v>3710</v>
      </c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</row>
    <row r="3562">
      <c r="A3562" s="15" t="s">
        <v>11868</v>
      </c>
      <c r="B3562" s="19" t="s">
        <v>4242</v>
      </c>
      <c r="C3562" s="20">
        <v>49833.0</v>
      </c>
      <c r="D3562" s="20" t="s">
        <v>185</v>
      </c>
      <c r="E3562" s="5">
        <v>9.19611611019E11</v>
      </c>
      <c r="F3562" s="21">
        <v>16307.0</v>
      </c>
      <c r="G3562" s="20"/>
      <c r="H3562" s="20" t="s">
        <v>4030</v>
      </c>
      <c r="I3562" s="5"/>
      <c r="J3562" s="20">
        <v>6.0</v>
      </c>
      <c r="K3562" s="20">
        <v>449.0</v>
      </c>
      <c r="L3562" s="20"/>
      <c r="M3562" s="20">
        <v>449.0</v>
      </c>
      <c r="N3562" s="5" t="s">
        <v>67</v>
      </c>
      <c r="O3562" s="20" t="b">
        <v>0</v>
      </c>
      <c r="P3562" s="20" t="s">
        <v>68</v>
      </c>
      <c r="Q3562" s="20" t="s">
        <v>69</v>
      </c>
      <c r="R3562" s="20" t="s">
        <v>4232</v>
      </c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</row>
    <row r="3563">
      <c r="A3563" s="15" t="s">
        <v>11878</v>
      </c>
      <c r="B3563" s="19" t="s">
        <v>4870</v>
      </c>
      <c r="C3563" s="20">
        <v>49996.0</v>
      </c>
      <c r="D3563" s="20" t="s">
        <v>4869</v>
      </c>
      <c r="E3563" s="5">
        <v>9.16309541313E11</v>
      </c>
      <c r="F3563" s="21">
        <v>20122.0</v>
      </c>
      <c r="G3563" s="20"/>
      <c r="H3563" s="20" t="s">
        <v>4796</v>
      </c>
      <c r="I3563" s="5"/>
      <c r="J3563" s="20">
        <v>1.0</v>
      </c>
      <c r="K3563" s="20">
        <v>99.0</v>
      </c>
      <c r="L3563" s="20"/>
      <c r="M3563" s="20">
        <v>99.0</v>
      </c>
      <c r="N3563" s="5" t="s">
        <v>67</v>
      </c>
      <c r="O3563" s="20" t="b">
        <v>0</v>
      </c>
      <c r="P3563" s="20" t="s">
        <v>68</v>
      </c>
      <c r="Q3563" s="20" t="s">
        <v>69</v>
      </c>
      <c r="R3563" s="20" t="s">
        <v>4799</v>
      </c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</row>
    <row r="3564">
      <c r="A3564" s="15" t="s">
        <v>11869</v>
      </c>
      <c r="B3564" s="19" t="s">
        <v>5656</v>
      </c>
      <c r="C3564" s="20">
        <v>50023.0</v>
      </c>
      <c r="D3564" s="20" t="s">
        <v>5655</v>
      </c>
      <c r="E3564" s="5">
        <v>9.18800820356E11</v>
      </c>
      <c r="F3564" s="21">
        <v>20121.0</v>
      </c>
      <c r="G3564" s="20"/>
      <c r="H3564" s="20" t="s">
        <v>5508</v>
      </c>
      <c r="I3564" s="5"/>
      <c r="J3564" s="20">
        <v>1.0</v>
      </c>
      <c r="K3564" s="20">
        <v>99.0</v>
      </c>
      <c r="L3564" s="20"/>
      <c r="M3564" s="20">
        <v>99.0</v>
      </c>
      <c r="N3564" s="5" t="s">
        <v>67</v>
      </c>
      <c r="O3564" s="20" t="b">
        <v>0</v>
      </c>
      <c r="P3564" s="20" t="s">
        <v>151</v>
      </c>
      <c r="Q3564" s="20" t="s">
        <v>69</v>
      </c>
      <c r="R3564" s="20" t="s">
        <v>5510</v>
      </c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</row>
    <row r="3565">
      <c r="A3565" s="15" t="s">
        <v>11879</v>
      </c>
      <c r="B3565" s="19" t="s">
        <v>5658</v>
      </c>
      <c r="C3565" s="20">
        <v>50023.0</v>
      </c>
      <c r="D3565" s="20" t="s">
        <v>5657</v>
      </c>
      <c r="E3565" s="5">
        <v>9.19650394291E11</v>
      </c>
      <c r="F3565" s="21">
        <v>20123.0</v>
      </c>
      <c r="G3565" s="20"/>
      <c r="H3565" s="20" t="s">
        <v>5508</v>
      </c>
      <c r="I3565" s="5"/>
      <c r="J3565" s="20">
        <v>1.0</v>
      </c>
      <c r="K3565" s="20">
        <v>99.0</v>
      </c>
      <c r="L3565" s="20"/>
      <c r="M3565" s="20">
        <v>99.0</v>
      </c>
      <c r="N3565" s="5" t="s">
        <v>67</v>
      </c>
      <c r="O3565" s="20" t="b">
        <v>0</v>
      </c>
      <c r="P3565" s="20" t="s">
        <v>68</v>
      </c>
      <c r="Q3565" s="20" t="s">
        <v>69</v>
      </c>
      <c r="R3565" s="20" t="s">
        <v>5510</v>
      </c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</row>
    <row r="3566">
      <c r="A3566" s="15" t="s">
        <v>11881</v>
      </c>
      <c r="B3566" s="19" t="s">
        <v>3752</v>
      </c>
      <c r="C3566" s="20">
        <v>50104.0</v>
      </c>
      <c r="D3566" s="20" t="s">
        <v>3751</v>
      </c>
      <c r="E3566" s="5">
        <v>9.1917962424E11</v>
      </c>
      <c r="F3566" s="21">
        <v>20124.0</v>
      </c>
      <c r="G3566" s="20"/>
      <c r="H3566" s="20" t="s">
        <v>3708</v>
      </c>
      <c r="I3566" s="5"/>
      <c r="J3566" s="20">
        <v>1.0</v>
      </c>
      <c r="K3566" s="20">
        <v>99.0</v>
      </c>
      <c r="L3566" s="20"/>
      <c r="M3566" s="20">
        <v>99.0</v>
      </c>
      <c r="N3566" s="5" t="s">
        <v>67</v>
      </c>
      <c r="O3566" s="20" t="b">
        <v>0</v>
      </c>
      <c r="P3566" s="20" t="s">
        <v>68</v>
      </c>
      <c r="Q3566" s="20" t="s">
        <v>69</v>
      </c>
      <c r="R3566" s="20" t="s">
        <v>3710</v>
      </c>
      <c r="T3566" s="20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</row>
    <row r="3567">
      <c r="A3567" s="15" t="s">
        <v>11882</v>
      </c>
      <c r="B3567" s="19" t="s">
        <v>4243</v>
      </c>
      <c r="C3567" s="20">
        <v>49833.0</v>
      </c>
      <c r="D3567" s="20" t="s">
        <v>269</v>
      </c>
      <c r="E3567" s="5">
        <v>9.18281831033E11</v>
      </c>
      <c r="F3567" s="22" t="s">
        <v>12593</v>
      </c>
      <c r="G3567" s="20"/>
      <c r="H3567" s="20" t="s">
        <v>4030</v>
      </c>
      <c r="I3567" s="5"/>
      <c r="J3567" s="20">
        <v>3.0</v>
      </c>
      <c r="K3567" s="20">
        <v>299.0</v>
      </c>
      <c r="L3567" s="20"/>
      <c r="M3567" s="20">
        <v>299.0</v>
      </c>
      <c r="N3567" s="5" t="s">
        <v>67</v>
      </c>
      <c r="O3567" s="20" t="b">
        <v>0</v>
      </c>
      <c r="P3567" s="20" t="s">
        <v>68</v>
      </c>
      <c r="Q3567" s="20" t="s">
        <v>69</v>
      </c>
      <c r="R3567" s="20" t="s">
        <v>4232</v>
      </c>
      <c r="T3567" s="20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</row>
    <row r="3568">
      <c r="A3568" s="15" t="s">
        <v>11736</v>
      </c>
      <c r="B3568" s="19" t="s">
        <v>2569</v>
      </c>
      <c r="C3568" s="20">
        <v>49997.0</v>
      </c>
      <c r="D3568" s="20" t="s">
        <v>2568</v>
      </c>
      <c r="E3568" s="5">
        <v>9.186050703E11</v>
      </c>
      <c r="F3568" s="21">
        <v>20067.0</v>
      </c>
      <c r="G3568" s="20"/>
      <c r="H3568" s="20" t="s">
        <v>2455</v>
      </c>
      <c r="I3568" s="5"/>
      <c r="J3568" s="20">
        <v>1.0</v>
      </c>
      <c r="K3568" s="20">
        <v>99.0</v>
      </c>
      <c r="L3568" s="20"/>
      <c r="M3568" s="20">
        <v>99.0</v>
      </c>
      <c r="N3568" s="5" t="s">
        <v>67</v>
      </c>
      <c r="O3568" s="20" t="b">
        <v>0</v>
      </c>
      <c r="P3568" s="20" t="s">
        <v>68</v>
      </c>
      <c r="Q3568" s="20" t="s">
        <v>69</v>
      </c>
      <c r="R3568" s="20" t="s">
        <v>2457</v>
      </c>
      <c r="T3568" s="20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</row>
    <row r="3569">
      <c r="A3569" s="15" t="s">
        <v>11885</v>
      </c>
      <c r="B3569" s="19" t="s">
        <v>4773</v>
      </c>
      <c r="C3569" s="20">
        <v>49859.0</v>
      </c>
      <c r="D3569" s="20" t="s">
        <v>4772</v>
      </c>
      <c r="E3569" s="5">
        <v>9.19943091828E11</v>
      </c>
      <c r="F3569" s="22" t="s">
        <v>12593</v>
      </c>
      <c r="G3569" s="20"/>
      <c r="H3569" s="20" t="s">
        <v>1133</v>
      </c>
      <c r="I3569" s="5"/>
      <c r="J3569" s="20">
        <v>1.0</v>
      </c>
      <c r="K3569" s="20">
        <v>99.0</v>
      </c>
      <c r="L3569" s="20"/>
      <c r="M3569" s="20">
        <v>99.0</v>
      </c>
      <c r="N3569" s="5" t="s">
        <v>67</v>
      </c>
      <c r="O3569" s="20" t="b">
        <v>0</v>
      </c>
      <c r="P3569" s="20" t="s">
        <v>68</v>
      </c>
      <c r="Q3569" s="20" t="s">
        <v>69</v>
      </c>
      <c r="R3569" s="20" t="s">
        <v>4736</v>
      </c>
      <c r="T3569" s="20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</row>
    <row r="3570">
      <c r="A3570" s="15" t="s">
        <v>11739</v>
      </c>
      <c r="B3570" s="19" t="s">
        <v>2571</v>
      </c>
      <c r="C3570" s="20">
        <v>49997.0</v>
      </c>
      <c r="D3570" s="20" t="s">
        <v>2570</v>
      </c>
      <c r="E3570" s="5">
        <v>9.19420228386E11</v>
      </c>
      <c r="F3570" s="21">
        <v>20068.0</v>
      </c>
      <c r="G3570" s="20"/>
      <c r="H3570" s="20" t="s">
        <v>2455</v>
      </c>
      <c r="I3570" s="5"/>
      <c r="J3570" s="20">
        <v>6.0</v>
      </c>
      <c r="K3570" s="20">
        <v>349.0</v>
      </c>
      <c r="L3570" s="20"/>
      <c r="M3570" s="20">
        <v>349.0</v>
      </c>
      <c r="N3570" s="5" t="s">
        <v>67</v>
      </c>
      <c r="O3570" s="20" t="b">
        <v>0</v>
      </c>
      <c r="P3570" s="20" t="s">
        <v>68</v>
      </c>
      <c r="Q3570" s="20" t="s">
        <v>69</v>
      </c>
      <c r="R3570" s="20" t="s">
        <v>2457</v>
      </c>
      <c r="T3570" s="20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</row>
    <row r="3571">
      <c r="A3571" s="15" t="s">
        <v>11888</v>
      </c>
      <c r="B3571" s="19" t="s">
        <v>4872</v>
      </c>
      <c r="C3571" s="20">
        <v>49996.0</v>
      </c>
      <c r="D3571" s="20" t="s">
        <v>4871</v>
      </c>
      <c r="E3571" s="5">
        <v>9.18087136392E11</v>
      </c>
      <c r="F3571" s="21">
        <v>20128.0</v>
      </c>
      <c r="G3571" s="20"/>
      <c r="H3571" s="20" t="s">
        <v>4796</v>
      </c>
      <c r="I3571" s="5"/>
      <c r="J3571" s="20">
        <v>6.0</v>
      </c>
      <c r="K3571" s="20">
        <v>349.0</v>
      </c>
      <c r="L3571" s="20"/>
      <c r="M3571" s="20">
        <v>349.0</v>
      </c>
      <c r="N3571" s="5" t="s">
        <v>67</v>
      </c>
      <c r="O3571" s="20" t="b">
        <v>0</v>
      </c>
      <c r="P3571" s="20" t="s">
        <v>68</v>
      </c>
      <c r="Q3571" s="20" t="s">
        <v>69</v>
      </c>
      <c r="R3571" s="20" t="s">
        <v>4799</v>
      </c>
      <c r="T3571" s="20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</row>
    <row r="3572">
      <c r="A3572" s="15" t="s">
        <v>11883</v>
      </c>
      <c r="B3572" s="19" t="s">
        <v>4771</v>
      </c>
      <c r="C3572" s="20">
        <v>49859.0</v>
      </c>
      <c r="D3572" s="20" t="s">
        <v>4770</v>
      </c>
      <c r="E3572" s="5">
        <v>9.18424959717E11</v>
      </c>
      <c r="F3572" s="21">
        <v>20125.0</v>
      </c>
      <c r="G3572" s="20"/>
      <c r="H3572" s="20" t="s">
        <v>1133</v>
      </c>
      <c r="I3572" s="5"/>
      <c r="J3572" s="20">
        <v>1.0</v>
      </c>
      <c r="K3572" s="20">
        <v>99.0</v>
      </c>
      <c r="L3572" s="20"/>
      <c r="M3572" s="20">
        <v>99.0</v>
      </c>
      <c r="N3572" s="5" t="s">
        <v>67</v>
      </c>
      <c r="O3572" s="20" t="b">
        <v>0</v>
      </c>
      <c r="P3572" s="20" t="s">
        <v>68</v>
      </c>
      <c r="Q3572" s="20" t="s">
        <v>69</v>
      </c>
      <c r="R3572" s="20" t="s">
        <v>4741</v>
      </c>
      <c r="T3572" s="20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</row>
    <row r="3573">
      <c r="A3573" s="15" t="s">
        <v>11884</v>
      </c>
      <c r="B3573" s="19" t="s">
        <v>5660</v>
      </c>
      <c r="C3573" s="20">
        <v>50023.0</v>
      </c>
      <c r="D3573" s="20" t="s">
        <v>5659</v>
      </c>
      <c r="E3573" s="5">
        <v>9.19987366442E11</v>
      </c>
      <c r="F3573" s="21">
        <v>20126.0</v>
      </c>
      <c r="G3573" s="20"/>
      <c r="H3573" s="20" t="s">
        <v>5508</v>
      </c>
      <c r="I3573" s="5"/>
      <c r="J3573" s="20">
        <v>1.0</v>
      </c>
      <c r="K3573" s="20">
        <v>99.0</v>
      </c>
      <c r="L3573" s="20"/>
      <c r="M3573" s="20">
        <v>99.0</v>
      </c>
      <c r="N3573" s="5" t="s">
        <v>67</v>
      </c>
      <c r="O3573" s="20" t="b">
        <v>0</v>
      </c>
      <c r="P3573" s="20" t="s">
        <v>68</v>
      </c>
      <c r="Q3573" s="20" t="s">
        <v>69</v>
      </c>
      <c r="R3573" s="20" t="s">
        <v>5510</v>
      </c>
      <c r="T3573" s="20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</row>
    <row r="3574">
      <c r="A3574" s="15" t="s">
        <v>11740</v>
      </c>
      <c r="B3574" s="19" t="s">
        <v>5642</v>
      </c>
      <c r="C3574" s="20">
        <v>50023.0</v>
      </c>
      <c r="D3574" s="20" t="s">
        <v>5641</v>
      </c>
      <c r="E3574" s="5">
        <v>9.18800535571E11</v>
      </c>
      <c r="F3574" s="21">
        <v>20069.0</v>
      </c>
      <c r="G3574" s="20"/>
      <c r="H3574" s="20" t="s">
        <v>5508</v>
      </c>
      <c r="I3574" s="5"/>
      <c r="J3574" s="20">
        <v>1.0</v>
      </c>
      <c r="K3574" s="20">
        <v>99.0</v>
      </c>
      <c r="L3574" s="20"/>
      <c r="M3574" s="20">
        <v>99.0</v>
      </c>
      <c r="N3574" s="5" t="s">
        <v>67</v>
      </c>
      <c r="O3574" s="20" t="b">
        <v>0</v>
      </c>
      <c r="P3574" s="20" t="s">
        <v>74</v>
      </c>
      <c r="Q3574" s="20" t="s">
        <v>69</v>
      </c>
      <c r="R3574" s="20" t="s">
        <v>5510</v>
      </c>
      <c r="T3574" s="20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</row>
    <row r="3575">
      <c r="A3575" s="15" t="s">
        <v>11889</v>
      </c>
      <c r="B3575" s="19" t="s">
        <v>4393</v>
      </c>
      <c r="C3575" s="20">
        <v>50039.0</v>
      </c>
      <c r="D3575" s="20" t="s">
        <v>4392</v>
      </c>
      <c r="E3575" s="5">
        <v>9.17558496133E11</v>
      </c>
      <c r="F3575" s="21">
        <v>20129.0</v>
      </c>
      <c r="G3575" s="20"/>
      <c r="H3575" s="20" t="s">
        <v>4341</v>
      </c>
      <c r="I3575" s="5"/>
      <c r="J3575" s="20">
        <v>3.0</v>
      </c>
      <c r="K3575" s="20">
        <v>199.0</v>
      </c>
      <c r="L3575" s="20"/>
      <c r="M3575" s="20">
        <v>199.0</v>
      </c>
      <c r="N3575" s="5" t="s">
        <v>67</v>
      </c>
      <c r="O3575" s="20" t="b">
        <v>0</v>
      </c>
      <c r="P3575" s="20" t="s">
        <v>68</v>
      </c>
      <c r="Q3575" s="20" t="s">
        <v>69</v>
      </c>
      <c r="R3575" s="20" t="s">
        <v>4388</v>
      </c>
      <c r="T3575" s="20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</row>
    <row r="3576">
      <c r="A3576" s="15" t="s">
        <v>11890</v>
      </c>
      <c r="B3576" s="19" t="s">
        <v>4244</v>
      </c>
      <c r="C3576" s="20">
        <v>49833.0</v>
      </c>
      <c r="D3576" s="20" t="s">
        <v>285</v>
      </c>
      <c r="E3576" s="5">
        <v>9.18979531948E11</v>
      </c>
      <c r="F3576" s="21">
        <v>6585.0</v>
      </c>
      <c r="G3576" s="20"/>
      <c r="H3576" s="20" t="s">
        <v>4030</v>
      </c>
      <c r="I3576" s="5"/>
      <c r="J3576" s="20">
        <v>6.0</v>
      </c>
      <c r="K3576" s="20">
        <v>449.0</v>
      </c>
      <c r="L3576" s="20"/>
      <c r="M3576" s="20">
        <v>449.0</v>
      </c>
      <c r="N3576" s="5" t="s">
        <v>67</v>
      </c>
      <c r="O3576" s="20" t="b">
        <v>0</v>
      </c>
      <c r="P3576" s="20" t="s">
        <v>68</v>
      </c>
      <c r="Q3576" s="20" t="s">
        <v>69</v>
      </c>
      <c r="R3576" s="20" t="s">
        <v>4232</v>
      </c>
      <c r="T3576" s="20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</row>
    <row r="3577">
      <c r="A3577" s="15" t="s">
        <v>11899</v>
      </c>
      <c r="B3577" s="19" t="s">
        <v>3179</v>
      </c>
      <c r="C3577" s="20">
        <v>49991.0</v>
      </c>
      <c r="D3577" s="20" t="s">
        <v>3178</v>
      </c>
      <c r="E3577" s="5">
        <v>9.19074555416E11</v>
      </c>
      <c r="F3577" s="21">
        <v>20131.0</v>
      </c>
      <c r="G3577" s="20"/>
      <c r="H3577" s="20" t="s">
        <v>3055</v>
      </c>
      <c r="I3577" s="5"/>
      <c r="J3577" s="20">
        <v>1.0</v>
      </c>
      <c r="K3577" s="20">
        <v>99.0</v>
      </c>
      <c r="L3577" s="20"/>
      <c r="M3577" s="20">
        <v>99.0</v>
      </c>
      <c r="N3577" s="5" t="s">
        <v>67</v>
      </c>
      <c r="O3577" s="20" t="b">
        <v>0</v>
      </c>
      <c r="P3577" s="20" t="s">
        <v>68</v>
      </c>
      <c r="Q3577" s="20" t="s">
        <v>69</v>
      </c>
      <c r="R3577" s="20" t="s">
        <v>3057</v>
      </c>
      <c r="T3577" s="20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</row>
    <row r="3578">
      <c r="A3578" s="15" t="s">
        <v>11902</v>
      </c>
      <c r="B3578" s="19" t="s">
        <v>3181</v>
      </c>
      <c r="C3578" s="20">
        <v>49991.0</v>
      </c>
      <c r="D3578" s="20" t="s">
        <v>3180</v>
      </c>
      <c r="E3578" s="5">
        <v>9.19544855303E11</v>
      </c>
      <c r="F3578" s="21">
        <v>20133.0</v>
      </c>
      <c r="G3578" s="20"/>
      <c r="H3578" s="20" t="s">
        <v>3055</v>
      </c>
      <c r="I3578" s="5"/>
      <c r="J3578" s="20">
        <v>1.0</v>
      </c>
      <c r="K3578" s="20">
        <v>99.0</v>
      </c>
      <c r="L3578" s="20"/>
      <c r="M3578" s="20">
        <v>99.0</v>
      </c>
      <c r="N3578" s="5" t="s">
        <v>67</v>
      </c>
      <c r="O3578" s="20" t="b">
        <v>0</v>
      </c>
      <c r="P3578" s="20" t="s">
        <v>97</v>
      </c>
      <c r="Q3578" s="20" t="s">
        <v>69</v>
      </c>
      <c r="R3578" s="20" t="s">
        <v>3057</v>
      </c>
      <c r="T3578" s="20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</row>
    <row r="3579">
      <c r="A3579" s="15" t="s">
        <v>11745</v>
      </c>
      <c r="B3579" s="19" t="s">
        <v>2446</v>
      </c>
      <c r="C3579" s="20">
        <v>50143.0</v>
      </c>
      <c r="D3579" s="20" t="s">
        <v>2445</v>
      </c>
      <c r="E3579" s="5">
        <v>9.19808881888E11</v>
      </c>
      <c r="F3579" s="21">
        <v>20156.0</v>
      </c>
      <c r="G3579" s="20"/>
      <c r="H3579" s="20" t="s">
        <v>2441</v>
      </c>
      <c r="I3579" s="5"/>
      <c r="J3579" s="20">
        <v>1.0</v>
      </c>
      <c r="K3579" s="20">
        <v>199.0</v>
      </c>
      <c r="L3579" s="20"/>
      <c r="M3579" s="20">
        <v>199.0</v>
      </c>
      <c r="N3579" s="5" t="s">
        <v>67</v>
      </c>
      <c r="O3579" s="20" t="b">
        <v>0</v>
      </c>
      <c r="P3579" s="20" t="s">
        <v>68</v>
      </c>
      <c r="Q3579" s="20" t="s">
        <v>69</v>
      </c>
      <c r="R3579" s="20" t="s">
        <v>2443</v>
      </c>
      <c r="T3579" s="20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</row>
    <row r="3580">
      <c r="A3580" s="15" t="s">
        <v>11903</v>
      </c>
      <c r="B3580" s="19" t="s">
        <v>3550</v>
      </c>
      <c r="C3580" s="20">
        <v>50030.0</v>
      </c>
      <c r="D3580" s="20" t="s">
        <v>3549</v>
      </c>
      <c r="E3580" s="5">
        <v>9.19858262364E11</v>
      </c>
      <c r="F3580" s="22" t="s">
        <v>12593</v>
      </c>
      <c r="G3580" s="20"/>
      <c r="H3580" s="20" t="s">
        <v>3326</v>
      </c>
      <c r="I3580" s="5"/>
      <c r="J3580" s="20">
        <v>1.0</v>
      </c>
      <c r="K3580" s="20">
        <v>99.0</v>
      </c>
      <c r="L3580" s="20"/>
      <c r="M3580" s="20">
        <v>99.0</v>
      </c>
      <c r="N3580" s="5" t="s">
        <v>67</v>
      </c>
      <c r="O3580" s="20" t="b">
        <v>0</v>
      </c>
      <c r="P3580" s="20" t="s">
        <v>68</v>
      </c>
      <c r="Q3580" s="20" t="s">
        <v>69</v>
      </c>
      <c r="R3580" s="20" t="s">
        <v>3328</v>
      </c>
      <c r="T3580" s="20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</row>
    <row r="3581">
      <c r="A3581" s="15" t="s">
        <v>11907</v>
      </c>
      <c r="B3581" s="19" t="s">
        <v>3183</v>
      </c>
      <c r="C3581" s="20">
        <v>49991.0</v>
      </c>
      <c r="D3581" s="20" t="s">
        <v>3182</v>
      </c>
      <c r="E3581" s="5">
        <v>9.19611132015E11</v>
      </c>
      <c r="F3581" s="22" t="s">
        <v>12593</v>
      </c>
      <c r="G3581" s="20"/>
      <c r="H3581" s="20" t="s">
        <v>3055</v>
      </c>
      <c r="I3581" s="5"/>
      <c r="J3581" s="20">
        <v>1.0</v>
      </c>
      <c r="K3581" s="20">
        <v>99.0</v>
      </c>
      <c r="L3581" s="20"/>
      <c r="M3581" s="20">
        <v>99.0</v>
      </c>
      <c r="N3581" s="5" t="s">
        <v>67</v>
      </c>
      <c r="O3581" s="20" t="b">
        <v>0</v>
      </c>
      <c r="P3581" s="20" t="s">
        <v>74</v>
      </c>
      <c r="Q3581" s="20" t="s">
        <v>69</v>
      </c>
      <c r="R3581" s="20" t="s">
        <v>3057</v>
      </c>
      <c r="T3581" s="20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</row>
    <row r="3582">
      <c r="A3582" s="15" t="s">
        <v>11908</v>
      </c>
      <c r="B3582" s="19" t="s">
        <v>4529</v>
      </c>
      <c r="C3582" s="20">
        <v>50052.0</v>
      </c>
      <c r="D3582" s="20" t="s">
        <v>4528</v>
      </c>
      <c r="E3582" s="5">
        <v>9.19704508777E11</v>
      </c>
      <c r="F3582" s="21">
        <v>20188.0</v>
      </c>
      <c r="G3582" s="20"/>
      <c r="H3582" s="20" t="s">
        <v>4433</v>
      </c>
      <c r="I3582" s="5"/>
      <c r="J3582" s="20">
        <v>1.0</v>
      </c>
      <c r="K3582" s="20">
        <v>99.0</v>
      </c>
      <c r="L3582" s="20"/>
      <c r="M3582" s="20">
        <v>99.0</v>
      </c>
      <c r="N3582" s="5" t="s">
        <v>67</v>
      </c>
      <c r="O3582" s="20" t="b">
        <v>0</v>
      </c>
      <c r="P3582" s="20" t="s">
        <v>68</v>
      </c>
      <c r="Q3582" s="20" t="s">
        <v>69</v>
      </c>
      <c r="R3582" s="20" t="s">
        <v>4435</v>
      </c>
      <c r="T3582" s="20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</row>
    <row r="3583">
      <c r="A3583" s="15" t="s">
        <v>11904</v>
      </c>
      <c r="B3583" s="19" t="s">
        <v>3552</v>
      </c>
      <c r="C3583" s="20">
        <v>50030.0</v>
      </c>
      <c r="D3583" s="20" t="s">
        <v>3551</v>
      </c>
      <c r="E3583" s="5">
        <v>9.19497584977E11</v>
      </c>
      <c r="F3583" s="21">
        <v>0.0</v>
      </c>
      <c r="G3583" s="20"/>
      <c r="H3583" s="20" t="s">
        <v>3326</v>
      </c>
      <c r="I3583" s="5"/>
      <c r="J3583" s="20">
        <v>1.0</v>
      </c>
      <c r="K3583" s="20">
        <v>99.0</v>
      </c>
      <c r="L3583" s="20"/>
      <c r="M3583" s="20">
        <v>99.0</v>
      </c>
      <c r="N3583" s="5" t="s">
        <v>67</v>
      </c>
      <c r="O3583" s="20" t="b">
        <v>0</v>
      </c>
      <c r="P3583" s="20" t="s">
        <v>68</v>
      </c>
      <c r="Q3583" s="20" t="s">
        <v>69</v>
      </c>
      <c r="R3583" s="20" t="s">
        <v>3328</v>
      </c>
      <c r="T3583" s="20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</row>
    <row r="3584">
      <c r="A3584" s="15" t="s">
        <v>11909</v>
      </c>
      <c r="B3584" s="19" t="s">
        <v>3960</v>
      </c>
      <c r="C3584" s="20">
        <v>49835.0</v>
      </c>
      <c r="D3584" s="20" t="s">
        <v>3959</v>
      </c>
      <c r="E3584" s="5">
        <v>9.19764192266E11</v>
      </c>
      <c r="F3584" s="21">
        <v>20139.0</v>
      </c>
      <c r="G3584" s="20"/>
      <c r="H3584" s="20" t="s">
        <v>680</v>
      </c>
      <c r="I3584" s="5"/>
      <c r="J3584" s="20">
        <v>1.0</v>
      </c>
      <c r="K3584" s="20">
        <v>99.0</v>
      </c>
      <c r="L3584" s="20"/>
      <c r="M3584" s="20">
        <v>99.0</v>
      </c>
      <c r="N3584" s="5" t="s">
        <v>67</v>
      </c>
      <c r="O3584" s="20" t="b">
        <v>0</v>
      </c>
      <c r="P3584" s="20" t="s">
        <v>151</v>
      </c>
      <c r="Q3584" s="20" t="s">
        <v>69</v>
      </c>
      <c r="R3584" s="20" t="s">
        <v>3888</v>
      </c>
      <c r="T3584" s="20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</row>
    <row r="3585">
      <c r="A3585" s="15" t="s">
        <v>11913</v>
      </c>
      <c r="B3585" s="19" t="s">
        <v>3554</v>
      </c>
      <c r="C3585" s="20">
        <v>50030.0</v>
      </c>
      <c r="D3585" s="20" t="s">
        <v>3553</v>
      </c>
      <c r="E3585" s="5">
        <v>9.17903413739E11</v>
      </c>
      <c r="F3585" s="21">
        <v>20141.0</v>
      </c>
      <c r="G3585" s="20"/>
      <c r="H3585" s="20" t="s">
        <v>3326</v>
      </c>
      <c r="I3585" s="5"/>
      <c r="J3585" s="20">
        <v>1.0</v>
      </c>
      <c r="K3585" s="20">
        <v>99.0</v>
      </c>
      <c r="L3585" s="20"/>
      <c r="M3585" s="20">
        <v>99.0</v>
      </c>
      <c r="N3585" s="5" t="s">
        <v>67</v>
      </c>
      <c r="O3585" s="20" t="b">
        <v>0</v>
      </c>
      <c r="P3585" s="20" t="s">
        <v>68</v>
      </c>
      <c r="Q3585" s="20" t="s">
        <v>69</v>
      </c>
      <c r="R3585" s="20" t="s">
        <v>3328</v>
      </c>
      <c r="T3585" s="20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</row>
    <row r="3586">
      <c r="A3586" s="15" t="s">
        <v>11912</v>
      </c>
      <c r="B3586" s="19" t="s">
        <v>5077</v>
      </c>
      <c r="C3586" s="20">
        <v>50094.0</v>
      </c>
      <c r="D3586" s="20" t="s">
        <v>5076</v>
      </c>
      <c r="E3586" s="5">
        <v>9.17338667029E11</v>
      </c>
      <c r="F3586" s="21">
        <v>20140.0</v>
      </c>
      <c r="G3586" s="20"/>
      <c r="H3586" s="20" t="s">
        <v>4942</v>
      </c>
      <c r="I3586" s="5"/>
      <c r="J3586" s="20">
        <v>1.0</v>
      </c>
      <c r="K3586" s="20">
        <v>199.0</v>
      </c>
      <c r="L3586" s="20"/>
      <c r="M3586" s="20">
        <v>199.0</v>
      </c>
      <c r="N3586" s="5" t="s">
        <v>67</v>
      </c>
      <c r="O3586" s="20" t="b">
        <v>0</v>
      </c>
      <c r="P3586" s="20" t="s">
        <v>68</v>
      </c>
      <c r="Q3586" s="20" t="s">
        <v>69</v>
      </c>
      <c r="R3586" s="20" t="s">
        <v>4945</v>
      </c>
      <c r="T3586" s="20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</row>
    <row r="3587">
      <c r="A3587" s="15" t="s">
        <v>11914</v>
      </c>
      <c r="B3587" s="19" t="s">
        <v>3556</v>
      </c>
      <c r="C3587" s="20">
        <v>50030.0</v>
      </c>
      <c r="D3587" s="20" t="s">
        <v>3555</v>
      </c>
      <c r="E3587" s="5">
        <v>9.19876195757E11</v>
      </c>
      <c r="F3587" s="21">
        <v>20142.0</v>
      </c>
      <c r="G3587" s="20"/>
      <c r="H3587" s="20" t="s">
        <v>3326</v>
      </c>
      <c r="I3587" s="5"/>
      <c r="J3587" s="20">
        <v>1.0</v>
      </c>
      <c r="K3587" s="20">
        <v>99.0</v>
      </c>
      <c r="L3587" s="20"/>
      <c r="M3587" s="20">
        <v>99.0</v>
      </c>
      <c r="N3587" s="5" t="s">
        <v>67</v>
      </c>
      <c r="O3587" s="20" t="b">
        <v>0</v>
      </c>
      <c r="P3587" s="20" t="s">
        <v>68</v>
      </c>
      <c r="Q3587" s="20" t="s">
        <v>69</v>
      </c>
      <c r="R3587" s="20" t="s">
        <v>3328</v>
      </c>
      <c r="T3587" s="20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</row>
    <row r="3588">
      <c r="A3588" s="15" t="s">
        <v>11750</v>
      </c>
      <c r="B3588" s="19" t="s">
        <v>2895</v>
      </c>
      <c r="C3588" s="20">
        <v>50029.0</v>
      </c>
      <c r="D3588" s="20" t="s">
        <v>2894</v>
      </c>
      <c r="E3588" s="5">
        <v>9.19823384186E11</v>
      </c>
      <c r="F3588" s="21">
        <v>20070.0</v>
      </c>
      <c r="G3588" s="20"/>
      <c r="H3588" s="20" t="s">
        <v>2761</v>
      </c>
      <c r="I3588" s="5"/>
      <c r="J3588" s="20">
        <v>6.0</v>
      </c>
      <c r="K3588" s="20">
        <v>349.0</v>
      </c>
      <c r="L3588" s="20"/>
      <c r="M3588" s="20">
        <v>349.0</v>
      </c>
      <c r="N3588" s="5" t="s">
        <v>67</v>
      </c>
      <c r="O3588" s="20" t="b">
        <v>0</v>
      </c>
      <c r="P3588" s="20" t="s">
        <v>68</v>
      </c>
      <c r="Q3588" s="20" t="s">
        <v>69</v>
      </c>
      <c r="R3588" s="20" t="s">
        <v>2876</v>
      </c>
      <c r="T3588" s="20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</row>
    <row r="3589">
      <c r="A3589" s="15" t="s">
        <v>11752</v>
      </c>
      <c r="B3589" s="19" t="s">
        <v>4868</v>
      </c>
      <c r="C3589" s="20">
        <v>49996.0</v>
      </c>
      <c r="D3589" s="20" t="s">
        <v>4867</v>
      </c>
      <c r="E3589" s="5">
        <v>9.18444944563E11</v>
      </c>
      <c r="F3589" s="21">
        <v>20071.0</v>
      </c>
      <c r="G3589" s="20"/>
      <c r="H3589" s="20" t="s">
        <v>4796</v>
      </c>
      <c r="I3589" s="5"/>
      <c r="J3589" s="20">
        <v>1.0</v>
      </c>
      <c r="K3589" s="20">
        <v>99.0</v>
      </c>
      <c r="L3589" s="20"/>
      <c r="M3589" s="20">
        <v>99.0</v>
      </c>
      <c r="N3589" s="5" t="s">
        <v>67</v>
      </c>
      <c r="O3589" s="20" t="b">
        <v>0</v>
      </c>
      <c r="P3589" s="20" t="s">
        <v>68</v>
      </c>
      <c r="Q3589" s="20" t="s">
        <v>69</v>
      </c>
      <c r="R3589" s="20" t="s">
        <v>4799</v>
      </c>
      <c r="T3589" s="20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</row>
    <row r="3590">
      <c r="A3590" s="15" t="s">
        <v>11922</v>
      </c>
      <c r="B3590" s="19" t="s">
        <v>5175</v>
      </c>
      <c r="C3590" s="20">
        <v>49813.0</v>
      </c>
      <c r="D3590" s="20" t="s">
        <v>5174</v>
      </c>
      <c r="E3590" s="5">
        <v>9.19004311113E11</v>
      </c>
      <c r="F3590" s="21">
        <v>20145.0</v>
      </c>
      <c r="G3590" s="20"/>
      <c r="H3590" s="20" t="s">
        <v>5114</v>
      </c>
      <c r="I3590" s="5"/>
      <c r="J3590" s="20">
        <v>3.0</v>
      </c>
      <c r="K3590" s="20">
        <v>499.0</v>
      </c>
      <c r="L3590" s="20"/>
      <c r="M3590" s="20">
        <v>499.0</v>
      </c>
      <c r="N3590" s="5" t="s">
        <v>67</v>
      </c>
      <c r="O3590" s="20" t="b">
        <v>0</v>
      </c>
      <c r="P3590" s="20" t="s">
        <v>74</v>
      </c>
      <c r="Q3590" s="20" t="s">
        <v>69</v>
      </c>
      <c r="R3590" s="20" t="s">
        <v>5162</v>
      </c>
      <c r="T3590" s="20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</row>
    <row r="3591">
      <c r="A3591" s="15" t="s">
        <v>11753</v>
      </c>
      <c r="B3591" s="19" t="s">
        <v>5644</v>
      </c>
      <c r="C3591" s="20">
        <v>50023.0</v>
      </c>
      <c r="D3591" s="20" t="s">
        <v>5643</v>
      </c>
      <c r="E3591" s="5">
        <v>9.18603922312E11</v>
      </c>
      <c r="F3591" s="22" t="s">
        <v>12593</v>
      </c>
      <c r="G3591" s="20"/>
      <c r="H3591" s="20" t="s">
        <v>5508</v>
      </c>
      <c r="I3591" s="5"/>
      <c r="J3591" s="20">
        <v>1.0</v>
      </c>
      <c r="K3591" s="20">
        <v>99.0</v>
      </c>
      <c r="L3591" s="20"/>
      <c r="M3591" s="20">
        <v>99.0</v>
      </c>
      <c r="N3591" s="5" t="s">
        <v>67</v>
      </c>
      <c r="O3591" s="20" t="b">
        <v>0</v>
      </c>
      <c r="P3591" s="20" t="s">
        <v>74</v>
      </c>
      <c r="Q3591" s="20" t="s">
        <v>69</v>
      </c>
      <c r="R3591" s="20" t="s">
        <v>5584</v>
      </c>
      <c r="T3591" s="20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</row>
    <row r="3592">
      <c r="A3592" s="15" t="s">
        <v>11754</v>
      </c>
      <c r="B3592" s="19" t="s">
        <v>5304</v>
      </c>
      <c r="C3592" s="20">
        <v>50022.0</v>
      </c>
      <c r="D3592" s="20" t="s">
        <v>5303</v>
      </c>
      <c r="E3592" s="5">
        <v>9.19966271433E11</v>
      </c>
      <c r="F3592" s="21">
        <v>20072.0</v>
      </c>
      <c r="G3592" s="20"/>
      <c r="H3592" s="20" t="s">
        <v>5181</v>
      </c>
      <c r="I3592" s="5"/>
      <c r="J3592" s="20">
        <v>6.0</v>
      </c>
      <c r="K3592" s="20">
        <v>349.0</v>
      </c>
      <c r="L3592" s="20"/>
      <c r="M3592" s="20">
        <v>349.0</v>
      </c>
      <c r="N3592" s="5" t="s">
        <v>67</v>
      </c>
      <c r="O3592" s="20" t="b">
        <v>0</v>
      </c>
      <c r="P3592" s="20" t="s">
        <v>68</v>
      </c>
      <c r="Q3592" s="20" t="s">
        <v>69</v>
      </c>
      <c r="R3592" s="20" t="s">
        <v>5183</v>
      </c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</row>
    <row r="3593">
      <c r="A3593" s="15" t="s">
        <v>11755</v>
      </c>
      <c r="B3593" s="19" t="s">
        <v>5067</v>
      </c>
      <c r="C3593" s="20">
        <v>50094.0</v>
      </c>
      <c r="D3593" s="20" t="s">
        <v>5066</v>
      </c>
      <c r="E3593" s="5">
        <v>9.17559140719E11</v>
      </c>
      <c r="F3593" s="21">
        <v>20073.0</v>
      </c>
      <c r="G3593" s="20"/>
      <c r="H3593" s="20" t="s">
        <v>4942</v>
      </c>
      <c r="I3593" s="5"/>
      <c r="J3593" s="20">
        <v>1.0</v>
      </c>
      <c r="K3593" s="20">
        <v>199.0</v>
      </c>
      <c r="L3593" s="20"/>
      <c r="M3593" s="20">
        <v>199.0</v>
      </c>
      <c r="N3593" s="5" t="s">
        <v>67</v>
      </c>
      <c r="O3593" s="20" t="b">
        <v>0</v>
      </c>
      <c r="P3593" s="20" t="s">
        <v>74</v>
      </c>
      <c r="Q3593" s="20" t="s">
        <v>69</v>
      </c>
      <c r="R3593" s="20" t="s">
        <v>4945</v>
      </c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</row>
    <row r="3594">
      <c r="A3594" s="15" t="s">
        <v>11923</v>
      </c>
      <c r="B3594" s="19" t="s">
        <v>4395</v>
      </c>
      <c r="C3594" s="20">
        <v>50039.0</v>
      </c>
      <c r="D3594" s="20" t="s">
        <v>4394</v>
      </c>
      <c r="E3594" s="5">
        <v>9.17011280319E11</v>
      </c>
      <c r="F3594" s="21">
        <v>20150.0</v>
      </c>
      <c r="G3594" s="20"/>
      <c r="H3594" s="20" t="s">
        <v>4341</v>
      </c>
      <c r="I3594" s="5"/>
      <c r="J3594" s="20">
        <v>6.0</v>
      </c>
      <c r="K3594" s="20">
        <v>349.0</v>
      </c>
      <c r="L3594" s="20"/>
      <c r="M3594" s="20">
        <v>349.0</v>
      </c>
      <c r="N3594" s="5" t="s">
        <v>67</v>
      </c>
      <c r="O3594" s="20" t="b">
        <v>0</v>
      </c>
      <c r="P3594" s="20" t="s">
        <v>68</v>
      </c>
      <c r="Q3594" s="20" t="s">
        <v>69</v>
      </c>
      <c r="R3594" s="20" t="s">
        <v>4388</v>
      </c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</row>
    <row r="3595">
      <c r="A3595" s="15" t="s">
        <v>11919</v>
      </c>
      <c r="B3595" s="19" t="s">
        <v>6665</v>
      </c>
      <c r="C3595" s="20">
        <v>49994.0</v>
      </c>
      <c r="D3595" s="20" t="s">
        <v>6664</v>
      </c>
      <c r="E3595" s="5">
        <v>9.17045816664E11</v>
      </c>
      <c r="F3595" s="21">
        <v>20143.0</v>
      </c>
      <c r="G3595" s="20"/>
      <c r="H3595" s="20" t="s">
        <v>1264</v>
      </c>
      <c r="I3595" s="5"/>
      <c r="J3595" s="20">
        <v>1.0</v>
      </c>
      <c r="K3595" s="20">
        <v>99.0</v>
      </c>
      <c r="L3595" s="20"/>
      <c r="M3595" s="20">
        <v>99.0</v>
      </c>
      <c r="N3595" s="5" t="s">
        <v>67</v>
      </c>
      <c r="O3595" s="20" t="b">
        <v>0</v>
      </c>
      <c r="P3595" s="20" t="s">
        <v>74</v>
      </c>
      <c r="Q3595" s="20" t="s">
        <v>69</v>
      </c>
      <c r="R3595" s="20" t="s">
        <v>6615</v>
      </c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</row>
    <row r="3596">
      <c r="A3596" s="15" t="s">
        <v>11756</v>
      </c>
      <c r="B3596" s="19" t="s">
        <v>3742</v>
      </c>
      <c r="C3596" s="20">
        <v>50104.0</v>
      </c>
      <c r="D3596" s="20" t="s">
        <v>3741</v>
      </c>
      <c r="E3596" s="5">
        <v>9.19810733434E11</v>
      </c>
      <c r="F3596" s="21">
        <v>0.0</v>
      </c>
      <c r="G3596" s="20"/>
      <c r="H3596" s="20" t="s">
        <v>3708</v>
      </c>
      <c r="I3596" s="5"/>
      <c r="J3596" s="20">
        <v>3.0</v>
      </c>
      <c r="K3596" s="20">
        <v>199.0</v>
      </c>
      <c r="L3596" s="20"/>
      <c r="M3596" s="20">
        <v>199.0</v>
      </c>
      <c r="N3596" s="5" t="s">
        <v>67</v>
      </c>
      <c r="O3596" s="20" t="b">
        <v>0</v>
      </c>
      <c r="P3596" s="20" t="s">
        <v>74</v>
      </c>
      <c r="Q3596" s="20" t="s">
        <v>69</v>
      </c>
      <c r="R3596" s="20" t="s">
        <v>3710</v>
      </c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</row>
    <row r="3597">
      <c r="A3597" s="15" t="s">
        <v>11924</v>
      </c>
      <c r="B3597" s="19" t="s">
        <v>3185</v>
      </c>
      <c r="C3597" s="20">
        <v>49991.0</v>
      </c>
      <c r="D3597" s="20" t="s">
        <v>3184</v>
      </c>
      <c r="E3597" s="5">
        <v>9.17406710702E11</v>
      </c>
      <c r="F3597" s="21">
        <v>20146.0</v>
      </c>
      <c r="G3597" s="20"/>
      <c r="H3597" s="20" t="s">
        <v>3055</v>
      </c>
      <c r="I3597" s="5"/>
      <c r="J3597" s="20">
        <v>1.0</v>
      </c>
      <c r="K3597" s="20">
        <v>99.0</v>
      </c>
      <c r="L3597" s="20"/>
      <c r="M3597" s="20">
        <v>99.0</v>
      </c>
      <c r="N3597" s="5" t="s">
        <v>67</v>
      </c>
      <c r="O3597" s="20" t="b">
        <v>0</v>
      </c>
      <c r="P3597" s="20" t="s">
        <v>68</v>
      </c>
      <c r="Q3597" s="20" t="s">
        <v>69</v>
      </c>
      <c r="R3597" s="20" t="s">
        <v>3057</v>
      </c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</row>
    <row r="3598">
      <c r="A3598" s="15" t="s">
        <v>11925</v>
      </c>
      <c r="B3598" s="19" t="s">
        <v>5662</v>
      </c>
      <c r="C3598" s="20">
        <v>50023.0</v>
      </c>
      <c r="D3598" s="20" t="s">
        <v>5661</v>
      </c>
      <c r="E3598" s="5">
        <v>9.18341134078E11</v>
      </c>
      <c r="F3598" s="21">
        <v>20147.0</v>
      </c>
      <c r="G3598" s="20"/>
      <c r="H3598" s="20" t="s">
        <v>5508</v>
      </c>
      <c r="I3598" s="5"/>
      <c r="J3598" s="20">
        <v>3.0</v>
      </c>
      <c r="K3598" s="20">
        <v>199.0</v>
      </c>
      <c r="L3598" s="20"/>
      <c r="M3598" s="20">
        <v>199.0</v>
      </c>
      <c r="N3598" s="5" t="s">
        <v>67</v>
      </c>
      <c r="O3598" s="20" t="b">
        <v>0</v>
      </c>
      <c r="P3598" s="20" t="s">
        <v>68</v>
      </c>
      <c r="Q3598" s="20" t="s">
        <v>69</v>
      </c>
      <c r="R3598" s="20" t="s">
        <v>5510</v>
      </c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</row>
    <row r="3599">
      <c r="A3599" s="15" t="s">
        <v>11928</v>
      </c>
      <c r="B3599" s="19" t="s">
        <v>3645</v>
      </c>
      <c r="C3599" s="20">
        <v>50136.0</v>
      </c>
      <c r="D3599" s="20" t="s">
        <v>3644</v>
      </c>
      <c r="E3599" s="5">
        <v>9.17018326866E11</v>
      </c>
      <c r="F3599" s="21">
        <v>20149.0</v>
      </c>
      <c r="G3599" s="20"/>
      <c r="H3599" s="20" t="s">
        <v>3618</v>
      </c>
      <c r="I3599" s="5"/>
      <c r="J3599" s="20">
        <v>1.0</v>
      </c>
      <c r="K3599" s="20">
        <v>99.0</v>
      </c>
      <c r="L3599" s="20"/>
      <c r="M3599" s="20">
        <v>99.0</v>
      </c>
      <c r="N3599" s="5" t="s">
        <v>67</v>
      </c>
      <c r="O3599" s="20" t="b">
        <v>0</v>
      </c>
      <c r="P3599" s="20" t="s">
        <v>151</v>
      </c>
      <c r="Q3599" s="20" t="s">
        <v>69</v>
      </c>
      <c r="R3599" s="20" t="s">
        <v>3624</v>
      </c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</row>
    <row r="3600">
      <c r="A3600" s="15" t="s">
        <v>11929</v>
      </c>
      <c r="B3600" s="19" t="s">
        <v>3558</v>
      </c>
      <c r="C3600" s="20">
        <v>50030.0</v>
      </c>
      <c r="D3600" s="20" t="s">
        <v>3557</v>
      </c>
      <c r="E3600" s="5">
        <v>9.18617481346E11</v>
      </c>
      <c r="F3600" s="21">
        <v>20532.0</v>
      </c>
      <c r="G3600" s="20"/>
      <c r="H3600" s="20" t="s">
        <v>3326</v>
      </c>
      <c r="I3600" s="5"/>
      <c r="J3600" s="20">
        <v>1.0</v>
      </c>
      <c r="K3600" s="20">
        <v>99.0</v>
      </c>
      <c r="L3600" s="20"/>
      <c r="M3600" s="20">
        <v>99.0</v>
      </c>
      <c r="N3600" s="5" t="s">
        <v>67</v>
      </c>
      <c r="O3600" s="20" t="b">
        <v>0</v>
      </c>
      <c r="P3600" s="20" t="s">
        <v>68</v>
      </c>
      <c r="Q3600" s="20" t="s">
        <v>69</v>
      </c>
      <c r="R3600" s="20" t="s">
        <v>3328</v>
      </c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</row>
    <row r="3601">
      <c r="A3601" s="15" t="s">
        <v>11763</v>
      </c>
      <c r="B3601" s="19" t="s">
        <v>3623</v>
      </c>
      <c r="C3601" s="20">
        <v>50136.0</v>
      </c>
      <c r="D3601" s="20" t="s">
        <v>3622</v>
      </c>
      <c r="E3601" s="5">
        <v>9.19885769857E11</v>
      </c>
      <c r="F3601" s="21">
        <v>20077.0</v>
      </c>
      <c r="G3601" s="20"/>
      <c r="H3601" s="20" t="s">
        <v>3618</v>
      </c>
      <c r="I3601" s="5"/>
      <c r="J3601" s="20">
        <v>6.0</v>
      </c>
      <c r="K3601" s="20">
        <v>349.0</v>
      </c>
      <c r="L3601" s="20"/>
      <c r="M3601" s="20">
        <v>349.0</v>
      </c>
      <c r="N3601" s="5" t="s">
        <v>67</v>
      </c>
      <c r="O3601" s="20" t="b">
        <v>0</v>
      </c>
      <c r="P3601" s="20" t="s">
        <v>68</v>
      </c>
      <c r="Q3601" s="20" t="s">
        <v>69</v>
      </c>
      <c r="R3601" s="20" t="s">
        <v>3624</v>
      </c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</row>
    <row r="3602">
      <c r="A3602" s="15" t="s">
        <v>11764</v>
      </c>
      <c r="B3602" s="19" t="s">
        <v>4240</v>
      </c>
      <c r="C3602" s="20">
        <v>49833.0</v>
      </c>
      <c r="D3602" s="20" t="s">
        <v>4239</v>
      </c>
      <c r="E3602" s="5">
        <v>9.16305799219E11</v>
      </c>
      <c r="F3602" s="21">
        <v>20075.0</v>
      </c>
      <c r="G3602" s="20"/>
      <c r="H3602" s="20" t="s">
        <v>4030</v>
      </c>
      <c r="I3602" s="5"/>
      <c r="J3602" s="20">
        <v>1.0</v>
      </c>
      <c r="K3602" s="20">
        <v>149.0</v>
      </c>
      <c r="L3602" s="20"/>
      <c r="M3602" s="20">
        <v>149.0</v>
      </c>
      <c r="N3602" s="5" t="s">
        <v>67</v>
      </c>
      <c r="O3602" s="20" t="b">
        <v>0</v>
      </c>
      <c r="P3602" s="20" t="s">
        <v>151</v>
      </c>
      <c r="Q3602" s="20" t="s">
        <v>69</v>
      </c>
      <c r="R3602" s="20" t="s">
        <v>4202</v>
      </c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</row>
    <row r="3603">
      <c r="A3603" s="15" t="s">
        <v>11765</v>
      </c>
      <c r="B3603" s="19" t="s">
        <v>5069</v>
      </c>
      <c r="C3603" s="20">
        <v>50094.0</v>
      </c>
      <c r="D3603" s="20" t="s">
        <v>5068</v>
      </c>
      <c r="E3603" s="5">
        <v>9.18091028119E11</v>
      </c>
      <c r="F3603" s="21">
        <v>20076.0</v>
      </c>
      <c r="G3603" s="20"/>
      <c r="H3603" s="20" t="s">
        <v>4942</v>
      </c>
      <c r="I3603" s="5"/>
      <c r="J3603" s="20">
        <v>1.0</v>
      </c>
      <c r="K3603" s="20">
        <v>199.0</v>
      </c>
      <c r="L3603" s="20"/>
      <c r="M3603" s="20">
        <v>199.0</v>
      </c>
      <c r="N3603" s="5" t="s">
        <v>67</v>
      </c>
      <c r="O3603" s="20" t="b">
        <v>0</v>
      </c>
      <c r="P3603" s="20" t="s">
        <v>68</v>
      </c>
      <c r="Q3603" s="20" t="s">
        <v>69</v>
      </c>
      <c r="R3603" s="20" t="s">
        <v>4945</v>
      </c>
      <c r="T3603" s="20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</row>
    <row r="3604">
      <c r="A3604" s="15" t="s">
        <v>11932</v>
      </c>
      <c r="B3604" s="19" t="s">
        <v>6450</v>
      </c>
      <c r="C3604" s="20">
        <v>50043.0</v>
      </c>
      <c r="D3604" s="20" t="s">
        <v>6449</v>
      </c>
      <c r="E3604" s="5">
        <v>9.19045541213E11</v>
      </c>
      <c r="F3604" s="21">
        <v>20151.0</v>
      </c>
      <c r="G3604" s="20"/>
      <c r="H3604" s="20" t="s">
        <v>6367</v>
      </c>
      <c r="I3604" s="5"/>
      <c r="J3604" s="20">
        <v>1.0</v>
      </c>
      <c r="K3604" s="20">
        <v>99.0</v>
      </c>
      <c r="L3604" s="20"/>
      <c r="M3604" s="20">
        <v>99.0</v>
      </c>
      <c r="N3604" s="5" t="s">
        <v>67</v>
      </c>
      <c r="O3604" s="20" t="b">
        <v>0</v>
      </c>
      <c r="P3604" s="20" t="s">
        <v>74</v>
      </c>
      <c r="Q3604" s="20" t="s">
        <v>69</v>
      </c>
      <c r="R3604" s="20" t="s">
        <v>6369</v>
      </c>
      <c r="T3604" s="20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</row>
    <row r="3605">
      <c r="A3605" s="15" t="s">
        <v>11767</v>
      </c>
      <c r="B3605" s="19" t="s">
        <v>3628</v>
      </c>
      <c r="C3605" s="20">
        <v>50136.0</v>
      </c>
      <c r="D3605" s="20" t="s">
        <v>3627</v>
      </c>
      <c r="E3605" s="5">
        <v>9.19538153644E11</v>
      </c>
      <c r="F3605" s="21">
        <v>20079.0</v>
      </c>
      <c r="G3605" s="20"/>
      <c r="H3605" s="20" t="s">
        <v>3618</v>
      </c>
      <c r="I3605" s="5"/>
      <c r="J3605" s="20">
        <v>6.0</v>
      </c>
      <c r="K3605" s="20">
        <v>349.0</v>
      </c>
      <c r="L3605" s="20"/>
      <c r="M3605" s="20">
        <v>349.0</v>
      </c>
      <c r="N3605" s="5" t="s">
        <v>67</v>
      </c>
      <c r="O3605" s="20" t="b">
        <v>0</v>
      </c>
      <c r="P3605" s="20" t="s">
        <v>68</v>
      </c>
      <c r="Q3605" s="20" t="s">
        <v>69</v>
      </c>
      <c r="R3605" s="20" t="s">
        <v>3624</v>
      </c>
      <c r="T3605" s="20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</row>
    <row r="3606">
      <c r="A3606" s="15" t="s">
        <v>11774</v>
      </c>
      <c r="B3606" s="19" t="s">
        <v>3004</v>
      </c>
      <c r="C3606" s="20">
        <v>50066.0</v>
      </c>
      <c r="D3606" s="20" t="s">
        <v>3003</v>
      </c>
      <c r="E3606" s="5">
        <v>9.19371636971E11</v>
      </c>
      <c r="F3606" s="21">
        <v>20082.0</v>
      </c>
      <c r="G3606" s="20"/>
      <c r="H3606" s="20" t="s">
        <v>2911</v>
      </c>
      <c r="I3606" s="5"/>
      <c r="J3606" s="20">
        <v>6.0</v>
      </c>
      <c r="K3606" s="20">
        <v>2359.0</v>
      </c>
      <c r="L3606" s="20"/>
      <c r="M3606" s="20">
        <v>2359.0</v>
      </c>
      <c r="N3606" s="5" t="s">
        <v>67</v>
      </c>
      <c r="O3606" s="20" t="b">
        <v>0</v>
      </c>
      <c r="P3606" s="20" t="s">
        <v>68</v>
      </c>
      <c r="Q3606" s="20" t="s">
        <v>69</v>
      </c>
      <c r="R3606" s="20" t="s">
        <v>2913</v>
      </c>
      <c r="T3606" s="20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</row>
    <row r="3607">
      <c r="A3607" s="15" t="s">
        <v>11775</v>
      </c>
      <c r="B3607" s="19" t="s">
        <v>3173</v>
      </c>
      <c r="C3607" s="20">
        <v>49991.0</v>
      </c>
      <c r="D3607" s="20" t="s">
        <v>3172</v>
      </c>
      <c r="E3607" s="5">
        <v>9.19654036425E11</v>
      </c>
      <c r="F3607" s="21">
        <v>20083.0</v>
      </c>
      <c r="G3607" s="20"/>
      <c r="H3607" s="20" t="s">
        <v>3055</v>
      </c>
      <c r="I3607" s="5"/>
      <c r="J3607" s="20">
        <v>6.0</v>
      </c>
      <c r="K3607" s="20">
        <v>349.0</v>
      </c>
      <c r="L3607" s="20"/>
      <c r="M3607" s="20">
        <v>349.0</v>
      </c>
      <c r="N3607" s="5" t="s">
        <v>67</v>
      </c>
      <c r="O3607" s="20" t="b">
        <v>0</v>
      </c>
      <c r="P3607" s="20" t="s">
        <v>151</v>
      </c>
      <c r="Q3607" s="20" t="s">
        <v>69</v>
      </c>
      <c r="R3607" s="20" t="s">
        <v>3057</v>
      </c>
      <c r="T3607" s="20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</row>
    <row r="3608">
      <c r="A3608" s="15" t="s">
        <v>11934</v>
      </c>
      <c r="B3608" s="19" t="s">
        <v>2575</v>
      </c>
      <c r="C3608" s="20">
        <v>49997.0</v>
      </c>
      <c r="D3608" s="20" t="s">
        <v>2574</v>
      </c>
      <c r="E3608" s="5">
        <v>9.1976705314E11</v>
      </c>
      <c r="F3608" s="21">
        <v>20154.0</v>
      </c>
      <c r="G3608" s="20"/>
      <c r="H3608" s="20" t="s">
        <v>2455</v>
      </c>
      <c r="I3608" s="5"/>
      <c r="J3608" s="20">
        <v>1.0</v>
      </c>
      <c r="K3608" s="20">
        <v>99.0</v>
      </c>
      <c r="L3608" s="20"/>
      <c r="M3608" s="20">
        <v>99.0</v>
      </c>
      <c r="N3608" s="5" t="s">
        <v>67</v>
      </c>
      <c r="O3608" s="20" t="b">
        <v>0</v>
      </c>
      <c r="P3608" s="20" t="s">
        <v>68</v>
      </c>
      <c r="Q3608" s="20" t="s">
        <v>69</v>
      </c>
      <c r="R3608" s="20" t="s">
        <v>2457</v>
      </c>
      <c r="T3608" s="20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</row>
    <row r="3609">
      <c r="A3609" s="15" t="s">
        <v>11933</v>
      </c>
      <c r="B3609" s="19" t="s">
        <v>3560</v>
      </c>
      <c r="C3609" s="20">
        <v>50030.0</v>
      </c>
      <c r="D3609" s="20" t="s">
        <v>3559</v>
      </c>
      <c r="E3609" s="5">
        <v>9.19847272029E11</v>
      </c>
      <c r="F3609" s="21">
        <v>20153.0</v>
      </c>
      <c r="G3609" s="20"/>
      <c r="H3609" s="20" t="s">
        <v>3326</v>
      </c>
      <c r="I3609" s="5"/>
      <c r="J3609" s="20">
        <v>1.0</v>
      </c>
      <c r="K3609" s="20">
        <v>99.0</v>
      </c>
      <c r="L3609" s="20"/>
      <c r="M3609" s="20">
        <v>99.0</v>
      </c>
      <c r="N3609" s="5" t="s">
        <v>67</v>
      </c>
      <c r="O3609" s="20" t="b">
        <v>0</v>
      </c>
      <c r="P3609" s="20" t="s">
        <v>68</v>
      </c>
      <c r="Q3609" s="20" t="s">
        <v>69</v>
      </c>
      <c r="R3609" s="20" t="s">
        <v>3328</v>
      </c>
      <c r="T3609" s="20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</row>
    <row r="3610">
      <c r="A3610" s="15" t="s">
        <v>11935</v>
      </c>
      <c r="B3610" s="19" t="s">
        <v>5664</v>
      </c>
      <c r="C3610" s="20">
        <v>50023.0</v>
      </c>
      <c r="D3610" s="20" t="s">
        <v>5663</v>
      </c>
      <c r="E3610" s="5">
        <v>9.17499830829E11</v>
      </c>
      <c r="F3610" s="21">
        <v>20155.0</v>
      </c>
      <c r="G3610" s="20"/>
      <c r="H3610" s="20" t="s">
        <v>5508</v>
      </c>
      <c r="I3610" s="5"/>
      <c r="J3610" s="20">
        <v>1.0</v>
      </c>
      <c r="K3610" s="20">
        <v>99.0</v>
      </c>
      <c r="L3610" s="20"/>
      <c r="M3610" s="20">
        <v>99.0</v>
      </c>
      <c r="N3610" s="5" t="s">
        <v>67</v>
      </c>
      <c r="O3610" s="20" t="b">
        <v>0</v>
      </c>
      <c r="P3610" s="20" t="s">
        <v>68</v>
      </c>
      <c r="Q3610" s="20" t="s">
        <v>69</v>
      </c>
      <c r="R3610" s="20" t="s">
        <v>5510</v>
      </c>
      <c r="T3610" s="20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</row>
    <row r="3611">
      <c r="A3611" s="15" t="s">
        <v>11773</v>
      </c>
      <c r="B3611" s="19" t="s">
        <v>3630</v>
      </c>
      <c r="C3611" s="20">
        <v>50136.0</v>
      </c>
      <c r="D3611" s="20" t="s">
        <v>3629</v>
      </c>
      <c r="E3611" s="5">
        <v>9.18210336536E11</v>
      </c>
      <c r="F3611" s="21">
        <v>20080.0</v>
      </c>
      <c r="G3611" s="20"/>
      <c r="H3611" s="20" t="s">
        <v>3618</v>
      </c>
      <c r="I3611" s="5"/>
      <c r="J3611" s="20">
        <v>6.0</v>
      </c>
      <c r="K3611" s="20">
        <v>349.0</v>
      </c>
      <c r="L3611" s="20"/>
      <c r="M3611" s="20">
        <v>349.0</v>
      </c>
      <c r="N3611" s="5" t="s">
        <v>67</v>
      </c>
      <c r="O3611" s="20" t="b">
        <v>0</v>
      </c>
      <c r="P3611" s="20" t="s">
        <v>68</v>
      </c>
      <c r="Q3611" s="20" t="s">
        <v>69</v>
      </c>
      <c r="R3611" s="20" t="s">
        <v>3624</v>
      </c>
      <c r="T3611" s="20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</row>
    <row r="3612">
      <c r="A3612" s="15" t="s">
        <v>11776</v>
      </c>
      <c r="B3612" s="19" t="s">
        <v>5071</v>
      </c>
      <c r="C3612" s="20">
        <v>50094.0</v>
      </c>
      <c r="D3612" s="20" t="s">
        <v>5070</v>
      </c>
      <c r="E3612" s="5">
        <v>9.71561063735E11</v>
      </c>
      <c r="F3612" s="21">
        <v>20085.0</v>
      </c>
      <c r="G3612" s="20"/>
      <c r="H3612" s="20" t="s">
        <v>4942</v>
      </c>
      <c r="I3612" s="5"/>
      <c r="J3612" s="20">
        <v>1.0</v>
      </c>
      <c r="K3612" s="20">
        <v>199.0</v>
      </c>
      <c r="L3612" s="20"/>
      <c r="M3612" s="20">
        <v>199.0</v>
      </c>
      <c r="N3612" s="5" t="s">
        <v>67</v>
      </c>
      <c r="O3612" s="20" t="b">
        <v>0</v>
      </c>
      <c r="P3612" s="20" t="s">
        <v>74</v>
      </c>
      <c r="Q3612" s="20" t="s">
        <v>69</v>
      </c>
      <c r="R3612" s="20" t="s">
        <v>5072</v>
      </c>
      <c r="T3612" s="20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</row>
    <row r="3613">
      <c r="A3613" s="15" t="s">
        <v>11777</v>
      </c>
      <c r="B3613" s="19" t="s">
        <v>3632</v>
      </c>
      <c r="C3613" s="20">
        <v>50136.0</v>
      </c>
      <c r="D3613" s="20" t="s">
        <v>3631</v>
      </c>
      <c r="E3613" s="5">
        <v>9.19694278272E11</v>
      </c>
      <c r="F3613" s="21">
        <v>20084.0</v>
      </c>
      <c r="G3613" s="20"/>
      <c r="H3613" s="20" t="s">
        <v>3618</v>
      </c>
      <c r="I3613" s="5"/>
      <c r="J3613" s="20">
        <v>1.0</v>
      </c>
      <c r="K3613" s="20">
        <v>99.0</v>
      </c>
      <c r="L3613" s="20"/>
      <c r="M3613" s="20">
        <v>99.0</v>
      </c>
      <c r="N3613" s="5" t="s">
        <v>67</v>
      </c>
      <c r="O3613" s="20" t="b">
        <v>0</v>
      </c>
      <c r="P3613" s="20" t="s">
        <v>68</v>
      </c>
      <c r="Q3613" s="20" t="s">
        <v>69</v>
      </c>
      <c r="R3613" s="20" t="s">
        <v>3633</v>
      </c>
      <c r="T3613" s="20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</row>
    <row r="3614">
      <c r="A3614" s="15" t="s">
        <v>11937</v>
      </c>
      <c r="B3614" s="19" t="s">
        <v>3863</v>
      </c>
      <c r="C3614" s="20">
        <v>49907.0</v>
      </c>
      <c r="D3614" s="20" t="s">
        <v>3862</v>
      </c>
      <c r="E3614" s="5">
        <v>9.18252404027E11</v>
      </c>
      <c r="F3614" s="21">
        <v>20158.0</v>
      </c>
      <c r="G3614" s="20"/>
      <c r="H3614" s="20" t="s">
        <v>587</v>
      </c>
      <c r="I3614" s="5"/>
      <c r="J3614" s="20">
        <v>3.0</v>
      </c>
      <c r="K3614" s="20">
        <v>199.0</v>
      </c>
      <c r="L3614" s="20"/>
      <c r="M3614" s="20">
        <v>199.0</v>
      </c>
      <c r="N3614" s="5" t="s">
        <v>67</v>
      </c>
      <c r="O3614" s="20" t="b">
        <v>0</v>
      </c>
      <c r="P3614" s="20" t="s">
        <v>97</v>
      </c>
      <c r="Q3614" s="20" t="s">
        <v>69</v>
      </c>
      <c r="R3614" s="20" t="s">
        <v>3774</v>
      </c>
      <c r="T3614" s="20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</row>
    <row r="3615">
      <c r="A3615" s="15" t="s">
        <v>11936</v>
      </c>
      <c r="B3615" s="19" t="s">
        <v>4246</v>
      </c>
      <c r="C3615" s="20">
        <v>49833.0</v>
      </c>
      <c r="D3615" s="20" t="s">
        <v>4245</v>
      </c>
      <c r="E3615" s="5">
        <v>9.18787544244E11</v>
      </c>
      <c r="F3615" s="21">
        <v>20157.0</v>
      </c>
      <c r="G3615" s="20"/>
      <c r="H3615" s="20" t="s">
        <v>4030</v>
      </c>
      <c r="I3615" s="5"/>
      <c r="J3615" s="20">
        <v>1.0</v>
      </c>
      <c r="K3615" s="20">
        <v>149.0</v>
      </c>
      <c r="L3615" s="20"/>
      <c r="M3615" s="20">
        <v>149.0</v>
      </c>
      <c r="N3615" s="5" t="s">
        <v>67</v>
      </c>
      <c r="O3615" s="20" t="b">
        <v>0</v>
      </c>
      <c r="P3615" s="20" t="s">
        <v>151</v>
      </c>
      <c r="Q3615" s="20" t="s">
        <v>69</v>
      </c>
      <c r="R3615" s="20" t="s">
        <v>4202</v>
      </c>
      <c r="T3615" s="20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</row>
    <row r="3616">
      <c r="A3616" s="15" t="s">
        <v>11938</v>
      </c>
      <c r="B3616" s="19" t="s">
        <v>2450</v>
      </c>
      <c r="C3616" s="20">
        <v>50143.0</v>
      </c>
      <c r="D3616" s="20" t="s">
        <v>2449</v>
      </c>
      <c r="E3616" s="5">
        <v>9.18469114428E11</v>
      </c>
      <c r="F3616" s="21">
        <v>19796.0</v>
      </c>
      <c r="G3616" s="20"/>
      <c r="H3616" s="20" t="s">
        <v>2441</v>
      </c>
      <c r="I3616" s="5"/>
      <c r="J3616" s="20">
        <v>6.0</v>
      </c>
      <c r="K3616" s="20">
        <v>999.0</v>
      </c>
      <c r="L3616" s="20"/>
      <c r="M3616" s="20">
        <v>999.0</v>
      </c>
      <c r="N3616" s="5" t="s">
        <v>67</v>
      </c>
      <c r="O3616" s="20" t="b">
        <v>0</v>
      </c>
      <c r="P3616" s="20" t="s">
        <v>74</v>
      </c>
      <c r="Q3616" s="20" t="s">
        <v>69</v>
      </c>
      <c r="R3616" s="20" t="s">
        <v>2443</v>
      </c>
      <c r="T3616" s="20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</row>
    <row r="3617">
      <c r="A3617" s="15" t="s">
        <v>11784</v>
      </c>
      <c r="B3617" s="19" t="s">
        <v>4525</v>
      </c>
      <c r="C3617" s="20">
        <v>50052.0</v>
      </c>
      <c r="D3617" s="20" t="s">
        <v>4524</v>
      </c>
      <c r="E3617" s="5">
        <v>9.19010567759E11</v>
      </c>
      <c r="F3617" s="21">
        <v>20088.0</v>
      </c>
      <c r="G3617" s="20"/>
      <c r="H3617" s="20" t="s">
        <v>4433</v>
      </c>
      <c r="I3617" s="5"/>
      <c r="J3617" s="20">
        <v>1.0</v>
      </c>
      <c r="K3617" s="20">
        <v>99.0</v>
      </c>
      <c r="L3617" s="20"/>
      <c r="M3617" s="20">
        <v>99.0</v>
      </c>
      <c r="N3617" s="5" t="s">
        <v>67</v>
      </c>
      <c r="O3617" s="20" t="b">
        <v>0</v>
      </c>
      <c r="P3617" s="20" t="s">
        <v>68</v>
      </c>
      <c r="Q3617" s="20" t="s">
        <v>69</v>
      </c>
      <c r="R3617" s="20" t="s">
        <v>4435</v>
      </c>
      <c r="T3617" s="20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</row>
    <row r="3618">
      <c r="A3618" s="15" t="s">
        <v>11787</v>
      </c>
      <c r="B3618" s="19" t="s">
        <v>3544</v>
      </c>
      <c r="C3618" s="20">
        <v>50030.0</v>
      </c>
      <c r="D3618" s="20" t="s">
        <v>3543</v>
      </c>
      <c r="E3618" s="5">
        <v>9.18806757528E11</v>
      </c>
      <c r="F3618" s="21">
        <v>20091.0</v>
      </c>
      <c r="G3618" s="20"/>
      <c r="H3618" s="20" t="s">
        <v>3326</v>
      </c>
      <c r="I3618" s="5"/>
      <c r="J3618" s="20">
        <v>1.0</v>
      </c>
      <c r="K3618" s="20">
        <v>99.0</v>
      </c>
      <c r="L3618" s="20"/>
      <c r="M3618" s="20">
        <v>99.0</v>
      </c>
      <c r="N3618" s="5" t="s">
        <v>67</v>
      </c>
      <c r="O3618" s="20" t="b">
        <v>0</v>
      </c>
      <c r="P3618" s="20" t="s">
        <v>74</v>
      </c>
      <c r="Q3618" s="20" t="s">
        <v>69</v>
      </c>
      <c r="R3618" s="20" t="s">
        <v>3328</v>
      </c>
      <c r="T3618" s="20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</row>
    <row r="3619">
      <c r="A3619" s="15" t="s">
        <v>11945</v>
      </c>
      <c r="B3619" s="19" t="s">
        <v>3564</v>
      </c>
      <c r="C3619" s="20">
        <v>50030.0</v>
      </c>
      <c r="D3619" s="20" t="s">
        <v>3563</v>
      </c>
      <c r="E3619" s="5">
        <v>9.18408850686E11</v>
      </c>
      <c r="F3619" s="21">
        <v>20162.0</v>
      </c>
      <c r="G3619" s="20"/>
      <c r="H3619" s="20" t="s">
        <v>3326</v>
      </c>
      <c r="I3619" s="5"/>
      <c r="J3619" s="20">
        <v>3.0</v>
      </c>
      <c r="K3619" s="20">
        <v>199.0</v>
      </c>
      <c r="L3619" s="20"/>
      <c r="M3619" s="20">
        <v>199.0</v>
      </c>
      <c r="N3619" s="5" t="s">
        <v>67</v>
      </c>
      <c r="O3619" s="20" t="b">
        <v>0</v>
      </c>
      <c r="P3619" s="20" t="s">
        <v>68</v>
      </c>
      <c r="Q3619" s="20" t="s">
        <v>69</v>
      </c>
      <c r="R3619" s="20" t="s">
        <v>3328</v>
      </c>
      <c r="T3619" s="20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</row>
    <row r="3620">
      <c r="A3620" s="15" t="s">
        <v>11940</v>
      </c>
      <c r="B3620" s="19" t="s">
        <v>3647</v>
      </c>
      <c r="C3620" s="20">
        <v>50136.0</v>
      </c>
      <c r="D3620" s="20" t="s">
        <v>3646</v>
      </c>
      <c r="E3620" s="5">
        <v>9.19620953312E11</v>
      </c>
      <c r="F3620" s="21">
        <v>20159.0</v>
      </c>
      <c r="G3620" s="20"/>
      <c r="H3620" s="20" t="s">
        <v>3618</v>
      </c>
      <c r="I3620" s="5"/>
      <c r="J3620" s="20">
        <v>6.0</v>
      </c>
      <c r="K3620" s="20">
        <v>349.0</v>
      </c>
      <c r="L3620" s="20"/>
      <c r="M3620" s="20">
        <v>349.0</v>
      </c>
      <c r="N3620" s="5" t="s">
        <v>67</v>
      </c>
      <c r="O3620" s="20" t="b">
        <v>0</v>
      </c>
      <c r="P3620" s="20" t="s">
        <v>68</v>
      </c>
      <c r="Q3620" s="20" t="s">
        <v>69</v>
      </c>
      <c r="R3620" s="20" t="s">
        <v>3624</v>
      </c>
      <c r="T3620" s="20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</row>
    <row r="3621">
      <c r="A3621" s="15" t="s">
        <v>11946</v>
      </c>
      <c r="B3621" s="19" t="s">
        <v>3564</v>
      </c>
      <c r="C3621" s="20">
        <v>49833.0</v>
      </c>
      <c r="D3621" s="20" t="s">
        <v>4247</v>
      </c>
      <c r="E3621" s="5">
        <v>9.18894536226E11</v>
      </c>
      <c r="F3621" s="21">
        <v>20161.0</v>
      </c>
      <c r="G3621" s="20"/>
      <c r="H3621" s="20" t="s">
        <v>4030</v>
      </c>
      <c r="I3621" s="5"/>
      <c r="J3621" s="20">
        <v>1.0</v>
      </c>
      <c r="K3621" s="20">
        <v>149.0</v>
      </c>
      <c r="L3621" s="20"/>
      <c r="M3621" s="20">
        <v>149.0</v>
      </c>
      <c r="N3621" s="5" t="s">
        <v>67</v>
      </c>
      <c r="O3621" s="20" t="b">
        <v>0</v>
      </c>
      <c r="P3621" s="20" t="s">
        <v>68</v>
      </c>
      <c r="Q3621" s="20" t="s">
        <v>69</v>
      </c>
      <c r="R3621" s="20" t="s">
        <v>4033</v>
      </c>
      <c r="T3621" s="20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</row>
    <row r="3622">
      <c r="A3622" s="15" t="s">
        <v>11947</v>
      </c>
      <c r="B3622" s="19" t="s">
        <v>2577</v>
      </c>
      <c r="C3622" s="20">
        <v>49997.0</v>
      </c>
      <c r="D3622" s="20" t="s">
        <v>2576</v>
      </c>
      <c r="E3622" s="5">
        <v>9.19741718758E11</v>
      </c>
      <c r="F3622" s="21">
        <v>20164.0</v>
      </c>
      <c r="G3622" s="20"/>
      <c r="H3622" s="20" t="s">
        <v>2455</v>
      </c>
      <c r="I3622" s="5"/>
      <c r="J3622" s="20">
        <v>1.0</v>
      </c>
      <c r="K3622" s="20">
        <v>99.0</v>
      </c>
      <c r="L3622" s="20"/>
      <c r="M3622" s="20">
        <v>99.0</v>
      </c>
      <c r="N3622" s="5" t="s">
        <v>67</v>
      </c>
      <c r="O3622" s="20" t="b">
        <v>0</v>
      </c>
      <c r="P3622" s="20" t="s">
        <v>68</v>
      </c>
      <c r="Q3622" s="20" t="s">
        <v>69</v>
      </c>
      <c r="R3622" s="20" t="s">
        <v>2457</v>
      </c>
      <c r="T3622" s="20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</row>
    <row r="3623">
      <c r="A3623" s="15" t="s">
        <v>11941</v>
      </c>
      <c r="B3623" s="19" t="s">
        <v>3562</v>
      </c>
      <c r="C3623" s="20">
        <v>50030.0</v>
      </c>
      <c r="D3623" s="20" t="s">
        <v>3561</v>
      </c>
      <c r="E3623" s="5">
        <v>9.18700046907E11</v>
      </c>
      <c r="F3623" s="21">
        <v>20160.0</v>
      </c>
      <c r="G3623" s="20"/>
      <c r="H3623" s="20" t="s">
        <v>3326</v>
      </c>
      <c r="I3623" s="5"/>
      <c r="J3623" s="20">
        <v>1.0</v>
      </c>
      <c r="K3623" s="20">
        <v>99.0</v>
      </c>
      <c r="L3623" s="20"/>
      <c r="M3623" s="20">
        <v>99.0</v>
      </c>
      <c r="N3623" s="5" t="s">
        <v>67</v>
      </c>
      <c r="O3623" s="20" t="b">
        <v>0</v>
      </c>
      <c r="P3623" s="20" t="s">
        <v>68</v>
      </c>
      <c r="Q3623" s="20" t="s">
        <v>69</v>
      </c>
      <c r="R3623" s="20" t="s">
        <v>3328</v>
      </c>
      <c r="T3623" s="20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</row>
    <row r="3624">
      <c r="A3624" s="15" t="s">
        <v>11942</v>
      </c>
      <c r="B3624" s="19" t="s">
        <v>3649</v>
      </c>
      <c r="C3624" s="20">
        <v>50136.0</v>
      </c>
      <c r="D3624" s="20" t="s">
        <v>3648</v>
      </c>
      <c r="E3624" s="5">
        <v>9.18097002242E11</v>
      </c>
      <c r="F3624" s="21">
        <v>0.0</v>
      </c>
      <c r="G3624" s="20"/>
      <c r="H3624" s="20" t="s">
        <v>3618</v>
      </c>
      <c r="I3624" s="5"/>
      <c r="J3624" s="20">
        <v>1.0</v>
      </c>
      <c r="K3624" s="20">
        <v>99.0</v>
      </c>
      <c r="L3624" s="20"/>
      <c r="M3624" s="20">
        <v>99.0</v>
      </c>
      <c r="N3624" s="5" t="s">
        <v>67</v>
      </c>
      <c r="O3624" s="20" t="b">
        <v>0</v>
      </c>
      <c r="P3624" s="20" t="s">
        <v>68</v>
      </c>
      <c r="Q3624" s="20" t="s">
        <v>69</v>
      </c>
      <c r="R3624" s="20" t="s">
        <v>3624</v>
      </c>
      <c r="T3624" s="20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</row>
    <row r="3625">
      <c r="A3625" s="15" t="s">
        <v>11790</v>
      </c>
      <c r="B3625" s="19" t="s">
        <v>3552</v>
      </c>
      <c r="C3625" s="20">
        <v>50094.0</v>
      </c>
      <c r="D3625" s="20" t="s">
        <v>5075</v>
      </c>
      <c r="E3625" s="5">
        <v>9.19566813389E11</v>
      </c>
      <c r="F3625" s="21">
        <v>20134.0</v>
      </c>
      <c r="G3625" s="20"/>
      <c r="H3625" s="20" t="s">
        <v>4942</v>
      </c>
      <c r="I3625" s="5"/>
      <c r="J3625" s="20">
        <v>1.0</v>
      </c>
      <c r="K3625" s="20">
        <v>199.0</v>
      </c>
      <c r="L3625" s="20"/>
      <c r="M3625" s="20">
        <v>199.0</v>
      </c>
      <c r="N3625" s="5" t="s">
        <v>67</v>
      </c>
      <c r="O3625" s="20" t="b">
        <v>0</v>
      </c>
      <c r="P3625" s="20" t="s">
        <v>74</v>
      </c>
      <c r="Q3625" s="20" t="s">
        <v>69</v>
      </c>
      <c r="R3625" s="20" t="s">
        <v>4945</v>
      </c>
      <c r="T3625" s="20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</row>
    <row r="3626">
      <c r="A3626" s="15" t="s">
        <v>11793</v>
      </c>
      <c r="B3626" s="19" t="s">
        <v>5646</v>
      </c>
      <c r="C3626" s="20">
        <v>50023.0</v>
      </c>
      <c r="D3626" s="20" t="s">
        <v>5645</v>
      </c>
      <c r="E3626" s="5">
        <v>9.19772815983E11</v>
      </c>
      <c r="F3626" s="21">
        <v>20092.0</v>
      </c>
      <c r="G3626" s="20"/>
      <c r="H3626" s="20" t="s">
        <v>5508</v>
      </c>
      <c r="I3626" s="5"/>
      <c r="J3626" s="20">
        <v>1.0</v>
      </c>
      <c r="K3626" s="20">
        <v>99.0</v>
      </c>
      <c r="L3626" s="20"/>
      <c r="M3626" s="20">
        <v>99.0</v>
      </c>
      <c r="N3626" s="5" t="s">
        <v>67</v>
      </c>
      <c r="O3626" s="20" t="b">
        <v>0</v>
      </c>
      <c r="P3626" s="20" t="s">
        <v>68</v>
      </c>
      <c r="Q3626" s="20" t="s">
        <v>69</v>
      </c>
      <c r="R3626" s="20" t="s">
        <v>5510</v>
      </c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</row>
    <row r="3627">
      <c r="A3627" s="15" t="s">
        <v>11795</v>
      </c>
      <c r="B3627" s="19" t="s">
        <v>2573</v>
      </c>
      <c r="C3627" s="20">
        <v>49997.0</v>
      </c>
      <c r="D3627" s="20" t="s">
        <v>2572</v>
      </c>
      <c r="E3627" s="5">
        <v>9.19749331382E11</v>
      </c>
      <c r="F3627" s="21">
        <v>20094.0</v>
      </c>
      <c r="G3627" s="20"/>
      <c r="H3627" s="20" t="s">
        <v>2455</v>
      </c>
      <c r="I3627" s="5"/>
      <c r="J3627" s="20">
        <v>1.0</v>
      </c>
      <c r="K3627" s="20">
        <v>99.0</v>
      </c>
      <c r="L3627" s="20"/>
      <c r="M3627" s="20">
        <v>99.0</v>
      </c>
      <c r="N3627" s="5" t="s">
        <v>67</v>
      </c>
      <c r="O3627" s="20" t="b">
        <v>0</v>
      </c>
      <c r="P3627" s="20" t="s">
        <v>68</v>
      </c>
      <c r="Q3627" s="20" t="s">
        <v>69</v>
      </c>
      <c r="R3627" s="20" t="s">
        <v>2457</v>
      </c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</row>
    <row r="3628">
      <c r="A3628" s="15" t="s">
        <v>11794</v>
      </c>
      <c r="B3628" s="19" t="s">
        <v>3744</v>
      </c>
      <c r="C3628" s="20">
        <v>50104.0</v>
      </c>
      <c r="D3628" s="20" t="s">
        <v>3743</v>
      </c>
      <c r="E3628" s="5">
        <v>9.1917639052E11</v>
      </c>
      <c r="F3628" s="21">
        <v>20093.0</v>
      </c>
      <c r="G3628" s="20"/>
      <c r="H3628" s="20" t="s">
        <v>3708</v>
      </c>
      <c r="I3628" s="5"/>
      <c r="J3628" s="20">
        <v>6.0</v>
      </c>
      <c r="K3628" s="20">
        <v>349.0</v>
      </c>
      <c r="L3628" s="20"/>
      <c r="M3628" s="20">
        <v>349.0</v>
      </c>
      <c r="N3628" s="5" t="s">
        <v>67</v>
      </c>
      <c r="O3628" s="20" t="b">
        <v>0</v>
      </c>
      <c r="P3628" s="20" t="s">
        <v>97</v>
      </c>
      <c r="Q3628" s="20" t="s">
        <v>69</v>
      </c>
      <c r="R3628" s="20" t="s">
        <v>3710</v>
      </c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</row>
    <row r="3629">
      <c r="A3629" s="15" t="s">
        <v>11948</v>
      </c>
      <c r="B3629" s="19" t="s">
        <v>3651</v>
      </c>
      <c r="C3629" s="20">
        <v>50136.0</v>
      </c>
      <c r="D3629" s="20" t="s">
        <v>3650</v>
      </c>
      <c r="E3629" s="5">
        <v>9.19629165061E11</v>
      </c>
      <c r="F3629" s="21">
        <v>20169.0</v>
      </c>
      <c r="G3629" s="20"/>
      <c r="H3629" s="20" t="s">
        <v>3618</v>
      </c>
      <c r="I3629" s="5"/>
      <c r="J3629" s="20">
        <v>1.0</v>
      </c>
      <c r="K3629" s="20">
        <v>99.0</v>
      </c>
      <c r="L3629" s="20"/>
      <c r="M3629" s="20">
        <v>99.0</v>
      </c>
      <c r="N3629" s="5" t="s">
        <v>67</v>
      </c>
      <c r="O3629" s="20" t="b">
        <v>0</v>
      </c>
      <c r="P3629" s="20" t="s">
        <v>68</v>
      </c>
      <c r="Q3629" s="20" t="s">
        <v>69</v>
      </c>
      <c r="R3629" s="20" t="s">
        <v>3624</v>
      </c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</row>
    <row r="3630">
      <c r="A3630" s="15" t="s">
        <v>11796</v>
      </c>
      <c r="B3630" s="19" t="s">
        <v>5648</v>
      </c>
      <c r="C3630" s="20">
        <v>50023.0</v>
      </c>
      <c r="D3630" s="20" t="s">
        <v>5647</v>
      </c>
      <c r="E3630" s="5">
        <v>9.19484014005E11</v>
      </c>
      <c r="F3630" s="22" t="s">
        <v>12593</v>
      </c>
      <c r="G3630" s="20"/>
      <c r="H3630" s="20" t="s">
        <v>5508</v>
      </c>
      <c r="I3630" s="5"/>
      <c r="J3630" s="20">
        <v>1.0</v>
      </c>
      <c r="K3630" s="20">
        <v>99.0</v>
      </c>
      <c r="L3630" s="20"/>
      <c r="M3630" s="20">
        <v>99.0</v>
      </c>
      <c r="N3630" s="5" t="s">
        <v>67</v>
      </c>
      <c r="O3630" s="20" t="b">
        <v>0</v>
      </c>
      <c r="P3630" s="20" t="s">
        <v>68</v>
      </c>
      <c r="Q3630" s="20" t="s">
        <v>69</v>
      </c>
      <c r="R3630" s="20" t="s">
        <v>5510</v>
      </c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</row>
    <row r="3631">
      <c r="A3631" s="15" t="s">
        <v>11797</v>
      </c>
      <c r="B3631" s="19" t="s">
        <v>3635</v>
      </c>
      <c r="C3631" s="20">
        <v>50136.0</v>
      </c>
      <c r="D3631" s="20" t="s">
        <v>3634</v>
      </c>
      <c r="E3631" s="5">
        <v>9.19003063063E11</v>
      </c>
      <c r="F3631" s="21">
        <v>20096.0</v>
      </c>
      <c r="G3631" s="20"/>
      <c r="H3631" s="20" t="s">
        <v>3618</v>
      </c>
      <c r="I3631" s="5"/>
      <c r="J3631" s="20">
        <v>1.0</v>
      </c>
      <c r="K3631" s="20">
        <v>99.0</v>
      </c>
      <c r="L3631" s="20"/>
      <c r="M3631" s="20">
        <v>99.0</v>
      </c>
      <c r="N3631" s="5" t="s">
        <v>67</v>
      </c>
      <c r="O3631" s="20" t="b">
        <v>0</v>
      </c>
      <c r="P3631" s="20" t="s">
        <v>68</v>
      </c>
      <c r="Q3631" s="20" t="s">
        <v>69</v>
      </c>
      <c r="R3631" s="20" t="s">
        <v>3624</v>
      </c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</row>
    <row r="3632">
      <c r="A3632" s="15" t="s">
        <v>11950</v>
      </c>
      <c r="B3632" s="19" t="s">
        <v>5666</v>
      </c>
      <c r="C3632" s="20">
        <v>50023.0</v>
      </c>
      <c r="D3632" s="20" t="s">
        <v>5665</v>
      </c>
      <c r="E3632" s="5">
        <v>9.17836073584E11</v>
      </c>
      <c r="F3632" s="21">
        <v>20167.0</v>
      </c>
      <c r="G3632" s="20"/>
      <c r="H3632" s="20" t="s">
        <v>5508</v>
      </c>
      <c r="I3632" s="5"/>
      <c r="J3632" s="20">
        <v>1.0</v>
      </c>
      <c r="K3632" s="20">
        <v>99.0</v>
      </c>
      <c r="L3632" s="20"/>
      <c r="M3632" s="20">
        <v>99.0</v>
      </c>
      <c r="N3632" s="5" t="s">
        <v>67</v>
      </c>
      <c r="O3632" s="20" t="b">
        <v>0</v>
      </c>
      <c r="P3632" s="20" t="s">
        <v>68</v>
      </c>
      <c r="Q3632" s="20" t="s">
        <v>69</v>
      </c>
      <c r="R3632" s="20" t="s">
        <v>5510</v>
      </c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</row>
    <row r="3633">
      <c r="A3633" s="15" t="s">
        <v>11802</v>
      </c>
      <c r="B3633" s="19" t="s">
        <v>3637</v>
      </c>
      <c r="C3633" s="20">
        <v>50136.0</v>
      </c>
      <c r="D3633" s="20" t="s">
        <v>3636</v>
      </c>
      <c r="E3633" s="5">
        <v>9.17993141136E11</v>
      </c>
      <c r="F3633" s="21">
        <v>20097.0</v>
      </c>
      <c r="G3633" s="20"/>
      <c r="H3633" s="20" t="s">
        <v>3618</v>
      </c>
      <c r="I3633" s="5"/>
      <c r="J3633" s="20">
        <v>1.0</v>
      </c>
      <c r="K3633" s="20">
        <v>99.0</v>
      </c>
      <c r="L3633" s="20"/>
      <c r="M3633" s="20">
        <v>99.0</v>
      </c>
      <c r="N3633" s="5" t="s">
        <v>67</v>
      </c>
      <c r="O3633" s="20" t="b">
        <v>0</v>
      </c>
      <c r="P3633" s="20" t="s">
        <v>68</v>
      </c>
      <c r="Q3633" s="20" t="s">
        <v>69</v>
      </c>
      <c r="R3633" s="20" t="s">
        <v>3624</v>
      </c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</row>
    <row r="3634">
      <c r="A3634" s="15" t="s">
        <v>11798</v>
      </c>
      <c r="B3634" s="19" t="s">
        <v>3859</v>
      </c>
      <c r="C3634" s="20">
        <v>49907.0</v>
      </c>
      <c r="D3634" s="20" t="s">
        <v>3858</v>
      </c>
      <c r="E3634" s="5">
        <v>9.17338932963E11</v>
      </c>
      <c r="F3634" s="21">
        <v>20103.0</v>
      </c>
      <c r="G3634" s="20"/>
      <c r="H3634" s="20" t="s">
        <v>587</v>
      </c>
      <c r="I3634" s="5"/>
      <c r="J3634" s="20">
        <v>3.0</v>
      </c>
      <c r="K3634" s="20">
        <v>199.0</v>
      </c>
      <c r="L3634" s="20"/>
      <c r="M3634" s="20">
        <v>199.0</v>
      </c>
      <c r="N3634" s="5" t="s">
        <v>67</v>
      </c>
      <c r="O3634" s="20" t="b">
        <v>0</v>
      </c>
      <c r="P3634" s="20" t="s">
        <v>68</v>
      </c>
      <c r="Q3634" s="20" t="s">
        <v>69</v>
      </c>
      <c r="R3634" s="20" t="s">
        <v>3822</v>
      </c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</row>
    <row r="3635">
      <c r="A3635" s="15" t="s">
        <v>11799</v>
      </c>
      <c r="B3635" s="19" t="s">
        <v>4241</v>
      </c>
      <c r="C3635" s="20">
        <v>49833.0</v>
      </c>
      <c r="D3635" s="20" t="s">
        <v>769</v>
      </c>
      <c r="E3635" s="5">
        <v>9.17083064416E11</v>
      </c>
      <c r="F3635" s="21">
        <v>20010.0</v>
      </c>
      <c r="G3635" s="20"/>
      <c r="H3635" s="20" t="s">
        <v>4030</v>
      </c>
      <c r="I3635" s="5"/>
      <c r="J3635" s="20">
        <v>3.0</v>
      </c>
      <c r="K3635" s="20">
        <v>299.0</v>
      </c>
      <c r="L3635" s="20"/>
      <c r="M3635" s="20">
        <v>299.0</v>
      </c>
      <c r="N3635" s="5" t="s">
        <v>67</v>
      </c>
      <c r="O3635" s="20" t="b">
        <v>0</v>
      </c>
      <c r="P3635" s="20" t="s">
        <v>74</v>
      </c>
      <c r="Q3635" s="20" t="s">
        <v>69</v>
      </c>
      <c r="R3635" s="20" t="s">
        <v>4033</v>
      </c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</row>
    <row r="3636">
      <c r="A3636" s="15" t="s">
        <v>11807</v>
      </c>
      <c r="B3636" s="19" t="s">
        <v>3954</v>
      </c>
      <c r="C3636" s="20">
        <v>49835.0</v>
      </c>
      <c r="D3636" s="20" t="s">
        <v>3953</v>
      </c>
      <c r="E3636" s="5">
        <v>9.18879360028E11</v>
      </c>
      <c r="F3636" s="21">
        <v>20099.0</v>
      </c>
      <c r="G3636" s="20"/>
      <c r="H3636" s="20" t="s">
        <v>680</v>
      </c>
      <c r="I3636" s="5"/>
      <c r="J3636" s="20">
        <v>1.0</v>
      </c>
      <c r="K3636" s="20">
        <v>99.0</v>
      </c>
      <c r="L3636" s="20"/>
      <c r="M3636" s="20">
        <v>99.0</v>
      </c>
      <c r="N3636" s="5" t="s">
        <v>67</v>
      </c>
      <c r="O3636" s="20" t="b">
        <v>0</v>
      </c>
      <c r="P3636" s="20" t="s">
        <v>68</v>
      </c>
      <c r="Q3636" s="20" t="s">
        <v>69</v>
      </c>
      <c r="R3636" s="20" t="s">
        <v>3888</v>
      </c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</row>
    <row r="3637">
      <c r="A3637" s="15" t="s">
        <v>11954</v>
      </c>
      <c r="B3637" s="19" t="s">
        <v>3865</v>
      </c>
      <c r="C3637" s="20">
        <v>49907.0</v>
      </c>
      <c r="D3637" s="20" t="s">
        <v>3864</v>
      </c>
      <c r="E3637" s="5">
        <v>9.19885689966E11</v>
      </c>
      <c r="F3637" s="21">
        <v>20168.0</v>
      </c>
      <c r="G3637" s="20"/>
      <c r="H3637" s="20" t="s">
        <v>587</v>
      </c>
      <c r="I3637" s="5"/>
      <c r="J3637" s="20">
        <v>3.0</v>
      </c>
      <c r="K3637" s="20">
        <v>199.0</v>
      </c>
      <c r="L3637" s="20"/>
      <c r="M3637" s="20">
        <v>199.0</v>
      </c>
      <c r="N3637" s="5" t="s">
        <v>67</v>
      </c>
      <c r="O3637" s="20" t="b">
        <v>0</v>
      </c>
      <c r="P3637" s="20" t="s">
        <v>68</v>
      </c>
      <c r="Q3637" s="20" t="s">
        <v>69</v>
      </c>
      <c r="R3637" s="20" t="s">
        <v>3774</v>
      </c>
      <c r="T3637" s="20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</row>
    <row r="3638">
      <c r="A3638" s="15" t="s">
        <v>11808</v>
      </c>
      <c r="B3638" s="19" t="s">
        <v>3861</v>
      </c>
      <c r="C3638" s="20">
        <v>49907.0</v>
      </c>
      <c r="D3638" s="20" t="s">
        <v>3860</v>
      </c>
      <c r="E3638" s="5">
        <v>9.17020638803E11</v>
      </c>
      <c r="F3638" s="21">
        <v>20144.0</v>
      </c>
      <c r="G3638" s="20"/>
      <c r="H3638" s="20" t="s">
        <v>587</v>
      </c>
      <c r="I3638" s="5"/>
      <c r="J3638" s="20">
        <v>1.0</v>
      </c>
      <c r="K3638" s="20">
        <v>99.0</v>
      </c>
      <c r="L3638" s="20"/>
      <c r="M3638" s="20">
        <v>99.0</v>
      </c>
      <c r="N3638" s="5" t="s">
        <v>67</v>
      </c>
      <c r="O3638" s="20" t="b">
        <v>0</v>
      </c>
      <c r="P3638" s="20" t="s">
        <v>68</v>
      </c>
      <c r="Q3638" s="20" t="s">
        <v>69</v>
      </c>
      <c r="R3638" s="20" t="s">
        <v>3774</v>
      </c>
      <c r="T3638" s="20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</row>
    <row r="3639">
      <c r="A3639" s="15" t="s">
        <v>11963</v>
      </c>
      <c r="B3639" s="19" t="s">
        <v>5670</v>
      </c>
      <c r="C3639" s="20">
        <v>50023.0</v>
      </c>
      <c r="D3639" s="20" t="s">
        <v>5669</v>
      </c>
      <c r="E3639" s="5">
        <v>9.18140098109E11</v>
      </c>
      <c r="F3639" s="21">
        <v>20193.0</v>
      </c>
      <c r="G3639" s="20"/>
      <c r="H3639" s="20" t="s">
        <v>5508</v>
      </c>
      <c r="I3639" s="5"/>
      <c r="J3639" s="20">
        <v>3.0</v>
      </c>
      <c r="K3639" s="20">
        <v>199.0</v>
      </c>
      <c r="L3639" s="20"/>
      <c r="M3639" s="20">
        <v>199.0</v>
      </c>
      <c r="N3639" s="5" t="s">
        <v>67</v>
      </c>
      <c r="O3639" s="20" t="b">
        <v>0</v>
      </c>
      <c r="P3639" s="20" t="s">
        <v>68</v>
      </c>
      <c r="Q3639" s="20" t="s">
        <v>69</v>
      </c>
      <c r="R3639" s="20" t="s">
        <v>5510</v>
      </c>
      <c r="T3639" s="20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</row>
    <row r="3640">
      <c r="A3640" s="15" t="s">
        <v>11956</v>
      </c>
      <c r="B3640" s="19" t="s">
        <v>5668</v>
      </c>
      <c r="C3640" s="20">
        <v>50023.0</v>
      </c>
      <c r="D3640" s="20" t="s">
        <v>5667</v>
      </c>
      <c r="E3640" s="5">
        <v>9.19993040197E11</v>
      </c>
      <c r="F3640" s="21">
        <v>20170.0</v>
      </c>
      <c r="G3640" s="20"/>
      <c r="H3640" s="20" t="s">
        <v>5508</v>
      </c>
      <c r="I3640" s="5"/>
      <c r="J3640" s="20">
        <v>1.0</v>
      </c>
      <c r="K3640" s="20">
        <v>99.0</v>
      </c>
      <c r="L3640" s="20"/>
      <c r="M3640" s="20">
        <v>99.0</v>
      </c>
      <c r="N3640" s="5" t="s">
        <v>67</v>
      </c>
      <c r="O3640" s="20" t="b">
        <v>0</v>
      </c>
      <c r="P3640" s="20" t="s">
        <v>97</v>
      </c>
      <c r="Q3640" s="20" t="s">
        <v>69</v>
      </c>
      <c r="R3640" s="20" t="s">
        <v>5510</v>
      </c>
      <c r="T3640" s="20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</row>
    <row r="3641">
      <c r="A3641" s="15" t="s">
        <v>11957</v>
      </c>
      <c r="B3641" s="19" t="s">
        <v>3653</v>
      </c>
      <c r="C3641" s="20">
        <v>50136.0</v>
      </c>
      <c r="D3641" s="20" t="s">
        <v>3652</v>
      </c>
      <c r="E3641" s="5">
        <v>9.19093109714E11</v>
      </c>
      <c r="F3641" s="21">
        <v>20171.0</v>
      </c>
      <c r="G3641" s="20"/>
      <c r="H3641" s="20" t="s">
        <v>3618</v>
      </c>
      <c r="I3641" s="5"/>
      <c r="J3641" s="20">
        <v>1.0</v>
      </c>
      <c r="K3641" s="20">
        <v>99.0</v>
      </c>
      <c r="L3641" s="20"/>
      <c r="M3641" s="20">
        <v>99.0</v>
      </c>
      <c r="N3641" s="5" t="s">
        <v>67</v>
      </c>
      <c r="O3641" s="20" t="b">
        <v>0</v>
      </c>
      <c r="P3641" s="20" t="s">
        <v>68</v>
      </c>
      <c r="Q3641" s="20" t="s">
        <v>69</v>
      </c>
      <c r="R3641" s="20" t="s">
        <v>3621</v>
      </c>
      <c r="T3641" s="20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</row>
    <row r="3642">
      <c r="A3642" s="15" t="s">
        <v>11969</v>
      </c>
      <c r="B3642" s="19" t="s">
        <v>4015</v>
      </c>
      <c r="C3642" s="20">
        <v>50086.0</v>
      </c>
      <c r="D3642" s="20" t="s">
        <v>4014</v>
      </c>
      <c r="E3642" s="5">
        <v>9.19966456239E11</v>
      </c>
      <c r="F3642" s="21">
        <v>0.0</v>
      </c>
      <c r="G3642" s="20"/>
      <c r="H3642" s="20" t="s">
        <v>3986</v>
      </c>
      <c r="I3642" s="5"/>
      <c r="J3642" s="20">
        <v>3.0</v>
      </c>
      <c r="K3642" s="20">
        <v>599.0</v>
      </c>
      <c r="L3642" s="20"/>
      <c r="M3642" s="20">
        <v>599.0</v>
      </c>
      <c r="N3642" s="5" t="s">
        <v>67</v>
      </c>
      <c r="O3642" s="20" t="b">
        <v>0</v>
      </c>
      <c r="P3642" s="20" t="s">
        <v>68</v>
      </c>
      <c r="Q3642" s="20" t="s">
        <v>69</v>
      </c>
      <c r="R3642" s="20" t="s">
        <v>3988</v>
      </c>
      <c r="T3642" s="20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</row>
    <row r="3643">
      <c r="A3643" s="15" t="s">
        <v>11962</v>
      </c>
      <c r="B3643" s="19" t="s">
        <v>2735</v>
      </c>
      <c r="C3643" s="20">
        <v>50015.0</v>
      </c>
      <c r="D3643" s="20" t="s">
        <v>2734</v>
      </c>
      <c r="E3643" s="5">
        <v>9.17289987178E11</v>
      </c>
      <c r="F3643" s="21">
        <v>20172.0</v>
      </c>
      <c r="G3643" s="20"/>
      <c r="H3643" s="20" t="s">
        <v>2702</v>
      </c>
      <c r="I3643" s="5"/>
      <c r="J3643" s="20">
        <v>3.0</v>
      </c>
      <c r="K3643" s="20">
        <v>349.0</v>
      </c>
      <c r="L3643" s="20"/>
      <c r="M3643" s="20">
        <v>349.0</v>
      </c>
      <c r="N3643" s="5" t="s">
        <v>67</v>
      </c>
      <c r="O3643" s="20" t="b">
        <v>0</v>
      </c>
      <c r="P3643" s="20" t="s">
        <v>68</v>
      </c>
      <c r="Q3643" s="20" t="s">
        <v>69</v>
      </c>
      <c r="R3643" s="20" t="s">
        <v>2704</v>
      </c>
      <c r="T3643" s="20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</row>
    <row r="3644">
      <c r="A3644" s="15" t="s">
        <v>11817</v>
      </c>
      <c r="B3644" s="19" t="s">
        <v>3639</v>
      </c>
      <c r="C3644" s="20">
        <v>50136.0</v>
      </c>
      <c r="D3644" s="20" t="s">
        <v>3638</v>
      </c>
      <c r="E3644" s="5">
        <v>9.18954084727E11</v>
      </c>
      <c r="F3644" s="21">
        <v>20101.0</v>
      </c>
      <c r="G3644" s="20"/>
      <c r="H3644" s="20" t="s">
        <v>3618</v>
      </c>
      <c r="I3644" s="5"/>
      <c r="J3644" s="20">
        <v>1.0</v>
      </c>
      <c r="K3644" s="20">
        <v>99.0</v>
      </c>
      <c r="L3644" s="20"/>
      <c r="M3644" s="20">
        <v>99.0</v>
      </c>
      <c r="N3644" s="5" t="s">
        <v>67</v>
      </c>
      <c r="O3644" s="20" t="b">
        <v>0</v>
      </c>
      <c r="P3644" s="20" t="s">
        <v>68</v>
      </c>
      <c r="Q3644" s="20" t="s">
        <v>69</v>
      </c>
      <c r="R3644" s="20" t="s">
        <v>3624</v>
      </c>
      <c r="T3644" s="20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</row>
    <row r="3645">
      <c r="A3645" s="15" t="s">
        <v>11818</v>
      </c>
      <c r="B3645" s="19" t="s">
        <v>3175</v>
      </c>
      <c r="C3645" s="20">
        <v>49991.0</v>
      </c>
      <c r="D3645" s="20" t="s">
        <v>3174</v>
      </c>
      <c r="E3645" s="5">
        <v>9.19370377299E11</v>
      </c>
      <c r="F3645" s="21">
        <v>20100.0</v>
      </c>
      <c r="G3645" s="20"/>
      <c r="H3645" s="20" t="s">
        <v>3055</v>
      </c>
      <c r="I3645" s="5"/>
      <c r="J3645" s="20">
        <v>1.0</v>
      </c>
      <c r="K3645" s="20">
        <v>99.0</v>
      </c>
      <c r="L3645" s="20"/>
      <c r="M3645" s="20">
        <v>99.0</v>
      </c>
      <c r="N3645" s="5" t="s">
        <v>67</v>
      </c>
      <c r="O3645" s="20" t="b">
        <v>0</v>
      </c>
      <c r="P3645" s="20" t="s">
        <v>68</v>
      </c>
      <c r="Q3645" s="20" t="s">
        <v>69</v>
      </c>
      <c r="R3645" s="20" t="s">
        <v>3057</v>
      </c>
      <c r="T3645" s="20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</row>
    <row r="3646">
      <c r="A3646" s="15" t="s">
        <v>11819</v>
      </c>
      <c r="B3646" s="19" t="s">
        <v>5650</v>
      </c>
      <c r="C3646" s="20">
        <v>50023.0</v>
      </c>
      <c r="D3646" s="20" t="s">
        <v>5649</v>
      </c>
      <c r="E3646" s="5">
        <v>9.18872004951E11</v>
      </c>
      <c r="F3646" s="21">
        <v>20102.0</v>
      </c>
      <c r="G3646" s="20"/>
      <c r="H3646" s="20" t="s">
        <v>5508</v>
      </c>
      <c r="I3646" s="5"/>
      <c r="J3646" s="20">
        <v>1.0</v>
      </c>
      <c r="K3646" s="20">
        <v>99.0</v>
      </c>
      <c r="L3646" s="20"/>
      <c r="M3646" s="20">
        <v>99.0</v>
      </c>
      <c r="N3646" s="5" t="s">
        <v>67</v>
      </c>
      <c r="O3646" s="20" t="b">
        <v>0</v>
      </c>
      <c r="P3646" s="20" t="s">
        <v>68</v>
      </c>
      <c r="Q3646" s="20" t="s">
        <v>69</v>
      </c>
      <c r="R3646" s="20" t="s">
        <v>5510</v>
      </c>
      <c r="T3646" s="20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</row>
    <row r="3647">
      <c r="A3647" s="15" t="s">
        <v>11977</v>
      </c>
      <c r="B3647" s="19" t="s">
        <v>2899</v>
      </c>
      <c r="C3647" s="20">
        <v>50029.0</v>
      </c>
      <c r="D3647" s="20" t="s">
        <v>2898</v>
      </c>
      <c r="E3647" s="5">
        <v>9.18884543232E11</v>
      </c>
      <c r="F3647" s="21">
        <v>20176.0</v>
      </c>
      <c r="G3647" s="20"/>
      <c r="H3647" s="20" t="s">
        <v>2761</v>
      </c>
      <c r="I3647" s="5"/>
      <c r="J3647" s="20">
        <v>1.0</v>
      </c>
      <c r="K3647" s="20">
        <v>99.0</v>
      </c>
      <c r="L3647" s="20"/>
      <c r="M3647" s="20">
        <v>99.0</v>
      </c>
      <c r="N3647" s="5" t="s">
        <v>67</v>
      </c>
      <c r="O3647" s="20" t="b">
        <v>0</v>
      </c>
      <c r="P3647" s="20" t="s">
        <v>68</v>
      </c>
      <c r="Q3647" s="20" t="s">
        <v>69</v>
      </c>
      <c r="R3647" s="20" t="s">
        <v>2763</v>
      </c>
      <c r="T3647" s="20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</row>
    <row r="3648">
      <c r="A3648" s="15" t="s">
        <v>11973</v>
      </c>
      <c r="B3648" s="19" t="s">
        <v>2579</v>
      </c>
      <c r="C3648" s="20">
        <v>49997.0</v>
      </c>
      <c r="D3648" s="20" t="s">
        <v>2578</v>
      </c>
      <c r="E3648" s="5">
        <v>9.19619204241E11</v>
      </c>
      <c r="F3648" s="21">
        <v>20173.0</v>
      </c>
      <c r="G3648" s="20"/>
      <c r="H3648" s="20" t="s">
        <v>2455</v>
      </c>
      <c r="I3648" s="5"/>
      <c r="J3648" s="20">
        <v>6.0</v>
      </c>
      <c r="K3648" s="20">
        <v>349.0</v>
      </c>
      <c r="L3648" s="20"/>
      <c r="M3648" s="20">
        <v>349.0</v>
      </c>
      <c r="N3648" s="5" t="s">
        <v>67</v>
      </c>
      <c r="O3648" s="20" t="b">
        <v>0</v>
      </c>
      <c r="P3648" s="20" t="s">
        <v>74</v>
      </c>
      <c r="Q3648" s="20" t="s">
        <v>69</v>
      </c>
      <c r="R3648" s="20" t="s">
        <v>2457</v>
      </c>
      <c r="T3648" s="20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</row>
    <row r="3649">
      <c r="A3649" s="15" t="s">
        <v>11978</v>
      </c>
      <c r="B3649" s="19" t="s">
        <v>5672</v>
      </c>
      <c r="C3649" s="20">
        <v>50023.0</v>
      </c>
      <c r="D3649" s="20" t="s">
        <v>5671</v>
      </c>
      <c r="E3649" s="5">
        <v>9.18377817586E11</v>
      </c>
      <c r="F3649" s="21">
        <v>20177.0</v>
      </c>
      <c r="G3649" s="20"/>
      <c r="H3649" s="20" t="s">
        <v>5508</v>
      </c>
      <c r="I3649" s="5"/>
      <c r="J3649" s="20">
        <v>1.0</v>
      </c>
      <c r="K3649" s="20">
        <v>99.0</v>
      </c>
      <c r="L3649" s="20"/>
      <c r="M3649" s="20">
        <v>99.0</v>
      </c>
      <c r="N3649" s="5" t="s">
        <v>67</v>
      </c>
      <c r="O3649" s="20" t="b">
        <v>0</v>
      </c>
      <c r="P3649" s="20" t="s">
        <v>68</v>
      </c>
      <c r="Q3649" s="20" t="s">
        <v>69</v>
      </c>
      <c r="R3649" s="20" t="s">
        <v>5510</v>
      </c>
      <c r="T3649" s="20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</row>
    <row r="3650">
      <c r="A3650" s="15" t="s">
        <v>11822</v>
      </c>
      <c r="B3650" s="19" t="s">
        <v>6194</v>
      </c>
      <c r="C3650" s="20">
        <v>49899.0</v>
      </c>
      <c r="D3650" s="20" t="s">
        <v>6193</v>
      </c>
      <c r="E3650" s="5">
        <v>9.1891931511E11</v>
      </c>
      <c r="F3650" s="21">
        <v>16784.0</v>
      </c>
      <c r="G3650" s="20"/>
      <c r="H3650" s="20" t="s">
        <v>1016</v>
      </c>
      <c r="I3650" s="5"/>
      <c r="J3650" s="20">
        <v>6.0</v>
      </c>
      <c r="K3650" s="20">
        <v>499.0</v>
      </c>
      <c r="L3650" s="20"/>
      <c r="M3650" s="20">
        <v>499.0</v>
      </c>
      <c r="N3650" s="5" t="s">
        <v>67</v>
      </c>
      <c r="O3650" s="20" t="b">
        <v>0</v>
      </c>
      <c r="P3650" s="20" t="s">
        <v>151</v>
      </c>
      <c r="Q3650" s="20" t="s">
        <v>69</v>
      </c>
      <c r="R3650" s="20" t="s">
        <v>6186</v>
      </c>
      <c r="T3650" s="20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</row>
    <row r="3651">
      <c r="A3651" s="15" t="s">
        <v>11976</v>
      </c>
      <c r="B3651" s="19" t="s">
        <v>4017</v>
      </c>
      <c r="C3651" s="20">
        <v>50086.0</v>
      </c>
      <c r="D3651" s="20" t="s">
        <v>4016</v>
      </c>
      <c r="E3651" s="5">
        <v>9.19999960734E11</v>
      </c>
      <c r="F3651" s="21">
        <v>20174.0</v>
      </c>
      <c r="G3651" s="20"/>
      <c r="H3651" s="20" t="s">
        <v>3986</v>
      </c>
      <c r="I3651" s="5"/>
      <c r="J3651" s="20">
        <v>6.0</v>
      </c>
      <c r="K3651" s="20">
        <v>999.0</v>
      </c>
      <c r="L3651" s="20"/>
      <c r="M3651" s="20">
        <v>999.0</v>
      </c>
      <c r="N3651" s="5" t="s">
        <v>67</v>
      </c>
      <c r="O3651" s="20" t="b">
        <v>0</v>
      </c>
      <c r="P3651" s="20" t="s">
        <v>68</v>
      </c>
      <c r="Q3651" s="20" t="s">
        <v>69</v>
      </c>
      <c r="R3651" s="20" t="s">
        <v>3988</v>
      </c>
      <c r="T3651" s="20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</row>
    <row r="3652">
      <c r="A3652" s="15" t="s">
        <v>11825</v>
      </c>
      <c r="B3652" s="19" t="s">
        <v>5652</v>
      </c>
      <c r="C3652" s="20">
        <v>50023.0</v>
      </c>
      <c r="D3652" s="20" t="s">
        <v>5651</v>
      </c>
      <c r="E3652" s="5">
        <v>9.19110121929E11</v>
      </c>
      <c r="F3652" s="21">
        <v>20104.0</v>
      </c>
      <c r="G3652" s="20"/>
      <c r="H3652" s="20" t="s">
        <v>5508</v>
      </c>
      <c r="I3652" s="5"/>
      <c r="J3652" s="20">
        <v>1.0</v>
      </c>
      <c r="K3652" s="20">
        <v>99.0</v>
      </c>
      <c r="L3652" s="20"/>
      <c r="M3652" s="20">
        <v>99.0</v>
      </c>
      <c r="N3652" s="5" t="s">
        <v>67</v>
      </c>
      <c r="O3652" s="20" t="b">
        <v>0</v>
      </c>
      <c r="P3652" s="20" t="s">
        <v>68</v>
      </c>
      <c r="Q3652" s="20" t="s">
        <v>69</v>
      </c>
      <c r="R3652" s="20" t="s">
        <v>5510</v>
      </c>
      <c r="T3652" s="20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</row>
    <row r="3653">
      <c r="A3653" s="15" t="s">
        <v>11826</v>
      </c>
      <c r="B3653" s="19" t="s">
        <v>3746</v>
      </c>
      <c r="C3653" s="20">
        <v>50104.0</v>
      </c>
      <c r="D3653" s="20" t="s">
        <v>3745</v>
      </c>
      <c r="E3653" s="5">
        <v>9.17587100666E11</v>
      </c>
      <c r="F3653" s="21">
        <v>20105.0</v>
      </c>
      <c r="G3653" s="20"/>
      <c r="H3653" s="20" t="s">
        <v>3708</v>
      </c>
      <c r="I3653" s="5"/>
      <c r="J3653" s="20">
        <v>1.0</v>
      </c>
      <c r="K3653" s="20">
        <v>99.0</v>
      </c>
      <c r="L3653" s="20"/>
      <c r="M3653" s="20">
        <v>99.0</v>
      </c>
      <c r="N3653" s="5" t="s">
        <v>67</v>
      </c>
      <c r="O3653" s="20" t="b">
        <v>0</v>
      </c>
      <c r="P3653" s="20" t="s">
        <v>68</v>
      </c>
      <c r="Q3653" s="20" t="s">
        <v>69</v>
      </c>
      <c r="R3653" s="20" t="s">
        <v>3710</v>
      </c>
      <c r="T3653" s="20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</row>
    <row r="3654">
      <c r="A3654" s="15" t="s">
        <v>11827</v>
      </c>
      <c r="B3654" s="19" t="s">
        <v>5074</v>
      </c>
      <c r="C3654" s="20">
        <v>50094.0</v>
      </c>
      <c r="D3654" s="20" t="s">
        <v>5073</v>
      </c>
      <c r="E3654" s="5">
        <v>9.19963125648E11</v>
      </c>
      <c r="F3654" s="21">
        <v>20106.0</v>
      </c>
      <c r="G3654" s="20"/>
      <c r="H3654" s="20" t="s">
        <v>4942</v>
      </c>
      <c r="I3654" s="5"/>
      <c r="J3654" s="20">
        <v>1.0</v>
      </c>
      <c r="K3654" s="20">
        <v>199.0</v>
      </c>
      <c r="L3654" s="20"/>
      <c r="M3654" s="20">
        <v>199.0</v>
      </c>
      <c r="N3654" s="5" t="s">
        <v>67</v>
      </c>
      <c r="O3654" s="20" t="b">
        <v>0</v>
      </c>
      <c r="P3654" s="20" t="s">
        <v>68</v>
      </c>
      <c r="Q3654" s="20" t="s">
        <v>69</v>
      </c>
      <c r="R3654" s="20" t="s">
        <v>4945</v>
      </c>
      <c r="T3654" s="20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</row>
    <row r="3655">
      <c r="A3655" s="15" t="s">
        <v>11831</v>
      </c>
      <c r="B3655" s="19" t="s">
        <v>3641</v>
      </c>
      <c r="C3655" s="20">
        <v>50136.0</v>
      </c>
      <c r="D3655" s="20" t="s">
        <v>3640</v>
      </c>
      <c r="E3655" s="5">
        <v>9.19790912347E11</v>
      </c>
      <c r="F3655" s="21">
        <v>20107.0</v>
      </c>
      <c r="G3655" s="20"/>
      <c r="H3655" s="20" t="s">
        <v>3618</v>
      </c>
      <c r="I3655" s="5"/>
      <c r="J3655" s="20">
        <v>3.0</v>
      </c>
      <c r="K3655" s="20">
        <v>199.0</v>
      </c>
      <c r="L3655" s="20"/>
      <c r="M3655" s="20">
        <v>199.0</v>
      </c>
      <c r="N3655" s="5" t="s">
        <v>67</v>
      </c>
      <c r="O3655" s="20" t="b">
        <v>0</v>
      </c>
      <c r="P3655" s="20" t="s">
        <v>68</v>
      </c>
      <c r="Q3655" s="20" t="s">
        <v>69</v>
      </c>
      <c r="R3655" s="20" t="s">
        <v>3624</v>
      </c>
      <c r="T3655" s="20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</row>
    <row r="3656">
      <c r="A3656" s="15" t="s">
        <v>11979</v>
      </c>
      <c r="B3656" s="19" t="s">
        <v>4775</v>
      </c>
      <c r="C3656" s="20">
        <v>49859.0</v>
      </c>
      <c r="D3656" s="20" t="s">
        <v>4774</v>
      </c>
      <c r="E3656" s="5">
        <v>9.19729969281E11</v>
      </c>
      <c r="F3656" s="21">
        <v>20179.0</v>
      </c>
      <c r="G3656" s="20"/>
      <c r="H3656" s="20" t="s">
        <v>1133</v>
      </c>
      <c r="I3656" s="5"/>
      <c r="J3656" s="20">
        <v>1.0</v>
      </c>
      <c r="K3656" s="20">
        <v>99.0</v>
      </c>
      <c r="L3656" s="20"/>
      <c r="M3656" s="20">
        <v>99.0</v>
      </c>
      <c r="N3656" s="5" t="s">
        <v>67</v>
      </c>
      <c r="O3656" s="20" t="b">
        <v>0</v>
      </c>
      <c r="P3656" s="20" t="s">
        <v>68</v>
      </c>
      <c r="Q3656" s="20" t="s">
        <v>69</v>
      </c>
      <c r="R3656" s="20" t="s">
        <v>4736</v>
      </c>
      <c r="T3656" s="20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</row>
    <row r="3657">
      <c r="A3657" s="15" t="s">
        <v>11836</v>
      </c>
      <c r="B3657" s="19" t="s">
        <v>5955</v>
      </c>
      <c r="C3657" s="20">
        <v>50054.0</v>
      </c>
      <c r="D3657" s="20" t="s">
        <v>5954</v>
      </c>
      <c r="E3657" s="5">
        <v>9.18630906324E11</v>
      </c>
      <c r="F3657" s="21">
        <v>0.0</v>
      </c>
      <c r="G3657" s="20"/>
      <c r="H3657" s="20" t="s">
        <v>5822</v>
      </c>
      <c r="I3657" s="5"/>
      <c r="J3657" s="20">
        <v>1.0</v>
      </c>
      <c r="K3657" s="20">
        <v>99.0</v>
      </c>
      <c r="L3657" s="20"/>
      <c r="M3657" s="20">
        <v>99.0</v>
      </c>
      <c r="N3657" s="5" t="s">
        <v>67</v>
      </c>
      <c r="O3657" s="20" t="b">
        <v>0</v>
      </c>
      <c r="P3657" s="20" t="s">
        <v>68</v>
      </c>
      <c r="Q3657" s="20" t="s">
        <v>69</v>
      </c>
      <c r="R3657" s="20" t="s">
        <v>5824</v>
      </c>
      <c r="T3657" s="20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</row>
    <row r="3658">
      <c r="A3658" s="15" t="s">
        <v>11835</v>
      </c>
      <c r="B3658" s="19" t="s">
        <v>2897</v>
      </c>
      <c r="C3658" s="20">
        <v>50029.0</v>
      </c>
      <c r="D3658" s="20" t="s">
        <v>2896</v>
      </c>
      <c r="E3658" s="5">
        <v>9.18871512983E11</v>
      </c>
      <c r="F3658" s="21">
        <v>20108.0</v>
      </c>
      <c r="G3658" s="20"/>
      <c r="H3658" s="20" t="s">
        <v>2761</v>
      </c>
      <c r="I3658" s="5"/>
      <c r="J3658" s="20">
        <v>1.0</v>
      </c>
      <c r="K3658" s="20">
        <v>99.0</v>
      </c>
      <c r="L3658" s="20"/>
      <c r="M3658" s="20">
        <v>99.0</v>
      </c>
      <c r="N3658" s="5" t="s">
        <v>67</v>
      </c>
      <c r="O3658" s="20" t="b">
        <v>0</v>
      </c>
      <c r="P3658" s="20" t="s">
        <v>68</v>
      </c>
      <c r="Q3658" s="20" t="s">
        <v>69</v>
      </c>
      <c r="R3658" s="20" t="s">
        <v>2876</v>
      </c>
      <c r="T3658" s="20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</row>
    <row r="3659">
      <c r="A3659" s="15" t="s">
        <v>11837</v>
      </c>
      <c r="B3659" s="19" t="s">
        <v>2448</v>
      </c>
      <c r="C3659" s="20">
        <v>50143.0</v>
      </c>
      <c r="D3659" s="20" t="s">
        <v>2447</v>
      </c>
      <c r="E3659" s="5">
        <v>9.18950904883E11</v>
      </c>
      <c r="F3659" s="21">
        <v>20110.0</v>
      </c>
      <c r="G3659" s="20"/>
      <c r="H3659" s="20" t="s">
        <v>2441</v>
      </c>
      <c r="I3659" s="5"/>
      <c r="J3659" s="20">
        <v>1.0</v>
      </c>
      <c r="K3659" s="20">
        <v>199.0</v>
      </c>
      <c r="L3659" s="20"/>
      <c r="M3659" s="20">
        <v>199.0</v>
      </c>
      <c r="N3659" s="5" t="s">
        <v>67</v>
      </c>
      <c r="O3659" s="20" t="b">
        <v>0</v>
      </c>
      <c r="P3659" s="20" t="s">
        <v>68</v>
      </c>
      <c r="Q3659" s="20" t="s">
        <v>69</v>
      </c>
      <c r="R3659" s="20" t="s">
        <v>2443</v>
      </c>
      <c r="T3659" s="20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</row>
    <row r="3660">
      <c r="A3660" s="15" t="s">
        <v>11838</v>
      </c>
      <c r="B3660" s="19" t="s">
        <v>3546</v>
      </c>
      <c r="C3660" s="20">
        <v>50030.0</v>
      </c>
      <c r="D3660" s="20" t="s">
        <v>3545</v>
      </c>
      <c r="E3660" s="5">
        <v>9.1810809472E11</v>
      </c>
      <c r="F3660" s="22" t="s">
        <v>12593</v>
      </c>
      <c r="G3660" s="20"/>
      <c r="H3660" s="20" t="s">
        <v>3326</v>
      </c>
      <c r="I3660" s="5"/>
      <c r="J3660" s="20">
        <v>6.0</v>
      </c>
      <c r="K3660" s="20">
        <v>349.0</v>
      </c>
      <c r="L3660" s="20"/>
      <c r="M3660" s="20">
        <v>349.0</v>
      </c>
      <c r="N3660" s="5" t="s">
        <v>67</v>
      </c>
      <c r="O3660" s="20" t="b">
        <v>0</v>
      </c>
      <c r="P3660" s="20" t="s">
        <v>74</v>
      </c>
      <c r="Q3660" s="20" t="s">
        <v>69</v>
      </c>
      <c r="R3660" s="20" t="s">
        <v>3328</v>
      </c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</row>
    <row r="3661">
      <c r="A3661" s="1" t="s">
        <v>12480</v>
      </c>
      <c r="B3661" s="19" t="s">
        <v>5320</v>
      </c>
      <c r="C3661" s="20">
        <v>50022.0</v>
      </c>
      <c r="D3661" s="20" t="s">
        <v>3545</v>
      </c>
      <c r="E3661" s="5">
        <v>9.1810809472E11</v>
      </c>
      <c r="F3661" s="21">
        <v>20393.0</v>
      </c>
      <c r="G3661" s="20"/>
      <c r="H3661" s="20" t="s">
        <v>5181</v>
      </c>
      <c r="I3661" s="5"/>
      <c r="J3661" s="20">
        <v>6.0</v>
      </c>
      <c r="K3661" s="20">
        <v>349.0</v>
      </c>
      <c r="L3661" s="20"/>
      <c r="M3661" s="20">
        <v>349.0</v>
      </c>
      <c r="N3661" s="5" t="s">
        <v>67</v>
      </c>
      <c r="O3661" s="20" t="b">
        <v>0</v>
      </c>
      <c r="P3661" s="20" t="s">
        <v>74</v>
      </c>
      <c r="Q3661" s="20" t="s">
        <v>69</v>
      </c>
      <c r="R3661" s="20" t="s">
        <v>5183</v>
      </c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</row>
    <row r="3662">
      <c r="A3662" s="15" t="s">
        <v>11841</v>
      </c>
      <c r="B3662" s="19" t="s">
        <v>3643</v>
      </c>
      <c r="C3662" s="20">
        <v>50136.0</v>
      </c>
      <c r="D3662" s="20" t="s">
        <v>3642</v>
      </c>
      <c r="E3662" s="5">
        <v>9.19985674473E11</v>
      </c>
      <c r="F3662" s="21">
        <v>20111.0</v>
      </c>
      <c r="G3662" s="20"/>
      <c r="H3662" s="20" t="s">
        <v>3618</v>
      </c>
      <c r="I3662" s="5"/>
      <c r="J3662" s="20">
        <v>1.0</v>
      </c>
      <c r="K3662" s="20">
        <v>99.0</v>
      </c>
      <c r="L3662" s="20"/>
      <c r="M3662" s="20">
        <v>99.0</v>
      </c>
      <c r="N3662" s="5" t="s">
        <v>67</v>
      </c>
      <c r="O3662" s="20" t="b">
        <v>0</v>
      </c>
      <c r="P3662" s="20" t="s">
        <v>68</v>
      </c>
      <c r="Q3662" s="20" t="s">
        <v>69</v>
      </c>
      <c r="R3662" s="20" t="s">
        <v>3624</v>
      </c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</row>
    <row r="3663">
      <c r="A3663" s="15" t="s">
        <v>11983</v>
      </c>
      <c r="B3663" s="19" t="s">
        <v>3867</v>
      </c>
      <c r="C3663" s="20">
        <v>49907.0</v>
      </c>
      <c r="D3663" s="20" t="s">
        <v>3866</v>
      </c>
      <c r="E3663" s="5">
        <v>9.19652797105E11</v>
      </c>
      <c r="F3663" s="22" t="s">
        <v>12593</v>
      </c>
      <c r="G3663" s="20"/>
      <c r="H3663" s="20" t="s">
        <v>587</v>
      </c>
      <c r="I3663" s="5"/>
      <c r="J3663" s="20">
        <v>1.0</v>
      </c>
      <c r="K3663" s="20">
        <v>99.0</v>
      </c>
      <c r="L3663" s="20"/>
      <c r="M3663" s="20">
        <v>99.0</v>
      </c>
      <c r="N3663" s="5" t="s">
        <v>67</v>
      </c>
      <c r="O3663" s="20" t="b">
        <v>0</v>
      </c>
      <c r="P3663" s="20" t="s">
        <v>68</v>
      </c>
      <c r="Q3663" s="20" t="s">
        <v>69</v>
      </c>
      <c r="R3663" s="20" t="s">
        <v>3774</v>
      </c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</row>
    <row r="3664">
      <c r="A3664" s="15" t="s">
        <v>11990</v>
      </c>
      <c r="B3664" s="19" t="s">
        <v>4249</v>
      </c>
      <c r="C3664" s="20">
        <v>49833.0</v>
      </c>
      <c r="D3664" s="20" t="s">
        <v>4248</v>
      </c>
      <c r="E3664" s="5">
        <v>9.19347914978E11</v>
      </c>
      <c r="F3664" s="21">
        <v>0.0</v>
      </c>
      <c r="G3664" s="20"/>
      <c r="H3664" s="20" t="s">
        <v>4030</v>
      </c>
      <c r="I3664" s="5"/>
      <c r="J3664" s="20">
        <v>3.0</v>
      </c>
      <c r="K3664" s="20">
        <v>299.0</v>
      </c>
      <c r="L3664" s="20"/>
      <c r="M3664" s="20">
        <v>299.0</v>
      </c>
      <c r="N3664" s="5" t="s">
        <v>67</v>
      </c>
      <c r="O3664" s="20" t="b">
        <v>0</v>
      </c>
      <c r="P3664" s="20" t="s">
        <v>68</v>
      </c>
      <c r="Q3664" s="20" t="s">
        <v>69</v>
      </c>
      <c r="R3664" s="20" t="s">
        <v>4033</v>
      </c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</row>
    <row r="3665">
      <c r="A3665" s="15" t="s">
        <v>11991</v>
      </c>
      <c r="B3665" s="19" t="s">
        <v>4777</v>
      </c>
      <c r="C3665" s="20">
        <v>49859.0</v>
      </c>
      <c r="D3665" s="20" t="s">
        <v>4776</v>
      </c>
      <c r="E3665" s="5">
        <v>9.19030115326E11</v>
      </c>
      <c r="F3665" s="21">
        <v>20191.0</v>
      </c>
      <c r="G3665" s="20"/>
      <c r="H3665" s="20" t="s">
        <v>1133</v>
      </c>
      <c r="I3665" s="5"/>
      <c r="J3665" s="20">
        <v>1.0</v>
      </c>
      <c r="K3665" s="20">
        <v>99.0</v>
      </c>
      <c r="L3665" s="20"/>
      <c r="M3665" s="20">
        <v>99.0</v>
      </c>
      <c r="N3665" s="5" t="s">
        <v>67</v>
      </c>
      <c r="O3665" s="20" t="b">
        <v>0</v>
      </c>
      <c r="P3665" s="20" t="s">
        <v>74</v>
      </c>
      <c r="Q3665" s="20" t="s">
        <v>69</v>
      </c>
      <c r="R3665" s="20" t="s">
        <v>4741</v>
      </c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</row>
    <row r="3666">
      <c r="A3666" s="15" t="s">
        <v>11998</v>
      </c>
      <c r="B3666" s="19" t="s">
        <v>3754</v>
      </c>
      <c r="C3666" s="20">
        <v>50104.0</v>
      </c>
      <c r="D3666" s="20" t="s">
        <v>3753</v>
      </c>
      <c r="E3666" s="5">
        <v>9.17009458959E11</v>
      </c>
      <c r="F3666" s="21">
        <v>20182.0</v>
      </c>
      <c r="G3666" s="20"/>
      <c r="H3666" s="20" t="s">
        <v>3708</v>
      </c>
      <c r="I3666" s="5"/>
      <c r="J3666" s="20">
        <v>3.0</v>
      </c>
      <c r="K3666" s="20">
        <v>199.0</v>
      </c>
      <c r="L3666" s="20"/>
      <c r="M3666" s="20">
        <v>199.0</v>
      </c>
      <c r="N3666" s="5" t="s">
        <v>67</v>
      </c>
      <c r="O3666" s="20" t="b">
        <v>0</v>
      </c>
      <c r="P3666" s="20" t="s">
        <v>68</v>
      </c>
      <c r="Q3666" s="20" t="s">
        <v>69</v>
      </c>
      <c r="R3666" s="20" t="s">
        <v>3710</v>
      </c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</row>
    <row r="3667">
      <c r="A3667" s="15" t="s">
        <v>11847</v>
      </c>
      <c r="B3667" s="19" t="s">
        <v>3956</v>
      </c>
      <c r="C3667" s="20">
        <v>49835.0</v>
      </c>
      <c r="D3667" s="20" t="s">
        <v>3955</v>
      </c>
      <c r="E3667" s="5">
        <v>9.1996581884E11</v>
      </c>
      <c r="F3667" s="21">
        <v>20112.0</v>
      </c>
      <c r="G3667" s="20"/>
      <c r="H3667" s="20" t="s">
        <v>680</v>
      </c>
      <c r="I3667" s="5"/>
      <c r="J3667" s="20">
        <v>3.0</v>
      </c>
      <c r="K3667" s="20">
        <v>199.0</v>
      </c>
      <c r="L3667" s="20"/>
      <c r="M3667" s="20">
        <v>199.0</v>
      </c>
      <c r="N3667" s="5" t="s">
        <v>67</v>
      </c>
      <c r="O3667" s="20" t="b">
        <v>0</v>
      </c>
      <c r="P3667" s="20" t="s">
        <v>68</v>
      </c>
      <c r="Q3667" s="20" t="s">
        <v>69</v>
      </c>
      <c r="R3667" s="20" t="s">
        <v>3888</v>
      </c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</row>
    <row r="3668">
      <c r="A3668" s="15" t="s">
        <v>12001</v>
      </c>
      <c r="B3668" s="19" t="s">
        <v>4252</v>
      </c>
      <c r="C3668" s="20">
        <v>49833.0</v>
      </c>
      <c r="D3668" s="20" t="s">
        <v>4251</v>
      </c>
      <c r="E3668" s="5">
        <v>9.17005628647E11</v>
      </c>
      <c r="F3668" s="21">
        <v>20184.0</v>
      </c>
      <c r="G3668" s="20"/>
      <c r="H3668" s="20" t="s">
        <v>4030</v>
      </c>
      <c r="I3668" s="5"/>
      <c r="J3668" s="20">
        <v>3.0</v>
      </c>
      <c r="K3668" s="20">
        <v>299.0</v>
      </c>
      <c r="L3668" s="20"/>
      <c r="M3668" s="20">
        <v>299.0</v>
      </c>
      <c r="N3668" s="5" t="s">
        <v>67</v>
      </c>
      <c r="O3668" s="20" t="b">
        <v>0</v>
      </c>
      <c r="P3668" s="20" t="s">
        <v>68</v>
      </c>
      <c r="Q3668" s="20" t="s">
        <v>69</v>
      </c>
      <c r="R3668" s="20" t="s">
        <v>4033</v>
      </c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</row>
    <row r="3669">
      <c r="A3669" s="15" t="s">
        <v>12002</v>
      </c>
      <c r="B3669" s="19" t="s">
        <v>3657</v>
      </c>
      <c r="C3669" s="20">
        <v>50136.0</v>
      </c>
      <c r="D3669" s="20" t="s">
        <v>3656</v>
      </c>
      <c r="E3669" s="5">
        <v>9.18700007979E11</v>
      </c>
      <c r="F3669" s="21">
        <v>20183.0</v>
      </c>
      <c r="G3669" s="20"/>
      <c r="H3669" s="20" t="s">
        <v>3618</v>
      </c>
      <c r="I3669" s="5"/>
      <c r="J3669" s="20">
        <v>1.0</v>
      </c>
      <c r="K3669" s="20">
        <v>99.0</v>
      </c>
      <c r="L3669" s="20"/>
      <c r="M3669" s="20">
        <v>99.0</v>
      </c>
      <c r="N3669" s="5" t="s">
        <v>67</v>
      </c>
      <c r="O3669" s="20" t="b">
        <v>0</v>
      </c>
      <c r="P3669" s="20" t="s">
        <v>68</v>
      </c>
      <c r="Q3669" s="20" t="s">
        <v>69</v>
      </c>
      <c r="R3669" s="20" t="s">
        <v>3624</v>
      </c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</row>
    <row r="3670">
      <c r="A3670" s="15" t="s">
        <v>11848</v>
      </c>
      <c r="B3670" s="19" t="s">
        <v>5306</v>
      </c>
      <c r="C3670" s="20">
        <v>50022.0</v>
      </c>
      <c r="D3670" s="20" t="s">
        <v>5305</v>
      </c>
      <c r="E3670" s="5">
        <v>9.19911275926E11</v>
      </c>
      <c r="F3670" s="21">
        <v>20113.0</v>
      </c>
      <c r="G3670" s="20"/>
      <c r="H3670" s="20" t="s">
        <v>5181</v>
      </c>
      <c r="I3670" s="5"/>
      <c r="J3670" s="20">
        <v>3.0</v>
      </c>
      <c r="K3670" s="20">
        <v>199.0</v>
      </c>
      <c r="L3670" s="20"/>
      <c r="M3670" s="20">
        <v>199.0</v>
      </c>
      <c r="N3670" s="5" t="s">
        <v>67</v>
      </c>
      <c r="O3670" s="20" t="b">
        <v>0</v>
      </c>
      <c r="P3670" s="20" t="s">
        <v>68</v>
      </c>
      <c r="Q3670" s="20" t="s">
        <v>69</v>
      </c>
      <c r="R3670" s="20" t="s">
        <v>5183</v>
      </c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</row>
    <row r="3671">
      <c r="A3671" s="15" t="s">
        <v>11849</v>
      </c>
      <c r="B3671" s="19" t="s">
        <v>4769</v>
      </c>
      <c r="C3671" s="20">
        <v>49859.0</v>
      </c>
      <c r="D3671" s="20" t="s">
        <v>4768</v>
      </c>
      <c r="E3671" s="5">
        <v>9.19922277206E11</v>
      </c>
      <c r="F3671" s="21">
        <v>20114.0</v>
      </c>
      <c r="G3671" s="20"/>
      <c r="H3671" s="20" t="s">
        <v>1133</v>
      </c>
      <c r="I3671" s="5"/>
      <c r="J3671" s="20">
        <v>6.0</v>
      </c>
      <c r="K3671" s="20">
        <v>349.0</v>
      </c>
      <c r="L3671" s="20"/>
      <c r="M3671" s="20">
        <v>349.0</v>
      </c>
      <c r="N3671" s="5" t="s">
        <v>67</v>
      </c>
      <c r="O3671" s="20" t="b">
        <v>0</v>
      </c>
      <c r="P3671" s="20" t="s">
        <v>68</v>
      </c>
      <c r="Q3671" s="20" t="s">
        <v>69</v>
      </c>
      <c r="R3671" s="20" t="s">
        <v>4736</v>
      </c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</row>
    <row r="3672">
      <c r="A3672" s="15" t="s">
        <v>12005</v>
      </c>
      <c r="B3672" s="19" t="s">
        <v>3659</v>
      </c>
      <c r="C3672" s="20">
        <v>50136.0</v>
      </c>
      <c r="D3672" s="20" t="s">
        <v>3658</v>
      </c>
      <c r="E3672" s="5">
        <v>9.18971990104E11</v>
      </c>
      <c r="F3672" s="21">
        <v>20185.0</v>
      </c>
      <c r="G3672" s="20"/>
      <c r="H3672" s="20" t="s">
        <v>3618</v>
      </c>
      <c r="I3672" s="5"/>
      <c r="J3672" s="20">
        <v>1.0</v>
      </c>
      <c r="K3672" s="20">
        <v>99.0</v>
      </c>
      <c r="L3672" s="20"/>
      <c r="M3672" s="20">
        <v>99.0</v>
      </c>
      <c r="N3672" s="5" t="s">
        <v>67</v>
      </c>
      <c r="O3672" s="20" t="b">
        <v>0</v>
      </c>
      <c r="P3672" s="20" t="s">
        <v>68</v>
      </c>
      <c r="Q3672" s="20" t="s">
        <v>69</v>
      </c>
      <c r="R3672" s="20" t="s">
        <v>3624</v>
      </c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</row>
    <row r="3673">
      <c r="A3673" s="15" t="s">
        <v>11852</v>
      </c>
      <c r="B3673" s="19" t="s">
        <v>5654</v>
      </c>
      <c r="C3673" s="20">
        <v>50023.0</v>
      </c>
      <c r="D3673" s="20" t="s">
        <v>5653</v>
      </c>
      <c r="E3673" s="5">
        <v>9.19956740907E11</v>
      </c>
      <c r="F3673" s="21">
        <v>20116.0</v>
      </c>
      <c r="G3673" s="20"/>
      <c r="H3673" s="20" t="s">
        <v>5508</v>
      </c>
      <c r="I3673" s="5"/>
      <c r="J3673" s="20">
        <v>1.0</v>
      </c>
      <c r="K3673" s="20">
        <v>99.0</v>
      </c>
      <c r="L3673" s="20"/>
      <c r="M3673" s="20">
        <v>99.0</v>
      </c>
      <c r="N3673" s="5" t="s">
        <v>67</v>
      </c>
      <c r="O3673" s="20" t="b">
        <v>0</v>
      </c>
      <c r="P3673" s="20" t="s">
        <v>68</v>
      </c>
      <c r="Q3673" s="20" t="s">
        <v>69</v>
      </c>
      <c r="R3673" s="20" t="s">
        <v>5510</v>
      </c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</row>
    <row r="3674">
      <c r="A3674" s="15" t="s">
        <v>11853</v>
      </c>
      <c r="B3674" s="19" t="s">
        <v>3177</v>
      </c>
      <c r="C3674" s="20">
        <v>49991.0</v>
      </c>
      <c r="D3674" s="20" t="s">
        <v>3176</v>
      </c>
      <c r="E3674" s="5">
        <v>9.19392385479E11</v>
      </c>
      <c r="F3674" s="21">
        <v>20115.0</v>
      </c>
      <c r="G3674" s="20"/>
      <c r="H3674" s="20" t="s">
        <v>3055</v>
      </c>
      <c r="I3674" s="5"/>
      <c r="J3674" s="20">
        <v>1.0</v>
      </c>
      <c r="K3674" s="20">
        <v>99.0</v>
      </c>
      <c r="L3674" s="20"/>
      <c r="M3674" s="20">
        <v>99.0</v>
      </c>
      <c r="N3674" s="5" t="s">
        <v>67</v>
      </c>
      <c r="O3674" s="20" t="b">
        <v>0</v>
      </c>
      <c r="P3674" s="20" t="s">
        <v>68</v>
      </c>
      <c r="Q3674" s="20" t="s">
        <v>69</v>
      </c>
      <c r="R3674" s="20" t="s">
        <v>3142</v>
      </c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</row>
    <row r="3675">
      <c r="A3675" s="15" t="s">
        <v>12006</v>
      </c>
      <c r="B3675" s="19" t="s">
        <v>3567</v>
      </c>
      <c r="C3675" s="20">
        <v>50030.0</v>
      </c>
      <c r="D3675" s="20" t="s">
        <v>3566</v>
      </c>
      <c r="E3675" s="5">
        <v>9.19993727672E11</v>
      </c>
      <c r="F3675" s="21">
        <v>20186.0</v>
      </c>
      <c r="G3675" s="20"/>
      <c r="H3675" s="20" t="s">
        <v>3326</v>
      </c>
      <c r="I3675" s="5"/>
      <c r="J3675" s="20">
        <v>1.0</v>
      </c>
      <c r="K3675" s="20">
        <v>99.0</v>
      </c>
      <c r="L3675" s="20"/>
      <c r="M3675" s="20">
        <v>99.0</v>
      </c>
      <c r="N3675" s="5" t="s">
        <v>67</v>
      </c>
      <c r="O3675" s="20" t="b">
        <v>0</v>
      </c>
      <c r="P3675" s="20" t="s">
        <v>74</v>
      </c>
      <c r="Q3675" s="20" t="s">
        <v>69</v>
      </c>
      <c r="R3675" s="20" t="s">
        <v>3328</v>
      </c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</row>
    <row r="3676">
      <c r="A3676" s="15" t="s">
        <v>12007</v>
      </c>
      <c r="B3676" s="19" t="s">
        <v>5079</v>
      </c>
      <c r="C3676" s="20">
        <v>50094.0</v>
      </c>
      <c r="D3676" s="20" t="s">
        <v>5078</v>
      </c>
      <c r="E3676" s="5">
        <v>9.19043982326E11</v>
      </c>
      <c r="F3676" s="21">
        <v>20187.0</v>
      </c>
      <c r="G3676" s="20"/>
      <c r="H3676" s="20" t="s">
        <v>4942</v>
      </c>
      <c r="I3676" s="5"/>
      <c r="J3676" s="20">
        <v>1.0</v>
      </c>
      <c r="K3676" s="20">
        <v>199.0</v>
      </c>
      <c r="L3676" s="20"/>
      <c r="M3676" s="20">
        <v>199.0</v>
      </c>
      <c r="N3676" s="5" t="s">
        <v>67</v>
      </c>
      <c r="O3676" s="20" t="b">
        <v>0</v>
      </c>
      <c r="P3676" s="20" t="s">
        <v>97</v>
      </c>
      <c r="Q3676" s="20" t="s">
        <v>69</v>
      </c>
      <c r="R3676" s="20" t="s">
        <v>4945</v>
      </c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</row>
    <row r="3677">
      <c r="A3677" s="15" t="s">
        <v>11856</v>
      </c>
      <c r="B3677" s="19" t="s">
        <v>4527</v>
      </c>
      <c r="C3677" s="20">
        <v>50052.0</v>
      </c>
      <c r="D3677" s="20" t="s">
        <v>4526</v>
      </c>
      <c r="E3677" s="5">
        <v>9.18019010917E11</v>
      </c>
      <c r="F3677" s="21">
        <v>20117.0</v>
      </c>
      <c r="G3677" s="20"/>
      <c r="H3677" s="20" t="s">
        <v>4433</v>
      </c>
      <c r="I3677" s="5"/>
      <c r="J3677" s="20">
        <v>3.0</v>
      </c>
      <c r="K3677" s="20">
        <v>199.0</v>
      </c>
      <c r="L3677" s="20"/>
      <c r="M3677" s="20">
        <v>199.0</v>
      </c>
      <c r="N3677" s="5" t="s">
        <v>67</v>
      </c>
      <c r="O3677" s="20" t="b">
        <v>0</v>
      </c>
      <c r="P3677" s="20" t="s">
        <v>68</v>
      </c>
      <c r="Q3677" s="20" t="s">
        <v>69</v>
      </c>
      <c r="R3677" s="20" t="s">
        <v>4435</v>
      </c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</row>
    <row r="3678">
      <c r="A3678" s="15" t="s">
        <v>12011</v>
      </c>
      <c r="B3678" s="19" t="s">
        <v>5674</v>
      </c>
      <c r="C3678" s="20">
        <v>50023.0</v>
      </c>
      <c r="D3678" s="20" t="s">
        <v>5673</v>
      </c>
      <c r="E3678" s="5">
        <v>9.17992339735E11</v>
      </c>
      <c r="F3678" s="21">
        <v>20189.0</v>
      </c>
      <c r="G3678" s="20"/>
      <c r="H3678" s="20" t="s">
        <v>5508</v>
      </c>
      <c r="I3678" s="5"/>
      <c r="J3678" s="20">
        <v>1.0</v>
      </c>
      <c r="K3678" s="20">
        <v>99.0</v>
      </c>
      <c r="L3678" s="20"/>
      <c r="M3678" s="20">
        <v>99.0</v>
      </c>
      <c r="N3678" s="5" t="s">
        <v>67</v>
      </c>
      <c r="O3678" s="20" t="b">
        <v>0</v>
      </c>
      <c r="P3678" s="20" t="s">
        <v>68</v>
      </c>
      <c r="Q3678" s="20" t="s">
        <v>69</v>
      </c>
      <c r="R3678" s="20" t="s">
        <v>5510</v>
      </c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</row>
    <row r="3679">
      <c r="A3679" s="15" t="s">
        <v>12016</v>
      </c>
      <c r="B3679" s="19" t="s">
        <v>2581</v>
      </c>
      <c r="C3679" s="20">
        <v>49997.0</v>
      </c>
      <c r="D3679" s="20" t="s">
        <v>2580</v>
      </c>
      <c r="E3679" s="5">
        <v>9.19024031982E11</v>
      </c>
      <c r="F3679" s="21">
        <v>20190.0</v>
      </c>
      <c r="G3679" s="20"/>
      <c r="H3679" s="20" t="s">
        <v>2455</v>
      </c>
      <c r="I3679" s="5"/>
      <c r="J3679" s="20">
        <v>1.0</v>
      </c>
      <c r="K3679" s="20">
        <v>99.0</v>
      </c>
      <c r="L3679" s="20"/>
      <c r="M3679" s="20">
        <v>99.0</v>
      </c>
      <c r="N3679" s="5" t="s">
        <v>67</v>
      </c>
      <c r="O3679" s="20" t="b">
        <v>0</v>
      </c>
      <c r="P3679" s="20" t="s">
        <v>68</v>
      </c>
      <c r="Q3679" s="20" t="s">
        <v>69</v>
      </c>
      <c r="R3679" s="20" t="s">
        <v>2582</v>
      </c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</row>
    <row r="3680">
      <c r="A3680" s="15" t="s">
        <v>12021</v>
      </c>
      <c r="B3680" s="19" t="s">
        <v>5081</v>
      </c>
      <c r="C3680" s="20">
        <v>50094.0</v>
      </c>
      <c r="D3680" s="20" t="s">
        <v>5080</v>
      </c>
      <c r="E3680" s="5">
        <v>9.1885391673E11</v>
      </c>
      <c r="F3680" s="21">
        <v>20192.0</v>
      </c>
      <c r="G3680" s="20"/>
      <c r="H3680" s="20" t="s">
        <v>4942</v>
      </c>
      <c r="I3680" s="5"/>
      <c r="J3680" s="20">
        <v>1.0</v>
      </c>
      <c r="K3680" s="20">
        <v>199.0</v>
      </c>
      <c r="L3680" s="20"/>
      <c r="M3680" s="20">
        <v>199.0</v>
      </c>
      <c r="N3680" s="5" t="s">
        <v>67</v>
      </c>
      <c r="O3680" s="20" t="b">
        <v>0</v>
      </c>
      <c r="P3680" s="20" t="s">
        <v>68</v>
      </c>
      <c r="Q3680" s="20" t="s">
        <v>69</v>
      </c>
      <c r="R3680" s="20" t="s">
        <v>4945</v>
      </c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</row>
    <row r="3681">
      <c r="A3681" s="15" t="s">
        <v>12027</v>
      </c>
      <c r="B3681" s="19" t="s">
        <v>3571</v>
      </c>
      <c r="C3681" s="20">
        <v>50030.0</v>
      </c>
      <c r="D3681" s="20" t="s">
        <v>3570</v>
      </c>
      <c r="E3681" s="5">
        <v>9.18867784378E11</v>
      </c>
      <c r="F3681" s="21">
        <v>20194.0</v>
      </c>
      <c r="G3681" s="20"/>
      <c r="H3681" s="20" t="s">
        <v>3326</v>
      </c>
      <c r="I3681" s="5"/>
      <c r="J3681" s="20">
        <v>6.0</v>
      </c>
      <c r="K3681" s="20">
        <v>349.0</v>
      </c>
      <c r="L3681" s="20"/>
      <c r="M3681" s="20">
        <v>349.0</v>
      </c>
      <c r="N3681" s="5" t="s">
        <v>67</v>
      </c>
      <c r="O3681" s="20" t="b">
        <v>0</v>
      </c>
      <c r="P3681" s="20" t="s">
        <v>68</v>
      </c>
      <c r="Q3681" s="20" t="s">
        <v>69</v>
      </c>
      <c r="R3681" s="20" t="s">
        <v>3328</v>
      </c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</row>
    <row r="3682">
      <c r="A3682" s="15" t="s">
        <v>12034</v>
      </c>
      <c r="B3682" s="19" t="s">
        <v>3962</v>
      </c>
      <c r="C3682" s="20">
        <v>49835.0</v>
      </c>
      <c r="D3682" s="20" t="s">
        <v>3961</v>
      </c>
      <c r="E3682" s="5">
        <v>9.19894218797E11</v>
      </c>
      <c r="F3682" s="21">
        <v>20196.0</v>
      </c>
      <c r="G3682" s="20"/>
      <c r="H3682" s="20" t="s">
        <v>680</v>
      </c>
      <c r="I3682" s="5"/>
      <c r="J3682" s="20">
        <v>1.0</v>
      </c>
      <c r="K3682" s="20">
        <v>99.0</v>
      </c>
      <c r="L3682" s="20"/>
      <c r="M3682" s="20">
        <v>99.0</v>
      </c>
      <c r="N3682" s="5" t="s">
        <v>67</v>
      </c>
      <c r="O3682" s="20" t="b">
        <v>0</v>
      </c>
      <c r="P3682" s="20" t="s">
        <v>74</v>
      </c>
      <c r="Q3682" s="20" t="s">
        <v>69</v>
      </c>
      <c r="R3682" s="20" t="s">
        <v>3888</v>
      </c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</row>
    <row r="3683">
      <c r="A3683" s="15" t="s">
        <v>12030</v>
      </c>
      <c r="B3683" s="19" t="s">
        <v>6313</v>
      </c>
      <c r="C3683" s="20">
        <v>49998.0</v>
      </c>
      <c r="D3683" s="20" t="s">
        <v>6312</v>
      </c>
      <c r="E3683" s="5">
        <v>9.16302631289E11</v>
      </c>
      <c r="F3683" s="21">
        <v>20195.0</v>
      </c>
      <c r="G3683" s="20"/>
      <c r="H3683" s="20" t="s">
        <v>6250</v>
      </c>
      <c r="I3683" s="5"/>
      <c r="J3683" s="20">
        <v>1.0</v>
      </c>
      <c r="K3683" s="20">
        <v>99.0</v>
      </c>
      <c r="L3683" s="20"/>
      <c r="M3683" s="20">
        <v>99.0</v>
      </c>
      <c r="N3683" s="5" t="s">
        <v>67</v>
      </c>
      <c r="O3683" s="20" t="b">
        <v>0</v>
      </c>
      <c r="P3683" s="20" t="s">
        <v>68</v>
      </c>
      <c r="Q3683" s="20" t="s">
        <v>69</v>
      </c>
      <c r="R3683" s="20" t="s">
        <v>6252</v>
      </c>
      <c r="T3683" s="20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</row>
    <row r="3684">
      <c r="A3684" s="15" t="s">
        <v>12035</v>
      </c>
      <c r="B3684" s="19" t="s">
        <v>5308</v>
      </c>
      <c r="C3684" s="20">
        <v>50022.0</v>
      </c>
      <c r="D3684" s="20" t="s">
        <v>5307</v>
      </c>
      <c r="E3684" s="5">
        <v>9.1989828287E11</v>
      </c>
      <c r="F3684" s="21">
        <v>20197.0</v>
      </c>
      <c r="G3684" s="20"/>
      <c r="H3684" s="20" t="s">
        <v>5181</v>
      </c>
      <c r="I3684" s="5"/>
      <c r="J3684" s="20">
        <v>1.0</v>
      </c>
      <c r="K3684" s="20">
        <v>99.0</v>
      </c>
      <c r="L3684" s="20"/>
      <c r="M3684" s="20">
        <v>99.0</v>
      </c>
      <c r="N3684" s="5" t="s">
        <v>67</v>
      </c>
      <c r="O3684" s="20" t="b">
        <v>0</v>
      </c>
      <c r="P3684" s="20" t="s">
        <v>74</v>
      </c>
      <c r="Q3684" s="20" t="s">
        <v>69</v>
      </c>
      <c r="R3684" s="20" t="s">
        <v>5183</v>
      </c>
      <c r="T3684" s="20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</row>
    <row r="3685">
      <c r="A3685" s="15" t="s">
        <v>12042</v>
      </c>
      <c r="B3685" s="19" t="s">
        <v>6364</v>
      </c>
      <c r="C3685" s="20">
        <v>50044.0</v>
      </c>
      <c r="D3685" s="20" t="s">
        <v>6363</v>
      </c>
      <c r="E3685" s="5">
        <v>9.17887359987E11</v>
      </c>
      <c r="F3685" s="21">
        <v>0.0</v>
      </c>
      <c r="G3685" s="20"/>
      <c r="H3685" s="20" t="s">
        <v>6320</v>
      </c>
      <c r="I3685" s="5"/>
      <c r="J3685" s="20">
        <v>1.0</v>
      </c>
      <c r="K3685" s="20">
        <v>349.0</v>
      </c>
      <c r="L3685" s="20"/>
      <c r="M3685" s="20">
        <v>349.0</v>
      </c>
      <c r="N3685" s="5" t="s">
        <v>67</v>
      </c>
      <c r="O3685" s="20" t="b">
        <v>0</v>
      </c>
      <c r="P3685" s="20" t="s">
        <v>68</v>
      </c>
      <c r="Q3685" s="20" t="s">
        <v>69</v>
      </c>
      <c r="R3685" s="20" t="s">
        <v>6322</v>
      </c>
      <c r="T3685" s="20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</row>
    <row r="3686">
      <c r="A3686" s="15" t="s">
        <v>12046</v>
      </c>
      <c r="B3686" s="19" t="s">
        <v>5676</v>
      </c>
      <c r="C3686" s="20">
        <v>50023.0</v>
      </c>
      <c r="D3686" s="20" t="s">
        <v>5675</v>
      </c>
      <c r="E3686" s="5">
        <v>9.17981651055E11</v>
      </c>
      <c r="F3686" s="21">
        <v>20201.0</v>
      </c>
      <c r="G3686" s="20"/>
      <c r="H3686" s="20" t="s">
        <v>5508</v>
      </c>
      <c r="I3686" s="5"/>
      <c r="J3686" s="20">
        <v>1.0</v>
      </c>
      <c r="K3686" s="20">
        <v>99.0</v>
      </c>
      <c r="L3686" s="20"/>
      <c r="M3686" s="20">
        <v>99.0</v>
      </c>
      <c r="N3686" s="5" t="s">
        <v>67</v>
      </c>
      <c r="O3686" s="20" t="b">
        <v>0</v>
      </c>
      <c r="P3686" s="20" t="s">
        <v>68</v>
      </c>
      <c r="Q3686" s="20" t="s">
        <v>69</v>
      </c>
      <c r="R3686" s="20" t="s">
        <v>5510</v>
      </c>
      <c r="T3686" s="20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</row>
    <row r="3687">
      <c r="A3687" s="15" t="s">
        <v>12048</v>
      </c>
      <c r="B3687" s="19" t="s">
        <v>2584</v>
      </c>
      <c r="C3687" s="20">
        <v>49997.0</v>
      </c>
      <c r="D3687" s="20" t="s">
        <v>2583</v>
      </c>
      <c r="E3687" s="5">
        <v>9.19412906471E11</v>
      </c>
      <c r="F3687" s="21">
        <v>20202.0</v>
      </c>
      <c r="G3687" s="20"/>
      <c r="H3687" s="20" t="s">
        <v>2455</v>
      </c>
      <c r="I3687" s="5"/>
      <c r="J3687" s="20">
        <v>1.0</v>
      </c>
      <c r="K3687" s="20">
        <v>99.0</v>
      </c>
      <c r="L3687" s="20"/>
      <c r="M3687" s="20">
        <v>99.0</v>
      </c>
      <c r="N3687" s="5" t="s">
        <v>67</v>
      </c>
      <c r="O3687" s="20" t="b">
        <v>0</v>
      </c>
      <c r="P3687" s="20" t="s">
        <v>68</v>
      </c>
      <c r="Q3687" s="20" t="s">
        <v>69</v>
      </c>
      <c r="R3687" s="20" t="s">
        <v>2582</v>
      </c>
      <c r="T3687" s="20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</row>
    <row r="3688">
      <c r="A3688" s="15" t="s">
        <v>12049</v>
      </c>
      <c r="B3688" s="19" t="s">
        <v>3573</v>
      </c>
      <c r="C3688" s="20">
        <v>50030.0</v>
      </c>
      <c r="D3688" s="20" t="s">
        <v>3572</v>
      </c>
      <c r="E3688" s="5">
        <v>9.19466513189E11</v>
      </c>
      <c r="F3688" s="21">
        <v>20203.0</v>
      </c>
      <c r="G3688" s="20"/>
      <c r="H3688" s="20" t="s">
        <v>3326</v>
      </c>
      <c r="I3688" s="5"/>
      <c r="J3688" s="20">
        <v>6.0</v>
      </c>
      <c r="K3688" s="20">
        <v>349.0</v>
      </c>
      <c r="L3688" s="20"/>
      <c r="M3688" s="20">
        <v>349.0</v>
      </c>
      <c r="N3688" s="5" t="s">
        <v>67</v>
      </c>
      <c r="O3688" s="20" t="b">
        <v>0</v>
      </c>
      <c r="P3688" s="20" t="s">
        <v>68</v>
      </c>
      <c r="Q3688" s="20" t="s">
        <v>69</v>
      </c>
      <c r="R3688" s="20" t="s">
        <v>3328</v>
      </c>
      <c r="T3688" s="20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</row>
    <row r="3689">
      <c r="A3689" s="15" t="s">
        <v>12052</v>
      </c>
      <c r="B3689" s="19" t="s">
        <v>3575</v>
      </c>
      <c r="C3689" s="20">
        <v>50030.0</v>
      </c>
      <c r="D3689" s="20" t="s">
        <v>3574</v>
      </c>
      <c r="E3689" s="5">
        <v>9.17030755524E11</v>
      </c>
      <c r="F3689" s="21">
        <v>20205.0</v>
      </c>
      <c r="G3689" s="20"/>
      <c r="H3689" s="20" t="s">
        <v>3326</v>
      </c>
      <c r="I3689" s="5"/>
      <c r="J3689" s="20">
        <v>3.0</v>
      </c>
      <c r="K3689" s="20">
        <v>199.0</v>
      </c>
      <c r="L3689" s="20"/>
      <c r="M3689" s="20">
        <v>199.0</v>
      </c>
      <c r="N3689" s="5" t="s">
        <v>67</v>
      </c>
      <c r="O3689" s="20" t="b">
        <v>0</v>
      </c>
      <c r="P3689" s="20" t="s">
        <v>68</v>
      </c>
      <c r="Q3689" s="20" t="s">
        <v>69</v>
      </c>
      <c r="R3689" s="20" t="s">
        <v>3328</v>
      </c>
      <c r="T3689" s="20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</row>
    <row r="3690">
      <c r="A3690" s="15" t="s">
        <v>12053</v>
      </c>
      <c r="B3690" s="19" t="s">
        <v>3964</v>
      </c>
      <c r="C3690" s="20">
        <v>49835.0</v>
      </c>
      <c r="D3690" s="20" t="s">
        <v>3963</v>
      </c>
      <c r="E3690" s="5">
        <v>9.18899970225E11</v>
      </c>
      <c r="F3690" s="21">
        <v>20204.0</v>
      </c>
      <c r="G3690" s="20"/>
      <c r="H3690" s="20" t="s">
        <v>680</v>
      </c>
      <c r="I3690" s="5"/>
      <c r="J3690" s="20">
        <v>1.0</v>
      </c>
      <c r="K3690" s="20">
        <v>99.0</v>
      </c>
      <c r="L3690" s="20"/>
      <c r="M3690" s="20">
        <v>99.0</v>
      </c>
      <c r="N3690" s="5" t="s">
        <v>67</v>
      </c>
      <c r="O3690" s="20" t="b">
        <v>0</v>
      </c>
      <c r="P3690" s="20" t="s">
        <v>68</v>
      </c>
      <c r="Q3690" s="20" t="s">
        <v>69</v>
      </c>
      <c r="R3690" s="20" t="s">
        <v>3888</v>
      </c>
      <c r="T3690" s="20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</row>
    <row r="3691">
      <c r="A3691" s="15" t="s">
        <v>12054</v>
      </c>
      <c r="B3691" s="19" t="s">
        <v>3006</v>
      </c>
      <c r="C3691" s="20">
        <v>50066.0</v>
      </c>
      <c r="D3691" s="20" t="s">
        <v>3005</v>
      </c>
      <c r="E3691" s="5">
        <v>9.18885882017E11</v>
      </c>
      <c r="F3691" s="21">
        <v>20207.0</v>
      </c>
      <c r="G3691" s="20"/>
      <c r="H3691" s="20" t="s">
        <v>2911</v>
      </c>
      <c r="I3691" s="5"/>
      <c r="J3691" s="20">
        <v>6.0</v>
      </c>
      <c r="K3691" s="20">
        <v>2359.0</v>
      </c>
      <c r="L3691" s="20"/>
      <c r="M3691" s="20">
        <v>2359.0</v>
      </c>
      <c r="N3691" s="5" t="s">
        <v>67</v>
      </c>
      <c r="O3691" s="20" t="b">
        <v>0</v>
      </c>
      <c r="P3691" s="20" t="s">
        <v>74</v>
      </c>
      <c r="Q3691" s="20" t="s">
        <v>69</v>
      </c>
      <c r="R3691" s="20" t="s">
        <v>3007</v>
      </c>
      <c r="T3691" s="20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</row>
    <row r="3692">
      <c r="A3692" s="15" t="s">
        <v>12055</v>
      </c>
      <c r="B3692" s="19" t="s">
        <v>3577</v>
      </c>
      <c r="C3692" s="20">
        <v>50030.0</v>
      </c>
      <c r="D3692" s="20" t="s">
        <v>3576</v>
      </c>
      <c r="E3692" s="5">
        <v>9.19686674084E11</v>
      </c>
      <c r="F3692" s="21">
        <v>20208.0</v>
      </c>
      <c r="G3692" s="20"/>
      <c r="H3692" s="20" t="s">
        <v>3326</v>
      </c>
      <c r="I3692" s="5"/>
      <c r="J3692" s="20">
        <v>6.0</v>
      </c>
      <c r="K3692" s="20">
        <v>349.0</v>
      </c>
      <c r="L3692" s="20"/>
      <c r="M3692" s="20">
        <v>349.0</v>
      </c>
      <c r="N3692" s="5" t="s">
        <v>67</v>
      </c>
      <c r="O3692" s="20" t="b">
        <v>0</v>
      </c>
      <c r="P3692" s="20" t="s">
        <v>68</v>
      </c>
      <c r="Q3692" s="20" t="s">
        <v>69</v>
      </c>
      <c r="R3692" s="20" t="s">
        <v>3328</v>
      </c>
      <c r="T3692" s="20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</row>
    <row r="3693">
      <c r="A3693" s="15" t="s">
        <v>12056</v>
      </c>
      <c r="B3693" s="19" t="s">
        <v>6182</v>
      </c>
      <c r="C3693" s="20">
        <v>50048.0</v>
      </c>
      <c r="D3693" s="20" t="s">
        <v>6181</v>
      </c>
      <c r="E3693" s="5">
        <v>9.18801111139E11</v>
      </c>
      <c r="F3693" s="21">
        <v>20209.0</v>
      </c>
      <c r="G3693" s="20"/>
      <c r="H3693" s="20" t="s">
        <v>1582</v>
      </c>
      <c r="I3693" s="20" t="s">
        <v>6175</v>
      </c>
      <c r="J3693" s="20">
        <v>1.0</v>
      </c>
      <c r="K3693" s="20">
        <v>299.0</v>
      </c>
      <c r="L3693" s="20"/>
      <c r="M3693" s="20">
        <v>299.0</v>
      </c>
      <c r="N3693" s="5" t="s">
        <v>67</v>
      </c>
      <c r="O3693" s="20" t="b">
        <v>0</v>
      </c>
      <c r="P3693" s="20" t="s">
        <v>74</v>
      </c>
      <c r="Q3693" s="20" t="s">
        <v>69</v>
      </c>
      <c r="R3693" s="20" t="s">
        <v>6174</v>
      </c>
      <c r="T3693" s="20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</row>
    <row r="3694">
      <c r="A3694" s="15" t="s">
        <v>12057</v>
      </c>
      <c r="B3694" s="19" t="s">
        <v>2586</v>
      </c>
      <c r="C3694" s="20">
        <v>49997.0</v>
      </c>
      <c r="D3694" s="20" t="s">
        <v>2585</v>
      </c>
      <c r="E3694" s="5">
        <v>9.19451358094E11</v>
      </c>
      <c r="F3694" s="21">
        <v>20273.0</v>
      </c>
      <c r="G3694" s="20"/>
      <c r="H3694" s="20" t="s">
        <v>2455</v>
      </c>
      <c r="I3694" s="5"/>
      <c r="J3694" s="20">
        <v>1.0</v>
      </c>
      <c r="K3694" s="20">
        <v>99.0</v>
      </c>
      <c r="L3694" s="20"/>
      <c r="M3694" s="20">
        <v>99.0</v>
      </c>
      <c r="N3694" s="5" t="s">
        <v>67</v>
      </c>
      <c r="O3694" s="20" t="b">
        <v>0</v>
      </c>
      <c r="P3694" s="20" t="s">
        <v>68</v>
      </c>
      <c r="Q3694" s="20" t="s">
        <v>69</v>
      </c>
      <c r="R3694" s="20" t="s">
        <v>2457</v>
      </c>
      <c r="T3694" s="20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</row>
    <row r="3695">
      <c r="A3695" s="15" t="s">
        <v>12065</v>
      </c>
      <c r="B3695" s="19" t="s">
        <v>6667</v>
      </c>
      <c r="C3695" s="20">
        <v>49994.0</v>
      </c>
      <c r="D3695" s="20" t="s">
        <v>6666</v>
      </c>
      <c r="E3695" s="5">
        <v>9.1928416697E11</v>
      </c>
      <c r="F3695" s="21">
        <v>20211.0</v>
      </c>
      <c r="G3695" s="20"/>
      <c r="H3695" s="20" t="s">
        <v>1264</v>
      </c>
      <c r="I3695" s="5"/>
      <c r="J3695" s="20">
        <v>1.0</v>
      </c>
      <c r="K3695" s="20">
        <v>99.0</v>
      </c>
      <c r="L3695" s="20"/>
      <c r="M3695" s="20">
        <v>99.0</v>
      </c>
      <c r="N3695" s="5" t="s">
        <v>67</v>
      </c>
      <c r="O3695" s="20" t="b">
        <v>0</v>
      </c>
      <c r="P3695" s="20" t="s">
        <v>68</v>
      </c>
      <c r="Q3695" s="20" t="s">
        <v>69</v>
      </c>
      <c r="R3695" s="20" t="s">
        <v>6615</v>
      </c>
      <c r="T3695" s="20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</row>
    <row r="3696">
      <c r="A3696" s="15" t="s">
        <v>12067</v>
      </c>
      <c r="B3696" s="19" t="s">
        <v>3661</v>
      </c>
      <c r="C3696" s="20">
        <v>50136.0</v>
      </c>
      <c r="D3696" s="20" t="s">
        <v>3660</v>
      </c>
      <c r="E3696" s="5">
        <v>9.17020858997E11</v>
      </c>
      <c r="F3696" s="21">
        <v>20213.0</v>
      </c>
      <c r="G3696" s="20"/>
      <c r="H3696" s="20" t="s">
        <v>3618</v>
      </c>
      <c r="I3696" s="5"/>
      <c r="J3696" s="20">
        <v>1.0</v>
      </c>
      <c r="K3696" s="20">
        <v>99.0</v>
      </c>
      <c r="L3696" s="20"/>
      <c r="M3696" s="20">
        <v>99.0</v>
      </c>
      <c r="N3696" s="5" t="s">
        <v>67</v>
      </c>
      <c r="O3696" s="20" t="b">
        <v>0</v>
      </c>
      <c r="P3696" s="20" t="s">
        <v>68</v>
      </c>
      <c r="Q3696" s="20" t="s">
        <v>69</v>
      </c>
      <c r="R3696" s="20" t="s">
        <v>3624</v>
      </c>
      <c r="T3696" s="20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</row>
    <row r="3697">
      <c r="A3697" s="15" t="s">
        <v>12068</v>
      </c>
      <c r="B3697" s="19" t="s">
        <v>4874</v>
      </c>
      <c r="C3697" s="20">
        <v>49996.0</v>
      </c>
      <c r="D3697" s="20" t="s">
        <v>4873</v>
      </c>
      <c r="E3697" s="5">
        <v>9.19840463935E11</v>
      </c>
      <c r="F3697" s="21">
        <v>20215.0</v>
      </c>
      <c r="G3697" s="20"/>
      <c r="H3697" s="20" t="s">
        <v>4796</v>
      </c>
      <c r="I3697" s="5"/>
      <c r="J3697" s="20">
        <v>1.0</v>
      </c>
      <c r="K3697" s="20">
        <v>99.0</v>
      </c>
      <c r="L3697" s="20"/>
      <c r="M3697" s="20">
        <v>99.0</v>
      </c>
      <c r="N3697" s="5" t="s">
        <v>67</v>
      </c>
      <c r="O3697" s="20" t="b">
        <v>0</v>
      </c>
      <c r="P3697" s="20" t="s">
        <v>68</v>
      </c>
      <c r="Q3697" s="20" t="s">
        <v>69</v>
      </c>
      <c r="R3697" s="20" t="s">
        <v>4799</v>
      </c>
      <c r="T3697" s="20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</row>
    <row r="3698">
      <c r="A3698" s="15" t="s">
        <v>12066</v>
      </c>
      <c r="B3698" s="19" t="s">
        <v>3187</v>
      </c>
      <c r="C3698" s="20">
        <v>49991.0</v>
      </c>
      <c r="D3698" s="20" t="s">
        <v>3186</v>
      </c>
      <c r="E3698" s="5">
        <v>9.19104211102E11</v>
      </c>
      <c r="F3698" s="21">
        <v>20212.0</v>
      </c>
      <c r="G3698" s="20"/>
      <c r="H3698" s="20" t="s">
        <v>3055</v>
      </c>
      <c r="I3698" s="5"/>
      <c r="J3698" s="20">
        <v>1.0</v>
      </c>
      <c r="K3698" s="20">
        <v>99.0</v>
      </c>
      <c r="L3698" s="20"/>
      <c r="M3698" s="20">
        <v>99.0</v>
      </c>
      <c r="N3698" s="5" t="s">
        <v>67</v>
      </c>
      <c r="O3698" s="20" t="b">
        <v>0</v>
      </c>
      <c r="P3698" s="20" t="s">
        <v>74</v>
      </c>
      <c r="Q3698" s="20" t="s">
        <v>69</v>
      </c>
      <c r="R3698" s="20" t="s">
        <v>3150</v>
      </c>
      <c r="T3698" s="20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</row>
    <row r="3699">
      <c r="A3699" s="15" t="s">
        <v>12072</v>
      </c>
      <c r="B3699" s="19" t="s">
        <v>5684</v>
      </c>
      <c r="C3699" s="20">
        <v>50023.0</v>
      </c>
      <c r="D3699" s="20" t="s">
        <v>5683</v>
      </c>
      <c r="E3699" s="5">
        <v>9.19959353462E11</v>
      </c>
      <c r="F3699" s="21">
        <v>20232.0</v>
      </c>
      <c r="G3699" s="20"/>
      <c r="H3699" s="20" t="s">
        <v>5508</v>
      </c>
      <c r="I3699" s="5"/>
      <c r="J3699" s="20">
        <v>1.0</v>
      </c>
      <c r="K3699" s="20">
        <v>99.0</v>
      </c>
      <c r="L3699" s="20"/>
      <c r="M3699" s="20">
        <v>99.0</v>
      </c>
      <c r="N3699" s="5" t="s">
        <v>67</v>
      </c>
      <c r="O3699" s="20" t="b">
        <v>0</v>
      </c>
      <c r="P3699" s="20" t="s">
        <v>68</v>
      </c>
      <c r="Q3699" s="20" t="s">
        <v>69</v>
      </c>
      <c r="R3699" s="20" t="s">
        <v>5510</v>
      </c>
      <c r="T3699" s="20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</row>
    <row r="3700">
      <c r="A3700" s="15" t="s">
        <v>12073</v>
      </c>
      <c r="B3700" s="19" t="s">
        <v>3966</v>
      </c>
      <c r="C3700" s="20">
        <v>49835.0</v>
      </c>
      <c r="D3700" s="20" t="s">
        <v>3965</v>
      </c>
      <c r="E3700" s="5">
        <v>9.1916742312E11</v>
      </c>
      <c r="F3700" s="21">
        <v>20217.0</v>
      </c>
      <c r="G3700" s="20"/>
      <c r="H3700" s="20" t="s">
        <v>680</v>
      </c>
      <c r="I3700" s="5"/>
      <c r="J3700" s="20">
        <v>1.0</v>
      </c>
      <c r="K3700" s="20">
        <v>99.0</v>
      </c>
      <c r="L3700" s="20"/>
      <c r="M3700" s="20">
        <v>99.0</v>
      </c>
      <c r="N3700" s="5" t="s">
        <v>67</v>
      </c>
      <c r="O3700" s="20" t="b">
        <v>0</v>
      </c>
      <c r="P3700" s="20" t="s">
        <v>151</v>
      </c>
      <c r="Q3700" s="20" t="s">
        <v>69</v>
      </c>
      <c r="R3700" s="20" t="s">
        <v>3888</v>
      </c>
      <c r="T3700" s="20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</row>
    <row r="3701">
      <c r="A3701" s="15" t="s">
        <v>12074</v>
      </c>
      <c r="B3701" s="19" t="s">
        <v>5678</v>
      </c>
      <c r="C3701" s="20">
        <v>50023.0</v>
      </c>
      <c r="D3701" s="20" t="s">
        <v>5677</v>
      </c>
      <c r="E3701" s="5">
        <v>9.18368895417E11</v>
      </c>
      <c r="F3701" s="21">
        <v>20219.0</v>
      </c>
      <c r="G3701" s="20"/>
      <c r="H3701" s="20" t="s">
        <v>5508</v>
      </c>
      <c r="I3701" s="5"/>
      <c r="J3701" s="20">
        <v>1.0</v>
      </c>
      <c r="K3701" s="20">
        <v>99.0</v>
      </c>
      <c r="L3701" s="20"/>
      <c r="M3701" s="20">
        <v>99.0</v>
      </c>
      <c r="N3701" s="5" t="s">
        <v>67</v>
      </c>
      <c r="O3701" s="20" t="b">
        <v>0</v>
      </c>
      <c r="P3701" s="20" t="s">
        <v>68</v>
      </c>
      <c r="Q3701" s="20" t="s">
        <v>69</v>
      </c>
      <c r="R3701" s="20" t="s">
        <v>5510</v>
      </c>
      <c r="T3701" s="20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</row>
    <row r="3702">
      <c r="A3702" s="15" t="s">
        <v>12078</v>
      </c>
      <c r="B3702" s="19" t="s">
        <v>3968</v>
      </c>
      <c r="C3702" s="20">
        <v>49835.0</v>
      </c>
      <c r="D3702" s="20" t="s">
        <v>3967</v>
      </c>
      <c r="E3702" s="5">
        <v>9.19902874858E11</v>
      </c>
      <c r="F3702" s="21">
        <v>20220.0</v>
      </c>
      <c r="G3702" s="20"/>
      <c r="H3702" s="20" t="s">
        <v>680</v>
      </c>
      <c r="I3702" s="5"/>
      <c r="J3702" s="20">
        <v>3.0</v>
      </c>
      <c r="K3702" s="20">
        <v>199.0</v>
      </c>
      <c r="L3702" s="20"/>
      <c r="M3702" s="20">
        <v>199.0</v>
      </c>
      <c r="N3702" s="5" t="s">
        <v>67</v>
      </c>
      <c r="O3702" s="20" t="b">
        <v>0</v>
      </c>
      <c r="P3702" s="20" t="s">
        <v>74</v>
      </c>
      <c r="Q3702" s="20" t="s">
        <v>69</v>
      </c>
      <c r="R3702" s="20" t="s">
        <v>3888</v>
      </c>
      <c r="T3702" s="20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</row>
    <row r="3703">
      <c r="A3703" s="15" t="s">
        <v>12194</v>
      </c>
      <c r="B3703" s="19" t="s">
        <v>4782</v>
      </c>
      <c r="C3703" s="20">
        <v>49859.0</v>
      </c>
      <c r="D3703" s="20" t="s">
        <v>4781</v>
      </c>
      <c r="E3703" s="5">
        <v>9.17997026835E11</v>
      </c>
      <c r="F3703" s="21">
        <v>20282.0</v>
      </c>
      <c r="G3703" s="20"/>
      <c r="H3703" s="20" t="s">
        <v>1133</v>
      </c>
      <c r="I3703" s="5"/>
      <c r="J3703" s="20">
        <v>1.0</v>
      </c>
      <c r="K3703" s="20">
        <v>99.0</v>
      </c>
      <c r="L3703" s="20"/>
      <c r="M3703" s="20">
        <v>99.0</v>
      </c>
      <c r="N3703" s="5" t="s">
        <v>67</v>
      </c>
      <c r="O3703" s="20" t="b">
        <v>0</v>
      </c>
      <c r="P3703" s="20" t="s">
        <v>68</v>
      </c>
      <c r="Q3703" s="20" t="s">
        <v>69</v>
      </c>
      <c r="R3703" s="20" t="s">
        <v>4736</v>
      </c>
      <c r="T3703" s="20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</row>
    <row r="3704">
      <c r="A3704" s="15" t="s">
        <v>12089</v>
      </c>
      <c r="B3704" s="19" t="s">
        <v>4531</v>
      </c>
      <c r="C3704" s="20">
        <v>50052.0</v>
      </c>
      <c r="D3704" s="20" t="s">
        <v>4530</v>
      </c>
      <c r="E3704" s="5">
        <v>9.1702671929E11</v>
      </c>
      <c r="F3704" s="21">
        <v>20224.0</v>
      </c>
      <c r="G3704" s="20"/>
      <c r="H3704" s="20" t="s">
        <v>4433</v>
      </c>
      <c r="I3704" s="5"/>
      <c r="J3704" s="20">
        <v>1.0</v>
      </c>
      <c r="K3704" s="20">
        <v>99.0</v>
      </c>
      <c r="L3704" s="20"/>
      <c r="M3704" s="20">
        <v>99.0</v>
      </c>
      <c r="N3704" s="5" t="s">
        <v>67</v>
      </c>
      <c r="O3704" s="20" t="b">
        <v>0</v>
      </c>
      <c r="P3704" s="20" t="s">
        <v>68</v>
      </c>
      <c r="Q3704" s="20" t="s">
        <v>69</v>
      </c>
      <c r="R3704" s="20" t="s">
        <v>4512</v>
      </c>
      <c r="T3704" s="20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</row>
    <row r="3705">
      <c r="A3705" s="15" t="s">
        <v>12083</v>
      </c>
      <c r="B3705" s="19" t="s">
        <v>5680</v>
      </c>
      <c r="C3705" s="20">
        <v>50023.0</v>
      </c>
      <c r="D3705" s="20" t="s">
        <v>5679</v>
      </c>
      <c r="E3705" s="5">
        <v>9.18999466652E11</v>
      </c>
      <c r="F3705" s="21">
        <v>20221.0</v>
      </c>
      <c r="G3705" s="20"/>
      <c r="H3705" s="20" t="s">
        <v>5508</v>
      </c>
      <c r="I3705" s="5"/>
      <c r="J3705" s="20">
        <v>1.0</v>
      </c>
      <c r="K3705" s="20">
        <v>99.0</v>
      </c>
      <c r="L3705" s="20"/>
      <c r="M3705" s="20">
        <v>99.0</v>
      </c>
      <c r="N3705" s="5" t="s">
        <v>67</v>
      </c>
      <c r="O3705" s="20" t="b">
        <v>0</v>
      </c>
      <c r="P3705" s="20" t="s">
        <v>68</v>
      </c>
      <c r="Q3705" s="20" t="s">
        <v>69</v>
      </c>
      <c r="R3705" s="20" t="s">
        <v>5510</v>
      </c>
      <c r="T3705" s="20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</row>
    <row r="3706">
      <c r="A3706" s="15" t="s">
        <v>12090</v>
      </c>
      <c r="B3706" s="19" t="s">
        <v>4531</v>
      </c>
      <c r="C3706" s="20">
        <v>50043.0</v>
      </c>
      <c r="D3706" s="20" t="s">
        <v>6451</v>
      </c>
      <c r="E3706" s="5">
        <v>9.19811124285E11</v>
      </c>
      <c r="F3706" s="21">
        <v>0.0</v>
      </c>
      <c r="G3706" s="20"/>
      <c r="H3706" s="20" t="s">
        <v>6367</v>
      </c>
      <c r="I3706" s="5"/>
      <c r="J3706" s="20">
        <v>3.0</v>
      </c>
      <c r="K3706" s="20">
        <v>199.0</v>
      </c>
      <c r="L3706" s="20"/>
      <c r="M3706" s="20">
        <v>199.0</v>
      </c>
      <c r="N3706" s="5" t="s">
        <v>67</v>
      </c>
      <c r="O3706" s="20" t="b">
        <v>0</v>
      </c>
      <c r="P3706" s="20" t="s">
        <v>68</v>
      </c>
      <c r="Q3706" s="20" t="s">
        <v>69</v>
      </c>
      <c r="R3706" s="20" t="s">
        <v>6369</v>
      </c>
      <c r="T3706" s="20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</row>
    <row r="3707">
      <c r="A3707" s="15" t="s">
        <v>12195</v>
      </c>
      <c r="B3707" s="19" t="s">
        <v>3883</v>
      </c>
      <c r="C3707" s="20">
        <v>50173.0</v>
      </c>
      <c r="D3707" s="20" t="s">
        <v>3882</v>
      </c>
      <c r="E3707" s="5">
        <v>9.19899354222E11</v>
      </c>
      <c r="F3707" s="21">
        <v>0.0</v>
      </c>
      <c r="G3707" s="20"/>
      <c r="H3707" s="20" t="s">
        <v>3878</v>
      </c>
      <c r="I3707" s="5"/>
      <c r="J3707" s="20">
        <v>6.0</v>
      </c>
      <c r="K3707" s="20">
        <v>449.0</v>
      </c>
      <c r="L3707" s="20"/>
      <c r="M3707" s="20">
        <v>449.0</v>
      </c>
      <c r="N3707" s="5" t="s">
        <v>67</v>
      </c>
      <c r="O3707" s="20" t="b">
        <v>0</v>
      </c>
      <c r="P3707" s="20" t="s">
        <v>68</v>
      </c>
      <c r="Q3707" s="20" t="s">
        <v>69</v>
      </c>
      <c r="R3707" s="20" t="s">
        <v>3881</v>
      </c>
      <c r="T3707" s="20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</row>
    <row r="3708">
      <c r="A3708" s="15" t="s">
        <v>12086</v>
      </c>
      <c r="B3708" s="19" t="s">
        <v>5682</v>
      </c>
      <c r="C3708" s="20">
        <v>50023.0</v>
      </c>
      <c r="D3708" s="20" t="s">
        <v>5681</v>
      </c>
      <c r="E3708" s="5">
        <v>9.19901655925E11</v>
      </c>
      <c r="F3708" s="21">
        <v>20223.0</v>
      </c>
      <c r="G3708" s="20"/>
      <c r="H3708" s="20" t="s">
        <v>5508</v>
      </c>
      <c r="I3708" s="5"/>
      <c r="J3708" s="20">
        <v>1.0</v>
      </c>
      <c r="K3708" s="20">
        <v>99.0</v>
      </c>
      <c r="L3708" s="20"/>
      <c r="M3708" s="20">
        <v>99.0</v>
      </c>
      <c r="N3708" s="5" t="s">
        <v>67</v>
      </c>
      <c r="O3708" s="20" t="b">
        <v>0</v>
      </c>
      <c r="P3708" s="20" t="s">
        <v>68</v>
      </c>
      <c r="Q3708" s="20" t="s">
        <v>69</v>
      </c>
      <c r="R3708" s="20" t="s">
        <v>5510</v>
      </c>
      <c r="T3708" s="20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</row>
    <row r="3709">
      <c r="A3709" s="15" t="s">
        <v>12092</v>
      </c>
      <c r="B3709" s="19" t="s">
        <v>3869</v>
      </c>
      <c r="C3709" s="20">
        <v>49907.0</v>
      </c>
      <c r="D3709" s="20" t="s">
        <v>3868</v>
      </c>
      <c r="E3709" s="5">
        <v>9.19461002436E11</v>
      </c>
      <c r="F3709" s="21">
        <v>20225.0</v>
      </c>
      <c r="G3709" s="20"/>
      <c r="H3709" s="20" t="s">
        <v>587</v>
      </c>
      <c r="I3709" s="5"/>
      <c r="J3709" s="20">
        <v>1.0</v>
      </c>
      <c r="K3709" s="20">
        <v>99.0</v>
      </c>
      <c r="L3709" s="20"/>
      <c r="M3709" s="20">
        <v>99.0</v>
      </c>
      <c r="N3709" s="5" t="s">
        <v>67</v>
      </c>
      <c r="O3709" s="20" t="b">
        <v>0</v>
      </c>
      <c r="P3709" s="20" t="s">
        <v>68</v>
      </c>
      <c r="Q3709" s="20" t="s">
        <v>69</v>
      </c>
      <c r="R3709" s="20" t="s">
        <v>3774</v>
      </c>
      <c r="T3709" s="20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</row>
    <row r="3710">
      <c r="A3710" s="15" t="s">
        <v>12198</v>
      </c>
      <c r="B3710" s="19" t="s">
        <v>6315</v>
      </c>
      <c r="C3710" s="20">
        <v>49998.0</v>
      </c>
      <c r="D3710" s="20" t="s">
        <v>6314</v>
      </c>
      <c r="E3710" s="5">
        <v>9.16261224243E11</v>
      </c>
      <c r="F3710" s="21">
        <v>20284.0</v>
      </c>
      <c r="G3710" s="20"/>
      <c r="H3710" s="20" t="s">
        <v>6250</v>
      </c>
      <c r="I3710" s="5"/>
      <c r="J3710" s="20">
        <v>1.0</v>
      </c>
      <c r="K3710" s="20">
        <v>99.0</v>
      </c>
      <c r="L3710" s="20"/>
      <c r="M3710" s="20">
        <v>99.0</v>
      </c>
      <c r="N3710" s="5" t="s">
        <v>67</v>
      </c>
      <c r="O3710" s="20" t="b">
        <v>0</v>
      </c>
      <c r="P3710" s="20" t="s">
        <v>151</v>
      </c>
      <c r="Q3710" s="20" t="s">
        <v>69</v>
      </c>
      <c r="R3710" s="20" t="s">
        <v>6252</v>
      </c>
      <c r="T3710" s="20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</row>
    <row r="3711">
      <c r="A3711" s="15" t="s">
        <v>12093</v>
      </c>
      <c r="B3711" s="19" t="s">
        <v>5310</v>
      </c>
      <c r="C3711" s="20">
        <v>50022.0</v>
      </c>
      <c r="D3711" s="20" t="s">
        <v>5309</v>
      </c>
      <c r="E3711" s="5">
        <v>9.19624287349E11</v>
      </c>
      <c r="F3711" s="21">
        <v>20228.0</v>
      </c>
      <c r="G3711" s="20"/>
      <c r="H3711" s="20" t="s">
        <v>5181</v>
      </c>
      <c r="I3711" s="5"/>
      <c r="J3711" s="20">
        <v>1.0</v>
      </c>
      <c r="K3711" s="20">
        <v>99.0</v>
      </c>
      <c r="L3711" s="20"/>
      <c r="M3711" s="20">
        <v>99.0</v>
      </c>
      <c r="N3711" s="5" t="s">
        <v>67</v>
      </c>
      <c r="O3711" s="20" t="b">
        <v>0</v>
      </c>
      <c r="P3711" s="20" t="s">
        <v>74</v>
      </c>
      <c r="Q3711" s="20" t="s">
        <v>69</v>
      </c>
      <c r="R3711" s="20" t="s">
        <v>5183</v>
      </c>
      <c r="T3711" s="20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</row>
    <row r="3712">
      <c r="A3712" s="15" t="s">
        <v>12094</v>
      </c>
      <c r="B3712" s="19" t="s">
        <v>3758</v>
      </c>
      <c r="C3712" s="20">
        <v>50104.0</v>
      </c>
      <c r="D3712" s="20" t="s">
        <v>3757</v>
      </c>
      <c r="E3712" s="5">
        <v>9.17567669441E11</v>
      </c>
      <c r="F3712" s="21">
        <v>20230.0</v>
      </c>
      <c r="G3712" s="20"/>
      <c r="H3712" s="20" t="s">
        <v>3708</v>
      </c>
      <c r="I3712" s="5"/>
      <c r="J3712" s="20">
        <v>1.0</v>
      </c>
      <c r="K3712" s="20">
        <v>99.0</v>
      </c>
      <c r="L3712" s="20"/>
      <c r="M3712" s="20">
        <v>99.0</v>
      </c>
      <c r="N3712" s="5" t="s">
        <v>67</v>
      </c>
      <c r="O3712" s="20" t="b">
        <v>0</v>
      </c>
      <c r="P3712" s="20" t="s">
        <v>151</v>
      </c>
      <c r="Q3712" s="20" t="s">
        <v>69</v>
      </c>
      <c r="R3712" s="20" t="s">
        <v>3710</v>
      </c>
      <c r="T3712" s="20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</row>
    <row r="3713">
      <c r="A3713" s="15" t="s">
        <v>12095</v>
      </c>
      <c r="B3713" s="19" t="s">
        <v>3663</v>
      </c>
      <c r="C3713" s="20">
        <v>50136.0</v>
      </c>
      <c r="D3713" s="20" t="s">
        <v>3662</v>
      </c>
      <c r="E3713" s="5">
        <v>9.19833421869E11</v>
      </c>
      <c r="F3713" s="21">
        <v>20226.0</v>
      </c>
      <c r="G3713" s="20"/>
      <c r="H3713" s="20" t="s">
        <v>3618</v>
      </c>
      <c r="I3713" s="5"/>
      <c r="J3713" s="20">
        <v>1.0</v>
      </c>
      <c r="K3713" s="20">
        <v>99.0</v>
      </c>
      <c r="L3713" s="20"/>
      <c r="M3713" s="20">
        <v>99.0</v>
      </c>
      <c r="N3713" s="5" t="s">
        <v>67</v>
      </c>
      <c r="O3713" s="20" t="b">
        <v>0</v>
      </c>
      <c r="P3713" s="20" t="s">
        <v>68</v>
      </c>
      <c r="Q3713" s="20" t="s">
        <v>69</v>
      </c>
      <c r="R3713" s="20" t="s">
        <v>3624</v>
      </c>
      <c r="T3713" s="20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</row>
    <row r="3714">
      <c r="A3714" s="15" t="s">
        <v>12096</v>
      </c>
      <c r="B3714" s="19" t="s">
        <v>5503</v>
      </c>
      <c r="C3714" s="20">
        <v>49844.0</v>
      </c>
      <c r="D3714" s="20" t="s">
        <v>5502</v>
      </c>
      <c r="E3714" s="5">
        <v>9.19948030444E11</v>
      </c>
      <c r="F3714" s="22" t="s">
        <v>12593</v>
      </c>
      <c r="G3714" s="20"/>
      <c r="H3714" s="20" t="s">
        <v>885</v>
      </c>
      <c r="I3714" s="5"/>
      <c r="J3714" s="20">
        <v>1.0</v>
      </c>
      <c r="K3714" s="20">
        <v>99.0</v>
      </c>
      <c r="L3714" s="20"/>
      <c r="M3714" s="20">
        <v>99.0</v>
      </c>
      <c r="N3714" s="5" t="s">
        <v>67</v>
      </c>
      <c r="O3714" s="20" t="b">
        <v>0</v>
      </c>
      <c r="P3714" s="20" t="s">
        <v>68</v>
      </c>
      <c r="Q3714" s="20" t="s">
        <v>69</v>
      </c>
      <c r="R3714" s="20" t="s">
        <v>5476</v>
      </c>
      <c r="T3714" s="20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</row>
    <row r="3715">
      <c r="A3715" s="15" t="s">
        <v>12201</v>
      </c>
      <c r="B3715" s="19" t="s">
        <v>3675</v>
      </c>
      <c r="C3715" s="20">
        <v>50136.0</v>
      </c>
      <c r="D3715" s="20" t="s">
        <v>3674</v>
      </c>
      <c r="E3715" s="5">
        <v>9.19156760744E11</v>
      </c>
      <c r="F3715" s="21">
        <v>20285.0</v>
      </c>
      <c r="G3715" s="20"/>
      <c r="H3715" s="20" t="s">
        <v>3618</v>
      </c>
      <c r="I3715" s="5"/>
      <c r="J3715" s="20">
        <v>1.0</v>
      </c>
      <c r="K3715" s="20">
        <v>99.0</v>
      </c>
      <c r="L3715" s="20"/>
      <c r="M3715" s="20">
        <v>99.0</v>
      </c>
      <c r="N3715" s="5" t="s">
        <v>67</v>
      </c>
      <c r="O3715" s="20" t="b">
        <v>0</v>
      </c>
      <c r="P3715" s="20" t="s">
        <v>68</v>
      </c>
      <c r="Q3715" s="20" t="s">
        <v>69</v>
      </c>
      <c r="R3715" s="20" t="s">
        <v>3624</v>
      </c>
      <c r="T3715" s="20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</row>
    <row r="3716">
      <c r="A3716" s="15" t="s">
        <v>12097</v>
      </c>
      <c r="B3716" s="19" t="s">
        <v>5083</v>
      </c>
      <c r="C3716" s="20">
        <v>50094.0</v>
      </c>
      <c r="D3716" s="20" t="s">
        <v>5082</v>
      </c>
      <c r="E3716" s="5">
        <v>9.1960352796E11</v>
      </c>
      <c r="F3716" s="21">
        <v>20229.0</v>
      </c>
      <c r="G3716" s="20"/>
      <c r="H3716" s="20" t="s">
        <v>4942</v>
      </c>
      <c r="I3716" s="5"/>
      <c r="J3716" s="20">
        <v>1.0</v>
      </c>
      <c r="K3716" s="20">
        <v>199.0</v>
      </c>
      <c r="L3716" s="20"/>
      <c r="M3716" s="20">
        <v>199.0</v>
      </c>
      <c r="N3716" s="5" t="s">
        <v>67</v>
      </c>
      <c r="O3716" s="20" t="b">
        <v>0</v>
      </c>
      <c r="P3716" s="20" t="s">
        <v>151</v>
      </c>
      <c r="Q3716" s="20" t="s">
        <v>69</v>
      </c>
      <c r="R3716" s="20" t="s">
        <v>4945</v>
      </c>
      <c r="T3716" s="20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</row>
    <row r="3717">
      <c r="A3717" s="15" t="s">
        <v>12099</v>
      </c>
      <c r="B3717" s="19" t="s">
        <v>3665</v>
      </c>
      <c r="C3717" s="20">
        <v>50136.0</v>
      </c>
      <c r="D3717" s="20" t="s">
        <v>3664</v>
      </c>
      <c r="E3717" s="5">
        <v>9.18447569208E11</v>
      </c>
      <c r="F3717" s="21">
        <v>20231.0</v>
      </c>
      <c r="G3717" s="20"/>
      <c r="H3717" s="20" t="s">
        <v>3618</v>
      </c>
      <c r="I3717" s="5"/>
      <c r="J3717" s="20">
        <v>1.0</v>
      </c>
      <c r="K3717" s="20">
        <v>99.0</v>
      </c>
      <c r="L3717" s="20"/>
      <c r="M3717" s="20">
        <v>99.0</v>
      </c>
      <c r="N3717" s="5" t="s">
        <v>67</v>
      </c>
      <c r="O3717" s="20" t="b">
        <v>0</v>
      </c>
      <c r="P3717" s="20" t="s">
        <v>68</v>
      </c>
      <c r="Q3717" s="20" t="s">
        <v>69</v>
      </c>
      <c r="R3717" s="20" t="s">
        <v>3624</v>
      </c>
      <c r="T3717" s="20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</row>
    <row r="3718">
      <c r="A3718" s="15" t="s">
        <v>12202</v>
      </c>
      <c r="B3718" s="19" t="s">
        <v>6671</v>
      </c>
      <c r="C3718" s="20">
        <v>49994.0</v>
      </c>
      <c r="D3718" s="20" t="s">
        <v>6670</v>
      </c>
      <c r="E3718" s="5">
        <v>9.1995309909E11</v>
      </c>
      <c r="F3718" s="21">
        <v>20286.0</v>
      </c>
      <c r="G3718" s="20"/>
      <c r="H3718" s="20" t="s">
        <v>1264</v>
      </c>
      <c r="I3718" s="5"/>
      <c r="J3718" s="20">
        <v>1.0</v>
      </c>
      <c r="K3718" s="20">
        <v>99.0</v>
      </c>
      <c r="L3718" s="20"/>
      <c r="M3718" s="20">
        <v>99.0</v>
      </c>
      <c r="N3718" s="5" t="s">
        <v>67</v>
      </c>
      <c r="O3718" s="20" t="b">
        <v>0</v>
      </c>
      <c r="P3718" s="20" t="s">
        <v>68</v>
      </c>
      <c r="Q3718" s="20" t="s">
        <v>69</v>
      </c>
      <c r="R3718" s="20" t="s">
        <v>6615</v>
      </c>
      <c r="T3718" s="20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</row>
    <row r="3719">
      <c r="A3719" s="15" t="s">
        <v>12203</v>
      </c>
      <c r="B3719" s="19" t="s">
        <v>4784</v>
      </c>
      <c r="C3719" s="20">
        <v>49859.0</v>
      </c>
      <c r="D3719" s="20" t="s">
        <v>4783</v>
      </c>
      <c r="E3719" s="5">
        <v>9.17217626682E11</v>
      </c>
      <c r="F3719" s="21">
        <v>20287.0</v>
      </c>
      <c r="G3719" s="20"/>
      <c r="H3719" s="20" t="s">
        <v>1133</v>
      </c>
      <c r="I3719" s="5"/>
      <c r="J3719" s="20">
        <v>1.0</v>
      </c>
      <c r="K3719" s="20">
        <v>99.0</v>
      </c>
      <c r="L3719" s="20"/>
      <c r="M3719" s="20">
        <v>99.0</v>
      </c>
      <c r="N3719" s="5" t="s">
        <v>67</v>
      </c>
      <c r="O3719" s="20" t="b">
        <v>0</v>
      </c>
      <c r="P3719" s="20" t="s">
        <v>68</v>
      </c>
      <c r="Q3719" s="20" t="s">
        <v>69</v>
      </c>
      <c r="R3719" s="20" t="s">
        <v>4736</v>
      </c>
      <c r="T3719" s="20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</row>
    <row r="3720">
      <c r="A3720" s="15" t="s">
        <v>12204</v>
      </c>
      <c r="B3720" s="19" t="s">
        <v>5505</v>
      </c>
      <c r="C3720" s="20">
        <v>49844.0</v>
      </c>
      <c r="D3720" s="20" t="s">
        <v>5504</v>
      </c>
      <c r="E3720" s="5">
        <v>9.17999811058E11</v>
      </c>
      <c r="F3720" s="21">
        <v>20288.0</v>
      </c>
      <c r="G3720" s="20"/>
      <c r="H3720" s="20" t="s">
        <v>885</v>
      </c>
      <c r="I3720" s="5"/>
      <c r="J3720" s="20">
        <v>1.0</v>
      </c>
      <c r="K3720" s="20">
        <v>99.0</v>
      </c>
      <c r="L3720" s="20"/>
      <c r="M3720" s="20">
        <v>99.0</v>
      </c>
      <c r="N3720" s="5" t="s">
        <v>67</v>
      </c>
      <c r="O3720" s="20" t="b">
        <v>0</v>
      </c>
      <c r="P3720" s="20" t="s">
        <v>68</v>
      </c>
      <c r="Q3720" s="20" t="s">
        <v>69</v>
      </c>
      <c r="R3720" s="20" t="s">
        <v>5476</v>
      </c>
      <c r="T3720" s="20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</row>
    <row r="3721">
      <c r="A3721" s="15" t="s">
        <v>12205</v>
      </c>
      <c r="B3721" s="19" t="s">
        <v>4786</v>
      </c>
      <c r="C3721" s="20">
        <v>49859.0</v>
      </c>
      <c r="D3721" s="20" t="s">
        <v>4785</v>
      </c>
      <c r="E3721" s="5">
        <v>9.19998745833E11</v>
      </c>
      <c r="F3721" s="21">
        <v>20342.0</v>
      </c>
      <c r="G3721" s="20"/>
      <c r="H3721" s="20" t="s">
        <v>1133</v>
      </c>
      <c r="I3721" s="5"/>
      <c r="J3721" s="20">
        <v>1.0</v>
      </c>
      <c r="K3721" s="20">
        <v>99.0</v>
      </c>
      <c r="L3721" s="20"/>
      <c r="M3721" s="20">
        <v>99.0</v>
      </c>
      <c r="N3721" s="5" t="s">
        <v>67</v>
      </c>
      <c r="O3721" s="20" t="b">
        <v>0</v>
      </c>
      <c r="P3721" s="20" t="s">
        <v>151</v>
      </c>
      <c r="Q3721" s="20" t="s">
        <v>69</v>
      </c>
      <c r="R3721" s="20" t="s">
        <v>4736</v>
      </c>
      <c r="T3721" s="20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</row>
    <row r="3722">
      <c r="A3722" s="15" t="s">
        <v>12102</v>
      </c>
      <c r="B3722" s="19" t="s">
        <v>3760</v>
      </c>
      <c r="C3722" s="20">
        <v>50104.0</v>
      </c>
      <c r="D3722" s="20" t="s">
        <v>3759</v>
      </c>
      <c r="E3722" s="5">
        <v>9.19873374096E11</v>
      </c>
      <c r="F3722" s="21">
        <v>20234.0</v>
      </c>
      <c r="G3722" s="20"/>
      <c r="H3722" s="20" t="s">
        <v>3708</v>
      </c>
      <c r="I3722" s="5"/>
      <c r="J3722" s="20">
        <v>1.0</v>
      </c>
      <c r="K3722" s="20">
        <v>99.0</v>
      </c>
      <c r="L3722" s="20"/>
      <c r="M3722" s="20">
        <v>99.0</v>
      </c>
      <c r="N3722" s="5" t="s">
        <v>67</v>
      </c>
      <c r="O3722" s="20" t="b">
        <v>0</v>
      </c>
      <c r="P3722" s="20" t="s">
        <v>151</v>
      </c>
      <c r="Q3722" s="20" t="s">
        <v>69</v>
      </c>
      <c r="R3722" s="20" t="s">
        <v>3710</v>
      </c>
      <c r="T3722" s="20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</row>
    <row r="3723">
      <c r="A3723" s="15" t="s">
        <v>12105</v>
      </c>
      <c r="B3723" s="19" t="s">
        <v>2588</v>
      </c>
      <c r="C3723" s="20">
        <v>49997.0</v>
      </c>
      <c r="D3723" s="20" t="s">
        <v>2587</v>
      </c>
      <c r="E3723" s="5">
        <v>9.170750753E11</v>
      </c>
      <c r="F3723" s="21">
        <v>20236.0</v>
      </c>
      <c r="G3723" s="20"/>
      <c r="H3723" s="20" t="s">
        <v>2455</v>
      </c>
      <c r="I3723" s="5"/>
      <c r="J3723" s="20">
        <v>1.0</v>
      </c>
      <c r="K3723" s="20">
        <v>99.0</v>
      </c>
      <c r="L3723" s="20"/>
      <c r="M3723" s="20">
        <v>99.0</v>
      </c>
      <c r="N3723" s="5" t="s">
        <v>67</v>
      </c>
      <c r="O3723" s="20" t="b">
        <v>0</v>
      </c>
      <c r="P3723" s="20" t="s">
        <v>68</v>
      </c>
      <c r="Q3723" s="20" t="s">
        <v>69</v>
      </c>
      <c r="R3723" s="20" t="s">
        <v>2457</v>
      </c>
      <c r="T3723" s="20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</row>
    <row r="3724">
      <c r="A3724" s="15" t="s">
        <v>12106</v>
      </c>
      <c r="B3724" s="19" t="s">
        <v>3666</v>
      </c>
      <c r="C3724" s="20">
        <v>49859.0</v>
      </c>
      <c r="D3724" s="20" t="s">
        <v>4778</v>
      </c>
      <c r="E3724" s="5">
        <v>9.16202238926E11</v>
      </c>
      <c r="F3724" s="21">
        <v>20237.0</v>
      </c>
      <c r="G3724" s="20"/>
      <c r="H3724" s="20" t="s">
        <v>1133</v>
      </c>
      <c r="I3724" s="5"/>
      <c r="J3724" s="20">
        <v>1.0</v>
      </c>
      <c r="K3724" s="20">
        <v>99.0</v>
      </c>
      <c r="L3724" s="20"/>
      <c r="M3724" s="20">
        <v>99.0</v>
      </c>
      <c r="N3724" s="5" t="s">
        <v>67</v>
      </c>
      <c r="O3724" s="20" t="b">
        <v>0</v>
      </c>
      <c r="P3724" s="20" t="s">
        <v>68</v>
      </c>
      <c r="Q3724" s="20" t="s">
        <v>69</v>
      </c>
      <c r="R3724" s="20" t="s">
        <v>4736</v>
      </c>
      <c r="T3724" s="20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</row>
    <row r="3725">
      <c r="A3725" s="15" t="s">
        <v>12111</v>
      </c>
      <c r="B3725" s="19" t="s">
        <v>4019</v>
      </c>
      <c r="C3725" s="20">
        <v>50086.0</v>
      </c>
      <c r="D3725" s="20" t="s">
        <v>4018</v>
      </c>
      <c r="E3725" s="5">
        <v>9.19538223224E11</v>
      </c>
      <c r="F3725" s="21">
        <v>0.0</v>
      </c>
      <c r="G3725" s="20"/>
      <c r="H3725" s="20" t="s">
        <v>3986</v>
      </c>
      <c r="I3725" s="5"/>
      <c r="J3725" s="20">
        <v>6.0</v>
      </c>
      <c r="K3725" s="20">
        <v>999.0</v>
      </c>
      <c r="L3725" s="20"/>
      <c r="M3725" s="20">
        <v>999.0</v>
      </c>
      <c r="N3725" s="5" t="s">
        <v>67</v>
      </c>
      <c r="O3725" s="20" t="b">
        <v>0</v>
      </c>
      <c r="P3725" s="20" t="s">
        <v>68</v>
      </c>
      <c r="Q3725" s="20" t="s">
        <v>69</v>
      </c>
      <c r="R3725" s="20" t="s">
        <v>4001</v>
      </c>
      <c r="T3725" s="20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</row>
    <row r="3726">
      <c r="A3726" s="15" t="s">
        <v>12109</v>
      </c>
      <c r="B3726" s="19" t="s">
        <v>3579</v>
      </c>
      <c r="C3726" s="20">
        <v>50030.0</v>
      </c>
      <c r="D3726" s="20" t="s">
        <v>3578</v>
      </c>
      <c r="E3726" s="5">
        <v>9.19811251859E11</v>
      </c>
      <c r="F3726" s="21">
        <v>20239.0</v>
      </c>
      <c r="G3726" s="20"/>
      <c r="H3726" s="20" t="s">
        <v>3326</v>
      </c>
      <c r="I3726" s="5"/>
      <c r="J3726" s="20">
        <v>1.0</v>
      </c>
      <c r="K3726" s="20">
        <v>99.0</v>
      </c>
      <c r="L3726" s="20"/>
      <c r="M3726" s="20">
        <v>99.0</v>
      </c>
      <c r="N3726" s="5" t="s">
        <v>67</v>
      </c>
      <c r="O3726" s="20" t="b">
        <v>0</v>
      </c>
      <c r="P3726" s="20" t="s">
        <v>68</v>
      </c>
      <c r="Q3726" s="20" t="s">
        <v>69</v>
      </c>
      <c r="R3726" s="20" t="s">
        <v>3328</v>
      </c>
      <c r="T3726" s="20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</row>
    <row r="3727">
      <c r="A3727" s="15" t="s">
        <v>12108</v>
      </c>
      <c r="B3727" s="19" t="s">
        <v>3667</v>
      </c>
      <c r="C3727" s="20">
        <v>50136.0</v>
      </c>
      <c r="D3727" s="20" t="s">
        <v>676</v>
      </c>
      <c r="E3727" s="5">
        <v>9.19951010183E11</v>
      </c>
      <c r="F3727" s="21">
        <v>20238.0</v>
      </c>
      <c r="G3727" s="20"/>
      <c r="H3727" s="20" t="s">
        <v>3618</v>
      </c>
      <c r="I3727" s="5"/>
      <c r="J3727" s="20">
        <v>1.0</v>
      </c>
      <c r="K3727" s="20">
        <v>99.0</v>
      </c>
      <c r="L3727" s="20"/>
      <c r="M3727" s="20">
        <v>99.0</v>
      </c>
      <c r="N3727" s="5" t="s">
        <v>67</v>
      </c>
      <c r="O3727" s="20" t="b">
        <v>0</v>
      </c>
      <c r="P3727" s="20" t="s">
        <v>68</v>
      </c>
      <c r="Q3727" s="20" t="s">
        <v>69</v>
      </c>
      <c r="R3727" s="20" t="s">
        <v>3624</v>
      </c>
      <c r="T3727" s="20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</row>
    <row r="3728">
      <c r="A3728" s="15" t="s">
        <v>12110</v>
      </c>
      <c r="B3728" s="19" t="s">
        <v>5686</v>
      </c>
      <c r="C3728" s="20">
        <v>50023.0</v>
      </c>
      <c r="D3728" s="20" t="s">
        <v>5685</v>
      </c>
      <c r="E3728" s="5">
        <v>9.19673275442E11</v>
      </c>
      <c r="F3728" s="21">
        <v>20240.0</v>
      </c>
      <c r="G3728" s="20"/>
      <c r="H3728" s="20" t="s">
        <v>5508</v>
      </c>
      <c r="I3728" s="5"/>
      <c r="J3728" s="20">
        <v>1.0</v>
      </c>
      <c r="K3728" s="20">
        <v>99.0</v>
      </c>
      <c r="L3728" s="20"/>
      <c r="M3728" s="20">
        <v>99.0</v>
      </c>
      <c r="N3728" s="5" t="s">
        <v>67</v>
      </c>
      <c r="O3728" s="20" t="b">
        <v>0</v>
      </c>
      <c r="P3728" s="20" t="s">
        <v>68</v>
      </c>
      <c r="Q3728" s="20" t="s">
        <v>69</v>
      </c>
      <c r="R3728" s="20" t="s">
        <v>5510</v>
      </c>
      <c r="T3728" s="20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</row>
    <row r="3729">
      <c r="A3729" s="15" t="s">
        <v>12112</v>
      </c>
      <c r="B3729" s="19" t="s">
        <v>2902</v>
      </c>
      <c r="C3729" s="20">
        <v>50029.0</v>
      </c>
      <c r="D3729" s="20" t="s">
        <v>2901</v>
      </c>
      <c r="E3729" s="5">
        <v>9.19882251505E11</v>
      </c>
      <c r="F3729" s="21">
        <v>20241.0</v>
      </c>
      <c r="G3729" s="20"/>
      <c r="H3729" s="20" t="s">
        <v>2761</v>
      </c>
      <c r="I3729" s="5"/>
      <c r="J3729" s="20">
        <v>3.0</v>
      </c>
      <c r="K3729" s="20">
        <v>199.0</v>
      </c>
      <c r="L3729" s="20"/>
      <c r="M3729" s="20">
        <v>199.0</v>
      </c>
      <c r="N3729" s="5" t="s">
        <v>67</v>
      </c>
      <c r="O3729" s="20" t="b">
        <v>0</v>
      </c>
      <c r="P3729" s="20" t="s">
        <v>68</v>
      </c>
      <c r="Q3729" s="20" t="s">
        <v>69</v>
      </c>
      <c r="R3729" s="20" t="s">
        <v>2763</v>
      </c>
      <c r="T3729" s="20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</row>
    <row r="3730">
      <c r="A3730" s="15" t="s">
        <v>12113</v>
      </c>
      <c r="B3730" s="19" t="s">
        <v>3970</v>
      </c>
      <c r="C3730" s="20">
        <v>49835.0</v>
      </c>
      <c r="D3730" s="20" t="s">
        <v>3969</v>
      </c>
      <c r="E3730" s="5">
        <v>9.18057130789E11</v>
      </c>
      <c r="F3730" s="21">
        <v>20242.0</v>
      </c>
      <c r="G3730" s="20"/>
      <c r="H3730" s="20" t="s">
        <v>680</v>
      </c>
      <c r="I3730" s="5"/>
      <c r="J3730" s="20">
        <v>1.0</v>
      </c>
      <c r="K3730" s="20">
        <v>99.0</v>
      </c>
      <c r="L3730" s="20"/>
      <c r="M3730" s="20">
        <v>99.0</v>
      </c>
      <c r="N3730" s="5" t="s">
        <v>67</v>
      </c>
      <c r="O3730" s="20" t="b">
        <v>0</v>
      </c>
      <c r="P3730" s="20" t="s">
        <v>68</v>
      </c>
      <c r="Q3730" s="20" t="s">
        <v>69</v>
      </c>
      <c r="R3730" s="20" t="s">
        <v>3888</v>
      </c>
      <c r="T3730" s="20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</row>
    <row r="3731">
      <c r="A3731" s="15" t="s">
        <v>12114</v>
      </c>
      <c r="B3731" s="19" t="s">
        <v>4876</v>
      </c>
      <c r="C3731" s="20">
        <v>49996.0</v>
      </c>
      <c r="D3731" s="20" t="s">
        <v>4875</v>
      </c>
      <c r="E3731" s="5">
        <v>9.19493564399E11</v>
      </c>
      <c r="F3731" s="21">
        <v>20243.0</v>
      </c>
      <c r="G3731" s="20"/>
      <c r="H3731" s="20" t="s">
        <v>4796</v>
      </c>
      <c r="I3731" s="5"/>
      <c r="J3731" s="20">
        <v>3.0</v>
      </c>
      <c r="K3731" s="20">
        <v>199.0</v>
      </c>
      <c r="L3731" s="20"/>
      <c r="M3731" s="20">
        <v>199.0</v>
      </c>
      <c r="N3731" s="5" t="s">
        <v>67</v>
      </c>
      <c r="O3731" s="20" t="b">
        <v>0</v>
      </c>
      <c r="P3731" s="20" t="s">
        <v>68</v>
      </c>
      <c r="Q3731" s="20" t="s">
        <v>69</v>
      </c>
      <c r="R3731" s="20" t="s">
        <v>4799</v>
      </c>
      <c r="T3731" s="20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</row>
    <row r="3732">
      <c r="A3732" s="15" t="s">
        <v>12210</v>
      </c>
      <c r="B3732" s="19" t="s">
        <v>5698</v>
      </c>
      <c r="C3732" s="20">
        <v>50023.0</v>
      </c>
      <c r="D3732" s="20" t="s">
        <v>5697</v>
      </c>
      <c r="E3732" s="5">
        <v>9.1993620607E11</v>
      </c>
      <c r="F3732" s="22" t="s">
        <v>12593</v>
      </c>
      <c r="G3732" s="20"/>
      <c r="H3732" s="20" t="s">
        <v>5508</v>
      </c>
      <c r="I3732" s="5"/>
      <c r="J3732" s="20">
        <v>1.0</v>
      </c>
      <c r="K3732" s="20">
        <v>99.0</v>
      </c>
      <c r="L3732" s="20"/>
      <c r="M3732" s="20">
        <v>99.0</v>
      </c>
      <c r="N3732" s="5" t="s">
        <v>67</v>
      </c>
      <c r="O3732" s="20" t="b">
        <v>0</v>
      </c>
      <c r="P3732" s="20" t="s">
        <v>68</v>
      </c>
      <c r="Q3732" s="20" t="s">
        <v>69</v>
      </c>
      <c r="R3732" s="20" t="s">
        <v>5510</v>
      </c>
      <c r="T3732" s="20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</row>
    <row r="3733">
      <c r="A3733" s="15" t="s">
        <v>12115</v>
      </c>
      <c r="B3733" s="19" t="s">
        <v>3669</v>
      </c>
      <c r="C3733" s="20">
        <v>50136.0</v>
      </c>
      <c r="D3733" s="20" t="s">
        <v>3668</v>
      </c>
      <c r="E3733" s="5">
        <v>9.19445686162E11</v>
      </c>
      <c r="F3733" s="21">
        <v>20244.0</v>
      </c>
      <c r="G3733" s="20"/>
      <c r="H3733" s="20" t="s">
        <v>3618</v>
      </c>
      <c r="I3733" s="5"/>
      <c r="J3733" s="20">
        <v>1.0</v>
      </c>
      <c r="K3733" s="20">
        <v>99.0</v>
      </c>
      <c r="L3733" s="20"/>
      <c r="M3733" s="20">
        <v>99.0</v>
      </c>
      <c r="N3733" s="5" t="s">
        <v>67</v>
      </c>
      <c r="O3733" s="20" t="b">
        <v>0</v>
      </c>
      <c r="P3733" s="20" t="s">
        <v>68</v>
      </c>
      <c r="Q3733" s="20" t="s">
        <v>69</v>
      </c>
      <c r="R3733" s="20" t="s">
        <v>3624</v>
      </c>
      <c r="T3733" s="20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</row>
    <row r="3734">
      <c r="A3734" s="15" t="s">
        <v>12117</v>
      </c>
      <c r="B3734" s="19" t="s">
        <v>4021</v>
      </c>
      <c r="C3734" s="20">
        <v>50086.0</v>
      </c>
      <c r="D3734" s="20" t="s">
        <v>4020</v>
      </c>
      <c r="E3734" s="5">
        <v>9.18093725414E11</v>
      </c>
      <c r="F3734" s="21">
        <v>20245.0</v>
      </c>
      <c r="G3734" s="20"/>
      <c r="H3734" s="20" t="s">
        <v>3986</v>
      </c>
      <c r="I3734" s="5"/>
      <c r="J3734" s="20">
        <v>6.0</v>
      </c>
      <c r="K3734" s="20">
        <v>999.0</v>
      </c>
      <c r="L3734" s="20"/>
      <c r="M3734" s="20">
        <v>999.0</v>
      </c>
      <c r="N3734" s="5" t="s">
        <v>67</v>
      </c>
      <c r="O3734" s="20" t="b">
        <v>0</v>
      </c>
      <c r="P3734" s="20" t="s">
        <v>68</v>
      </c>
      <c r="Q3734" s="20" t="s">
        <v>69</v>
      </c>
      <c r="R3734" s="20" t="s">
        <v>3988</v>
      </c>
      <c r="T3734" s="20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</row>
    <row r="3735">
      <c r="A3735" s="15" t="s">
        <v>12214</v>
      </c>
      <c r="B3735" s="19" t="s">
        <v>5700</v>
      </c>
      <c r="C3735" s="20">
        <v>50023.0</v>
      </c>
      <c r="D3735" s="20" t="s">
        <v>5699</v>
      </c>
      <c r="E3735" s="5">
        <v>9.19354284667E11</v>
      </c>
      <c r="F3735" s="21">
        <v>20292.0</v>
      </c>
      <c r="G3735" s="20"/>
      <c r="H3735" s="20" t="s">
        <v>5508</v>
      </c>
      <c r="I3735" s="5"/>
      <c r="J3735" s="20">
        <v>1.0</v>
      </c>
      <c r="K3735" s="20">
        <v>99.0</v>
      </c>
      <c r="L3735" s="20"/>
      <c r="M3735" s="20">
        <v>99.0</v>
      </c>
      <c r="N3735" s="5" t="s">
        <v>67</v>
      </c>
      <c r="O3735" s="20" t="b">
        <v>0</v>
      </c>
      <c r="P3735" s="20" t="s">
        <v>68</v>
      </c>
      <c r="Q3735" s="20" t="s">
        <v>69</v>
      </c>
      <c r="R3735" s="20" t="s">
        <v>5510</v>
      </c>
      <c r="T3735" s="20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</row>
    <row r="3736">
      <c r="A3736" s="15" t="s">
        <v>12121</v>
      </c>
      <c r="B3736" s="19" t="s">
        <v>5688</v>
      </c>
      <c r="C3736" s="20">
        <v>50023.0</v>
      </c>
      <c r="D3736" s="20" t="s">
        <v>5687</v>
      </c>
      <c r="E3736" s="5">
        <v>9.16207324351E11</v>
      </c>
      <c r="F3736" s="21">
        <v>20250.0</v>
      </c>
      <c r="G3736" s="20"/>
      <c r="H3736" s="20" t="s">
        <v>5508</v>
      </c>
      <c r="I3736" s="5"/>
      <c r="J3736" s="20">
        <v>1.0</v>
      </c>
      <c r="K3736" s="20">
        <v>99.0</v>
      </c>
      <c r="L3736" s="20"/>
      <c r="M3736" s="20">
        <v>99.0</v>
      </c>
      <c r="N3736" s="5" t="s">
        <v>67</v>
      </c>
      <c r="O3736" s="20" t="b">
        <v>0</v>
      </c>
      <c r="P3736" s="20" t="s">
        <v>68</v>
      </c>
      <c r="Q3736" s="20" t="s">
        <v>69</v>
      </c>
      <c r="R3736" s="20" t="s">
        <v>5510</v>
      </c>
      <c r="T3736" s="20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</row>
    <row r="3737">
      <c r="A3737" s="15" t="s">
        <v>12216</v>
      </c>
      <c r="B3737" s="19" t="s">
        <v>3972</v>
      </c>
      <c r="C3737" s="20">
        <v>49835.0</v>
      </c>
      <c r="D3737" s="20" t="s">
        <v>3971</v>
      </c>
      <c r="E3737" s="5">
        <v>9.19728399128E11</v>
      </c>
      <c r="F3737" s="21">
        <v>20293.0</v>
      </c>
      <c r="G3737" s="20"/>
      <c r="H3737" s="20" t="s">
        <v>680</v>
      </c>
      <c r="I3737" s="5"/>
      <c r="J3737" s="20">
        <v>1.0</v>
      </c>
      <c r="K3737" s="20">
        <v>99.0</v>
      </c>
      <c r="L3737" s="20"/>
      <c r="M3737" s="20">
        <v>99.0</v>
      </c>
      <c r="N3737" s="5" t="s">
        <v>67</v>
      </c>
      <c r="O3737" s="20" t="b">
        <v>0</v>
      </c>
      <c r="P3737" s="20" t="s">
        <v>68</v>
      </c>
      <c r="Q3737" s="20" t="s">
        <v>69</v>
      </c>
      <c r="R3737" s="20" t="s">
        <v>3888</v>
      </c>
      <c r="T3737" s="20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</row>
    <row r="3738">
      <c r="A3738" s="15" t="s">
        <v>12119</v>
      </c>
      <c r="B3738" s="19" t="s">
        <v>3671</v>
      </c>
      <c r="C3738" s="20">
        <v>50136.0</v>
      </c>
      <c r="D3738" s="20" t="s">
        <v>3670</v>
      </c>
      <c r="E3738" s="5">
        <v>9.1883749765E11</v>
      </c>
      <c r="F3738" s="21">
        <v>20249.0</v>
      </c>
      <c r="G3738" s="20"/>
      <c r="H3738" s="20" t="s">
        <v>3618</v>
      </c>
      <c r="I3738" s="5"/>
      <c r="J3738" s="20">
        <v>1.0</v>
      </c>
      <c r="K3738" s="20">
        <v>99.0</v>
      </c>
      <c r="L3738" s="20"/>
      <c r="M3738" s="20">
        <v>99.0</v>
      </c>
      <c r="N3738" s="5" t="s">
        <v>67</v>
      </c>
      <c r="O3738" s="20" t="b">
        <v>0</v>
      </c>
      <c r="P3738" s="20" t="s">
        <v>74</v>
      </c>
      <c r="Q3738" s="20" t="s">
        <v>69</v>
      </c>
      <c r="R3738" s="20" t="s">
        <v>3624</v>
      </c>
      <c r="T3738" s="20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</row>
    <row r="3739">
      <c r="A3739" s="15" t="s">
        <v>12122</v>
      </c>
      <c r="B3739" s="19" t="s">
        <v>6580</v>
      </c>
      <c r="C3739" s="20">
        <v>50073.0</v>
      </c>
      <c r="D3739" s="20" t="s">
        <v>6579</v>
      </c>
      <c r="E3739" s="5">
        <v>9.18638370785E11</v>
      </c>
      <c r="F3739" s="21">
        <v>20251.0</v>
      </c>
      <c r="G3739" s="20"/>
      <c r="H3739" s="20" t="s">
        <v>2161</v>
      </c>
      <c r="I3739" s="5"/>
      <c r="J3739" s="20">
        <v>1.0</v>
      </c>
      <c r="K3739" s="20">
        <v>799.0</v>
      </c>
      <c r="L3739" s="20"/>
      <c r="M3739" s="20">
        <v>799.0</v>
      </c>
      <c r="N3739" s="5" t="s">
        <v>67</v>
      </c>
      <c r="O3739" s="20" t="b">
        <v>0</v>
      </c>
      <c r="P3739" s="20" t="s">
        <v>97</v>
      </c>
      <c r="Q3739" s="20" t="s">
        <v>69</v>
      </c>
      <c r="R3739" s="20" t="s">
        <v>6563</v>
      </c>
      <c r="T3739" s="20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</row>
    <row r="3740">
      <c r="A3740" s="15" t="s">
        <v>12217</v>
      </c>
      <c r="B3740" s="19" t="s">
        <v>3885</v>
      </c>
      <c r="C3740" s="20">
        <v>50173.0</v>
      </c>
      <c r="D3740" s="20" t="s">
        <v>3884</v>
      </c>
      <c r="E3740" s="5">
        <v>9.18951290299E11</v>
      </c>
      <c r="F3740" s="21">
        <v>20294.0</v>
      </c>
      <c r="G3740" s="20"/>
      <c r="H3740" s="20" t="s">
        <v>3878</v>
      </c>
      <c r="I3740" s="5"/>
      <c r="J3740" s="20">
        <v>3.0</v>
      </c>
      <c r="K3740" s="20">
        <v>249.0</v>
      </c>
      <c r="L3740" s="20"/>
      <c r="M3740" s="20">
        <v>249.0</v>
      </c>
      <c r="N3740" s="5" t="s">
        <v>67</v>
      </c>
      <c r="O3740" s="20" t="b">
        <v>0</v>
      </c>
      <c r="P3740" s="20" t="s">
        <v>151</v>
      </c>
      <c r="Q3740" s="20" t="s">
        <v>69</v>
      </c>
      <c r="R3740" s="20" t="s">
        <v>3886</v>
      </c>
      <c r="T3740" s="20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</row>
    <row r="3741">
      <c r="A3741" s="15" t="s">
        <v>12218</v>
      </c>
      <c r="B3741" s="19" t="s">
        <v>4537</v>
      </c>
      <c r="C3741" s="20">
        <v>50052.0</v>
      </c>
      <c r="D3741" s="20" t="s">
        <v>4536</v>
      </c>
      <c r="E3741" s="5">
        <v>9.17416142423E11</v>
      </c>
      <c r="F3741" s="21">
        <v>20295.0</v>
      </c>
      <c r="G3741" s="20"/>
      <c r="H3741" s="20" t="s">
        <v>4433</v>
      </c>
      <c r="I3741" s="5"/>
      <c r="J3741" s="20">
        <v>3.0</v>
      </c>
      <c r="K3741" s="20">
        <v>199.0</v>
      </c>
      <c r="L3741" s="20"/>
      <c r="M3741" s="20">
        <v>199.0</v>
      </c>
      <c r="N3741" s="5" t="s">
        <v>67</v>
      </c>
      <c r="O3741" s="20" t="b">
        <v>0</v>
      </c>
      <c r="P3741" s="20" t="s">
        <v>68</v>
      </c>
      <c r="Q3741" s="20" t="s">
        <v>69</v>
      </c>
      <c r="R3741" s="20" t="s">
        <v>4435</v>
      </c>
      <c r="T3741" s="20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</row>
    <row r="3742">
      <c r="A3742" s="15" t="s">
        <v>12125</v>
      </c>
      <c r="B3742" s="19" t="s">
        <v>5690</v>
      </c>
      <c r="C3742" s="20">
        <v>50023.0</v>
      </c>
      <c r="D3742" s="20" t="s">
        <v>5689</v>
      </c>
      <c r="E3742" s="5">
        <v>9.18559939436E11</v>
      </c>
      <c r="F3742" s="21">
        <v>20473.0</v>
      </c>
      <c r="G3742" s="20"/>
      <c r="H3742" s="20" t="s">
        <v>5508</v>
      </c>
      <c r="I3742" s="5"/>
      <c r="J3742" s="20">
        <v>1.0</v>
      </c>
      <c r="K3742" s="20">
        <v>99.0</v>
      </c>
      <c r="L3742" s="20"/>
      <c r="M3742" s="20">
        <v>99.0</v>
      </c>
      <c r="N3742" s="5" t="s">
        <v>67</v>
      </c>
      <c r="O3742" s="20" t="b">
        <v>0</v>
      </c>
      <c r="P3742" s="20" t="s">
        <v>68</v>
      </c>
      <c r="Q3742" s="20" t="s">
        <v>69</v>
      </c>
      <c r="R3742" s="20" t="s">
        <v>5510</v>
      </c>
      <c r="T3742" s="20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</row>
    <row r="3743">
      <c r="A3743" s="15" t="s">
        <v>12219</v>
      </c>
      <c r="B3743" s="19" t="s">
        <v>6453</v>
      </c>
      <c r="C3743" s="20">
        <v>50043.0</v>
      </c>
      <c r="D3743" s="20" t="s">
        <v>6452</v>
      </c>
      <c r="E3743" s="5">
        <v>9.19833594995E11</v>
      </c>
      <c r="F3743" s="21">
        <v>20334.0</v>
      </c>
      <c r="G3743" s="20"/>
      <c r="H3743" s="20" t="s">
        <v>6367</v>
      </c>
      <c r="I3743" s="5"/>
      <c r="J3743" s="20">
        <v>1.0</v>
      </c>
      <c r="K3743" s="20">
        <v>99.0</v>
      </c>
      <c r="L3743" s="20"/>
      <c r="M3743" s="20">
        <v>99.0</v>
      </c>
      <c r="N3743" s="5" t="s">
        <v>67</v>
      </c>
      <c r="O3743" s="20" t="b">
        <v>0</v>
      </c>
      <c r="P3743" s="20" t="s">
        <v>74</v>
      </c>
      <c r="Q3743" s="20" t="s">
        <v>69</v>
      </c>
      <c r="R3743" s="20" t="s">
        <v>6369</v>
      </c>
      <c r="T3743" s="20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</row>
    <row r="3744">
      <c r="A3744" s="15" t="s">
        <v>12221</v>
      </c>
      <c r="B3744" s="19" t="s">
        <v>5085</v>
      </c>
      <c r="C3744" s="20">
        <v>50094.0</v>
      </c>
      <c r="D3744" s="20" t="s">
        <v>5084</v>
      </c>
      <c r="E3744" s="5">
        <v>9.17382565727E11</v>
      </c>
      <c r="F3744" s="21">
        <v>20296.0</v>
      </c>
      <c r="G3744" s="20"/>
      <c r="H3744" s="20" t="s">
        <v>4942</v>
      </c>
      <c r="I3744" s="5"/>
      <c r="J3744" s="20">
        <v>1.0</v>
      </c>
      <c r="K3744" s="20">
        <v>199.0</v>
      </c>
      <c r="L3744" s="20"/>
      <c r="M3744" s="20">
        <v>199.0</v>
      </c>
      <c r="N3744" s="5" t="s">
        <v>67</v>
      </c>
      <c r="O3744" s="20" t="b">
        <v>0</v>
      </c>
      <c r="P3744" s="20" t="s">
        <v>68</v>
      </c>
      <c r="Q3744" s="20" t="s">
        <v>69</v>
      </c>
      <c r="R3744" s="20" t="s">
        <v>4945</v>
      </c>
      <c r="T3744" s="20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</row>
    <row r="3745">
      <c r="A3745" s="15" t="s">
        <v>12130</v>
      </c>
      <c r="B3745" s="19" t="s">
        <v>2904</v>
      </c>
      <c r="C3745" s="20">
        <v>50029.0</v>
      </c>
      <c r="D3745" s="20" t="s">
        <v>2903</v>
      </c>
      <c r="E3745" s="5">
        <v>9.19819810979E11</v>
      </c>
      <c r="F3745" s="21">
        <v>20252.0</v>
      </c>
      <c r="G3745" s="20"/>
      <c r="H3745" s="20" t="s">
        <v>2761</v>
      </c>
      <c r="I3745" s="5"/>
      <c r="J3745" s="20">
        <v>1.0</v>
      </c>
      <c r="K3745" s="20">
        <v>99.0</v>
      </c>
      <c r="L3745" s="20"/>
      <c r="M3745" s="20">
        <v>99.0</v>
      </c>
      <c r="N3745" s="5" t="s">
        <v>67</v>
      </c>
      <c r="O3745" s="20" t="b">
        <v>0</v>
      </c>
      <c r="P3745" s="20" t="s">
        <v>74</v>
      </c>
      <c r="Q3745" s="20" t="s">
        <v>69</v>
      </c>
      <c r="R3745" s="20" t="s">
        <v>2763</v>
      </c>
      <c r="T3745" s="20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</row>
    <row r="3746">
      <c r="A3746" s="15" t="s">
        <v>12131</v>
      </c>
      <c r="B3746" s="19" t="s">
        <v>2701</v>
      </c>
      <c r="C3746" s="20">
        <v>50065.0</v>
      </c>
      <c r="D3746" s="20" t="s">
        <v>2700</v>
      </c>
      <c r="E3746" s="5">
        <v>9.19911158695E11</v>
      </c>
      <c r="F3746" s="21">
        <v>20253.0</v>
      </c>
      <c r="G3746" s="20"/>
      <c r="H3746" s="20" t="s">
        <v>2601</v>
      </c>
      <c r="I3746" s="5"/>
      <c r="J3746" s="20">
        <v>3.0</v>
      </c>
      <c r="K3746" s="20">
        <v>599.0</v>
      </c>
      <c r="L3746" s="20"/>
      <c r="M3746" s="20">
        <v>599.0</v>
      </c>
      <c r="N3746" s="5" t="s">
        <v>67</v>
      </c>
      <c r="O3746" s="20" t="b">
        <v>0</v>
      </c>
      <c r="P3746" s="20" t="s">
        <v>74</v>
      </c>
      <c r="Q3746" s="20" t="s">
        <v>69</v>
      </c>
      <c r="R3746" s="20" t="s">
        <v>2604</v>
      </c>
      <c r="T3746" s="20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</row>
    <row r="3747">
      <c r="A3747" s="15" t="s">
        <v>12223</v>
      </c>
      <c r="B3747" s="19" t="s">
        <v>4878</v>
      </c>
      <c r="C3747" s="20">
        <v>49996.0</v>
      </c>
      <c r="D3747" s="20" t="s">
        <v>4877</v>
      </c>
      <c r="E3747" s="5">
        <v>9.19870569314E11</v>
      </c>
      <c r="F3747" s="21">
        <v>20300.0</v>
      </c>
      <c r="G3747" s="20"/>
      <c r="H3747" s="20" t="s">
        <v>4796</v>
      </c>
      <c r="I3747" s="5"/>
      <c r="J3747" s="20">
        <v>1.0</v>
      </c>
      <c r="K3747" s="20">
        <v>99.0</v>
      </c>
      <c r="L3747" s="20"/>
      <c r="M3747" s="20">
        <v>99.0</v>
      </c>
      <c r="N3747" s="5" t="s">
        <v>67</v>
      </c>
      <c r="O3747" s="20" t="b">
        <v>0</v>
      </c>
      <c r="P3747" s="20" t="s">
        <v>151</v>
      </c>
      <c r="Q3747" s="20" t="s">
        <v>69</v>
      </c>
      <c r="R3747" s="20" t="s">
        <v>4799</v>
      </c>
      <c r="T3747" s="20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</row>
    <row r="3748">
      <c r="A3748" s="15" t="s">
        <v>12224</v>
      </c>
      <c r="B3748" s="19" t="s">
        <v>6674</v>
      </c>
      <c r="C3748" s="20">
        <v>49994.0</v>
      </c>
      <c r="D3748" s="20" t="s">
        <v>6673</v>
      </c>
      <c r="E3748" s="5">
        <v>9.18788897043E11</v>
      </c>
      <c r="F3748" s="21">
        <v>20299.0</v>
      </c>
      <c r="G3748" s="20"/>
      <c r="H3748" s="20" t="s">
        <v>1264</v>
      </c>
      <c r="I3748" s="5"/>
      <c r="J3748" s="20">
        <v>1.0</v>
      </c>
      <c r="K3748" s="20">
        <v>99.0</v>
      </c>
      <c r="L3748" s="20"/>
      <c r="M3748" s="20">
        <v>99.0</v>
      </c>
      <c r="N3748" s="5" t="s">
        <v>67</v>
      </c>
      <c r="O3748" s="20" t="b">
        <v>0</v>
      </c>
      <c r="P3748" s="20" t="s">
        <v>74</v>
      </c>
      <c r="Q3748" s="20" t="s">
        <v>69</v>
      </c>
      <c r="R3748" s="20" t="s">
        <v>6615</v>
      </c>
      <c r="T3748" s="20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</row>
    <row r="3749">
      <c r="A3749" s="15" t="s">
        <v>12225</v>
      </c>
      <c r="B3749" s="19" t="s">
        <v>6676</v>
      </c>
      <c r="C3749" s="20">
        <v>49994.0</v>
      </c>
      <c r="D3749" s="20" t="s">
        <v>6675</v>
      </c>
      <c r="E3749" s="5">
        <v>9.19896275886E11</v>
      </c>
      <c r="F3749" s="21">
        <v>0.0</v>
      </c>
      <c r="G3749" s="20"/>
      <c r="H3749" s="20" t="s">
        <v>1264</v>
      </c>
      <c r="I3749" s="5"/>
      <c r="J3749" s="20">
        <v>1.0</v>
      </c>
      <c r="K3749" s="20">
        <v>99.0</v>
      </c>
      <c r="L3749" s="20"/>
      <c r="M3749" s="20">
        <v>99.0</v>
      </c>
      <c r="N3749" s="5" t="s">
        <v>67</v>
      </c>
      <c r="O3749" s="20" t="b">
        <v>0</v>
      </c>
      <c r="P3749" s="20" t="s">
        <v>151</v>
      </c>
      <c r="Q3749" s="20" t="s">
        <v>69</v>
      </c>
      <c r="R3749" s="20" t="s">
        <v>6615</v>
      </c>
      <c r="T3749" s="20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</row>
    <row r="3750">
      <c r="A3750" s="15" t="s">
        <v>12134</v>
      </c>
      <c r="B3750" s="19" t="s">
        <v>2590</v>
      </c>
      <c r="C3750" s="20">
        <v>49997.0</v>
      </c>
      <c r="D3750" s="20" t="s">
        <v>2589</v>
      </c>
      <c r="E3750" s="5">
        <v>9.19565090119E11</v>
      </c>
      <c r="F3750" s="21">
        <v>20254.0</v>
      </c>
      <c r="G3750" s="20"/>
      <c r="H3750" s="20" t="s">
        <v>2455</v>
      </c>
      <c r="I3750" s="5"/>
      <c r="J3750" s="20">
        <v>1.0</v>
      </c>
      <c r="K3750" s="20">
        <v>99.0</v>
      </c>
      <c r="L3750" s="20"/>
      <c r="M3750" s="20">
        <v>99.0</v>
      </c>
      <c r="N3750" s="5" t="s">
        <v>67</v>
      </c>
      <c r="O3750" s="20" t="b">
        <v>0</v>
      </c>
      <c r="P3750" s="20" t="s">
        <v>68</v>
      </c>
      <c r="Q3750" s="20" t="s">
        <v>69</v>
      </c>
      <c r="R3750" s="20" t="s">
        <v>2457</v>
      </c>
      <c r="T3750" s="20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</row>
    <row r="3751">
      <c r="A3751" s="15" t="s">
        <v>12139</v>
      </c>
      <c r="B3751" s="19" t="s">
        <v>5692</v>
      </c>
      <c r="C3751" s="20">
        <v>50023.0</v>
      </c>
      <c r="D3751" s="20" t="s">
        <v>5691</v>
      </c>
      <c r="E3751" s="5">
        <v>9.1874100142E11</v>
      </c>
      <c r="F3751" s="21">
        <v>20259.0</v>
      </c>
      <c r="G3751" s="20"/>
      <c r="H3751" s="20" t="s">
        <v>5508</v>
      </c>
      <c r="I3751" s="5"/>
      <c r="J3751" s="20">
        <v>1.0</v>
      </c>
      <c r="K3751" s="20">
        <v>99.0</v>
      </c>
      <c r="L3751" s="20"/>
      <c r="M3751" s="20">
        <v>99.0</v>
      </c>
      <c r="N3751" s="5" t="s">
        <v>67</v>
      </c>
      <c r="O3751" s="20" t="b">
        <v>0</v>
      </c>
      <c r="P3751" s="20" t="s">
        <v>68</v>
      </c>
      <c r="Q3751" s="20" t="s">
        <v>69</v>
      </c>
      <c r="R3751" s="20" t="s">
        <v>5510</v>
      </c>
      <c r="T3751" s="20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</row>
    <row r="3752">
      <c r="A3752" s="15" t="s">
        <v>12230</v>
      </c>
      <c r="B3752" s="19" t="s">
        <v>4539</v>
      </c>
      <c r="C3752" s="20">
        <v>50052.0</v>
      </c>
      <c r="D3752" s="20" t="s">
        <v>4538</v>
      </c>
      <c r="E3752" s="5">
        <v>9.19885155515E11</v>
      </c>
      <c r="F3752" s="21">
        <v>20301.0</v>
      </c>
      <c r="G3752" s="20"/>
      <c r="H3752" s="20" t="s">
        <v>4433</v>
      </c>
      <c r="I3752" s="5"/>
      <c r="J3752" s="20">
        <v>3.0</v>
      </c>
      <c r="K3752" s="20">
        <v>199.0</v>
      </c>
      <c r="L3752" s="20"/>
      <c r="M3752" s="20">
        <v>199.0</v>
      </c>
      <c r="N3752" s="5" t="s">
        <v>67</v>
      </c>
      <c r="O3752" s="20" t="b">
        <v>0</v>
      </c>
      <c r="P3752" s="20" t="s">
        <v>97</v>
      </c>
      <c r="Q3752" s="20" t="s">
        <v>69</v>
      </c>
      <c r="R3752" s="20" t="s">
        <v>4512</v>
      </c>
      <c r="T3752" s="20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</row>
    <row r="3753">
      <c r="A3753" s="15" t="s">
        <v>12144</v>
      </c>
      <c r="B3753" s="19" t="s">
        <v>5694</v>
      </c>
      <c r="C3753" s="20">
        <v>50023.0</v>
      </c>
      <c r="D3753" s="20" t="s">
        <v>5693</v>
      </c>
      <c r="E3753" s="5">
        <v>9.17974147359E11</v>
      </c>
      <c r="F3753" s="21">
        <v>20255.0</v>
      </c>
      <c r="G3753" s="20"/>
      <c r="H3753" s="20" t="s">
        <v>5508</v>
      </c>
      <c r="I3753" s="5"/>
      <c r="J3753" s="20">
        <v>1.0</v>
      </c>
      <c r="K3753" s="20">
        <v>99.0</v>
      </c>
      <c r="L3753" s="20"/>
      <c r="M3753" s="20">
        <v>99.0</v>
      </c>
      <c r="N3753" s="5" t="s">
        <v>67</v>
      </c>
      <c r="O3753" s="20" t="b">
        <v>0</v>
      </c>
      <c r="P3753" s="20" t="s">
        <v>68</v>
      </c>
      <c r="Q3753" s="20" t="s">
        <v>69</v>
      </c>
      <c r="R3753" s="20" t="s">
        <v>5510</v>
      </c>
      <c r="T3753" s="20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</row>
    <row r="3754">
      <c r="A3754" s="15" t="s">
        <v>12145</v>
      </c>
      <c r="B3754" s="19" t="s">
        <v>3581</v>
      </c>
      <c r="C3754" s="20">
        <v>50030.0</v>
      </c>
      <c r="D3754" s="20" t="s">
        <v>3580</v>
      </c>
      <c r="E3754" s="5">
        <v>9.18939651321E11</v>
      </c>
      <c r="F3754" s="21">
        <v>20256.0</v>
      </c>
      <c r="G3754" s="20"/>
      <c r="H3754" s="20" t="s">
        <v>3326</v>
      </c>
      <c r="I3754" s="5"/>
      <c r="J3754" s="20">
        <v>1.0</v>
      </c>
      <c r="K3754" s="20">
        <v>99.0</v>
      </c>
      <c r="L3754" s="20"/>
      <c r="M3754" s="20">
        <v>99.0</v>
      </c>
      <c r="N3754" s="5" t="s">
        <v>67</v>
      </c>
      <c r="O3754" s="20" t="b">
        <v>0</v>
      </c>
      <c r="P3754" s="20" t="s">
        <v>74</v>
      </c>
      <c r="Q3754" s="20" t="s">
        <v>69</v>
      </c>
      <c r="R3754" s="20" t="s">
        <v>3328</v>
      </c>
      <c r="T3754" s="20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</row>
    <row r="3755">
      <c r="A3755" s="15" t="s">
        <v>12231</v>
      </c>
      <c r="B3755" s="19" t="s">
        <v>3871</v>
      </c>
      <c r="C3755" s="20">
        <v>49907.0</v>
      </c>
      <c r="D3755" s="20" t="s">
        <v>3870</v>
      </c>
      <c r="E3755" s="5">
        <v>9.18826460651E11</v>
      </c>
      <c r="F3755" s="21">
        <v>20303.0</v>
      </c>
      <c r="G3755" s="20"/>
      <c r="H3755" s="20" t="s">
        <v>587</v>
      </c>
      <c r="I3755" s="5"/>
      <c r="J3755" s="20">
        <v>1.0</v>
      </c>
      <c r="K3755" s="20">
        <v>99.0</v>
      </c>
      <c r="L3755" s="20"/>
      <c r="M3755" s="20">
        <v>99.0</v>
      </c>
      <c r="N3755" s="5" t="s">
        <v>67</v>
      </c>
      <c r="O3755" s="20" t="b">
        <v>0</v>
      </c>
      <c r="P3755" s="20" t="s">
        <v>68</v>
      </c>
      <c r="Q3755" s="20" t="s">
        <v>69</v>
      </c>
      <c r="R3755" s="20" t="s">
        <v>3774</v>
      </c>
      <c r="T3755" s="20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</row>
    <row r="3756">
      <c r="A3756" s="15" t="s">
        <v>12232</v>
      </c>
      <c r="B3756" s="19" t="s">
        <v>3585</v>
      </c>
      <c r="C3756" s="20">
        <v>50030.0</v>
      </c>
      <c r="D3756" s="20" t="s">
        <v>3584</v>
      </c>
      <c r="E3756" s="5">
        <v>9.19082173436E11</v>
      </c>
      <c r="F3756" s="21">
        <v>20302.0</v>
      </c>
      <c r="G3756" s="20"/>
      <c r="H3756" s="20" t="s">
        <v>3326</v>
      </c>
      <c r="I3756" s="5"/>
      <c r="J3756" s="20">
        <v>1.0</v>
      </c>
      <c r="K3756" s="20">
        <v>99.0</v>
      </c>
      <c r="L3756" s="20"/>
      <c r="M3756" s="20">
        <v>99.0</v>
      </c>
      <c r="N3756" s="5" t="s">
        <v>67</v>
      </c>
      <c r="O3756" s="20" t="b">
        <v>0</v>
      </c>
      <c r="P3756" s="20" t="s">
        <v>68</v>
      </c>
      <c r="Q3756" s="20" t="s">
        <v>69</v>
      </c>
      <c r="R3756" s="20" t="s">
        <v>3328</v>
      </c>
      <c r="T3756" s="20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</row>
    <row r="3757">
      <c r="A3757" s="15" t="s">
        <v>12150</v>
      </c>
      <c r="B3757" s="19" t="s">
        <v>6669</v>
      </c>
      <c r="C3757" s="20">
        <v>49994.0</v>
      </c>
      <c r="D3757" s="20" t="s">
        <v>6668</v>
      </c>
      <c r="E3757" s="5">
        <v>9.18446222723E11</v>
      </c>
      <c r="F3757" s="21">
        <v>20257.0</v>
      </c>
      <c r="G3757" s="20"/>
      <c r="H3757" s="20" t="s">
        <v>1264</v>
      </c>
      <c r="I3757" s="5"/>
      <c r="J3757" s="20">
        <v>3.0</v>
      </c>
      <c r="K3757" s="20">
        <v>199.0</v>
      </c>
      <c r="L3757" s="20"/>
      <c r="M3757" s="20">
        <v>199.0</v>
      </c>
      <c r="N3757" s="5" t="s">
        <v>67</v>
      </c>
      <c r="O3757" s="20" t="b">
        <v>0</v>
      </c>
      <c r="P3757" s="20" t="s">
        <v>68</v>
      </c>
      <c r="Q3757" s="20" t="s">
        <v>69</v>
      </c>
      <c r="R3757" s="20" t="s">
        <v>6615</v>
      </c>
      <c r="T3757" s="20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</row>
    <row r="3758">
      <c r="A3758" s="15" t="s">
        <v>12237</v>
      </c>
      <c r="B3758" s="19" t="s">
        <v>4541</v>
      </c>
      <c r="C3758" s="20">
        <v>50052.0</v>
      </c>
      <c r="D3758" s="20" t="s">
        <v>4540</v>
      </c>
      <c r="E3758" s="5">
        <v>9.19663152234E11</v>
      </c>
      <c r="F3758" s="22" t="s">
        <v>12593</v>
      </c>
      <c r="G3758" s="20"/>
      <c r="H3758" s="20" t="s">
        <v>4433</v>
      </c>
      <c r="I3758" s="5"/>
      <c r="J3758" s="20">
        <v>1.0</v>
      </c>
      <c r="K3758" s="20">
        <v>99.0</v>
      </c>
      <c r="L3758" s="20"/>
      <c r="M3758" s="20">
        <v>99.0</v>
      </c>
      <c r="N3758" s="5" t="s">
        <v>67</v>
      </c>
      <c r="O3758" s="20" t="b">
        <v>0</v>
      </c>
      <c r="P3758" s="20" t="s">
        <v>68</v>
      </c>
      <c r="Q3758" s="20" t="s">
        <v>69</v>
      </c>
      <c r="R3758" s="20" t="s">
        <v>4435</v>
      </c>
      <c r="T3758" s="20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</row>
    <row r="3759">
      <c r="A3759" s="15" t="s">
        <v>12153</v>
      </c>
      <c r="B3759" s="19" t="s">
        <v>4535</v>
      </c>
      <c r="C3759" s="20">
        <v>50052.0</v>
      </c>
      <c r="D3759" s="20" t="s">
        <v>4534</v>
      </c>
      <c r="E3759" s="5">
        <v>9.19985866354E11</v>
      </c>
      <c r="F3759" s="21">
        <v>20260.0</v>
      </c>
      <c r="G3759" s="20"/>
      <c r="H3759" s="20" t="s">
        <v>4433</v>
      </c>
      <c r="I3759" s="5"/>
      <c r="J3759" s="20">
        <v>3.0</v>
      </c>
      <c r="K3759" s="20">
        <v>199.0</v>
      </c>
      <c r="L3759" s="20"/>
      <c r="M3759" s="20">
        <v>199.0</v>
      </c>
      <c r="N3759" s="5" t="s">
        <v>67</v>
      </c>
      <c r="O3759" s="20" t="b">
        <v>0</v>
      </c>
      <c r="P3759" s="20" t="s">
        <v>68</v>
      </c>
      <c r="Q3759" s="20" t="s">
        <v>69</v>
      </c>
      <c r="R3759" s="20" t="s">
        <v>4435</v>
      </c>
      <c r="T3759" s="20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</row>
    <row r="3760">
      <c r="A3760" s="15" t="s">
        <v>12154</v>
      </c>
      <c r="B3760" s="19" t="s">
        <v>5312</v>
      </c>
      <c r="C3760" s="20">
        <v>50022.0</v>
      </c>
      <c r="D3760" s="20" t="s">
        <v>5311</v>
      </c>
      <c r="E3760" s="5">
        <v>9.18150038307E11</v>
      </c>
      <c r="F3760" s="21">
        <v>20261.0</v>
      </c>
      <c r="G3760" s="20"/>
      <c r="H3760" s="20" t="s">
        <v>5181</v>
      </c>
      <c r="I3760" s="5"/>
      <c r="J3760" s="20">
        <v>1.0</v>
      </c>
      <c r="K3760" s="20">
        <v>99.0</v>
      </c>
      <c r="L3760" s="20"/>
      <c r="M3760" s="20">
        <v>99.0</v>
      </c>
      <c r="N3760" s="5" t="s">
        <v>67</v>
      </c>
      <c r="O3760" s="20" t="b">
        <v>0</v>
      </c>
      <c r="P3760" s="20" t="s">
        <v>68</v>
      </c>
      <c r="Q3760" s="20" t="s">
        <v>69</v>
      </c>
      <c r="R3760" s="20" t="s">
        <v>5183</v>
      </c>
      <c r="T3760" s="20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</row>
    <row r="3761">
      <c r="A3761" s="15" t="s">
        <v>12238</v>
      </c>
      <c r="B3761" s="19" t="s">
        <v>2596</v>
      </c>
      <c r="C3761" s="20">
        <v>49997.0</v>
      </c>
      <c r="D3761" s="20" t="s">
        <v>2595</v>
      </c>
      <c r="E3761" s="5">
        <v>9.19096293778E11</v>
      </c>
      <c r="F3761" s="21">
        <v>20304.0</v>
      </c>
      <c r="G3761" s="20"/>
      <c r="H3761" s="20" t="s">
        <v>2455</v>
      </c>
      <c r="I3761" s="5"/>
      <c r="J3761" s="20">
        <v>1.0</v>
      </c>
      <c r="K3761" s="20">
        <v>99.0</v>
      </c>
      <c r="L3761" s="20"/>
      <c r="M3761" s="20">
        <v>99.0</v>
      </c>
      <c r="N3761" s="5" t="s">
        <v>67</v>
      </c>
      <c r="O3761" s="20" t="b">
        <v>0</v>
      </c>
      <c r="P3761" s="20" t="s">
        <v>68</v>
      </c>
      <c r="Q3761" s="20" t="s">
        <v>69</v>
      </c>
      <c r="R3761" s="20" t="s">
        <v>2457</v>
      </c>
      <c r="T3761" s="20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</row>
    <row r="3762">
      <c r="A3762" s="15" t="s">
        <v>12241</v>
      </c>
      <c r="B3762" s="19" t="s">
        <v>3678</v>
      </c>
      <c r="C3762" s="20">
        <v>50136.0</v>
      </c>
      <c r="D3762" s="20" t="s">
        <v>3677</v>
      </c>
      <c r="E3762" s="5">
        <v>9.19818026344E11</v>
      </c>
      <c r="F3762" s="21">
        <v>20305.0</v>
      </c>
      <c r="G3762" s="20"/>
      <c r="H3762" s="20" t="s">
        <v>3618</v>
      </c>
      <c r="I3762" s="5"/>
      <c r="J3762" s="20">
        <v>1.0</v>
      </c>
      <c r="K3762" s="20">
        <v>99.0</v>
      </c>
      <c r="L3762" s="20"/>
      <c r="M3762" s="20">
        <v>99.0</v>
      </c>
      <c r="N3762" s="5" t="s">
        <v>67</v>
      </c>
      <c r="O3762" s="20" t="b">
        <v>0</v>
      </c>
      <c r="P3762" s="20" t="s">
        <v>68</v>
      </c>
      <c r="Q3762" s="20" t="s">
        <v>69</v>
      </c>
      <c r="R3762" s="20" t="s">
        <v>3624</v>
      </c>
      <c r="T3762" s="20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</row>
    <row r="3763">
      <c r="A3763" s="15" t="s">
        <v>12159</v>
      </c>
      <c r="B3763" s="19" t="s">
        <v>2906</v>
      </c>
      <c r="C3763" s="20">
        <v>50029.0</v>
      </c>
      <c r="D3763" s="20" t="s">
        <v>2905</v>
      </c>
      <c r="E3763" s="5">
        <v>9.19916020232E11</v>
      </c>
      <c r="F3763" s="21">
        <v>20263.0</v>
      </c>
      <c r="G3763" s="20"/>
      <c r="H3763" s="20" t="s">
        <v>2761</v>
      </c>
      <c r="I3763" s="5"/>
      <c r="J3763" s="20">
        <v>6.0</v>
      </c>
      <c r="K3763" s="20">
        <v>349.0</v>
      </c>
      <c r="L3763" s="20"/>
      <c r="M3763" s="20">
        <v>349.0</v>
      </c>
      <c r="N3763" s="5" t="s">
        <v>67</v>
      </c>
      <c r="O3763" s="20" t="b">
        <v>0</v>
      </c>
      <c r="P3763" s="20" t="s">
        <v>151</v>
      </c>
      <c r="Q3763" s="20" t="s">
        <v>69</v>
      </c>
      <c r="R3763" s="20" t="s">
        <v>2763</v>
      </c>
      <c r="T3763" s="20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</row>
    <row r="3764">
      <c r="A3764" s="15" t="s">
        <v>12156</v>
      </c>
      <c r="B3764" s="19" t="s">
        <v>3189</v>
      </c>
      <c r="C3764" s="20">
        <v>49991.0</v>
      </c>
      <c r="D3764" s="20" t="s">
        <v>3188</v>
      </c>
      <c r="E3764" s="5">
        <v>9.17022733053E11</v>
      </c>
      <c r="F3764" s="21">
        <v>17181.0</v>
      </c>
      <c r="G3764" s="20"/>
      <c r="H3764" s="20" t="s">
        <v>3055</v>
      </c>
      <c r="I3764" s="5"/>
      <c r="J3764" s="20">
        <v>1.0</v>
      </c>
      <c r="K3764" s="20">
        <v>99.0</v>
      </c>
      <c r="L3764" s="20"/>
      <c r="M3764" s="20">
        <v>99.0</v>
      </c>
      <c r="N3764" s="5" t="s">
        <v>67</v>
      </c>
      <c r="O3764" s="20" t="b">
        <v>0</v>
      </c>
      <c r="P3764" s="20" t="s">
        <v>68</v>
      </c>
      <c r="Q3764" s="20" t="s">
        <v>69</v>
      </c>
      <c r="R3764" s="20" t="s">
        <v>3057</v>
      </c>
      <c r="T3764" s="20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</row>
    <row r="3765">
      <c r="A3765" s="15" t="s">
        <v>12242</v>
      </c>
      <c r="B3765" s="19" t="s">
        <v>3680</v>
      </c>
      <c r="C3765" s="20">
        <v>50136.0</v>
      </c>
      <c r="D3765" s="20" t="s">
        <v>3679</v>
      </c>
      <c r="E3765" s="5">
        <v>9.18087144416E11</v>
      </c>
      <c r="F3765" s="21">
        <v>20307.0</v>
      </c>
      <c r="G3765" s="20"/>
      <c r="H3765" s="20" t="s">
        <v>3618</v>
      </c>
      <c r="I3765" s="5"/>
      <c r="J3765" s="20">
        <v>1.0</v>
      </c>
      <c r="K3765" s="20">
        <v>99.0</v>
      </c>
      <c r="L3765" s="20"/>
      <c r="M3765" s="20">
        <v>99.0</v>
      </c>
      <c r="N3765" s="5" t="s">
        <v>67</v>
      </c>
      <c r="O3765" s="20" t="b">
        <v>0</v>
      </c>
      <c r="P3765" s="20" t="s">
        <v>68</v>
      </c>
      <c r="Q3765" s="20" t="s">
        <v>69</v>
      </c>
      <c r="R3765" s="20" t="s">
        <v>3624</v>
      </c>
      <c r="T3765" s="20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</row>
    <row r="3766">
      <c r="A3766" s="15" t="s">
        <v>12243</v>
      </c>
      <c r="B3766" s="19" t="s">
        <v>6317</v>
      </c>
      <c r="C3766" s="20">
        <v>49998.0</v>
      </c>
      <c r="D3766" s="20" t="s">
        <v>6316</v>
      </c>
      <c r="E3766" s="5">
        <v>9.19844801194E11</v>
      </c>
      <c r="F3766" s="21">
        <v>20309.0</v>
      </c>
      <c r="G3766" s="20"/>
      <c r="H3766" s="20" t="s">
        <v>6250</v>
      </c>
      <c r="I3766" s="5"/>
      <c r="J3766" s="20">
        <v>1.0</v>
      </c>
      <c r="K3766" s="20">
        <v>99.0</v>
      </c>
      <c r="L3766" s="20"/>
      <c r="M3766" s="20">
        <v>99.0</v>
      </c>
      <c r="N3766" s="5" t="s">
        <v>67</v>
      </c>
      <c r="O3766" s="20" t="b">
        <v>0</v>
      </c>
      <c r="P3766" s="20" t="s">
        <v>68</v>
      </c>
      <c r="Q3766" s="20" t="s">
        <v>69</v>
      </c>
      <c r="R3766" s="20" t="s">
        <v>6252</v>
      </c>
      <c r="T3766" s="20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</row>
    <row r="3767">
      <c r="A3767" s="15" t="s">
        <v>12165</v>
      </c>
      <c r="B3767" s="19" t="s">
        <v>2737</v>
      </c>
      <c r="C3767" s="20">
        <v>50015.0</v>
      </c>
      <c r="D3767" s="20" t="s">
        <v>2736</v>
      </c>
      <c r="E3767" s="5">
        <v>9.19489684199E11</v>
      </c>
      <c r="F3767" s="21">
        <v>20266.0</v>
      </c>
      <c r="G3767" s="20"/>
      <c r="H3767" s="20" t="s">
        <v>2702</v>
      </c>
      <c r="I3767" s="5"/>
      <c r="J3767" s="20">
        <v>3.0</v>
      </c>
      <c r="K3767" s="20">
        <v>349.0</v>
      </c>
      <c r="L3767" s="20"/>
      <c r="M3767" s="20">
        <v>349.0</v>
      </c>
      <c r="N3767" s="5" t="s">
        <v>67</v>
      </c>
      <c r="O3767" s="20" t="b">
        <v>0</v>
      </c>
      <c r="P3767" s="20" t="s">
        <v>68</v>
      </c>
      <c r="Q3767" s="20" t="s">
        <v>69</v>
      </c>
      <c r="R3767" s="20" t="s">
        <v>2704</v>
      </c>
      <c r="T3767" s="20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</row>
    <row r="3768">
      <c r="A3768" s="15" t="s">
        <v>12248</v>
      </c>
      <c r="B3768" s="19" t="s">
        <v>6172</v>
      </c>
      <c r="C3768" s="20">
        <v>49978.0</v>
      </c>
      <c r="D3768" s="20" t="s">
        <v>6171</v>
      </c>
      <c r="E3768" s="5">
        <v>9.19654019881E11</v>
      </c>
      <c r="F3768" s="21">
        <v>20310.0</v>
      </c>
      <c r="G3768" s="20"/>
      <c r="H3768" s="20" t="s">
        <v>2150</v>
      </c>
      <c r="I3768" s="5"/>
      <c r="J3768" s="20">
        <v>6.0</v>
      </c>
      <c r="K3768" s="20">
        <v>299.0</v>
      </c>
      <c r="L3768" s="20"/>
      <c r="M3768" s="20">
        <v>299.0</v>
      </c>
      <c r="N3768" s="5" t="s">
        <v>67</v>
      </c>
      <c r="O3768" s="20" t="b">
        <v>0</v>
      </c>
      <c r="P3768" s="20" t="s">
        <v>74</v>
      </c>
      <c r="Q3768" s="20" t="s">
        <v>69</v>
      </c>
      <c r="R3768" s="20" t="s">
        <v>6156</v>
      </c>
      <c r="T3768" s="20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</row>
    <row r="3769">
      <c r="A3769" s="15" t="s">
        <v>12250</v>
      </c>
      <c r="B3769" s="19" t="s">
        <v>4254</v>
      </c>
      <c r="C3769" s="20">
        <v>49833.0</v>
      </c>
      <c r="D3769" s="20" t="s">
        <v>4253</v>
      </c>
      <c r="E3769" s="5">
        <v>9.17036442068E11</v>
      </c>
      <c r="F3769" s="21">
        <v>20311.0</v>
      </c>
      <c r="G3769" s="20"/>
      <c r="H3769" s="20" t="s">
        <v>4030</v>
      </c>
      <c r="I3769" s="5"/>
      <c r="J3769" s="20">
        <v>3.0</v>
      </c>
      <c r="K3769" s="20">
        <v>299.0</v>
      </c>
      <c r="L3769" s="20"/>
      <c r="M3769" s="20">
        <v>299.0</v>
      </c>
      <c r="N3769" s="5" t="s">
        <v>67</v>
      </c>
      <c r="O3769" s="20" t="b">
        <v>0</v>
      </c>
      <c r="P3769" s="20" t="s">
        <v>68</v>
      </c>
      <c r="Q3769" s="20" t="s">
        <v>69</v>
      </c>
      <c r="R3769" s="20" t="s">
        <v>4033</v>
      </c>
      <c r="T3769" s="20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</row>
    <row r="3770">
      <c r="A3770" s="15" t="s">
        <v>12169</v>
      </c>
      <c r="B3770" s="19" t="s">
        <v>5398</v>
      </c>
      <c r="C3770" s="20">
        <v>49995.0</v>
      </c>
      <c r="D3770" s="20" t="s">
        <v>5397</v>
      </c>
      <c r="E3770" s="5">
        <v>9.17740084138E11</v>
      </c>
      <c r="F3770" s="21">
        <v>20269.0</v>
      </c>
      <c r="G3770" s="20"/>
      <c r="H3770" s="20" t="s">
        <v>5321</v>
      </c>
      <c r="I3770" s="5"/>
      <c r="J3770" s="20">
        <v>6.0</v>
      </c>
      <c r="K3770" s="20">
        <v>349.0</v>
      </c>
      <c r="L3770" s="20"/>
      <c r="M3770" s="20">
        <v>349.0</v>
      </c>
      <c r="N3770" s="5" t="s">
        <v>67</v>
      </c>
      <c r="O3770" s="20" t="b">
        <v>0</v>
      </c>
      <c r="P3770" s="20" t="s">
        <v>68</v>
      </c>
      <c r="Q3770" s="20" t="s">
        <v>69</v>
      </c>
      <c r="R3770" s="20" t="s">
        <v>5399</v>
      </c>
      <c r="T3770" s="20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</row>
    <row r="3771">
      <c r="A3771" s="15" t="s">
        <v>12172</v>
      </c>
      <c r="B3771" s="19" t="s">
        <v>3673</v>
      </c>
      <c r="C3771" s="20">
        <v>50136.0</v>
      </c>
      <c r="D3771" s="20" t="s">
        <v>3672</v>
      </c>
      <c r="E3771" s="5">
        <v>9.18334979168E11</v>
      </c>
      <c r="F3771" s="21">
        <v>20270.0</v>
      </c>
      <c r="G3771" s="20"/>
      <c r="H3771" s="20" t="s">
        <v>3618</v>
      </c>
      <c r="I3771" s="5"/>
      <c r="J3771" s="20">
        <v>6.0</v>
      </c>
      <c r="K3771" s="20">
        <v>349.0</v>
      </c>
      <c r="L3771" s="20"/>
      <c r="M3771" s="20">
        <v>349.0</v>
      </c>
      <c r="N3771" s="5" t="s">
        <v>67</v>
      </c>
      <c r="O3771" s="20" t="b">
        <v>0</v>
      </c>
      <c r="P3771" s="20" t="s">
        <v>68</v>
      </c>
      <c r="Q3771" s="20" t="s">
        <v>69</v>
      </c>
      <c r="R3771" s="20" t="s">
        <v>3624</v>
      </c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</row>
    <row r="3772">
      <c r="A3772" s="15" t="s">
        <v>12260</v>
      </c>
      <c r="B3772" s="19" t="s">
        <v>3974</v>
      </c>
      <c r="C3772" s="20">
        <v>49835.0</v>
      </c>
      <c r="D3772" s="20" t="s">
        <v>3973</v>
      </c>
      <c r="E3772" s="5">
        <v>9.18121507601E11</v>
      </c>
      <c r="F3772" s="21">
        <v>20314.0</v>
      </c>
      <c r="G3772" s="20"/>
      <c r="H3772" s="20" t="s">
        <v>680</v>
      </c>
      <c r="I3772" s="5"/>
      <c r="J3772" s="20">
        <v>1.0</v>
      </c>
      <c r="K3772" s="20">
        <v>99.0</v>
      </c>
      <c r="L3772" s="20"/>
      <c r="M3772" s="20">
        <v>99.0</v>
      </c>
      <c r="N3772" s="5" t="s">
        <v>67</v>
      </c>
      <c r="O3772" s="20" t="b">
        <v>0</v>
      </c>
      <c r="P3772" s="20" t="s">
        <v>68</v>
      </c>
      <c r="Q3772" s="20" t="s">
        <v>69</v>
      </c>
      <c r="R3772" s="20" t="s">
        <v>3888</v>
      </c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</row>
    <row r="3773">
      <c r="A3773" s="15" t="s">
        <v>12259</v>
      </c>
      <c r="B3773" s="19" t="s">
        <v>3682</v>
      </c>
      <c r="C3773" s="20">
        <v>50136.0</v>
      </c>
      <c r="D3773" s="20" t="s">
        <v>3681</v>
      </c>
      <c r="E3773" s="5">
        <v>9.19005800063E11</v>
      </c>
      <c r="F3773" s="21">
        <v>20312.0</v>
      </c>
      <c r="G3773" s="20"/>
      <c r="H3773" s="20" t="s">
        <v>3618</v>
      </c>
      <c r="I3773" s="5"/>
      <c r="J3773" s="20">
        <v>6.0</v>
      </c>
      <c r="K3773" s="20">
        <v>349.0</v>
      </c>
      <c r="L3773" s="20"/>
      <c r="M3773" s="20">
        <v>349.0</v>
      </c>
      <c r="N3773" s="5" t="s">
        <v>67</v>
      </c>
      <c r="O3773" s="20" t="b">
        <v>0</v>
      </c>
      <c r="P3773" s="20" t="s">
        <v>68</v>
      </c>
      <c r="Q3773" s="20" t="s">
        <v>69</v>
      </c>
      <c r="R3773" s="20" t="s">
        <v>3624</v>
      </c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</row>
    <row r="3774">
      <c r="A3774" s="15" t="s">
        <v>12261</v>
      </c>
      <c r="B3774" s="19" t="s">
        <v>4023</v>
      </c>
      <c r="C3774" s="20">
        <v>50086.0</v>
      </c>
      <c r="D3774" s="20" t="s">
        <v>4022</v>
      </c>
      <c r="E3774" s="5">
        <v>9.71558838094E11</v>
      </c>
      <c r="F3774" s="21">
        <v>18159.0</v>
      </c>
      <c r="G3774" s="20"/>
      <c r="H3774" s="20" t="s">
        <v>3986</v>
      </c>
      <c r="I3774" s="5"/>
      <c r="J3774" s="20">
        <v>3.0</v>
      </c>
      <c r="K3774" s="20">
        <v>599.0</v>
      </c>
      <c r="L3774" s="20"/>
      <c r="M3774" s="20">
        <v>599.0</v>
      </c>
      <c r="N3774" s="5" t="s">
        <v>67</v>
      </c>
      <c r="O3774" s="20" t="b">
        <v>0</v>
      </c>
      <c r="P3774" s="20" t="s">
        <v>74</v>
      </c>
      <c r="Q3774" s="20" t="s">
        <v>69</v>
      </c>
      <c r="R3774" s="20" t="s">
        <v>3988</v>
      </c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</row>
    <row r="3775">
      <c r="A3775" s="15" t="s">
        <v>12174</v>
      </c>
      <c r="B3775" s="19" t="s">
        <v>5696</v>
      </c>
      <c r="C3775" s="20">
        <v>50023.0</v>
      </c>
      <c r="D3775" s="20" t="s">
        <v>5695</v>
      </c>
      <c r="E3775" s="5">
        <v>9.18962611357E11</v>
      </c>
      <c r="F3775" s="21">
        <v>20272.0</v>
      </c>
      <c r="G3775" s="20"/>
      <c r="H3775" s="20" t="s">
        <v>5508</v>
      </c>
      <c r="I3775" s="5"/>
      <c r="J3775" s="20">
        <v>3.0</v>
      </c>
      <c r="K3775" s="20">
        <v>199.0</v>
      </c>
      <c r="L3775" s="20"/>
      <c r="M3775" s="20">
        <v>199.0</v>
      </c>
      <c r="N3775" s="5" t="s">
        <v>67</v>
      </c>
      <c r="O3775" s="20" t="b">
        <v>0</v>
      </c>
      <c r="P3775" s="20" t="s">
        <v>68</v>
      </c>
      <c r="Q3775" s="20" t="s">
        <v>69</v>
      </c>
      <c r="R3775" s="20" t="s">
        <v>5510</v>
      </c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</row>
    <row r="3776">
      <c r="A3776" s="15" t="s">
        <v>12262</v>
      </c>
      <c r="B3776" s="19" t="s">
        <v>3587</v>
      </c>
      <c r="C3776" s="20">
        <v>50030.0</v>
      </c>
      <c r="D3776" s="20" t="s">
        <v>3586</v>
      </c>
      <c r="E3776" s="5">
        <v>9.18770632502E11</v>
      </c>
      <c r="F3776" s="21">
        <v>20315.0</v>
      </c>
      <c r="G3776" s="20"/>
      <c r="H3776" s="20" t="s">
        <v>3326</v>
      </c>
      <c r="I3776" s="5"/>
      <c r="J3776" s="20">
        <v>3.0</v>
      </c>
      <c r="K3776" s="20">
        <v>199.0</v>
      </c>
      <c r="L3776" s="20"/>
      <c r="M3776" s="20">
        <v>199.0</v>
      </c>
      <c r="N3776" s="5" t="s">
        <v>67</v>
      </c>
      <c r="O3776" s="20" t="b">
        <v>0</v>
      </c>
      <c r="P3776" s="20" t="s">
        <v>68</v>
      </c>
      <c r="Q3776" s="20" t="s">
        <v>69</v>
      </c>
      <c r="R3776" s="20" t="s">
        <v>3328</v>
      </c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</row>
    <row r="3777">
      <c r="A3777" s="15" t="s">
        <v>12179</v>
      </c>
      <c r="B3777" s="19" t="s">
        <v>2592</v>
      </c>
      <c r="C3777" s="20">
        <v>49997.0</v>
      </c>
      <c r="D3777" s="20" t="s">
        <v>2591</v>
      </c>
      <c r="E3777" s="5">
        <v>9.19820917454E11</v>
      </c>
      <c r="F3777" s="21">
        <v>20274.0</v>
      </c>
      <c r="G3777" s="20"/>
      <c r="H3777" s="20" t="s">
        <v>2455</v>
      </c>
      <c r="I3777" s="5"/>
      <c r="J3777" s="20">
        <v>1.0</v>
      </c>
      <c r="K3777" s="20">
        <v>99.0</v>
      </c>
      <c r="L3777" s="20"/>
      <c r="M3777" s="20">
        <v>99.0</v>
      </c>
      <c r="N3777" s="5" t="s">
        <v>67</v>
      </c>
      <c r="O3777" s="20" t="b">
        <v>0</v>
      </c>
      <c r="P3777" s="20" t="s">
        <v>151</v>
      </c>
      <c r="Q3777" s="20" t="s">
        <v>69</v>
      </c>
      <c r="R3777" s="20" t="s">
        <v>2457</v>
      </c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</row>
    <row r="3778">
      <c r="A3778" s="15" t="s">
        <v>12270</v>
      </c>
      <c r="B3778" s="19" t="s">
        <v>3589</v>
      </c>
      <c r="C3778" s="20">
        <v>50030.0</v>
      </c>
      <c r="D3778" s="20" t="s">
        <v>3588</v>
      </c>
      <c r="E3778" s="5">
        <v>9.19752585428E11</v>
      </c>
      <c r="F3778" s="21">
        <v>20321.0</v>
      </c>
      <c r="G3778" s="20"/>
      <c r="H3778" s="20" t="s">
        <v>3326</v>
      </c>
      <c r="I3778" s="5"/>
      <c r="J3778" s="20">
        <v>1.0</v>
      </c>
      <c r="K3778" s="20">
        <v>99.0</v>
      </c>
      <c r="L3778" s="20"/>
      <c r="M3778" s="20">
        <v>99.0</v>
      </c>
      <c r="N3778" s="5" t="s">
        <v>67</v>
      </c>
      <c r="O3778" s="20" t="b">
        <v>0</v>
      </c>
      <c r="P3778" s="20" t="s">
        <v>68</v>
      </c>
      <c r="Q3778" s="20" t="s">
        <v>69</v>
      </c>
      <c r="R3778" s="20" t="s">
        <v>3328</v>
      </c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</row>
    <row r="3779">
      <c r="A3779" s="1" t="s">
        <v>12272</v>
      </c>
      <c r="B3779" s="19" t="s">
        <v>5701</v>
      </c>
      <c r="C3779" s="20">
        <v>50023.0</v>
      </c>
      <c r="D3779" s="20" t="s">
        <v>3588</v>
      </c>
      <c r="E3779" s="5">
        <v>9.19752585428E11</v>
      </c>
      <c r="F3779" s="21">
        <v>20321.0</v>
      </c>
      <c r="G3779" s="20"/>
      <c r="H3779" s="20" t="s">
        <v>5508</v>
      </c>
      <c r="I3779" s="5"/>
      <c r="J3779" s="20">
        <v>1.0</v>
      </c>
      <c r="K3779" s="20">
        <v>99.0</v>
      </c>
      <c r="L3779" s="20"/>
      <c r="M3779" s="20">
        <v>99.0</v>
      </c>
      <c r="N3779" s="5" t="s">
        <v>67</v>
      </c>
      <c r="O3779" s="20" t="b">
        <v>0</v>
      </c>
      <c r="P3779" s="20" t="s">
        <v>68</v>
      </c>
      <c r="Q3779" s="20" t="s">
        <v>69</v>
      </c>
      <c r="R3779" s="20" t="s">
        <v>5584</v>
      </c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</row>
    <row r="3780">
      <c r="A3780" s="15" t="s">
        <v>12185</v>
      </c>
      <c r="B3780" s="19" t="s">
        <v>4780</v>
      </c>
      <c r="C3780" s="20">
        <v>49859.0</v>
      </c>
      <c r="D3780" s="20" t="s">
        <v>4779</v>
      </c>
      <c r="E3780" s="5">
        <v>9.1841198811E11</v>
      </c>
      <c r="F3780" s="21">
        <v>20275.0</v>
      </c>
      <c r="G3780" s="20"/>
      <c r="H3780" s="20" t="s">
        <v>1133</v>
      </c>
      <c r="I3780" s="5"/>
      <c r="J3780" s="20">
        <v>1.0</v>
      </c>
      <c r="K3780" s="20">
        <v>99.0</v>
      </c>
      <c r="L3780" s="20"/>
      <c r="M3780" s="20">
        <v>99.0</v>
      </c>
      <c r="N3780" s="5" t="s">
        <v>67</v>
      </c>
      <c r="O3780" s="20" t="b">
        <v>0</v>
      </c>
      <c r="P3780" s="20" t="s">
        <v>68</v>
      </c>
      <c r="Q3780" s="20" t="s">
        <v>69</v>
      </c>
      <c r="R3780" s="20" t="s">
        <v>4736</v>
      </c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</row>
    <row r="3781">
      <c r="A3781" s="15" t="s">
        <v>12271</v>
      </c>
      <c r="B3781" s="19" t="s">
        <v>4025</v>
      </c>
      <c r="C3781" s="20">
        <v>50086.0</v>
      </c>
      <c r="D3781" s="20" t="s">
        <v>4024</v>
      </c>
      <c r="E3781" s="5">
        <v>9.19896991273E11</v>
      </c>
      <c r="F3781" s="21">
        <v>0.0</v>
      </c>
      <c r="G3781" s="20"/>
      <c r="H3781" s="20" t="s">
        <v>3986</v>
      </c>
      <c r="I3781" s="5"/>
      <c r="J3781" s="20">
        <v>1.0</v>
      </c>
      <c r="K3781" s="20">
        <v>249.0</v>
      </c>
      <c r="L3781" s="20"/>
      <c r="M3781" s="20">
        <v>249.0</v>
      </c>
      <c r="N3781" s="5" t="s">
        <v>67</v>
      </c>
      <c r="O3781" s="20" t="b">
        <v>0</v>
      </c>
      <c r="P3781" s="20" t="s">
        <v>68</v>
      </c>
      <c r="Q3781" s="20" t="s">
        <v>69</v>
      </c>
      <c r="R3781" s="20" t="s">
        <v>3988</v>
      </c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</row>
    <row r="3782">
      <c r="A3782" s="15" t="s">
        <v>12189</v>
      </c>
      <c r="B3782" s="19" t="s">
        <v>6584</v>
      </c>
      <c r="C3782" s="20">
        <v>50073.0</v>
      </c>
      <c r="D3782" s="20" t="s">
        <v>6583</v>
      </c>
      <c r="E3782" s="5">
        <v>9.1895372848E11</v>
      </c>
      <c r="F3782" s="21">
        <v>20278.0</v>
      </c>
      <c r="G3782" s="20"/>
      <c r="H3782" s="20" t="s">
        <v>2161</v>
      </c>
      <c r="I3782" s="5"/>
      <c r="J3782" s="20">
        <v>1.0</v>
      </c>
      <c r="K3782" s="20">
        <v>799.0</v>
      </c>
      <c r="L3782" s="20"/>
      <c r="M3782" s="20">
        <v>799.0</v>
      </c>
      <c r="N3782" s="5" t="s">
        <v>67</v>
      </c>
      <c r="O3782" s="20" t="b">
        <v>0</v>
      </c>
      <c r="P3782" s="20" t="s">
        <v>68</v>
      </c>
      <c r="Q3782" s="20" t="s">
        <v>69</v>
      </c>
      <c r="R3782" s="20" t="s">
        <v>6563</v>
      </c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</row>
    <row r="3783">
      <c r="A3783" s="15" t="s">
        <v>12190</v>
      </c>
      <c r="B3783" s="19" t="s">
        <v>3880</v>
      </c>
      <c r="C3783" s="20">
        <v>50173.0</v>
      </c>
      <c r="D3783" s="20" t="s">
        <v>3879</v>
      </c>
      <c r="E3783" s="5">
        <v>9.18420839714E11</v>
      </c>
      <c r="F3783" s="21">
        <v>20279.0</v>
      </c>
      <c r="G3783" s="20"/>
      <c r="H3783" s="20" t="s">
        <v>3878</v>
      </c>
      <c r="I3783" s="5"/>
      <c r="J3783" s="20">
        <v>1.0</v>
      </c>
      <c r="K3783" s="20">
        <v>99.0</v>
      </c>
      <c r="L3783" s="20"/>
      <c r="M3783" s="20">
        <v>99.0</v>
      </c>
      <c r="N3783" s="5" t="s">
        <v>67</v>
      </c>
      <c r="O3783" s="20" t="b">
        <v>0</v>
      </c>
      <c r="P3783" s="20" t="s">
        <v>68</v>
      </c>
      <c r="Q3783" s="20" t="s">
        <v>69</v>
      </c>
      <c r="R3783" s="20" t="s">
        <v>3881</v>
      </c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</row>
    <row r="3784">
      <c r="A3784" s="15" t="s">
        <v>12187</v>
      </c>
      <c r="B3784" s="19" t="s">
        <v>6582</v>
      </c>
      <c r="C3784" s="20">
        <v>50073.0</v>
      </c>
      <c r="D3784" s="20" t="s">
        <v>6581</v>
      </c>
      <c r="E3784" s="5">
        <v>9.19868768574E11</v>
      </c>
      <c r="F3784" s="21">
        <v>20276.0</v>
      </c>
      <c r="G3784" s="20"/>
      <c r="H3784" s="20" t="s">
        <v>2161</v>
      </c>
      <c r="I3784" s="5"/>
      <c r="J3784" s="20">
        <v>1.0</v>
      </c>
      <c r="K3784" s="20">
        <v>799.0</v>
      </c>
      <c r="L3784" s="20"/>
      <c r="M3784" s="20">
        <v>799.0</v>
      </c>
      <c r="N3784" s="5" t="s">
        <v>67</v>
      </c>
      <c r="O3784" s="20" t="b">
        <v>0</v>
      </c>
      <c r="P3784" s="20" t="s">
        <v>68</v>
      </c>
      <c r="Q3784" s="20" t="s">
        <v>69</v>
      </c>
      <c r="R3784" s="20" t="s">
        <v>6497</v>
      </c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</row>
    <row r="3785">
      <c r="A3785" s="15" t="s">
        <v>12188</v>
      </c>
      <c r="B3785" s="19" t="s">
        <v>3583</v>
      </c>
      <c r="C3785" s="20">
        <v>50030.0</v>
      </c>
      <c r="D3785" s="20" t="s">
        <v>3582</v>
      </c>
      <c r="E3785" s="5">
        <v>9.18014422643E11</v>
      </c>
      <c r="F3785" s="21">
        <v>20277.0</v>
      </c>
      <c r="G3785" s="20"/>
      <c r="H3785" s="20" t="s">
        <v>3326</v>
      </c>
      <c r="I3785" s="5"/>
      <c r="J3785" s="20">
        <v>1.0</v>
      </c>
      <c r="K3785" s="20">
        <v>99.0</v>
      </c>
      <c r="L3785" s="20"/>
      <c r="M3785" s="20">
        <v>99.0</v>
      </c>
      <c r="N3785" s="5" t="s">
        <v>67</v>
      </c>
      <c r="O3785" s="20" t="b">
        <v>0</v>
      </c>
      <c r="P3785" s="20" t="s">
        <v>68</v>
      </c>
      <c r="Q3785" s="20" t="s">
        <v>69</v>
      </c>
      <c r="R3785" s="20" t="s">
        <v>3328</v>
      </c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</row>
    <row r="3786">
      <c r="A3786" s="15" t="s">
        <v>12276</v>
      </c>
      <c r="B3786" s="19" t="s">
        <v>3875</v>
      </c>
      <c r="C3786" s="20">
        <v>49907.0</v>
      </c>
      <c r="D3786" s="20" t="s">
        <v>3874</v>
      </c>
      <c r="E3786" s="5">
        <v>9.19975723414E11</v>
      </c>
      <c r="F3786" s="21">
        <v>20322.0</v>
      </c>
      <c r="G3786" s="20"/>
      <c r="H3786" s="20" t="s">
        <v>587</v>
      </c>
      <c r="I3786" s="5"/>
      <c r="J3786" s="20">
        <v>1.0</v>
      </c>
      <c r="K3786" s="20">
        <v>99.0</v>
      </c>
      <c r="L3786" s="20"/>
      <c r="M3786" s="20">
        <v>99.0</v>
      </c>
      <c r="N3786" s="5" t="s">
        <v>67</v>
      </c>
      <c r="O3786" s="20" t="b">
        <v>0</v>
      </c>
      <c r="P3786" s="20" t="s">
        <v>151</v>
      </c>
      <c r="Q3786" s="20" t="s">
        <v>69</v>
      </c>
      <c r="R3786" s="20" t="s">
        <v>3774</v>
      </c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</row>
    <row r="3787">
      <c r="A3787" s="15" t="s">
        <v>12279</v>
      </c>
      <c r="B3787" s="19" t="s">
        <v>6366</v>
      </c>
      <c r="C3787" s="20">
        <v>50044.0</v>
      </c>
      <c r="D3787" s="20" t="s">
        <v>6365</v>
      </c>
      <c r="E3787" s="5">
        <v>9.19999937769E11</v>
      </c>
      <c r="F3787" s="21">
        <v>20323.0</v>
      </c>
      <c r="G3787" s="20"/>
      <c r="H3787" s="20" t="s">
        <v>6320</v>
      </c>
      <c r="I3787" s="5"/>
      <c r="J3787" s="20">
        <v>6.0</v>
      </c>
      <c r="K3787" s="20">
        <v>999.0</v>
      </c>
      <c r="L3787" s="20"/>
      <c r="M3787" s="20">
        <v>999.0</v>
      </c>
      <c r="N3787" s="5" t="s">
        <v>67</v>
      </c>
      <c r="O3787" s="20" t="b">
        <v>0</v>
      </c>
      <c r="P3787" s="20" t="s">
        <v>68</v>
      </c>
      <c r="Q3787" s="20" t="s">
        <v>69</v>
      </c>
      <c r="R3787" s="20" t="s">
        <v>6322</v>
      </c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</row>
    <row r="3788">
      <c r="A3788" s="15" t="s">
        <v>12193</v>
      </c>
      <c r="B3788" s="19" t="s">
        <v>4432</v>
      </c>
      <c r="C3788" s="20">
        <v>50026.0</v>
      </c>
      <c r="D3788" s="20" t="s">
        <v>4431</v>
      </c>
      <c r="E3788" s="5">
        <v>9.17499633179E11</v>
      </c>
      <c r="F3788" s="21">
        <v>20280.0</v>
      </c>
      <c r="G3788" s="20"/>
      <c r="H3788" s="20" t="s">
        <v>4422</v>
      </c>
      <c r="I3788" s="5"/>
      <c r="J3788" s="20">
        <v>1.0</v>
      </c>
      <c r="K3788" s="20">
        <v>199.0</v>
      </c>
      <c r="L3788" s="20"/>
      <c r="M3788" s="20">
        <v>199.0</v>
      </c>
      <c r="N3788" s="5" t="s">
        <v>67</v>
      </c>
      <c r="O3788" s="20" t="b">
        <v>0</v>
      </c>
      <c r="P3788" s="20" t="s">
        <v>151</v>
      </c>
      <c r="Q3788" s="20" t="s">
        <v>69</v>
      </c>
      <c r="R3788" s="20" t="s">
        <v>4424</v>
      </c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</row>
    <row r="3789">
      <c r="A3789" s="15" t="s">
        <v>12283</v>
      </c>
      <c r="B3789" s="19" t="s">
        <v>4543</v>
      </c>
      <c r="C3789" s="20">
        <v>50052.0</v>
      </c>
      <c r="D3789" s="20" t="s">
        <v>4542</v>
      </c>
      <c r="E3789" s="5">
        <v>9.18019021901E11</v>
      </c>
      <c r="F3789" s="21">
        <v>20324.0</v>
      </c>
      <c r="G3789" s="20"/>
      <c r="H3789" s="20" t="s">
        <v>4433</v>
      </c>
      <c r="I3789" s="5"/>
      <c r="J3789" s="20">
        <v>3.0</v>
      </c>
      <c r="K3789" s="20">
        <v>199.0</v>
      </c>
      <c r="L3789" s="20"/>
      <c r="M3789" s="20">
        <v>199.0</v>
      </c>
      <c r="N3789" s="5" t="s">
        <v>67</v>
      </c>
      <c r="O3789" s="20" t="b">
        <v>0</v>
      </c>
      <c r="P3789" s="20" t="s">
        <v>74</v>
      </c>
      <c r="Q3789" s="20" t="s">
        <v>69</v>
      </c>
      <c r="R3789" s="20" t="s">
        <v>4512</v>
      </c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</row>
    <row r="3790">
      <c r="A3790" s="15" t="s">
        <v>12284</v>
      </c>
      <c r="B3790" s="19" t="s">
        <v>3684</v>
      </c>
      <c r="C3790" s="20">
        <v>50136.0</v>
      </c>
      <c r="D3790" s="20" t="s">
        <v>3683</v>
      </c>
      <c r="E3790" s="5">
        <v>9.19059990307E11</v>
      </c>
      <c r="F3790" s="21">
        <v>20325.0</v>
      </c>
      <c r="G3790" s="20"/>
      <c r="H3790" s="20" t="s">
        <v>3618</v>
      </c>
      <c r="I3790" s="5"/>
      <c r="J3790" s="20">
        <v>1.0</v>
      </c>
      <c r="K3790" s="20">
        <v>99.0</v>
      </c>
      <c r="L3790" s="20"/>
      <c r="M3790" s="20">
        <v>99.0</v>
      </c>
      <c r="N3790" s="5" t="s">
        <v>67</v>
      </c>
      <c r="O3790" s="20" t="b">
        <v>0</v>
      </c>
      <c r="P3790" s="20" t="s">
        <v>68</v>
      </c>
      <c r="Q3790" s="20" t="s">
        <v>69</v>
      </c>
      <c r="R3790" s="20" t="s">
        <v>3624</v>
      </c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</row>
    <row r="3791">
      <c r="A3791" s="15" t="s">
        <v>12285</v>
      </c>
      <c r="B3791" s="19" t="s">
        <v>3591</v>
      </c>
      <c r="C3791" s="20">
        <v>50030.0</v>
      </c>
      <c r="D3791" s="20" t="s">
        <v>3590</v>
      </c>
      <c r="E3791" s="5">
        <v>9.18957777612E11</v>
      </c>
      <c r="F3791" s="21">
        <v>20326.0</v>
      </c>
      <c r="G3791" s="20"/>
      <c r="H3791" s="20" t="s">
        <v>3326</v>
      </c>
      <c r="I3791" s="5"/>
      <c r="J3791" s="20">
        <v>6.0</v>
      </c>
      <c r="K3791" s="20">
        <v>349.0</v>
      </c>
      <c r="L3791" s="20"/>
      <c r="M3791" s="20">
        <v>349.0</v>
      </c>
      <c r="N3791" s="5" t="s">
        <v>67</v>
      </c>
      <c r="O3791" s="20" t="b">
        <v>0</v>
      </c>
      <c r="P3791" s="20" t="s">
        <v>68</v>
      </c>
      <c r="Q3791" s="20" t="s">
        <v>69</v>
      </c>
      <c r="R3791" s="20" t="s">
        <v>3328</v>
      </c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</row>
    <row r="3792">
      <c r="A3792" s="15" t="s">
        <v>12288</v>
      </c>
      <c r="B3792" s="19" t="s">
        <v>4027</v>
      </c>
      <c r="C3792" s="20">
        <v>50086.0</v>
      </c>
      <c r="D3792" s="20" t="s">
        <v>4026</v>
      </c>
      <c r="E3792" s="5">
        <v>9.17597818723E11</v>
      </c>
      <c r="F3792" s="22" t="s">
        <v>12593</v>
      </c>
      <c r="G3792" s="20"/>
      <c r="H3792" s="20" t="s">
        <v>3986</v>
      </c>
      <c r="I3792" s="5"/>
      <c r="J3792" s="20">
        <v>1.0</v>
      </c>
      <c r="K3792" s="20">
        <v>249.0</v>
      </c>
      <c r="L3792" s="20"/>
      <c r="M3792" s="20">
        <v>249.0</v>
      </c>
      <c r="N3792" s="5" t="s">
        <v>67</v>
      </c>
      <c r="O3792" s="20" t="b">
        <v>0</v>
      </c>
      <c r="P3792" s="20" t="s">
        <v>151</v>
      </c>
      <c r="Q3792" s="20" t="s">
        <v>69</v>
      </c>
      <c r="R3792" s="20" t="s">
        <v>3988</v>
      </c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</row>
    <row r="3793">
      <c r="A3793" s="15" t="s">
        <v>12289</v>
      </c>
      <c r="B3793" s="19" t="s">
        <v>4880</v>
      </c>
      <c r="C3793" s="20">
        <v>49996.0</v>
      </c>
      <c r="D3793" s="20" t="s">
        <v>4879</v>
      </c>
      <c r="E3793" s="5">
        <v>9.19315624641E11</v>
      </c>
      <c r="F3793" s="21">
        <v>20327.0</v>
      </c>
      <c r="G3793" s="20"/>
      <c r="H3793" s="20" t="s">
        <v>4796</v>
      </c>
      <c r="I3793" s="5"/>
      <c r="J3793" s="20">
        <v>3.0</v>
      </c>
      <c r="K3793" s="20">
        <v>199.0</v>
      </c>
      <c r="L3793" s="20"/>
      <c r="M3793" s="20">
        <v>199.0</v>
      </c>
      <c r="N3793" s="5" t="s">
        <v>67</v>
      </c>
      <c r="O3793" s="20" t="b">
        <v>0</v>
      </c>
      <c r="P3793" s="20" t="s">
        <v>68</v>
      </c>
      <c r="Q3793" s="20" t="s">
        <v>69</v>
      </c>
      <c r="R3793" s="20" t="s">
        <v>4799</v>
      </c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</row>
    <row r="3794">
      <c r="A3794" s="15" t="s">
        <v>12293</v>
      </c>
      <c r="B3794" s="19" t="s">
        <v>5087</v>
      </c>
      <c r="C3794" s="20">
        <v>50094.0</v>
      </c>
      <c r="D3794" s="20" t="s">
        <v>5086</v>
      </c>
      <c r="E3794" s="5">
        <v>9.19582144911E11</v>
      </c>
      <c r="F3794" s="21">
        <v>20328.0</v>
      </c>
      <c r="G3794" s="20"/>
      <c r="H3794" s="20" t="s">
        <v>4942</v>
      </c>
      <c r="I3794" s="5"/>
      <c r="J3794" s="20">
        <v>1.0</v>
      </c>
      <c r="K3794" s="20">
        <v>199.0</v>
      </c>
      <c r="L3794" s="20"/>
      <c r="M3794" s="20">
        <v>199.0</v>
      </c>
      <c r="N3794" s="5" t="s">
        <v>67</v>
      </c>
      <c r="O3794" s="20" t="b">
        <v>0</v>
      </c>
      <c r="P3794" s="20" t="s">
        <v>68</v>
      </c>
      <c r="Q3794" s="20" t="s">
        <v>69</v>
      </c>
      <c r="R3794" s="20" t="s">
        <v>4945</v>
      </c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</row>
    <row r="3795">
      <c r="A3795" s="15" t="s">
        <v>12298</v>
      </c>
      <c r="B3795" s="19" t="s">
        <v>6455</v>
      </c>
      <c r="C3795" s="20">
        <v>50043.0</v>
      </c>
      <c r="D3795" s="20" t="s">
        <v>6454</v>
      </c>
      <c r="E3795" s="5">
        <v>9.19996035316E11</v>
      </c>
      <c r="F3795" s="21">
        <v>20331.0</v>
      </c>
      <c r="G3795" s="20"/>
      <c r="H3795" s="20" t="s">
        <v>6367</v>
      </c>
      <c r="I3795" s="5"/>
      <c r="J3795" s="20">
        <v>1.0</v>
      </c>
      <c r="K3795" s="20">
        <v>99.0</v>
      </c>
      <c r="L3795" s="20"/>
      <c r="M3795" s="20">
        <v>99.0</v>
      </c>
      <c r="N3795" s="5" t="s">
        <v>67</v>
      </c>
      <c r="O3795" s="20" t="b">
        <v>0</v>
      </c>
      <c r="P3795" s="20" t="s">
        <v>68</v>
      </c>
      <c r="Q3795" s="20" t="s">
        <v>69</v>
      </c>
      <c r="R3795" s="20" t="s">
        <v>6369</v>
      </c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</row>
    <row r="3796">
      <c r="A3796" s="15" t="s">
        <v>12294</v>
      </c>
      <c r="B3796" s="19" t="s">
        <v>4029</v>
      </c>
      <c r="C3796" s="20">
        <v>50086.0</v>
      </c>
      <c r="D3796" s="20" t="s">
        <v>4028</v>
      </c>
      <c r="E3796" s="5">
        <v>9.19952955477E11</v>
      </c>
      <c r="F3796" s="21">
        <v>20329.0</v>
      </c>
      <c r="G3796" s="20"/>
      <c r="H3796" s="20" t="s">
        <v>3986</v>
      </c>
      <c r="I3796" s="5"/>
      <c r="J3796" s="20">
        <v>1.0</v>
      </c>
      <c r="K3796" s="20">
        <v>249.0</v>
      </c>
      <c r="L3796" s="20"/>
      <c r="M3796" s="20">
        <v>249.0</v>
      </c>
      <c r="N3796" s="5" t="s">
        <v>67</v>
      </c>
      <c r="O3796" s="20" t="b">
        <v>0</v>
      </c>
      <c r="P3796" s="20" t="s">
        <v>74</v>
      </c>
      <c r="Q3796" s="20" t="s">
        <v>69</v>
      </c>
      <c r="R3796" s="20" t="s">
        <v>3988</v>
      </c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</row>
    <row r="3797">
      <c r="A3797" s="15" t="s">
        <v>12295</v>
      </c>
      <c r="B3797" s="19" t="s">
        <v>4882</v>
      </c>
      <c r="C3797" s="20">
        <v>49996.0</v>
      </c>
      <c r="D3797" s="20" t="s">
        <v>4881</v>
      </c>
      <c r="E3797" s="5">
        <v>9.18637564797E11</v>
      </c>
      <c r="F3797" s="21">
        <v>20330.0</v>
      </c>
      <c r="G3797" s="20"/>
      <c r="H3797" s="20" t="s">
        <v>4796</v>
      </c>
      <c r="I3797" s="5"/>
      <c r="J3797" s="20">
        <v>6.0</v>
      </c>
      <c r="K3797" s="20">
        <v>349.0</v>
      </c>
      <c r="L3797" s="20"/>
      <c r="M3797" s="20">
        <v>349.0</v>
      </c>
      <c r="N3797" s="5" t="s">
        <v>67</v>
      </c>
      <c r="O3797" s="20" t="b">
        <v>0</v>
      </c>
      <c r="P3797" s="20" t="s">
        <v>68</v>
      </c>
      <c r="Q3797" s="20" t="s">
        <v>69</v>
      </c>
      <c r="R3797" s="20" t="s">
        <v>4799</v>
      </c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</row>
    <row r="3798">
      <c r="A3798" s="15" t="s">
        <v>12299</v>
      </c>
      <c r="B3798" s="19" t="s">
        <v>3877</v>
      </c>
      <c r="C3798" s="20">
        <v>49907.0</v>
      </c>
      <c r="D3798" s="20" t="s">
        <v>3876</v>
      </c>
      <c r="E3798" s="5">
        <v>9.19959089829E11</v>
      </c>
      <c r="F3798" s="21">
        <v>20332.0</v>
      </c>
      <c r="G3798" s="20"/>
      <c r="H3798" s="20" t="s">
        <v>587</v>
      </c>
      <c r="I3798" s="5"/>
      <c r="J3798" s="20">
        <v>3.0</v>
      </c>
      <c r="K3798" s="20">
        <v>199.0</v>
      </c>
      <c r="L3798" s="20"/>
      <c r="M3798" s="20">
        <v>199.0</v>
      </c>
      <c r="N3798" s="5" t="s">
        <v>67</v>
      </c>
      <c r="O3798" s="20" t="b">
        <v>0</v>
      </c>
      <c r="P3798" s="20" t="s">
        <v>151</v>
      </c>
      <c r="Q3798" s="20" t="s">
        <v>69</v>
      </c>
      <c r="R3798" s="20" t="s">
        <v>3774</v>
      </c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</row>
    <row r="3799">
      <c r="A3799" s="15" t="s">
        <v>12300</v>
      </c>
      <c r="B3799" s="19" t="s">
        <v>6319</v>
      </c>
      <c r="C3799" s="20">
        <v>49998.0</v>
      </c>
      <c r="D3799" s="20" t="s">
        <v>6318</v>
      </c>
      <c r="E3799" s="5">
        <v>9.19408946599E11</v>
      </c>
      <c r="F3799" s="21">
        <v>20333.0</v>
      </c>
      <c r="G3799" s="20"/>
      <c r="H3799" s="20" t="s">
        <v>6250</v>
      </c>
      <c r="I3799" s="5"/>
      <c r="J3799" s="20">
        <v>1.0</v>
      </c>
      <c r="K3799" s="20">
        <v>99.0</v>
      </c>
      <c r="L3799" s="20"/>
      <c r="M3799" s="20">
        <v>99.0</v>
      </c>
      <c r="N3799" s="5" t="s">
        <v>67</v>
      </c>
      <c r="O3799" s="20" t="b">
        <v>0</v>
      </c>
      <c r="P3799" s="20" t="s">
        <v>68</v>
      </c>
      <c r="Q3799" s="20" t="s">
        <v>69</v>
      </c>
      <c r="R3799" s="20" t="s">
        <v>6252</v>
      </c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</row>
    <row r="3800">
      <c r="A3800" s="15" t="s">
        <v>12305</v>
      </c>
      <c r="B3800" s="19" t="s">
        <v>5507</v>
      </c>
      <c r="C3800" s="20">
        <v>49844.0</v>
      </c>
      <c r="D3800" s="20" t="s">
        <v>5506</v>
      </c>
      <c r="E3800" s="5">
        <v>9.19891623596E11</v>
      </c>
      <c r="F3800" s="21">
        <v>20335.0</v>
      </c>
      <c r="G3800" s="20"/>
      <c r="H3800" s="20" t="s">
        <v>885</v>
      </c>
      <c r="I3800" s="5"/>
      <c r="J3800" s="20">
        <v>1.0</v>
      </c>
      <c r="K3800" s="20">
        <v>99.0</v>
      </c>
      <c r="L3800" s="20"/>
      <c r="M3800" s="20">
        <v>99.0</v>
      </c>
      <c r="N3800" s="5" t="s">
        <v>67</v>
      </c>
      <c r="O3800" s="20" t="b">
        <v>0</v>
      </c>
      <c r="P3800" s="20" t="s">
        <v>68</v>
      </c>
      <c r="Q3800" s="20" t="s">
        <v>69</v>
      </c>
      <c r="R3800" s="20" t="s">
        <v>5476</v>
      </c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</row>
    <row r="3801">
      <c r="A3801" s="15" t="s">
        <v>12422</v>
      </c>
      <c r="B3801" s="19" t="s">
        <v>4266</v>
      </c>
      <c r="C3801" s="20">
        <v>49833.0</v>
      </c>
      <c r="D3801" s="20" t="s">
        <v>4265</v>
      </c>
      <c r="E3801" s="5">
        <v>9.18124979749E11</v>
      </c>
      <c r="F3801" s="21">
        <v>20373.0</v>
      </c>
      <c r="G3801" s="20"/>
      <c r="H3801" s="20" t="s">
        <v>4030</v>
      </c>
      <c r="I3801" s="5"/>
      <c r="J3801" s="20">
        <v>1.0</v>
      </c>
      <c r="K3801" s="20">
        <v>149.0</v>
      </c>
      <c r="L3801" s="20"/>
      <c r="M3801" s="20">
        <v>149.0</v>
      </c>
      <c r="N3801" s="5" t="s">
        <v>67</v>
      </c>
      <c r="O3801" s="20" t="b">
        <v>0</v>
      </c>
      <c r="P3801" s="20" t="s">
        <v>68</v>
      </c>
      <c r="Q3801" s="20" t="s">
        <v>69</v>
      </c>
      <c r="R3801" s="20" t="s">
        <v>4033</v>
      </c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</row>
    <row r="3802">
      <c r="A3802" s="15" t="s">
        <v>12309</v>
      </c>
      <c r="B3802" s="19" t="s">
        <v>2598</v>
      </c>
      <c r="C3802" s="20">
        <v>49997.0</v>
      </c>
      <c r="D3802" s="20" t="s">
        <v>2597</v>
      </c>
      <c r="E3802" s="5">
        <v>9.17661053799E11</v>
      </c>
      <c r="F3802" s="21">
        <v>20337.0</v>
      </c>
      <c r="G3802" s="20"/>
      <c r="H3802" s="20" t="s">
        <v>2455</v>
      </c>
      <c r="I3802" s="5"/>
      <c r="J3802" s="20">
        <v>1.0</v>
      </c>
      <c r="K3802" s="20">
        <v>99.0</v>
      </c>
      <c r="L3802" s="20"/>
      <c r="M3802" s="20">
        <v>99.0</v>
      </c>
      <c r="N3802" s="5" t="s">
        <v>67</v>
      </c>
      <c r="O3802" s="20" t="b">
        <v>0</v>
      </c>
      <c r="P3802" s="20" t="s">
        <v>68</v>
      </c>
      <c r="Q3802" s="20" t="s">
        <v>69</v>
      </c>
      <c r="R3802" s="20" t="s">
        <v>2457</v>
      </c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</row>
    <row r="3803">
      <c r="A3803" s="15" t="s">
        <v>12423</v>
      </c>
      <c r="B3803" s="19" t="s">
        <v>4268</v>
      </c>
      <c r="C3803" s="20">
        <v>49833.0</v>
      </c>
      <c r="D3803" s="20" t="s">
        <v>4267</v>
      </c>
      <c r="E3803" s="5">
        <v>9.17973153073E11</v>
      </c>
      <c r="F3803" s="21">
        <v>20374.0</v>
      </c>
      <c r="G3803" s="20"/>
      <c r="H3803" s="20" t="s">
        <v>4030</v>
      </c>
      <c r="I3803" s="5"/>
      <c r="J3803" s="20">
        <v>3.0</v>
      </c>
      <c r="K3803" s="20">
        <v>299.0</v>
      </c>
      <c r="L3803" s="20"/>
      <c r="M3803" s="20">
        <v>299.0</v>
      </c>
      <c r="N3803" s="5" t="s">
        <v>67</v>
      </c>
      <c r="O3803" s="20" t="b">
        <v>0</v>
      </c>
      <c r="P3803" s="20" t="s">
        <v>68</v>
      </c>
      <c r="Q3803" s="20" t="s">
        <v>69</v>
      </c>
      <c r="R3803" s="20" t="s">
        <v>4033</v>
      </c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</row>
    <row r="3804">
      <c r="A3804" s="15" t="s">
        <v>12425</v>
      </c>
      <c r="B3804" s="19" t="s">
        <v>4884</v>
      </c>
      <c r="C3804" s="20">
        <v>49996.0</v>
      </c>
      <c r="D3804" s="20" t="s">
        <v>4883</v>
      </c>
      <c r="E3804" s="5">
        <v>9.17678024507E11</v>
      </c>
      <c r="F3804" s="21">
        <v>20375.0</v>
      </c>
      <c r="G3804" s="20"/>
      <c r="H3804" s="20" t="s">
        <v>4796</v>
      </c>
      <c r="I3804" s="5"/>
      <c r="J3804" s="20">
        <v>1.0</v>
      </c>
      <c r="K3804" s="20">
        <v>99.0</v>
      </c>
      <c r="L3804" s="20"/>
      <c r="M3804" s="20">
        <v>99.0</v>
      </c>
      <c r="N3804" s="5" t="s">
        <v>67</v>
      </c>
      <c r="O3804" s="20" t="b">
        <v>0</v>
      </c>
      <c r="P3804" s="20" t="s">
        <v>68</v>
      </c>
      <c r="Q3804" s="20" t="s">
        <v>69</v>
      </c>
      <c r="R3804" s="20" t="s">
        <v>4799</v>
      </c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</row>
    <row r="3805">
      <c r="A3805" s="15" t="s">
        <v>12314</v>
      </c>
      <c r="B3805" s="19" t="s">
        <v>5703</v>
      </c>
      <c r="C3805" s="20">
        <v>50023.0</v>
      </c>
      <c r="D3805" s="20" t="s">
        <v>5702</v>
      </c>
      <c r="E3805" s="5">
        <v>9.17974796104E11</v>
      </c>
      <c r="F3805" s="21">
        <v>20338.0</v>
      </c>
      <c r="G3805" s="20"/>
      <c r="H3805" s="20" t="s">
        <v>5508</v>
      </c>
      <c r="I3805" s="5"/>
      <c r="J3805" s="20">
        <v>1.0</v>
      </c>
      <c r="K3805" s="20">
        <v>99.0</v>
      </c>
      <c r="L3805" s="20"/>
      <c r="M3805" s="20">
        <v>99.0</v>
      </c>
      <c r="N3805" s="5" t="s">
        <v>67</v>
      </c>
      <c r="O3805" s="20" t="b">
        <v>0</v>
      </c>
      <c r="P3805" s="20" t="s">
        <v>68</v>
      </c>
      <c r="Q3805" s="20" t="s">
        <v>69</v>
      </c>
      <c r="R3805" s="20" t="s">
        <v>5510</v>
      </c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</row>
    <row r="3806">
      <c r="A3806" s="15" t="s">
        <v>12427</v>
      </c>
      <c r="B3806" s="19" t="s">
        <v>4270</v>
      </c>
      <c r="C3806" s="20">
        <v>49833.0</v>
      </c>
      <c r="D3806" s="20" t="s">
        <v>4269</v>
      </c>
      <c r="E3806" s="5">
        <v>9.18368489041E11</v>
      </c>
      <c r="F3806" s="21">
        <v>20377.0</v>
      </c>
      <c r="G3806" s="20"/>
      <c r="H3806" s="20" t="s">
        <v>4030</v>
      </c>
      <c r="I3806" s="5"/>
      <c r="J3806" s="20">
        <v>1.0</v>
      </c>
      <c r="K3806" s="20">
        <v>149.0</v>
      </c>
      <c r="L3806" s="20"/>
      <c r="M3806" s="20">
        <v>149.0</v>
      </c>
      <c r="N3806" s="5" t="s">
        <v>67</v>
      </c>
      <c r="O3806" s="20" t="b">
        <v>0</v>
      </c>
      <c r="P3806" s="20" t="s">
        <v>68</v>
      </c>
      <c r="Q3806" s="20" t="s">
        <v>69</v>
      </c>
      <c r="R3806" s="20" t="s">
        <v>4033</v>
      </c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</row>
    <row r="3807">
      <c r="A3807" s="15" t="s">
        <v>12426</v>
      </c>
      <c r="B3807" s="19" t="s">
        <v>3593</v>
      </c>
      <c r="C3807" s="20">
        <v>50030.0</v>
      </c>
      <c r="D3807" s="20" t="s">
        <v>3592</v>
      </c>
      <c r="E3807" s="5">
        <v>9.19422396771E11</v>
      </c>
      <c r="F3807" s="21">
        <v>20379.0</v>
      </c>
      <c r="G3807" s="20"/>
      <c r="H3807" s="20" t="s">
        <v>3326</v>
      </c>
      <c r="I3807" s="5"/>
      <c r="J3807" s="20">
        <v>1.0</v>
      </c>
      <c r="K3807" s="20">
        <v>99.0</v>
      </c>
      <c r="L3807" s="20"/>
      <c r="M3807" s="20">
        <v>99.0</v>
      </c>
      <c r="N3807" s="5" t="s">
        <v>67</v>
      </c>
      <c r="O3807" s="20" t="b">
        <v>0</v>
      </c>
      <c r="P3807" s="20" t="s">
        <v>68</v>
      </c>
      <c r="Q3807" s="20" t="s">
        <v>69</v>
      </c>
      <c r="R3807" s="20" t="s">
        <v>3328</v>
      </c>
      <c r="T3807" s="20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</row>
    <row r="3808">
      <c r="A3808" s="15" t="s">
        <v>12430</v>
      </c>
      <c r="B3808" s="19" t="s">
        <v>3699</v>
      </c>
      <c r="C3808" s="20">
        <v>50136.0</v>
      </c>
      <c r="D3808" s="20" t="s">
        <v>3698</v>
      </c>
      <c r="E3808" s="5">
        <v>9.19168114657E11</v>
      </c>
      <c r="F3808" s="21">
        <v>20378.0</v>
      </c>
      <c r="G3808" s="20"/>
      <c r="H3808" s="20" t="s">
        <v>3618</v>
      </c>
      <c r="I3808" s="5"/>
      <c r="J3808" s="20">
        <v>1.0</v>
      </c>
      <c r="K3808" s="20">
        <v>99.0</v>
      </c>
      <c r="L3808" s="20"/>
      <c r="M3808" s="20">
        <v>99.0</v>
      </c>
      <c r="N3808" s="5" t="s">
        <v>67</v>
      </c>
      <c r="O3808" s="20" t="b">
        <v>0</v>
      </c>
      <c r="P3808" s="20" t="s">
        <v>68</v>
      </c>
      <c r="Q3808" s="20" t="s">
        <v>69</v>
      </c>
      <c r="R3808" s="20" t="s">
        <v>3624</v>
      </c>
      <c r="T3808" s="20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</row>
    <row r="3809">
      <c r="A3809" s="15" t="s">
        <v>12438</v>
      </c>
      <c r="B3809" s="19" t="s">
        <v>6681</v>
      </c>
      <c r="C3809" s="20">
        <v>49994.0</v>
      </c>
      <c r="D3809" s="20" t="s">
        <v>6680</v>
      </c>
      <c r="E3809" s="5">
        <v>9.18688976227E11</v>
      </c>
      <c r="F3809" s="21">
        <v>0.0</v>
      </c>
      <c r="G3809" s="20"/>
      <c r="H3809" s="20" t="s">
        <v>1264</v>
      </c>
      <c r="I3809" s="5"/>
      <c r="J3809" s="20">
        <v>1.0</v>
      </c>
      <c r="K3809" s="20">
        <v>99.0</v>
      </c>
      <c r="L3809" s="20"/>
      <c r="M3809" s="20">
        <v>99.0</v>
      </c>
      <c r="N3809" s="5" t="s">
        <v>67</v>
      </c>
      <c r="O3809" s="20" t="b">
        <v>0</v>
      </c>
      <c r="P3809" s="20" t="s">
        <v>68</v>
      </c>
      <c r="Q3809" s="20" t="s">
        <v>69</v>
      </c>
      <c r="R3809" s="20" t="s">
        <v>6615</v>
      </c>
      <c r="T3809" s="20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</row>
    <row r="3810">
      <c r="A3810" s="15" t="s">
        <v>12431</v>
      </c>
      <c r="B3810" s="19" t="s">
        <v>4886</v>
      </c>
      <c r="C3810" s="20">
        <v>49996.0</v>
      </c>
      <c r="D3810" s="20" t="s">
        <v>4885</v>
      </c>
      <c r="E3810" s="5">
        <v>9.17992335992E11</v>
      </c>
      <c r="F3810" s="21">
        <v>20380.0</v>
      </c>
      <c r="G3810" s="20"/>
      <c r="H3810" s="20" t="s">
        <v>4796</v>
      </c>
      <c r="I3810" s="5"/>
      <c r="J3810" s="20">
        <v>1.0</v>
      </c>
      <c r="K3810" s="20">
        <v>99.0</v>
      </c>
      <c r="L3810" s="20"/>
      <c r="M3810" s="20">
        <v>99.0</v>
      </c>
      <c r="N3810" s="5" t="s">
        <v>67</v>
      </c>
      <c r="O3810" s="20" t="b">
        <v>0</v>
      </c>
      <c r="P3810" s="20" t="s">
        <v>68</v>
      </c>
      <c r="Q3810" s="20" t="s">
        <v>69</v>
      </c>
      <c r="R3810" s="20" t="s">
        <v>4799</v>
      </c>
      <c r="T3810" s="20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</row>
    <row r="3811">
      <c r="A3811" s="15" t="s">
        <v>12432</v>
      </c>
      <c r="B3811" s="19" t="s">
        <v>4550</v>
      </c>
      <c r="C3811" s="20">
        <v>50052.0</v>
      </c>
      <c r="D3811" s="20" t="s">
        <v>4459</v>
      </c>
      <c r="E3811" s="5">
        <v>9.19830838748E11</v>
      </c>
      <c r="F3811" s="21">
        <v>18807.0</v>
      </c>
      <c r="G3811" s="20"/>
      <c r="H3811" s="20" t="s">
        <v>4433</v>
      </c>
      <c r="I3811" s="5"/>
      <c r="J3811" s="20">
        <v>3.0</v>
      </c>
      <c r="K3811" s="20">
        <v>199.0</v>
      </c>
      <c r="L3811" s="20"/>
      <c r="M3811" s="20">
        <v>199.0</v>
      </c>
      <c r="N3811" s="5" t="s">
        <v>67</v>
      </c>
      <c r="O3811" s="20" t="b">
        <v>0</v>
      </c>
      <c r="P3811" s="20" t="s">
        <v>68</v>
      </c>
      <c r="Q3811" s="20" t="s">
        <v>69</v>
      </c>
      <c r="R3811" s="20" t="s">
        <v>4435</v>
      </c>
      <c r="T3811" s="20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</row>
    <row r="3812">
      <c r="A3812" s="15" t="s">
        <v>12330</v>
      </c>
      <c r="B3812" s="19" t="s">
        <v>3687</v>
      </c>
      <c r="C3812" s="20">
        <v>50136.0</v>
      </c>
      <c r="D3812" s="20" t="s">
        <v>3686</v>
      </c>
      <c r="E3812" s="5">
        <v>9.19168499108E11</v>
      </c>
      <c r="F3812" s="21">
        <v>20339.0</v>
      </c>
      <c r="G3812" s="20"/>
      <c r="H3812" s="20" t="s">
        <v>3618</v>
      </c>
      <c r="I3812" s="5"/>
      <c r="J3812" s="20">
        <v>6.0</v>
      </c>
      <c r="K3812" s="20">
        <v>349.0</v>
      </c>
      <c r="L3812" s="20"/>
      <c r="M3812" s="20">
        <v>349.0</v>
      </c>
      <c r="N3812" s="5" t="s">
        <v>67</v>
      </c>
      <c r="O3812" s="20" t="b">
        <v>0</v>
      </c>
      <c r="P3812" s="20" t="s">
        <v>68</v>
      </c>
      <c r="Q3812" s="20" t="s">
        <v>69</v>
      </c>
      <c r="R3812" s="20" t="s">
        <v>3624</v>
      </c>
      <c r="T3812" s="20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</row>
    <row r="3813">
      <c r="A3813" s="15" t="s">
        <v>12433</v>
      </c>
      <c r="B3813" s="19" t="s">
        <v>5317</v>
      </c>
      <c r="C3813" s="20">
        <v>50022.0</v>
      </c>
      <c r="D3813" s="20" t="s">
        <v>5316</v>
      </c>
      <c r="E3813" s="5">
        <v>9.19324351884E11</v>
      </c>
      <c r="F3813" s="21">
        <v>20381.0</v>
      </c>
      <c r="G3813" s="20"/>
      <c r="H3813" s="20" t="s">
        <v>5181</v>
      </c>
      <c r="I3813" s="5"/>
      <c r="J3813" s="20">
        <v>1.0</v>
      </c>
      <c r="K3813" s="20">
        <v>99.0</v>
      </c>
      <c r="L3813" s="20"/>
      <c r="M3813" s="20">
        <v>99.0</v>
      </c>
      <c r="N3813" s="5" t="s">
        <v>67</v>
      </c>
      <c r="O3813" s="20" t="b">
        <v>0</v>
      </c>
      <c r="P3813" s="20" t="s">
        <v>68</v>
      </c>
      <c r="Q3813" s="20" t="s">
        <v>69</v>
      </c>
      <c r="R3813" s="20" t="s">
        <v>5183</v>
      </c>
      <c r="T3813" s="20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</row>
    <row r="3814">
      <c r="A3814" s="15" t="s">
        <v>12333</v>
      </c>
      <c r="B3814" s="19" t="s">
        <v>4545</v>
      </c>
      <c r="C3814" s="20">
        <v>50052.0</v>
      </c>
      <c r="D3814" s="20" t="s">
        <v>4544</v>
      </c>
      <c r="E3814" s="5">
        <v>9.1990319666E11</v>
      </c>
      <c r="F3814" s="21">
        <v>20340.0</v>
      </c>
      <c r="G3814" s="20"/>
      <c r="H3814" s="20" t="s">
        <v>4433</v>
      </c>
      <c r="I3814" s="5"/>
      <c r="J3814" s="20">
        <v>1.0</v>
      </c>
      <c r="K3814" s="20">
        <v>99.0</v>
      </c>
      <c r="L3814" s="20"/>
      <c r="M3814" s="20">
        <v>99.0</v>
      </c>
      <c r="N3814" s="5" t="s">
        <v>67</v>
      </c>
      <c r="O3814" s="20" t="b">
        <v>0</v>
      </c>
      <c r="P3814" s="20" t="s">
        <v>74</v>
      </c>
      <c r="Q3814" s="20" t="s">
        <v>69</v>
      </c>
      <c r="R3814" s="20" t="s">
        <v>4435</v>
      </c>
      <c r="T3814" s="20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</row>
    <row r="3815">
      <c r="A3815" s="15" t="s">
        <v>12444</v>
      </c>
      <c r="B3815" s="19" t="s">
        <v>3595</v>
      </c>
      <c r="C3815" s="20">
        <v>50030.0</v>
      </c>
      <c r="D3815" s="20" t="s">
        <v>3594</v>
      </c>
      <c r="E3815" s="5">
        <v>9.18077245841E11</v>
      </c>
      <c r="F3815" s="21">
        <v>20382.0</v>
      </c>
      <c r="G3815" s="20"/>
      <c r="H3815" s="20" t="s">
        <v>3326</v>
      </c>
      <c r="I3815" s="5"/>
      <c r="J3815" s="20">
        <v>1.0</v>
      </c>
      <c r="K3815" s="20">
        <v>99.0</v>
      </c>
      <c r="L3815" s="20"/>
      <c r="M3815" s="20">
        <v>99.0</v>
      </c>
      <c r="N3815" s="5" t="s">
        <v>67</v>
      </c>
      <c r="O3815" s="20" t="b">
        <v>0</v>
      </c>
      <c r="P3815" s="20" t="s">
        <v>68</v>
      </c>
      <c r="Q3815" s="20" t="s">
        <v>69</v>
      </c>
      <c r="R3815" s="20" t="s">
        <v>3328</v>
      </c>
      <c r="T3815" s="20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</row>
    <row r="3816">
      <c r="A3816" s="15" t="s">
        <v>12446</v>
      </c>
      <c r="B3816" s="19" t="s">
        <v>5319</v>
      </c>
      <c r="C3816" s="20">
        <v>50022.0</v>
      </c>
      <c r="D3816" s="20" t="s">
        <v>5318</v>
      </c>
      <c r="E3816" s="5">
        <v>9.18788080444E11</v>
      </c>
      <c r="F3816" s="21">
        <v>20383.0</v>
      </c>
      <c r="G3816" s="20"/>
      <c r="H3816" s="20" t="s">
        <v>5181</v>
      </c>
      <c r="I3816" s="5"/>
      <c r="J3816" s="20">
        <v>1.0</v>
      </c>
      <c r="K3816" s="20">
        <v>99.0</v>
      </c>
      <c r="L3816" s="20"/>
      <c r="M3816" s="20">
        <v>99.0</v>
      </c>
      <c r="N3816" s="5" t="s">
        <v>67</v>
      </c>
      <c r="O3816" s="20" t="b">
        <v>0</v>
      </c>
      <c r="P3816" s="20" t="s">
        <v>68</v>
      </c>
      <c r="Q3816" s="20" t="s">
        <v>69</v>
      </c>
      <c r="R3816" s="20" t="s">
        <v>5183</v>
      </c>
      <c r="T3816" s="20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</row>
    <row r="3817">
      <c r="A3817" s="15" t="s">
        <v>12451</v>
      </c>
      <c r="B3817" s="19" t="s">
        <v>3701</v>
      </c>
      <c r="C3817" s="20">
        <v>50136.0</v>
      </c>
      <c r="D3817" s="20" t="s">
        <v>3700</v>
      </c>
      <c r="E3817" s="5">
        <v>9.19338244662E11</v>
      </c>
      <c r="F3817" s="21">
        <v>20384.0</v>
      </c>
      <c r="G3817" s="20"/>
      <c r="H3817" s="20" t="s">
        <v>3618</v>
      </c>
      <c r="I3817" s="5"/>
      <c r="J3817" s="20">
        <v>1.0</v>
      </c>
      <c r="K3817" s="20">
        <v>99.0</v>
      </c>
      <c r="L3817" s="20"/>
      <c r="M3817" s="20">
        <v>99.0</v>
      </c>
      <c r="N3817" s="5" t="s">
        <v>67</v>
      </c>
      <c r="O3817" s="20" t="b">
        <v>0</v>
      </c>
      <c r="P3817" s="20" t="s">
        <v>68</v>
      </c>
      <c r="Q3817" s="20" t="s">
        <v>69</v>
      </c>
      <c r="R3817" s="20" t="s">
        <v>3624</v>
      </c>
      <c r="T3817" s="20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</row>
    <row r="3818">
      <c r="A3818" s="15" t="s">
        <v>12337</v>
      </c>
      <c r="B3818" s="19" t="s">
        <v>4256</v>
      </c>
      <c r="C3818" s="20">
        <v>49833.0</v>
      </c>
      <c r="D3818" s="20" t="s">
        <v>4255</v>
      </c>
      <c r="E3818" s="5">
        <v>9.19337603073E11</v>
      </c>
      <c r="F3818" s="21">
        <v>20341.0</v>
      </c>
      <c r="G3818" s="20"/>
      <c r="H3818" s="20" t="s">
        <v>4030</v>
      </c>
      <c r="I3818" s="5"/>
      <c r="J3818" s="20">
        <v>1.0</v>
      </c>
      <c r="K3818" s="20">
        <v>149.0</v>
      </c>
      <c r="L3818" s="20"/>
      <c r="M3818" s="20">
        <v>149.0</v>
      </c>
      <c r="N3818" s="5" t="s">
        <v>67</v>
      </c>
      <c r="O3818" s="20" t="b">
        <v>0</v>
      </c>
      <c r="P3818" s="20" t="s">
        <v>68</v>
      </c>
      <c r="Q3818" s="20" t="s">
        <v>69</v>
      </c>
      <c r="R3818" s="20" t="s">
        <v>4033</v>
      </c>
      <c r="T3818" s="20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</row>
    <row r="3819">
      <c r="A3819" s="15" t="s">
        <v>12340</v>
      </c>
      <c r="B3819" s="19" t="s">
        <v>6464</v>
      </c>
      <c r="C3819" s="20">
        <v>50169.0</v>
      </c>
      <c r="D3819" s="20" t="s">
        <v>6463</v>
      </c>
      <c r="E3819" s="5">
        <v>9.1895117747E11</v>
      </c>
      <c r="F3819" s="21">
        <v>20345.0</v>
      </c>
      <c r="G3819" s="20"/>
      <c r="H3819" s="20" t="s">
        <v>6462</v>
      </c>
      <c r="I3819" s="5"/>
      <c r="J3819" s="20">
        <v>3.0</v>
      </c>
      <c r="K3819" s="20">
        <v>999.0</v>
      </c>
      <c r="L3819" s="20"/>
      <c r="M3819" s="20">
        <v>999.0</v>
      </c>
      <c r="N3819" s="5" t="s">
        <v>67</v>
      </c>
      <c r="O3819" s="20" t="b">
        <v>0</v>
      </c>
      <c r="P3819" s="20" t="s">
        <v>68</v>
      </c>
      <c r="Q3819" s="20" t="s">
        <v>69</v>
      </c>
      <c r="R3819" s="20" t="s">
        <v>6465</v>
      </c>
      <c r="T3819" s="20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</row>
    <row r="3820">
      <c r="A3820" s="15" t="s">
        <v>12339</v>
      </c>
      <c r="B3820" s="19" t="s">
        <v>4258</v>
      </c>
      <c r="C3820" s="20">
        <v>49833.0</v>
      </c>
      <c r="D3820" s="20" t="s">
        <v>4257</v>
      </c>
      <c r="E3820" s="5">
        <v>9.18291899207E11</v>
      </c>
      <c r="F3820" s="21">
        <v>20343.0</v>
      </c>
      <c r="G3820" s="20"/>
      <c r="H3820" s="20" t="s">
        <v>4030</v>
      </c>
      <c r="I3820" s="5"/>
      <c r="J3820" s="20">
        <v>1.0</v>
      </c>
      <c r="K3820" s="20">
        <v>149.0</v>
      </c>
      <c r="L3820" s="20"/>
      <c r="M3820" s="20">
        <v>149.0</v>
      </c>
      <c r="N3820" s="5" t="s">
        <v>67</v>
      </c>
      <c r="O3820" s="20" t="b">
        <v>0</v>
      </c>
      <c r="P3820" s="20" t="s">
        <v>68</v>
      </c>
      <c r="Q3820" s="20" t="s">
        <v>69</v>
      </c>
      <c r="R3820" s="20" t="s">
        <v>4033</v>
      </c>
      <c r="T3820" s="20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</row>
    <row r="3821">
      <c r="A3821" s="15" t="s">
        <v>12341</v>
      </c>
      <c r="B3821" s="19" t="s">
        <v>4260</v>
      </c>
      <c r="C3821" s="20">
        <v>49833.0</v>
      </c>
      <c r="D3821" s="20" t="s">
        <v>4259</v>
      </c>
      <c r="E3821" s="5">
        <v>9.17093753974E11</v>
      </c>
      <c r="F3821" s="21">
        <v>20346.0</v>
      </c>
      <c r="G3821" s="20"/>
      <c r="H3821" s="20" t="s">
        <v>4030</v>
      </c>
      <c r="I3821" s="5"/>
      <c r="J3821" s="20">
        <v>1.0</v>
      </c>
      <c r="K3821" s="20">
        <v>149.0</v>
      </c>
      <c r="L3821" s="20"/>
      <c r="M3821" s="20">
        <v>149.0</v>
      </c>
      <c r="N3821" s="5" t="s">
        <v>67</v>
      </c>
      <c r="O3821" s="20" t="b">
        <v>0</v>
      </c>
      <c r="P3821" s="20" t="s">
        <v>68</v>
      </c>
      <c r="Q3821" s="20" t="s">
        <v>69</v>
      </c>
      <c r="R3821" s="20" t="s">
        <v>4033</v>
      </c>
      <c r="T3821" s="20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</row>
    <row r="3822">
      <c r="A3822" s="15" t="s">
        <v>12463</v>
      </c>
      <c r="B3822" s="19" t="s">
        <v>5705</v>
      </c>
      <c r="C3822" s="20">
        <v>50023.0</v>
      </c>
      <c r="D3822" s="20" t="s">
        <v>5704</v>
      </c>
      <c r="E3822" s="5">
        <v>9.17991700859E11</v>
      </c>
      <c r="F3822" s="21">
        <v>20385.0</v>
      </c>
      <c r="G3822" s="20"/>
      <c r="H3822" s="20" t="s">
        <v>5508</v>
      </c>
      <c r="I3822" s="5"/>
      <c r="J3822" s="20">
        <v>1.0</v>
      </c>
      <c r="K3822" s="20">
        <v>99.0</v>
      </c>
      <c r="L3822" s="20"/>
      <c r="M3822" s="20">
        <v>99.0</v>
      </c>
      <c r="N3822" s="5" t="s">
        <v>67</v>
      </c>
      <c r="O3822" s="20" t="b">
        <v>0</v>
      </c>
      <c r="P3822" s="20" t="s">
        <v>151</v>
      </c>
      <c r="Q3822" s="20" t="s">
        <v>69</v>
      </c>
      <c r="R3822" s="20" t="s">
        <v>5510</v>
      </c>
      <c r="T3822" s="20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</row>
    <row r="3823">
      <c r="A3823" s="15" t="s">
        <v>12465</v>
      </c>
      <c r="B3823" s="19" t="s">
        <v>3597</v>
      </c>
      <c r="C3823" s="20">
        <v>50030.0</v>
      </c>
      <c r="D3823" s="20" t="s">
        <v>3596</v>
      </c>
      <c r="E3823" s="5">
        <v>9.17842238944E11</v>
      </c>
      <c r="F3823" s="21">
        <v>20387.0</v>
      </c>
      <c r="G3823" s="20"/>
      <c r="H3823" s="20" t="s">
        <v>3326</v>
      </c>
      <c r="I3823" s="5"/>
      <c r="J3823" s="20">
        <v>3.0</v>
      </c>
      <c r="K3823" s="20">
        <v>199.0</v>
      </c>
      <c r="L3823" s="20"/>
      <c r="M3823" s="20">
        <v>199.0</v>
      </c>
      <c r="N3823" s="5" t="s">
        <v>67</v>
      </c>
      <c r="O3823" s="20" t="b">
        <v>0</v>
      </c>
      <c r="P3823" s="20" t="s">
        <v>68</v>
      </c>
      <c r="Q3823" s="20" t="s">
        <v>69</v>
      </c>
      <c r="R3823" s="20" t="s">
        <v>3328</v>
      </c>
      <c r="T3823" s="20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</row>
    <row r="3824">
      <c r="A3824" s="15" t="s">
        <v>12466</v>
      </c>
      <c r="B3824" s="19" t="s">
        <v>6683</v>
      </c>
      <c r="C3824" s="20">
        <v>49994.0</v>
      </c>
      <c r="D3824" s="20" t="s">
        <v>6682</v>
      </c>
      <c r="E3824" s="5">
        <v>9.19819266878E11</v>
      </c>
      <c r="F3824" s="21">
        <v>20388.0</v>
      </c>
      <c r="G3824" s="20"/>
      <c r="H3824" s="20" t="s">
        <v>1264</v>
      </c>
      <c r="I3824" s="5"/>
      <c r="J3824" s="20">
        <v>3.0</v>
      </c>
      <c r="K3824" s="20">
        <v>199.0</v>
      </c>
      <c r="L3824" s="20"/>
      <c r="M3824" s="20">
        <v>199.0</v>
      </c>
      <c r="N3824" s="5" t="s">
        <v>67</v>
      </c>
      <c r="O3824" s="20" t="b">
        <v>0</v>
      </c>
      <c r="P3824" s="20" t="s">
        <v>68</v>
      </c>
      <c r="Q3824" s="20" t="s">
        <v>69</v>
      </c>
      <c r="R3824" s="20" t="s">
        <v>6615</v>
      </c>
      <c r="T3824" s="20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</row>
    <row r="3825">
      <c r="A3825" s="15" t="s">
        <v>12342</v>
      </c>
      <c r="B3825" s="19" t="s">
        <v>3763</v>
      </c>
      <c r="C3825" s="20">
        <v>50104.0</v>
      </c>
      <c r="D3825" s="20" t="s">
        <v>3762</v>
      </c>
      <c r="E3825" s="5">
        <v>9.19985334362E11</v>
      </c>
      <c r="F3825" s="21">
        <v>20347.0</v>
      </c>
      <c r="G3825" s="20"/>
      <c r="H3825" s="20" t="s">
        <v>3708</v>
      </c>
      <c r="I3825" s="5"/>
      <c r="J3825" s="20">
        <v>3.0</v>
      </c>
      <c r="K3825" s="20">
        <v>199.0</v>
      </c>
      <c r="L3825" s="20"/>
      <c r="M3825" s="20">
        <v>199.0</v>
      </c>
      <c r="N3825" s="5" t="s">
        <v>67</v>
      </c>
      <c r="O3825" s="20" t="b">
        <v>0</v>
      </c>
      <c r="P3825" s="20" t="s">
        <v>68</v>
      </c>
      <c r="Q3825" s="20" t="s">
        <v>69</v>
      </c>
      <c r="R3825" s="20" t="s">
        <v>3710</v>
      </c>
      <c r="T3825" s="20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</row>
    <row r="3826">
      <c r="A3826" s="15" t="s">
        <v>12343</v>
      </c>
      <c r="B3826" s="19" t="s">
        <v>6457</v>
      </c>
      <c r="C3826" s="20">
        <v>50043.0</v>
      </c>
      <c r="D3826" s="20" t="s">
        <v>6456</v>
      </c>
      <c r="E3826" s="5">
        <v>9.19619940252E11</v>
      </c>
      <c r="F3826" s="21">
        <v>20348.0</v>
      </c>
      <c r="G3826" s="20"/>
      <c r="H3826" s="20" t="s">
        <v>6367</v>
      </c>
      <c r="I3826" s="5"/>
      <c r="J3826" s="20">
        <v>1.0</v>
      </c>
      <c r="K3826" s="20">
        <v>99.0</v>
      </c>
      <c r="L3826" s="20"/>
      <c r="M3826" s="20">
        <v>99.0</v>
      </c>
      <c r="N3826" s="5" t="s">
        <v>67</v>
      </c>
      <c r="O3826" s="20" t="b">
        <v>0</v>
      </c>
      <c r="P3826" s="20" t="s">
        <v>68</v>
      </c>
      <c r="Q3826" s="20" t="s">
        <v>69</v>
      </c>
      <c r="R3826" s="20" t="s">
        <v>6369</v>
      </c>
      <c r="T3826" s="20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</row>
    <row r="3827">
      <c r="A3827" s="15" t="s">
        <v>12468</v>
      </c>
      <c r="B3827" s="19" t="s">
        <v>3599</v>
      </c>
      <c r="C3827" s="20">
        <v>50030.0</v>
      </c>
      <c r="D3827" s="20" t="s">
        <v>3598</v>
      </c>
      <c r="E3827" s="5">
        <v>9.17904570793E11</v>
      </c>
      <c r="F3827" s="21">
        <v>20389.0</v>
      </c>
      <c r="G3827" s="20"/>
      <c r="H3827" s="20" t="s">
        <v>3326</v>
      </c>
      <c r="I3827" s="5"/>
      <c r="J3827" s="20">
        <v>6.0</v>
      </c>
      <c r="K3827" s="20">
        <v>349.0</v>
      </c>
      <c r="L3827" s="20"/>
      <c r="M3827" s="20">
        <v>349.0</v>
      </c>
      <c r="N3827" s="5" t="s">
        <v>67</v>
      </c>
      <c r="O3827" s="20" t="b">
        <v>0</v>
      </c>
      <c r="P3827" s="20" t="s">
        <v>68</v>
      </c>
      <c r="Q3827" s="20" t="s">
        <v>69</v>
      </c>
      <c r="R3827" s="20" t="s">
        <v>3328</v>
      </c>
      <c r="T3827" s="20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</row>
    <row r="3828">
      <c r="A3828" s="15" t="s">
        <v>12469</v>
      </c>
      <c r="B3828" s="19" t="s">
        <v>3601</v>
      </c>
      <c r="C3828" s="20">
        <v>50030.0</v>
      </c>
      <c r="D3828" s="20" t="s">
        <v>3600</v>
      </c>
      <c r="E3828" s="5">
        <v>9.19945441387E11</v>
      </c>
      <c r="F3828" s="21">
        <v>20391.0</v>
      </c>
      <c r="G3828" s="20"/>
      <c r="H3828" s="20" t="s">
        <v>3326</v>
      </c>
      <c r="I3828" s="5"/>
      <c r="J3828" s="20">
        <v>1.0</v>
      </c>
      <c r="K3828" s="20">
        <v>99.0</v>
      </c>
      <c r="L3828" s="20"/>
      <c r="M3828" s="20">
        <v>99.0</v>
      </c>
      <c r="N3828" s="5" t="s">
        <v>67</v>
      </c>
      <c r="O3828" s="20" t="b">
        <v>0</v>
      </c>
      <c r="P3828" s="20" t="s">
        <v>68</v>
      </c>
      <c r="Q3828" s="20" t="s">
        <v>69</v>
      </c>
      <c r="R3828" s="20" t="s">
        <v>3328</v>
      </c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</row>
    <row r="3829">
      <c r="A3829" s="15" t="s">
        <v>12348</v>
      </c>
      <c r="B3829" s="19" t="s">
        <v>3689</v>
      </c>
      <c r="C3829" s="20">
        <v>50136.0</v>
      </c>
      <c r="D3829" s="20" t="s">
        <v>3688</v>
      </c>
      <c r="E3829" s="5">
        <v>9.19769249122E11</v>
      </c>
      <c r="F3829" s="21">
        <v>20349.0</v>
      </c>
      <c r="G3829" s="20"/>
      <c r="H3829" s="20" t="s">
        <v>3618</v>
      </c>
      <c r="I3829" s="5"/>
      <c r="J3829" s="20">
        <v>1.0</v>
      </c>
      <c r="K3829" s="20">
        <v>99.0</v>
      </c>
      <c r="L3829" s="20"/>
      <c r="M3829" s="20">
        <v>99.0</v>
      </c>
      <c r="N3829" s="5" t="s">
        <v>67</v>
      </c>
      <c r="O3829" s="20" t="b">
        <v>0</v>
      </c>
      <c r="P3829" s="20" t="s">
        <v>68</v>
      </c>
      <c r="Q3829" s="20" t="s">
        <v>69</v>
      </c>
      <c r="R3829" s="20" t="s">
        <v>3621</v>
      </c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</row>
    <row r="3830">
      <c r="A3830" s="15" t="s">
        <v>12471</v>
      </c>
      <c r="B3830" s="19" t="s">
        <v>4793</v>
      </c>
      <c r="C3830" s="20">
        <v>49859.0</v>
      </c>
      <c r="D3830" s="20" t="s">
        <v>4792</v>
      </c>
      <c r="E3830" s="5">
        <v>9.19593264031E11</v>
      </c>
      <c r="F3830" s="21">
        <v>20390.0</v>
      </c>
      <c r="G3830" s="20"/>
      <c r="H3830" s="20" t="s">
        <v>1133</v>
      </c>
      <c r="I3830" s="5"/>
      <c r="J3830" s="20">
        <v>1.0</v>
      </c>
      <c r="K3830" s="20">
        <v>99.0</v>
      </c>
      <c r="L3830" s="20"/>
      <c r="M3830" s="20">
        <v>99.0</v>
      </c>
      <c r="N3830" s="5" t="s">
        <v>67</v>
      </c>
      <c r="O3830" s="20" t="b">
        <v>0</v>
      </c>
      <c r="P3830" s="20" t="s">
        <v>68</v>
      </c>
      <c r="Q3830" s="20" t="s">
        <v>69</v>
      </c>
      <c r="R3830" s="20" t="s">
        <v>4736</v>
      </c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</row>
    <row r="3831">
      <c r="A3831" s="15" t="s">
        <v>12359</v>
      </c>
      <c r="B3831" s="19" t="s">
        <v>2908</v>
      </c>
      <c r="C3831" s="20">
        <v>50029.0</v>
      </c>
      <c r="D3831" s="20" t="s">
        <v>2297</v>
      </c>
      <c r="E3831" s="5">
        <v>9.19836155541E11</v>
      </c>
      <c r="F3831" s="22" t="s">
        <v>12593</v>
      </c>
      <c r="G3831" s="20"/>
      <c r="H3831" s="20" t="s">
        <v>2761</v>
      </c>
      <c r="I3831" s="5"/>
      <c r="J3831" s="20">
        <v>1.0</v>
      </c>
      <c r="K3831" s="20">
        <v>99.0</v>
      </c>
      <c r="L3831" s="20"/>
      <c r="M3831" s="20">
        <v>99.0</v>
      </c>
      <c r="N3831" s="5" t="s">
        <v>67</v>
      </c>
      <c r="O3831" s="20" t="b">
        <v>0</v>
      </c>
      <c r="P3831" s="20" t="s">
        <v>68</v>
      </c>
      <c r="Q3831" s="20" t="s">
        <v>69</v>
      </c>
      <c r="R3831" s="20" t="s">
        <v>2763</v>
      </c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</row>
    <row r="3832">
      <c r="A3832" s="15" t="s">
        <v>12360</v>
      </c>
      <c r="B3832" s="19" t="s">
        <v>5729</v>
      </c>
      <c r="C3832" s="20">
        <v>50036.0</v>
      </c>
      <c r="D3832" s="20" t="s">
        <v>5728</v>
      </c>
      <c r="E3832" s="5">
        <v>9.17303332887E11</v>
      </c>
      <c r="F3832" s="21">
        <v>20351.0</v>
      </c>
      <c r="G3832" s="20"/>
      <c r="H3832" s="20" t="s">
        <v>1320</v>
      </c>
      <c r="I3832" s="5"/>
      <c r="J3832" s="20">
        <v>1.0</v>
      </c>
      <c r="K3832" s="20">
        <v>199.0</v>
      </c>
      <c r="L3832" s="20"/>
      <c r="M3832" s="20">
        <v>199.0</v>
      </c>
      <c r="N3832" s="5" t="s">
        <v>67</v>
      </c>
      <c r="O3832" s="20" t="b">
        <v>0</v>
      </c>
      <c r="P3832" s="20" t="s">
        <v>68</v>
      </c>
      <c r="Q3832" s="20" t="s">
        <v>69</v>
      </c>
      <c r="R3832" s="20" t="s">
        <v>5709</v>
      </c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</row>
    <row r="3833">
      <c r="A3833" s="15" t="s">
        <v>12363</v>
      </c>
      <c r="B3833" s="19" t="s">
        <v>5314</v>
      </c>
      <c r="C3833" s="20">
        <v>50022.0</v>
      </c>
      <c r="D3833" s="20" t="s">
        <v>5313</v>
      </c>
      <c r="E3833" s="5">
        <v>9.19481776791E11</v>
      </c>
      <c r="F3833" s="21">
        <v>20353.0</v>
      </c>
      <c r="G3833" s="20"/>
      <c r="H3833" s="20" t="s">
        <v>5181</v>
      </c>
      <c r="I3833" s="5"/>
      <c r="J3833" s="20">
        <v>1.0</v>
      </c>
      <c r="K3833" s="20">
        <v>99.0</v>
      </c>
      <c r="L3833" s="20"/>
      <c r="M3833" s="20">
        <v>99.0</v>
      </c>
      <c r="N3833" s="5" t="s">
        <v>67</v>
      </c>
      <c r="O3833" s="20" t="b">
        <v>0</v>
      </c>
      <c r="P3833" s="20" t="s">
        <v>68</v>
      </c>
      <c r="Q3833" s="20" t="s">
        <v>69</v>
      </c>
      <c r="R3833" s="20" t="s">
        <v>5183</v>
      </c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</row>
    <row r="3834">
      <c r="A3834" s="15" t="s">
        <v>12361</v>
      </c>
      <c r="B3834" s="19" t="s">
        <v>4262</v>
      </c>
      <c r="C3834" s="20">
        <v>49833.0</v>
      </c>
      <c r="D3834" s="20" t="s">
        <v>4261</v>
      </c>
      <c r="E3834" s="5">
        <v>9.17041965001E11</v>
      </c>
      <c r="F3834" s="21">
        <v>20352.0</v>
      </c>
      <c r="G3834" s="20"/>
      <c r="H3834" s="20" t="s">
        <v>4030</v>
      </c>
      <c r="I3834" s="5"/>
      <c r="J3834" s="20">
        <v>1.0</v>
      </c>
      <c r="K3834" s="20">
        <v>149.0</v>
      </c>
      <c r="L3834" s="20"/>
      <c r="M3834" s="20">
        <v>149.0</v>
      </c>
      <c r="N3834" s="5" t="s">
        <v>67</v>
      </c>
      <c r="O3834" s="20" t="b">
        <v>0</v>
      </c>
      <c r="P3834" s="20" t="s">
        <v>68</v>
      </c>
      <c r="Q3834" s="20" t="s">
        <v>69</v>
      </c>
      <c r="R3834" s="20" t="s">
        <v>4033</v>
      </c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</row>
    <row r="3835">
      <c r="A3835" s="15" t="s">
        <v>12485</v>
      </c>
      <c r="B3835" s="19" t="s">
        <v>5707</v>
      </c>
      <c r="C3835" s="20">
        <v>50023.0</v>
      </c>
      <c r="D3835" s="20" t="s">
        <v>5706</v>
      </c>
      <c r="E3835" s="5">
        <v>9.18637236842E11</v>
      </c>
      <c r="F3835" s="21">
        <v>20394.0</v>
      </c>
      <c r="G3835" s="20"/>
      <c r="H3835" s="20" t="s">
        <v>5508</v>
      </c>
      <c r="I3835" s="5"/>
      <c r="J3835" s="20">
        <v>1.0</v>
      </c>
      <c r="K3835" s="20">
        <v>99.0</v>
      </c>
      <c r="L3835" s="20"/>
      <c r="M3835" s="20">
        <v>99.0</v>
      </c>
      <c r="N3835" s="5" t="s">
        <v>67</v>
      </c>
      <c r="O3835" s="20" t="b">
        <v>0</v>
      </c>
      <c r="P3835" s="20" t="s">
        <v>151</v>
      </c>
      <c r="Q3835" s="20" t="s">
        <v>69</v>
      </c>
      <c r="R3835" s="20" t="s">
        <v>5510</v>
      </c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</row>
    <row r="3836">
      <c r="A3836" s="15" t="s">
        <v>12492</v>
      </c>
      <c r="B3836" s="19" t="s">
        <v>4795</v>
      </c>
      <c r="C3836" s="20">
        <v>49859.0</v>
      </c>
      <c r="D3836" s="20" t="s">
        <v>4794</v>
      </c>
      <c r="E3836" s="5">
        <v>9.1907809715E11</v>
      </c>
      <c r="F3836" s="21">
        <v>20395.0</v>
      </c>
      <c r="G3836" s="20"/>
      <c r="H3836" s="20" t="s">
        <v>1133</v>
      </c>
      <c r="I3836" s="5"/>
      <c r="J3836" s="20">
        <v>1.0</v>
      </c>
      <c r="K3836" s="20">
        <v>99.0</v>
      </c>
      <c r="L3836" s="20"/>
      <c r="M3836" s="20">
        <v>99.0</v>
      </c>
      <c r="N3836" s="5" t="s">
        <v>67</v>
      </c>
      <c r="O3836" s="20" t="b">
        <v>0</v>
      </c>
      <c r="P3836" s="20" t="s">
        <v>68</v>
      </c>
      <c r="Q3836" s="20" t="s">
        <v>69</v>
      </c>
      <c r="R3836" s="20" t="s">
        <v>4736</v>
      </c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</row>
    <row r="3837">
      <c r="A3837" s="15" t="s">
        <v>12375</v>
      </c>
      <c r="B3837" s="19" t="s">
        <v>3765</v>
      </c>
      <c r="C3837" s="20">
        <v>50104.0</v>
      </c>
      <c r="D3837" s="20" t="s">
        <v>3764</v>
      </c>
      <c r="E3837" s="5">
        <v>9.18877090991E11</v>
      </c>
      <c r="F3837" s="21">
        <v>20354.0</v>
      </c>
      <c r="G3837" s="20"/>
      <c r="H3837" s="20" t="s">
        <v>3708</v>
      </c>
      <c r="I3837" s="5"/>
      <c r="J3837" s="20">
        <v>3.0</v>
      </c>
      <c r="K3837" s="20">
        <v>199.0</v>
      </c>
      <c r="L3837" s="20"/>
      <c r="M3837" s="20">
        <v>199.0</v>
      </c>
      <c r="N3837" s="5" t="s">
        <v>67</v>
      </c>
      <c r="O3837" s="20" t="b">
        <v>0</v>
      </c>
      <c r="P3837" s="20" t="s">
        <v>68</v>
      </c>
      <c r="Q3837" s="20" t="s">
        <v>69</v>
      </c>
      <c r="R3837" s="20" t="s">
        <v>3710</v>
      </c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</row>
    <row r="3838">
      <c r="A3838" s="15" t="s">
        <v>12503</v>
      </c>
      <c r="B3838" s="19" t="s">
        <v>6685</v>
      </c>
      <c r="C3838" s="20">
        <v>49994.0</v>
      </c>
      <c r="D3838" s="20" t="s">
        <v>6684</v>
      </c>
      <c r="E3838" s="5">
        <v>9.19908395235E11</v>
      </c>
      <c r="F3838" s="21">
        <v>20398.0</v>
      </c>
      <c r="G3838" s="20"/>
      <c r="H3838" s="20" t="s">
        <v>1264</v>
      </c>
      <c r="I3838" s="5"/>
      <c r="J3838" s="20">
        <v>1.0</v>
      </c>
      <c r="K3838" s="20">
        <v>99.0</v>
      </c>
      <c r="L3838" s="20"/>
      <c r="M3838" s="20">
        <v>99.0</v>
      </c>
      <c r="N3838" s="5" t="s">
        <v>67</v>
      </c>
      <c r="O3838" s="20" t="b">
        <v>0</v>
      </c>
      <c r="P3838" s="20" t="s">
        <v>74</v>
      </c>
      <c r="Q3838" s="20" t="s">
        <v>69</v>
      </c>
      <c r="R3838" s="20" t="s">
        <v>6615</v>
      </c>
      <c r="T3838" s="20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</row>
    <row r="3839">
      <c r="A3839" s="15" t="s">
        <v>12377</v>
      </c>
      <c r="B3839" s="19" t="s">
        <v>6588</v>
      </c>
      <c r="C3839" s="20">
        <v>50073.0</v>
      </c>
      <c r="D3839" s="20" t="s">
        <v>6587</v>
      </c>
      <c r="E3839" s="5">
        <v>9.17338785022E11</v>
      </c>
      <c r="F3839" s="21">
        <v>0.0</v>
      </c>
      <c r="G3839" s="20"/>
      <c r="H3839" s="20" t="s">
        <v>2161</v>
      </c>
      <c r="I3839" s="5"/>
      <c r="J3839" s="20">
        <v>1.0</v>
      </c>
      <c r="K3839" s="20">
        <v>799.0</v>
      </c>
      <c r="L3839" s="20"/>
      <c r="M3839" s="20">
        <v>799.0</v>
      </c>
      <c r="N3839" s="5" t="s">
        <v>67</v>
      </c>
      <c r="O3839" s="20" t="b">
        <v>0</v>
      </c>
      <c r="P3839" s="20" t="s">
        <v>74</v>
      </c>
      <c r="Q3839" s="20" t="s">
        <v>69</v>
      </c>
      <c r="R3839" s="20" t="s">
        <v>6563</v>
      </c>
      <c r="T3839" s="20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</row>
    <row r="3840">
      <c r="A3840" s="15" t="s">
        <v>12504</v>
      </c>
      <c r="B3840" s="19" t="s">
        <v>4273</v>
      </c>
      <c r="C3840" s="20">
        <v>49833.0</v>
      </c>
      <c r="D3840" s="20" t="s">
        <v>4272</v>
      </c>
      <c r="E3840" s="5">
        <v>9.19112104997E11</v>
      </c>
      <c r="F3840" s="21">
        <v>5297.0</v>
      </c>
      <c r="G3840" s="20"/>
      <c r="H3840" s="20" t="s">
        <v>4030</v>
      </c>
      <c r="I3840" s="5"/>
      <c r="J3840" s="20">
        <v>3.0</v>
      </c>
      <c r="K3840" s="20">
        <v>299.0</v>
      </c>
      <c r="L3840" s="20"/>
      <c r="M3840" s="20">
        <v>299.0</v>
      </c>
      <c r="N3840" s="5" t="s">
        <v>67</v>
      </c>
      <c r="O3840" s="20" t="b">
        <v>0</v>
      </c>
      <c r="P3840" s="20" t="s">
        <v>68</v>
      </c>
      <c r="Q3840" s="20" t="s">
        <v>69</v>
      </c>
      <c r="R3840" s="20" t="s">
        <v>4033</v>
      </c>
      <c r="T3840" s="20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</row>
    <row r="3841">
      <c r="A3841" s="15" t="s">
        <v>12501</v>
      </c>
      <c r="B3841" s="19" t="s">
        <v>2910</v>
      </c>
      <c r="C3841" s="20">
        <v>50029.0</v>
      </c>
      <c r="D3841" s="20" t="s">
        <v>2909</v>
      </c>
      <c r="E3841" s="5">
        <v>9.18328425139E11</v>
      </c>
      <c r="F3841" s="21">
        <v>20399.0</v>
      </c>
      <c r="G3841" s="20"/>
      <c r="H3841" s="20" t="s">
        <v>2761</v>
      </c>
      <c r="I3841" s="5"/>
      <c r="J3841" s="20">
        <v>1.0</v>
      </c>
      <c r="K3841" s="20">
        <v>99.0</v>
      </c>
      <c r="L3841" s="20"/>
      <c r="M3841" s="20">
        <v>99.0</v>
      </c>
      <c r="N3841" s="5" t="s">
        <v>67</v>
      </c>
      <c r="O3841" s="20" t="b">
        <v>0</v>
      </c>
      <c r="P3841" s="20" t="s">
        <v>74</v>
      </c>
      <c r="Q3841" s="20" t="s">
        <v>69</v>
      </c>
      <c r="R3841" s="20" t="s">
        <v>2876</v>
      </c>
      <c r="T3841" s="20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</row>
    <row r="3842">
      <c r="A3842" s="15" t="s">
        <v>12502</v>
      </c>
      <c r="B3842" s="19" t="s">
        <v>6459</v>
      </c>
      <c r="C3842" s="20">
        <v>50043.0</v>
      </c>
      <c r="D3842" s="20" t="s">
        <v>6458</v>
      </c>
      <c r="E3842" s="5">
        <v>9.18824454998E11</v>
      </c>
      <c r="F3842" s="21">
        <v>20396.0</v>
      </c>
      <c r="G3842" s="20"/>
      <c r="H3842" s="20" t="s">
        <v>6367</v>
      </c>
      <c r="I3842" s="5"/>
      <c r="J3842" s="20">
        <v>1.0</v>
      </c>
      <c r="K3842" s="20">
        <v>99.0</v>
      </c>
      <c r="L3842" s="20"/>
      <c r="M3842" s="20">
        <v>99.0</v>
      </c>
      <c r="N3842" s="5" t="s">
        <v>67</v>
      </c>
      <c r="O3842" s="20" t="b">
        <v>0</v>
      </c>
      <c r="P3842" s="20" t="s">
        <v>68</v>
      </c>
      <c r="Q3842" s="20" t="s">
        <v>69</v>
      </c>
      <c r="R3842" s="20" t="s">
        <v>6369</v>
      </c>
      <c r="T3842" s="20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</row>
    <row r="3843">
      <c r="A3843" s="15" t="s">
        <v>12508</v>
      </c>
      <c r="B3843" s="19" t="s">
        <v>3603</v>
      </c>
      <c r="C3843" s="20">
        <v>50030.0</v>
      </c>
      <c r="D3843" s="20" t="s">
        <v>3602</v>
      </c>
      <c r="E3843" s="5">
        <v>9.17347302993E11</v>
      </c>
      <c r="F3843" s="21">
        <v>20400.0</v>
      </c>
      <c r="G3843" s="20"/>
      <c r="H3843" s="20" t="s">
        <v>3326</v>
      </c>
      <c r="I3843" s="5"/>
      <c r="J3843" s="20">
        <v>1.0</v>
      </c>
      <c r="K3843" s="20">
        <v>99.0</v>
      </c>
      <c r="L3843" s="20"/>
      <c r="M3843" s="20">
        <v>99.0</v>
      </c>
      <c r="N3843" s="5" t="s">
        <v>67</v>
      </c>
      <c r="O3843" s="20" t="b">
        <v>0</v>
      </c>
      <c r="P3843" s="20" t="s">
        <v>68</v>
      </c>
      <c r="Q3843" s="20" t="s">
        <v>69</v>
      </c>
      <c r="R3843" s="20" t="s">
        <v>3328</v>
      </c>
      <c r="T3843" s="20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</row>
    <row r="3844">
      <c r="A3844" s="15" t="s">
        <v>12511</v>
      </c>
      <c r="B3844" s="19" t="s">
        <v>3605</v>
      </c>
      <c r="C3844" s="20">
        <v>50030.0</v>
      </c>
      <c r="D3844" s="20" t="s">
        <v>3604</v>
      </c>
      <c r="E3844" s="5">
        <v>9.1855351083E11</v>
      </c>
      <c r="F3844" s="21">
        <v>20402.0</v>
      </c>
      <c r="G3844" s="20"/>
      <c r="H3844" s="20" t="s">
        <v>3326</v>
      </c>
      <c r="I3844" s="5"/>
      <c r="J3844" s="20">
        <v>1.0</v>
      </c>
      <c r="K3844" s="20">
        <v>99.0</v>
      </c>
      <c r="L3844" s="20"/>
      <c r="M3844" s="20">
        <v>99.0</v>
      </c>
      <c r="N3844" s="5" t="s">
        <v>67</v>
      </c>
      <c r="O3844" s="20" t="b">
        <v>0</v>
      </c>
      <c r="P3844" s="20" t="s">
        <v>68</v>
      </c>
      <c r="Q3844" s="20" t="s">
        <v>69</v>
      </c>
      <c r="R3844" s="20" t="s">
        <v>3328</v>
      </c>
      <c r="T3844" s="20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</row>
    <row r="3845">
      <c r="A3845" s="15" t="s">
        <v>12382</v>
      </c>
      <c r="B3845" s="19" t="s">
        <v>3691</v>
      </c>
      <c r="C3845" s="20">
        <v>50136.0</v>
      </c>
      <c r="D3845" s="20" t="s">
        <v>3690</v>
      </c>
      <c r="E3845" s="5">
        <v>9.19037375497E11</v>
      </c>
      <c r="F3845" s="21">
        <v>20356.0</v>
      </c>
      <c r="G3845" s="20"/>
      <c r="H3845" s="20" t="s">
        <v>3618</v>
      </c>
      <c r="I3845" s="5"/>
      <c r="J3845" s="20">
        <v>1.0</v>
      </c>
      <c r="K3845" s="20">
        <v>99.0</v>
      </c>
      <c r="L3845" s="20"/>
      <c r="M3845" s="20">
        <v>99.0</v>
      </c>
      <c r="N3845" s="5" t="s">
        <v>67</v>
      </c>
      <c r="O3845" s="20" t="b">
        <v>0</v>
      </c>
      <c r="P3845" s="20" t="s">
        <v>68</v>
      </c>
      <c r="Q3845" s="20" t="s">
        <v>69</v>
      </c>
      <c r="R3845" s="20" t="s">
        <v>3624</v>
      </c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</row>
    <row r="3846">
      <c r="A3846" s="15" t="s">
        <v>12380</v>
      </c>
      <c r="B3846" s="19" t="s">
        <v>4264</v>
      </c>
      <c r="C3846" s="20">
        <v>49833.0</v>
      </c>
      <c r="D3846" s="20" t="s">
        <v>4263</v>
      </c>
      <c r="E3846" s="5">
        <v>9.170171332E11</v>
      </c>
      <c r="F3846" s="21">
        <v>20362.0</v>
      </c>
      <c r="G3846" s="20"/>
      <c r="H3846" s="20" t="s">
        <v>4030</v>
      </c>
      <c r="I3846" s="5"/>
      <c r="J3846" s="20">
        <v>1.0</v>
      </c>
      <c r="K3846" s="20">
        <v>149.0</v>
      </c>
      <c r="L3846" s="20"/>
      <c r="M3846" s="20">
        <v>149.0</v>
      </c>
      <c r="N3846" s="5" t="s">
        <v>67</v>
      </c>
      <c r="O3846" s="20" t="b">
        <v>0</v>
      </c>
      <c r="P3846" s="20" t="s">
        <v>74</v>
      </c>
      <c r="Q3846" s="20" t="s">
        <v>69</v>
      </c>
      <c r="R3846" s="20" t="s">
        <v>4033</v>
      </c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</row>
    <row r="3847">
      <c r="A3847" s="15" t="s">
        <v>12381</v>
      </c>
      <c r="B3847" s="19" t="s">
        <v>6678</v>
      </c>
      <c r="C3847" s="20">
        <v>49994.0</v>
      </c>
      <c r="D3847" s="20" t="s">
        <v>6677</v>
      </c>
      <c r="E3847" s="5">
        <v>9.17507878118E11</v>
      </c>
      <c r="F3847" s="21">
        <v>20355.0</v>
      </c>
      <c r="G3847" s="20"/>
      <c r="H3847" s="20" t="s">
        <v>1264</v>
      </c>
      <c r="I3847" s="5"/>
      <c r="J3847" s="20">
        <v>1.0</v>
      </c>
      <c r="K3847" s="20">
        <v>99.0</v>
      </c>
      <c r="L3847" s="20"/>
      <c r="M3847" s="20">
        <v>99.0</v>
      </c>
      <c r="N3847" s="5" t="s">
        <v>67</v>
      </c>
      <c r="O3847" s="20" t="b">
        <v>0</v>
      </c>
      <c r="P3847" s="20" t="s">
        <v>68</v>
      </c>
      <c r="Q3847" s="20" t="s">
        <v>69</v>
      </c>
      <c r="R3847" s="20" t="s">
        <v>6615</v>
      </c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</row>
    <row r="3848">
      <c r="A3848" s="15" t="s">
        <v>12383</v>
      </c>
      <c r="B3848" s="19" t="s">
        <v>3693</v>
      </c>
      <c r="C3848" s="20">
        <v>50136.0</v>
      </c>
      <c r="D3848" s="20" t="s">
        <v>3692</v>
      </c>
      <c r="E3848" s="5">
        <v>9.19820023714E11</v>
      </c>
      <c r="F3848" s="21">
        <v>20357.0</v>
      </c>
      <c r="G3848" s="20"/>
      <c r="H3848" s="20" t="s">
        <v>3618</v>
      </c>
      <c r="I3848" s="5"/>
      <c r="J3848" s="20">
        <v>1.0</v>
      </c>
      <c r="K3848" s="20">
        <v>99.0</v>
      </c>
      <c r="L3848" s="20"/>
      <c r="M3848" s="20">
        <v>99.0</v>
      </c>
      <c r="N3848" s="5" t="s">
        <v>67</v>
      </c>
      <c r="O3848" s="20" t="b">
        <v>0</v>
      </c>
      <c r="P3848" s="20" t="s">
        <v>74</v>
      </c>
      <c r="Q3848" s="20" t="s">
        <v>69</v>
      </c>
      <c r="R3848" s="20" t="s">
        <v>3624</v>
      </c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</row>
    <row r="3849">
      <c r="A3849" s="15" t="s">
        <v>12519</v>
      </c>
      <c r="B3849" s="19" t="s">
        <v>3769</v>
      </c>
      <c r="C3849" s="20">
        <v>50104.0</v>
      </c>
      <c r="D3849" s="20" t="s">
        <v>3768</v>
      </c>
      <c r="E3849" s="5">
        <v>9.18734838674E11</v>
      </c>
      <c r="F3849" s="21">
        <v>20404.0</v>
      </c>
      <c r="G3849" s="20"/>
      <c r="H3849" s="20" t="s">
        <v>3708</v>
      </c>
      <c r="I3849" s="5"/>
      <c r="J3849" s="20">
        <v>1.0</v>
      </c>
      <c r="K3849" s="20">
        <v>99.0</v>
      </c>
      <c r="L3849" s="20"/>
      <c r="M3849" s="20">
        <v>99.0</v>
      </c>
      <c r="N3849" s="5" t="s">
        <v>67</v>
      </c>
      <c r="O3849" s="20" t="b">
        <v>0</v>
      </c>
      <c r="P3849" s="20" t="s">
        <v>68</v>
      </c>
      <c r="Q3849" s="20" t="s">
        <v>69</v>
      </c>
      <c r="R3849" s="20" t="s">
        <v>3710</v>
      </c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</row>
    <row r="3850">
      <c r="A3850" s="15" t="s">
        <v>12521</v>
      </c>
      <c r="B3850" s="19" t="s">
        <v>3976</v>
      </c>
      <c r="C3850" s="20">
        <v>49835.0</v>
      </c>
      <c r="D3850" s="20" t="s">
        <v>3975</v>
      </c>
      <c r="E3850" s="5">
        <v>9.18088880866E11</v>
      </c>
      <c r="F3850" s="21">
        <v>20405.0</v>
      </c>
      <c r="G3850" s="20"/>
      <c r="H3850" s="20" t="s">
        <v>680</v>
      </c>
      <c r="I3850" s="5"/>
      <c r="J3850" s="20">
        <v>1.0</v>
      </c>
      <c r="K3850" s="20">
        <v>99.0</v>
      </c>
      <c r="L3850" s="20"/>
      <c r="M3850" s="20">
        <v>99.0</v>
      </c>
      <c r="N3850" s="5" t="s">
        <v>67</v>
      </c>
      <c r="O3850" s="20" t="b">
        <v>0</v>
      </c>
      <c r="P3850" s="20" t="s">
        <v>68</v>
      </c>
      <c r="Q3850" s="20" t="s">
        <v>69</v>
      </c>
      <c r="R3850" s="20" t="s">
        <v>3888</v>
      </c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</row>
    <row r="3851">
      <c r="A3851" s="15" t="s">
        <v>12384</v>
      </c>
      <c r="B3851" s="19" t="s">
        <v>3695</v>
      </c>
      <c r="C3851" s="20">
        <v>50136.0</v>
      </c>
      <c r="D3851" s="20" t="s">
        <v>3694</v>
      </c>
      <c r="E3851" s="5">
        <v>9.19026811234E11</v>
      </c>
      <c r="F3851" s="21">
        <v>20358.0</v>
      </c>
      <c r="G3851" s="20"/>
      <c r="H3851" s="20" t="s">
        <v>3618</v>
      </c>
      <c r="I3851" s="5"/>
      <c r="J3851" s="20">
        <v>1.0</v>
      </c>
      <c r="K3851" s="20">
        <v>99.0</v>
      </c>
      <c r="L3851" s="20"/>
      <c r="M3851" s="20">
        <v>99.0</v>
      </c>
      <c r="N3851" s="5" t="s">
        <v>67</v>
      </c>
      <c r="O3851" s="20" t="b">
        <v>0</v>
      </c>
      <c r="P3851" s="20" t="s">
        <v>68</v>
      </c>
      <c r="Q3851" s="20" t="s">
        <v>69</v>
      </c>
      <c r="R3851" s="20" t="s">
        <v>3621</v>
      </c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</row>
    <row r="3852">
      <c r="A3852" s="15" t="s">
        <v>12526</v>
      </c>
      <c r="B3852" s="19" t="s">
        <v>5091</v>
      </c>
      <c r="C3852" s="20">
        <v>50094.0</v>
      </c>
      <c r="D3852" s="20" t="s">
        <v>5090</v>
      </c>
      <c r="E3852" s="5">
        <v>9.19544924223E11</v>
      </c>
      <c r="F3852" s="21">
        <v>20408.0</v>
      </c>
      <c r="G3852" s="20"/>
      <c r="H3852" s="20" t="s">
        <v>4942</v>
      </c>
      <c r="I3852" s="5"/>
      <c r="J3852" s="20">
        <v>1.0</v>
      </c>
      <c r="K3852" s="20">
        <v>199.0</v>
      </c>
      <c r="L3852" s="20"/>
      <c r="M3852" s="20">
        <v>199.0</v>
      </c>
      <c r="N3852" s="5" t="s">
        <v>67</v>
      </c>
      <c r="O3852" s="20" t="b">
        <v>0</v>
      </c>
      <c r="P3852" s="20" t="s">
        <v>68</v>
      </c>
      <c r="Q3852" s="20" t="s">
        <v>69</v>
      </c>
      <c r="R3852" s="20" t="s">
        <v>4945</v>
      </c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</row>
    <row r="3853">
      <c r="A3853" s="15" t="s">
        <v>12388</v>
      </c>
      <c r="B3853" s="19" t="s">
        <v>4789</v>
      </c>
      <c r="C3853" s="20">
        <v>49859.0</v>
      </c>
      <c r="D3853" s="20" t="s">
        <v>4788</v>
      </c>
      <c r="E3853" s="5">
        <v>9.17838368183E11</v>
      </c>
      <c r="F3853" s="21">
        <v>20360.0</v>
      </c>
      <c r="G3853" s="20"/>
      <c r="H3853" s="20" t="s">
        <v>1133</v>
      </c>
      <c r="I3853" s="5"/>
      <c r="J3853" s="20">
        <v>1.0</v>
      </c>
      <c r="K3853" s="20">
        <v>99.0</v>
      </c>
      <c r="L3853" s="20"/>
      <c r="M3853" s="20">
        <v>99.0</v>
      </c>
      <c r="N3853" s="5" t="s">
        <v>67</v>
      </c>
      <c r="O3853" s="20" t="b">
        <v>0</v>
      </c>
      <c r="P3853" s="20" t="s">
        <v>68</v>
      </c>
      <c r="Q3853" s="20" t="s">
        <v>69</v>
      </c>
      <c r="R3853" s="20" t="s">
        <v>4736</v>
      </c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</row>
    <row r="3854">
      <c r="A3854" s="15" t="s">
        <v>12387</v>
      </c>
      <c r="B3854" s="19" t="s">
        <v>4547</v>
      </c>
      <c r="C3854" s="20">
        <v>50052.0</v>
      </c>
      <c r="D3854" s="20" t="s">
        <v>4546</v>
      </c>
      <c r="E3854" s="5">
        <v>9.19949236255E11</v>
      </c>
      <c r="F3854" s="21">
        <v>20361.0</v>
      </c>
      <c r="G3854" s="20"/>
      <c r="H3854" s="20" t="s">
        <v>4433</v>
      </c>
      <c r="I3854" s="5"/>
      <c r="J3854" s="20">
        <v>1.0</v>
      </c>
      <c r="K3854" s="20">
        <v>99.0</v>
      </c>
      <c r="L3854" s="20"/>
      <c r="M3854" s="20">
        <v>99.0</v>
      </c>
      <c r="N3854" s="5" t="s">
        <v>67</v>
      </c>
      <c r="O3854" s="20" t="b">
        <v>0</v>
      </c>
      <c r="P3854" s="20" t="s">
        <v>68</v>
      </c>
      <c r="Q3854" s="20" t="s">
        <v>69</v>
      </c>
      <c r="R3854" s="20" t="s">
        <v>4435</v>
      </c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</row>
    <row r="3855">
      <c r="A3855" s="15" t="s">
        <v>12527</v>
      </c>
      <c r="B3855" s="19" t="s">
        <v>6184</v>
      </c>
      <c r="C3855" s="20">
        <v>50048.0</v>
      </c>
      <c r="D3855" s="20" t="s">
        <v>6183</v>
      </c>
      <c r="E3855" s="5">
        <v>9.18169758076E11</v>
      </c>
      <c r="F3855" s="21">
        <v>20409.0</v>
      </c>
      <c r="G3855" s="20"/>
      <c r="H3855" s="20" t="s">
        <v>1582</v>
      </c>
      <c r="I3855" s="20" t="s">
        <v>6175</v>
      </c>
      <c r="J3855" s="20">
        <v>3.0</v>
      </c>
      <c r="K3855" s="20">
        <v>599.0</v>
      </c>
      <c r="L3855" s="20"/>
      <c r="M3855" s="20">
        <v>599.0</v>
      </c>
      <c r="N3855" s="5" t="s">
        <v>67</v>
      </c>
      <c r="O3855" s="20" t="b">
        <v>0</v>
      </c>
      <c r="P3855" s="20" t="s">
        <v>68</v>
      </c>
      <c r="Q3855" s="20" t="s">
        <v>69</v>
      </c>
      <c r="R3855" s="20" t="s">
        <v>6179</v>
      </c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</row>
    <row r="3856">
      <c r="A3856" s="15" t="s">
        <v>12528</v>
      </c>
      <c r="B3856" s="19" t="s">
        <v>4275</v>
      </c>
      <c r="C3856" s="20">
        <v>49833.0</v>
      </c>
      <c r="D3856" s="20" t="s">
        <v>4274</v>
      </c>
      <c r="E3856" s="5">
        <v>9.17009424413E11</v>
      </c>
      <c r="F3856" s="21">
        <v>0.0</v>
      </c>
      <c r="G3856" s="20"/>
      <c r="H3856" s="20" t="s">
        <v>4030</v>
      </c>
      <c r="I3856" s="5"/>
      <c r="J3856" s="20">
        <v>1.0</v>
      </c>
      <c r="K3856" s="20">
        <v>149.0</v>
      </c>
      <c r="L3856" s="20"/>
      <c r="M3856" s="20">
        <v>149.0</v>
      </c>
      <c r="N3856" s="5" t="s">
        <v>67</v>
      </c>
      <c r="O3856" s="20" t="b">
        <v>0</v>
      </c>
      <c r="P3856" s="20" t="s">
        <v>68</v>
      </c>
      <c r="Q3856" s="20" t="s">
        <v>69</v>
      </c>
      <c r="R3856" s="20" t="s">
        <v>4033</v>
      </c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</row>
    <row r="3857">
      <c r="A3857" s="15" t="s">
        <v>12393</v>
      </c>
      <c r="B3857" s="19" t="s">
        <v>3191</v>
      </c>
      <c r="C3857" s="20">
        <v>49991.0</v>
      </c>
      <c r="D3857" s="20" t="s">
        <v>3190</v>
      </c>
      <c r="E3857" s="5">
        <v>9.18757475636E11</v>
      </c>
      <c r="F3857" s="21">
        <v>20364.0</v>
      </c>
      <c r="G3857" s="20"/>
      <c r="H3857" s="20" t="s">
        <v>3055</v>
      </c>
      <c r="I3857" s="5"/>
      <c r="J3857" s="20">
        <v>1.0</v>
      </c>
      <c r="K3857" s="20">
        <v>99.0</v>
      </c>
      <c r="L3857" s="20"/>
      <c r="M3857" s="20">
        <v>99.0</v>
      </c>
      <c r="N3857" s="5" t="s">
        <v>67</v>
      </c>
      <c r="O3857" s="20" t="b">
        <v>0</v>
      </c>
      <c r="P3857" s="20" t="s">
        <v>68</v>
      </c>
      <c r="Q3857" s="20" t="s">
        <v>69</v>
      </c>
      <c r="R3857" s="20" t="s">
        <v>3057</v>
      </c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</row>
    <row r="3858">
      <c r="A3858" s="15" t="s">
        <v>12529</v>
      </c>
      <c r="B3858" s="19" t="s">
        <v>5093</v>
      </c>
      <c r="C3858" s="20">
        <v>50094.0</v>
      </c>
      <c r="D3858" s="20" t="s">
        <v>5092</v>
      </c>
      <c r="E3858" s="5">
        <v>9.1963251929E11</v>
      </c>
      <c r="F3858" s="21">
        <v>18649.0</v>
      </c>
      <c r="G3858" s="20"/>
      <c r="H3858" s="20" t="s">
        <v>4942</v>
      </c>
      <c r="I3858" s="5"/>
      <c r="J3858" s="20">
        <v>3.0</v>
      </c>
      <c r="K3858" s="20">
        <v>399.0</v>
      </c>
      <c r="L3858" s="20"/>
      <c r="M3858" s="20">
        <v>399.0</v>
      </c>
      <c r="N3858" s="5" t="s">
        <v>67</v>
      </c>
      <c r="O3858" s="20" t="b">
        <v>0</v>
      </c>
      <c r="P3858" s="20" t="s">
        <v>151</v>
      </c>
      <c r="Q3858" s="20" t="s">
        <v>69</v>
      </c>
      <c r="R3858" s="20" t="s">
        <v>5054</v>
      </c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</row>
    <row r="3859">
      <c r="A3859" s="15" t="s">
        <v>12399</v>
      </c>
      <c r="B3859" s="19" t="s">
        <v>3191</v>
      </c>
      <c r="C3859" s="20">
        <v>49994.0</v>
      </c>
      <c r="D3859" s="20" t="s">
        <v>6679</v>
      </c>
      <c r="E3859" s="5">
        <v>9.19833624073E11</v>
      </c>
      <c r="F3859" s="21">
        <v>20365.0</v>
      </c>
      <c r="G3859" s="20"/>
      <c r="H3859" s="20" t="s">
        <v>1264</v>
      </c>
      <c r="I3859" s="5"/>
      <c r="J3859" s="20">
        <v>3.0</v>
      </c>
      <c r="K3859" s="20">
        <v>199.0</v>
      </c>
      <c r="L3859" s="20"/>
      <c r="M3859" s="20">
        <v>199.0</v>
      </c>
      <c r="N3859" s="5" t="s">
        <v>67</v>
      </c>
      <c r="O3859" s="20" t="b">
        <v>0</v>
      </c>
      <c r="P3859" s="20" t="s">
        <v>74</v>
      </c>
      <c r="Q3859" s="20" t="s">
        <v>69</v>
      </c>
      <c r="R3859" s="20" t="s">
        <v>6615</v>
      </c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</row>
    <row r="3860">
      <c r="A3860" s="15" t="s">
        <v>12530</v>
      </c>
      <c r="B3860" s="19" t="s">
        <v>2600</v>
      </c>
      <c r="C3860" s="20">
        <v>49997.0</v>
      </c>
      <c r="D3860" s="20" t="s">
        <v>2599</v>
      </c>
      <c r="E3860" s="5">
        <v>9.18805190315E11</v>
      </c>
      <c r="F3860" s="21">
        <v>20410.0</v>
      </c>
      <c r="G3860" s="20"/>
      <c r="H3860" s="20" t="s">
        <v>2455</v>
      </c>
      <c r="I3860" s="5"/>
      <c r="J3860" s="20">
        <v>3.0</v>
      </c>
      <c r="K3860" s="20">
        <v>199.0</v>
      </c>
      <c r="L3860" s="20"/>
      <c r="M3860" s="20">
        <v>199.0</v>
      </c>
      <c r="N3860" s="5" t="s">
        <v>67</v>
      </c>
      <c r="O3860" s="20" t="b">
        <v>0</v>
      </c>
      <c r="P3860" s="20" t="s">
        <v>68</v>
      </c>
      <c r="Q3860" s="20" t="s">
        <v>69</v>
      </c>
      <c r="R3860" s="20" t="s">
        <v>2457</v>
      </c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</row>
    <row r="3861">
      <c r="A3861" s="15" t="s">
        <v>12402</v>
      </c>
      <c r="B3861" s="19" t="s">
        <v>2739</v>
      </c>
      <c r="C3861" s="20">
        <v>50015.0</v>
      </c>
      <c r="D3861" s="20" t="s">
        <v>2738</v>
      </c>
      <c r="E3861" s="5">
        <v>9.17012378331E11</v>
      </c>
      <c r="F3861" s="21">
        <v>20366.0</v>
      </c>
      <c r="G3861" s="20"/>
      <c r="H3861" s="20" t="s">
        <v>2702</v>
      </c>
      <c r="I3861" s="5"/>
      <c r="J3861" s="20">
        <v>6.0</v>
      </c>
      <c r="K3861" s="20">
        <v>699.0</v>
      </c>
      <c r="L3861" s="20"/>
      <c r="M3861" s="20">
        <v>699.0</v>
      </c>
      <c r="N3861" s="5" t="s">
        <v>67</v>
      </c>
      <c r="O3861" s="20" t="b">
        <v>0</v>
      </c>
      <c r="P3861" s="20" t="s">
        <v>68</v>
      </c>
      <c r="Q3861" s="20" t="s">
        <v>69</v>
      </c>
      <c r="R3861" s="20" t="s">
        <v>2704</v>
      </c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</row>
    <row r="3862">
      <c r="A3862" s="15" t="s">
        <v>12405</v>
      </c>
      <c r="B3862" s="19" t="s">
        <v>5089</v>
      </c>
      <c r="C3862" s="20">
        <v>50094.0</v>
      </c>
      <c r="D3862" s="20" t="s">
        <v>5088</v>
      </c>
      <c r="E3862" s="5">
        <v>9.19108220763E11</v>
      </c>
      <c r="F3862" s="21">
        <v>20367.0</v>
      </c>
      <c r="G3862" s="20"/>
      <c r="H3862" s="20" t="s">
        <v>4942</v>
      </c>
      <c r="I3862" s="5"/>
      <c r="J3862" s="20">
        <v>6.0</v>
      </c>
      <c r="K3862" s="20">
        <v>599.0</v>
      </c>
      <c r="L3862" s="20"/>
      <c r="M3862" s="20">
        <v>599.0</v>
      </c>
      <c r="N3862" s="5" t="s">
        <v>67</v>
      </c>
      <c r="O3862" s="20" t="b">
        <v>0</v>
      </c>
      <c r="P3862" s="20" t="s">
        <v>151</v>
      </c>
      <c r="Q3862" s="20" t="s">
        <v>69</v>
      </c>
      <c r="R3862" s="20" t="s">
        <v>5054</v>
      </c>
      <c r="T3862" s="20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</row>
    <row r="3863">
      <c r="A3863" s="15" t="s">
        <v>12406</v>
      </c>
      <c r="B3863" s="19" t="s">
        <v>4791</v>
      </c>
      <c r="C3863" s="20">
        <v>49859.0</v>
      </c>
      <c r="D3863" s="20" t="s">
        <v>4790</v>
      </c>
      <c r="E3863" s="5">
        <v>9.18763577075E11</v>
      </c>
      <c r="F3863" s="21">
        <v>20368.0</v>
      </c>
      <c r="G3863" s="20"/>
      <c r="H3863" s="20" t="s">
        <v>1133</v>
      </c>
      <c r="I3863" s="5"/>
      <c r="J3863" s="20">
        <v>1.0</v>
      </c>
      <c r="K3863" s="20">
        <v>99.0</v>
      </c>
      <c r="L3863" s="20"/>
      <c r="M3863" s="20">
        <v>99.0</v>
      </c>
      <c r="N3863" s="5" t="s">
        <v>67</v>
      </c>
      <c r="O3863" s="20" t="b">
        <v>0</v>
      </c>
      <c r="P3863" s="20" t="s">
        <v>68</v>
      </c>
      <c r="Q3863" s="20" t="s">
        <v>69</v>
      </c>
      <c r="R3863" s="20" t="s">
        <v>4736</v>
      </c>
      <c r="T3863" s="20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</row>
    <row r="3864">
      <c r="A3864" s="15" t="s">
        <v>12531</v>
      </c>
      <c r="B3864" s="19" t="s">
        <v>3703</v>
      </c>
      <c r="C3864" s="20">
        <v>50136.0</v>
      </c>
      <c r="D3864" s="20" t="s">
        <v>3702</v>
      </c>
      <c r="E3864" s="5">
        <v>9.18512082767E11</v>
      </c>
      <c r="F3864" s="21">
        <v>20411.0</v>
      </c>
      <c r="G3864" s="20"/>
      <c r="H3864" s="20" t="s">
        <v>3618</v>
      </c>
      <c r="I3864" s="5"/>
      <c r="J3864" s="20">
        <v>6.0</v>
      </c>
      <c r="K3864" s="20">
        <v>349.0</v>
      </c>
      <c r="L3864" s="20"/>
      <c r="M3864" s="20">
        <v>349.0</v>
      </c>
      <c r="N3864" s="5" t="s">
        <v>67</v>
      </c>
      <c r="O3864" s="20" t="b">
        <v>0</v>
      </c>
      <c r="P3864" s="20" t="s">
        <v>151</v>
      </c>
      <c r="Q3864" s="20" t="s">
        <v>69</v>
      </c>
      <c r="R3864" s="20" t="s">
        <v>3624</v>
      </c>
      <c r="T3864" s="20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</row>
    <row r="3865">
      <c r="A3865" s="15" t="s">
        <v>12533</v>
      </c>
      <c r="B3865" s="19" t="s">
        <v>5178</v>
      </c>
      <c r="C3865" s="20">
        <v>49813.0</v>
      </c>
      <c r="D3865" s="20" t="s">
        <v>5177</v>
      </c>
      <c r="E3865" s="5">
        <v>9.18130611008E11</v>
      </c>
      <c r="F3865" s="21">
        <v>20488.0</v>
      </c>
      <c r="G3865" s="20"/>
      <c r="H3865" s="20" t="s">
        <v>5114</v>
      </c>
      <c r="I3865" s="5"/>
      <c r="J3865" s="20">
        <v>6.0</v>
      </c>
      <c r="K3865" s="20">
        <v>799.0</v>
      </c>
      <c r="L3865" s="20"/>
      <c r="M3865" s="20">
        <v>799.0</v>
      </c>
      <c r="N3865" s="5" t="s">
        <v>67</v>
      </c>
      <c r="O3865" s="20" t="b">
        <v>0</v>
      </c>
      <c r="P3865" s="20" t="s">
        <v>68</v>
      </c>
      <c r="Q3865" s="20" t="s">
        <v>69</v>
      </c>
      <c r="R3865" s="20" t="s">
        <v>5116</v>
      </c>
      <c r="T3865" s="20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</row>
    <row r="3866">
      <c r="A3866" s="15" t="s">
        <v>12534</v>
      </c>
      <c r="B3866" s="19" t="s">
        <v>6461</v>
      </c>
      <c r="C3866" s="20">
        <v>50043.0</v>
      </c>
      <c r="D3866" s="20" t="s">
        <v>6460</v>
      </c>
      <c r="E3866" s="5">
        <v>9.19665507798E11</v>
      </c>
      <c r="F3866" s="21">
        <v>20412.0</v>
      </c>
      <c r="G3866" s="20"/>
      <c r="H3866" s="20" t="s">
        <v>6367</v>
      </c>
      <c r="I3866" s="5"/>
      <c r="J3866" s="20">
        <v>1.0</v>
      </c>
      <c r="K3866" s="20">
        <v>99.0</v>
      </c>
      <c r="L3866" s="20"/>
      <c r="M3866" s="20">
        <v>99.0</v>
      </c>
      <c r="N3866" s="5" t="s">
        <v>67</v>
      </c>
      <c r="O3866" s="20" t="b">
        <v>0</v>
      </c>
      <c r="P3866" s="20" t="s">
        <v>68</v>
      </c>
      <c r="Q3866" s="20" t="s">
        <v>69</v>
      </c>
      <c r="R3866" s="20" t="s">
        <v>6369</v>
      </c>
      <c r="T3866" s="20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</row>
    <row r="3867">
      <c r="A3867" s="15" t="s">
        <v>12409</v>
      </c>
      <c r="B3867" s="19" t="s">
        <v>4549</v>
      </c>
      <c r="C3867" s="20">
        <v>50052.0</v>
      </c>
      <c r="D3867" s="20" t="s">
        <v>4548</v>
      </c>
      <c r="E3867" s="5">
        <v>9.19945711551E11</v>
      </c>
      <c r="F3867" s="21">
        <v>20369.0</v>
      </c>
      <c r="G3867" s="20"/>
      <c r="H3867" s="20" t="s">
        <v>4433</v>
      </c>
      <c r="I3867" s="5"/>
      <c r="J3867" s="20">
        <v>1.0</v>
      </c>
      <c r="K3867" s="20">
        <v>99.0</v>
      </c>
      <c r="L3867" s="20"/>
      <c r="M3867" s="20">
        <v>99.0</v>
      </c>
      <c r="N3867" s="5" t="s">
        <v>67</v>
      </c>
      <c r="O3867" s="20" t="b">
        <v>0</v>
      </c>
      <c r="P3867" s="20" t="s">
        <v>68</v>
      </c>
      <c r="Q3867" s="20" t="s">
        <v>69</v>
      </c>
      <c r="R3867" s="20" t="s">
        <v>4435</v>
      </c>
      <c r="T3867" s="20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</row>
    <row r="3868">
      <c r="A3868" s="15" t="s">
        <v>12538</v>
      </c>
      <c r="B3868" s="19" t="s">
        <v>4398</v>
      </c>
      <c r="C3868" s="20">
        <v>50039.0</v>
      </c>
      <c r="D3868" s="20" t="s">
        <v>4375</v>
      </c>
      <c r="E3868" s="5">
        <v>9.19618610455E11</v>
      </c>
      <c r="F3868" s="21">
        <v>18872.0</v>
      </c>
      <c r="G3868" s="20"/>
      <c r="H3868" s="20" t="s">
        <v>4341</v>
      </c>
      <c r="I3868" s="5"/>
      <c r="J3868" s="20">
        <v>6.0</v>
      </c>
      <c r="K3868" s="20">
        <v>349.0</v>
      </c>
      <c r="L3868" s="20"/>
      <c r="M3868" s="20">
        <v>349.0</v>
      </c>
      <c r="N3868" s="5" t="s">
        <v>67</v>
      </c>
      <c r="O3868" s="20" t="b">
        <v>0</v>
      </c>
      <c r="P3868" s="20" t="s">
        <v>151</v>
      </c>
      <c r="Q3868" s="20" t="s">
        <v>69</v>
      </c>
      <c r="R3868" s="20" t="s">
        <v>4343</v>
      </c>
      <c r="T3868" s="20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</row>
    <row r="3869">
      <c r="A3869" s="15" t="s">
        <v>12543</v>
      </c>
      <c r="B3869" s="19" t="s">
        <v>4556</v>
      </c>
      <c r="C3869" s="20">
        <v>50052.0</v>
      </c>
      <c r="D3869" s="20" t="s">
        <v>4555</v>
      </c>
      <c r="E3869" s="5">
        <v>9.18904703204E11</v>
      </c>
      <c r="F3869" s="21">
        <v>20414.0</v>
      </c>
      <c r="G3869" s="20"/>
      <c r="H3869" s="20" t="s">
        <v>4433</v>
      </c>
      <c r="I3869" s="5"/>
      <c r="J3869" s="20">
        <v>1.0</v>
      </c>
      <c r="K3869" s="20">
        <v>99.0</v>
      </c>
      <c r="L3869" s="20"/>
      <c r="M3869" s="20">
        <v>99.0</v>
      </c>
      <c r="N3869" s="5" t="s">
        <v>67</v>
      </c>
      <c r="O3869" s="20" t="b">
        <v>0</v>
      </c>
      <c r="P3869" s="20" t="s">
        <v>68</v>
      </c>
      <c r="Q3869" s="20" t="s">
        <v>69</v>
      </c>
      <c r="R3869" s="20" t="s">
        <v>4435</v>
      </c>
      <c r="T3869" s="20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</row>
    <row r="3870">
      <c r="A3870" s="15" t="s">
        <v>12539</v>
      </c>
      <c r="B3870" s="19" t="s">
        <v>4552</v>
      </c>
      <c r="C3870" s="20">
        <v>50052.0</v>
      </c>
      <c r="D3870" s="20" t="s">
        <v>4551</v>
      </c>
      <c r="E3870" s="5">
        <v>9.19623660712E11</v>
      </c>
      <c r="F3870" s="21">
        <v>20417.0</v>
      </c>
      <c r="G3870" s="20"/>
      <c r="H3870" s="20" t="s">
        <v>4433</v>
      </c>
      <c r="I3870" s="5"/>
      <c r="J3870" s="20">
        <v>1.0</v>
      </c>
      <c r="K3870" s="20">
        <v>99.0</v>
      </c>
      <c r="L3870" s="20"/>
      <c r="M3870" s="20">
        <v>99.0</v>
      </c>
      <c r="N3870" s="5" t="s">
        <v>67</v>
      </c>
      <c r="O3870" s="20" t="b">
        <v>0</v>
      </c>
      <c r="P3870" s="20" t="s">
        <v>68</v>
      </c>
      <c r="Q3870" s="20" t="s">
        <v>69</v>
      </c>
      <c r="R3870" s="20" t="s">
        <v>4435</v>
      </c>
      <c r="T3870" s="20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</row>
    <row r="3871">
      <c r="A3871" s="15" t="s">
        <v>12414</v>
      </c>
      <c r="B3871" s="19" t="s">
        <v>3697</v>
      </c>
      <c r="C3871" s="20">
        <v>50136.0</v>
      </c>
      <c r="D3871" s="20" t="s">
        <v>3696</v>
      </c>
      <c r="E3871" s="5">
        <v>9.19810013434E11</v>
      </c>
      <c r="F3871" s="21">
        <v>20370.0</v>
      </c>
      <c r="G3871" s="20"/>
      <c r="H3871" s="20" t="s">
        <v>3618</v>
      </c>
      <c r="I3871" s="5"/>
      <c r="J3871" s="20">
        <v>1.0</v>
      </c>
      <c r="K3871" s="20">
        <v>99.0</v>
      </c>
      <c r="L3871" s="20"/>
      <c r="M3871" s="20">
        <v>99.0</v>
      </c>
      <c r="N3871" s="5" t="s">
        <v>67</v>
      </c>
      <c r="O3871" s="20" t="b">
        <v>0</v>
      </c>
      <c r="P3871" s="20" t="s">
        <v>74</v>
      </c>
      <c r="Q3871" s="20" t="s">
        <v>69</v>
      </c>
      <c r="R3871" s="20" t="s">
        <v>3624</v>
      </c>
      <c r="T3871" s="20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</row>
    <row r="3872">
      <c r="A3872" s="15" t="s">
        <v>12544</v>
      </c>
      <c r="B3872" s="19" t="s">
        <v>3193</v>
      </c>
      <c r="C3872" s="20">
        <v>49991.0</v>
      </c>
      <c r="D3872" s="20" t="s">
        <v>3192</v>
      </c>
      <c r="E3872" s="5">
        <v>9.1996756811E11</v>
      </c>
      <c r="F3872" s="21">
        <v>20415.0</v>
      </c>
      <c r="G3872" s="20"/>
      <c r="H3872" s="20" t="s">
        <v>3055</v>
      </c>
      <c r="I3872" s="5"/>
      <c r="J3872" s="20">
        <v>1.0</v>
      </c>
      <c r="K3872" s="20">
        <v>99.0</v>
      </c>
      <c r="L3872" s="20"/>
      <c r="M3872" s="20">
        <v>99.0</v>
      </c>
      <c r="N3872" s="5" t="s">
        <v>67</v>
      </c>
      <c r="O3872" s="20" t="b">
        <v>0</v>
      </c>
      <c r="P3872" s="20" t="s">
        <v>68</v>
      </c>
      <c r="Q3872" s="20" t="s">
        <v>69</v>
      </c>
      <c r="R3872" s="20" t="s">
        <v>3057</v>
      </c>
      <c r="T3872" s="20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</row>
    <row r="3873">
      <c r="A3873" s="15" t="s">
        <v>12540</v>
      </c>
      <c r="B3873" s="19" t="s">
        <v>4554</v>
      </c>
      <c r="C3873" s="20">
        <v>50052.0</v>
      </c>
      <c r="D3873" s="20" t="s">
        <v>4553</v>
      </c>
      <c r="E3873" s="5">
        <v>9.18197578254E11</v>
      </c>
      <c r="F3873" s="21">
        <v>20413.0</v>
      </c>
      <c r="G3873" s="20"/>
      <c r="H3873" s="20" t="s">
        <v>4433</v>
      </c>
      <c r="I3873" s="5"/>
      <c r="J3873" s="20">
        <v>3.0</v>
      </c>
      <c r="K3873" s="20">
        <v>199.0</v>
      </c>
      <c r="L3873" s="20"/>
      <c r="M3873" s="20">
        <v>199.0</v>
      </c>
      <c r="N3873" s="5" t="s">
        <v>67</v>
      </c>
      <c r="O3873" s="20" t="b">
        <v>0</v>
      </c>
      <c r="P3873" s="20" t="s">
        <v>68</v>
      </c>
      <c r="Q3873" s="20" t="s">
        <v>69</v>
      </c>
      <c r="R3873" s="20" t="s">
        <v>4435</v>
      </c>
      <c r="T3873" s="20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</row>
    <row r="3874">
      <c r="A3874" s="15" t="s">
        <v>12415</v>
      </c>
      <c r="B3874" s="19" t="s">
        <v>2741</v>
      </c>
      <c r="C3874" s="20">
        <v>50015.0</v>
      </c>
      <c r="D3874" s="20" t="s">
        <v>2740</v>
      </c>
      <c r="E3874" s="5">
        <v>9.19392542363E11</v>
      </c>
      <c r="F3874" s="21">
        <v>0.0</v>
      </c>
      <c r="G3874" s="20"/>
      <c r="H3874" s="20" t="s">
        <v>2702</v>
      </c>
      <c r="I3874" s="5"/>
      <c r="J3874" s="20">
        <v>1.0</v>
      </c>
      <c r="K3874" s="20">
        <v>149.0</v>
      </c>
      <c r="L3874" s="20"/>
      <c r="M3874" s="20">
        <v>149.0</v>
      </c>
      <c r="N3874" s="5" t="s">
        <v>67</v>
      </c>
      <c r="O3874" s="20" t="b">
        <v>0</v>
      </c>
      <c r="P3874" s="20" t="s">
        <v>68</v>
      </c>
      <c r="Q3874" s="20" t="s">
        <v>69</v>
      </c>
      <c r="R3874" s="20" t="s">
        <v>2704</v>
      </c>
      <c r="T3874" s="20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</row>
    <row r="3875">
      <c r="A3875" s="15" t="s">
        <v>12547</v>
      </c>
      <c r="B3875" s="19" t="s">
        <v>2743</v>
      </c>
      <c r="C3875" s="20">
        <v>50015.0</v>
      </c>
      <c r="D3875" s="20" t="s">
        <v>2742</v>
      </c>
      <c r="E3875" s="5">
        <v>9.19758932323E11</v>
      </c>
      <c r="F3875" s="21">
        <v>20420.0</v>
      </c>
      <c r="G3875" s="20"/>
      <c r="H3875" s="20" t="s">
        <v>2702</v>
      </c>
      <c r="I3875" s="5"/>
      <c r="J3875" s="20">
        <v>1.0</v>
      </c>
      <c r="K3875" s="20">
        <v>149.0</v>
      </c>
      <c r="L3875" s="20"/>
      <c r="M3875" s="20">
        <v>149.0</v>
      </c>
      <c r="N3875" s="5" t="s">
        <v>67</v>
      </c>
      <c r="O3875" s="20" t="b">
        <v>0</v>
      </c>
      <c r="P3875" s="20" t="s">
        <v>68</v>
      </c>
      <c r="Q3875" s="20" t="s">
        <v>69</v>
      </c>
      <c r="R3875" s="20" t="s">
        <v>2704</v>
      </c>
      <c r="T3875" s="20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</row>
    <row r="3876">
      <c r="A3876" s="15" t="s">
        <v>12421</v>
      </c>
      <c r="B3876" s="19" t="s">
        <v>3767</v>
      </c>
      <c r="C3876" s="20">
        <v>50104.0</v>
      </c>
      <c r="D3876" s="20" t="s">
        <v>3766</v>
      </c>
      <c r="E3876" s="5">
        <v>9.17829978709E11</v>
      </c>
      <c r="F3876" s="21">
        <v>20372.0</v>
      </c>
      <c r="G3876" s="20"/>
      <c r="H3876" s="20" t="s">
        <v>3708</v>
      </c>
      <c r="I3876" s="5"/>
      <c r="J3876" s="20">
        <v>1.0</v>
      </c>
      <c r="K3876" s="20">
        <v>99.0</v>
      </c>
      <c r="L3876" s="20"/>
      <c r="M3876" s="20">
        <v>99.0</v>
      </c>
      <c r="N3876" s="5" t="s">
        <v>67</v>
      </c>
      <c r="O3876" s="20" t="b">
        <v>0</v>
      </c>
      <c r="P3876" s="20" t="s">
        <v>68</v>
      </c>
      <c r="Q3876" s="20" t="s">
        <v>69</v>
      </c>
      <c r="R3876" s="20" t="s">
        <v>3710</v>
      </c>
      <c r="T3876" s="20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</row>
    <row r="3877">
      <c r="A3877" s="15" t="s">
        <v>12554</v>
      </c>
      <c r="B3877" s="19" t="s">
        <v>3771</v>
      </c>
      <c r="C3877" s="20">
        <v>50104.0</v>
      </c>
      <c r="D3877" s="20" t="s">
        <v>3770</v>
      </c>
      <c r="E3877" s="5">
        <v>9.18197074748E11</v>
      </c>
      <c r="F3877" s="21">
        <v>20422.0</v>
      </c>
      <c r="G3877" s="20"/>
      <c r="H3877" s="20" t="s">
        <v>3708</v>
      </c>
      <c r="I3877" s="5"/>
      <c r="J3877" s="20">
        <v>1.0</v>
      </c>
      <c r="K3877" s="20">
        <v>99.0</v>
      </c>
      <c r="L3877" s="20"/>
      <c r="M3877" s="20">
        <v>99.0</v>
      </c>
      <c r="N3877" s="5" t="s">
        <v>67</v>
      </c>
      <c r="O3877" s="20" t="b">
        <v>0</v>
      </c>
      <c r="P3877" s="20" t="s">
        <v>68</v>
      </c>
      <c r="Q3877" s="20" t="s">
        <v>69</v>
      </c>
      <c r="R3877" s="20" t="s">
        <v>3710</v>
      </c>
      <c r="T3877" s="20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</row>
    <row r="3878">
      <c r="A3878" s="15" t="s">
        <v>12561</v>
      </c>
      <c r="B3878" s="19" t="s">
        <v>3705</v>
      </c>
      <c r="C3878" s="20">
        <v>50136.0</v>
      </c>
      <c r="D3878" s="20" t="s">
        <v>3704</v>
      </c>
      <c r="E3878" s="5">
        <v>9.19880412599E11</v>
      </c>
      <c r="F3878" s="21">
        <v>20423.0</v>
      </c>
      <c r="G3878" s="20"/>
      <c r="H3878" s="20" t="s">
        <v>3618</v>
      </c>
      <c r="I3878" s="5"/>
      <c r="J3878" s="20">
        <v>6.0</v>
      </c>
      <c r="K3878" s="20">
        <v>349.0</v>
      </c>
      <c r="L3878" s="20"/>
      <c r="M3878" s="20">
        <v>349.0</v>
      </c>
      <c r="N3878" s="5" t="s">
        <v>67</v>
      </c>
      <c r="O3878" s="20" t="b">
        <v>0</v>
      </c>
      <c r="P3878" s="20" t="s">
        <v>68</v>
      </c>
      <c r="Q3878" s="20" t="s">
        <v>69</v>
      </c>
      <c r="R3878" s="20" t="s">
        <v>3624</v>
      </c>
      <c r="T3878" s="20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</row>
    <row r="3879">
      <c r="A3879" s="15" t="s">
        <v>12566</v>
      </c>
      <c r="B3879" s="19" t="s">
        <v>3707</v>
      </c>
      <c r="C3879" s="20">
        <v>50136.0</v>
      </c>
      <c r="D3879" s="20" t="s">
        <v>3706</v>
      </c>
      <c r="E3879" s="5">
        <v>9.19591104324E11</v>
      </c>
      <c r="F3879" s="21">
        <v>20424.0</v>
      </c>
      <c r="G3879" s="20"/>
      <c r="H3879" s="20" t="s">
        <v>3618</v>
      </c>
      <c r="I3879" s="5"/>
      <c r="J3879" s="20">
        <v>1.0</v>
      </c>
      <c r="K3879" s="20">
        <v>99.0</v>
      </c>
      <c r="L3879" s="20"/>
      <c r="M3879" s="20">
        <v>99.0</v>
      </c>
      <c r="N3879" s="5" t="s">
        <v>67</v>
      </c>
      <c r="O3879" s="20" t="b">
        <v>0</v>
      </c>
      <c r="P3879" s="20" t="s">
        <v>68</v>
      </c>
      <c r="Q3879" s="20" t="s">
        <v>69</v>
      </c>
      <c r="R3879" s="20" t="s">
        <v>3624</v>
      </c>
      <c r="T3879" s="20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</row>
    <row r="3880">
      <c r="A3880" s="15" t="s">
        <v>12568</v>
      </c>
      <c r="B3880" s="19" t="s">
        <v>4558</v>
      </c>
      <c r="C3880" s="20">
        <v>50052.0</v>
      </c>
      <c r="D3880" s="20" t="s">
        <v>4557</v>
      </c>
      <c r="E3880" s="5">
        <v>9.18697739984E11</v>
      </c>
      <c r="F3880" s="21">
        <v>20426.0</v>
      </c>
      <c r="G3880" s="20"/>
      <c r="H3880" s="20" t="s">
        <v>4433</v>
      </c>
      <c r="I3880" s="5"/>
      <c r="J3880" s="20">
        <v>6.0</v>
      </c>
      <c r="K3880" s="20">
        <v>349.0</v>
      </c>
      <c r="L3880" s="20"/>
      <c r="M3880" s="20">
        <v>349.0</v>
      </c>
      <c r="N3880" s="5" t="s">
        <v>67</v>
      </c>
      <c r="O3880" s="20" t="b">
        <v>0</v>
      </c>
      <c r="P3880" s="20" t="s">
        <v>68</v>
      </c>
      <c r="Q3880" s="20" t="s">
        <v>69</v>
      </c>
      <c r="R3880" s="20" t="s">
        <v>4435</v>
      </c>
      <c r="T3880" s="20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</row>
    <row r="3881">
      <c r="A3881" s="15" t="s">
        <v>12573</v>
      </c>
      <c r="B3881" s="19" t="s">
        <v>3607</v>
      </c>
      <c r="C3881" s="20">
        <v>50030.0</v>
      </c>
      <c r="D3881" s="20" t="s">
        <v>3606</v>
      </c>
      <c r="E3881" s="5">
        <v>9.18859268442E11</v>
      </c>
      <c r="F3881" s="21">
        <v>0.0</v>
      </c>
      <c r="G3881" s="20"/>
      <c r="H3881" s="20" t="s">
        <v>3326</v>
      </c>
      <c r="I3881" s="5"/>
      <c r="J3881" s="20">
        <v>1.0</v>
      </c>
      <c r="K3881" s="20">
        <v>99.0</v>
      </c>
      <c r="L3881" s="20"/>
      <c r="M3881" s="20">
        <v>99.0</v>
      </c>
      <c r="N3881" s="5" t="s">
        <v>67</v>
      </c>
      <c r="O3881" s="20" t="b">
        <v>0</v>
      </c>
      <c r="P3881" s="20" t="s">
        <v>68</v>
      </c>
      <c r="Q3881" s="20" t="s">
        <v>69</v>
      </c>
      <c r="R3881" s="20" t="s">
        <v>3328</v>
      </c>
      <c r="T3881" s="20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</row>
    <row r="3882">
      <c r="A3882" s="15" t="s">
        <v>12574</v>
      </c>
      <c r="B3882" s="19" t="s">
        <v>3773</v>
      </c>
      <c r="C3882" s="20">
        <v>50104.0</v>
      </c>
      <c r="D3882" s="20" t="s">
        <v>3772</v>
      </c>
      <c r="E3882" s="5">
        <v>9.1995294217E11</v>
      </c>
      <c r="F3882" s="21">
        <v>20427.0</v>
      </c>
      <c r="G3882" s="20"/>
      <c r="H3882" s="20" t="s">
        <v>3708</v>
      </c>
      <c r="I3882" s="5"/>
      <c r="J3882" s="20">
        <v>6.0</v>
      </c>
      <c r="K3882" s="20">
        <v>349.0</v>
      </c>
      <c r="L3882" s="20"/>
      <c r="M3882" s="20">
        <v>349.0</v>
      </c>
      <c r="N3882" s="5" t="s">
        <v>67</v>
      </c>
      <c r="O3882" s="20" t="b">
        <v>0</v>
      </c>
      <c r="P3882" s="20" t="s">
        <v>68</v>
      </c>
      <c r="Q3882" s="20" t="s">
        <v>69</v>
      </c>
      <c r="R3882" s="20" t="s">
        <v>3710</v>
      </c>
      <c r="T3882" s="20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</row>
    <row r="3883">
      <c r="A3883" s="15" t="s">
        <v>12576</v>
      </c>
      <c r="B3883" s="19" t="s">
        <v>4560</v>
      </c>
      <c r="C3883" s="20">
        <v>50052.0</v>
      </c>
      <c r="D3883" s="20" t="s">
        <v>4559</v>
      </c>
      <c r="E3883" s="5">
        <v>9.16353379278E11</v>
      </c>
      <c r="F3883" s="21">
        <v>20428.0</v>
      </c>
      <c r="G3883" s="20"/>
      <c r="H3883" s="20" t="s">
        <v>4433</v>
      </c>
      <c r="I3883" s="5"/>
      <c r="J3883" s="20">
        <v>1.0</v>
      </c>
      <c r="K3883" s="20">
        <v>99.0</v>
      </c>
      <c r="L3883" s="20"/>
      <c r="M3883" s="20">
        <v>99.0</v>
      </c>
      <c r="N3883" s="5" t="s">
        <v>67</v>
      </c>
      <c r="O3883" s="20" t="b">
        <v>0</v>
      </c>
      <c r="P3883" s="20" t="s">
        <v>74</v>
      </c>
      <c r="Q3883" s="20" t="s">
        <v>69</v>
      </c>
      <c r="R3883" s="20" t="s">
        <v>4435</v>
      </c>
      <c r="T3883" s="20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</row>
    <row r="3884">
      <c r="A3884" s="15" t="s">
        <v>12582</v>
      </c>
      <c r="B3884" s="19" t="s">
        <v>5180</v>
      </c>
      <c r="C3884" s="20">
        <v>49813.0</v>
      </c>
      <c r="D3884" s="20" t="s">
        <v>5179</v>
      </c>
      <c r="E3884" s="5">
        <v>9.19707738484E11</v>
      </c>
      <c r="F3884" s="21">
        <v>20430.0</v>
      </c>
      <c r="G3884" s="20"/>
      <c r="H3884" s="20" t="s">
        <v>5114</v>
      </c>
      <c r="I3884" s="5"/>
      <c r="J3884" s="20">
        <v>1.0</v>
      </c>
      <c r="K3884" s="20">
        <v>299.0</v>
      </c>
      <c r="L3884" s="20"/>
      <c r="M3884" s="20">
        <v>299.0</v>
      </c>
      <c r="N3884" s="5" t="s">
        <v>67</v>
      </c>
      <c r="O3884" s="20" t="b">
        <v>0</v>
      </c>
      <c r="P3884" s="20" t="s">
        <v>68</v>
      </c>
      <c r="Q3884" s="20" t="s">
        <v>69</v>
      </c>
      <c r="R3884" s="20" t="s">
        <v>5116</v>
      </c>
      <c r="T3884" s="20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</row>
    <row r="3885">
      <c r="A3885" s="15" t="s">
        <v>12583</v>
      </c>
      <c r="B3885" s="19" t="s">
        <v>3609</v>
      </c>
      <c r="C3885" s="20">
        <v>50030.0</v>
      </c>
      <c r="D3885" s="20" t="s">
        <v>3608</v>
      </c>
      <c r="E3885" s="5">
        <v>9.19945180168E11</v>
      </c>
      <c r="F3885" s="21">
        <v>20429.0</v>
      </c>
      <c r="G3885" s="20"/>
      <c r="H3885" s="20" t="s">
        <v>3326</v>
      </c>
      <c r="I3885" s="5"/>
      <c r="J3885" s="20">
        <v>6.0</v>
      </c>
      <c r="K3885" s="20">
        <v>349.0</v>
      </c>
      <c r="L3885" s="20"/>
      <c r="M3885" s="20">
        <v>349.0</v>
      </c>
      <c r="N3885" s="5" t="s">
        <v>67</v>
      </c>
      <c r="O3885" s="20" t="b">
        <v>0</v>
      </c>
      <c r="P3885" s="20" t="s">
        <v>74</v>
      </c>
      <c r="Q3885" s="20" t="s">
        <v>69</v>
      </c>
      <c r="R3885" s="20" t="s">
        <v>3328</v>
      </c>
      <c r="T3885" s="20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</row>
  </sheetData>
  <autoFilter ref="$A$1:$R$3885">
    <sortState ref="A1:R3885">
      <sortCondition ref="A1:A3885"/>
    </sortState>
  </autoFilter>
  <hyperlinks>
    <hyperlink r:id="rId1" ref="A1268"/>
    <hyperlink r:id="rId2" ref="A1971"/>
    <hyperlink r:id="rId3" ref="A1972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8" max="8" width="4.14"/>
    <col customWidth="1" min="9" max="9" width="47.57"/>
  </cols>
  <sheetData>
    <row r="1">
      <c r="A1" s="28" t="s">
        <v>47</v>
      </c>
      <c r="B1" s="29" t="s">
        <v>48</v>
      </c>
      <c r="C1" s="29" t="s">
        <v>12594</v>
      </c>
      <c r="D1" s="29" t="s">
        <v>12595</v>
      </c>
      <c r="E1" s="29" t="s">
        <v>12596</v>
      </c>
      <c r="F1" s="29" t="s">
        <v>12597</v>
      </c>
      <c r="G1" s="29" t="s">
        <v>12598</v>
      </c>
      <c r="H1" s="4" t="s">
        <v>12599</v>
      </c>
      <c r="I1" s="4" t="s">
        <v>12600</v>
      </c>
      <c r="J1" s="4" t="s">
        <v>4</v>
      </c>
      <c r="K1" s="30"/>
      <c r="L1" s="30"/>
      <c r="M1" s="30"/>
      <c r="N1" s="30"/>
      <c r="O1" s="30"/>
      <c r="P1" s="30"/>
      <c r="Q1" s="30"/>
      <c r="R1" s="5"/>
      <c r="S1" s="5"/>
      <c r="T1" s="5"/>
      <c r="U1" s="5"/>
      <c r="V1" s="5"/>
      <c r="W1" s="30"/>
      <c r="X1" s="30"/>
    </row>
    <row r="2">
      <c r="A2" s="28" t="s">
        <v>2441</v>
      </c>
      <c r="B2" s="31">
        <v>50143.0</v>
      </c>
      <c r="C2" s="31" t="b">
        <v>1</v>
      </c>
      <c r="D2" s="29">
        <v>499.0</v>
      </c>
      <c r="E2" s="29">
        <v>199.0</v>
      </c>
      <c r="F2" s="28" t="s">
        <v>12601</v>
      </c>
      <c r="G2" s="28" t="s">
        <v>12602</v>
      </c>
      <c r="H2" s="32" t="str">
        <f>IFERROR(__xludf.DUMMYFUNCTION("SPLIT(G2,""="")"),"https://payment.likeminds.community/?plan_id")</f>
        <v>https://payment.likeminds.community/?plan_id</v>
      </c>
      <c r="I2" s="5" t="str">
        <f>IFERROR(__xludf.DUMMYFUNCTION("""COMPUTED_VALUE"""),"13c0b553-5d91-4d31-b4bc-88d880628869")</f>
        <v>13c0b553-5d91-4d31-b4bc-88d880628869</v>
      </c>
      <c r="J2" s="4" t="s">
        <v>12603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30"/>
      <c r="X2" s="30"/>
    </row>
    <row r="3">
      <c r="A3" s="28" t="s">
        <v>2441</v>
      </c>
      <c r="B3" s="31">
        <v>50143.0</v>
      </c>
      <c r="C3" s="31" t="b">
        <v>1</v>
      </c>
      <c r="D3" s="29">
        <v>799.0</v>
      </c>
      <c r="E3" s="29">
        <v>399.0</v>
      </c>
      <c r="F3" s="28" t="s">
        <v>12604</v>
      </c>
      <c r="G3" s="28" t="s">
        <v>12605</v>
      </c>
      <c r="H3" s="32" t="str">
        <f>IFERROR(__xludf.DUMMYFUNCTION("SPLIT(G3,""="")"),"https://payment.likeminds.community/?plan_id")</f>
        <v>https://payment.likeminds.community/?plan_id</v>
      </c>
      <c r="I3" s="5" t="str">
        <f>IFERROR(__xludf.DUMMYFUNCTION("""COMPUTED_VALUE"""),"f769f468-4a1f-47bd-a73b-f158d7cd9797")</f>
        <v>f769f468-4a1f-47bd-a73b-f158d7cd9797</v>
      </c>
      <c r="J3" s="4" t="s">
        <v>12603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30"/>
      <c r="X3" s="5"/>
    </row>
    <row r="4">
      <c r="A4" s="28" t="s">
        <v>2441</v>
      </c>
      <c r="B4" s="31">
        <v>50143.0</v>
      </c>
      <c r="C4" s="31" t="b">
        <v>1</v>
      </c>
      <c r="D4" s="29">
        <v>1499.0</v>
      </c>
      <c r="E4" s="29">
        <v>999.0</v>
      </c>
      <c r="F4" s="28" t="s">
        <v>12606</v>
      </c>
      <c r="G4" s="28" t="s">
        <v>12607</v>
      </c>
      <c r="H4" s="32" t="str">
        <f>IFERROR(__xludf.DUMMYFUNCTION("SPLIT(G4,""="")"),"https://payment.likeminds.community/?plan_id")</f>
        <v>https://payment.likeminds.community/?plan_id</v>
      </c>
      <c r="I4" s="5" t="str">
        <f>IFERROR(__xludf.DUMMYFUNCTION("""COMPUTED_VALUE"""),"5f18b70b-7596-4800-968b-3425c2266e5e")</f>
        <v>5f18b70b-7596-4800-968b-3425c2266e5e</v>
      </c>
      <c r="J4" s="4" t="s">
        <v>12603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0"/>
      <c r="X4" s="30"/>
    </row>
    <row r="5">
      <c r="A5" s="28" t="s">
        <v>12608</v>
      </c>
      <c r="B5" s="31">
        <v>50146.0</v>
      </c>
      <c r="C5" s="31" t="b">
        <v>1</v>
      </c>
      <c r="D5" s="29">
        <v>299.0</v>
      </c>
      <c r="E5" s="29">
        <v>99.0</v>
      </c>
      <c r="F5" s="28" t="s">
        <v>12609</v>
      </c>
      <c r="G5" s="28" t="s">
        <v>12610</v>
      </c>
      <c r="H5" s="32" t="str">
        <f>IFERROR(__xludf.DUMMYFUNCTION("SPLIT(G5,""="")"),"https://payment.likeminds.community/?plan_id")</f>
        <v>https://payment.likeminds.community/?plan_id</v>
      </c>
      <c r="I5" s="5" t="str">
        <f>IFERROR(__xludf.DUMMYFUNCTION("""COMPUTED_VALUE"""),"c569cb32-9e1e-4231-a60f-b7dd838e051c")</f>
        <v>c569cb32-9e1e-4231-a60f-b7dd838e051c</v>
      </c>
      <c r="J5" s="4" t="s">
        <v>12603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30"/>
      <c r="X5" s="5"/>
    </row>
    <row r="6">
      <c r="A6" s="28" t="s">
        <v>12608</v>
      </c>
      <c r="B6" s="31">
        <v>50146.0</v>
      </c>
      <c r="C6" s="31" t="b">
        <v>1</v>
      </c>
      <c r="D6" s="29">
        <v>499.0</v>
      </c>
      <c r="E6" s="29">
        <v>199.0</v>
      </c>
      <c r="F6" s="28" t="s">
        <v>12611</v>
      </c>
      <c r="G6" s="28" t="s">
        <v>12612</v>
      </c>
      <c r="H6" s="32" t="str">
        <f>IFERROR(__xludf.DUMMYFUNCTION("SPLIT(G6,""="")"),"https://payment.likeminds.community/?plan_id")</f>
        <v>https://payment.likeminds.community/?plan_id</v>
      </c>
      <c r="I6" s="5" t="str">
        <f>IFERROR(__xludf.DUMMYFUNCTION("""COMPUTED_VALUE"""),"507beaf4-02a0-4413-abe9-bfe08e9cd3f2")</f>
        <v>507beaf4-02a0-4413-abe9-bfe08e9cd3f2</v>
      </c>
      <c r="J6" s="4" t="s">
        <v>12603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30"/>
      <c r="X6" s="5"/>
    </row>
    <row r="7">
      <c r="A7" s="28" t="s">
        <v>12608</v>
      </c>
      <c r="B7" s="31">
        <v>50146.0</v>
      </c>
      <c r="C7" s="31" t="b">
        <v>1</v>
      </c>
      <c r="D7" s="29">
        <v>799.0</v>
      </c>
      <c r="E7" s="29">
        <v>349.0</v>
      </c>
      <c r="F7" s="28" t="s">
        <v>12609</v>
      </c>
      <c r="G7" s="28" t="s">
        <v>12613</v>
      </c>
      <c r="H7" s="32" t="str">
        <f>IFERROR(__xludf.DUMMYFUNCTION("SPLIT(G7,""="")"),"https://payment.likeminds.community/?plan_id")</f>
        <v>https://payment.likeminds.community/?plan_id</v>
      </c>
      <c r="I7" s="5" t="str">
        <f>IFERROR(__xludf.DUMMYFUNCTION("""COMPUTED_VALUE"""),"aee90a54-bbfd-4a14-bca2-5f8528e05d07")</f>
        <v>aee90a54-bbfd-4a14-bca2-5f8528e05d07</v>
      </c>
      <c r="J7" s="4" t="s">
        <v>12603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30"/>
      <c r="X7" s="5"/>
    </row>
    <row r="8">
      <c r="A8" s="28" t="s">
        <v>12614</v>
      </c>
      <c r="B8" s="31">
        <v>50123.0</v>
      </c>
      <c r="C8" s="31" t="b">
        <v>1</v>
      </c>
      <c r="D8" s="29">
        <v>499.0</v>
      </c>
      <c r="E8" s="29">
        <v>299.0</v>
      </c>
      <c r="F8" s="28" t="s">
        <v>12615</v>
      </c>
      <c r="G8" s="28" t="s">
        <v>12616</v>
      </c>
      <c r="H8" s="32" t="str">
        <f>IFERROR(__xludf.DUMMYFUNCTION("SPLIT(G8,""="")"),"https://payment.likeminds.community/?plan_id")</f>
        <v>https://payment.likeminds.community/?plan_id</v>
      </c>
      <c r="I8" s="5" t="str">
        <f>IFERROR(__xludf.DUMMYFUNCTION("""COMPUTED_VALUE"""),"f6c6a3a4-b29d-429e-96b6-e3c01572dfd7")</f>
        <v>f6c6a3a4-b29d-429e-96b6-e3c01572dfd7</v>
      </c>
      <c r="J8" s="4" t="s">
        <v>12603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30"/>
      <c r="X8" s="30"/>
    </row>
    <row r="9">
      <c r="A9" s="28" t="s">
        <v>12614</v>
      </c>
      <c r="B9" s="31">
        <v>50123.0</v>
      </c>
      <c r="C9" s="31" t="b">
        <v>1</v>
      </c>
      <c r="D9" s="29">
        <v>1199.0</v>
      </c>
      <c r="E9" s="29">
        <v>499.0</v>
      </c>
      <c r="F9" s="28" t="s">
        <v>12617</v>
      </c>
      <c r="G9" s="28" t="s">
        <v>12618</v>
      </c>
      <c r="H9" s="32" t="str">
        <f>IFERROR(__xludf.DUMMYFUNCTION("SPLIT(G9,""="")"),"https://payment.likeminds.community/?plan_id")</f>
        <v>https://payment.likeminds.community/?plan_id</v>
      </c>
      <c r="I9" s="5" t="str">
        <f>IFERROR(__xludf.DUMMYFUNCTION("""COMPUTED_VALUE"""),"51e33f1a-4b78-4ca5-b009-6e460fbde9fa")</f>
        <v>51e33f1a-4b78-4ca5-b009-6e460fbde9fa</v>
      </c>
      <c r="J9" s="4" t="s">
        <v>12603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30"/>
      <c r="X9" s="30"/>
    </row>
    <row r="10">
      <c r="A10" s="28" t="s">
        <v>12614</v>
      </c>
      <c r="B10" s="31">
        <v>50123.0</v>
      </c>
      <c r="C10" s="31" t="b">
        <v>1</v>
      </c>
      <c r="D10" s="29">
        <v>3999.0</v>
      </c>
      <c r="E10" s="29">
        <v>1999.0</v>
      </c>
      <c r="F10" s="29" t="s">
        <v>12619</v>
      </c>
      <c r="G10" s="28" t="s">
        <v>12620</v>
      </c>
      <c r="H10" s="32" t="str">
        <f>IFERROR(__xludf.DUMMYFUNCTION("SPLIT(G10,""="")"),"https://payment.likeminds.community/?plan_id")</f>
        <v>https://payment.likeminds.community/?plan_id</v>
      </c>
      <c r="I10" s="5" t="str">
        <f>IFERROR(__xludf.DUMMYFUNCTION("""COMPUTED_VALUE"""),"035f8c9a-0438-4476-91eb-314a8b92181f")</f>
        <v>035f8c9a-0438-4476-91eb-314a8b92181f</v>
      </c>
      <c r="J10" s="4" t="s">
        <v>12603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30"/>
      <c r="X10" s="5"/>
    </row>
    <row r="11">
      <c r="A11" s="28" t="s">
        <v>12621</v>
      </c>
      <c r="B11" s="31">
        <v>50137.0</v>
      </c>
      <c r="C11" s="31" t="b">
        <v>1</v>
      </c>
      <c r="D11" s="29">
        <v>299.0</v>
      </c>
      <c r="E11" s="29">
        <v>99.0</v>
      </c>
      <c r="F11" s="28" t="s">
        <v>12622</v>
      </c>
      <c r="G11" s="28" t="s">
        <v>12623</v>
      </c>
      <c r="H11" s="32" t="str">
        <f>IFERROR(__xludf.DUMMYFUNCTION("SPLIT(G11,""="")"),"https://payment.likeminds.community/?plan_id")</f>
        <v>https://payment.likeminds.community/?plan_id</v>
      </c>
      <c r="I11" s="5" t="str">
        <f>IFERROR(__xludf.DUMMYFUNCTION("""COMPUTED_VALUE"""),"56a4c42d-5825-40a2-822c-085d0bf62600")</f>
        <v>56a4c42d-5825-40a2-822c-085d0bf62600</v>
      </c>
      <c r="J11" s="4" t="s">
        <v>12603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30"/>
      <c r="X11" s="5"/>
    </row>
    <row r="12">
      <c r="A12" s="28" t="s">
        <v>12621</v>
      </c>
      <c r="B12" s="31">
        <v>50137.0</v>
      </c>
      <c r="C12" s="31" t="b">
        <v>1</v>
      </c>
      <c r="D12" s="29">
        <v>499.0</v>
      </c>
      <c r="E12" s="29">
        <v>199.0</v>
      </c>
      <c r="F12" s="28" t="s">
        <v>12624</v>
      </c>
      <c r="G12" s="28" t="s">
        <v>12625</v>
      </c>
      <c r="H12" s="32" t="str">
        <f>IFERROR(__xludf.DUMMYFUNCTION("SPLIT(G12,""="")"),"https://payment.likeminds.community/?plan_id")</f>
        <v>https://payment.likeminds.community/?plan_id</v>
      </c>
      <c r="I12" s="5" t="str">
        <f>IFERROR(__xludf.DUMMYFUNCTION("""COMPUTED_VALUE"""),"b3357429-e535-4d80-a3b8-248cd2cd4f9f")</f>
        <v>b3357429-e535-4d80-a3b8-248cd2cd4f9f</v>
      </c>
      <c r="J12" s="4" t="s">
        <v>12603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30"/>
      <c r="X12" s="30"/>
    </row>
    <row r="13">
      <c r="A13" s="28" t="s">
        <v>12621</v>
      </c>
      <c r="B13" s="31">
        <v>50137.0</v>
      </c>
      <c r="C13" s="31" t="b">
        <v>1</v>
      </c>
      <c r="D13" s="29">
        <v>799.0</v>
      </c>
      <c r="E13" s="29">
        <v>349.0</v>
      </c>
      <c r="F13" s="28" t="s">
        <v>12624</v>
      </c>
      <c r="G13" s="28" t="s">
        <v>12626</v>
      </c>
      <c r="H13" s="32" t="str">
        <f>IFERROR(__xludf.DUMMYFUNCTION("SPLIT(G13,""="")"),"https://payment.likeminds.community/?plan_id")</f>
        <v>https://payment.likeminds.community/?plan_id</v>
      </c>
      <c r="I13" s="5" t="str">
        <f>IFERROR(__xludf.DUMMYFUNCTION("""COMPUTED_VALUE"""),"7d5492e5-4806-4570-9fb4-d67785bb73f3")</f>
        <v>7d5492e5-4806-4570-9fb4-d67785bb73f3</v>
      </c>
      <c r="J13" s="4" t="s">
        <v>12603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30"/>
      <c r="X13" s="30"/>
    </row>
    <row r="14">
      <c r="A14" s="28" t="s">
        <v>2601</v>
      </c>
      <c r="B14" s="31">
        <v>50065.0</v>
      </c>
      <c r="C14" s="31" t="b">
        <v>1</v>
      </c>
      <c r="D14" s="29">
        <v>799.0</v>
      </c>
      <c r="E14" s="29">
        <v>349.0</v>
      </c>
      <c r="F14" s="28" t="s">
        <v>12627</v>
      </c>
      <c r="G14" s="28" t="s">
        <v>12628</v>
      </c>
      <c r="H14" s="32" t="str">
        <f>IFERROR(__xludf.DUMMYFUNCTION("SPLIT(G14,""="")"),"https://payment.likeminds.community/?plan_id")</f>
        <v>https://payment.likeminds.community/?plan_id</v>
      </c>
      <c r="I14" s="5" t="str">
        <f>IFERROR(__xludf.DUMMYFUNCTION("""COMPUTED_VALUE"""),"913ed34f-a4bf-4efd-83eb-d64f7c21201c")</f>
        <v>913ed34f-a4bf-4efd-83eb-d64f7c21201c</v>
      </c>
      <c r="J14" s="4" t="s">
        <v>12603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30"/>
      <c r="X14" s="5"/>
    </row>
    <row r="15">
      <c r="A15" s="28" t="s">
        <v>2601</v>
      </c>
      <c r="B15" s="31">
        <v>50065.0</v>
      </c>
      <c r="C15" s="31" t="b">
        <v>1</v>
      </c>
      <c r="D15" s="29">
        <v>1299.0</v>
      </c>
      <c r="E15" s="29">
        <v>599.0</v>
      </c>
      <c r="F15" s="28" t="s">
        <v>12629</v>
      </c>
      <c r="G15" s="28" t="s">
        <v>12630</v>
      </c>
      <c r="H15" s="32" t="str">
        <f>IFERROR(__xludf.DUMMYFUNCTION("SPLIT(G15,""="")"),"https://payment.likeminds.community/?plan_id")</f>
        <v>https://payment.likeminds.community/?plan_id</v>
      </c>
      <c r="I15" s="5" t="str">
        <f>IFERROR(__xludf.DUMMYFUNCTION("""COMPUTED_VALUE"""),"8e951c7b-6512-413a-acbd-8e5a4e455982")</f>
        <v>8e951c7b-6512-413a-acbd-8e5a4e455982</v>
      </c>
      <c r="J15" s="4" t="s">
        <v>12603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30"/>
      <c r="X15" s="30"/>
    </row>
    <row r="16">
      <c r="A16" s="28" t="s">
        <v>2601</v>
      </c>
      <c r="B16" s="31">
        <v>50065.0</v>
      </c>
      <c r="C16" s="31" t="b">
        <v>1</v>
      </c>
      <c r="D16" s="29">
        <v>1699.0</v>
      </c>
      <c r="E16" s="29">
        <v>899.0</v>
      </c>
      <c r="F16" s="28" t="s">
        <v>12631</v>
      </c>
      <c r="G16" s="28" t="s">
        <v>12632</v>
      </c>
      <c r="H16" s="32" t="str">
        <f>IFERROR(__xludf.DUMMYFUNCTION("SPLIT(G16,""="")"),"https://payment.likeminds.community/?plan_id")</f>
        <v>https://payment.likeminds.community/?plan_id</v>
      </c>
      <c r="I16" s="5" t="str">
        <f>IFERROR(__xludf.DUMMYFUNCTION("""COMPUTED_VALUE"""),"48bc08a0-d834-4c70-aaa9-5a73eb900e8a")</f>
        <v>48bc08a0-d834-4c70-aaa9-5a73eb900e8a</v>
      </c>
      <c r="J16" s="4" t="s">
        <v>12603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30"/>
      <c r="X16" s="5"/>
    </row>
    <row r="17">
      <c r="A17" s="28" t="s">
        <v>2702</v>
      </c>
      <c r="B17" s="31">
        <v>50015.0</v>
      </c>
      <c r="C17" s="31" t="b">
        <v>1</v>
      </c>
      <c r="D17" s="29">
        <v>299.0</v>
      </c>
      <c r="E17" s="29">
        <v>149.0</v>
      </c>
      <c r="F17" s="28" t="s">
        <v>12633</v>
      </c>
      <c r="G17" s="28" t="s">
        <v>12634</v>
      </c>
      <c r="H17" s="32" t="str">
        <f>IFERROR(__xludf.DUMMYFUNCTION("SPLIT(G17,""="")"),"https://payment.likeminds.community/?plan_id")</f>
        <v>https://payment.likeminds.community/?plan_id</v>
      </c>
      <c r="I17" s="5" t="str">
        <f>IFERROR(__xludf.DUMMYFUNCTION("""COMPUTED_VALUE"""),"44a32d15-1826-48af-9451-9cf9d50683c6")</f>
        <v>44a32d15-1826-48af-9451-9cf9d50683c6</v>
      </c>
      <c r="J17" s="4" t="s">
        <v>12603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30"/>
      <c r="X17" s="30"/>
    </row>
    <row r="18">
      <c r="A18" s="28" t="s">
        <v>2702</v>
      </c>
      <c r="B18" s="31">
        <v>50015.0</v>
      </c>
      <c r="C18" s="31" t="b">
        <v>1</v>
      </c>
      <c r="D18" s="29">
        <v>699.0</v>
      </c>
      <c r="E18" s="29">
        <v>349.0</v>
      </c>
      <c r="F18" s="28" t="s">
        <v>12635</v>
      </c>
      <c r="G18" s="28" t="s">
        <v>12636</v>
      </c>
      <c r="H18" s="32" t="str">
        <f>IFERROR(__xludf.DUMMYFUNCTION("SPLIT(G18,""="")"),"https://payment.likeminds.community/?plan_id")</f>
        <v>https://payment.likeminds.community/?plan_id</v>
      </c>
      <c r="I18" s="5" t="str">
        <f>IFERROR(__xludf.DUMMYFUNCTION("""COMPUTED_VALUE"""),"f4e45163-a32d-4772-ad0f-d4886e3e3e61")</f>
        <v>f4e45163-a32d-4772-ad0f-d4886e3e3e61</v>
      </c>
      <c r="J18" s="4" t="s">
        <v>12603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30"/>
      <c r="X18" s="5"/>
    </row>
    <row r="19">
      <c r="A19" s="28" t="s">
        <v>2702</v>
      </c>
      <c r="B19" s="31">
        <v>50015.0</v>
      </c>
      <c r="C19" s="31" t="b">
        <v>1</v>
      </c>
      <c r="D19" s="29">
        <v>999.0</v>
      </c>
      <c r="E19" s="29">
        <v>699.0</v>
      </c>
      <c r="F19" s="28" t="s">
        <v>12637</v>
      </c>
      <c r="G19" s="28" t="s">
        <v>12638</v>
      </c>
      <c r="H19" s="32" t="str">
        <f>IFERROR(__xludf.DUMMYFUNCTION("SPLIT(G19,""="")"),"https://payment.likeminds.community/?plan_id")</f>
        <v>https://payment.likeminds.community/?plan_id</v>
      </c>
      <c r="I19" s="5" t="str">
        <f>IFERROR(__xludf.DUMMYFUNCTION("""COMPUTED_VALUE"""),"928c42ca-379d-4f02-8429-4aed5151bd31")</f>
        <v>928c42ca-379d-4f02-8429-4aed5151bd31</v>
      </c>
      <c r="J19" s="4" t="s">
        <v>12603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30"/>
      <c r="X19" s="30"/>
    </row>
    <row r="20">
      <c r="A20" s="28" t="s">
        <v>2702</v>
      </c>
      <c r="B20" s="31">
        <v>50015.0</v>
      </c>
      <c r="C20" s="31" t="b">
        <v>1</v>
      </c>
      <c r="D20" s="33"/>
      <c r="E20" s="33"/>
      <c r="F20" s="33"/>
      <c r="G20" s="28" t="s">
        <v>12639</v>
      </c>
      <c r="H20" s="32" t="str">
        <f>IFERROR(__xludf.DUMMYFUNCTION("SPLIT(G20,""="")"),"https://payment.likeminds.community/?plan_id")</f>
        <v>https://payment.likeminds.community/?plan_id</v>
      </c>
      <c r="I20" s="5" t="str">
        <f>IFERROR(__xludf.DUMMYFUNCTION("""COMPUTED_VALUE"""),"72f81c22-ab2b-4015-99d8-e4594a0b185f")</f>
        <v>72f81c22-ab2b-4015-99d8-e4594a0b185f</v>
      </c>
      <c r="J20" s="4" t="s">
        <v>12603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30"/>
      <c r="X20" s="30"/>
    </row>
    <row r="21">
      <c r="A21" s="28" t="s">
        <v>2761</v>
      </c>
      <c r="B21" s="31">
        <v>50029.0</v>
      </c>
      <c r="C21" s="31" t="b">
        <v>1</v>
      </c>
      <c r="D21" s="29">
        <v>299.0</v>
      </c>
      <c r="E21" s="29">
        <v>99.0</v>
      </c>
      <c r="F21" s="28" t="s">
        <v>12640</v>
      </c>
      <c r="G21" s="28" t="s">
        <v>12641</v>
      </c>
      <c r="H21" s="32" t="str">
        <f>IFERROR(__xludf.DUMMYFUNCTION("SPLIT(G21,""="")"),"https://payment.likeminds.community/?plan_id")</f>
        <v>https://payment.likeminds.community/?plan_id</v>
      </c>
      <c r="I21" s="5" t="str">
        <f>IFERROR(__xludf.DUMMYFUNCTION("""COMPUTED_VALUE"""),"plan_H4kF9Rb1Rappwf")</f>
        <v>plan_H4kF9Rb1Rappwf</v>
      </c>
      <c r="J21" s="4" t="s">
        <v>12603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30"/>
      <c r="X21" s="5"/>
    </row>
    <row r="22">
      <c r="A22" s="28" t="s">
        <v>2761</v>
      </c>
      <c r="B22" s="31">
        <v>50029.0</v>
      </c>
      <c r="C22" s="31" t="b">
        <v>1</v>
      </c>
      <c r="D22" s="29">
        <v>499.0</v>
      </c>
      <c r="E22" s="29">
        <v>199.0</v>
      </c>
      <c r="F22" s="28" t="s">
        <v>12640</v>
      </c>
      <c r="G22" s="28" t="s">
        <v>12642</v>
      </c>
      <c r="H22" s="32" t="str">
        <f>IFERROR(__xludf.DUMMYFUNCTION("SPLIT(G22,""="")"),"https://payment.likeminds.community/?plan_id")</f>
        <v>https://payment.likeminds.community/?plan_id</v>
      </c>
      <c r="I22" s="5" t="str">
        <f>IFERROR(__xludf.DUMMYFUNCTION("""COMPUTED_VALUE"""),"plan_H4kFA3Nlir02TM")</f>
        <v>plan_H4kFA3Nlir02TM</v>
      </c>
      <c r="J22" s="4" t="s">
        <v>12603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30"/>
      <c r="X22" s="30"/>
    </row>
    <row r="23">
      <c r="A23" s="28" t="s">
        <v>2761</v>
      </c>
      <c r="B23" s="31">
        <v>50029.0</v>
      </c>
      <c r="C23" s="31" t="b">
        <v>1</v>
      </c>
      <c r="D23" s="29">
        <v>799.0</v>
      </c>
      <c r="E23" s="29">
        <v>349.0</v>
      </c>
      <c r="F23" s="28" t="s">
        <v>12640</v>
      </c>
      <c r="G23" s="28" t="s">
        <v>12643</v>
      </c>
      <c r="H23" s="32" t="str">
        <f>IFERROR(__xludf.DUMMYFUNCTION("SPLIT(G23,""="")"),"https://payment.likeminds.community/?plan_id")</f>
        <v>https://payment.likeminds.community/?plan_id</v>
      </c>
      <c r="I23" s="5" t="str">
        <f>IFERROR(__xludf.DUMMYFUNCTION("""COMPUTED_VALUE"""),"plan_H4kFAiqRh0KWfC")</f>
        <v>plan_H4kFAiqRh0KWfC</v>
      </c>
      <c r="J23" s="4" t="s">
        <v>12603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30"/>
      <c r="X23" s="30"/>
    </row>
    <row r="24">
      <c r="A24" s="28" t="s">
        <v>12644</v>
      </c>
      <c r="B24" s="31">
        <v>50114.0</v>
      </c>
      <c r="C24" s="31" t="b">
        <v>1</v>
      </c>
      <c r="D24" s="29">
        <v>499.0</v>
      </c>
      <c r="E24" s="29">
        <v>249.0</v>
      </c>
      <c r="F24" s="28" t="s">
        <v>12645</v>
      </c>
      <c r="G24" s="28" t="s">
        <v>12646</v>
      </c>
      <c r="H24" s="32" t="str">
        <f>IFERROR(__xludf.DUMMYFUNCTION("SPLIT(G24,""="")"),"https://payment.likeminds.community/?plan_id")</f>
        <v>https://payment.likeminds.community/?plan_id</v>
      </c>
      <c r="I24" s="5" t="str">
        <f>IFERROR(__xludf.DUMMYFUNCTION("""COMPUTED_VALUE"""),"6288ed1f-0ebf-4cf4-a9ad-be8645390b91")</f>
        <v>6288ed1f-0ebf-4cf4-a9ad-be8645390b91</v>
      </c>
      <c r="J24" s="4" t="s">
        <v>12603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30"/>
      <c r="X24" s="5"/>
    </row>
    <row r="25">
      <c r="A25" s="28" t="s">
        <v>12644</v>
      </c>
      <c r="B25" s="31">
        <v>50114.0</v>
      </c>
      <c r="C25" s="31" t="b">
        <v>1</v>
      </c>
      <c r="D25" s="29">
        <v>1999.0</v>
      </c>
      <c r="E25" s="29">
        <v>719.0</v>
      </c>
      <c r="F25" s="28" t="s">
        <v>12647</v>
      </c>
      <c r="G25" s="28" t="s">
        <v>12648</v>
      </c>
      <c r="H25" s="32" t="str">
        <f>IFERROR(__xludf.DUMMYFUNCTION("SPLIT(G25,""="")"),"https://payment.likeminds.community/?plan_id")</f>
        <v>https://payment.likeminds.community/?plan_id</v>
      </c>
      <c r="I25" s="5" t="str">
        <f>IFERROR(__xludf.DUMMYFUNCTION("""COMPUTED_VALUE"""),"ef06f095-0bfb-46b5-a818-eb6dd3baf71d")</f>
        <v>ef06f095-0bfb-46b5-a818-eb6dd3baf71d</v>
      </c>
      <c r="J25" s="4" t="s">
        <v>12603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30"/>
      <c r="X25" s="5"/>
    </row>
    <row r="26">
      <c r="A26" s="28" t="s">
        <v>12644</v>
      </c>
      <c r="B26" s="31">
        <v>50114.0</v>
      </c>
      <c r="C26" s="31" t="b">
        <v>1</v>
      </c>
      <c r="D26" s="29">
        <v>2999.0</v>
      </c>
      <c r="E26" s="29">
        <v>1199.0</v>
      </c>
      <c r="F26" s="28" t="s">
        <v>12649</v>
      </c>
      <c r="G26" s="28" t="s">
        <v>12650</v>
      </c>
      <c r="H26" s="32" t="str">
        <f>IFERROR(__xludf.DUMMYFUNCTION("SPLIT(G26,""="")"),"https://payment.likeminds.community/?plan_id")</f>
        <v>https://payment.likeminds.community/?plan_id</v>
      </c>
      <c r="I26" s="5" t="str">
        <f>IFERROR(__xludf.DUMMYFUNCTION("""COMPUTED_VALUE"""),"4d78fcbc-c31f-478a-923e-aefec3f77d67")</f>
        <v>4d78fcbc-c31f-478a-923e-aefec3f77d67</v>
      </c>
      <c r="J26" s="4" t="s">
        <v>12603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30"/>
      <c r="X26" s="5"/>
    </row>
    <row r="27">
      <c r="A27" s="28" t="s">
        <v>12644</v>
      </c>
      <c r="B27" s="31">
        <v>50114.0</v>
      </c>
      <c r="C27" s="31" t="b">
        <v>1</v>
      </c>
      <c r="D27" s="29">
        <v>5999.0</v>
      </c>
      <c r="E27" s="29">
        <v>2399.0</v>
      </c>
      <c r="F27" s="28" t="s">
        <v>12649</v>
      </c>
      <c r="G27" s="28" t="s">
        <v>12651</v>
      </c>
      <c r="H27" s="32" t="str">
        <f>IFERROR(__xludf.DUMMYFUNCTION("SPLIT(G27,""="")"),"https://payment.likeminds.community/?plan_id")</f>
        <v>https://payment.likeminds.community/?plan_id</v>
      </c>
      <c r="I27" s="5" t="str">
        <f>IFERROR(__xludf.DUMMYFUNCTION("""COMPUTED_VALUE"""),"b6444d56-895a-47c2-b77a-d9ce753a5aa5")</f>
        <v>b6444d56-895a-47c2-b77a-d9ce753a5aa5</v>
      </c>
      <c r="J27" s="4" t="s">
        <v>12603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30"/>
      <c r="X27" s="5"/>
    </row>
    <row r="28">
      <c r="A28" s="28" t="s">
        <v>2911</v>
      </c>
      <c r="B28" s="31">
        <v>50066.0</v>
      </c>
      <c r="C28" s="31" t="b">
        <v>1</v>
      </c>
      <c r="D28" s="33"/>
      <c r="E28" s="29">
        <v>499.0</v>
      </c>
      <c r="F28" s="28" t="s">
        <v>12652</v>
      </c>
      <c r="G28" s="28" t="s">
        <v>12653</v>
      </c>
      <c r="H28" s="32" t="str">
        <f>IFERROR(__xludf.DUMMYFUNCTION("SPLIT(G28,""="")"),"https://payment.likeminds.community/?plan_id")</f>
        <v>https://payment.likeminds.community/?plan_id</v>
      </c>
      <c r="I28" s="5" t="str">
        <f>IFERROR(__xludf.DUMMYFUNCTION("""COMPUTED_VALUE"""),"f186703a-658d-44ee-8621-a60e6680e433")</f>
        <v>f186703a-658d-44ee-8621-a60e6680e433</v>
      </c>
      <c r="J28" s="4" t="s">
        <v>12603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30"/>
      <c r="X28" s="30"/>
    </row>
    <row r="29">
      <c r="A29" s="28" t="s">
        <v>2911</v>
      </c>
      <c r="B29" s="31">
        <v>50066.0</v>
      </c>
      <c r="C29" s="31" t="b">
        <v>1</v>
      </c>
      <c r="D29" s="33"/>
      <c r="E29" s="29">
        <v>999.0</v>
      </c>
      <c r="F29" s="28" t="s">
        <v>12654</v>
      </c>
      <c r="G29" s="28" t="s">
        <v>12655</v>
      </c>
      <c r="H29" s="32" t="str">
        <f>IFERROR(__xludf.DUMMYFUNCTION("SPLIT(G29,""="")"),"https://payment.likeminds.community/?plan_id")</f>
        <v>https://payment.likeminds.community/?plan_id</v>
      </c>
      <c r="I29" s="5" t="str">
        <f>IFERROR(__xludf.DUMMYFUNCTION("""COMPUTED_VALUE"""),"58951811-af90-4b0d-9a5d-c074b5dd060a")</f>
        <v>58951811-af90-4b0d-9a5d-c074b5dd060a</v>
      </c>
      <c r="J29" s="4" t="s">
        <v>12603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30"/>
      <c r="X29" s="30"/>
    </row>
    <row r="30">
      <c r="A30" s="28" t="s">
        <v>2911</v>
      </c>
      <c r="B30" s="31">
        <v>50066.0</v>
      </c>
      <c r="C30" s="31" t="b">
        <v>1</v>
      </c>
      <c r="D30" s="33"/>
      <c r="E30" s="29">
        <v>1999.0</v>
      </c>
      <c r="F30" s="28" t="s">
        <v>12656</v>
      </c>
      <c r="G30" s="28" t="s">
        <v>12657</v>
      </c>
      <c r="H30" s="32" t="str">
        <f>IFERROR(__xludf.DUMMYFUNCTION("SPLIT(G30,""="")"),"https://payment.likeminds.community/?plan_id")</f>
        <v>https://payment.likeminds.community/?plan_id</v>
      </c>
      <c r="I30" s="5" t="str">
        <f>IFERROR(__xludf.DUMMYFUNCTION("""COMPUTED_VALUE"""),"407b5ace-ff40-4be7-9e1c-71ed0332cb3a")</f>
        <v>407b5ace-ff40-4be7-9e1c-71ed0332cb3a</v>
      </c>
      <c r="J30" s="4" t="s">
        <v>12603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30"/>
      <c r="X30" s="5"/>
    </row>
    <row r="31">
      <c r="A31" s="28" t="s">
        <v>12658</v>
      </c>
      <c r="B31" s="31">
        <v>50093.0</v>
      </c>
      <c r="C31" s="31" t="b">
        <v>1</v>
      </c>
      <c r="D31" s="33"/>
      <c r="E31" s="29">
        <v>299.0</v>
      </c>
      <c r="F31" s="28" t="s">
        <v>12659</v>
      </c>
      <c r="G31" s="28" t="s">
        <v>12660</v>
      </c>
      <c r="H31" s="32" t="str">
        <f>IFERROR(__xludf.DUMMYFUNCTION("SPLIT(G31,""="")"),"https://payment.likeminds.community/?plan_id")</f>
        <v>https://payment.likeminds.community/?plan_id</v>
      </c>
      <c r="I31" s="5" t="str">
        <f>IFERROR(__xludf.DUMMYFUNCTION("""COMPUTED_VALUE"""),"9cbc76c9-da60-4fd1-b9f1-41e3b0dcb630")</f>
        <v>9cbc76c9-da60-4fd1-b9f1-41e3b0dcb630</v>
      </c>
      <c r="J31" s="4" t="s">
        <v>12603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30"/>
      <c r="X31" s="5"/>
    </row>
    <row r="32">
      <c r="A32" s="28" t="s">
        <v>12658</v>
      </c>
      <c r="B32" s="31">
        <v>50093.0</v>
      </c>
      <c r="C32" s="31" t="b">
        <v>1</v>
      </c>
      <c r="D32" s="33"/>
      <c r="E32" s="29">
        <v>499.0</v>
      </c>
      <c r="F32" s="28" t="s">
        <v>12661</v>
      </c>
      <c r="G32" s="28" t="s">
        <v>12662</v>
      </c>
      <c r="H32" s="32" t="str">
        <f>IFERROR(__xludf.DUMMYFUNCTION("SPLIT(G32,""="")"),"https://payment.likeminds.community/?plan_id")</f>
        <v>https://payment.likeminds.community/?plan_id</v>
      </c>
      <c r="I32" s="5" t="str">
        <f>IFERROR(__xludf.DUMMYFUNCTION("""COMPUTED_VALUE"""),"2003371e-6514-4404-9b97-73dbffff40f1")</f>
        <v>2003371e-6514-4404-9b97-73dbffff40f1</v>
      </c>
      <c r="J32" s="4" t="s">
        <v>12603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30"/>
      <c r="X32" s="5"/>
    </row>
    <row r="33">
      <c r="A33" s="28" t="s">
        <v>12658</v>
      </c>
      <c r="B33" s="31">
        <v>50093.0</v>
      </c>
      <c r="C33" s="31" t="b">
        <v>1</v>
      </c>
      <c r="D33" s="33"/>
      <c r="E33" s="29">
        <v>999.0</v>
      </c>
      <c r="F33" s="28" t="s">
        <v>12663</v>
      </c>
      <c r="G33" s="28" t="s">
        <v>12664</v>
      </c>
      <c r="H33" s="32" t="str">
        <f>IFERROR(__xludf.DUMMYFUNCTION("SPLIT(G33,""="")"),"https://payment.likeminds.community/?plan_id")</f>
        <v>https://payment.likeminds.community/?plan_id</v>
      </c>
      <c r="I33" s="5" t="str">
        <f>IFERROR(__xludf.DUMMYFUNCTION("""COMPUTED_VALUE"""),"f1b4fdcb-b227-4fe6-942b-cee2af33e993")</f>
        <v>f1b4fdcb-b227-4fe6-942b-cee2af33e993</v>
      </c>
      <c r="J33" s="4" t="s">
        <v>12603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30"/>
      <c r="X33" s="30"/>
    </row>
    <row r="34">
      <c r="A34" s="28" t="s">
        <v>12665</v>
      </c>
      <c r="B34" s="31">
        <v>50150.0</v>
      </c>
      <c r="C34" s="31" t="b">
        <v>1</v>
      </c>
      <c r="D34" s="29">
        <v>299.0</v>
      </c>
      <c r="E34" s="29">
        <v>99.0</v>
      </c>
      <c r="F34" s="28" t="s">
        <v>12666</v>
      </c>
      <c r="G34" s="28" t="s">
        <v>12667</v>
      </c>
      <c r="H34" s="32" t="str">
        <f>IFERROR(__xludf.DUMMYFUNCTION("SPLIT(G34,""="")"),"https://payment.likeminds.community/?plan_id")</f>
        <v>https://payment.likeminds.community/?plan_id</v>
      </c>
      <c r="I34" s="5" t="str">
        <f>IFERROR(__xludf.DUMMYFUNCTION("""COMPUTED_VALUE"""),"8097ae9e-393d-4c46-8330-5c8218f170ea")</f>
        <v>8097ae9e-393d-4c46-8330-5c8218f170ea</v>
      </c>
      <c r="J34" s="4" t="s">
        <v>12603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30"/>
      <c r="X34" s="30"/>
    </row>
    <row r="35">
      <c r="A35" s="28" t="s">
        <v>12665</v>
      </c>
      <c r="B35" s="31">
        <v>50150.0</v>
      </c>
      <c r="C35" s="31" t="b">
        <v>1</v>
      </c>
      <c r="D35" s="29">
        <v>499.0</v>
      </c>
      <c r="E35" s="29">
        <v>199.0</v>
      </c>
      <c r="F35" s="28" t="s">
        <v>12666</v>
      </c>
      <c r="G35" s="28" t="s">
        <v>12668</v>
      </c>
      <c r="H35" s="32" t="str">
        <f>IFERROR(__xludf.DUMMYFUNCTION("SPLIT(G35,""="")"),"https://payment.likeminds.community/?plan_id")</f>
        <v>https://payment.likeminds.community/?plan_id</v>
      </c>
      <c r="I35" s="5" t="str">
        <f>IFERROR(__xludf.DUMMYFUNCTION("""COMPUTED_VALUE"""),"6797ea80-f4dd-4d12-aedd-a792f74454dc")</f>
        <v>6797ea80-f4dd-4d12-aedd-a792f74454dc</v>
      </c>
      <c r="J35" s="4" t="s">
        <v>12603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30"/>
      <c r="X35" s="30"/>
    </row>
    <row r="36">
      <c r="A36" s="28" t="s">
        <v>12665</v>
      </c>
      <c r="B36" s="31">
        <v>50150.0</v>
      </c>
      <c r="C36" s="31" t="b">
        <v>1</v>
      </c>
      <c r="D36" s="29">
        <v>799.0</v>
      </c>
      <c r="E36" s="29">
        <v>349.0</v>
      </c>
      <c r="F36" s="28" t="s">
        <v>12669</v>
      </c>
      <c r="G36" s="28" t="s">
        <v>12670</v>
      </c>
      <c r="H36" s="32" t="str">
        <f>IFERROR(__xludf.DUMMYFUNCTION("SPLIT(G36,""="")"),"https://payment.likeminds.community/?plan_id")</f>
        <v>https://payment.likeminds.community/?plan_id</v>
      </c>
      <c r="I36" s="5" t="str">
        <f>IFERROR(__xludf.DUMMYFUNCTION("""COMPUTED_VALUE"""),"a3f34baa-f418-4590-8fb1-3128706ab202")</f>
        <v>a3f34baa-f418-4590-8fb1-3128706ab202</v>
      </c>
      <c r="J36" s="4" t="s">
        <v>12603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30"/>
      <c r="X36" s="5"/>
    </row>
    <row r="37">
      <c r="A37" s="28" t="s">
        <v>12671</v>
      </c>
      <c r="B37" s="31">
        <v>50129.0</v>
      </c>
      <c r="C37" s="31" t="b">
        <v>1</v>
      </c>
      <c r="D37" s="29">
        <v>2999.0</v>
      </c>
      <c r="E37" s="29">
        <v>599.0</v>
      </c>
      <c r="F37" s="28" t="s">
        <v>12672</v>
      </c>
      <c r="G37" s="28" t="s">
        <v>12673</v>
      </c>
      <c r="H37" s="32" t="str">
        <f>IFERROR(__xludf.DUMMYFUNCTION("SPLIT(G37,""="")"),"https://payment.likeminds.community/?plan_id")</f>
        <v>https://payment.likeminds.community/?plan_id</v>
      </c>
      <c r="I37" s="5" t="str">
        <f>IFERROR(__xludf.DUMMYFUNCTION("""COMPUTED_VALUE"""),"37a030d7-0b74-4b28-abfc-95806ec318c9")</f>
        <v>37a030d7-0b74-4b28-abfc-95806ec318c9</v>
      </c>
      <c r="J37" s="4" t="s">
        <v>12603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30"/>
      <c r="X37" s="5"/>
    </row>
    <row r="38">
      <c r="A38" s="28" t="s">
        <v>3195</v>
      </c>
      <c r="B38" s="31">
        <v>50047.0</v>
      </c>
      <c r="C38" s="31" t="b">
        <v>1</v>
      </c>
      <c r="D38" s="29">
        <v>799.0</v>
      </c>
      <c r="E38" s="29">
        <v>349.0</v>
      </c>
      <c r="F38" s="28" t="s">
        <v>12674</v>
      </c>
      <c r="G38" s="28" t="s">
        <v>12675</v>
      </c>
      <c r="H38" s="32" t="str">
        <f>IFERROR(__xludf.DUMMYFUNCTION("SPLIT(G38,""="")"),"https://payment.likeminds.community/?plan_id")</f>
        <v>https://payment.likeminds.community/?plan_id</v>
      </c>
      <c r="I38" s="5" t="str">
        <f>IFERROR(__xludf.DUMMYFUNCTION("""COMPUTED_VALUE"""),"6f23ca13-a6ac-4084-9c4d-51662e6072cc")</f>
        <v>6f23ca13-a6ac-4084-9c4d-51662e6072cc</v>
      </c>
      <c r="J38" s="4" t="s">
        <v>12603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30"/>
      <c r="X38" s="30"/>
    </row>
    <row r="39">
      <c r="A39" s="28" t="s">
        <v>3195</v>
      </c>
      <c r="B39" s="31">
        <v>50047.0</v>
      </c>
      <c r="C39" s="31" t="b">
        <v>1</v>
      </c>
      <c r="D39" s="29">
        <v>999.0</v>
      </c>
      <c r="E39" s="29">
        <v>599.0</v>
      </c>
      <c r="F39" s="28" t="s">
        <v>12676</v>
      </c>
      <c r="G39" s="28" t="s">
        <v>12677</v>
      </c>
      <c r="H39" s="32" t="str">
        <f>IFERROR(__xludf.DUMMYFUNCTION("SPLIT(G39,""="")"),"https://payment.likeminds.community/?plan_id")</f>
        <v>https://payment.likeminds.community/?plan_id</v>
      </c>
      <c r="I39" s="5" t="str">
        <f>IFERROR(__xludf.DUMMYFUNCTION("""COMPUTED_VALUE"""),"1e63c928-755f-4efd-981f-f4db1dfbb3da")</f>
        <v>1e63c928-755f-4efd-981f-f4db1dfbb3da</v>
      </c>
      <c r="J39" s="4" t="s">
        <v>12603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30"/>
      <c r="X39" s="5"/>
    </row>
    <row r="40">
      <c r="A40" s="28" t="s">
        <v>3195</v>
      </c>
      <c r="B40" s="31">
        <v>50047.0</v>
      </c>
      <c r="C40" s="31" t="b">
        <v>1</v>
      </c>
      <c r="D40" s="29">
        <v>1499.0</v>
      </c>
      <c r="E40" s="29">
        <v>999.0</v>
      </c>
      <c r="F40" s="28" t="s">
        <v>12678</v>
      </c>
      <c r="G40" s="28" t="s">
        <v>12679</v>
      </c>
      <c r="H40" s="32" t="str">
        <f>IFERROR(__xludf.DUMMYFUNCTION("SPLIT(G40,""="")"),"https://payment.likeminds.community/?plan_id")</f>
        <v>https://payment.likeminds.community/?plan_id</v>
      </c>
      <c r="I40" s="5" t="str">
        <f>IFERROR(__xludf.DUMMYFUNCTION("""COMPUTED_VALUE"""),"becefe33-f7ad-4b6c-afa2-9361ecb71e2c")</f>
        <v>becefe33-f7ad-4b6c-afa2-9361ecb71e2c</v>
      </c>
      <c r="J40" s="4" t="s">
        <v>12603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30"/>
      <c r="X40" s="5"/>
    </row>
    <row r="41">
      <c r="A41" s="28" t="s">
        <v>12680</v>
      </c>
      <c r="B41" s="31">
        <v>50030.0</v>
      </c>
      <c r="C41" s="31" t="b">
        <v>1</v>
      </c>
      <c r="D41" s="29">
        <v>299.0</v>
      </c>
      <c r="E41" s="29">
        <v>99.0</v>
      </c>
      <c r="F41" s="28" t="s">
        <v>12681</v>
      </c>
      <c r="G41" s="28" t="s">
        <v>12682</v>
      </c>
      <c r="H41" s="32" t="str">
        <f>IFERROR(__xludf.DUMMYFUNCTION("SPLIT(G41,""="")"),"https://payment.likeminds.community/?plan_id")</f>
        <v>https://payment.likeminds.community/?plan_id</v>
      </c>
      <c r="I41" s="5" t="str">
        <f>IFERROR(__xludf.DUMMYFUNCTION("""COMPUTED_VALUE"""),"2eeed9e1-7198-434a-9265-8a4cb054ae66")</f>
        <v>2eeed9e1-7198-434a-9265-8a4cb054ae66</v>
      </c>
      <c r="J41" s="4" t="s">
        <v>12603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30"/>
      <c r="X41" s="5"/>
    </row>
    <row r="42">
      <c r="A42" s="28" t="s">
        <v>12680</v>
      </c>
      <c r="B42" s="31">
        <v>50030.0</v>
      </c>
      <c r="C42" s="31" t="b">
        <v>1</v>
      </c>
      <c r="D42" s="29">
        <v>499.0</v>
      </c>
      <c r="E42" s="29">
        <v>199.0</v>
      </c>
      <c r="F42" s="28" t="s">
        <v>12683</v>
      </c>
      <c r="G42" s="28" t="s">
        <v>12684</v>
      </c>
      <c r="H42" s="32" t="str">
        <f>IFERROR(__xludf.DUMMYFUNCTION("SPLIT(G42,""="")"),"https://payment.likeminds.community/?plan_id")</f>
        <v>https://payment.likeminds.community/?plan_id</v>
      </c>
      <c r="I42" s="5" t="str">
        <f>IFERROR(__xludf.DUMMYFUNCTION("""COMPUTED_VALUE"""),"b26c3eb2-a2fa-4041-bd96-0e6de8c84c1c")</f>
        <v>b26c3eb2-a2fa-4041-bd96-0e6de8c84c1c</v>
      </c>
      <c r="J42" s="4" t="s">
        <v>12603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30"/>
      <c r="X42" s="5"/>
    </row>
    <row r="43">
      <c r="A43" s="28" t="s">
        <v>12680</v>
      </c>
      <c r="B43" s="31">
        <v>50030.0</v>
      </c>
      <c r="C43" s="31" t="b">
        <v>1</v>
      </c>
      <c r="D43" s="29">
        <v>699.0</v>
      </c>
      <c r="E43" s="29">
        <v>349.0</v>
      </c>
      <c r="F43" s="28" t="s">
        <v>12685</v>
      </c>
      <c r="G43" s="28" t="s">
        <v>12686</v>
      </c>
      <c r="H43" s="32" t="str">
        <f>IFERROR(__xludf.DUMMYFUNCTION("SPLIT(G43,""="")"),"https://payment.likeminds.community/?plan_id")</f>
        <v>https://payment.likeminds.community/?plan_id</v>
      </c>
      <c r="I43" s="5" t="str">
        <f>IFERROR(__xludf.DUMMYFUNCTION("""COMPUTED_VALUE"""),"52ed98cd-6114-4448-a667-35ba78cf9e05")</f>
        <v>52ed98cd-6114-4448-a667-35ba78cf9e05</v>
      </c>
      <c r="J43" s="4" t="s">
        <v>12603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30"/>
      <c r="X43" s="5"/>
    </row>
    <row r="44">
      <c r="A44" s="28" t="s">
        <v>12687</v>
      </c>
      <c r="B44" s="31">
        <v>50136.0</v>
      </c>
      <c r="C44" s="31" t="b">
        <v>1</v>
      </c>
      <c r="D44" s="29">
        <v>399.0</v>
      </c>
      <c r="E44" s="29">
        <v>99.0</v>
      </c>
      <c r="F44" s="28" t="s">
        <v>12688</v>
      </c>
      <c r="G44" s="28" t="s">
        <v>12689</v>
      </c>
      <c r="H44" s="32" t="str">
        <f>IFERROR(__xludf.DUMMYFUNCTION("SPLIT(G44,""="")"),"https://payment.likeminds.community/?plan_id")</f>
        <v>https://payment.likeminds.community/?plan_id</v>
      </c>
      <c r="I44" s="5" t="str">
        <f>IFERROR(__xludf.DUMMYFUNCTION("""COMPUTED_VALUE"""),"36cc0ab1-564a-4b61-9161-01d2227495a4")</f>
        <v>36cc0ab1-564a-4b61-9161-01d2227495a4</v>
      </c>
      <c r="J44" s="4" t="s">
        <v>12603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30"/>
      <c r="X44" s="5"/>
    </row>
    <row r="45">
      <c r="A45" s="28" t="s">
        <v>12687</v>
      </c>
      <c r="B45" s="31">
        <v>50136.0</v>
      </c>
      <c r="C45" s="31" t="b">
        <v>1</v>
      </c>
      <c r="D45" s="29">
        <v>499.0</v>
      </c>
      <c r="E45" s="29">
        <v>199.0</v>
      </c>
      <c r="F45" s="28" t="s">
        <v>12688</v>
      </c>
      <c r="G45" s="28" t="s">
        <v>12690</v>
      </c>
      <c r="H45" s="32" t="str">
        <f>IFERROR(__xludf.DUMMYFUNCTION("SPLIT(G45,""="")"),"https://payment.likeminds.community/?plan_id")</f>
        <v>https://payment.likeminds.community/?plan_id</v>
      </c>
      <c r="I45" s="5" t="str">
        <f>IFERROR(__xludf.DUMMYFUNCTION("""COMPUTED_VALUE"""),"ba661b8e-7085-49b2-a1bd-259671a1b9f2")</f>
        <v>ba661b8e-7085-49b2-a1bd-259671a1b9f2</v>
      </c>
      <c r="J45" s="4" t="s">
        <v>12603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30"/>
      <c r="X45" s="5"/>
    </row>
    <row r="46">
      <c r="A46" s="28" t="s">
        <v>12687</v>
      </c>
      <c r="B46" s="31">
        <v>50136.0</v>
      </c>
      <c r="C46" s="31" t="b">
        <v>1</v>
      </c>
      <c r="D46" s="29">
        <v>799.0</v>
      </c>
      <c r="E46" s="29">
        <v>349.0</v>
      </c>
      <c r="F46" s="28" t="s">
        <v>12688</v>
      </c>
      <c r="G46" s="28" t="s">
        <v>12691</v>
      </c>
      <c r="H46" s="32" t="str">
        <f>IFERROR(__xludf.DUMMYFUNCTION("SPLIT(G46,""="")"),"https://payment.likeminds.community/?plan_id")</f>
        <v>https://payment.likeminds.community/?plan_id</v>
      </c>
      <c r="I46" s="5" t="str">
        <f>IFERROR(__xludf.DUMMYFUNCTION("""COMPUTED_VALUE"""),"3154e1c0-d3a1-44a7-a41a-24ee392e0009")</f>
        <v>3154e1c0-d3a1-44a7-a41a-24ee392e0009</v>
      </c>
      <c r="J46" s="4" t="s">
        <v>12603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30"/>
      <c r="X46" s="5"/>
    </row>
    <row r="47">
      <c r="A47" s="28" t="s">
        <v>12692</v>
      </c>
      <c r="B47" s="31">
        <v>50104.0</v>
      </c>
      <c r="C47" s="31" t="b">
        <v>1</v>
      </c>
      <c r="D47" s="29">
        <v>399.0</v>
      </c>
      <c r="E47" s="29">
        <v>99.0</v>
      </c>
      <c r="F47" s="28" t="s">
        <v>12693</v>
      </c>
      <c r="G47" s="28" t="s">
        <v>12694</v>
      </c>
      <c r="H47" s="32" t="str">
        <f>IFERROR(__xludf.DUMMYFUNCTION("SPLIT(G47,""="")"),"https://payment.likeminds.community/?plan_id")</f>
        <v>https://payment.likeminds.community/?plan_id</v>
      </c>
      <c r="I47" s="5" t="str">
        <f>IFERROR(__xludf.DUMMYFUNCTION("""COMPUTED_VALUE"""),"121ebc9c-f6b0-469f-a3b8-08202d930e88")</f>
        <v>121ebc9c-f6b0-469f-a3b8-08202d930e88</v>
      </c>
      <c r="J47" s="4" t="s">
        <v>12603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30"/>
      <c r="X47" s="5"/>
    </row>
    <row r="48">
      <c r="A48" s="28" t="s">
        <v>12692</v>
      </c>
      <c r="B48" s="31">
        <v>50104.0</v>
      </c>
      <c r="C48" s="31" t="b">
        <v>1</v>
      </c>
      <c r="D48" s="29">
        <v>799.0</v>
      </c>
      <c r="E48" s="29">
        <v>199.0</v>
      </c>
      <c r="F48" s="28" t="s">
        <v>12695</v>
      </c>
      <c r="G48" s="28" t="s">
        <v>12696</v>
      </c>
      <c r="H48" s="32" t="str">
        <f>IFERROR(__xludf.DUMMYFUNCTION("SPLIT(G48,""="")"),"https://payment.likeminds.community/?plan_id")</f>
        <v>https://payment.likeminds.community/?plan_id</v>
      </c>
      <c r="I48" s="5" t="str">
        <f>IFERROR(__xludf.DUMMYFUNCTION("""COMPUTED_VALUE"""),"554e5de6-fa9d-4328-93e1-3570b3380b57")</f>
        <v>554e5de6-fa9d-4328-93e1-3570b3380b57</v>
      </c>
      <c r="J48" s="4" t="s">
        <v>12603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30"/>
      <c r="X48" s="30"/>
    </row>
    <row r="49">
      <c r="A49" s="28" t="s">
        <v>12692</v>
      </c>
      <c r="B49" s="31">
        <v>50104.0</v>
      </c>
      <c r="C49" s="31" t="b">
        <v>1</v>
      </c>
      <c r="D49" s="29">
        <v>999.0</v>
      </c>
      <c r="E49" s="29">
        <v>349.0</v>
      </c>
      <c r="F49" s="28" t="s">
        <v>12695</v>
      </c>
      <c r="G49" s="28" t="s">
        <v>12697</v>
      </c>
      <c r="H49" s="32" t="str">
        <f>IFERROR(__xludf.DUMMYFUNCTION("SPLIT(G49,""="")"),"https://payment.likeminds.community/?plan_id")</f>
        <v>https://payment.likeminds.community/?plan_id</v>
      </c>
      <c r="I49" s="5" t="str">
        <f>IFERROR(__xludf.DUMMYFUNCTION("""COMPUTED_VALUE"""),"bd5bf2f2-bb3a-4db5-8f78-f9af6ff7cef9")</f>
        <v>bd5bf2f2-bb3a-4db5-8f78-f9af6ff7cef9</v>
      </c>
      <c r="J49" s="4" t="s">
        <v>12603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30"/>
      <c r="X49" s="5"/>
    </row>
    <row r="50">
      <c r="A50" s="28" t="s">
        <v>12698</v>
      </c>
      <c r="B50" s="31">
        <v>50110.0</v>
      </c>
      <c r="C50" s="31" t="b">
        <v>1</v>
      </c>
      <c r="D50" s="29">
        <v>499.0</v>
      </c>
      <c r="E50" s="29">
        <v>200.0</v>
      </c>
      <c r="F50" s="28" t="s">
        <v>12699</v>
      </c>
      <c r="G50" s="28" t="s">
        <v>12700</v>
      </c>
      <c r="H50" s="32" t="str">
        <f>IFERROR(__xludf.DUMMYFUNCTION("SPLIT(G50,""="")"),"https://payment.likeminds.community/?plan_id")</f>
        <v>https://payment.likeminds.community/?plan_id</v>
      </c>
      <c r="I50" s="5" t="str">
        <f>IFERROR(__xludf.DUMMYFUNCTION("""COMPUTED_VALUE"""),"aa03b87f-173a-42bd-a1d6-2bf3b353dfa6")</f>
        <v>aa03b87f-173a-42bd-a1d6-2bf3b353dfa6</v>
      </c>
      <c r="J50" s="4" t="s">
        <v>12603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30"/>
      <c r="X50" s="5"/>
    </row>
    <row r="51">
      <c r="A51" s="28" t="s">
        <v>12698</v>
      </c>
      <c r="B51" s="31">
        <v>50110.0</v>
      </c>
      <c r="C51" s="31" t="b">
        <v>1</v>
      </c>
      <c r="D51" s="29">
        <v>899.0</v>
      </c>
      <c r="E51" s="29">
        <v>600.0</v>
      </c>
      <c r="F51" s="28" t="s">
        <v>12701</v>
      </c>
      <c r="G51" s="28" t="s">
        <v>12702</v>
      </c>
      <c r="H51" s="32" t="str">
        <f>IFERROR(__xludf.DUMMYFUNCTION("SPLIT(G51,""="")"),"https://payment.likeminds.community/?plan_id")</f>
        <v>https://payment.likeminds.community/?plan_id</v>
      </c>
      <c r="I51" s="5" t="str">
        <f>IFERROR(__xludf.DUMMYFUNCTION("""COMPUTED_VALUE"""),"7fd50cc4-b3b4-4a48-97eb-23ebb8013b4c")</f>
        <v>7fd50cc4-b3b4-4a48-97eb-23ebb8013b4c</v>
      </c>
      <c r="J51" s="4" t="s">
        <v>12603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30"/>
      <c r="X51" s="5"/>
    </row>
    <row r="52">
      <c r="A52" s="28" t="s">
        <v>12698</v>
      </c>
      <c r="B52" s="31">
        <v>50110.0</v>
      </c>
      <c r="C52" s="31" t="b">
        <v>1</v>
      </c>
      <c r="D52" s="29">
        <v>1499.0</v>
      </c>
      <c r="E52" s="29">
        <v>1100.0</v>
      </c>
      <c r="F52" s="28" t="s">
        <v>12703</v>
      </c>
      <c r="G52" s="28" t="s">
        <v>12704</v>
      </c>
      <c r="H52" s="32" t="str">
        <f>IFERROR(__xludf.DUMMYFUNCTION("SPLIT(G52,""="")"),"https://payment.likeminds.community/?plan_id")</f>
        <v>https://payment.likeminds.community/?plan_id</v>
      </c>
      <c r="I52" s="5" t="str">
        <f>IFERROR(__xludf.DUMMYFUNCTION("""COMPUTED_VALUE"""),"6ea82515-6670-4ad1-b591-539205579647")</f>
        <v>6ea82515-6670-4ad1-b591-539205579647</v>
      </c>
      <c r="J52" s="4" t="s">
        <v>12603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30"/>
      <c r="X52" s="5"/>
    </row>
    <row r="53">
      <c r="A53" s="28" t="s">
        <v>3878</v>
      </c>
      <c r="B53" s="31">
        <v>50173.0</v>
      </c>
      <c r="C53" s="31" t="b">
        <v>1</v>
      </c>
      <c r="D53" s="29">
        <v>199.0</v>
      </c>
      <c r="E53" s="29">
        <v>99.0</v>
      </c>
      <c r="F53" s="28" t="s">
        <v>12705</v>
      </c>
      <c r="G53" s="28" t="s">
        <v>12706</v>
      </c>
      <c r="H53" s="32" t="str">
        <f>IFERROR(__xludf.DUMMYFUNCTION("SPLIT(G53,""="")"),"https://payment.likeminds.community/?plan_id")</f>
        <v>https://payment.likeminds.community/?plan_id</v>
      </c>
      <c r="I53" s="5" t="str">
        <f>IFERROR(__xludf.DUMMYFUNCTION("""COMPUTED_VALUE"""),"eaffabf1-37e8-4aee-ba89-b6dc8ff591ad")</f>
        <v>eaffabf1-37e8-4aee-ba89-b6dc8ff591ad</v>
      </c>
      <c r="J53" s="4" t="s">
        <v>12603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30"/>
      <c r="X53" s="5"/>
    </row>
    <row r="54">
      <c r="A54" s="28" t="s">
        <v>3878</v>
      </c>
      <c r="B54" s="31">
        <v>50173.0</v>
      </c>
      <c r="C54" s="31" t="b">
        <v>1</v>
      </c>
      <c r="D54" s="29">
        <v>499.0</v>
      </c>
      <c r="E54" s="29">
        <v>249.0</v>
      </c>
      <c r="F54" s="28" t="s">
        <v>12707</v>
      </c>
      <c r="G54" s="28" t="s">
        <v>12708</v>
      </c>
      <c r="H54" s="32" t="str">
        <f>IFERROR(__xludf.DUMMYFUNCTION("SPLIT(G54,""="")"),"https://payment.likeminds.community/?plan_id")</f>
        <v>https://payment.likeminds.community/?plan_id</v>
      </c>
      <c r="I54" s="5" t="str">
        <f>IFERROR(__xludf.DUMMYFUNCTION("""COMPUTED_VALUE"""),"403ad6be-18b8-49a1-9da8-dcaea3ce844f")</f>
        <v>403ad6be-18b8-49a1-9da8-dcaea3ce844f</v>
      </c>
      <c r="J54" s="4" t="s">
        <v>12603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30"/>
      <c r="X54" s="5"/>
    </row>
    <row r="55">
      <c r="A55" s="28" t="s">
        <v>3878</v>
      </c>
      <c r="B55" s="31">
        <v>50173.0</v>
      </c>
      <c r="C55" s="31" t="b">
        <v>1</v>
      </c>
      <c r="D55" s="29">
        <v>899.0</v>
      </c>
      <c r="E55" s="29">
        <v>449.0</v>
      </c>
      <c r="F55" s="28" t="s">
        <v>12709</v>
      </c>
      <c r="G55" s="28" t="s">
        <v>12710</v>
      </c>
      <c r="H55" s="32" t="str">
        <f>IFERROR(__xludf.DUMMYFUNCTION("SPLIT(G55,""="")"),"https://payment.likeminds.community/?plan_id")</f>
        <v>https://payment.likeminds.community/?plan_id</v>
      </c>
      <c r="I55" s="5" t="str">
        <f>IFERROR(__xludf.DUMMYFUNCTION("""COMPUTED_VALUE"""),"1962a26a-8787-46e5-8379-11f84eab382a")</f>
        <v>1962a26a-8787-46e5-8379-11f84eab382a</v>
      </c>
      <c r="J55" s="4" t="s">
        <v>12603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30"/>
      <c r="X55" s="30"/>
    </row>
    <row r="56">
      <c r="A56" s="28" t="s">
        <v>3978</v>
      </c>
      <c r="B56" s="31">
        <v>50091.0</v>
      </c>
      <c r="C56" s="31" t="b">
        <v>1</v>
      </c>
      <c r="D56" s="29">
        <v>199.0</v>
      </c>
      <c r="E56" s="29">
        <v>99.0</v>
      </c>
      <c r="F56" s="28" t="s">
        <v>12711</v>
      </c>
      <c r="G56" s="28" t="s">
        <v>12712</v>
      </c>
      <c r="H56" s="32" t="str">
        <f>IFERROR(__xludf.DUMMYFUNCTION("SPLIT(G56,""="")"),"https://payment.likeminds.community/?plan_id")</f>
        <v>https://payment.likeminds.community/?plan_id</v>
      </c>
      <c r="I56" s="5" t="str">
        <f>IFERROR(__xludf.DUMMYFUNCTION("""COMPUTED_VALUE"""),"6f568db3-3b66-44e0-b839-fc9dc525714f")</f>
        <v>6f568db3-3b66-44e0-b839-fc9dc525714f</v>
      </c>
      <c r="J56" s="4" t="s">
        <v>12603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30"/>
      <c r="X56" s="5"/>
    </row>
    <row r="57">
      <c r="A57" s="28" t="s">
        <v>3978</v>
      </c>
      <c r="B57" s="31">
        <v>50091.0</v>
      </c>
      <c r="C57" s="31" t="b">
        <v>1</v>
      </c>
      <c r="D57" s="29">
        <v>499.0</v>
      </c>
      <c r="E57" s="29">
        <v>199.0</v>
      </c>
      <c r="F57" s="28" t="s">
        <v>12713</v>
      </c>
      <c r="G57" s="28" t="s">
        <v>12714</v>
      </c>
      <c r="H57" s="32" t="str">
        <f>IFERROR(__xludf.DUMMYFUNCTION("SPLIT(G57,""="")"),"https://payment.likeminds.community/?plan_id")</f>
        <v>https://payment.likeminds.community/?plan_id</v>
      </c>
      <c r="I57" s="5" t="str">
        <f>IFERROR(__xludf.DUMMYFUNCTION("""COMPUTED_VALUE"""),"03766c45-7344-41e9-b606-d31dbe94af35")</f>
        <v>03766c45-7344-41e9-b606-d31dbe94af35</v>
      </c>
      <c r="J57" s="4" t="s">
        <v>12603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30"/>
      <c r="X57" s="5"/>
    </row>
    <row r="58">
      <c r="A58" s="28" t="s">
        <v>3978</v>
      </c>
      <c r="B58" s="31">
        <v>50091.0</v>
      </c>
      <c r="C58" s="31" t="b">
        <v>1</v>
      </c>
      <c r="D58" s="29">
        <v>799.0</v>
      </c>
      <c r="E58" s="29">
        <v>349.0</v>
      </c>
      <c r="F58" s="28" t="s">
        <v>12715</v>
      </c>
      <c r="G58" s="28" t="s">
        <v>12716</v>
      </c>
      <c r="H58" s="32" t="str">
        <f>IFERROR(__xludf.DUMMYFUNCTION("SPLIT(G58,""="")"),"https://payment.likeminds.community/?plan_id")</f>
        <v>https://payment.likeminds.community/?plan_id</v>
      </c>
      <c r="I58" s="5" t="str">
        <f>IFERROR(__xludf.DUMMYFUNCTION("""COMPUTED_VALUE"""),"5e235de0-5054-4c7f-a9e5-e1e2827227a9")</f>
        <v>5e235de0-5054-4c7f-a9e5-e1e2827227a9</v>
      </c>
      <c r="J58" s="4" t="s">
        <v>12603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30"/>
      <c r="X58" s="5"/>
    </row>
    <row r="59">
      <c r="A59" s="28" t="s">
        <v>12717</v>
      </c>
      <c r="B59" s="31">
        <v>50149.0</v>
      </c>
      <c r="C59" s="31" t="b">
        <v>1</v>
      </c>
      <c r="D59" s="29">
        <v>999.0</v>
      </c>
      <c r="E59" s="29">
        <v>799.0</v>
      </c>
      <c r="F59" s="28" t="s">
        <v>12718</v>
      </c>
      <c r="G59" s="28" t="s">
        <v>12719</v>
      </c>
      <c r="H59" s="32" t="str">
        <f>IFERROR(__xludf.DUMMYFUNCTION("SPLIT(G59,""="")"),"https://payment.likeminds.community/?plan_id")</f>
        <v>https://payment.likeminds.community/?plan_id</v>
      </c>
      <c r="I59" s="5" t="str">
        <f>IFERROR(__xludf.DUMMYFUNCTION("""COMPUTED_VALUE"""),"56089366-6283-4505-9e69-267f7db76659")</f>
        <v>56089366-6283-4505-9e69-267f7db76659</v>
      </c>
      <c r="J59" s="4" t="s">
        <v>12603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30"/>
      <c r="X59" s="30"/>
    </row>
    <row r="60">
      <c r="A60" s="28" t="s">
        <v>12717</v>
      </c>
      <c r="B60" s="31">
        <v>50149.0</v>
      </c>
      <c r="C60" s="31" t="b">
        <v>1</v>
      </c>
      <c r="D60" s="29">
        <v>2499.0</v>
      </c>
      <c r="E60" s="29">
        <v>1999.0</v>
      </c>
      <c r="F60" s="28" t="s">
        <v>12720</v>
      </c>
      <c r="G60" s="28" t="s">
        <v>12721</v>
      </c>
      <c r="H60" s="32" t="str">
        <f>IFERROR(__xludf.DUMMYFUNCTION("SPLIT(G60,""="")"),"https://payment.likeminds.community/?plan_id")</f>
        <v>https://payment.likeminds.community/?plan_id</v>
      </c>
      <c r="I60" s="5" t="str">
        <f>IFERROR(__xludf.DUMMYFUNCTION("""COMPUTED_VALUE"""),"b45c4241-78b2-499a-88f4-fd3ed315bcb2")</f>
        <v>b45c4241-78b2-499a-88f4-fd3ed315bcb2</v>
      </c>
      <c r="J60" s="4" t="s">
        <v>12603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30"/>
      <c r="X60" s="30"/>
    </row>
    <row r="61">
      <c r="A61" s="28" t="s">
        <v>12717</v>
      </c>
      <c r="B61" s="31">
        <v>50149.0</v>
      </c>
      <c r="C61" s="31" t="b">
        <v>1</v>
      </c>
      <c r="D61" s="29">
        <v>4999.0</v>
      </c>
      <c r="E61" s="29">
        <v>3799.0</v>
      </c>
      <c r="F61" s="28" t="s">
        <v>12722</v>
      </c>
      <c r="G61" s="28" t="s">
        <v>12723</v>
      </c>
      <c r="H61" s="32" t="str">
        <f>IFERROR(__xludf.DUMMYFUNCTION("SPLIT(G61,""="")"),"https://payment.likeminds.community/?plan_id")</f>
        <v>https://payment.likeminds.community/?plan_id</v>
      </c>
      <c r="I61" s="5" t="str">
        <f>IFERROR(__xludf.DUMMYFUNCTION("""COMPUTED_VALUE"""),"ef615171-651d-4882-8309-d411063960ee")</f>
        <v>ef615171-651d-4882-8309-d411063960ee</v>
      </c>
      <c r="J61" s="4" t="s">
        <v>12603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30"/>
      <c r="X61" s="30"/>
    </row>
    <row r="62">
      <c r="A62" s="28" t="s">
        <v>12717</v>
      </c>
      <c r="B62" s="31">
        <v>50149.0</v>
      </c>
      <c r="C62" s="31" t="b">
        <v>1</v>
      </c>
      <c r="D62" s="28">
        <v>4499.0</v>
      </c>
      <c r="E62" s="28">
        <v>3499.0</v>
      </c>
      <c r="F62" s="28" t="s">
        <v>12724</v>
      </c>
      <c r="G62" s="28" t="s">
        <v>12725</v>
      </c>
      <c r="H62" s="32" t="str">
        <f>IFERROR(__xludf.DUMMYFUNCTION("SPLIT(G62,""="")"),"https://payment.likeminds.community/?plan_id")</f>
        <v>https://payment.likeminds.community/?plan_id</v>
      </c>
      <c r="I62" s="5" t="str">
        <f>IFERROR(__xludf.DUMMYFUNCTION("""COMPUTED_VALUE"""),"ee032174-ef8e-461d-97d2-1ff3e70c7c6d")</f>
        <v>ee032174-ef8e-461d-97d2-1ff3e70c7c6d</v>
      </c>
      <c r="J62" s="4" t="s">
        <v>12603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30"/>
      <c r="X62" s="5"/>
    </row>
    <row r="63">
      <c r="A63" s="28" t="s">
        <v>12726</v>
      </c>
      <c r="B63" s="31">
        <v>50122.0</v>
      </c>
      <c r="C63" s="31" t="b">
        <v>1</v>
      </c>
      <c r="D63" s="29">
        <v>1999.0</v>
      </c>
      <c r="E63" s="29">
        <v>399.0</v>
      </c>
      <c r="F63" s="28" t="s">
        <v>12727</v>
      </c>
      <c r="G63" s="28" t="s">
        <v>12728</v>
      </c>
      <c r="H63" s="32" t="str">
        <f>IFERROR(__xludf.DUMMYFUNCTION("SPLIT(G63,""="")"),"https://payment.likeminds.community/?plan_id")</f>
        <v>https://payment.likeminds.community/?plan_id</v>
      </c>
      <c r="I63" s="5" t="str">
        <f>IFERROR(__xludf.DUMMYFUNCTION("""COMPUTED_VALUE"""),"410e1a5c-de81-4fab-9987-657dcf149c2f")</f>
        <v>410e1a5c-de81-4fab-9987-657dcf149c2f</v>
      </c>
      <c r="J63" s="4" t="s">
        <v>12603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30"/>
      <c r="X63" s="30"/>
    </row>
    <row r="64">
      <c r="A64" s="28" t="s">
        <v>12726</v>
      </c>
      <c r="B64" s="31">
        <v>50122.0</v>
      </c>
      <c r="C64" s="31" t="b">
        <v>1</v>
      </c>
      <c r="D64" s="29">
        <v>2999.0</v>
      </c>
      <c r="E64" s="29">
        <v>499.0</v>
      </c>
      <c r="F64" s="28" t="s">
        <v>12729</v>
      </c>
      <c r="G64" s="28" t="s">
        <v>12730</v>
      </c>
      <c r="H64" s="32" t="str">
        <f>IFERROR(__xludf.DUMMYFUNCTION("SPLIT(G64,""="")"),"https://payment.likeminds.community/?plan_id")</f>
        <v>https://payment.likeminds.community/?plan_id</v>
      </c>
      <c r="I64" s="5" t="str">
        <f>IFERROR(__xludf.DUMMYFUNCTION("""COMPUTED_VALUE"""),"81761c14-7b3f-4b2a-8cef-79ad7fea54b7")</f>
        <v>81761c14-7b3f-4b2a-8cef-79ad7fea54b7</v>
      </c>
      <c r="J64" s="4" t="s">
        <v>12603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30"/>
      <c r="X64" s="5"/>
    </row>
    <row r="65">
      <c r="A65" s="28" t="s">
        <v>12726</v>
      </c>
      <c r="B65" s="31">
        <v>50122.0</v>
      </c>
      <c r="C65" s="31" t="b">
        <v>1</v>
      </c>
      <c r="D65" s="29">
        <v>4999.0</v>
      </c>
      <c r="E65" s="29">
        <v>799.0</v>
      </c>
      <c r="F65" s="28" t="s">
        <v>12731</v>
      </c>
      <c r="G65" s="28" t="s">
        <v>12732</v>
      </c>
      <c r="H65" s="32" t="str">
        <f>IFERROR(__xludf.DUMMYFUNCTION("SPLIT(G65,""="")"),"https://payment.likeminds.community/?plan_id")</f>
        <v>https://payment.likeminds.community/?plan_id</v>
      </c>
      <c r="I65" s="5" t="str">
        <f>IFERROR(__xludf.DUMMYFUNCTION("""COMPUTED_VALUE"""),"49cba17b-86ad-4b5d-ba83-1f2c218851df")</f>
        <v>49cba17b-86ad-4b5d-ba83-1f2c218851df</v>
      </c>
      <c r="J65" s="4" t="s">
        <v>12603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30"/>
      <c r="X65" s="5"/>
    </row>
    <row r="66">
      <c r="A66" s="28" t="s">
        <v>3986</v>
      </c>
      <c r="B66" s="31">
        <v>50086.0</v>
      </c>
      <c r="C66" s="31" t="b">
        <v>1</v>
      </c>
      <c r="D66" s="33"/>
      <c r="E66" s="29">
        <v>249.0</v>
      </c>
      <c r="F66" s="28" t="s">
        <v>12733</v>
      </c>
      <c r="G66" s="28" t="s">
        <v>12734</v>
      </c>
      <c r="H66" s="32" t="str">
        <f>IFERROR(__xludf.DUMMYFUNCTION("SPLIT(G66,""="")"),"https://payment.likeminds.community/?plan_id")</f>
        <v>https://payment.likeminds.community/?plan_id</v>
      </c>
      <c r="I66" s="5" t="str">
        <f>IFERROR(__xludf.DUMMYFUNCTION("""COMPUTED_VALUE"""),"e57b1b7e-e366-44f5-ab73-706cdf1ef23b")</f>
        <v>e57b1b7e-e366-44f5-ab73-706cdf1ef23b</v>
      </c>
      <c r="J66" s="4" t="s">
        <v>12603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30"/>
      <c r="X66" s="30"/>
    </row>
    <row r="67">
      <c r="A67" s="28" t="s">
        <v>3986</v>
      </c>
      <c r="B67" s="31">
        <v>50086.0</v>
      </c>
      <c r="C67" s="31" t="b">
        <v>1</v>
      </c>
      <c r="D67" s="33"/>
      <c r="E67" s="29">
        <v>599.0</v>
      </c>
      <c r="F67" s="28" t="s">
        <v>12735</v>
      </c>
      <c r="G67" s="28" t="s">
        <v>12736</v>
      </c>
      <c r="H67" s="32" t="str">
        <f>IFERROR(__xludf.DUMMYFUNCTION("SPLIT(G67,""="")"),"https://payment.likeminds.community/?plan_id")</f>
        <v>https://payment.likeminds.community/?plan_id</v>
      </c>
      <c r="I67" s="5" t="str">
        <f>IFERROR(__xludf.DUMMYFUNCTION("""COMPUTED_VALUE"""),"d636d641-38ca-445c-929c-90dad886af32")</f>
        <v>d636d641-38ca-445c-929c-90dad886af32</v>
      </c>
      <c r="J67" s="4" t="s">
        <v>12603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30"/>
      <c r="X67" s="5"/>
    </row>
    <row r="68">
      <c r="A68" s="28" t="s">
        <v>3986</v>
      </c>
      <c r="B68" s="31">
        <v>50086.0</v>
      </c>
      <c r="C68" s="31" t="b">
        <v>1</v>
      </c>
      <c r="D68" s="33"/>
      <c r="E68" s="29">
        <v>999.0</v>
      </c>
      <c r="F68" s="28" t="s">
        <v>12737</v>
      </c>
      <c r="G68" s="28" t="s">
        <v>12738</v>
      </c>
      <c r="H68" s="32" t="str">
        <f>IFERROR(__xludf.DUMMYFUNCTION("SPLIT(G68,""="")"),"https://payment.likeminds.community/?plan_id")</f>
        <v>https://payment.likeminds.community/?plan_id</v>
      </c>
      <c r="I68" s="5" t="str">
        <f>IFERROR(__xludf.DUMMYFUNCTION("""COMPUTED_VALUE"""),"66daae8c-82c7-410c-a217-562b894e22dc")</f>
        <v>66daae8c-82c7-410c-a217-562b894e22dc</v>
      </c>
      <c r="J68" s="4" t="s">
        <v>12603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30"/>
      <c r="X68" s="30"/>
    </row>
    <row r="69">
      <c r="A69" s="28" t="s">
        <v>12739</v>
      </c>
      <c r="B69" s="31">
        <v>50082.0</v>
      </c>
      <c r="C69" s="31" t="b">
        <v>1</v>
      </c>
      <c r="D69" s="34">
        <v>5999.0</v>
      </c>
      <c r="E69" s="34">
        <v>2999.0</v>
      </c>
      <c r="F69" s="28" t="s">
        <v>12740</v>
      </c>
      <c r="G69" s="28" t="s">
        <v>12741</v>
      </c>
      <c r="H69" s="32" t="str">
        <f>IFERROR(__xludf.DUMMYFUNCTION("SPLIT(G69,""="")"),"https://payment.likeminds.community/?plan_id")</f>
        <v>https://payment.likeminds.community/?plan_id</v>
      </c>
      <c r="I69" s="5" t="str">
        <f>IFERROR(__xludf.DUMMYFUNCTION("""COMPUTED_VALUE"""),"22fd7677-6f7e-406b-855f-ce38886aea9d")</f>
        <v>22fd7677-6f7e-406b-855f-ce38886aea9d</v>
      </c>
      <c r="J69" s="4" t="s">
        <v>12603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30"/>
      <c r="X69" s="5"/>
    </row>
    <row r="70">
      <c r="A70" s="28" t="s">
        <v>12739</v>
      </c>
      <c r="B70" s="31">
        <v>50082.0</v>
      </c>
      <c r="C70" s="31" t="b">
        <v>1</v>
      </c>
      <c r="D70" s="34">
        <v>9999.0</v>
      </c>
      <c r="E70" s="34">
        <v>4999.0</v>
      </c>
      <c r="F70" s="28" t="s">
        <v>12742</v>
      </c>
      <c r="G70" s="28" t="s">
        <v>12743</v>
      </c>
      <c r="H70" s="32" t="str">
        <f>IFERROR(__xludf.DUMMYFUNCTION("SPLIT(G70,""="")"),"https://payment.likeminds.community/?plan_id")</f>
        <v>https://payment.likeminds.community/?plan_id</v>
      </c>
      <c r="I70" s="5" t="str">
        <f>IFERROR(__xludf.DUMMYFUNCTION("""COMPUTED_VALUE"""),"6c27e352-6721-4371-83fc-5e9725b9a1bd")</f>
        <v>6c27e352-6721-4371-83fc-5e9725b9a1bd</v>
      </c>
      <c r="J70" s="4" t="s">
        <v>12603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28" t="s">
        <v>12739</v>
      </c>
      <c r="B71" s="31">
        <v>50082.0</v>
      </c>
      <c r="C71" s="31" t="b">
        <v>1</v>
      </c>
      <c r="D71" s="34">
        <v>24999.0</v>
      </c>
      <c r="E71" s="34">
        <v>11999.0</v>
      </c>
      <c r="F71" s="28" t="s">
        <v>12744</v>
      </c>
      <c r="G71" s="28" t="s">
        <v>12745</v>
      </c>
      <c r="H71" s="32" t="str">
        <f>IFERROR(__xludf.DUMMYFUNCTION("SPLIT(G71,""="")"),"https://payment.likeminds.community/?plan_id")</f>
        <v>https://payment.likeminds.community/?plan_id</v>
      </c>
      <c r="I71" s="5" t="str">
        <f>IFERROR(__xludf.DUMMYFUNCTION("""COMPUTED_VALUE"""),"c1e16f2b-ed2f-4563-b6a3-9bfd3eec0afc")</f>
        <v>c1e16f2b-ed2f-4563-b6a3-9bfd3eec0afc</v>
      </c>
      <c r="J71" s="4" t="s">
        <v>12603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28" t="s">
        <v>12746</v>
      </c>
      <c r="B72" s="31">
        <v>50162.0</v>
      </c>
      <c r="C72" s="31" t="b">
        <v>1</v>
      </c>
      <c r="D72" s="29">
        <v>999.0</v>
      </c>
      <c r="E72" s="29">
        <v>299.0</v>
      </c>
      <c r="F72" s="28" t="s">
        <v>12747</v>
      </c>
      <c r="G72" s="28" t="s">
        <v>12748</v>
      </c>
      <c r="H72" s="32" t="str">
        <f>IFERROR(__xludf.DUMMYFUNCTION("SPLIT(G72,""="")"),"https://payment.likeminds.community/?plan_id")</f>
        <v>https://payment.likeminds.community/?plan_id</v>
      </c>
      <c r="I72" s="5" t="str">
        <f>IFERROR(__xludf.DUMMYFUNCTION("""COMPUTED_VALUE"""),"16abfe26-e51b-4328-a59b-fceb8d9e9cd4")</f>
        <v>16abfe26-e51b-4328-a59b-fceb8d9e9cd4</v>
      </c>
      <c r="J72" s="4" t="s">
        <v>12603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28" t="s">
        <v>12746</v>
      </c>
      <c r="B73" s="31">
        <v>50162.0</v>
      </c>
      <c r="C73" s="31" t="b">
        <v>1</v>
      </c>
      <c r="D73" s="29">
        <v>1999.0</v>
      </c>
      <c r="E73" s="29">
        <v>499.0</v>
      </c>
      <c r="F73" s="28" t="s">
        <v>12749</v>
      </c>
      <c r="G73" s="28" t="s">
        <v>12750</v>
      </c>
      <c r="H73" s="32" t="str">
        <f>IFERROR(__xludf.DUMMYFUNCTION("SPLIT(G73,""="")"),"https://payment.likeminds.community/?plan_id")</f>
        <v>https://payment.likeminds.community/?plan_id</v>
      </c>
      <c r="I73" s="5" t="str">
        <f>IFERROR(__xludf.DUMMYFUNCTION("""COMPUTED_VALUE"""),"3237ded3-a2e7-450e-bf3c-f640d5570805")</f>
        <v>3237ded3-a2e7-450e-bf3c-f640d5570805</v>
      </c>
      <c r="J73" s="4" t="s">
        <v>12603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28" t="s">
        <v>12746</v>
      </c>
      <c r="B74" s="31">
        <v>50162.0</v>
      </c>
      <c r="C74" s="31" t="b">
        <v>1</v>
      </c>
      <c r="D74" s="29">
        <v>2999.0</v>
      </c>
      <c r="E74" s="29">
        <v>999.0</v>
      </c>
      <c r="F74" s="28" t="s">
        <v>12751</v>
      </c>
      <c r="G74" s="28" t="s">
        <v>12752</v>
      </c>
      <c r="H74" s="32" t="str">
        <f>IFERROR(__xludf.DUMMYFUNCTION("SPLIT(G74,""="")"),"https://payment.likeminds.community/?plan_id")</f>
        <v>https://payment.likeminds.community/?plan_id</v>
      </c>
      <c r="I74" s="5" t="str">
        <f>IFERROR(__xludf.DUMMYFUNCTION("""COMPUTED_VALUE"""),"1e7ff6de-6324-4bd3-950d-c240d942fda5")</f>
        <v>1e7ff6de-6324-4bd3-950d-c240d942fda5</v>
      </c>
      <c r="J74" s="4" t="s">
        <v>12603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28" t="s">
        <v>4281</v>
      </c>
      <c r="B75" s="31">
        <v>50079.0</v>
      </c>
      <c r="C75" s="31" t="b">
        <v>1</v>
      </c>
      <c r="D75" s="29">
        <v>299.0</v>
      </c>
      <c r="E75" s="29">
        <v>99.0</v>
      </c>
      <c r="F75" s="28" t="s">
        <v>12753</v>
      </c>
      <c r="G75" s="28" t="s">
        <v>12754</v>
      </c>
      <c r="H75" s="32" t="str">
        <f>IFERROR(__xludf.DUMMYFUNCTION("SPLIT(G75,""="")"),"https://payment.likeminds.community/?plan_id")</f>
        <v>https://payment.likeminds.community/?plan_id</v>
      </c>
      <c r="I75" s="5" t="str">
        <f>IFERROR(__xludf.DUMMYFUNCTION("""COMPUTED_VALUE"""),"46974ce7-59e5-41d9-8696-c54064b74ccd")</f>
        <v>46974ce7-59e5-41d9-8696-c54064b74ccd</v>
      </c>
      <c r="J75" s="4" t="s">
        <v>12603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28" t="s">
        <v>4281</v>
      </c>
      <c r="B76" s="31">
        <v>50079.0</v>
      </c>
      <c r="C76" s="31" t="b">
        <v>1</v>
      </c>
      <c r="D76" s="29">
        <v>499.0</v>
      </c>
      <c r="E76" s="29">
        <v>199.0</v>
      </c>
      <c r="F76" s="28" t="s">
        <v>12753</v>
      </c>
      <c r="G76" s="28" t="s">
        <v>12755</v>
      </c>
      <c r="H76" s="32" t="str">
        <f>IFERROR(__xludf.DUMMYFUNCTION("SPLIT(G76,""="")"),"https://payment.likeminds.community/?plan_id")</f>
        <v>https://payment.likeminds.community/?plan_id</v>
      </c>
      <c r="I76" s="5" t="str">
        <f>IFERROR(__xludf.DUMMYFUNCTION("""COMPUTED_VALUE"""),"51fcc0ab-b372-4e6e-9e6d-4ce92a0f14db")</f>
        <v>51fcc0ab-b372-4e6e-9e6d-4ce92a0f14db</v>
      </c>
      <c r="J76" s="4" t="s">
        <v>12603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28" t="s">
        <v>4281</v>
      </c>
      <c r="B77" s="31">
        <v>50079.0</v>
      </c>
      <c r="C77" s="31" t="b">
        <v>1</v>
      </c>
      <c r="D77" s="29">
        <v>799.0</v>
      </c>
      <c r="E77" s="29">
        <v>349.0</v>
      </c>
      <c r="F77" s="28" t="s">
        <v>12756</v>
      </c>
      <c r="G77" s="28" t="s">
        <v>12757</v>
      </c>
      <c r="H77" s="32" t="str">
        <f>IFERROR(__xludf.DUMMYFUNCTION("SPLIT(G77,""="")"),"https://payment.likeminds.community/?plan_id")</f>
        <v>https://payment.likeminds.community/?plan_id</v>
      </c>
      <c r="I77" s="5" t="str">
        <f>IFERROR(__xludf.DUMMYFUNCTION("""COMPUTED_VALUE"""),"1604b1d4-82ec-4ba8-b274-b6b1f32382c6")</f>
        <v>1604b1d4-82ec-4ba8-b274-b6b1f32382c6</v>
      </c>
      <c r="J77" s="4" t="s">
        <v>12603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28" t="s">
        <v>4341</v>
      </c>
      <c r="B78" s="31">
        <v>50039.0</v>
      </c>
      <c r="C78" s="31" t="b">
        <v>1</v>
      </c>
      <c r="D78" s="29">
        <v>299.0</v>
      </c>
      <c r="E78" s="29">
        <v>99.0</v>
      </c>
      <c r="F78" s="28" t="s">
        <v>12758</v>
      </c>
      <c r="G78" s="28" t="s">
        <v>12759</v>
      </c>
      <c r="H78" s="32" t="str">
        <f>IFERROR(__xludf.DUMMYFUNCTION("SPLIT(G78,""="")"),"https://payment.likeminds.community/?plan_id")</f>
        <v>https://payment.likeminds.community/?plan_id</v>
      </c>
      <c r="I78" s="5" t="str">
        <f>IFERROR(__xludf.DUMMYFUNCTION("""COMPUTED_VALUE"""),"a93dd58f-7877-4f52-9c49-76f904601d67")</f>
        <v>a93dd58f-7877-4f52-9c49-76f904601d67</v>
      </c>
      <c r="J78" s="4" t="s">
        <v>12603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28" t="s">
        <v>4341</v>
      </c>
      <c r="B79" s="31">
        <v>50039.0</v>
      </c>
      <c r="C79" s="31" t="b">
        <v>1</v>
      </c>
      <c r="D79" s="29">
        <v>499.0</v>
      </c>
      <c r="E79" s="29">
        <v>199.0</v>
      </c>
      <c r="F79" s="28" t="s">
        <v>12758</v>
      </c>
      <c r="G79" s="28" t="s">
        <v>12760</v>
      </c>
      <c r="H79" s="32" t="str">
        <f>IFERROR(__xludf.DUMMYFUNCTION("SPLIT(G79,""="")"),"https://payment.likeminds.community/?plan_id")</f>
        <v>https://payment.likeminds.community/?plan_id</v>
      </c>
      <c r="I79" s="5" t="str">
        <f>IFERROR(__xludf.DUMMYFUNCTION("""COMPUTED_VALUE"""),"7bfdf2da-c8b3-4f0c-a2b5-92d40e5e7694")</f>
        <v>7bfdf2da-c8b3-4f0c-a2b5-92d40e5e7694</v>
      </c>
      <c r="J79" s="4" t="s">
        <v>12603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28" t="s">
        <v>4341</v>
      </c>
      <c r="B80" s="31">
        <v>50039.0</v>
      </c>
      <c r="C80" s="31" t="b">
        <v>1</v>
      </c>
      <c r="D80" s="29">
        <v>799.0</v>
      </c>
      <c r="E80" s="29">
        <v>349.0</v>
      </c>
      <c r="F80" s="28" t="s">
        <v>12758</v>
      </c>
      <c r="G80" s="28" t="s">
        <v>12761</v>
      </c>
      <c r="H80" s="32" t="str">
        <f>IFERROR(__xludf.DUMMYFUNCTION("SPLIT(G80,""="")"),"https://payment.likeminds.community/?plan_id")</f>
        <v>https://payment.likeminds.community/?plan_id</v>
      </c>
      <c r="I80" s="5" t="str">
        <f>IFERROR(__xludf.DUMMYFUNCTION("""COMPUTED_VALUE"""),"5262aeef-2a7c-4547-b7e8-9820437b74e4")</f>
        <v>5262aeef-2a7c-4547-b7e8-9820437b74e4</v>
      </c>
      <c r="J80" s="4" t="s">
        <v>12603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28" t="s">
        <v>4399</v>
      </c>
      <c r="B81" s="31">
        <v>50110.0</v>
      </c>
      <c r="C81" s="31" t="b">
        <v>1</v>
      </c>
      <c r="D81" s="29">
        <v>299.0</v>
      </c>
      <c r="E81" s="29">
        <v>99.0</v>
      </c>
      <c r="F81" s="28" t="s">
        <v>12762</v>
      </c>
      <c r="G81" s="28" t="s">
        <v>12700</v>
      </c>
      <c r="H81" s="32" t="str">
        <f>IFERROR(__xludf.DUMMYFUNCTION("SPLIT(G81,""="")"),"https://payment.likeminds.community/?plan_id")</f>
        <v>https://payment.likeminds.community/?plan_id</v>
      </c>
      <c r="I81" s="5" t="str">
        <f>IFERROR(__xludf.DUMMYFUNCTION("""COMPUTED_VALUE"""),"aa03b87f-173a-42bd-a1d6-2bf3b353dfa6")</f>
        <v>aa03b87f-173a-42bd-a1d6-2bf3b353dfa6</v>
      </c>
      <c r="J81" s="4" t="s">
        <v>12603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28" t="s">
        <v>4399</v>
      </c>
      <c r="B82" s="31">
        <v>50110.0</v>
      </c>
      <c r="C82" s="31" t="b">
        <v>1</v>
      </c>
      <c r="D82" s="29">
        <v>499.0</v>
      </c>
      <c r="E82" s="29">
        <v>199.0</v>
      </c>
      <c r="F82" s="28" t="s">
        <v>12762</v>
      </c>
      <c r="G82" s="28" t="s">
        <v>12702</v>
      </c>
      <c r="H82" s="32" t="str">
        <f>IFERROR(__xludf.DUMMYFUNCTION("SPLIT(G82,""="")"),"https://payment.likeminds.community/?plan_id")</f>
        <v>https://payment.likeminds.community/?plan_id</v>
      </c>
      <c r="I82" s="5" t="str">
        <f>IFERROR(__xludf.DUMMYFUNCTION("""COMPUTED_VALUE"""),"7fd50cc4-b3b4-4a48-97eb-23ebb8013b4c")</f>
        <v>7fd50cc4-b3b4-4a48-97eb-23ebb8013b4c</v>
      </c>
      <c r="J82" s="4" t="s">
        <v>12603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28" t="s">
        <v>4399</v>
      </c>
      <c r="B83" s="31">
        <v>50110.0</v>
      </c>
      <c r="C83" s="31" t="b">
        <v>1</v>
      </c>
      <c r="D83" s="29">
        <v>799.0</v>
      </c>
      <c r="E83" s="29">
        <v>349.0</v>
      </c>
      <c r="F83" s="28" t="s">
        <v>12762</v>
      </c>
      <c r="G83" s="28" t="s">
        <v>12704</v>
      </c>
      <c r="H83" s="32" t="str">
        <f>IFERROR(__xludf.DUMMYFUNCTION("SPLIT(G83,""="")"),"https://payment.likeminds.community/?plan_id")</f>
        <v>https://payment.likeminds.community/?plan_id</v>
      </c>
      <c r="I83" s="5" t="str">
        <f>IFERROR(__xludf.DUMMYFUNCTION("""COMPUTED_VALUE"""),"6ea82515-6670-4ad1-b591-539205579647")</f>
        <v>6ea82515-6670-4ad1-b591-539205579647</v>
      </c>
      <c r="J83" s="4" t="s">
        <v>12603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28" t="s">
        <v>12763</v>
      </c>
      <c r="B84" s="31">
        <v>50026.0</v>
      </c>
      <c r="C84" s="31" t="b">
        <v>1</v>
      </c>
      <c r="D84" s="29">
        <v>499.0</v>
      </c>
      <c r="E84" s="29">
        <v>199.0</v>
      </c>
      <c r="F84" s="28" t="s">
        <v>12764</v>
      </c>
      <c r="G84" s="28" t="s">
        <v>12765</v>
      </c>
      <c r="H84" s="32" t="str">
        <f>IFERROR(__xludf.DUMMYFUNCTION("SPLIT(G84,""="")"),"https://payment.likeminds.community/?plan_id")</f>
        <v>https://payment.likeminds.community/?plan_id</v>
      </c>
      <c r="I84" s="5" t="str">
        <f>IFERROR(__xludf.DUMMYFUNCTION("""COMPUTED_VALUE"""),"810d1301-ec74-4cfa-9d0c-aeca3f9dbece")</f>
        <v>810d1301-ec74-4cfa-9d0c-aeca3f9dbece</v>
      </c>
      <c r="J84" s="4" t="s">
        <v>12603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28" t="s">
        <v>12763</v>
      </c>
      <c r="B85" s="31">
        <v>50026.0</v>
      </c>
      <c r="C85" s="31" t="b">
        <v>1</v>
      </c>
      <c r="D85" s="29">
        <v>899.0</v>
      </c>
      <c r="E85" s="29">
        <v>499.0</v>
      </c>
      <c r="F85" s="28" t="s">
        <v>12766</v>
      </c>
      <c r="G85" s="28" t="s">
        <v>12767</v>
      </c>
      <c r="H85" s="32" t="str">
        <f>IFERROR(__xludf.DUMMYFUNCTION("SPLIT(G85,""="")"),"https://payment.likeminds.community/?plan_id")</f>
        <v>https://payment.likeminds.community/?plan_id</v>
      </c>
      <c r="I85" s="5" t="str">
        <f>IFERROR(__xludf.DUMMYFUNCTION("""COMPUTED_VALUE"""),"1f55df2b-4424-4c5a-b687-272369dc16bc")</f>
        <v>1f55df2b-4424-4c5a-b687-272369dc16bc</v>
      </c>
      <c r="J85" s="4" t="s">
        <v>12603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28" t="s">
        <v>280</v>
      </c>
      <c r="B86" s="31">
        <v>12345.0</v>
      </c>
      <c r="C86" s="31" t="b">
        <v>1</v>
      </c>
      <c r="D86" s="29">
        <v>299.0</v>
      </c>
      <c r="E86" s="29">
        <v>99.0</v>
      </c>
      <c r="F86" s="28" t="s">
        <v>12768</v>
      </c>
      <c r="G86" s="28" t="s">
        <v>12769</v>
      </c>
      <c r="H86" s="32" t="str">
        <f>IFERROR(__xludf.DUMMYFUNCTION("SPLIT(G86,""="")"),"https://payment.likeminds.community/?plan_id")</f>
        <v>https://payment.likeminds.community/?plan_id</v>
      </c>
      <c r="I86" s="5" t="str">
        <f>IFERROR(__xludf.DUMMYFUNCTION("""COMPUTED_VALUE"""),"18790be4-04cd-4484-a2f2-538d0485ec3f")</f>
        <v>18790be4-04cd-4484-a2f2-538d0485ec3f</v>
      </c>
      <c r="J86" s="4" t="s">
        <v>12603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28" t="s">
        <v>12770</v>
      </c>
      <c r="B87" s="31">
        <v>50053.0</v>
      </c>
      <c r="C87" s="31" t="b">
        <v>1</v>
      </c>
      <c r="D87" s="28">
        <v>999.0</v>
      </c>
      <c r="E87" s="28">
        <v>299.0</v>
      </c>
      <c r="F87" s="28" t="s">
        <v>12771</v>
      </c>
      <c r="G87" s="28" t="s">
        <v>12772</v>
      </c>
      <c r="H87" s="32" t="str">
        <f>IFERROR(__xludf.DUMMYFUNCTION("SPLIT(G87,""="")"),"https://payment.likeminds.community/?plan_id")</f>
        <v>https://payment.likeminds.community/?plan_id</v>
      </c>
      <c r="I87" s="5" t="str">
        <f>IFERROR(__xludf.DUMMYFUNCTION("""COMPUTED_VALUE"""),"plan_H4kFSqbs3Jk1ge")</f>
        <v>plan_H4kFSqbs3Jk1ge</v>
      </c>
      <c r="J87" s="4" t="s">
        <v>12603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28" t="s">
        <v>12770</v>
      </c>
      <c r="B88" s="31">
        <v>50053.0</v>
      </c>
      <c r="C88" s="31" t="b">
        <v>1</v>
      </c>
      <c r="D88" s="28">
        <v>1999.0</v>
      </c>
      <c r="E88" s="28">
        <v>599.0</v>
      </c>
      <c r="F88" s="28" t="s">
        <v>12773</v>
      </c>
      <c r="G88" s="28" t="s">
        <v>12774</v>
      </c>
      <c r="H88" s="32" t="str">
        <f>IFERROR(__xludf.DUMMYFUNCTION("SPLIT(G88,""="")"),"https://payment.likeminds.community/?plan_id")</f>
        <v>https://payment.likeminds.community/?plan_id</v>
      </c>
      <c r="I88" s="5" t="str">
        <f>IFERROR(__xludf.DUMMYFUNCTION("""COMPUTED_VALUE"""),"plan_H4kFTT8X6NVHAF")</f>
        <v>plan_H4kFTT8X6NVHAF</v>
      </c>
      <c r="J88" s="4" t="s">
        <v>12603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28" t="s">
        <v>12770</v>
      </c>
      <c r="B89" s="31">
        <v>50053.0</v>
      </c>
      <c r="C89" s="31" t="b">
        <v>1</v>
      </c>
      <c r="D89" s="28">
        <v>2999.0</v>
      </c>
      <c r="E89" s="28">
        <v>899.0</v>
      </c>
      <c r="F89" s="28" t="s">
        <v>12775</v>
      </c>
      <c r="G89" s="28" t="s">
        <v>12776</v>
      </c>
      <c r="H89" s="32" t="str">
        <f>IFERROR(__xludf.DUMMYFUNCTION("SPLIT(G89,""="")"),"https://payment.likeminds.community/?plan_id")</f>
        <v>https://payment.likeminds.community/?plan_id</v>
      </c>
      <c r="I89" s="5" t="str">
        <f>IFERROR(__xludf.DUMMYFUNCTION("""COMPUTED_VALUE"""),"plan_H4kFU1RptbibnV")</f>
        <v>plan_H4kFU1RptbibnV</v>
      </c>
      <c r="J89" s="4" t="s">
        <v>12603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28" t="s">
        <v>12770</v>
      </c>
      <c r="B90" s="31">
        <v>50053.0</v>
      </c>
      <c r="C90" s="31" t="b">
        <v>1</v>
      </c>
      <c r="D90" s="28">
        <v>4999.0</v>
      </c>
      <c r="E90" s="28">
        <v>1499.0</v>
      </c>
      <c r="F90" s="28" t="s">
        <v>12777</v>
      </c>
      <c r="G90" s="28" t="s">
        <v>12778</v>
      </c>
      <c r="H90" s="32" t="str">
        <f>IFERROR(__xludf.DUMMYFUNCTION("SPLIT(G90,""="")"),"https://payment.likeminds.community/?plan_id")</f>
        <v>https://payment.likeminds.community/?plan_id</v>
      </c>
      <c r="I90" s="5" t="str">
        <f>IFERROR(__xludf.DUMMYFUNCTION("""COMPUTED_VALUE"""),"plan_H4kFUbuD1qYxSn")</f>
        <v>plan_H4kFUbuD1qYxSn</v>
      </c>
      <c r="J90" s="4" t="s">
        <v>12603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28" t="s">
        <v>4433</v>
      </c>
      <c r="B91" s="31">
        <v>50052.0</v>
      </c>
      <c r="C91" s="31" t="b">
        <v>1</v>
      </c>
      <c r="D91" s="29">
        <v>299.0</v>
      </c>
      <c r="E91" s="29">
        <v>99.0</v>
      </c>
      <c r="F91" s="28" t="s">
        <v>12779</v>
      </c>
      <c r="G91" s="28" t="s">
        <v>12780</v>
      </c>
      <c r="H91" s="32" t="str">
        <f>IFERROR(__xludf.DUMMYFUNCTION("SPLIT(G91,""="")"),"https://payment.likeminds.community/?plan_id")</f>
        <v>https://payment.likeminds.community/?plan_id</v>
      </c>
      <c r="I91" s="5" t="str">
        <f>IFERROR(__xludf.DUMMYFUNCTION("""COMPUTED_VALUE"""),"bd536099-969b-488d-aade-e2609a81db4c")</f>
        <v>bd536099-969b-488d-aade-e2609a81db4c</v>
      </c>
      <c r="J91" s="4" t="s">
        <v>12603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28" t="s">
        <v>4433</v>
      </c>
      <c r="B92" s="31">
        <v>50052.0</v>
      </c>
      <c r="C92" s="31" t="b">
        <v>1</v>
      </c>
      <c r="D92" s="29">
        <v>499.0</v>
      </c>
      <c r="E92" s="29">
        <v>199.0</v>
      </c>
      <c r="F92" s="28" t="s">
        <v>12781</v>
      </c>
      <c r="G92" s="28" t="s">
        <v>12782</v>
      </c>
      <c r="H92" s="32" t="str">
        <f>IFERROR(__xludf.DUMMYFUNCTION("SPLIT(G92,""="")"),"https://payment.likeminds.community/?plan_id")</f>
        <v>https://payment.likeminds.community/?plan_id</v>
      </c>
      <c r="I92" s="5" t="str">
        <f>IFERROR(__xludf.DUMMYFUNCTION("""COMPUTED_VALUE"""),"fe9c730b-e9f8-45a3-b642-1f67dc84a146")</f>
        <v>fe9c730b-e9f8-45a3-b642-1f67dc84a146</v>
      </c>
      <c r="J92" s="4" t="s">
        <v>12603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28" t="s">
        <v>4433</v>
      </c>
      <c r="B93" s="31">
        <v>50052.0</v>
      </c>
      <c r="C93" s="31" t="b">
        <v>1</v>
      </c>
      <c r="D93" s="29">
        <v>799.0</v>
      </c>
      <c r="E93" s="29">
        <v>349.0</v>
      </c>
      <c r="F93" s="28" t="s">
        <v>12781</v>
      </c>
      <c r="G93" s="28" t="s">
        <v>12783</v>
      </c>
      <c r="H93" s="32" t="str">
        <f>IFERROR(__xludf.DUMMYFUNCTION("SPLIT(G93,""="")"),"https://payment.likeminds.community/?plan_id")</f>
        <v>https://payment.likeminds.community/?plan_id</v>
      </c>
      <c r="I93" s="5" t="str">
        <f>IFERROR(__xludf.DUMMYFUNCTION("""COMPUTED_VALUE"""),"17a16a93-d1f3-46a0-bcb3-daabf6cf759d")</f>
        <v>17a16a93-d1f3-46a0-bcb3-daabf6cf759d</v>
      </c>
      <c r="J93" s="4" t="s">
        <v>12603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28" t="s">
        <v>12784</v>
      </c>
      <c r="B94" s="31">
        <v>50148.0</v>
      </c>
      <c r="C94" s="31" t="b">
        <v>1</v>
      </c>
      <c r="D94" s="29">
        <v>399.0</v>
      </c>
      <c r="E94" s="29">
        <v>199.0</v>
      </c>
      <c r="F94" s="28" t="s">
        <v>12785</v>
      </c>
      <c r="G94" s="28" t="s">
        <v>12786</v>
      </c>
      <c r="H94" s="32" t="str">
        <f>IFERROR(__xludf.DUMMYFUNCTION("SPLIT(G94,""="")"),"https://payment.likeminds.community/?plan_id")</f>
        <v>https://payment.likeminds.community/?plan_id</v>
      </c>
      <c r="I94" s="5" t="str">
        <f>IFERROR(__xludf.DUMMYFUNCTION("""COMPUTED_VALUE"""),"79e54610-9547-4fa6-b843-45e6fe54ca0a")</f>
        <v>79e54610-9547-4fa6-b843-45e6fe54ca0a</v>
      </c>
      <c r="J94" s="4" t="s">
        <v>12603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28" t="s">
        <v>12784</v>
      </c>
      <c r="B95" s="31">
        <v>50148.0</v>
      </c>
      <c r="C95" s="31" t="b">
        <v>1</v>
      </c>
      <c r="D95" s="29">
        <v>499.0</v>
      </c>
      <c r="E95" s="29">
        <v>399.0</v>
      </c>
      <c r="F95" s="28" t="s">
        <v>12787</v>
      </c>
      <c r="G95" s="28" t="s">
        <v>12788</v>
      </c>
      <c r="H95" s="32" t="str">
        <f>IFERROR(__xludf.DUMMYFUNCTION("SPLIT(G95,""="")"),"https://payment.likeminds.community/?plan_id")</f>
        <v>https://payment.likeminds.community/?plan_id</v>
      </c>
      <c r="I95" s="5" t="str">
        <f>IFERROR(__xludf.DUMMYFUNCTION("""COMPUTED_VALUE"""),"95ac66af-ca1c-4dcd-9f5d-44a3427e5109")</f>
        <v>95ac66af-ca1c-4dcd-9f5d-44a3427e5109</v>
      </c>
      <c r="J95" s="4" t="s">
        <v>12603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28" t="s">
        <v>12784</v>
      </c>
      <c r="B96" s="31">
        <v>50148.0</v>
      </c>
      <c r="C96" s="31" t="b">
        <v>1</v>
      </c>
      <c r="D96" s="29">
        <v>1499.0</v>
      </c>
      <c r="E96" s="29">
        <v>899.0</v>
      </c>
      <c r="F96" s="28" t="s">
        <v>12785</v>
      </c>
      <c r="G96" s="28" t="s">
        <v>12789</v>
      </c>
      <c r="H96" s="32" t="str">
        <f>IFERROR(__xludf.DUMMYFUNCTION("SPLIT(G96,""="")"),"https://payment.likeminds.community/?plan_id")</f>
        <v>https://payment.likeminds.community/?plan_id</v>
      </c>
      <c r="I96" s="5" t="str">
        <f>IFERROR(__xludf.DUMMYFUNCTION("""COMPUTED_VALUE"""),"33dba64d-bd0d-4bcd-9282-f03dab6aedc2")</f>
        <v>33dba64d-bd0d-4bcd-9282-f03dab6aedc2</v>
      </c>
      <c r="J96" s="4" t="s">
        <v>12603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28" t="s">
        <v>4914</v>
      </c>
      <c r="B97" s="31">
        <v>50113.0</v>
      </c>
      <c r="C97" s="31" t="b">
        <v>1</v>
      </c>
      <c r="D97" s="33"/>
      <c r="E97" s="29">
        <v>499.0</v>
      </c>
      <c r="F97" s="28" t="s">
        <v>12790</v>
      </c>
      <c r="G97" s="28" t="s">
        <v>12791</v>
      </c>
      <c r="H97" s="32" t="str">
        <f>IFERROR(__xludf.DUMMYFUNCTION("SPLIT(G97,""="")"),"https://payment.likeminds.community/?plan_id")</f>
        <v>https://payment.likeminds.community/?plan_id</v>
      </c>
      <c r="I97" s="5" t="str">
        <f>IFERROR(__xludf.DUMMYFUNCTION("""COMPUTED_VALUE"""),"c9a0eaa9-4fc6-4b8b-9583-03644deb2281")</f>
        <v>c9a0eaa9-4fc6-4b8b-9583-03644deb2281</v>
      </c>
      <c r="J97" s="4" t="s">
        <v>12603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28" t="s">
        <v>4914</v>
      </c>
      <c r="B98" s="31">
        <v>50113.0</v>
      </c>
      <c r="C98" s="31" t="b">
        <v>1</v>
      </c>
      <c r="D98" s="33"/>
      <c r="E98" s="29">
        <v>1349.0</v>
      </c>
      <c r="F98" s="28" t="s">
        <v>12790</v>
      </c>
      <c r="G98" s="28" t="s">
        <v>12792</v>
      </c>
      <c r="H98" s="32" t="str">
        <f>IFERROR(__xludf.DUMMYFUNCTION("SPLIT(G98,""="")"),"https://payment.likeminds.community/?plan_id")</f>
        <v>https://payment.likeminds.community/?plan_id</v>
      </c>
      <c r="I98" s="5" t="str">
        <f>IFERROR(__xludf.DUMMYFUNCTION("""COMPUTED_VALUE"""),"b4921819-7640-4509-b07f-84ba27b31e4f")</f>
        <v>b4921819-7640-4509-b07f-84ba27b31e4f</v>
      </c>
      <c r="J98" s="4" t="s">
        <v>12603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28" t="s">
        <v>4914</v>
      </c>
      <c r="B99" s="31">
        <v>50113.0</v>
      </c>
      <c r="C99" s="31" t="b">
        <v>1</v>
      </c>
      <c r="D99" s="33"/>
      <c r="E99" s="29">
        <v>2499.0</v>
      </c>
      <c r="F99" s="28" t="s">
        <v>12790</v>
      </c>
      <c r="G99" s="28" t="s">
        <v>12793</v>
      </c>
      <c r="H99" s="32" t="str">
        <f>IFERROR(__xludf.DUMMYFUNCTION("SPLIT(G99,""="")"),"https://payment.likeminds.community/?plan_id")</f>
        <v>https://payment.likeminds.community/?plan_id</v>
      </c>
      <c r="I99" s="5" t="str">
        <f>IFERROR(__xludf.DUMMYFUNCTION("""COMPUTED_VALUE"""),"82ef7306-ee99-4556-a3ed-698940923bc3")</f>
        <v>82ef7306-ee99-4556-a3ed-698940923bc3</v>
      </c>
      <c r="J99" s="4" t="s">
        <v>12603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28" t="s">
        <v>12794</v>
      </c>
      <c r="B100" s="31">
        <v>50119.0</v>
      </c>
      <c r="C100" s="31" t="b">
        <v>1</v>
      </c>
      <c r="D100" s="29">
        <v>999.0</v>
      </c>
      <c r="E100" s="29">
        <v>499.0</v>
      </c>
      <c r="F100" s="28" t="s">
        <v>12795</v>
      </c>
      <c r="G100" s="28" t="s">
        <v>12796</v>
      </c>
      <c r="H100" s="32" t="str">
        <f>IFERROR(__xludf.DUMMYFUNCTION("SPLIT(G100,""="")"),"https://payment.likeminds.community/?plan_id")</f>
        <v>https://payment.likeminds.community/?plan_id</v>
      </c>
      <c r="I100" s="5" t="str">
        <f>IFERROR(__xludf.DUMMYFUNCTION("""COMPUTED_VALUE"""),"4b66d6aa-9b72-4d92-a755-c31d31ecd9bd")</f>
        <v>4b66d6aa-9b72-4d92-a755-c31d31ecd9bd</v>
      </c>
      <c r="J100" s="4" t="s">
        <v>12603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28" t="s">
        <v>12794</v>
      </c>
      <c r="B101" s="31">
        <v>50119.0</v>
      </c>
      <c r="C101" s="31" t="b">
        <v>1</v>
      </c>
      <c r="D101" s="29">
        <v>1499.0</v>
      </c>
      <c r="E101" s="29">
        <v>799.0</v>
      </c>
      <c r="F101" s="28" t="s">
        <v>12797</v>
      </c>
      <c r="G101" s="28" t="s">
        <v>12798</v>
      </c>
      <c r="H101" s="32" t="str">
        <f>IFERROR(__xludf.DUMMYFUNCTION("SPLIT(G101,""="")"),"https://payment.likeminds.community/?plan_id")</f>
        <v>https://payment.likeminds.community/?plan_id</v>
      </c>
      <c r="I101" s="5" t="str">
        <f>IFERROR(__xludf.DUMMYFUNCTION("""COMPUTED_VALUE"""),"85658453-82b9-4d51-b60e-487292ee7865")</f>
        <v>85658453-82b9-4d51-b60e-487292ee7865</v>
      </c>
      <c r="J101" s="4" t="s">
        <v>12603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28" t="s">
        <v>12794</v>
      </c>
      <c r="B102" s="31">
        <v>50119.0</v>
      </c>
      <c r="C102" s="31" t="b">
        <v>1</v>
      </c>
      <c r="D102" s="29">
        <v>2999.0</v>
      </c>
      <c r="E102" s="29">
        <v>1499.0</v>
      </c>
      <c r="F102" s="28" t="s">
        <v>12799</v>
      </c>
      <c r="G102" s="28" t="s">
        <v>12800</v>
      </c>
      <c r="H102" s="32" t="str">
        <f>IFERROR(__xludf.DUMMYFUNCTION("SPLIT(G102,""="")"),"https://payment.likeminds.community/?plan_id")</f>
        <v>https://payment.likeminds.community/?plan_id</v>
      </c>
      <c r="I102" s="5" t="str">
        <f>IFERROR(__xludf.DUMMYFUNCTION("""COMPUTED_VALUE"""),"cc3cf413-c2c7-435c-8622-932f187ec9fd")</f>
        <v>cc3cf413-c2c7-435c-8622-932f187ec9fd</v>
      </c>
      <c r="J102" s="4" t="s">
        <v>12603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28" t="s">
        <v>12801</v>
      </c>
      <c r="B103" s="31">
        <v>50094.0</v>
      </c>
      <c r="C103" s="31" t="b">
        <v>1</v>
      </c>
      <c r="D103" s="29">
        <v>399.0</v>
      </c>
      <c r="E103" s="29">
        <v>199.0</v>
      </c>
      <c r="F103" s="28" t="s">
        <v>12802</v>
      </c>
      <c r="G103" s="28" t="s">
        <v>12803</v>
      </c>
      <c r="H103" s="32" t="str">
        <f>IFERROR(__xludf.DUMMYFUNCTION("SPLIT(G103,""="")"),"https://payment.likeminds.community/?plan_id")</f>
        <v>https://payment.likeminds.community/?plan_id</v>
      </c>
      <c r="I103" s="5" t="str">
        <f>IFERROR(__xludf.DUMMYFUNCTION("""COMPUTED_VALUE"""),"c257a754-7978-4b2b-901b-88fc1ce5bf24")</f>
        <v>c257a754-7978-4b2b-901b-88fc1ce5bf24</v>
      </c>
      <c r="J103" s="4" t="s">
        <v>12603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28" t="s">
        <v>12801</v>
      </c>
      <c r="B104" s="31">
        <v>50094.0</v>
      </c>
      <c r="C104" s="31" t="b">
        <v>1</v>
      </c>
      <c r="D104" s="29">
        <v>499.0</v>
      </c>
      <c r="E104" s="29">
        <v>399.0</v>
      </c>
      <c r="F104" s="28" t="s">
        <v>12804</v>
      </c>
      <c r="G104" s="28" t="s">
        <v>12805</v>
      </c>
      <c r="H104" s="32" t="str">
        <f>IFERROR(__xludf.DUMMYFUNCTION("SPLIT(G104,""="")"),"https://payment.likeminds.community/?plan_id")</f>
        <v>https://payment.likeminds.community/?plan_id</v>
      </c>
      <c r="I104" s="5" t="str">
        <f>IFERROR(__xludf.DUMMYFUNCTION("""COMPUTED_VALUE"""),"dad934e6-7bd3-423d-9864-b581a5ced4df")</f>
        <v>dad934e6-7bd3-423d-9864-b581a5ced4df</v>
      </c>
      <c r="J104" s="4" t="s">
        <v>12603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28" t="s">
        <v>12801</v>
      </c>
      <c r="B105" s="31">
        <v>50094.0</v>
      </c>
      <c r="C105" s="31" t="b">
        <v>1</v>
      </c>
      <c r="D105" s="29">
        <v>799.0</v>
      </c>
      <c r="E105" s="29">
        <v>599.0</v>
      </c>
      <c r="F105" s="28" t="s">
        <v>12806</v>
      </c>
      <c r="G105" s="28" t="s">
        <v>12807</v>
      </c>
      <c r="H105" s="32" t="str">
        <f>IFERROR(__xludf.DUMMYFUNCTION("SPLIT(G105,""="")"),"https://payment.likeminds.community/?plan_id")</f>
        <v>https://payment.likeminds.community/?plan_id</v>
      </c>
      <c r="I105" s="5" t="str">
        <f>IFERROR(__xludf.DUMMYFUNCTION("""COMPUTED_VALUE"""),"449d8b08-eafe-4806-99cd-404a5e5952b9")</f>
        <v>449d8b08-eafe-4806-99cd-404a5e5952b9</v>
      </c>
      <c r="J105" s="4" t="s">
        <v>12603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28" t="s">
        <v>12808</v>
      </c>
      <c r="B106" s="31">
        <v>50157.0</v>
      </c>
      <c r="C106" s="31" t="b">
        <v>1</v>
      </c>
      <c r="D106" s="29">
        <v>299.0</v>
      </c>
      <c r="E106" s="29">
        <v>99.0</v>
      </c>
      <c r="F106" s="28" t="s">
        <v>12809</v>
      </c>
      <c r="G106" s="28" t="s">
        <v>12810</v>
      </c>
      <c r="H106" s="32" t="str">
        <f>IFERROR(__xludf.DUMMYFUNCTION("SPLIT(G106,""="")"),"https://payment.likeminds.community/?plan_id")</f>
        <v>https://payment.likeminds.community/?plan_id</v>
      </c>
      <c r="I106" s="5" t="str">
        <f>IFERROR(__xludf.DUMMYFUNCTION("""COMPUTED_VALUE"""),"ff5e4401-cf9a-44e0-8cd2-805daccb432d")</f>
        <v>ff5e4401-cf9a-44e0-8cd2-805daccb432d</v>
      </c>
      <c r="J106" s="4" t="s">
        <v>12603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28" t="s">
        <v>12808</v>
      </c>
      <c r="B107" s="31">
        <v>50157.0</v>
      </c>
      <c r="C107" s="31" t="b">
        <v>1</v>
      </c>
      <c r="D107" s="29">
        <v>599.0</v>
      </c>
      <c r="E107" s="29">
        <v>299.0</v>
      </c>
      <c r="F107" s="28" t="s">
        <v>12811</v>
      </c>
      <c r="G107" s="28" t="s">
        <v>12812</v>
      </c>
      <c r="H107" s="32" t="str">
        <f>IFERROR(__xludf.DUMMYFUNCTION("SPLIT(G107,""="")"),"https://payment.likeminds.community/?plan_id")</f>
        <v>https://payment.likeminds.community/?plan_id</v>
      </c>
      <c r="I107" s="5" t="str">
        <f>IFERROR(__xludf.DUMMYFUNCTION("""COMPUTED_VALUE"""),"5389d6c1-338f-423e-bf61-edcfb2cb8862")</f>
        <v>5389d6c1-338f-423e-bf61-edcfb2cb8862</v>
      </c>
      <c r="J107" s="4" t="s">
        <v>12603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28" t="s">
        <v>12808</v>
      </c>
      <c r="B108" s="31">
        <v>50157.0</v>
      </c>
      <c r="C108" s="31" t="b">
        <v>1</v>
      </c>
      <c r="D108" s="29">
        <v>999.0</v>
      </c>
      <c r="E108" s="29">
        <v>499.0</v>
      </c>
      <c r="F108" s="28" t="s">
        <v>12811</v>
      </c>
      <c r="G108" s="28" t="s">
        <v>12813</v>
      </c>
      <c r="H108" s="32" t="str">
        <f>IFERROR(__xludf.DUMMYFUNCTION("SPLIT(G108,""="")"),"https://payment.likeminds.community/?plan_id")</f>
        <v>https://payment.likeminds.community/?plan_id</v>
      </c>
      <c r="I108" s="5" t="str">
        <f>IFERROR(__xludf.DUMMYFUNCTION("""COMPUTED_VALUE"""),"c6d03add-cc24-4acb-ac59-564f954cc959")</f>
        <v>c6d03add-cc24-4acb-ac59-564f954cc959</v>
      </c>
      <c r="J108" s="4" t="s">
        <v>12603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28" t="s">
        <v>12814</v>
      </c>
      <c r="B109" s="31">
        <v>50170.0</v>
      </c>
      <c r="C109" s="31" t="b">
        <v>1</v>
      </c>
      <c r="D109" s="29">
        <v>299.0</v>
      </c>
      <c r="E109" s="29">
        <v>99.0</v>
      </c>
      <c r="F109" s="28" t="s">
        <v>12815</v>
      </c>
      <c r="G109" s="28" t="s">
        <v>12816</v>
      </c>
      <c r="H109" s="32" t="str">
        <f>IFERROR(__xludf.DUMMYFUNCTION("SPLIT(G109,""="")"),"https://payment.likeminds.community/?plan_id")</f>
        <v>https://payment.likeminds.community/?plan_id</v>
      </c>
      <c r="I109" s="5" t="str">
        <f>IFERROR(__xludf.DUMMYFUNCTION("""COMPUTED_VALUE"""),"24547447-af18-4fef-bfc5-ffe3d315ac71")</f>
        <v>24547447-af18-4fef-bfc5-ffe3d315ac71</v>
      </c>
      <c r="J109" s="4" t="s">
        <v>12603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28" t="s">
        <v>12817</v>
      </c>
      <c r="B110" s="31">
        <v>50155.0</v>
      </c>
      <c r="C110" s="31" t="b">
        <v>1</v>
      </c>
      <c r="D110" s="29">
        <v>299.0</v>
      </c>
      <c r="E110" s="29">
        <v>99.0</v>
      </c>
      <c r="F110" s="28" t="s">
        <v>12818</v>
      </c>
      <c r="G110" s="28" t="s">
        <v>12819</v>
      </c>
      <c r="H110" s="32" t="str">
        <f>IFERROR(__xludf.DUMMYFUNCTION("SPLIT(G110,""="")"),"https://payment.likeminds.community/?plan_id")</f>
        <v>https://payment.likeminds.community/?plan_id</v>
      </c>
      <c r="I110" s="5" t="str">
        <f>IFERROR(__xludf.DUMMYFUNCTION("""COMPUTED_VALUE"""),"c869ae39-d21d-4d2b-bc16-e09a1ef45cd3")</f>
        <v>c869ae39-d21d-4d2b-bc16-e09a1ef45cd3</v>
      </c>
      <c r="J110" s="4" t="s">
        <v>12603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28" t="s">
        <v>12817</v>
      </c>
      <c r="B111" s="31">
        <v>50155.0</v>
      </c>
      <c r="C111" s="31" t="b">
        <v>1</v>
      </c>
      <c r="D111" s="29">
        <v>499.0</v>
      </c>
      <c r="E111" s="29">
        <v>199.0</v>
      </c>
      <c r="F111" s="28" t="s">
        <v>12820</v>
      </c>
      <c r="G111" s="28" t="s">
        <v>12819</v>
      </c>
      <c r="H111" s="32" t="str">
        <f>IFERROR(__xludf.DUMMYFUNCTION("SPLIT(G111,""="")"),"https://payment.likeminds.community/?plan_id")</f>
        <v>https://payment.likeminds.community/?plan_id</v>
      </c>
      <c r="I111" s="5" t="str">
        <f>IFERROR(__xludf.DUMMYFUNCTION("""COMPUTED_VALUE"""),"c869ae39-d21d-4d2b-bc16-e09a1ef45cd3")</f>
        <v>c869ae39-d21d-4d2b-bc16-e09a1ef45cd3</v>
      </c>
      <c r="J111" s="4" t="s">
        <v>12603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28" t="s">
        <v>12817</v>
      </c>
      <c r="B112" s="31">
        <v>50155.0</v>
      </c>
      <c r="C112" s="31" t="b">
        <v>1</v>
      </c>
      <c r="D112" s="29">
        <v>799.0</v>
      </c>
      <c r="E112" s="29">
        <v>349.0</v>
      </c>
      <c r="F112" s="28" t="s">
        <v>12818</v>
      </c>
      <c r="G112" s="28" t="s">
        <v>12821</v>
      </c>
      <c r="H112" s="32" t="str">
        <f>IFERROR(__xludf.DUMMYFUNCTION("SPLIT(G112,""="")"),"https://payment.likeminds.community/?plan_id")</f>
        <v>https://payment.likeminds.community/?plan_id</v>
      </c>
      <c r="I112" s="5" t="str">
        <f>IFERROR(__xludf.DUMMYFUNCTION("""COMPUTED_VALUE"""),"bc10a84a-c9b1-48c1-b394-8b352c212e42")</f>
        <v>bc10a84a-c9b1-48c1-b394-8b352c212e42</v>
      </c>
      <c r="J112" s="4" t="s">
        <v>12603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28" t="s">
        <v>12822</v>
      </c>
      <c r="B113" s="31">
        <v>50068.0</v>
      </c>
      <c r="C113" s="31" t="b">
        <v>1</v>
      </c>
      <c r="D113" s="29">
        <v>1499.0</v>
      </c>
      <c r="E113" s="29">
        <v>499.0</v>
      </c>
      <c r="F113" s="28" t="s">
        <v>12823</v>
      </c>
      <c r="G113" s="28" t="s">
        <v>12824</v>
      </c>
      <c r="H113" s="32" t="str">
        <f>IFERROR(__xludf.DUMMYFUNCTION("SPLIT(G113,""="")"),"https://payment.likeminds.community/?plan_id")</f>
        <v>https://payment.likeminds.community/?plan_id</v>
      </c>
      <c r="I113" s="5" t="str">
        <f>IFERROR(__xludf.DUMMYFUNCTION("""COMPUTED_VALUE"""),"8144ff29-0454-49c7-8a30-652bba8651e8")</f>
        <v>8144ff29-0454-49c7-8a30-652bba8651e8</v>
      </c>
      <c r="J113" s="4" t="s">
        <v>12603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28" t="s">
        <v>12822</v>
      </c>
      <c r="B114" s="31">
        <v>50068.0</v>
      </c>
      <c r="C114" s="31" t="b">
        <v>1</v>
      </c>
      <c r="D114" s="29">
        <v>3499.0</v>
      </c>
      <c r="E114" s="29">
        <v>999.0</v>
      </c>
      <c r="F114" s="28" t="s">
        <v>12823</v>
      </c>
      <c r="G114" s="28" t="s">
        <v>12825</v>
      </c>
      <c r="H114" s="32" t="str">
        <f>IFERROR(__xludf.DUMMYFUNCTION("SPLIT(G114,""="")"),"https://payment.likeminds.community/?plan_id")</f>
        <v>https://payment.likeminds.community/?plan_id</v>
      </c>
      <c r="I114" s="5" t="str">
        <f>IFERROR(__xludf.DUMMYFUNCTION("""COMPUTED_VALUE"""),"8f125f11-a697-43ff-b456-0dc2b5ae7ee0")</f>
        <v>8f125f11-a697-43ff-b456-0dc2b5ae7ee0</v>
      </c>
      <c r="J114" s="4" t="s">
        <v>12603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28" t="s">
        <v>12822</v>
      </c>
      <c r="B115" s="31">
        <v>50068.0</v>
      </c>
      <c r="C115" s="31" t="b">
        <v>1</v>
      </c>
      <c r="D115" s="29">
        <v>5999.0</v>
      </c>
      <c r="E115" s="29">
        <v>1999.0</v>
      </c>
      <c r="F115" s="28" t="s">
        <v>12826</v>
      </c>
      <c r="G115" s="28" t="s">
        <v>12827</v>
      </c>
      <c r="H115" s="32" t="str">
        <f>IFERROR(__xludf.DUMMYFUNCTION("SPLIT(G115,""="")"),"https://payment.likeminds.community/?plan_id")</f>
        <v>https://payment.likeminds.community/?plan_id</v>
      </c>
      <c r="I115" s="5" t="str">
        <f>IFERROR(__xludf.DUMMYFUNCTION("""COMPUTED_VALUE"""),"020053f3-f9d8-4266-8f07-39e44f3b6b9b")</f>
        <v>020053f3-f9d8-4266-8f07-39e44f3b6b9b</v>
      </c>
      <c r="J115" s="4" t="s">
        <v>12603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28" t="s">
        <v>12828</v>
      </c>
      <c r="B116" s="31">
        <v>50078.0</v>
      </c>
      <c r="C116" s="31" t="b">
        <v>1</v>
      </c>
      <c r="D116" s="29">
        <v>600.0</v>
      </c>
      <c r="E116" s="29">
        <v>300.0</v>
      </c>
      <c r="F116" s="28" t="s">
        <v>12829</v>
      </c>
      <c r="G116" s="28" t="s">
        <v>12830</v>
      </c>
      <c r="H116" s="32" t="str">
        <f>IFERROR(__xludf.DUMMYFUNCTION("SPLIT(G116,""="")"),"https://payment.likeminds.community/?plan_id")</f>
        <v>https://payment.likeminds.community/?plan_id</v>
      </c>
      <c r="I116" s="5" t="str">
        <f>IFERROR(__xludf.DUMMYFUNCTION("""COMPUTED_VALUE"""),"a99e60d3-693e-4f34-815f-d1e390cd906f")</f>
        <v>a99e60d3-693e-4f34-815f-d1e390cd906f</v>
      </c>
      <c r="J116" s="4" t="s">
        <v>12603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28" t="s">
        <v>12828</v>
      </c>
      <c r="B117" s="31">
        <v>50078.0</v>
      </c>
      <c r="C117" s="31" t="b">
        <v>1</v>
      </c>
      <c r="D117" s="29">
        <v>1200.0</v>
      </c>
      <c r="E117" s="29">
        <v>600.0</v>
      </c>
      <c r="F117" s="28" t="s">
        <v>12831</v>
      </c>
      <c r="G117" s="28" t="s">
        <v>12832</v>
      </c>
      <c r="H117" s="32" t="str">
        <f>IFERROR(__xludf.DUMMYFUNCTION("SPLIT(G117,""="")"),"https://payment.likeminds.community/?plan_id")</f>
        <v>https://payment.likeminds.community/?plan_id</v>
      </c>
      <c r="I117" s="5" t="str">
        <f>IFERROR(__xludf.DUMMYFUNCTION("""COMPUTED_VALUE"""),"9e14f7ce-1b4d-48cd-9d53-0b16a028b60f")</f>
        <v>9e14f7ce-1b4d-48cd-9d53-0b16a028b60f</v>
      </c>
      <c r="J117" s="4" t="s">
        <v>12603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28" t="s">
        <v>12828</v>
      </c>
      <c r="B118" s="31">
        <v>50078.0</v>
      </c>
      <c r="C118" s="31" t="b">
        <v>1</v>
      </c>
      <c r="D118" s="29">
        <v>2400.0</v>
      </c>
      <c r="E118" s="29">
        <v>1000.0</v>
      </c>
      <c r="F118" s="28" t="s">
        <v>12833</v>
      </c>
      <c r="G118" s="28" t="s">
        <v>12834</v>
      </c>
      <c r="H118" s="32" t="str">
        <f>IFERROR(__xludf.DUMMYFUNCTION("SPLIT(G118,""="")"),"https://payment.likeminds.community/?plan_id")</f>
        <v>https://payment.likeminds.community/?plan_id</v>
      </c>
      <c r="I118" s="5" t="str">
        <f>IFERROR(__xludf.DUMMYFUNCTION("""COMPUTED_VALUE"""),"df9dccca-759f-4e4f-b9ab-87bacd736027")</f>
        <v>df9dccca-759f-4e4f-b9ab-87bacd736027</v>
      </c>
      <c r="J118" s="4" t="s">
        <v>12603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28" t="s">
        <v>12835</v>
      </c>
      <c r="B119" s="31">
        <v>50110.0</v>
      </c>
      <c r="C119" s="31" t="b">
        <v>1</v>
      </c>
      <c r="D119" s="29">
        <v>349.0</v>
      </c>
      <c r="E119" s="29">
        <v>149.0</v>
      </c>
      <c r="F119" s="28" t="s">
        <v>12836</v>
      </c>
      <c r="G119" s="28" t="s">
        <v>12700</v>
      </c>
      <c r="H119" s="32" t="str">
        <f>IFERROR(__xludf.DUMMYFUNCTION("SPLIT(G119,""="")"),"https://payment.likeminds.community/?plan_id")</f>
        <v>https://payment.likeminds.community/?plan_id</v>
      </c>
      <c r="I119" s="5" t="str">
        <f>IFERROR(__xludf.DUMMYFUNCTION("""COMPUTED_VALUE"""),"aa03b87f-173a-42bd-a1d6-2bf3b353dfa6")</f>
        <v>aa03b87f-173a-42bd-a1d6-2bf3b353dfa6</v>
      </c>
      <c r="J119" s="4" t="s">
        <v>12603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28" t="s">
        <v>12837</v>
      </c>
      <c r="B120" s="31">
        <v>50147.0</v>
      </c>
      <c r="C120" s="31" t="b">
        <v>1</v>
      </c>
      <c r="D120" s="28">
        <v>299.0</v>
      </c>
      <c r="E120" s="28">
        <v>99.0</v>
      </c>
      <c r="F120" s="28" t="s">
        <v>12838</v>
      </c>
      <c r="G120" s="28" t="s">
        <v>12839</v>
      </c>
      <c r="H120" s="32" t="str">
        <f>IFERROR(__xludf.DUMMYFUNCTION("SPLIT(G120,""="")"),"https://payment.likeminds.community/?plan_id")</f>
        <v>https://payment.likeminds.community/?plan_id</v>
      </c>
      <c r="I120" s="5" t="str">
        <f>IFERROR(__xludf.DUMMYFUNCTION("""COMPUTED_VALUE"""),"13cda258-52e4-4ee0-a7ac-dad8e61db3fd")</f>
        <v>13cda258-52e4-4ee0-a7ac-dad8e61db3fd</v>
      </c>
      <c r="J120" s="4" t="s">
        <v>12603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28" t="s">
        <v>12837</v>
      </c>
      <c r="B121" s="31">
        <v>50147.0</v>
      </c>
      <c r="C121" s="31" t="b">
        <v>1</v>
      </c>
      <c r="D121" s="28">
        <v>499.0</v>
      </c>
      <c r="E121" s="28">
        <v>199.0</v>
      </c>
      <c r="F121" s="28" t="s">
        <v>12840</v>
      </c>
      <c r="G121" s="28" t="s">
        <v>12841</v>
      </c>
      <c r="H121" s="32" t="str">
        <f>IFERROR(__xludf.DUMMYFUNCTION("SPLIT(G121,""="")"),"https://payment.likeminds.community/?plan_id")</f>
        <v>https://payment.likeminds.community/?plan_id</v>
      </c>
      <c r="I121" s="5" t="str">
        <f>IFERROR(__xludf.DUMMYFUNCTION("""COMPUTED_VALUE"""),"40a13a3f-9f5e-4a0d-970a-0c0c202bde94")</f>
        <v>40a13a3f-9f5e-4a0d-970a-0c0c202bde94</v>
      </c>
      <c r="J121" s="4" t="s">
        <v>12603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28" t="s">
        <v>12837</v>
      </c>
      <c r="B122" s="31">
        <v>50147.0</v>
      </c>
      <c r="C122" s="31" t="b">
        <v>1</v>
      </c>
      <c r="D122" s="28">
        <v>799.0</v>
      </c>
      <c r="E122" s="28">
        <v>349.0</v>
      </c>
      <c r="F122" s="28" t="s">
        <v>12840</v>
      </c>
      <c r="G122" s="28" t="s">
        <v>12842</v>
      </c>
      <c r="H122" s="32" t="str">
        <f>IFERROR(__xludf.DUMMYFUNCTION("SPLIT(G122,""="")"),"https://payment.likeminds.community/?plan_id")</f>
        <v>https://payment.likeminds.community/?plan_id</v>
      </c>
      <c r="I122" s="5" t="str">
        <f>IFERROR(__xludf.DUMMYFUNCTION("""COMPUTED_VALUE"""),"6af6d748-7c52-4836-b141-b0a0150c34d9")</f>
        <v>6af6d748-7c52-4836-b141-b0a0150c34d9</v>
      </c>
      <c r="J122" s="4" t="s">
        <v>12603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28" t="s">
        <v>5110</v>
      </c>
      <c r="B123" s="31">
        <v>50051.0</v>
      </c>
      <c r="C123" s="31" t="b">
        <v>1</v>
      </c>
      <c r="D123" s="29">
        <v>399.0</v>
      </c>
      <c r="E123" s="29">
        <v>199.0</v>
      </c>
      <c r="F123" s="28" t="s">
        <v>12843</v>
      </c>
      <c r="G123" s="28" t="s">
        <v>12844</v>
      </c>
      <c r="H123" s="32" t="str">
        <f>IFERROR(__xludf.DUMMYFUNCTION("SPLIT(G123,""="")"),"https://payment.likeminds.community/?plan_id")</f>
        <v>https://payment.likeminds.community/?plan_id</v>
      </c>
      <c r="I123" s="5" t="str">
        <f>IFERROR(__xludf.DUMMYFUNCTION("""COMPUTED_VALUE"""),"8ee6bf17-48e1-4dd5-9fd9-ed662057ee62")</f>
        <v>8ee6bf17-48e1-4dd5-9fd9-ed662057ee62</v>
      </c>
      <c r="J123" s="4" t="s">
        <v>12603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28" t="s">
        <v>5110</v>
      </c>
      <c r="B124" s="31">
        <v>50051.0</v>
      </c>
      <c r="C124" s="31" t="b">
        <v>1</v>
      </c>
      <c r="D124" s="29">
        <v>799.0</v>
      </c>
      <c r="E124" s="29">
        <v>499.0</v>
      </c>
      <c r="F124" s="28" t="s">
        <v>12845</v>
      </c>
      <c r="G124" s="28" t="s">
        <v>12846</v>
      </c>
      <c r="H124" s="32" t="str">
        <f>IFERROR(__xludf.DUMMYFUNCTION("SPLIT(G124,""="")"),"https://payment.likeminds.community/?plan_id")</f>
        <v>https://payment.likeminds.community/?plan_id</v>
      </c>
      <c r="I124" s="5" t="str">
        <f>IFERROR(__xludf.DUMMYFUNCTION("""COMPUTED_VALUE"""),"d7618c25-72bc-4f69-9b8f-59bc3e273fa5")</f>
        <v>d7618c25-72bc-4f69-9b8f-59bc3e273fa5</v>
      </c>
      <c r="J124" s="4" t="s">
        <v>12603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28" t="s">
        <v>5110</v>
      </c>
      <c r="B125" s="31">
        <v>50051.0</v>
      </c>
      <c r="C125" s="31" t="b">
        <v>1</v>
      </c>
      <c r="D125" s="29">
        <v>1299.0</v>
      </c>
      <c r="E125" s="29">
        <v>999.0</v>
      </c>
      <c r="F125" s="28" t="s">
        <v>12845</v>
      </c>
      <c r="G125" s="28" t="s">
        <v>12847</v>
      </c>
      <c r="H125" s="32" t="str">
        <f>IFERROR(__xludf.DUMMYFUNCTION("SPLIT(G125,""="")"),"https://payment.likeminds.community/?plan_id")</f>
        <v>https://payment.likeminds.community/?plan_id</v>
      </c>
      <c r="I125" s="5" t="str">
        <f>IFERROR(__xludf.DUMMYFUNCTION("""COMPUTED_VALUE"""),"14624d71-8eba-497b-ab86-2b32f0878e2f")</f>
        <v>14624d71-8eba-497b-ab86-2b32f0878e2f</v>
      </c>
      <c r="J125" s="4" t="s">
        <v>12603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28" t="s">
        <v>12848</v>
      </c>
      <c r="B126" s="31">
        <v>50025.0</v>
      </c>
      <c r="C126" s="31" t="b">
        <v>1</v>
      </c>
      <c r="D126" s="28">
        <v>299.0</v>
      </c>
      <c r="E126" s="28">
        <v>99.0</v>
      </c>
      <c r="F126" s="28" t="s">
        <v>12640</v>
      </c>
      <c r="G126" s="28" t="s">
        <v>12849</v>
      </c>
      <c r="H126" s="32" t="str">
        <f>IFERROR(__xludf.DUMMYFUNCTION("SPLIT(G126,""="")"),"https://payment.likeminds.community/?plan_id")</f>
        <v>https://payment.likeminds.community/?plan_id</v>
      </c>
      <c r="I126" s="5" t="str">
        <f>IFERROR(__xludf.DUMMYFUNCTION("""COMPUTED_VALUE"""),"eb019f56-c3b3-4fe0-8391-ae722851e79d")</f>
        <v>eb019f56-c3b3-4fe0-8391-ae722851e79d</v>
      </c>
      <c r="J126" s="4" t="s">
        <v>12603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28" t="s">
        <v>12848</v>
      </c>
      <c r="B127" s="31">
        <v>50025.0</v>
      </c>
      <c r="C127" s="31" t="b">
        <v>1</v>
      </c>
      <c r="D127" s="28">
        <v>499.0</v>
      </c>
      <c r="E127" s="28">
        <v>199.0</v>
      </c>
      <c r="F127" s="28" t="s">
        <v>12640</v>
      </c>
      <c r="G127" s="28" t="s">
        <v>12850</v>
      </c>
      <c r="H127" s="32" t="str">
        <f>IFERROR(__xludf.DUMMYFUNCTION("SPLIT(G127,""="")"),"https://payment.likeminds.community/?plan_id")</f>
        <v>https://payment.likeminds.community/?plan_id</v>
      </c>
      <c r="I127" s="5" t="str">
        <f>IFERROR(__xludf.DUMMYFUNCTION("""COMPUTED_VALUE"""),"b2a6521a-0cad-4394-8cb1-5081e4070024")</f>
        <v>b2a6521a-0cad-4394-8cb1-5081e4070024</v>
      </c>
      <c r="J127" s="4" t="s">
        <v>12603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28" t="s">
        <v>12848</v>
      </c>
      <c r="B128" s="31">
        <v>50025.0</v>
      </c>
      <c r="C128" s="31" t="b">
        <v>1</v>
      </c>
      <c r="D128" s="28">
        <v>799.0</v>
      </c>
      <c r="E128" s="28">
        <v>349.0</v>
      </c>
      <c r="F128" s="28" t="s">
        <v>12640</v>
      </c>
      <c r="G128" s="28" t="s">
        <v>12851</v>
      </c>
      <c r="H128" s="32" t="str">
        <f>IFERROR(__xludf.DUMMYFUNCTION("SPLIT(G128,""="")"),"https://payment.likeminds.community/?plan_id")</f>
        <v>https://payment.likeminds.community/?plan_id</v>
      </c>
      <c r="I128" s="5" t="str">
        <f>IFERROR(__xludf.DUMMYFUNCTION("""COMPUTED_VALUE"""),"36bb89b4-45b3-439c-9c41-bdf56ad17660")</f>
        <v>36bb89b4-45b3-439c-9c41-bdf56ad17660</v>
      </c>
      <c r="J128" s="4" t="s">
        <v>12603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28" t="s">
        <v>12852</v>
      </c>
      <c r="B129" s="31">
        <v>50022.0</v>
      </c>
      <c r="C129" s="31" t="b">
        <v>1</v>
      </c>
      <c r="D129" s="29">
        <v>299.0</v>
      </c>
      <c r="E129" s="29">
        <v>99.0</v>
      </c>
      <c r="F129" s="28" t="s">
        <v>12853</v>
      </c>
      <c r="G129" s="28" t="s">
        <v>12854</v>
      </c>
      <c r="H129" s="32" t="str">
        <f>IFERROR(__xludf.DUMMYFUNCTION("SPLIT(G129,""="")"),"https://payment.likeminds.community/?plan_id")</f>
        <v>https://payment.likeminds.community/?plan_id</v>
      </c>
      <c r="I129" s="5" t="str">
        <f>IFERROR(__xludf.DUMMYFUNCTION("""COMPUTED_VALUE"""),"46f9f6bc-81a5-495a-ac34-d2912e42dce2")</f>
        <v>46f9f6bc-81a5-495a-ac34-d2912e42dce2</v>
      </c>
      <c r="J129" s="4" t="s">
        <v>12603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28" t="s">
        <v>12852</v>
      </c>
      <c r="B130" s="31">
        <v>50022.0</v>
      </c>
      <c r="C130" s="31" t="b">
        <v>1</v>
      </c>
      <c r="D130" s="29">
        <v>499.0</v>
      </c>
      <c r="E130" s="29">
        <v>199.0</v>
      </c>
      <c r="F130" s="28" t="s">
        <v>12853</v>
      </c>
      <c r="G130" s="28" t="s">
        <v>12855</v>
      </c>
      <c r="H130" s="32" t="str">
        <f>IFERROR(__xludf.DUMMYFUNCTION("SPLIT(G130,""="")"),"https://payment.likeminds.community/?plan_id")</f>
        <v>https://payment.likeminds.community/?plan_id</v>
      </c>
      <c r="I130" s="5" t="str">
        <f>IFERROR(__xludf.DUMMYFUNCTION("""COMPUTED_VALUE"""),"9777e107-b635-4a3f-a681-edc05f16326d")</f>
        <v>9777e107-b635-4a3f-a681-edc05f16326d</v>
      </c>
      <c r="J130" s="4" t="s">
        <v>12603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28" t="s">
        <v>12852</v>
      </c>
      <c r="B131" s="31">
        <v>50022.0</v>
      </c>
      <c r="C131" s="31" t="b">
        <v>1</v>
      </c>
      <c r="D131" s="29">
        <v>799.0</v>
      </c>
      <c r="E131" s="29">
        <v>349.0</v>
      </c>
      <c r="F131" s="28" t="s">
        <v>12853</v>
      </c>
      <c r="G131" s="28" t="s">
        <v>12856</v>
      </c>
      <c r="H131" s="32" t="str">
        <f>IFERROR(__xludf.DUMMYFUNCTION("SPLIT(G131,""="")"),"https://payment.likeminds.community/?plan_id")</f>
        <v>https://payment.likeminds.community/?plan_id</v>
      </c>
      <c r="I131" s="5" t="str">
        <f>IFERROR(__xludf.DUMMYFUNCTION("""COMPUTED_VALUE"""),"298d41f2-a80b-4e39-9c95-e1187057f8b4")</f>
        <v>298d41f2-a80b-4e39-9c95-e1187057f8b4</v>
      </c>
      <c r="J131" s="4" t="s">
        <v>12603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28" t="s">
        <v>12857</v>
      </c>
      <c r="B132" s="31">
        <v>50055.0</v>
      </c>
      <c r="C132" s="31" t="b">
        <v>1</v>
      </c>
      <c r="D132" s="29">
        <v>799.0</v>
      </c>
      <c r="E132" s="29">
        <v>499.0</v>
      </c>
      <c r="F132" s="28" t="s">
        <v>12858</v>
      </c>
      <c r="G132" s="28" t="s">
        <v>12859</v>
      </c>
      <c r="H132" s="32" t="str">
        <f>IFERROR(__xludf.DUMMYFUNCTION("SPLIT(G132,""="")"),"https://payment.likeminds.community/?plan_id")</f>
        <v>https://payment.likeminds.community/?plan_id</v>
      </c>
      <c r="I132" s="5" t="str">
        <f>IFERROR(__xludf.DUMMYFUNCTION("""COMPUTED_VALUE"""),"1241ac42-0073-48fb-88a6-86526c6d7be8")</f>
        <v>1241ac42-0073-48fb-88a6-86526c6d7be8</v>
      </c>
      <c r="J132" s="4" t="s">
        <v>12603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28" t="s">
        <v>12857</v>
      </c>
      <c r="B133" s="31">
        <v>50055.0</v>
      </c>
      <c r="C133" s="31" t="b">
        <v>1</v>
      </c>
      <c r="D133" s="29">
        <v>2299.0</v>
      </c>
      <c r="E133" s="29">
        <v>1499.0</v>
      </c>
      <c r="F133" s="28" t="s">
        <v>12860</v>
      </c>
      <c r="G133" s="28" t="s">
        <v>12861</v>
      </c>
      <c r="H133" s="32" t="str">
        <f>IFERROR(__xludf.DUMMYFUNCTION("SPLIT(G133,""="")"),"https://payment.likeminds.community/?plan_id")</f>
        <v>https://payment.likeminds.community/?plan_id</v>
      </c>
      <c r="I133" s="5" t="str">
        <f>IFERROR(__xludf.DUMMYFUNCTION("""COMPUTED_VALUE"""),"9b986d47-12a5-4177-b4dc-ab98a9e16be0")</f>
        <v>9b986d47-12a5-4177-b4dc-ab98a9e16be0</v>
      </c>
      <c r="J133" s="4" t="s">
        <v>12603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28" t="s">
        <v>12857</v>
      </c>
      <c r="B134" s="31">
        <v>50055.0</v>
      </c>
      <c r="C134" s="31" t="b">
        <v>1</v>
      </c>
      <c r="D134" s="29">
        <v>4799.0</v>
      </c>
      <c r="E134" s="29">
        <v>2999.0</v>
      </c>
      <c r="F134" s="28" t="s">
        <v>12858</v>
      </c>
      <c r="G134" s="28" t="s">
        <v>12862</v>
      </c>
      <c r="H134" s="32" t="str">
        <f>IFERROR(__xludf.DUMMYFUNCTION("SPLIT(G134,""="")"),"https://payment.likeminds.community/?plan_id")</f>
        <v>https://payment.likeminds.community/?plan_id</v>
      </c>
      <c r="I134" s="5" t="str">
        <f>IFERROR(__xludf.DUMMYFUNCTION("""COMPUTED_VALUE"""),"1394c1b4-1146-432a-98e8-19af0f1b5ae9")</f>
        <v>1394c1b4-1146-432a-98e8-19af0f1b5ae9</v>
      </c>
      <c r="J134" s="4" t="s">
        <v>12603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28" t="s">
        <v>5400</v>
      </c>
      <c r="B135" s="31">
        <v>50040.0</v>
      </c>
      <c r="C135" s="31" t="b">
        <v>1</v>
      </c>
      <c r="D135" s="29">
        <v>299.0</v>
      </c>
      <c r="E135" s="29">
        <v>99.0</v>
      </c>
      <c r="F135" s="28" t="s">
        <v>12863</v>
      </c>
      <c r="G135" s="28" t="s">
        <v>12864</v>
      </c>
      <c r="H135" s="32" t="str">
        <f>IFERROR(__xludf.DUMMYFUNCTION("SPLIT(G135,""="")"),"https://payment.likeminds.community/?plan_id")</f>
        <v>https://payment.likeminds.community/?plan_id</v>
      </c>
      <c r="I135" s="5" t="str">
        <f>IFERROR(__xludf.DUMMYFUNCTION("""COMPUTED_VALUE"""),"plan_H4kFgKtMNzhAUY")</f>
        <v>plan_H4kFgKtMNzhAUY</v>
      </c>
      <c r="J135" s="4" t="s">
        <v>12603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28" t="s">
        <v>5400</v>
      </c>
      <c r="B136" s="31">
        <v>50040.0</v>
      </c>
      <c r="C136" s="31" t="b">
        <v>1</v>
      </c>
      <c r="D136" s="29">
        <v>499.0</v>
      </c>
      <c r="E136" s="29">
        <v>199.0</v>
      </c>
      <c r="F136" s="28" t="s">
        <v>12863</v>
      </c>
      <c r="G136" s="28" t="s">
        <v>12865</v>
      </c>
      <c r="H136" s="32" t="str">
        <f>IFERROR(__xludf.DUMMYFUNCTION("SPLIT(G136,""="")"),"https://payment.likeminds.community/?plan_id")</f>
        <v>https://payment.likeminds.community/?plan_id</v>
      </c>
      <c r="I136" s="5" t="str">
        <f>IFERROR(__xludf.DUMMYFUNCTION("""COMPUTED_VALUE"""),"plan_H4kFgpubJeBybv")</f>
        <v>plan_H4kFgpubJeBybv</v>
      </c>
      <c r="J136" s="4" t="s">
        <v>12603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28" t="s">
        <v>5400</v>
      </c>
      <c r="B137" s="31">
        <v>50040.0</v>
      </c>
      <c r="C137" s="31" t="b">
        <v>1</v>
      </c>
      <c r="D137" s="29">
        <v>799.0</v>
      </c>
      <c r="E137" s="29">
        <v>349.0</v>
      </c>
      <c r="F137" s="28" t="s">
        <v>12863</v>
      </c>
      <c r="G137" s="28" t="s">
        <v>12866</v>
      </c>
      <c r="H137" s="32" t="str">
        <f>IFERROR(__xludf.DUMMYFUNCTION("SPLIT(G137,""="")"),"https://payment.likeminds.community/?plan_id")</f>
        <v>https://payment.likeminds.community/?plan_id</v>
      </c>
      <c r="I137" s="5" t="str">
        <f>IFERROR(__xludf.DUMMYFUNCTION("""COMPUTED_VALUE"""),"plan_H4kFhPfAb7tCMy")</f>
        <v>plan_H4kFhPfAb7tCMy</v>
      </c>
      <c r="J137" s="4" t="s">
        <v>12603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28" t="s">
        <v>5508</v>
      </c>
      <c r="B138" s="31">
        <v>50023.0</v>
      </c>
      <c r="C138" s="31" t="b">
        <v>1</v>
      </c>
      <c r="D138" s="29">
        <v>299.0</v>
      </c>
      <c r="E138" s="29">
        <v>99.0</v>
      </c>
      <c r="F138" s="28" t="s">
        <v>12867</v>
      </c>
      <c r="G138" s="28" t="s">
        <v>12868</v>
      </c>
      <c r="H138" s="32" t="str">
        <f>IFERROR(__xludf.DUMMYFUNCTION("SPLIT(G138,""="")"),"https://payment.likeminds.community/?plan_id")</f>
        <v>https://payment.likeminds.community/?plan_id</v>
      </c>
      <c r="I138" s="5" t="str">
        <f>IFERROR(__xludf.DUMMYFUNCTION("""COMPUTED_VALUE"""),"plan_H4kFlmey2Z6XXs")</f>
        <v>plan_H4kFlmey2Z6XXs</v>
      </c>
      <c r="J138" s="4" t="s">
        <v>12603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28" t="s">
        <v>5508</v>
      </c>
      <c r="B139" s="31">
        <v>50023.0</v>
      </c>
      <c r="C139" s="31" t="b">
        <v>1</v>
      </c>
      <c r="D139" s="29">
        <v>499.0</v>
      </c>
      <c r="E139" s="29">
        <v>199.0</v>
      </c>
      <c r="F139" s="28" t="s">
        <v>12867</v>
      </c>
      <c r="G139" s="28" t="s">
        <v>12869</v>
      </c>
      <c r="H139" s="32" t="str">
        <f>IFERROR(__xludf.DUMMYFUNCTION("SPLIT(G139,""="")"),"https://payment.likeminds.community/?plan_id")</f>
        <v>https://payment.likeminds.community/?plan_id</v>
      </c>
      <c r="I139" s="5" t="str">
        <f>IFERROR(__xludf.DUMMYFUNCTION("""COMPUTED_VALUE"""),"plan_H4kFmJ0ggaL757")</f>
        <v>plan_H4kFmJ0ggaL757</v>
      </c>
      <c r="J139" s="4" t="s">
        <v>12603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28" t="s">
        <v>5508</v>
      </c>
      <c r="B140" s="31">
        <v>50023.0</v>
      </c>
      <c r="C140" s="31" t="b">
        <v>1</v>
      </c>
      <c r="D140" s="29">
        <v>799.0</v>
      </c>
      <c r="E140" s="29">
        <v>349.0</v>
      </c>
      <c r="F140" s="28" t="s">
        <v>12867</v>
      </c>
      <c r="G140" s="28" t="s">
        <v>12870</v>
      </c>
      <c r="H140" s="32" t="str">
        <f>IFERROR(__xludf.DUMMYFUNCTION("SPLIT(G140,""="")"),"https://payment.likeminds.community/?plan_id")</f>
        <v>https://payment.likeminds.community/?plan_id</v>
      </c>
      <c r="I140" s="5" t="str">
        <f>IFERROR(__xludf.DUMMYFUNCTION("""COMPUTED_VALUE"""),"plan_H4kFmwqqMKd2ap")</f>
        <v>plan_H4kFmwqqMKd2ap</v>
      </c>
      <c r="J140" s="4" t="s">
        <v>12603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28" t="s">
        <v>1320</v>
      </c>
      <c r="B141" s="31">
        <v>50036.0</v>
      </c>
      <c r="C141" s="31" t="b">
        <v>1</v>
      </c>
      <c r="D141" s="28">
        <v>499.0</v>
      </c>
      <c r="E141" s="28">
        <v>199.0</v>
      </c>
      <c r="F141" s="28" t="s">
        <v>12871</v>
      </c>
      <c r="G141" s="28" t="s">
        <v>12872</v>
      </c>
      <c r="H141" s="32" t="str">
        <f>IFERROR(__xludf.DUMMYFUNCTION("SPLIT(G141,""="")"),"https://payment.likeminds.community/?plan_id")</f>
        <v>https://payment.likeminds.community/?plan_id</v>
      </c>
      <c r="I141" s="5" t="str">
        <f>IFERROR(__xludf.DUMMYFUNCTION("""COMPUTED_VALUE"""),"3f379b3c-72b2-43a1-a4e4-2483dcb335bb")</f>
        <v>3f379b3c-72b2-43a1-a4e4-2483dcb335bb</v>
      </c>
      <c r="J141" s="4" t="s">
        <v>12603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28" t="s">
        <v>1320</v>
      </c>
      <c r="B142" s="31">
        <v>50036.0</v>
      </c>
      <c r="C142" s="31" t="b">
        <v>1</v>
      </c>
      <c r="D142" s="28">
        <v>999.0</v>
      </c>
      <c r="E142" s="28">
        <v>399.0</v>
      </c>
      <c r="F142" s="28" t="s">
        <v>12873</v>
      </c>
      <c r="G142" s="28" t="s">
        <v>12874</v>
      </c>
      <c r="H142" s="32" t="str">
        <f>IFERROR(__xludf.DUMMYFUNCTION("SPLIT(G142,""="")"),"https://payment.likeminds.community/?plan_id")</f>
        <v>https://payment.likeminds.community/?plan_id</v>
      </c>
      <c r="I142" s="5" t="str">
        <f>IFERROR(__xludf.DUMMYFUNCTION("""COMPUTED_VALUE"""),"0b622d76-eecf-4681-a9bb-7dc8fd50b172")</f>
        <v>0b622d76-eecf-4681-a9bb-7dc8fd50b172</v>
      </c>
      <c r="J142" s="4" t="s">
        <v>12603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28" t="s">
        <v>1320</v>
      </c>
      <c r="B143" s="31">
        <v>50036.0</v>
      </c>
      <c r="C143" s="31" t="b">
        <v>1</v>
      </c>
      <c r="D143" s="28">
        <v>1999.0</v>
      </c>
      <c r="E143" s="28">
        <v>699.0</v>
      </c>
      <c r="F143" s="28" t="s">
        <v>12875</v>
      </c>
      <c r="G143" s="28" t="s">
        <v>12876</v>
      </c>
      <c r="H143" s="32" t="str">
        <f>IFERROR(__xludf.DUMMYFUNCTION("SPLIT(G143,""="")"),"https://payment.likeminds.community/?plan_id")</f>
        <v>https://payment.likeminds.community/?plan_id</v>
      </c>
      <c r="I143" s="5" t="str">
        <f>IFERROR(__xludf.DUMMYFUNCTION("""COMPUTED_VALUE"""),"9a305d1d-5d28-4d3d-854d-f52a4a8a4a2f")</f>
        <v>9a305d1d-5d28-4d3d-854d-f52a4a8a4a2f</v>
      </c>
      <c r="J143" s="4" t="s">
        <v>12603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28" t="s">
        <v>5822</v>
      </c>
      <c r="B144" s="31">
        <v>50054.0</v>
      </c>
      <c r="C144" s="31" t="b">
        <v>1</v>
      </c>
      <c r="D144" s="29">
        <v>349.0</v>
      </c>
      <c r="E144" s="29">
        <v>149.0</v>
      </c>
      <c r="F144" s="28" t="s">
        <v>12877</v>
      </c>
      <c r="G144" s="28" t="s">
        <v>12878</v>
      </c>
      <c r="H144" s="32" t="str">
        <f>IFERROR(__xludf.DUMMYFUNCTION("SPLIT(G144,""="")"),"https://payment.likeminds.community/?plan_id")</f>
        <v>https://payment.likeminds.community/?plan_id</v>
      </c>
      <c r="I144" s="5" t="str">
        <f>IFERROR(__xludf.DUMMYFUNCTION("""COMPUTED_VALUE"""),"18200660-7331-4e34-8875-842ea9918fa8")</f>
        <v>18200660-7331-4e34-8875-842ea9918fa8</v>
      </c>
      <c r="J144" s="4" t="s">
        <v>12603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28" t="s">
        <v>5822</v>
      </c>
      <c r="B145" s="31">
        <v>50054.0</v>
      </c>
      <c r="C145" s="31" t="b">
        <v>1</v>
      </c>
      <c r="D145" s="29">
        <v>599.0</v>
      </c>
      <c r="E145" s="29">
        <v>349.0</v>
      </c>
      <c r="F145" s="28" t="s">
        <v>12879</v>
      </c>
      <c r="G145" s="28" t="s">
        <v>12880</v>
      </c>
      <c r="H145" s="32" t="str">
        <f>IFERROR(__xludf.DUMMYFUNCTION("SPLIT(G145,""="")"),"https://payment.likeminds.community/?plan_id")</f>
        <v>https://payment.likeminds.community/?plan_id</v>
      </c>
      <c r="I145" s="5" t="str">
        <f>IFERROR(__xludf.DUMMYFUNCTION("""COMPUTED_VALUE"""),"0e52c8b4-ef8f-4c2c-b301-2192a5c08640")</f>
        <v>0e52c8b4-ef8f-4c2c-b301-2192a5c08640</v>
      </c>
      <c r="J145" s="4" t="s">
        <v>12603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28" t="s">
        <v>5822</v>
      </c>
      <c r="B146" s="31">
        <v>50054.0</v>
      </c>
      <c r="C146" s="31" t="b">
        <v>1</v>
      </c>
      <c r="D146" s="29">
        <v>849.0</v>
      </c>
      <c r="E146" s="29">
        <v>649.0</v>
      </c>
      <c r="F146" s="28" t="s">
        <v>12881</v>
      </c>
      <c r="G146" s="28" t="s">
        <v>12882</v>
      </c>
      <c r="H146" s="32" t="str">
        <f>IFERROR(__xludf.DUMMYFUNCTION("SPLIT(G146,""="")"),"https://payment.likeminds.community/?plan_id")</f>
        <v>https://payment.likeminds.community/?plan_id</v>
      </c>
      <c r="I146" s="5" t="str">
        <f>IFERROR(__xludf.DUMMYFUNCTION("""COMPUTED_VALUE"""),"fef9e60c-6daa-43a2-8331-16ad241c90cd")</f>
        <v>fef9e60c-6daa-43a2-8331-16ad241c90cd</v>
      </c>
      <c r="J146" s="4" t="s">
        <v>12603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28" t="s">
        <v>5822</v>
      </c>
      <c r="B147" s="31">
        <v>50054.0</v>
      </c>
      <c r="C147" s="31" t="b">
        <v>1</v>
      </c>
      <c r="D147" s="29">
        <v>1299.0</v>
      </c>
      <c r="E147" s="29">
        <v>999.0</v>
      </c>
      <c r="F147" s="28" t="s">
        <v>12883</v>
      </c>
      <c r="G147" s="28" t="s">
        <v>12884</v>
      </c>
      <c r="H147" s="32" t="str">
        <f>IFERROR(__xludf.DUMMYFUNCTION("SPLIT(G147,""="")"),"https://payment.likeminds.community/?plan_id")</f>
        <v>https://payment.likeminds.community/?plan_id</v>
      </c>
      <c r="I147" s="5" t="str">
        <f>IFERROR(__xludf.DUMMYFUNCTION("""COMPUTED_VALUE"""),"3e32aa49-4241-4038-bfec-b5a21b92a283")</f>
        <v>3e32aa49-4241-4038-bfec-b5a21b92a283</v>
      </c>
      <c r="J147" s="4" t="s">
        <v>12603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28" t="s">
        <v>12885</v>
      </c>
      <c r="B148" s="31">
        <v>50027.0</v>
      </c>
      <c r="C148" s="31" t="b">
        <v>1</v>
      </c>
      <c r="D148" s="29">
        <v>299.0</v>
      </c>
      <c r="E148" s="29">
        <v>99.0</v>
      </c>
      <c r="F148" s="28" t="s">
        <v>12886</v>
      </c>
      <c r="G148" s="28" t="s">
        <v>12887</v>
      </c>
      <c r="H148" s="32" t="str">
        <f>IFERROR(__xludf.DUMMYFUNCTION("SPLIT(G148,""="")"),"https://payment.likeminds.community/?plan_id")</f>
        <v>https://payment.likeminds.community/?plan_id</v>
      </c>
      <c r="I148" s="5" t="str">
        <f>IFERROR(__xludf.DUMMYFUNCTION("""COMPUTED_VALUE"""),"0e330c1f-36f3-409e-bfe2-a8fa6e20395e")</f>
        <v>0e330c1f-36f3-409e-bfe2-a8fa6e20395e</v>
      </c>
      <c r="J148" s="4" t="s">
        <v>12603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28" t="s">
        <v>12885</v>
      </c>
      <c r="B149" s="31">
        <v>50027.0</v>
      </c>
      <c r="C149" s="31" t="b">
        <v>1</v>
      </c>
      <c r="D149" s="29">
        <v>499.0</v>
      </c>
      <c r="E149" s="29">
        <v>199.0</v>
      </c>
      <c r="F149" s="28" t="s">
        <v>12886</v>
      </c>
      <c r="G149" s="28" t="s">
        <v>12888</v>
      </c>
      <c r="H149" s="32" t="str">
        <f>IFERROR(__xludf.DUMMYFUNCTION("SPLIT(G149,""="")"),"https://payment.likeminds.community/?plan_id")</f>
        <v>https://payment.likeminds.community/?plan_id</v>
      </c>
      <c r="I149" s="5" t="str">
        <f>IFERROR(__xludf.DUMMYFUNCTION("""COMPUTED_VALUE"""),"94547a34-012a-400b-ba63-f9573b912ff5")</f>
        <v>94547a34-012a-400b-ba63-f9573b912ff5</v>
      </c>
      <c r="J149" s="4" t="s">
        <v>12603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28" t="s">
        <v>12885</v>
      </c>
      <c r="B150" s="31">
        <v>50027.0</v>
      </c>
      <c r="C150" s="31" t="b">
        <v>1</v>
      </c>
      <c r="D150" s="29">
        <v>799.0</v>
      </c>
      <c r="E150" s="29">
        <v>349.0</v>
      </c>
      <c r="F150" s="28" t="s">
        <v>12889</v>
      </c>
      <c r="G150" s="28" t="s">
        <v>12890</v>
      </c>
      <c r="H150" s="32" t="str">
        <f>IFERROR(__xludf.DUMMYFUNCTION("SPLIT(G150,""="")"),"https://payment.likeminds.community/?plan_id")</f>
        <v>https://payment.likeminds.community/?plan_id</v>
      </c>
      <c r="I150" s="5" t="str">
        <f>IFERROR(__xludf.DUMMYFUNCTION("""COMPUTED_VALUE"""),"5c65c293-8e7a-47c4-a3ce-f97e523836ab")</f>
        <v>5c65c293-8e7a-47c4-a3ce-f97e523836ab</v>
      </c>
      <c r="J150" s="4" t="s">
        <v>12603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28" t="s">
        <v>5956</v>
      </c>
      <c r="B151" s="31">
        <v>50041.0</v>
      </c>
      <c r="C151" s="31" t="b">
        <v>1</v>
      </c>
      <c r="D151" s="33"/>
      <c r="E151" s="29">
        <v>399.0</v>
      </c>
      <c r="F151" s="28" t="s">
        <v>12891</v>
      </c>
      <c r="G151" s="28" t="s">
        <v>12892</v>
      </c>
      <c r="H151" s="32" t="str">
        <f>IFERROR(__xludf.DUMMYFUNCTION("SPLIT(G151,""="")"),"https://payment.likeminds.community/?plan_id")</f>
        <v>https://payment.likeminds.community/?plan_id</v>
      </c>
      <c r="I151" s="5" t="str">
        <f>IFERROR(__xludf.DUMMYFUNCTION("""COMPUTED_VALUE"""),"72e01ee1-8eb5-428b-9ccb-4fc26d460078")</f>
        <v>72e01ee1-8eb5-428b-9ccb-4fc26d460078</v>
      </c>
      <c r="J151" s="4" t="s">
        <v>12603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28" t="s">
        <v>5956</v>
      </c>
      <c r="B152" s="31">
        <v>50041.0</v>
      </c>
      <c r="C152" s="31" t="b">
        <v>1</v>
      </c>
      <c r="D152" s="33"/>
      <c r="E152" s="29">
        <v>999.0</v>
      </c>
      <c r="F152" s="28" t="s">
        <v>12893</v>
      </c>
      <c r="G152" s="28" t="s">
        <v>12894</v>
      </c>
      <c r="H152" s="32" t="str">
        <f>IFERROR(__xludf.DUMMYFUNCTION("SPLIT(G152,""="")"),"https://payment.likeminds.community/?plan_id")</f>
        <v>https://payment.likeminds.community/?plan_id</v>
      </c>
      <c r="I152" s="5" t="str">
        <f>IFERROR(__xludf.DUMMYFUNCTION("""COMPUTED_VALUE"""),"106838aa-753d-4c31-98cb-3ed70fb36168")</f>
        <v>106838aa-753d-4c31-98cb-3ed70fb36168</v>
      </c>
      <c r="J152" s="4" t="s">
        <v>12603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28" t="s">
        <v>12895</v>
      </c>
      <c r="B153" s="31">
        <v>50127.0</v>
      </c>
      <c r="C153" s="31" t="b">
        <v>1</v>
      </c>
      <c r="D153" s="29">
        <v>399.0</v>
      </c>
      <c r="E153" s="29">
        <v>199.0</v>
      </c>
      <c r="F153" s="28" t="s">
        <v>12896</v>
      </c>
      <c r="G153" s="28" t="s">
        <v>12897</v>
      </c>
      <c r="H153" s="32" t="str">
        <f>IFERROR(__xludf.DUMMYFUNCTION("SPLIT(G153,""="")"),"https://payment.likeminds.community/?plan_id")</f>
        <v>https://payment.likeminds.community/?plan_id</v>
      </c>
      <c r="I153" s="5" t="str">
        <f>IFERROR(__xludf.DUMMYFUNCTION("""COMPUTED_VALUE"""),"fc42c82f-f008-4f98-be35-1d3a3d90a7f4")</f>
        <v>fc42c82f-f008-4f98-be35-1d3a3d90a7f4</v>
      </c>
      <c r="J153" s="4" t="s">
        <v>12603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28" t="s">
        <v>12895</v>
      </c>
      <c r="B154" s="31">
        <v>50127.0</v>
      </c>
      <c r="C154" s="31" t="b">
        <v>1</v>
      </c>
      <c r="D154" s="29">
        <v>499.0</v>
      </c>
      <c r="E154" s="29">
        <v>299.0</v>
      </c>
      <c r="F154" s="28" t="s">
        <v>12896</v>
      </c>
      <c r="G154" s="28" t="s">
        <v>12898</v>
      </c>
      <c r="H154" s="32" t="str">
        <f>IFERROR(__xludf.DUMMYFUNCTION("SPLIT(G154,""="")"),"https://payment.likeminds.community/?plan_id")</f>
        <v>https://payment.likeminds.community/?plan_id</v>
      </c>
      <c r="I154" s="5" t="str">
        <f>IFERROR(__xludf.DUMMYFUNCTION("""COMPUTED_VALUE"""),"20ef675e-22d1-40fe-ae14-700f2612b2c9")</f>
        <v>20ef675e-22d1-40fe-ae14-700f2612b2c9</v>
      </c>
      <c r="J154" s="4" t="s">
        <v>12603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28" t="s">
        <v>12895</v>
      </c>
      <c r="B155" s="31">
        <v>50127.0</v>
      </c>
      <c r="C155" s="31" t="b">
        <v>1</v>
      </c>
      <c r="D155" s="29">
        <v>999.0</v>
      </c>
      <c r="E155" s="29">
        <v>499.0</v>
      </c>
      <c r="F155" s="28" t="s">
        <v>12896</v>
      </c>
      <c r="G155" s="28" t="s">
        <v>12899</v>
      </c>
      <c r="H155" s="32" t="str">
        <f>IFERROR(__xludf.DUMMYFUNCTION("SPLIT(G155,""="")"),"https://payment.likeminds.community/?plan_id")</f>
        <v>https://payment.likeminds.community/?plan_id</v>
      </c>
      <c r="I155" s="5" t="str">
        <f>IFERROR(__xludf.DUMMYFUNCTION("""COMPUTED_VALUE"""),"e85a72f0-78ee-4045-ae7c-43315b1e0e13")</f>
        <v>e85a72f0-78ee-4045-ae7c-43315b1e0e13</v>
      </c>
      <c r="J155" s="4" t="s">
        <v>12603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28" t="s">
        <v>12900</v>
      </c>
      <c r="B156" s="31">
        <v>50024.0</v>
      </c>
      <c r="C156" s="31" t="b">
        <v>1</v>
      </c>
      <c r="D156" s="29">
        <v>299.0</v>
      </c>
      <c r="E156" s="29">
        <v>99.0</v>
      </c>
      <c r="F156" s="28" t="s">
        <v>12901</v>
      </c>
      <c r="G156" s="28" t="s">
        <v>12902</v>
      </c>
      <c r="H156" s="32" t="str">
        <f>IFERROR(__xludf.DUMMYFUNCTION("SPLIT(G156,""="")"),"https://payment.likeminds.community/?plan_id")</f>
        <v>https://payment.likeminds.community/?plan_id</v>
      </c>
      <c r="I156" s="5" t="str">
        <f>IFERROR(__xludf.DUMMYFUNCTION("""COMPUTED_VALUE"""),"8e5ea02b-e877-40f6-9855-2a9b876699f8")</f>
        <v>8e5ea02b-e877-40f6-9855-2a9b876699f8</v>
      </c>
      <c r="J156" s="4" t="s">
        <v>12603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28" t="s">
        <v>12900</v>
      </c>
      <c r="B157" s="31">
        <v>50024.0</v>
      </c>
      <c r="C157" s="31" t="b">
        <v>1</v>
      </c>
      <c r="D157" s="29">
        <v>499.0</v>
      </c>
      <c r="E157" s="29">
        <v>199.0</v>
      </c>
      <c r="F157" s="28" t="s">
        <v>12903</v>
      </c>
      <c r="G157" s="28" t="s">
        <v>12904</v>
      </c>
      <c r="H157" s="32" t="str">
        <f>IFERROR(__xludf.DUMMYFUNCTION("SPLIT(G157,""="")"),"https://payment.likeminds.community/?plan_id")</f>
        <v>https://payment.likeminds.community/?plan_id</v>
      </c>
      <c r="I157" s="5" t="str">
        <f>IFERROR(__xludf.DUMMYFUNCTION("""COMPUTED_VALUE"""),"255576d9-b790-4cbd-90b4-6acd49d76768")</f>
        <v>255576d9-b790-4cbd-90b4-6acd49d76768</v>
      </c>
      <c r="J157" s="4" t="s">
        <v>12603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28" t="s">
        <v>12900</v>
      </c>
      <c r="B158" s="31">
        <v>50024.0</v>
      </c>
      <c r="C158" s="31" t="b">
        <v>1</v>
      </c>
      <c r="D158" s="29">
        <v>799.0</v>
      </c>
      <c r="E158" s="29">
        <v>349.0</v>
      </c>
      <c r="F158" s="28" t="s">
        <v>12903</v>
      </c>
      <c r="G158" s="28" t="s">
        <v>12905</v>
      </c>
      <c r="H158" s="32" t="str">
        <f>IFERROR(__xludf.DUMMYFUNCTION("SPLIT(G158,""="")"),"https://payment.likeminds.community/?plan_id")</f>
        <v>https://payment.likeminds.community/?plan_id</v>
      </c>
      <c r="I158" s="5" t="str">
        <f>IFERROR(__xludf.DUMMYFUNCTION("""COMPUTED_VALUE"""),"84fa1e01-8c8b-4284-8b65-ba48a1f47220")</f>
        <v>84fa1e01-8c8b-4284-8b65-ba48a1f47220</v>
      </c>
      <c r="J158" s="4" t="s">
        <v>12603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28" t="s">
        <v>12906</v>
      </c>
      <c r="B159" s="31">
        <v>50168.0</v>
      </c>
      <c r="C159" s="31" t="b">
        <v>1</v>
      </c>
      <c r="D159" s="29">
        <v>699.0</v>
      </c>
      <c r="E159" s="29">
        <v>349.0</v>
      </c>
      <c r="F159" s="28" t="s">
        <v>12907</v>
      </c>
      <c r="G159" s="28" t="s">
        <v>12908</v>
      </c>
      <c r="H159" s="32" t="str">
        <f>IFERROR(__xludf.DUMMYFUNCTION("SPLIT(G159,""="")"),"https://payment.likeminds.community/?plan_id")</f>
        <v>https://payment.likeminds.community/?plan_id</v>
      </c>
      <c r="I159" s="5" t="str">
        <f>IFERROR(__xludf.DUMMYFUNCTION("""COMPUTED_VALUE"""),"9c5b26de-a289-46ce-b9ea-d7c0e1ccf659")</f>
        <v>9c5b26de-a289-46ce-b9ea-d7c0e1ccf659</v>
      </c>
      <c r="J159" s="4" t="s">
        <v>12603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28" t="s">
        <v>12906</v>
      </c>
      <c r="B160" s="31">
        <v>50168.0</v>
      </c>
      <c r="C160" s="31" t="b">
        <v>1</v>
      </c>
      <c r="D160" s="29">
        <v>1099.0</v>
      </c>
      <c r="E160" s="29">
        <v>549.0</v>
      </c>
      <c r="F160" s="28" t="s">
        <v>12907</v>
      </c>
      <c r="G160" s="28" t="s">
        <v>12909</v>
      </c>
      <c r="H160" s="32" t="str">
        <f>IFERROR(__xludf.DUMMYFUNCTION("SPLIT(G160,""="")"),"https://payment.likeminds.community/?plan_id")</f>
        <v>https://payment.likeminds.community/?plan_id</v>
      </c>
      <c r="I160" s="5" t="str">
        <f>IFERROR(__xludf.DUMMYFUNCTION("""COMPUTED_VALUE"""),"d64a297d-32ba-4639-8a87-a6ca15c82a0d")</f>
        <v>d64a297d-32ba-4639-8a87-a6ca15c82a0d</v>
      </c>
      <c r="J160" s="4" t="s">
        <v>12603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28" t="s">
        <v>12906</v>
      </c>
      <c r="B161" s="31">
        <v>50168.0</v>
      </c>
      <c r="C161" s="31" t="b">
        <v>1</v>
      </c>
      <c r="D161" s="29">
        <v>1599.0</v>
      </c>
      <c r="E161" s="29">
        <v>799.0</v>
      </c>
      <c r="F161" s="28" t="s">
        <v>12907</v>
      </c>
      <c r="G161" s="28" t="s">
        <v>12910</v>
      </c>
      <c r="H161" s="32" t="str">
        <f>IFERROR(__xludf.DUMMYFUNCTION("SPLIT(G161,""="")"),"https://payment.likeminds.community/?plan_id")</f>
        <v>https://payment.likeminds.community/?plan_id</v>
      </c>
      <c r="I161" s="5" t="str">
        <f>IFERROR(__xludf.DUMMYFUNCTION("""COMPUTED_VALUE"""),"a51093f7-859a-4a16-bb34-935f691c324e")</f>
        <v>a51093f7-859a-4a16-bb34-935f691c324e</v>
      </c>
      <c r="J161" s="4" t="s">
        <v>12603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28" t="s">
        <v>5984</v>
      </c>
      <c r="B162" s="31">
        <v>50076.0</v>
      </c>
      <c r="C162" s="31" t="b">
        <v>1</v>
      </c>
      <c r="D162" s="33"/>
      <c r="E162" s="29">
        <v>299.0</v>
      </c>
      <c r="F162" s="28" t="s">
        <v>12911</v>
      </c>
      <c r="G162" s="28" t="s">
        <v>12912</v>
      </c>
      <c r="H162" s="32" t="str">
        <f>IFERROR(__xludf.DUMMYFUNCTION("SPLIT(G162,""="")"),"https://payment.likeminds.community/?plan_id")</f>
        <v>https://payment.likeminds.community/?plan_id</v>
      </c>
      <c r="I162" s="5" t="str">
        <f>IFERROR(__xludf.DUMMYFUNCTION("""COMPUTED_VALUE"""),"b52d2ca3-0296-40cf-8193-7db3d0a3612c")</f>
        <v>b52d2ca3-0296-40cf-8193-7db3d0a3612c</v>
      </c>
      <c r="J162" s="4" t="s">
        <v>12603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28" t="s">
        <v>5984</v>
      </c>
      <c r="B163" s="31">
        <v>50076.0</v>
      </c>
      <c r="C163" s="31" t="b">
        <v>1</v>
      </c>
      <c r="D163" s="33"/>
      <c r="E163" s="29">
        <v>799.0</v>
      </c>
      <c r="F163" s="28" t="s">
        <v>12911</v>
      </c>
      <c r="G163" s="28" t="s">
        <v>12913</v>
      </c>
      <c r="H163" s="32" t="str">
        <f>IFERROR(__xludf.DUMMYFUNCTION("SPLIT(G163,""="")"),"https://payment.likeminds.community/?plan_id")</f>
        <v>https://payment.likeminds.community/?plan_id</v>
      </c>
      <c r="I163" s="5" t="str">
        <f>IFERROR(__xludf.DUMMYFUNCTION("""COMPUTED_VALUE"""),"da5caff3-ccec-497a-977f-d119aec13f6c")</f>
        <v>da5caff3-ccec-497a-977f-d119aec13f6c</v>
      </c>
      <c r="J163" s="4" t="s">
        <v>12603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28" t="s">
        <v>5984</v>
      </c>
      <c r="B164" s="31">
        <v>50076.0</v>
      </c>
      <c r="C164" s="31" t="b">
        <v>1</v>
      </c>
      <c r="D164" s="33"/>
      <c r="E164" s="29">
        <v>1299.0</v>
      </c>
      <c r="F164" s="28" t="s">
        <v>12911</v>
      </c>
      <c r="G164" s="28" t="s">
        <v>12914</v>
      </c>
      <c r="H164" s="32" t="str">
        <f>IFERROR(__xludf.DUMMYFUNCTION("SPLIT(G164,""="")"),"https://payment.likeminds.community/?plan_id")</f>
        <v>https://payment.likeminds.community/?plan_id</v>
      </c>
      <c r="I164" s="5" t="str">
        <f>IFERROR(__xludf.DUMMYFUNCTION("""COMPUTED_VALUE"""),"8c27702d-8bf0-4b9f-8b78-ccd78393fb3b")</f>
        <v>8c27702d-8bf0-4b9f-8b78-ccd78393fb3b</v>
      </c>
      <c r="J164" s="4" t="s">
        <v>12603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28" t="s">
        <v>12915</v>
      </c>
      <c r="B165" s="31">
        <v>50110.0</v>
      </c>
      <c r="C165" s="31" t="b">
        <v>1</v>
      </c>
      <c r="D165" s="29">
        <v>299.0</v>
      </c>
      <c r="E165" s="29">
        <v>99.0</v>
      </c>
      <c r="F165" s="28" t="s">
        <v>12762</v>
      </c>
      <c r="G165" s="28" t="s">
        <v>12700</v>
      </c>
      <c r="H165" s="32" t="str">
        <f>IFERROR(__xludf.DUMMYFUNCTION("SPLIT(G165,""="")"),"https://payment.likeminds.community/?plan_id")</f>
        <v>https://payment.likeminds.community/?plan_id</v>
      </c>
      <c r="I165" s="5" t="str">
        <f>IFERROR(__xludf.DUMMYFUNCTION("""COMPUTED_VALUE"""),"aa03b87f-173a-42bd-a1d6-2bf3b353dfa6")</f>
        <v>aa03b87f-173a-42bd-a1d6-2bf3b353dfa6</v>
      </c>
      <c r="J165" s="4" t="s">
        <v>12603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28" t="s">
        <v>12915</v>
      </c>
      <c r="B166" s="31">
        <v>50110.0</v>
      </c>
      <c r="C166" s="31" t="b">
        <v>1</v>
      </c>
      <c r="D166" s="29">
        <v>499.0</v>
      </c>
      <c r="E166" s="29">
        <v>199.0</v>
      </c>
      <c r="F166" s="28" t="s">
        <v>12762</v>
      </c>
      <c r="G166" s="28" t="s">
        <v>12702</v>
      </c>
      <c r="H166" s="32" t="str">
        <f>IFERROR(__xludf.DUMMYFUNCTION("SPLIT(G166,""="")"),"https://payment.likeminds.community/?plan_id")</f>
        <v>https://payment.likeminds.community/?plan_id</v>
      </c>
      <c r="I166" s="5" t="str">
        <f>IFERROR(__xludf.DUMMYFUNCTION("""COMPUTED_VALUE"""),"7fd50cc4-b3b4-4a48-97eb-23ebb8013b4c")</f>
        <v>7fd50cc4-b3b4-4a48-97eb-23ebb8013b4c</v>
      </c>
      <c r="J166" s="4" t="s">
        <v>12603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28" t="s">
        <v>12915</v>
      </c>
      <c r="B167" s="31">
        <v>50110.0</v>
      </c>
      <c r="C167" s="31" t="b">
        <v>1</v>
      </c>
      <c r="D167" s="29">
        <v>799.0</v>
      </c>
      <c r="E167" s="29">
        <v>349.0</v>
      </c>
      <c r="F167" s="28" t="s">
        <v>12762</v>
      </c>
      <c r="G167" s="28" t="s">
        <v>12704</v>
      </c>
      <c r="H167" s="32" t="str">
        <f>IFERROR(__xludf.DUMMYFUNCTION("SPLIT(G167,""="")"),"https://payment.likeminds.community/?plan_id")</f>
        <v>https://payment.likeminds.community/?plan_id</v>
      </c>
      <c r="I167" s="5" t="str">
        <f>IFERROR(__xludf.DUMMYFUNCTION("""COMPUTED_VALUE"""),"6ea82515-6670-4ad1-b591-539205579647")</f>
        <v>6ea82515-6670-4ad1-b591-539205579647</v>
      </c>
      <c r="J167" s="4" t="s">
        <v>12603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28" t="s">
        <v>1582</v>
      </c>
      <c r="B168" s="31">
        <v>50048.0</v>
      </c>
      <c r="C168" s="31" t="b">
        <v>1</v>
      </c>
      <c r="D168" s="33"/>
      <c r="E168" s="29">
        <v>299.0</v>
      </c>
      <c r="F168" s="28" t="s">
        <v>12916</v>
      </c>
      <c r="G168" s="28" t="s">
        <v>12917</v>
      </c>
      <c r="H168" s="32" t="str">
        <f>IFERROR(__xludf.DUMMYFUNCTION("SPLIT(G168,""="")"),"https://payment.likeminds.community/?plan_id")</f>
        <v>https://payment.likeminds.community/?plan_id</v>
      </c>
      <c r="I168" s="5" t="str">
        <f>IFERROR(__xludf.DUMMYFUNCTION("""COMPUTED_VALUE"""),"4bbefc23-a9b8-468f-97d6-f15f754719f9")</f>
        <v>4bbefc23-a9b8-468f-97d6-f15f754719f9</v>
      </c>
      <c r="J168" s="4" t="s">
        <v>12603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28" t="s">
        <v>1582</v>
      </c>
      <c r="B169" s="31">
        <v>50048.0</v>
      </c>
      <c r="C169" s="31" t="b">
        <v>1</v>
      </c>
      <c r="D169" s="33"/>
      <c r="E169" s="29">
        <v>599.0</v>
      </c>
      <c r="F169" s="28" t="s">
        <v>12918</v>
      </c>
      <c r="G169" s="28" t="s">
        <v>12919</v>
      </c>
      <c r="H169" s="32" t="str">
        <f>IFERROR(__xludf.DUMMYFUNCTION("SPLIT(G169,""="")"),"https://payment.likeminds.community/?plan_id")</f>
        <v>https://payment.likeminds.community/?plan_id</v>
      </c>
      <c r="I169" s="5" t="str">
        <f>IFERROR(__xludf.DUMMYFUNCTION("""COMPUTED_VALUE"""),"272aef04-e86f-4ccf-8dbd-fd14a9adf72d")</f>
        <v>272aef04-e86f-4ccf-8dbd-fd14a9adf72d</v>
      </c>
      <c r="J169" s="4" t="s">
        <v>12603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28" t="s">
        <v>1582</v>
      </c>
      <c r="B170" s="31">
        <v>50048.0</v>
      </c>
      <c r="C170" s="31" t="b">
        <v>1</v>
      </c>
      <c r="D170" s="33"/>
      <c r="E170" s="29">
        <v>999.0</v>
      </c>
      <c r="F170" s="28" t="s">
        <v>12920</v>
      </c>
      <c r="G170" s="28" t="s">
        <v>12921</v>
      </c>
      <c r="H170" s="32" t="str">
        <f>IFERROR(__xludf.DUMMYFUNCTION("SPLIT(G170,""="")"),"https://payment.likeminds.community/?plan_id")</f>
        <v>https://payment.likeminds.community/?plan_id</v>
      </c>
      <c r="I170" s="5" t="str">
        <f>IFERROR(__xludf.DUMMYFUNCTION("""COMPUTED_VALUE"""),"3f27f594-c1b4-4984-8fe2-67a909b7bc22")</f>
        <v>3f27f594-c1b4-4984-8fe2-67a909b7bc22</v>
      </c>
      <c r="J170" s="4" t="s">
        <v>12603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28" t="s">
        <v>1582</v>
      </c>
      <c r="B171" s="31">
        <v>50048.0</v>
      </c>
      <c r="C171" s="31" t="b">
        <v>1</v>
      </c>
      <c r="D171" s="33"/>
      <c r="E171" s="29">
        <v>49.0</v>
      </c>
      <c r="F171" s="28" t="s">
        <v>12922</v>
      </c>
      <c r="G171" s="28" t="s">
        <v>12923</v>
      </c>
      <c r="H171" s="32" t="str">
        <f>IFERROR(__xludf.DUMMYFUNCTION("SPLIT(G171,""="")"),"https://payment.likeminds.community/?plan_id")</f>
        <v>https://payment.likeminds.community/?plan_id</v>
      </c>
      <c r="I171" s="5" t="str">
        <f>IFERROR(__xludf.DUMMYFUNCTION("""COMPUTED_VALUE"""),"f68e055d-be47-4d8e-9156-7c13056a1f3b")</f>
        <v>f68e055d-be47-4d8e-9156-7c13056a1f3b</v>
      </c>
      <c r="J171" s="4" t="s">
        <v>12603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28" t="s">
        <v>12924</v>
      </c>
      <c r="B172" s="31">
        <v>50083.0</v>
      </c>
      <c r="C172" s="31" t="b">
        <v>1</v>
      </c>
      <c r="D172" s="29">
        <v>999.0</v>
      </c>
      <c r="E172" s="29">
        <v>499.0</v>
      </c>
      <c r="F172" s="28" t="s">
        <v>12925</v>
      </c>
      <c r="G172" s="28" t="s">
        <v>12926</v>
      </c>
      <c r="H172" s="32" t="str">
        <f>IFERROR(__xludf.DUMMYFUNCTION("SPLIT(G172,""="")"),"https://payment.likeminds.community/?plan_id")</f>
        <v>https://payment.likeminds.community/?plan_id</v>
      </c>
      <c r="I172" s="5" t="str">
        <f>IFERROR(__xludf.DUMMYFUNCTION("""COMPUTED_VALUE"""),"5651f7ac-94fb-40b2-b9ca-1ab3c66b83ab")</f>
        <v>5651f7ac-94fb-40b2-b9ca-1ab3c66b83ab</v>
      </c>
      <c r="J172" s="4" t="s">
        <v>12603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28" t="s">
        <v>12924</v>
      </c>
      <c r="B173" s="31">
        <v>50083.0</v>
      </c>
      <c r="C173" s="31" t="b">
        <v>1</v>
      </c>
      <c r="D173" s="29">
        <v>1599.0</v>
      </c>
      <c r="E173" s="29">
        <v>799.0</v>
      </c>
      <c r="F173" s="28" t="s">
        <v>12927</v>
      </c>
      <c r="G173" s="28" t="s">
        <v>12928</v>
      </c>
      <c r="H173" s="32" t="str">
        <f>IFERROR(__xludf.DUMMYFUNCTION("SPLIT(G173,""="")"),"https://payment.likeminds.community/?plan_id")</f>
        <v>https://payment.likeminds.community/?plan_id</v>
      </c>
      <c r="I173" s="5" t="str">
        <f>IFERROR(__xludf.DUMMYFUNCTION("""COMPUTED_VALUE"""),"1d4a381a-541f-43e1-9ea6-94a9579918a9")</f>
        <v>1d4a381a-541f-43e1-9ea6-94a9579918a9</v>
      </c>
      <c r="J173" s="4" t="s">
        <v>12603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28" t="s">
        <v>6195</v>
      </c>
      <c r="B174" s="31">
        <v>50092.0</v>
      </c>
      <c r="C174" s="31" t="b">
        <v>1</v>
      </c>
      <c r="D174" s="29">
        <v>549.0</v>
      </c>
      <c r="E174" s="28">
        <v>249.0</v>
      </c>
      <c r="F174" s="28" t="s">
        <v>12929</v>
      </c>
      <c r="G174" s="28" t="s">
        <v>12930</v>
      </c>
      <c r="H174" s="32" t="str">
        <f>IFERROR(__xludf.DUMMYFUNCTION("SPLIT(G174,""="")"),"https://payment.likeminds.community/?plan_id")</f>
        <v>https://payment.likeminds.community/?plan_id</v>
      </c>
      <c r="I174" s="5" t="str">
        <f>IFERROR(__xludf.DUMMYFUNCTION("""COMPUTED_VALUE"""),"4b5c5b56-3452-4f08-89b0-10b8297602de")</f>
        <v>4b5c5b56-3452-4f08-89b0-10b8297602de</v>
      </c>
      <c r="J174" s="4" t="s">
        <v>12603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28" t="s">
        <v>6195</v>
      </c>
      <c r="B175" s="31">
        <v>50092.0</v>
      </c>
      <c r="C175" s="31" t="b">
        <v>1</v>
      </c>
      <c r="D175" s="28">
        <v>999.0</v>
      </c>
      <c r="E175" s="28">
        <v>449.0</v>
      </c>
      <c r="F175" s="28" t="s">
        <v>12931</v>
      </c>
      <c r="G175" s="28" t="s">
        <v>12932</v>
      </c>
      <c r="H175" s="32" t="str">
        <f>IFERROR(__xludf.DUMMYFUNCTION("SPLIT(G175,""="")"),"https://payment.likeminds.community/?plan_id")</f>
        <v>https://payment.likeminds.community/?plan_id</v>
      </c>
      <c r="I175" s="5" t="str">
        <f>IFERROR(__xludf.DUMMYFUNCTION("""COMPUTED_VALUE"""),"62da586b-2756-4bdd-95e3-e49ea9a1874c")</f>
        <v>62da586b-2756-4bdd-95e3-e49ea9a1874c</v>
      </c>
      <c r="J175" s="4" t="s">
        <v>12603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28" t="s">
        <v>6195</v>
      </c>
      <c r="B176" s="31">
        <v>50092.0</v>
      </c>
      <c r="C176" s="31" t="b">
        <v>1</v>
      </c>
      <c r="D176" s="29">
        <v>1299.0</v>
      </c>
      <c r="E176" s="28">
        <v>699.0</v>
      </c>
      <c r="F176" s="28" t="s">
        <v>12933</v>
      </c>
      <c r="G176" s="28" t="s">
        <v>12934</v>
      </c>
      <c r="H176" s="32" t="str">
        <f>IFERROR(__xludf.DUMMYFUNCTION("SPLIT(G176,""="")"),"https://payment.likeminds.community/?plan_id")</f>
        <v>https://payment.likeminds.community/?plan_id</v>
      </c>
      <c r="I176" s="5" t="str">
        <f>IFERROR(__xludf.DUMMYFUNCTION("""COMPUTED_VALUE"""),"84b9bc0f-fd22-43bc-a705-0bdc1dd406ec")</f>
        <v>84b9bc0f-fd22-43bc-a705-0bdc1dd406ec</v>
      </c>
      <c r="J176" s="4" t="s">
        <v>12603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28" t="s">
        <v>6217</v>
      </c>
      <c r="B177" s="31">
        <v>50046.0</v>
      </c>
      <c r="C177" s="31" t="b">
        <v>1</v>
      </c>
      <c r="D177" s="29">
        <v>299.0</v>
      </c>
      <c r="E177" s="29">
        <v>99.0</v>
      </c>
      <c r="F177" s="28" t="s">
        <v>12935</v>
      </c>
      <c r="G177" s="28" t="s">
        <v>12936</v>
      </c>
      <c r="H177" s="32" t="str">
        <f>IFERROR(__xludf.DUMMYFUNCTION("SPLIT(G177,""="")"),"https://payment.likeminds.community/?plan_id")</f>
        <v>https://payment.likeminds.community/?plan_id</v>
      </c>
      <c r="I177" s="5" t="str">
        <f>IFERROR(__xludf.DUMMYFUNCTION("""COMPUTED_VALUE"""),"plan_H4kFzgCcclntAw")</f>
        <v>plan_H4kFzgCcclntAw</v>
      </c>
      <c r="J177" s="4" t="s">
        <v>12603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28" t="s">
        <v>6217</v>
      </c>
      <c r="B178" s="31">
        <v>50046.0</v>
      </c>
      <c r="C178" s="31" t="b">
        <v>1</v>
      </c>
      <c r="D178" s="29">
        <v>499.0</v>
      </c>
      <c r="E178" s="29">
        <v>199.0</v>
      </c>
      <c r="F178" s="28" t="s">
        <v>12937</v>
      </c>
      <c r="G178" s="28" t="s">
        <v>12938</v>
      </c>
      <c r="H178" s="32" t="str">
        <f>IFERROR(__xludf.DUMMYFUNCTION("SPLIT(G178,""="")"),"https://payment.likeminds.community/?plan_id")</f>
        <v>https://payment.likeminds.community/?plan_id</v>
      </c>
      <c r="I178" s="5" t="str">
        <f>IFERROR(__xludf.DUMMYFUNCTION("""COMPUTED_VALUE"""),"plan_H4kG0C2QIuhZo3")</f>
        <v>plan_H4kG0C2QIuhZo3</v>
      </c>
      <c r="J178" s="4" t="s">
        <v>12603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28" t="s">
        <v>6217</v>
      </c>
      <c r="B179" s="31">
        <v>50046.0</v>
      </c>
      <c r="C179" s="31" t="b">
        <v>1</v>
      </c>
      <c r="D179" s="29">
        <v>799.0</v>
      </c>
      <c r="E179" s="29">
        <v>349.0</v>
      </c>
      <c r="F179" s="28" t="s">
        <v>12937</v>
      </c>
      <c r="G179" s="28" t="s">
        <v>12939</v>
      </c>
      <c r="H179" s="32" t="str">
        <f>IFERROR(__xludf.DUMMYFUNCTION("SPLIT(G179,""="")"),"https://payment.likeminds.community/?plan_id")</f>
        <v>https://payment.likeminds.community/?plan_id</v>
      </c>
      <c r="I179" s="5" t="str">
        <f>IFERROR(__xludf.DUMMYFUNCTION("""COMPUTED_VALUE"""),"plan_H4kG0imBXxPcGc")</f>
        <v>plan_H4kG0imBXxPcGc</v>
      </c>
      <c r="J179" s="4" t="s">
        <v>12603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28" t="s">
        <v>6320</v>
      </c>
      <c r="B180" s="31">
        <v>50044.0</v>
      </c>
      <c r="C180" s="31" t="b">
        <v>1</v>
      </c>
      <c r="D180" s="29">
        <v>549.0</v>
      </c>
      <c r="E180" s="29">
        <v>349.0</v>
      </c>
      <c r="F180" s="28" t="s">
        <v>12940</v>
      </c>
      <c r="G180" s="28" t="s">
        <v>12941</v>
      </c>
      <c r="H180" s="32" t="str">
        <f>IFERROR(__xludf.DUMMYFUNCTION("SPLIT(G180,""="")"),"https://payment.likeminds.community/?plan_id")</f>
        <v>https://payment.likeminds.community/?plan_id</v>
      </c>
      <c r="I180" s="5" t="str">
        <f>IFERROR(__xludf.DUMMYFUNCTION("""COMPUTED_VALUE"""),"ce3ec740-f643-4376-a8be-0f069c45471a")</f>
        <v>ce3ec740-f643-4376-a8be-0f069c45471a</v>
      </c>
      <c r="J180" s="4" t="s">
        <v>12603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28" t="s">
        <v>6320</v>
      </c>
      <c r="B181" s="31">
        <v>50044.0</v>
      </c>
      <c r="C181" s="31" t="b">
        <v>1</v>
      </c>
      <c r="D181" s="29">
        <v>799.0</v>
      </c>
      <c r="E181" s="29">
        <v>599.0</v>
      </c>
      <c r="F181" s="28" t="s">
        <v>12942</v>
      </c>
      <c r="G181" s="28" t="s">
        <v>12943</v>
      </c>
      <c r="H181" s="32" t="str">
        <f>IFERROR(__xludf.DUMMYFUNCTION("SPLIT(G181,""="")"),"https://payment.likeminds.community/?plan_id")</f>
        <v>https://payment.likeminds.community/?plan_id</v>
      </c>
      <c r="I181" s="5" t="str">
        <f>IFERROR(__xludf.DUMMYFUNCTION("""COMPUTED_VALUE"""),"758a7bd2-84ba-4d63-b5da-579034c1f581")</f>
        <v>758a7bd2-84ba-4d63-b5da-579034c1f581</v>
      </c>
      <c r="J181" s="4" t="s">
        <v>12603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28" t="s">
        <v>6320</v>
      </c>
      <c r="B182" s="31">
        <v>50044.0</v>
      </c>
      <c r="C182" s="31" t="b">
        <v>1</v>
      </c>
      <c r="D182" s="29">
        <v>1199.0</v>
      </c>
      <c r="E182" s="29">
        <v>999.0</v>
      </c>
      <c r="F182" s="28" t="s">
        <v>12942</v>
      </c>
      <c r="G182" s="28" t="s">
        <v>12944</v>
      </c>
      <c r="H182" s="32" t="str">
        <f>IFERROR(__xludf.DUMMYFUNCTION("SPLIT(G182,""="")"),"https://payment.likeminds.community/?plan_id")</f>
        <v>https://payment.likeminds.community/?plan_id</v>
      </c>
      <c r="I182" s="5" t="str">
        <f>IFERROR(__xludf.DUMMYFUNCTION("""COMPUTED_VALUE"""),"0cafb29e-b200-4c88-8d57-56839bf734d3")</f>
        <v>0cafb29e-b200-4c88-8d57-56839bf734d3</v>
      </c>
      <c r="J182" s="4" t="s">
        <v>12603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28" t="s">
        <v>6367</v>
      </c>
      <c r="B183" s="31">
        <v>50043.0</v>
      </c>
      <c r="C183" s="31" t="b">
        <v>1</v>
      </c>
      <c r="D183" s="29">
        <v>299.0</v>
      </c>
      <c r="E183" s="29">
        <v>99.0</v>
      </c>
      <c r="F183" s="28" t="s">
        <v>12945</v>
      </c>
      <c r="G183" s="28" t="s">
        <v>12946</v>
      </c>
      <c r="H183" s="32" t="str">
        <f>IFERROR(__xludf.DUMMYFUNCTION("SPLIT(G183,""="")"),"https://payment.likeminds.community/?plan_id")</f>
        <v>https://payment.likeminds.community/?plan_id</v>
      </c>
      <c r="I183" s="5" t="str">
        <f>IFERROR(__xludf.DUMMYFUNCTION("""COMPUTED_VALUE"""),"plan_H4kG1FqgX7YfkQ")</f>
        <v>plan_H4kG1FqgX7YfkQ</v>
      </c>
      <c r="J183" s="4" t="s">
        <v>12603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28" t="s">
        <v>6367</v>
      </c>
      <c r="B184" s="31">
        <v>50043.0</v>
      </c>
      <c r="C184" s="31" t="b">
        <v>1</v>
      </c>
      <c r="D184" s="29">
        <v>499.0</v>
      </c>
      <c r="E184" s="29">
        <v>199.0</v>
      </c>
      <c r="F184" s="28" t="s">
        <v>12947</v>
      </c>
      <c r="G184" s="28" t="s">
        <v>12948</v>
      </c>
      <c r="H184" s="32" t="str">
        <f>IFERROR(__xludf.DUMMYFUNCTION("SPLIT(G184,""="")"),"https://payment.likeminds.community/?plan_id")</f>
        <v>https://payment.likeminds.community/?plan_id</v>
      </c>
      <c r="I184" s="5" t="str">
        <f>IFERROR(__xludf.DUMMYFUNCTION("""COMPUTED_VALUE"""),"plan_H4kG1lg6G3AL9c")</f>
        <v>plan_H4kG1lg6G3AL9c</v>
      </c>
      <c r="J184" s="4" t="s">
        <v>12603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28" t="s">
        <v>6367</v>
      </c>
      <c r="B185" s="31">
        <v>50043.0</v>
      </c>
      <c r="C185" s="31" t="b">
        <v>1</v>
      </c>
      <c r="D185" s="29">
        <v>799.0</v>
      </c>
      <c r="E185" s="29">
        <v>349.0</v>
      </c>
      <c r="F185" s="28" t="s">
        <v>12947</v>
      </c>
      <c r="G185" s="28" t="s">
        <v>12949</v>
      </c>
      <c r="H185" s="32" t="str">
        <f>IFERROR(__xludf.DUMMYFUNCTION("SPLIT(G185,""="")"),"https://payment.likeminds.community/?plan_id")</f>
        <v>https://payment.likeminds.community/?plan_id</v>
      </c>
      <c r="I185" s="5" t="str">
        <f>IFERROR(__xludf.DUMMYFUNCTION("""COMPUTED_VALUE"""),"plan_H4kG2IXldKMhhJ")</f>
        <v>plan_H4kG2IXldKMhhJ</v>
      </c>
      <c r="J185" s="4" t="s">
        <v>12603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28" t="s">
        <v>6462</v>
      </c>
      <c r="B186" s="31">
        <v>50169.0</v>
      </c>
      <c r="C186" s="31" t="b">
        <v>1</v>
      </c>
      <c r="D186" s="33"/>
      <c r="E186" s="29">
        <v>499.0</v>
      </c>
      <c r="F186" s="28" t="s">
        <v>12950</v>
      </c>
      <c r="G186" s="28" t="s">
        <v>12951</v>
      </c>
      <c r="H186" s="32" t="str">
        <f>IFERROR(__xludf.DUMMYFUNCTION("SPLIT(G186,""="")"),"https://payment.likeminds.community/?plan_id")</f>
        <v>https://payment.likeminds.community/?plan_id</v>
      </c>
      <c r="I186" s="5" t="str">
        <f>IFERROR(__xludf.DUMMYFUNCTION("""COMPUTED_VALUE"""),"5bc0a001-9160-405f-b365-228272631e0e")</f>
        <v>5bc0a001-9160-405f-b365-228272631e0e</v>
      </c>
      <c r="J186" s="4" t="s">
        <v>12603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28" t="s">
        <v>6462</v>
      </c>
      <c r="B187" s="31">
        <v>50169.0</v>
      </c>
      <c r="C187" s="31" t="b">
        <v>1</v>
      </c>
      <c r="D187" s="33"/>
      <c r="E187" s="29">
        <v>999.0</v>
      </c>
      <c r="F187" s="28" t="s">
        <v>12952</v>
      </c>
      <c r="G187" s="28" t="s">
        <v>12953</v>
      </c>
      <c r="H187" s="32" t="str">
        <f>IFERROR(__xludf.DUMMYFUNCTION("SPLIT(G187,""="")"),"https://payment.likeminds.community/?plan_id")</f>
        <v>https://payment.likeminds.community/?plan_id</v>
      </c>
      <c r="I187" s="5" t="str">
        <f>IFERROR(__xludf.DUMMYFUNCTION("""COMPUTED_VALUE"""),"a5173771-cac1-4f75-b929-ad20c9b3d02d")</f>
        <v>a5173771-cac1-4f75-b929-ad20c9b3d02d</v>
      </c>
      <c r="J187" s="4" t="s">
        <v>12603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28" t="s">
        <v>12954</v>
      </c>
      <c r="B188" s="31">
        <v>50160.0</v>
      </c>
      <c r="C188" s="31" t="b">
        <v>1</v>
      </c>
      <c r="D188" s="29">
        <v>299.0</v>
      </c>
      <c r="E188" s="29">
        <v>99.0</v>
      </c>
      <c r="F188" s="28" t="s">
        <v>12955</v>
      </c>
      <c r="G188" s="28" t="s">
        <v>12956</v>
      </c>
      <c r="H188" s="32" t="str">
        <f>IFERROR(__xludf.DUMMYFUNCTION("SPLIT(G188,""="")"),"https://payment.likeminds.community/?plan_id")</f>
        <v>https://payment.likeminds.community/?plan_id</v>
      </c>
      <c r="I188" s="5" t="str">
        <f>IFERROR(__xludf.DUMMYFUNCTION("""COMPUTED_VALUE"""),"cd545798-7334-40e6-a306-60f6f76466e2")</f>
        <v>cd545798-7334-40e6-a306-60f6f76466e2</v>
      </c>
      <c r="J188" s="4" t="s">
        <v>12603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28" t="s">
        <v>12954</v>
      </c>
      <c r="B189" s="31">
        <v>50160.0</v>
      </c>
      <c r="C189" s="31" t="b">
        <v>1</v>
      </c>
      <c r="D189" s="29">
        <v>499.0</v>
      </c>
      <c r="E189" s="29">
        <v>199.0</v>
      </c>
      <c r="F189" s="28" t="s">
        <v>12955</v>
      </c>
      <c r="G189" s="28" t="s">
        <v>12957</v>
      </c>
      <c r="H189" s="32" t="str">
        <f>IFERROR(__xludf.DUMMYFUNCTION("SPLIT(G189,""="")"),"https://payment.likeminds.community/?plan_id")</f>
        <v>https://payment.likeminds.community/?plan_id</v>
      </c>
      <c r="I189" s="5" t="str">
        <f>IFERROR(__xludf.DUMMYFUNCTION("""COMPUTED_VALUE"""),"b201968b-cc08-4ed8-ab11-4e44c177a0c0")</f>
        <v>b201968b-cc08-4ed8-ab11-4e44c177a0c0</v>
      </c>
      <c r="J189" s="4" t="s">
        <v>12603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28" t="s">
        <v>12954</v>
      </c>
      <c r="B190" s="31">
        <v>50160.0</v>
      </c>
      <c r="C190" s="31" t="b">
        <v>1</v>
      </c>
      <c r="D190" s="29">
        <v>799.0</v>
      </c>
      <c r="E190" s="29">
        <v>349.0</v>
      </c>
      <c r="F190" s="28" t="s">
        <v>12955</v>
      </c>
      <c r="G190" s="28" t="s">
        <v>12958</v>
      </c>
      <c r="H190" s="32" t="str">
        <f>IFERROR(__xludf.DUMMYFUNCTION("SPLIT(G190,""="")"),"https://payment.likeminds.community/?plan_id")</f>
        <v>https://payment.likeminds.community/?plan_id</v>
      </c>
      <c r="I190" s="5" t="str">
        <f>IFERROR(__xludf.DUMMYFUNCTION("""COMPUTED_VALUE"""),"3dd08c7a-002e-4c7f-8b61-58b3622b4fd2")</f>
        <v>3dd08c7a-002e-4c7f-8b61-58b3622b4fd2</v>
      </c>
      <c r="J190" s="4" t="s">
        <v>12603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28" t="s">
        <v>12959</v>
      </c>
      <c r="B191" s="31">
        <v>50061.0</v>
      </c>
      <c r="C191" s="31" t="b">
        <v>1</v>
      </c>
      <c r="D191" s="33"/>
      <c r="E191" s="29">
        <v>249.0</v>
      </c>
      <c r="F191" s="28" t="s">
        <v>12960</v>
      </c>
      <c r="G191" s="28" t="s">
        <v>12961</v>
      </c>
      <c r="H191" s="32" t="str">
        <f>IFERROR(__xludf.DUMMYFUNCTION("SPLIT(G191,""="")"),"https://payment.likeminds.community/?plan_id")</f>
        <v>https://payment.likeminds.community/?plan_id</v>
      </c>
      <c r="I191" s="5" t="str">
        <f>IFERROR(__xludf.DUMMYFUNCTION("""COMPUTED_VALUE"""),"a2fd6def-0199-4029-bc6c-86110605120d")</f>
        <v>a2fd6def-0199-4029-bc6c-86110605120d</v>
      </c>
      <c r="J191" s="4" t="s">
        <v>12603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28" t="s">
        <v>12959</v>
      </c>
      <c r="B192" s="31">
        <v>50061.0</v>
      </c>
      <c r="C192" s="31" t="b">
        <v>1</v>
      </c>
      <c r="D192" s="33"/>
      <c r="E192" s="29">
        <v>449.0</v>
      </c>
      <c r="F192" s="28" t="s">
        <v>12962</v>
      </c>
      <c r="G192" s="28" t="s">
        <v>12963</v>
      </c>
      <c r="H192" s="32" t="str">
        <f>IFERROR(__xludf.DUMMYFUNCTION("SPLIT(G192,""="")"),"https://payment.likeminds.community/?plan_id")</f>
        <v>https://payment.likeminds.community/?plan_id</v>
      </c>
      <c r="I192" s="5" t="str">
        <f>IFERROR(__xludf.DUMMYFUNCTION("""COMPUTED_VALUE"""),"11d2f487-7483-4e03-83dd-a067864d7fc7")</f>
        <v>11d2f487-7483-4e03-83dd-a067864d7fc7</v>
      </c>
      <c r="J192" s="4" t="s">
        <v>12603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28" t="s">
        <v>12959</v>
      </c>
      <c r="B193" s="31">
        <v>50061.0</v>
      </c>
      <c r="C193" s="31" t="b">
        <v>1</v>
      </c>
      <c r="D193" s="33"/>
      <c r="E193" s="28">
        <v>849.0</v>
      </c>
      <c r="F193" s="28" t="s">
        <v>12964</v>
      </c>
      <c r="G193" s="28" t="s">
        <v>12965</v>
      </c>
      <c r="H193" s="32" t="str">
        <f>IFERROR(__xludf.DUMMYFUNCTION("SPLIT(G193,""="")"),"https://payment.likeminds.community/?plan_id")</f>
        <v>https://payment.likeminds.community/?plan_id</v>
      </c>
      <c r="I193" s="5" t="str">
        <f>IFERROR(__xludf.DUMMYFUNCTION("""COMPUTED_VALUE"""),"99e28e89-d557-4b59-aa00-2b02a5cd2163")</f>
        <v>99e28e89-d557-4b59-aa00-2b02a5cd2163</v>
      </c>
      <c r="J193" s="4" t="s">
        <v>12603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28" t="s">
        <v>12966</v>
      </c>
      <c r="B194" s="31">
        <v>50154.0</v>
      </c>
      <c r="C194" s="31" t="b">
        <v>1</v>
      </c>
      <c r="D194" s="29">
        <v>299.0</v>
      </c>
      <c r="E194" s="29">
        <v>99.0</v>
      </c>
      <c r="F194" s="28" t="s">
        <v>12967</v>
      </c>
      <c r="G194" s="28" t="s">
        <v>12968</v>
      </c>
      <c r="H194" s="32" t="str">
        <f>IFERROR(__xludf.DUMMYFUNCTION("SPLIT(G194,""="")"),"https://payment.likeminds.community/?plan_id")</f>
        <v>https://payment.likeminds.community/?plan_id</v>
      </c>
      <c r="I194" s="5" t="str">
        <f>IFERROR(__xludf.DUMMYFUNCTION("""COMPUTED_VALUE"""),"a884d191-1650-48c3-8efd-8d632b29e644")</f>
        <v>a884d191-1650-48c3-8efd-8d632b29e644</v>
      </c>
      <c r="J194" s="4" t="s">
        <v>12603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28" t="s">
        <v>12966</v>
      </c>
      <c r="B195" s="31">
        <v>50154.0</v>
      </c>
      <c r="C195" s="31" t="b">
        <v>1</v>
      </c>
      <c r="D195" s="29">
        <v>499.0</v>
      </c>
      <c r="E195" s="29">
        <v>199.0</v>
      </c>
      <c r="F195" s="28" t="s">
        <v>12969</v>
      </c>
      <c r="G195" s="28" t="s">
        <v>12970</v>
      </c>
      <c r="H195" s="32" t="str">
        <f>IFERROR(__xludf.DUMMYFUNCTION("SPLIT(G195,""="")"),"https://payment.likeminds.community/?plan_id")</f>
        <v>https://payment.likeminds.community/?plan_id</v>
      </c>
      <c r="I195" s="5" t="str">
        <f>IFERROR(__xludf.DUMMYFUNCTION("""COMPUTED_VALUE"""),"367b21db-e489-402e-9184-9d6c2fedb2bf")</f>
        <v>367b21db-e489-402e-9184-9d6c2fedb2bf</v>
      </c>
      <c r="J195" s="4" t="s">
        <v>12603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28" t="s">
        <v>12966</v>
      </c>
      <c r="B196" s="31">
        <v>50154.0</v>
      </c>
      <c r="C196" s="31" t="b">
        <v>1</v>
      </c>
      <c r="D196" s="29">
        <v>799.0</v>
      </c>
      <c r="E196" s="29">
        <v>349.0</v>
      </c>
      <c r="F196" s="28" t="s">
        <v>12969</v>
      </c>
      <c r="G196" s="28" t="s">
        <v>12971</v>
      </c>
      <c r="H196" s="32" t="str">
        <f>IFERROR(__xludf.DUMMYFUNCTION("SPLIT(G196,""="")"),"https://payment.likeminds.community/?plan_id")</f>
        <v>https://payment.likeminds.community/?plan_id</v>
      </c>
      <c r="I196" s="5" t="str">
        <f>IFERROR(__xludf.DUMMYFUNCTION("""COMPUTED_VALUE"""),"8479833b-7dc6-4275-83c9-90db07e50722")</f>
        <v>8479833b-7dc6-4275-83c9-90db07e50722</v>
      </c>
      <c r="J196" s="4" t="s">
        <v>12603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28" t="s">
        <v>6686</v>
      </c>
      <c r="B197" s="31">
        <v>50069.0</v>
      </c>
      <c r="C197" s="31" t="b">
        <v>1</v>
      </c>
      <c r="D197" s="29">
        <v>1999.0</v>
      </c>
      <c r="E197" s="29">
        <v>999.0</v>
      </c>
      <c r="F197" s="28" t="s">
        <v>12972</v>
      </c>
      <c r="G197" s="28" t="s">
        <v>12973</v>
      </c>
      <c r="H197" s="32" t="str">
        <f>IFERROR(__xludf.DUMMYFUNCTION("SPLIT(G197,""="")"),"https://payment.likeminds.community/?plan_id")</f>
        <v>https://payment.likeminds.community/?plan_id</v>
      </c>
      <c r="I197" s="5" t="str">
        <f>IFERROR(__xludf.DUMMYFUNCTION("""COMPUTED_VALUE"""),"4d7b997b-7f4c-44b0-967e-b4e91fa8fd69")</f>
        <v>4d7b997b-7f4c-44b0-967e-b4e91fa8fd69</v>
      </c>
      <c r="J197" s="4" t="s">
        <v>12603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28" t="s">
        <v>6686</v>
      </c>
      <c r="B198" s="31">
        <v>50069.0</v>
      </c>
      <c r="C198" s="31" t="b">
        <v>1</v>
      </c>
      <c r="D198" s="29">
        <v>2999.0</v>
      </c>
      <c r="E198" s="29">
        <v>1499.0</v>
      </c>
      <c r="F198" s="28" t="s">
        <v>12974</v>
      </c>
      <c r="G198" s="28" t="s">
        <v>12975</v>
      </c>
      <c r="H198" s="32" t="str">
        <f>IFERROR(__xludf.DUMMYFUNCTION("SPLIT(G198,""="")"),"https://payment.likeminds.community/?plan_id")</f>
        <v>https://payment.likeminds.community/?plan_id</v>
      </c>
      <c r="I198" s="5" t="str">
        <f>IFERROR(__xludf.DUMMYFUNCTION("""COMPUTED_VALUE"""),"61448f78-7bfc-41cc-b681-5b1d3da79d8d")</f>
        <v>61448f78-7bfc-41cc-b681-5b1d3da79d8d</v>
      </c>
      <c r="J198" s="4" t="s">
        <v>12603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28" t="s">
        <v>6686</v>
      </c>
      <c r="B199" s="31">
        <v>50069.0</v>
      </c>
      <c r="C199" s="31" t="b">
        <v>1</v>
      </c>
      <c r="D199" s="29">
        <v>3999.0</v>
      </c>
      <c r="E199" s="29">
        <v>1999.0</v>
      </c>
      <c r="F199" s="28" t="s">
        <v>12976</v>
      </c>
      <c r="G199" s="28" t="s">
        <v>12977</v>
      </c>
      <c r="H199" s="32" t="str">
        <f>IFERROR(__xludf.DUMMYFUNCTION("SPLIT(G199,""="")"),"https://payment.likeminds.community/?plan_id")</f>
        <v>https://payment.likeminds.community/?plan_id</v>
      </c>
      <c r="I199" s="5" t="str">
        <f>IFERROR(__xludf.DUMMYFUNCTION("""COMPUTED_VALUE"""),"746e7fa4-2d0e-4251-9709-1686898e2287")</f>
        <v>746e7fa4-2d0e-4251-9709-1686898e2287</v>
      </c>
      <c r="J199" s="4" t="s">
        <v>12603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28" t="s">
        <v>12978</v>
      </c>
      <c r="B200" s="31">
        <v>50088.0</v>
      </c>
      <c r="C200" s="31" t="b">
        <v>1</v>
      </c>
      <c r="D200" s="33"/>
      <c r="E200" s="29">
        <v>999.0</v>
      </c>
      <c r="F200" s="28" t="s">
        <v>12979</v>
      </c>
      <c r="G200" s="28" t="s">
        <v>12980</v>
      </c>
      <c r="H200" s="32" t="str">
        <f>IFERROR(__xludf.DUMMYFUNCTION("SPLIT(G200,""="")"),"https://payment.likeminds.community/?plan_id")</f>
        <v>https://payment.likeminds.community/?plan_id</v>
      </c>
      <c r="I200" s="5" t="str">
        <f>IFERROR(__xludf.DUMMYFUNCTION("""COMPUTED_VALUE"""),"6f0f50bd-220b-4299-a529-d40e539d8989")</f>
        <v>6f0f50bd-220b-4299-a529-d40e539d8989</v>
      </c>
      <c r="J200" s="4" t="s">
        <v>12603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28" t="s">
        <v>12978</v>
      </c>
      <c r="B201" s="31">
        <v>50088.0</v>
      </c>
      <c r="C201" s="31" t="b">
        <v>1</v>
      </c>
      <c r="D201" s="33"/>
      <c r="E201" s="29">
        <v>999.0</v>
      </c>
      <c r="F201" s="28" t="s">
        <v>12981</v>
      </c>
      <c r="G201" s="28" t="s">
        <v>12982</v>
      </c>
      <c r="H201" s="32" t="str">
        <f>IFERROR(__xludf.DUMMYFUNCTION("SPLIT(G201,""="")"),"https://payment.likeminds.community/?plan_id")</f>
        <v>https://payment.likeminds.community/?plan_id</v>
      </c>
      <c r="I201" s="5" t="str">
        <f>IFERROR(__xludf.DUMMYFUNCTION("""COMPUTED_VALUE"""),"51e17d0c-57fc-44d3-88e2-03f748fcff34")</f>
        <v>51e17d0c-57fc-44d3-88e2-03f748fcff34</v>
      </c>
      <c r="J201" s="4" t="s">
        <v>12603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28" t="s">
        <v>12978</v>
      </c>
      <c r="B202" s="31">
        <v>50088.0</v>
      </c>
      <c r="C202" s="31" t="b">
        <v>1</v>
      </c>
      <c r="D202" s="33"/>
      <c r="E202" s="29">
        <v>499.0</v>
      </c>
      <c r="F202" s="28" t="s">
        <v>12983</v>
      </c>
      <c r="G202" s="28" t="s">
        <v>12984</v>
      </c>
      <c r="H202" s="32" t="str">
        <f>IFERROR(__xludf.DUMMYFUNCTION("SPLIT(G202,""="")"),"https://payment.likeminds.community/?plan_id")</f>
        <v>https://payment.likeminds.community/?plan_id</v>
      </c>
      <c r="I202" s="5" t="str">
        <f>IFERROR(__xludf.DUMMYFUNCTION("""COMPUTED_VALUE"""),"a365c127-88d4-4638-8072-5daa9091b058")</f>
        <v>a365c127-88d4-4638-8072-5daa9091b058</v>
      </c>
      <c r="J202" s="4" t="s">
        <v>12603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28" t="s">
        <v>6689</v>
      </c>
      <c r="B203" s="31">
        <v>50058.0</v>
      </c>
      <c r="C203" s="31" t="b">
        <v>1</v>
      </c>
      <c r="D203" s="28">
        <v>999.0</v>
      </c>
      <c r="E203" s="28">
        <v>599.0</v>
      </c>
      <c r="F203" s="28" t="s">
        <v>12985</v>
      </c>
      <c r="G203" s="28" t="s">
        <v>12986</v>
      </c>
      <c r="H203" s="32" t="str">
        <f>IFERROR(__xludf.DUMMYFUNCTION("SPLIT(G203,""="")"),"https://payment.likeminds.community/?plan_id")</f>
        <v>https://payment.likeminds.community/?plan_id</v>
      </c>
      <c r="I203" s="5" t="str">
        <f>IFERROR(__xludf.DUMMYFUNCTION("""COMPUTED_VALUE"""),"c356e368-8f8c-4335-a99b-db9a7f442766")</f>
        <v>c356e368-8f8c-4335-a99b-db9a7f442766</v>
      </c>
      <c r="J203" s="4" t="s">
        <v>12603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28" t="s">
        <v>6689</v>
      </c>
      <c r="B204" s="31">
        <v>50058.0</v>
      </c>
      <c r="C204" s="31" t="b">
        <v>1</v>
      </c>
      <c r="D204" s="28">
        <v>1599.0</v>
      </c>
      <c r="E204" s="28">
        <v>999.0</v>
      </c>
      <c r="F204" s="28" t="s">
        <v>12985</v>
      </c>
      <c r="G204" s="28" t="s">
        <v>12987</v>
      </c>
      <c r="H204" s="32" t="str">
        <f>IFERROR(__xludf.DUMMYFUNCTION("SPLIT(G204,""="")"),"https://payment.likeminds.community/?plan_id")</f>
        <v>https://payment.likeminds.community/?plan_id</v>
      </c>
      <c r="I204" s="5" t="str">
        <f>IFERROR(__xludf.DUMMYFUNCTION("""COMPUTED_VALUE"""),"2603af82-0c8b-460f-a894-63c4dc3ef84f")</f>
        <v>2603af82-0c8b-460f-a894-63c4dc3ef84f</v>
      </c>
      <c r="J204" s="4" t="s">
        <v>12603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35" t="s">
        <v>12988</v>
      </c>
      <c r="H205" s="32" t="str">
        <f>IFERROR(__xludf.DUMMYFUNCTION("SPLIT(G205,""="")"),"https://payment.likeminds.community/?plan_id")</f>
        <v>https://payment.likeminds.community/?plan_id</v>
      </c>
      <c r="I205" s="5" t="str">
        <f>IFERROR(__xludf.DUMMYFUNCTION("""COMPUTED_VALUE"""),"dd789958-c14f-4ebe-a1f0-494aad4b3a8a")</f>
        <v>dd789958-c14f-4ebe-a1f0-494aad4b3a8a</v>
      </c>
      <c r="J205" s="4" t="s">
        <v>12603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35" t="s">
        <v>12989</v>
      </c>
      <c r="H206" s="32" t="str">
        <f>IFERROR(__xludf.DUMMYFUNCTION("SPLIT(G206,""="")"),"https://payment.likeminds.community/?plan_id")</f>
        <v>https://payment.likeminds.community/?plan_id</v>
      </c>
      <c r="I206" s="5" t="str">
        <f>IFERROR(__xludf.DUMMYFUNCTION("""COMPUTED_VALUE"""),"1337645f-c4c9-4dca-9db7-a2c1b4cf5f4e")</f>
        <v>1337645f-c4c9-4dca-9db7-a2c1b4cf5f4e</v>
      </c>
      <c r="J206" s="4" t="s">
        <v>12603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35" t="s">
        <v>12990</v>
      </c>
      <c r="H207" s="32" t="str">
        <f>IFERROR(__xludf.DUMMYFUNCTION("SPLIT(G207,""="")"),"https://payment.likeminds.community/?plan_id")</f>
        <v>https://payment.likeminds.community/?plan_id</v>
      </c>
      <c r="I207" s="5" t="str">
        <f>IFERROR(__xludf.DUMMYFUNCTION("""COMPUTED_VALUE"""),"6f54b328-65a4-4fc5-810f-0e2a95371f10")</f>
        <v>6f54b328-65a4-4fc5-810f-0e2a95371f10</v>
      </c>
      <c r="J207" s="4" t="s">
        <v>12603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35" t="s">
        <v>12991</v>
      </c>
      <c r="H208" s="32" t="str">
        <f>IFERROR(__xludf.DUMMYFUNCTION("SPLIT(G208,""="")"),"https://payment.likeminds.community/?plan_id")</f>
        <v>https://payment.likeminds.community/?plan_id</v>
      </c>
      <c r="I208" s="5" t="str">
        <f>IFERROR(__xludf.DUMMYFUNCTION("""COMPUTED_VALUE"""),"f8ccf1cf-77a7-477a-a787-2cb1282fbd7a")</f>
        <v>f8ccf1cf-77a7-477a-a787-2cb1282fbd7a</v>
      </c>
      <c r="J208" s="4" t="s">
        <v>12603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35" t="s">
        <v>12992</v>
      </c>
      <c r="H209" s="32" t="str">
        <f>IFERROR(__xludf.DUMMYFUNCTION("SPLIT(G209,""="")"),"https://payment.likeminds.community/?plan_id")</f>
        <v>https://payment.likeminds.community/?plan_id</v>
      </c>
      <c r="I209" s="5" t="str">
        <f>IFERROR(__xludf.DUMMYFUNCTION("""COMPUTED_VALUE"""),"1e2be6ce-ad95-4d70-b469-a21b978acdac")</f>
        <v>1e2be6ce-ad95-4d70-b469-a21b978acdac</v>
      </c>
      <c r="J209" s="4" t="s">
        <v>12603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35" t="s">
        <v>12993</v>
      </c>
      <c r="H210" s="32" t="str">
        <f>IFERROR(__xludf.DUMMYFUNCTION("SPLIT(G210,""="")"),"https://payment.likeminds.community/?plan_id")</f>
        <v>https://payment.likeminds.community/?plan_id</v>
      </c>
      <c r="I210" s="5" t="str">
        <f>IFERROR(__xludf.DUMMYFUNCTION("""COMPUTED_VALUE"""),"7e56e299-521e-4f71-a294-786bd5290228")</f>
        <v>7e56e299-521e-4f71-a294-786bd5290228</v>
      </c>
      <c r="J210" s="4" t="s">
        <v>12603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35" t="s">
        <v>12994</v>
      </c>
      <c r="H211" s="32" t="str">
        <f>IFERROR(__xludf.DUMMYFUNCTION("SPLIT(G211,""="")"),"https://payment.likeminds.community/?plan_id")</f>
        <v>https://payment.likeminds.community/?plan_id</v>
      </c>
      <c r="I211" s="5" t="str">
        <f>IFERROR(__xludf.DUMMYFUNCTION("""COMPUTED_VALUE"""),"ca4c54e2-9678-4f6f-b5b3-04dd8badb9b9")</f>
        <v>ca4c54e2-9678-4f6f-b5b3-04dd8badb9b9</v>
      </c>
      <c r="J211" s="4" t="s">
        <v>12603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35" t="s">
        <v>12995</v>
      </c>
      <c r="H212" s="32" t="str">
        <f>IFERROR(__xludf.DUMMYFUNCTION("SPLIT(G212,""="")"),"https://payment.likeminds.community/?plan_id")</f>
        <v>https://payment.likeminds.community/?plan_id</v>
      </c>
      <c r="I212" s="5" t="str">
        <f>IFERROR(__xludf.DUMMYFUNCTION("""COMPUTED_VALUE"""),"d155a70b-73f3-4559-91ab-26e9773217d4")</f>
        <v>d155a70b-73f3-4559-91ab-26e9773217d4</v>
      </c>
      <c r="J212" s="4" t="s">
        <v>12603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35" t="s">
        <v>12996</v>
      </c>
      <c r="H213" s="32" t="str">
        <f>IFERROR(__xludf.DUMMYFUNCTION("SPLIT(G213,""="")"),"https://payment.likeminds.community/?plan_id")</f>
        <v>https://payment.likeminds.community/?plan_id</v>
      </c>
      <c r="I213" s="5" t="str">
        <f>IFERROR(__xludf.DUMMYFUNCTION("""COMPUTED_VALUE"""),"a59a3997-f17a-436a-bafc-88324f5b38a5")</f>
        <v>a59a3997-f17a-436a-bafc-88324f5b38a5</v>
      </c>
      <c r="J213" s="4" t="s">
        <v>12603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35" t="s">
        <v>12997</v>
      </c>
      <c r="H214" s="32" t="str">
        <f>IFERROR(__xludf.DUMMYFUNCTION("SPLIT(G214,""="")"),"https://payment.likeminds.community/?plan_id")</f>
        <v>https://payment.likeminds.community/?plan_id</v>
      </c>
      <c r="I214" s="5" t="str">
        <f>IFERROR(__xludf.DUMMYFUNCTION("""COMPUTED_VALUE"""),"6ec264d4-e126-4a14-b22b-3ccdba7b2266")</f>
        <v>6ec264d4-e126-4a14-b22b-3ccdba7b2266</v>
      </c>
      <c r="J214" s="4" t="s">
        <v>12603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35" t="s">
        <v>12998</v>
      </c>
      <c r="H215" s="32" t="str">
        <f>IFERROR(__xludf.DUMMYFUNCTION("SPLIT(G215,""="")"),"https://payment.likeminds.community/?plan_id")</f>
        <v>https://payment.likeminds.community/?plan_id</v>
      </c>
      <c r="I215" s="5" t="str">
        <f>IFERROR(__xludf.DUMMYFUNCTION("""COMPUTED_VALUE"""),"e453e70d-e5d8-4dd0-ae1f-8672a8c76f38")</f>
        <v>e453e70d-e5d8-4dd0-ae1f-8672a8c76f38</v>
      </c>
      <c r="J215" s="4" t="s">
        <v>12603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35" t="s">
        <v>12999</v>
      </c>
      <c r="H216" s="32" t="str">
        <f>IFERROR(__xludf.DUMMYFUNCTION("SPLIT(G216,""="")"),"https://payment.likeminds.community/?plan_id")</f>
        <v>https://payment.likeminds.community/?plan_id</v>
      </c>
      <c r="I216" s="5" t="str">
        <f>IFERROR(__xludf.DUMMYFUNCTION("""COMPUTED_VALUE"""),"efc6e8e1-7642-446f-aee4-5da809d71fe3")</f>
        <v>efc6e8e1-7642-446f-aee4-5da809d71fe3</v>
      </c>
      <c r="J216" s="4" t="s">
        <v>12603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35" t="s">
        <v>13000</v>
      </c>
      <c r="H217" s="32" t="str">
        <f>IFERROR(__xludf.DUMMYFUNCTION("SPLIT(G217,""="")"),"https://payment.likeminds.community/?plan_id")</f>
        <v>https://payment.likeminds.community/?plan_id</v>
      </c>
      <c r="I217" s="5" t="str">
        <f>IFERROR(__xludf.DUMMYFUNCTION("""COMPUTED_VALUE"""),"6d024dc5-5310-4be8-b8ca-6d08c8ed5622")</f>
        <v>6d024dc5-5310-4be8-b8ca-6d08c8ed5622</v>
      </c>
      <c r="J217" s="4" t="s">
        <v>12603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35" t="s">
        <v>13001</v>
      </c>
      <c r="H218" s="32" t="str">
        <f>IFERROR(__xludf.DUMMYFUNCTION("SPLIT(G218,""="")"),"https://payment.likeminds.community/?plan_id")</f>
        <v>https://payment.likeminds.community/?plan_id</v>
      </c>
      <c r="I218" s="5" t="str">
        <f>IFERROR(__xludf.DUMMYFUNCTION("""COMPUTED_VALUE"""),"a52fc0b5-b112-4eb3-95a6-44c1e3926997")</f>
        <v>a52fc0b5-b112-4eb3-95a6-44c1e3926997</v>
      </c>
      <c r="J218" s="4" t="s">
        <v>12603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35" t="s">
        <v>13002</v>
      </c>
      <c r="H219" s="32" t="str">
        <f>IFERROR(__xludf.DUMMYFUNCTION("SPLIT(G219,""="")"),"https://payment.likeminds.community/?plan_id")</f>
        <v>https://payment.likeminds.community/?plan_id</v>
      </c>
      <c r="I219" s="5" t="str">
        <f>IFERROR(__xludf.DUMMYFUNCTION("""COMPUTED_VALUE"""),"b7793a80-5b2b-4324-b607-15cd6f22f060")</f>
        <v>b7793a80-5b2b-4324-b607-15cd6f22f060</v>
      </c>
      <c r="J219" s="4" t="s">
        <v>12603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35" t="s">
        <v>13003</v>
      </c>
      <c r="H220" s="32" t="str">
        <f>IFERROR(__xludf.DUMMYFUNCTION("SPLIT(G220,""="")"),"https://payment.likeminds.community/?plan_id")</f>
        <v>https://payment.likeminds.community/?plan_id</v>
      </c>
      <c r="I220" s="5" t="str">
        <f>IFERROR(__xludf.DUMMYFUNCTION("""COMPUTED_VALUE"""),"a87a94ac-6b7c-4b7e-85f3-7f0ef22f3eda")</f>
        <v>a87a94ac-6b7c-4b7e-85f3-7f0ef22f3eda</v>
      </c>
      <c r="J220" s="4" t="s">
        <v>12603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35" t="s">
        <v>13004</v>
      </c>
      <c r="H221" s="32" t="str">
        <f>IFERROR(__xludf.DUMMYFUNCTION("SPLIT(G221,""="")"),"https://payment.likeminds.community/?plan_id")</f>
        <v>https://payment.likeminds.community/?plan_id</v>
      </c>
      <c r="I221" s="5" t="str">
        <f>IFERROR(__xludf.DUMMYFUNCTION("""COMPUTED_VALUE"""),"3e824f43-ff71-4d36-b65d-0864cbb69e70")</f>
        <v>3e824f43-ff71-4d36-b65d-0864cbb69e70</v>
      </c>
      <c r="J221" s="4" t="s">
        <v>12603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35" t="s">
        <v>13005</v>
      </c>
      <c r="H222" s="32" t="str">
        <f>IFERROR(__xludf.DUMMYFUNCTION("SPLIT(G222,""="")"),"https://payment.likeminds.community/?plan_id")</f>
        <v>https://payment.likeminds.community/?plan_id</v>
      </c>
      <c r="I222" s="5" t="str">
        <f>IFERROR(__xludf.DUMMYFUNCTION("""COMPUTED_VALUE"""),"d5aa1d0f-7502-4ad3-bf9e-e38164cbb052")</f>
        <v>d5aa1d0f-7502-4ad3-bf9e-e38164cbb052</v>
      </c>
      <c r="J222" s="4" t="s">
        <v>12603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35" t="s">
        <v>13006</v>
      </c>
      <c r="H223" s="32" t="str">
        <f>IFERROR(__xludf.DUMMYFUNCTION("SPLIT(G223,""="")"),"https://payment.likeminds.community/?plan_id")</f>
        <v>https://payment.likeminds.community/?plan_id</v>
      </c>
      <c r="I223" s="5" t="str">
        <f>IFERROR(__xludf.DUMMYFUNCTION("""COMPUTED_VALUE"""),"ddcb2153-3011-425d-b6f7-5536fb015100")</f>
        <v>ddcb2153-3011-425d-b6f7-5536fb015100</v>
      </c>
      <c r="J223" s="4" t="s">
        <v>12603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35" t="s">
        <v>13007</v>
      </c>
      <c r="H224" s="32" t="str">
        <f>IFERROR(__xludf.DUMMYFUNCTION("SPLIT(G224,""="")"),"https://payment.likeminds.community/?plan_id")</f>
        <v>https://payment.likeminds.community/?plan_id</v>
      </c>
      <c r="I224" s="5" t="str">
        <f>IFERROR(__xludf.DUMMYFUNCTION("""COMPUTED_VALUE"""),"ea2cbecf-aa39-4874-afd0-ae6f71a44d48")</f>
        <v>ea2cbecf-aa39-4874-afd0-ae6f71a44d48</v>
      </c>
      <c r="J224" s="4" t="s">
        <v>12603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35" t="s">
        <v>13008</v>
      </c>
      <c r="H225" s="32" t="str">
        <f>IFERROR(__xludf.DUMMYFUNCTION("SPLIT(G225,""="")"),"https://payment.likeminds.community/?plan_id")</f>
        <v>https://payment.likeminds.community/?plan_id</v>
      </c>
      <c r="I225" s="5" t="str">
        <f>IFERROR(__xludf.DUMMYFUNCTION("""COMPUTED_VALUE"""),"16f0bf25-2a3b-4184-87e2-5ac336158205")</f>
        <v>16f0bf25-2a3b-4184-87e2-5ac336158205</v>
      </c>
      <c r="J225" s="4" t="s">
        <v>12603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35" t="s">
        <v>13009</v>
      </c>
      <c r="H226" s="32" t="str">
        <f>IFERROR(__xludf.DUMMYFUNCTION("SPLIT(G226,""="")"),"https://payment.likeminds.community/?plan_id")</f>
        <v>https://payment.likeminds.community/?plan_id</v>
      </c>
      <c r="I226" s="5" t="str">
        <f>IFERROR(__xludf.DUMMYFUNCTION("""COMPUTED_VALUE"""),"fa00b372-ab58-4a8e-8710-09570a56d4bc")</f>
        <v>fa00b372-ab58-4a8e-8710-09570a56d4bc</v>
      </c>
      <c r="J226" s="4" t="s">
        <v>12603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35" t="s">
        <v>13010</v>
      </c>
      <c r="H227" s="32" t="str">
        <f>IFERROR(__xludf.DUMMYFUNCTION("SPLIT(G227,""="")"),"https://payment.likeminds.community/?plan_id")</f>
        <v>https://payment.likeminds.community/?plan_id</v>
      </c>
      <c r="I227" s="5" t="str">
        <f>IFERROR(__xludf.DUMMYFUNCTION("""COMPUTED_VALUE"""),"048cd888-bedb-4b7a-823b-4f261becb56b")</f>
        <v>048cd888-bedb-4b7a-823b-4f261becb56b</v>
      </c>
      <c r="J227" s="4" t="s">
        <v>12603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35" t="s">
        <v>13011</v>
      </c>
      <c r="H228" s="32" t="str">
        <f>IFERROR(__xludf.DUMMYFUNCTION("SPLIT(G228,""="")"),"https://payment.likeminds.community/?plan_id")</f>
        <v>https://payment.likeminds.community/?plan_id</v>
      </c>
      <c r="I228" s="5" t="str">
        <f>IFERROR(__xludf.DUMMYFUNCTION("""COMPUTED_VALUE"""),"plan_H4kFEmPHWRFw7t")</f>
        <v>plan_H4kFEmPHWRFw7t</v>
      </c>
      <c r="J228" s="4" t="s">
        <v>12603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35" t="s">
        <v>13012</v>
      </c>
      <c r="H229" s="32" t="str">
        <f>IFERROR(__xludf.DUMMYFUNCTION("SPLIT(G229,""="")"),"https://payment.likeminds.community/?plan_id")</f>
        <v>https://payment.likeminds.community/?plan_id</v>
      </c>
      <c r="I229" s="5" t="str">
        <f>IFERROR(__xludf.DUMMYFUNCTION("""COMPUTED_VALUE"""),"plan_H4kFFITH5oEJsa")</f>
        <v>plan_H4kFFITH5oEJsa</v>
      </c>
      <c r="J229" s="4" t="s">
        <v>12603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35" t="s">
        <v>13013</v>
      </c>
      <c r="H230" s="32" t="str">
        <f>IFERROR(__xludf.DUMMYFUNCTION("SPLIT(G230,""="")"),"https://payment.likeminds.community/?plan_id")</f>
        <v>https://payment.likeminds.community/?plan_id</v>
      </c>
      <c r="I230" s="5" t="str">
        <f>IFERROR(__xludf.DUMMYFUNCTION("""COMPUTED_VALUE"""),"plan_H4kFFqkoIkGxaX")</f>
        <v>plan_H4kFFqkoIkGxaX</v>
      </c>
      <c r="J230" s="4" t="s">
        <v>12603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35" t="s">
        <v>13014</v>
      </c>
      <c r="H231" s="32" t="str">
        <f>IFERROR(__xludf.DUMMYFUNCTION("SPLIT(G231,""="")"),"https://payment.likeminds.community/?plan_id")</f>
        <v>https://payment.likeminds.community/?plan_id</v>
      </c>
      <c r="I231" s="5" t="str">
        <f>IFERROR(__xludf.DUMMYFUNCTION("""COMPUTED_VALUE"""),"74c6c102-cc19-4754-b536-ae6ef88a8031")</f>
        <v>74c6c102-cc19-4754-b536-ae6ef88a8031</v>
      </c>
      <c r="J231" s="4" t="s">
        <v>12603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35" t="s">
        <v>13015</v>
      </c>
      <c r="H232" s="32" t="str">
        <f>IFERROR(__xludf.DUMMYFUNCTION("SPLIT(G232,""="")"),"https://payment.likeminds.community/?plan_id")</f>
        <v>https://payment.likeminds.community/?plan_id</v>
      </c>
      <c r="I232" s="5" t="str">
        <f>IFERROR(__xludf.DUMMYFUNCTION("""COMPUTED_VALUE"""),"d60ac2b2-db16-47a9-a616-e786202a9a01")</f>
        <v>d60ac2b2-db16-47a9-a616-e786202a9a01</v>
      </c>
      <c r="J232" s="4" t="s">
        <v>12603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35" t="s">
        <v>13016</v>
      </c>
      <c r="H233" s="32" t="str">
        <f>IFERROR(__xludf.DUMMYFUNCTION("SPLIT(G233,""="")"),"https://payment.likeminds.community/?plan_id")</f>
        <v>https://payment.likeminds.community/?plan_id</v>
      </c>
      <c r="I233" s="5" t="str">
        <f>IFERROR(__xludf.DUMMYFUNCTION("""COMPUTED_VALUE"""),"7af1d6fa-b4b6-4fb3-adb4-3ad1861186c2")</f>
        <v>7af1d6fa-b4b6-4fb3-adb4-3ad1861186c2</v>
      </c>
      <c r="J233" s="4" t="s">
        <v>12603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35" t="s">
        <v>13017</v>
      </c>
      <c r="H234" s="32" t="str">
        <f>IFERROR(__xludf.DUMMYFUNCTION("SPLIT(G234,""="")"),"https://payment.likeminds.community/?plan_id")</f>
        <v>https://payment.likeminds.community/?plan_id</v>
      </c>
      <c r="I234" s="5" t="str">
        <f>IFERROR(__xludf.DUMMYFUNCTION("""COMPUTED_VALUE"""),"plan_H4kFtBDqZ4QrE1")</f>
        <v>plan_H4kFtBDqZ4QrE1</v>
      </c>
      <c r="J234" s="4" t="s">
        <v>12603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35" t="s">
        <v>13018</v>
      </c>
      <c r="H235" s="32" t="str">
        <f>IFERROR(__xludf.DUMMYFUNCTION("SPLIT(G235,""="")"),"https://payment.likeminds.community/?plan_id")</f>
        <v>https://payment.likeminds.community/?plan_id</v>
      </c>
      <c r="I235" s="5" t="str">
        <f>IFERROR(__xludf.DUMMYFUNCTION("""COMPUTED_VALUE"""),"plan_H4kG5gyJECmoar")</f>
        <v>plan_H4kG5gyJECmoar</v>
      </c>
      <c r="J235" s="4" t="s">
        <v>12603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35" t="s">
        <v>13019</v>
      </c>
      <c r="H236" s="32" t="str">
        <f>IFERROR(__xludf.DUMMYFUNCTION("SPLIT(G236,""="")"),"https://payment.likeminds.community/?plan_id")</f>
        <v>https://payment.likeminds.community/?plan_id</v>
      </c>
      <c r="I236" s="5" t="str">
        <f>IFERROR(__xludf.DUMMYFUNCTION("""COMPUTED_VALUE"""),"plan_H4kG6EwA9tIWbA")</f>
        <v>plan_H4kG6EwA9tIWbA</v>
      </c>
      <c r="J236" s="4" t="s">
        <v>12603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35" t="s">
        <v>13020</v>
      </c>
      <c r="H237" s="32" t="str">
        <f>IFERROR(__xludf.DUMMYFUNCTION("SPLIT(G237,""="")"),"https://payment.likeminds.community/?plan_id")</f>
        <v>https://payment.likeminds.community/?plan_id</v>
      </c>
      <c r="I237" s="5" t="str">
        <f>IFERROR(__xludf.DUMMYFUNCTION("""COMPUTED_VALUE"""),"plan_H4kG6o2hNcQXr4")</f>
        <v>plan_H4kG6o2hNcQXr4</v>
      </c>
      <c r="J237" s="4" t="s">
        <v>12603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35" t="s">
        <v>13021</v>
      </c>
      <c r="H238" s="32" t="str">
        <f>IFERROR(__xludf.DUMMYFUNCTION("SPLIT(G238,""="")"),"https://payment.likeminds.community/?plan_id")</f>
        <v>https://payment.likeminds.community/?plan_id</v>
      </c>
      <c r="I238" s="5" t="str">
        <f>IFERROR(__xludf.DUMMYFUNCTION("""COMPUTED_VALUE"""),"plan_H4kFef4uTMFGoa")</f>
        <v>plan_H4kFef4uTMFGoa</v>
      </c>
      <c r="J238" s="4" t="s">
        <v>12603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35" t="s">
        <v>13022</v>
      </c>
      <c r="H239" s="32" t="str">
        <f>IFERROR(__xludf.DUMMYFUNCTION("SPLIT(G239,""="")"),"https://payment.likeminds.community/?plan_id")</f>
        <v>https://payment.likeminds.community/?plan_id</v>
      </c>
      <c r="I239" s="5" t="str">
        <f>IFERROR(__xludf.DUMMYFUNCTION("""COMPUTED_VALUE"""),"plan_H4kFfBmw58h0Lq")</f>
        <v>plan_H4kFfBmw58h0Lq</v>
      </c>
      <c r="J239" s="4" t="s">
        <v>12603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35" t="s">
        <v>13023</v>
      </c>
      <c r="H240" s="32" t="str">
        <f>IFERROR(__xludf.DUMMYFUNCTION("SPLIT(G240,""="")"),"https://payment.likeminds.community/?plan_id")</f>
        <v>https://payment.likeminds.community/?plan_id</v>
      </c>
      <c r="I240" s="5" t="str">
        <f>IFERROR(__xludf.DUMMYFUNCTION("""COMPUTED_VALUE"""),"plan_H4kFfj8zUAMFoM")</f>
        <v>plan_H4kFfj8zUAMFoM</v>
      </c>
      <c r="J240" s="4" t="s">
        <v>12603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35" t="s">
        <v>13024</v>
      </c>
      <c r="H241" s="32" t="str">
        <f>IFERROR(__xludf.DUMMYFUNCTION("SPLIT(G241,""="")"),"https://payment.likeminds.community/?plan_id")</f>
        <v>https://payment.likeminds.community/?plan_id</v>
      </c>
      <c r="I241" s="5" t="str">
        <f>IFERROR(__xludf.DUMMYFUNCTION("""COMPUTED_VALUE"""),"plan_H4kFYFK9sMZSEf")</f>
        <v>plan_H4kFYFK9sMZSEf</v>
      </c>
      <c r="J241" s="4" t="s">
        <v>12603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35" t="s">
        <v>13025</v>
      </c>
      <c r="H242" s="32" t="str">
        <f>IFERROR(__xludf.DUMMYFUNCTION("SPLIT(G242,""="")"),"https://payment.likeminds.community/?plan_id")</f>
        <v>https://payment.likeminds.community/?plan_id</v>
      </c>
      <c r="I242" s="5" t="str">
        <f>IFERROR(__xludf.DUMMYFUNCTION("""COMPUTED_VALUE"""),"plan_H4kFYmYUEc2lfI")</f>
        <v>plan_H4kFYmYUEc2lfI</v>
      </c>
      <c r="J242" s="4" t="s">
        <v>12603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35" t="s">
        <v>13026</v>
      </c>
      <c r="H243" s="32" t="str">
        <f>IFERROR(__xludf.DUMMYFUNCTION("SPLIT(G243,""="")"),"https://payment.likeminds.community/?plan_id")</f>
        <v>https://payment.likeminds.community/?plan_id</v>
      </c>
      <c r="I243" s="5" t="str">
        <f>IFERROR(__xludf.DUMMYFUNCTION("""COMPUTED_VALUE"""),"plan_H4kFZJ2YA8CXsy")</f>
        <v>plan_H4kFZJ2YA8CXsy</v>
      </c>
      <c r="J243" s="4" t="s">
        <v>12603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35" t="s">
        <v>13027</v>
      </c>
      <c r="H244" s="32" t="str">
        <f>IFERROR(__xludf.DUMMYFUNCTION("SPLIT(G244,""="")"),"https://payment.likeminds.community/?plan_id")</f>
        <v>https://payment.likeminds.community/?plan_id</v>
      </c>
      <c r="I244" s="5" t="str">
        <f>IFERROR(__xludf.DUMMYFUNCTION("""COMPUTED_VALUE"""),"cc5ed6d0-b07a-49a9-b8fc-fbaa36377b74")</f>
        <v>cc5ed6d0-b07a-49a9-b8fc-fbaa36377b74</v>
      </c>
      <c r="J244" s="4" t="s">
        <v>12603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35" t="s">
        <v>13028</v>
      </c>
      <c r="H245" s="32" t="str">
        <f>IFERROR(__xludf.DUMMYFUNCTION("SPLIT(G245,""="")"),"https://payment.likeminds.community/?plan_id")</f>
        <v>https://payment.likeminds.community/?plan_id</v>
      </c>
      <c r="I245" s="5" t="str">
        <f>IFERROR(__xludf.DUMMYFUNCTION("""COMPUTED_VALUE"""),"74ffdabd-87bb-4a2e-98d0-9448126b118e")</f>
        <v>74ffdabd-87bb-4a2e-98d0-9448126b118e</v>
      </c>
      <c r="J245" s="4" t="s">
        <v>12603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35" t="s">
        <v>13029</v>
      </c>
      <c r="H246" s="32" t="str">
        <f>IFERROR(__xludf.DUMMYFUNCTION("SPLIT(G246,""="")"),"https://payment.likeminds.community/?plan_id")</f>
        <v>https://payment.likeminds.community/?plan_id</v>
      </c>
      <c r="I246" s="5" t="str">
        <f>IFERROR(__xludf.DUMMYFUNCTION("""COMPUTED_VALUE"""),"81ce98be-032a-4c8c-9238-a7064b1da365")</f>
        <v>81ce98be-032a-4c8c-9238-a7064b1da365</v>
      </c>
      <c r="J246" s="4" t="s">
        <v>12603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35" t="s">
        <v>13030</v>
      </c>
      <c r="H247" s="32" t="str">
        <f>IFERROR(__xludf.DUMMYFUNCTION("SPLIT(G247,""="")"),"https://payment.likeminds.community/?plan_id")</f>
        <v>https://payment.likeminds.community/?plan_id</v>
      </c>
      <c r="I247" s="5" t="str">
        <f>IFERROR(__xludf.DUMMYFUNCTION("""COMPUTED_VALUE"""),"df2c83ac-3b42-4c86-a40a-95f4c3be0057")</f>
        <v>df2c83ac-3b42-4c86-a40a-95f4c3be0057</v>
      </c>
      <c r="J247" s="4" t="s">
        <v>12603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35" t="s">
        <v>13031</v>
      </c>
      <c r="H248" s="32" t="str">
        <f>IFERROR(__xludf.DUMMYFUNCTION("SPLIT(G248,""="")"),"https://payment.likeminds.community/?plan_id")</f>
        <v>https://payment.likeminds.community/?plan_id</v>
      </c>
      <c r="I248" s="5" t="str">
        <f>IFERROR(__xludf.DUMMYFUNCTION("""COMPUTED_VALUE"""),"95c4c1c7-a278-42aa-becf-a1e61af1b706")</f>
        <v>95c4c1c7-a278-42aa-becf-a1e61af1b706</v>
      </c>
      <c r="J248" s="4" t="s">
        <v>12603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35" t="s">
        <v>13032</v>
      </c>
      <c r="H249" s="32" t="str">
        <f>IFERROR(__xludf.DUMMYFUNCTION("SPLIT(G249,""="")"),"https://payment.likeminds.community/?plan_id")</f>
        <v>https://payment.likeminds.community/?plan_id</v>
      </c>
      <c r="I249" s="5" t="str">
        <f>IFERROR(__xludf.DUMMYFUNCTION("""COMPUTED_VALUE"""),"plan_H4kFD7hUJbxGVf")</f>
        <v>plan_H4kFD7hUJbxGVf</v>
      </c>
      <c r="J249" s="4" t="s">
        <v>12603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35" t="s">
        <v>13033</v>
      </c>
      <c r="H250" s="32" t="str">
        <f>IFERROR(__xludf.DUMMYFUNCTION("SPLIT(G250,""="")"),"https://payment.likeminds.community/?plan_id")</f>
        <v>https://payment.likeminds.community/?plan_id</v>
      </c>
      <c r="I250" s="5" t="str">
        <f>IFERROR(__xludf.DUMMYFUNCTION("""COMPUTED_VALUE"""),"plan_H4kFDiOt0cSOzx")</f>
        <v>plan_H4kFDiOt0cSOzx</v>
      </c>
      <c r="J250" s="4" t="s">
        <v>12603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35" t="s">
        <v>13034</v>
      </c>
      <c r="H251" s="32" t="str">
        <f>IFERROR(__xludf.DUMMYFUNCTION("SPLIT(G251,""="")"),"https://payment.likeminds.community/?plan_id")</f>
        <v>https://payment.likeminds.community/?plan_id</v>
      </c>
      <c r="I251" s="5" t="str">
        <f>IFERROR(__xludf.DUMMYFUNCTION("""COMPUTED_VALUE"""),"plan_H4kFEHd0BcvS8u")</f>
        <v>plan_H4kFEHd0BcvS8u</v>
      </c>
      <c r="J251" s="4" t="s">
        <v>12603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35" t="s">
        <v>13035</v>
      </c>
      <c r="H252" s="32" t="str">
        <f>IFERROR(__xludf.DUMMYFUNCTION("SPLIT(G252,""="")"),"https://payment.likeminds.community/?plan_id")</f>
        <v>https://payment.likeminds.community/?plan_id</v>
      </c>
      <c r="I252" s="5" t="str">
        <f>IFERROR(__xludf.DUMMYFUNCTION("""COMPUTED_VALUE"""),"bef29130-b0bc-467e-91c1-2c676c36542f")</f>
        <v>bef29130-b0bc-467e-91c1-2c676c36542f</v>
      </c>
      <c r="J252" s="4" t="s">
        <v>12603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35" t="s">
        <v>13036</v>
      </c>
      <c r="H253" s="32" t="str">
        <f>IFERROR(__xludf.DUMMYFUNCTION("SPLIT(G253,""="")"),"https://payment.likeminds.community/?plan_id")</f>
        <v>https://payment.likeminds.community/?plan_id</v>
      </c>
      <c r="I253" s="5" t="str">
        <f>IFERROR(__xludf.DUMMYFUNCTION("""COMPUTED_VALUE"""),"87e12a47-a734-4193-85ec-ae447d80e747")</f>
        <v>87e12a47-a734-4193-85ec-ae447d80e747</v>
      </c>
      <c r="J253" s="4" t="s">
        <v>12603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35" t="s">
        <v>13037</v>
      </c>
      <c r="H254" s="32" t="str">
        <f>IFERROR(__xludf.DUMMYFUNCTION("SPLIT(G254,""="")"),"https://payment.likeminds.community/?plan_id")</f>
        <v>https://payment.likeminds.community/?plan_id</v>
      </c>
      <c r="I254" s="5" t="str">
        <f>IFERROR(__xludf.DUMMYFUNCTION("""COMPUTED_VALUE"""),"eff2a223-e45f-44bc-bc90-570b8d3abbd9")</f>
        <v>eff2a223-e45f-44bc-bc90-570b8d3abbd9</v>
      </c>
      <c r="J254" s="4" t="s">
        <v>12603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35" t="s">
        <v>13038</v>
      </c>
      <c r="H255" s="32" t="str">
        <f>IFERROR(__xludf.DUMMYFUNCTION("SPLIT(G255,""="")"),"https://payment.likeminds.community/?plan_id")</f>
        <v>https://payment.likeminds.community/?plan_id</v>
      </c>
      <c r="I255" s="5" t="str">
        <f>IFERROR(__xludf.DUMMYFUNCTION("""COMPUTED_VALUE"""),"877954a5-b44b-4f9a-8337-29760b467573")</f>
        <v>877954a5-b44b-4f9a-8337-29760b467573</v>
      </c>
      <c r="J255" s="4" t="s">
        <v>12603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35" t="s">
        <v>13039</v>
      </c>
      <c r="H256" s="32" t="str">
        <f>IFERROR(__xludf.DUMMYFUNCTION("SPLIT(G256,""="")"),"https://payment.likeminds.community/?plan_id")</f>
        <v>https://payment.likeminds.community/?plan_id</v>
      </c>
      <c r="I256" s="5" t="str">
        <f>IFERROR(__xludf.DUMMYFUNCTION("""COMPUTED_VALUE"""),"5ef4afd4-5eb5-42cc-8c1c-d9ed7907d11c")</f>
        <v>5ef4afd4-5eb5-42cc-8c1c-d9ed7907d11c</v>
      </c>
      <c r="J256" s="4" t="s">
        <v>12603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35" t="s">
        <v>13040</v>
      </c>
      <c r="H257" s="32" t="str">
        <f>IFERROR(__xludf.DUMMYFUNCTION("SPLIT(G257,""="")"),"https://payment.likeminds.community/?plan_id")</f>
        <v>https://payment.likeminds.community/?plan_id</v>
      </c>
      <c r="I257" s="5" t="str">
        <f>IFERROR(__xludf.DUMMYFUNCTION("""COMPUTED_VALUE"""),"003111c6-2771-4c5f-987d-84a3072c7d3e")</f>
        <v>003111c6-2771-4c5f-987d-84a3072c7d3e</v>
      </c>
      <c r="J257" s="4" t="s">
        <v>12603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35" t="s">
        <v>13041</v>
      </c>
      <c r="H258" s="32" t="str">
        <f>IFERROR(__xludf.DUMMYFUNCTION("SPLIT(G258,""="")"),"https://payment.likeminds.community/?plan_id")</f>
        <v>https://payment.likeminds.community/?plan_id</v>
      </c>
      <c r="I258" s="5" t="str">
        <f>IFERROR(__xludf.DUMMYFUNCTION("""COMPUTED_VALUE"""),"40c57f55-5bc8-4916-b022-f579135bcf02")</f>
        <v>40c57f55-5bc8-4916-b022-f579135bcf02</v>
      </c>
      <c r="J258" s="4" t="s">
        <v>12603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35" t="s">
        <v>13042</v>
      </c>
      <c r="H259" s="32" t="str">
        <f>IFERROR(__xludf.DUMMYFUNCTION("SPLIT(G259,""="")"),"https://payment.likeminds.community/?plan_id")</f>
        <v>https://payment.likeminds.community/?plan_id</v>
      </c>
      <c r="I259" s="5" t="str">
        <f>IFERROR(__xludf.DUMMYFUNCTION("""COMPUTED_VALUE"""),"4479f19c-5f8b-4232-8597-ab572c963d8b")</f>
        <v>4479f19c-5f8b-4232-8597-ab572c963d8b</v>
      </c>
      <c r="J259" s="4" t="s">
        <v>12603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35" t="s">
        <v>13043</v>
      </c>
      <c r="H260" s="32" t="str">
        <f>IFERROR(__xludf.DUMMYFUNCTION("SPLIT(G260,""="")"),"https://payment.likeminds.community/?plan_id")</f>
        <v>https://payment.likeminds.community/?plan_id</v>
      </c>
      <c r="I260" s="5" t="str">
        <f>IFERROR(__xludf.DUMMYFUNCTION("""COMPUTED_VALUE"""),"41f0b0d0-5573-4fa6-909a-7e6afad9a12a")</f>
        <v>41f0b0d0-5573-4fa6-909a-7e6afad9a12a</v>
      </c>
      <c r="J260" s="4" t="s">
        <v>12603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35" t="s">
        <v>13044</v>
      </c>
      <c r="H261" s="32" t="str">
        <f>IFERROR(__xludf.DUMMYFUNCTION("SPLIT(G261,""="")"),"https://payment.likeminds.community/?plan_id")</f>
        <v>https://payment.likeminds.community/?plan_id</v>
      </c>
      <c r="I261" s="5" t="str">
        <f>IFERROR(__xludf.DUMMYFUNCTION("""COMPUTED_VALUE"""),"f4a31747-f080-4e54-9a1a-485b47713465")</f>
        <v>f4a31747-f080-4e54-9a1a-485b47713465</v>
      </c>
      <c r="J261" s="4" t="s">
        <v>12603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35" t="s">
        <v>13045</v>
      </c>
      <c r="H262" s="32" t="str">
        <f>IFERROR(__xludf.DUMMYFUNCTION("SPLIT(G262,""="")"),"https://payment.likeminds.community/?plan_id")</f>
        <v>https://payment.likeminds.community/?plan_id</v>
      </c>
      <c r="I262" s="5" t="str">
        <f>IFERROR(__xludf.DUMMYFUNCTION("""COMPUTED_VALUE"""),"099e065c-f2cf-46f4-808a-30d7f271f71d")</f>
        <v>099e065c-f2cf-46f4-808a-30d7f271f71d</v>
      </c>
      <c r="J262" s="4" t="s">
        <v>12603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35" t="s">
        <v>13046</v>
      </c>
      <c r="H263" s="32" t="str">
        <f>IFERROR(__xludf.DUMMYFUNCTION("SPLIT(G263,""="")"),"https://payment.likeminds.community/?plan_id")</f>
        <v>https://payment.likeminds.community/?plan_id</v>
      </c>
      <c r="I263" s="5" t="str">
        <f>IFERROR(__xludf.DUMMYFUNCTION("""COMPUTED_VALUE"""),"f68eabb2-3799-4748-b0bc-a1a2381ca015")</f>
        <v>f68eabb2-3799-4748-b0bc-a1a2381ca015</v>
      </c>
      <c r="J263" s="4" t="s">
        <v>12603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35" t="s">
        <v>13047</v>
      </c>
      <c r="H264" s="32" t="str">
        <f>IFERROR(__xludf.DUMMYFUNCTION("SPLIT(G264,""="")"),"https://payment.likeminds.community/?plan_id")</f>
        <v>https://payment.likeminds.community/?plan_id</v>
      </c>
      <c r="I264" s="5" t="str">
        <f>IFERROR(__xludf.DUMMYFUNCTION("""COMPUTED_VALUE"""),"b33360f2-cec6-427a-8f26-91a79b2ecb90")</f>
        <v>b33360f2-cec6-427a-8f26-91a79b2ecb90</v>
      </c>
      <c r="J264" s="4" t="s">
        <v>12603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35" t="s">
        <v>13048</v>
      </c>
      <c r="H265" s="32" t="str">
        <f>IFERROR(__xludf.DUMMYFUNCTION("SPLIT(G265,""="")"),"https://payment.likeminds.community/?plan_id")</f>
        <v>https://payment.likeminds.community/?plan_id</v>
      </c>
      <c r="I265" s="5" t="str">
        <f>IFERROR(__xludf.DUMMYFUNCTION("""COMPUTED_VALUE"""),"plan_H4kFPtqEDc5Cxg")</f>
        <v>plan_H4kFPtqEDc5Cxg</v>
      </c>
      <c r="J265" s="4" t="s">
        <v>12603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</sheetData>
  <autoFilter ref="$A$1:$I$265">
    <sortState ref="A1:I265">
      <sortCondition ref="A1:A265"/>
    </sortState>
  </autoFilter>
  <hyperlinks>
    <hyperlink r:id="rId1" ref="G205"/>
    <hyperlink r:id="rId2" ref="G206"/>
    <hyperlink r:id="rId3" ref="G207"/>
    <hyperlink r:id="rId4" ref="G208"/>
    <hyperlink r:id="rId5" ref="G209"/>
    <hyperlink r:id="rId6" ref="G210"/>
    <hyperlink r:id="rId7" ref="G211"/>
    <hyperlink r:id="rId8" ref="G212"/>
    <hyperlink r:id="rId9" ref="G213"/>
    <hyperlink r:id="rId10" ref="G214"/>
    <hyperlink r:id="rId11" ref="G215"/>
    <hyperlink r:id="rId12" ref="G216"/>
    <hyperlink r:id="rId13" ref="G217"/>
    <hyperlink r:id="rId14" ref="G218"/>
    <hyperlink r:id="rId15" ref="G219"/>
    <hyperlink r:id="rId16" ref="G220"/>
    <hyperlink r:id="rId17" ref="G221"/>
    <hyperlink r:id="rId18" ref="G222"/>
    <hyperlink r:id="rId19" ref="G223"/>
    <hyperlink r:id="rId20" ref="G224"/>
    <hyperlink r:id="rId21" ref="G225"/>
    <hyperlink r:id="rId22" ref="G226"/>
    <hyperlink r:id="rId23" ref="G227"/>
    <hyperlink r:id="rId24" ref="G228"/>
    <hyperlink r:id="rId25" ref="G229"/>
    <hyperlink r:id="rId26" ref="G230"/>
    <hyperlink r:id="rId27" ref="G231"/>
    <hyperlink r:id="rId28" ref="G232"/>
    <hyperlink r:id="rId29" ref="G233"/>
    <hyperlink r:id="rId30" ref="G234"/>
    <hyperlink r:id="rId31" ref="G235"/>
    <hyperlink r:id="rId32" ref="G236"/>
    <hyperlink r:id="rId33" ref="G237"/>
    <hyperlink r:id="rId34" ref="G238"/>
    <hyperlink r:id="rId35" ref="G239"/>
    <hyperlink r:id="rId36" ref="G240"/>
    <hyperlink r:id="rId37" ref="G241"/>
    <hyperlink r:id="rId38" ref="G242"/>
    <hyperlink r:id="rId39" ref="G243"/>
    <hyperlink r:id="rId40" ref="G244"/>
    <hyperlink r:id="rId41" ref="G245"/>
    <hyperlink r:id="rId42" ref="G246"/>
    <hyperlink r:id="rId43" ref="G247"/>
    <hyperlink r:id="rId44" ref="G248"/>
    <hyperlink r:id="rId45" ref="G249"/>
    <hyperlink r:id="rId46" ref="G250"/>
    <hyperlink r:id="rId47" ref="G251"/>
    <hyperlink r:id="rId48" ref="G252"/>
    <hyperlink r:id="rId49" ref="G253"/>
    <hyperlink r:id="rId50" ref="G254"/>
    <hyperlink r:id="rId51" ref="G255"/>
    <hyperlink r:id="rId52" ref="G256"/>
    <hyperlink r:id="rId53" ref="G257"/>
    <hyperlink r:id="rId54" ref="G258"/>
    <hyperlink r:id="rId55" ref="G259"/>
    <hyperlink r:id="rId56" ref="G260"/>
    <hyperlink r:id="rId57" ref="G261"/>
    <hyperlink r:id="rId58" ref="G262"/>
    <hyperlink r:id="rId59" ref="G263"/>
    <hyperlink r:id="rId60" ref="G264"/>
    <hyperlink r:id="rId61" ref="G265"/>
  </hyperlinks>
  <drawing r:id="rId6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4" t="s">
        <v>12600</v>
      </c>
      <c r="B1" s="4" t="s">
        <v>13049</v>
      </c>
      <c r="C1" s="4" t="s">
        <v>48</v>
      </c>
      <c r="D1" s="4" t="s">
        <v>13050</v>
      </c>
      <c r="E1" s="4" t="s">
        <v>13051</v>
      </c>
      <c r="F1" s="4" t="s">
        <v>13052</v>
      </c>
      <c r="G1" s="4" t="s">
        <v>13053</v>
      </c>
      <c r="H1" s="4" t="s">
        <v>13054</v>
      </c>
      <c r="I1" s="4" t="s">
        <v>13055</v>
      </c>
      <c r="J1" s="4" t="s">
        <v>49</v>
      </c>
      <c r="K1" s="4" t="s">
        <v>56</v>
      </c>
      <c r="L1" s="4" t="s">
        <v>13056</v>
      </c>
      <c r="M1" s="4" t="s">
        <v>59</v>
      </c>
    </row>
    <row r="2" hidden="1">
      <c r="A2" s="4" t="s">
        <v>13057</v>
      </c>
      <c r="B2" s="4" t="s">
        <v>2455</v>
      </c>
      <c r="C2" s="4">
        <v>49997.0</v>
      </c>
      <c r="D2" s="4" t="s">
        <v>13058</v>
      </c>
      <c r="E2" s="4">
        <v>99.0</v>
      </c>
      <c r="F2" s="4">
        <v>1.0</v>
      </c>
      <c r="G2" s="12" t="s">
        <v>13059</v>
      </c>
      <c r="H2" s="4" t="s">
        <v>13060</v>
      </c>
      <c r="I2" s="4" t="s">
        <v>13061</v>
      </c>
      <c r="J2" s="5"/>
      <c r="K2" s="4" t="s">
        <v>67</v>
      </c>
      <c r="L2" s="4">
        <v>0.0</v>
      </c>
      <c r="M2" s="15" t="str">
        <f>VLOOKUP(A2,'Live Plan Data'!I:J,2, False)</f>
        <v>#N/A</v>
      </c>
    </row>
    <row r="3" hidden="1">
      <c r="A3" s="4" t="s">
        <v>13062</v>
      </c>
      <c r="B3" s="4" t="s">
        <v>2455</v>
      </c>
      <c r="C3" s="4">
        <v>49997.0</v>
      </c>
      <c r="D3" s="4" t="s">
        <v>13063</v>
      </c>
      <c r="E3" s="4">
        <v>199.0</v>
      </c>
      <c r="F3" s="4">
        <v>3.0</v>
      </c>
      <c r="G3" s="12" t="s">
        <v>13059</v>
      </c>
      <c r="H3" s="4" t="s">
        <v>13060</v>
      </c>
      <c r="I3" s="4" t="s">
        <v>13061</v>
      </c>
      <c r="J3" s="5"/>
      <c r="K3" s="4" t="s">
        <v>67</v>
      </c>
      <c r="L3" s="4">
        <v>0.0</v>
      </c>
      <c r="M3" s="15" t="str">
        <f>VLOOKUP(A3,'Live Plan Data'!I:J,2, False)</f>
        <v>#N/A</v>
      </c>
    </row>
    <row r="4" hidden="1">
      <c r="A4" s="4" t="s">
        <v>13064</v>
      </c>
      <c r="B4" s="4" t="s">
        <v>2455</v>
      </c>
      <c r="C4" s="4">
        <v>49997.0</v>
      </c>
      <c r="D4" s="4" t="s">
        <v>13065</v>
      </c>
      <c r="E4" s="4">
        <v>349.0</v>
      </c>
      <c r="F4" s="4">
        <v>6.0</v>
      </c>
      <c r="G4" s="12" t="s">
        <v>13059</v>
      </c>
      <c r="H4" s="4" t="s">
        <v>13060</v>
      </c>
      <c r="I4" s="4" t="s">
        <v>13061</v>
      </c>
      <c r="J4" s="5"/>
      <c r="K4" s="4" t="s">
        <v>67</v>
      </c>
      <c r="L4" s="4">
        <v>0.0</v>
      </c>
      <c r="M4" s="15" t="str">
        <f>VLOOKUP(A4,'Live Plan Data'!I:J,2, False)</f>
        <v>#N/A</v>
      </c>
    </row>
    <row r="5" hidden="1">
      <c r="A5" s="4" t="s">
        <v>13066</v>
      </c>
      <c r="B5" s="4" t="s">
        <v>13067</v>
      </c>
      <c r="C5" s="4">
        <v>49864.0</v>
      </c>
      <c r="D5" s="4" t="s">
        <v>13063</v>
      </c>
      <c r="E5" s="4">
        <v>99.0</v>
      </c>
      <c r="F5" s="4">
        <v>3.0</v>
      </c>
      <c r="G5" s="12" t="s">
        <v>13068</v>
      </c>
      <c r="H5" s="4" t="s">
        <v>13069</v>
      </c>
      <c r="I5" s="4" t="s">
        <v>6693</v>
      </c>
      <c r="J5" s="5"/>
      <c r="K5" s="4" t="s">
        <v>67</v>
      </c>
      <c r="L5" s="4">
        <v>0.0</v>
      </c>
      <c r="M5" s="15" t="str">
        <f>VLOOKUP(A5,'Live Plan Data'!I:J,2, False)</f>
        <v>#N/A</v>
      </c>
    </row>
    <row r="6" hidden="1">
      <c r="A6" s="4" t="s">
        <v>13070</v>
      </c>
      <c r="B6" s="4" t="s">
        <v>1476</v>
      </c>
      <c r="C6" s="4">
        <v>50009.0</v>
      </c>
      <c r="D6" s="4" t="s">
        <v>13058</v>
      </c>
      <c r="E6" s="4">
        <v>99.0</v>
      </c>
      <c r="F6" s="4">
        <v>1.0</v>
      </c>
      <c r="G6" s="12" t="s">
        <v>13071</v>
      </c>
      <c r="H6" s="4" t="s">
        <v>13072</v>
      </c>
      <c r="I6" s="4" t="s">
        <v>13061</v>
      </c>
      <c r="J6" s="5"/>
      <c r="K6" s="4" t="s">
        <v>67</v>
      </c>
      <c r="L6" s="4">
        <v>0.0</v>
      </c>
      <c r="M6" s="15" t="str">
        <f>VLOOKUP(A6,'Live Plan Data'!I:J,2, False)</f>
        <v>#N/A</v>
      </c>
    </row>
    <row r="7" hidden="1">
      <c r="A7" s="4" t="s">
        <v>13073</v>
      </c>
      <c r="B7" s="4" t="s">
        <v>1476</v>
      </c>
      <c r="C7" s="4">
        <v>50009.0</v>
      </c>
      <c r="D7" s="4" t="s">
        <v>13063</v>
      </c>
      <c r="E7" s="4">
        <v>199.0</v>
      </c>
      <c r="F7" s="4">
        <v>3.0</v>
      </c>
      <c r="G7" s="12" t="s">
        <v>13071</v>
      </c>
      <c r="H7" s="4" t="s">
        <v>13072</v>
      </c>
      <c r="I7" s="4" t="s">
        <v>13061</v>
      </c>
      <c r="J7" s="5"/>
      <c r="K7" s="4" t="s">
        <v>67</v>
      </c>
      <c r="L7" s="4">
        <v>0.0</v>
      </c>
      <c r="M7" s="15" t="str">
        <f>VLOOKUP(A7,'Live Plan Data'!I:J,2, False)</f>
        <v>#N/A</v>
      </c>
    </row>
    <row r="8" hidden="1">
      <c r="A8" s="4" t="s">
        <v>13074</v>
      </c>
      <c r="B8" s="4" t="s">
        <v>1476</v>
      </c>
      <c r="C8" s="4">
        <v>50009.0</v>
      </c>
      <c r="D8" s="4" t="s">
        <v>13065</v>
      </c>
      <c r="E8" s="4">
        <v>349.0</v>
      </c>
      <c r="F8" s="4">
        <v>6.0</v>
      </c>
      <c r="G8" s="12" t="s">
        <v>13071</v>
      </c>
      <c r="H8" s="4" t="s">
        <v>13072</v>
      </c>
      <c r="I8" s="4" t="s">
        <v>13061</v>
      </c>
      <c r="J8" s="5"/>
      <c r="K8" s="4" t="s">
        <v>67</v>
      </c>
      <c r="L8" s="4">
        <v>0.0</v>
      </c>
      <c r="M8" s="15" t="str">
        <f>VLOOKUP(A8,'Live Plan Data'!I:J,2, False)</f>
        <v>#N/A</v>
      </c>
    </row>
    <row r="9" hidden="1">
      <c r="A9" s="4" t="s">
        <v>13075</v>
      </c>
      <c r="B9" s="4" t="s">
        <v>3008</v>
      </c>
      <c r="C9" s="4">
        <v>50020.0</v>
      </c>
      <c r="D9" s="4" t="s">
        <v>13058</v>
      </c>
      <c r="E9" s="4">
        <v>99.0</v>
      </c>
      <c r="F9" s="4">
        <v>1.0</v>
      </c>
      <c r="G9" s="12" t="s">
        <v>13076</v>
      </c>
      <c r="H9" s="4" t="s">
        <v>13077</v>
      </c>
      <c r="I9" s="4" t="s">
        <v>13078</v>
      </c>
      <c r="J9" s="5"/>
      <c r="K9" s="4" t="s">
        <v>67</v>
      </c>
      <c r="L9" s="4">
        <v>0.0</v>
      </c>
      <c r="M9" s="15" t="str">
        <f>VLOOKUP(A9,'Live Plan Data'!I:J,2, False)</f>
        <v>#N/A</v>
      </c>
    </row>
    <row r="10" hidden="1">
      <c r="A10" s="4" t="s">
        <v>13079</v>
      </c>
      <c r="B10" s="4" t="s">
        <v>3008</v>
      </c>
      <c r="C10" s="4">
        <v>50020.0</v>
      </c>
      <c r="D10" s="4" t="s">
        <v>13063</v>
      </c>
      <c r="E10" s="4">
        <v>199.0</v>
      </c>
      <c r="F10" s="4">
        <v>3.0</v>
      </c>
      <c r="G10" s="12" t="s">
        <v>13076</v>
      </c>
      <c r="H10" s="4" t="s">
        <v>13077</v>
      </c>
      <c r="I10" s="4" t="s">
        <v>13078</v>
      </c>
      <c r="J10" s="5"/>
      <c r="K10" s="4" t="s">
        <v>67</v>
      </c>
      <c r="L10" s="4">
        <v>0.0</v>
      </c>
      <c r="M10" s="15" t="str">
        <f>VLOOKUP(A10,'Live Plan Data'!I:J,2, False)</f>
        <v>#N/A</v>
      </c>
    </row>
    <row r="11" hidden="1">
      <c r="A11" s="4" t="s">
        <v>13080</v>
      </c>
      <c r="B11" s="4" t="s">
        <v>3008</v>
      </c>
      <c r="C11" s="4">
        <v>50020.0</v>
      </c>
      <c r="D11" s="4" t="s">
        <v>13065</v>
      </c>
      <c r="E11" s="4">
        <v>349.0</v>
      </c>
      <c r="F11" s="4">
        <v>6.0</v>
      </c>
      <c r="G11" s="12" t="s">
        <v>13076</v>
      </c>
      <c r="H11" s="4" t="s">
        <v>13077</v>
      </c>
      <c r="I11" s="4" t="s">
        <v>13078</v>
      </c>
      <c r="J11" s="5"/>
      <c r="K11" s="4" t="s">
        <v>67</v>
      </c>
      <c r="L11" s="4">
        <v>0.0</v>
      </c>
      <c r="M11" s="15" t="str">
        <f>VLOOKUP(A11,'Live Plan Data'!I:J,2, False)</f>
        <v>#N/A</v>
      </c>
    </row>
    <row r="12">
      <c r="A12" s="4" t="s">
        <v>13081</v>
      </c>
      <c r="B12" s="4" t="s">
        <v>13082</v>
      </c>
      <c r="C12" s="4">
        <v>50007.0</v>
      </c>
      <c r="D12" s="4" t="s">
        <v>13058</v>
      </c>
      <c r="E12" s="4">
        <v>99.0</v>
      </c>
      <c r="F12" s="4">
        <v>1.0</v>
      </c>
      <c r="G12" s="12" t="s">
        <v>13083</v>
      </c>
      <c r="H12" s="4" t="s">
        <v>13084</v>
      </c>
      <c r="I12" s="4" t="s">
        <v>13061</v>
      </c>
      <c r="J12" s="5"/>
      <c r="K12" s="4" t="s">
        <v>67</v>
      </c>
      <c r="L12" s="4">
        <v>0.0</v>
      </c>
      <c r="M12" s="15" t="str">
        <f>VLOOKUP(A12,'Live Plan Data'!I:J,2, False)</f>
        <v>Active</v>
      </c>
    </row>
    <row r="13">
      <c r="A13" s="4" t="s">
        <v>13085</v>
      </c>
      <c r="B13" s="4" t="s">
        <v>13082</v>
      </c>
      <c r="C13" s="4">
        <v>50007.0</v>
      </c>
      <c r="D13" s="4" t="s">
        <v>13063</v>
      </c>
      <c r="E13" s="4">
        <v>199.0</v>
      </c>
      <c r="F13" s="4">
        <v>3.0</v>
      </c>
      <c r="G13" s="12" t="s">
        <v>13083</v>
      </c>
      <c r="H13" s="4" t="s">
        <v>13084</v>
      </c>
      <c r="I13" s="4" t="s">
        <v>13061</v>
      </c>
      <c r="J13" s="5"/>
      <c r="K13" s="4" t="s">
        <v>67</v>
      </c>
      <c r="L13" s="4">
        <v>0.0</v>
      </c>
      <c r="M13" s="15" t="str">
        <f>VLOOKUP(A13,'Live Plan Data'!I:J,2, False)</f>
        <v>Active</v>
      </c>
    </row>
    <row r="14">
      <c r="A14" s="4" t="s">
        <v>13086</v>
      </c>
      <c r="B14" s="4" t="s">
        <v>13082</v>
      </c>
      <c r="C14" s="4">
        <v>50007.0</v>
      </c>
      <c r="D14" s="4" t="s">
        <v>13065</v>
      </c>
      <c r="E14" s="4">
        <v>349.0</v>
      </c>
      <c r="F14" s="4">
        <v>6.0</v>
      </c>
      <c r="G14" s="12" t="s">
        <v>13083</v>
      </c>
      <c r="H14" s="4" t="s">
        <v>13084</v>
      </c>
      <c r="I14" s="4" t="s">
        <v>13061</v>
      </c>
      <c r="J14" s="5"/>
      <c r="K14" s="4" t="s">
        <v>67</v>
      </c>
      <c r="L14" s="4">
        <v>0.0</v>
      </c>
      <c r="M14" s="15" t="str">
        <f>VLOOKUP(A14,'Live Plan Data'!I:J,2, False)</f>
        <v>Active</v>
      </c>
    </row>
    <row r="15">
      <c r="A15" s="4" t="s">
        <v>13087</v>
      </c>
      <c r="B15" s="4" t="s">
        <v>3055</v>
      </c>
      <c r="C15" s="4">
        <v>49991.0</v>
      </c>
      <c r="D15" s="4" t="s">
        <v>13058</v>
      </c>
      <c r="E15" s="4">
        <v>99.0</v>
      </c>
      <c r="F15" s="4">
        <v>1.0</v>
      </c>
      <c r="G15" s="12" t="s">
        <v>13088</v>
      </c>
      <c r="H15" s="4" t="s">
        <v>13089</v>
      </c>
      <c r="I15" s="4" t="s">
        <v>13061</v>
      </c>
      <c r="J15" s="5"/>
      <c r="K15" s="4" t="s">
        <v>67</v>
      </c>
      <c r="L15" s="4">
        <v>0.0</v>
      </c>
      <c r="M15" s="15" t="str">
        <f>VLOOKUP(A15,'Live Plan Data'!I:J,2, False)</f>
        <v>Active</v>
      </c>
    </row>
    <row r="16">
      <c r="A16" s="4" t="s">
        <v>13090</v>
      </c>
      <c r="B16" s="4" t="s">
        <v>3055</v>
      </c>
      <c r="C16" s="4">
        <v>49991.0</v>
      </c>
      <c r="D16" s="4" t="s">
        <v>13063</v>
      </c>
      <c r="E16" s="4">
        <v>199.0</v>
      </c>
      <c r="F16" s="4">
        <v>3.0</v>
      </c>
      <c r="G16" s="12" t="s">
        <v>13088</v>
      </c>
      <c r="H16" s="4" t="s">
        <v>13089</v>
      </c>
      <c r="I16" s="4" t="s">
        <v>13061</v>
      </c>
      <c r="J16" s="5"/>
      <c r="K16" s="4" t="s">
        <v>67</v>
      </c>
      <c r="L16" s="4">
        <v>0.0</v>
      </c>
      <c r="M16" s="15" t="str">
        <f>VLOOKUP(A16,'Live Plan Data'!I:J,2, False)</f>
        <v>Active</v>
      </c>
    </row>
    <row r="17">
      <c r="A17" s="4" t="s">
        <v>13091</v>
      </c>
      <c r="B17" s="4" t="s">
        <v>3055</v>
      </c>
      <c r="C17" s="4">
        <v>49991.0</v>
      </c>
      <c r="D17" s="4" t="s">
        <v>13065</v>
      </c>
      <c r="E17" s="4">
        <v>349.0</v>
      </c>
      <c r="F17" s="4">
        <v>6.0</v>
      </c>
      <c r="G17" s="12" t="s">
        <v>13088</v>
      </c>
      <c r="H17" s="4" t="s">
        <v>13089</v>
      </c>
      <c r="I17" s="4" t="s">
        <v>13061</v>
      </c>
      <c r="J17" s="5"/>
      <c r="K17" s="4" t="s">
        <v>67</v>
      </c>
      <c r="L17" s="4">
        <v>0.0</v>
      </c>
      <c r="M17" s="15" t="str">
        <f>VLOOKUP(A17,'Live Plan Data'!I:J,2, False)</f>
        <v>Active</v>
      </c>
    </row>
    <row r="18" hidden="1">
      <c r="A18" s="4" t="s">
        <v>13092</v>
      </c>
      <c r="B18" s="4" t="s">
        <v>137</v>
      </c>
      <c r="C18" s="4">
        <v>49831.0</v>
      </c>
      <c r="D18" s="4" t="s">
        <v>13058</v>
      </c>
      <c r="E18" s="4">
        <v>299.0</v>
      </c>
      <c r="F18" s="4">
        <v>1.0</v>
      </c>
      <c r="G18" s="12" t="s">
        <v>13093</v>
      </c>
      <c r="H18" s="4" t="s">
        <v>13094</v>
      </c>
      <c r="I18" s="4" t="s">
        <v>6693</v>
      </c>
      <c r="J18" s="5"/>
      <c r="K18" s="4" t="s">
        <v>67</v>
      </c>
      <c r="L18" s="4">
        <v>0.0</v>
      </c>
      <c r="M18" s="15" t="str">
        <f>VLOOKUP(A18,'Live Plan Data'!I:J,2, False)</f>
        <v>#N/A</v>
      </c>
    </row>
    <row r="19" hidden="1">
      <c r="A19" s="4" t="s">
        <v>13095</v>
      </c>
      <c r="B19" s="4" t="s">
        <v>137</v>
      </c>
      <c r="C19" s="4">
        <v>49831.0</v>
      </c>
      <c r="D19" s="4" t="s">
        <v>13063</v>
      </c>
      <c r="E19" s="4">
        <v>499.0</v>
      </c>
      <c r="F19" s="4">
        <v>3.0</v>
      </c>
      <c r="G19" s="12" t="s">
        <v>13093</v>
      </c>
      <c r="H19" s="4" t="s">
        <v>13094</v>
      </c>
      <c r="I19" s="4" t="s">
        <v>6693</v>
      </c>
      <c r="J19" s="5"/>
      <c r="K19" s="4" t="s">
        <v>67</v>
      </c>
      <c r="L19" s="4">
        <v>0.0</v>
      </c>
      <c r="M19" s="15" t="str">
        <f>VLOOKUP(A19,'Live Plan Data'!I:J,2, False)</f>
        <v>#N/A</v>
      </c>
    </row>
    <row r="20" hidden="1">
      <c r="A20" s="4" t="s">
        <v>13096</v>
      </c>
      <c r="B20" s="4" t="s">
        <v>137</v>
      </c>
      <c r="C20" s="4">
        <v>49831.0</v>
      </c>
      <c r="D20" s="4" t="s">
        <v>13065</v>
      </c>
      <c r="E20" s="4">
        <v>799.0</v>
      </c>
      <c r="F20" s="4">
        <v>6.0</v>
      </c>
      <c r="G20" s="12" t="s">
        <v>13093</v>
      </c>
      <c r="H20" s="4" t="s">
        <v>13094</v>
      </c>
      <c r="I20" s="4" t="s">
        <v>6693</v>
      </c>
      <c r="J20" s="5"/>
      <c r="K20" s="4" t="s">
        <v>67</v>
      </c>
      <c r="L20" s="4">
        <v>0.0</v>
      </c>
      <c r="M20" s="15" t="str">
        <f>VLOOKUP(A20,'Live Plan Data'!I:J,2, False)</f>
        <v>#N/A</v>
      </c>
    </row>
    <row r="21" hidden="1">
      <c r="A21" s="4" t="s">
        <v>13097</v>
      </c>
      <c r="B21" s="4" t="s">
        <v>76</v>
      </c>
      <c r="C21" s="4">
        <v>49834.0</v>
      </c>
      <c r="D21" s="4" t="s">
        <v>13058</v>
      </c>
      <c r="E21" s="4">
        <v>99.0</v>
      </c>
      <c r="F21" s="4">
        <v>1.0</v>
      </c>
      <c r="G21" s="12" t="s">
        <v>13098</v>
      </c>
      <c r="H21" s="4" t="s">
        <v>13099</v>
      </c>
      <c r="I21" s="4" t="s">
        <v>6693</v>
      </c>
      <c r="J21" s="5"/>
      <c r="K21" s="4" t="s">
        <v>67</v>
      </c>
      <c r="L21" s="4">
        <v>0.0</v>
      </c>
      <c r="M21" s="15" t="str">
        <f>VLOOKUP(A21,'Live Plan Data'!I:J,2, False)</f>
        <v>#N/A</v>
      </c>
    </row>
    <row r="22" hidden="1">
      <c r="A22" s="4" t="s">
        <v>13100</v>
      </c>
      <c r="B22" s="4" t="s">
        <v>76</v>
      </c>
      <c r="C22" s="4">
        <v>49834.0</v>
      </c>
      <c r="D22" s="4" t="s">
        <v>13063</v>
      </c>
      <c r="E22" s="4">
        <v>199.0</v>
      </c>
      <c r="F22" s="4">
        <v>3.0</v>
      </c>
      <c r="G22" s="12" t="s">
        <v>13098</v>
      </c>
      <c r="H22" s="4" t="s">
        <v>13099</v>
      </c>
      <c r="I22" s="4" t="s">
        <v>6693</v>
      </c>
      <c r="J22" s="5"/>
      <c r="K22" s="4" t="s">
        <v>67</v>
      </c>
      <c r="L22" s="4">
        <v>0.0</v>
      </c>
      <c r="M22" s="15" t="str">
        <f>VLOOKUP(A22,'Live Plan Data'!I:J,2, False)</f>
        <v>#N/A</v>
      </c>
    </row>
    <row r="23" hidden="1">
      <c r="A23" s="4" t="s">
        <v>13101</v>
      </c>
      <c r="B23" s="4" t="s">
        <v>76</v>
      </c>
      <c r="C23" s="4">
        <v>49834.0</v>
      </c>
      <c r="D23" s="4" t="s">
        <v>13065</v>
      </c>
      <c r="E23" s="4">
        <v>349.0</v>
      </c>
      <c r="F23" s="4">
        <v>6.0</v>
      </c>
      <c r="G23" s="12" t="s">
        <v>13098</v>
      </c>
      <c r="H23" s="4" t="s">
        <v>13099</v>
      </c>
      <c r="I23" s="4" t="s">
        <v>6693</v>
      </c>
      <c r="J23" s="5"/>
      <c r="K23" s="4" t="s">
        <v>67</v>
      </c>
      <c r="L23" s="4">
        <v>0.0</v>
      </c>
      <c r="M23" s="15" t="str">
        <f>VLOOKUP(A23,'Live Plan Data'!I:J,2, False)</f>
        <v>#N/A</v>
      </c>
    </row>
    <row r="24" hidden="1">
      <c r="A24" s="4" t="s">
        <v>13102</v>
      </c>
      <c r="B24" s="4" t="s">
        <v>3610</v>
      </c>
      <c r="C24" s="4">
        <v>49992.0</v>
      </c>
      <c r="D24" s="4" t="s">
        <v>13058</v>
      </c>
      <c r="E24" s="4">
        <v>99.0</v>
      </c>
      <c r="F24" s="4">
        <v>1.0</v>
      </c>
      <c r="G24" s="12" t="s">
        <v>13103</v>
      </c>
      <c r="H24" s="4" t="s">
        <v>13104</v>
      </c>
      <c r="I24" s="4" t="s">
        <v>13061</v>
      </c>
      <c r="J24" s="5"/>
      <c r="K24" s="4" t="s">
        <v>67</v>
      </c>
      <c r="L24" s="4">
        <v>0.0</v>
      </c>
      <c r="M24" s="15" t="str">
        <f>VLOOKUP(A24,'Live Plan Data'!I:J,2, False)</f>
        <v>#N/A</v>
      </c>
    </row>
    <row r="25" hidden="1">
      <c r="A25" s="4" t="s">
        <v>13105</v>
      </c>
      <c r="B25" s="4" t="s">
        <v>3610</v>
      </c>
      <c r="C25" s="4">
        <v>49992.0</v>
      </c>
      <c r="D25" s="4" t="s">
        <v>13063</v>
      </c>
      <c r="E25" s="4">
        <v>199.0</v>
      </c>
      <c r="F25" s="4">
        <v>3.0</v>
      </c>
      <c r="G25" s="12" t="s">
        <v>13103</v>
      </c>
      <c r="H25" s="4" t="s">
        <v>13104</v>
      </c>
      <c r="I25" s="4" t="s">
        <v>13061</v>
      </c>
      <c r="J25" s="5"/>
      <c r="K25" s="4" t="s">
        <v>67</v>
      </c>
      <c r="L25" s="4">
        <v>0.0</v>
      </c>
      <c r="M25" s="15" t="str">
        <f>VLOOKUP(A25,'Live Plan Data'!I:J,2, False)</f>
        <v>#N/A</v>
      </c>
    </row>
    <row r="26" hidden="1">
      <c r="A26" s="4" t="s">
        <v>13106</v>
      </c>
      <c r="B26" s="4" t="s">
        <v>3610</v>
      </c>
      <c r="C26" s="4">
        <v>49992.0</v>
      </c>
      <c r="D26" s="4" t="s">
        <v>13065</v>
      </c>
      <c r="E26" s="4">
        <v>349.0</v>
      </c>
      <c r="F26" s="4">
        <v>6.0</v>
      </c>
      <c r="G26" s="12" t="s">
        <v>13103</v>
      </c>
      <c r="H26" s="4" t="s">
        <v>13104</v>
      </c>
      <c r="I26" s="4" t="s">
        <v>13061</v>
      </c>
      <c r="J26" s="5"/>
      <c r="K26" s="4" t="s">
        <v>67</v>
      </c>
      <c r="L26" s="4">
        <v>0.0</v>
      </c>
      <c r="M26" s="15" t="str">
        <f>VLOOKUP(A26,'Live Plan Data'!I:J,2, False)</f>
        <v>#N/A</v>
      </c>
    </row>
    <row r="27" hidden="1">
      <c r="A27" s="4" t="s">
        <v>13107</v>
      </c>
      <c r="B27" s="4" t="s">
        <v>587</v>
      </c>
      <c r="C27" s="4">
        <v>49907.0</v>
      </c>
      <c r="D27" s="4" t="s">
        <v>13108</v>
      </c>
      <c r="E27" s="4">
        <v>99.0</v>
      </c>
      <c r="F27" s="4">
        <v>1.0</v>
      </c>
      <c r="G27" s="12" t="s">
        <v>13109</v>
      </c>
      <c r="H27" s="4" t="s">
        <v>13110</v>
      </c>
      <c r="I27" s="4" t="s">
        <v>6693</v>
      </c>
      <c r="J27" s="5"/>
      <c r="K27" s="4" t="s">
        <v>67</v>
      </c>
      <c r="L27" s="4">
        <v>0.0</v>
      </c>
      <c r="M27" s="15" t="str">
        <f>VLOOKUP(A27,'Live Plan Data'!I:J,2, False)</f>
        <v>#N/A</v>
      </c>
    </row>
    <row r="28" hidden="1">
      <c r="A28" s="4" t="s">
        <v>13111</v>
      </c>
      <c r="B28" s="4" t="s">
        <v>587</v>
      </c>
      <c r="C28" s="4">
        <v>49907.0</v>
      </c>
      <c r="D28" s="4" t="s">
        <v>13063</v>
      </c>
      <c r="E28" s="4">
        <v>199.0</v>
      </c>
      <c r="F28" s="4">
        <v>3.0</v>
      </c>
      <c r="G28" s="12" t="s">
        <v>13109</v>
      </c>
      <c r="H28" s="4" t="s">
        <v>13110</v>
      </c>
      <c r="I28" s="4" t="s">
        <v>6693</v>
      </c>
      <c r="J28" s="5"/>
      <c r="K28" s="4" t="s">
        <v>67</v>
      </c>
      <c r="L28" s="4">
        <v>0.0</v>
      </c>
      <c r="M28" s="15" t="str">
        <f>VLOOKUP(A28,'Live Plan Data'!I:J,2, False)</f>
        <v>#N/A</v>
      </c>
    </row>
    <row r="29" hidden="1">
      <c r="A29" s="4" t="s">
        <v>13112</v>
      </c>
      <c r="B29" s="4" t="s">
        <v>587</v>
      </c>
      <c r="C29" s="4">
        <v>49907.0</v>
      </c>
      <c r="D29" s="4" t="s">
        <v>13065</v>
      </c>
      <c r="E29" s="4">
        <v>349.0</v>
      </c>
      <c r="F29" s="4">
        <v>6.0</v>
      </c>
      <c r="G29" s="12" t="s">
        <v>13109</v>
      </c>
      <c r="H29" s="4" t="s">
        <v>13110</v>
      </c>
      <c r="I29" s="4" t="s">
        <v>6693</v>
      </c>
      <c r="J29" s="5"/>
      <c r="K29" s="4" t="s">
        <v>67</v>
      </c>
      <c r="L29" s="4">
        <v>0.0</v>
      </c>
      <c r="M29" s="15" t="str">
        <f>VLOOKUP(A29,'Live Plan Data'!I:J,2, False)</f>
        <v>#N/A</v>
      </c>
    </row>
    <row r="30" hidden="1">
      <c r="A30" s="4" t="s">
        <v>13113</v>
      </c>
      <c r="B30" s="4" t="s">
        <v>680</v>
      </c>
      <c r="C30" s="4">
        <v>49835.0</v>
      </c>
      <c r="D30" s="4" t="s">
        <v>13063</v>
      </c>
      <c r="E30" s="4">
        <v>99.0</v>
      </c>
      <c r="F30" s="4">
        <v>3.0</v>
      </c>
      <c r="G30" s="12" t="s">
        <v>13114</v>
      </c>
      <c r="H30" s="4" t="s">
        <v>13115</v>
      </c>
      <c r="I30" s="4" t="s">
        <v>6693</v>
      </c>
      <c r="J30" s="5"/>
      <c r="K30" s="4" t="s">
        <v>67</v>
      </c>
      <c r="L30" s="4">
        <v>0.0</v>
      </c>
      <c r="M30" s="15" t="str">
        <f>VLOOKUP(A30,'Live Plan Data'!I:J,2, False)</f>
        <v>#N/A</v>
      </c>
    </row>
    <row r="31" hidden="1">
      <c r="A31" s="4" t="s">
        <v>13116</v>
      </c>
      <c r="B31" s="4" t="s">
        <v>184</v>
      </c>
      <c r="C31" s="4">
        <v>49833.0</v>
      </c>
      <c r="D31" s="4" t="s">
        <v>13058</v>
      </c>
      <c r="E31" s="4">
        <v>199.0</v>
      </c>
      <c r="F31" s="4">
        <v>1.0</v>
      </c>
      <c r="G31" s="12" t="s">
        <v>13117</v>
      </c>
      <c r="H31" s="4" t="s">
        <v>13118</v>
      </c>
      <c r="I31" s="4" t="s">
        <v>6693</v>
      </c>
      <c r="J31" s="5"/>
      <c r="K31" s="4" t="s">
        <v>67</v>
      </c>
      <c r="L31" s="4">
        <v>0.0</v>
      </c>
      <c r="M31" s="15" t="str">
        <f>VLOOKUP(A31,'Live Plan Data'!I:J,2, False)</f>
        <v>#N/A</v>
      </c>
    </row>
    <row r="32" hidden="1">
      <c r="A32" s="4" t="s">
        <v>13119</v>
      </c>
      <c r="B32" s="4" t="s">
        <v>184</v>
      </c>
      <c r="C32" s="4">
        <v>49833.0</v>
      </c>
      <c r="D32" s="4" t="s">
        <v>13063</v>
      </c>
      <c r="E32" s="4">
        <v>299.0</v>
      </c>
      <c r="F32" s="4">
        <v>3.0</v>
      </c>
      <c r="G32" s="12" t="s">
        <v>13117</v>
      </c>
      <c r="H32" s="4" t="s">
        <v>13118</v>
      </c>
      <c r="I32" s="4" t="s">
        <v>6693</v>
      </c>
      <c r="J32" s="5"/>
      <c r="K32" s="4" t="s">
        <v>67</v>
      </c>
      <c r="L32" s="4">
        <v>0.0</v>
      </c>
      <c r="M32" s="15" t="str">
        <f>VLOOKUP(A32,'Live Plan Data'!I:J,2, False)</f>
        <v>#N/A</v>
      </c>
    </row>
    <row r="33" hidden="1">
      <c r="A33" s="4" t="s">
        <v>13120</v>
      </c>
      <c r="B33" s="4" t="s">
        <v>184</v>
      </c>
      <c r="C33" s="4">
        <v>49833.0</v>
      </c>
      <c r="D33" s="4" t="s">
        <v>13065</v>
      </c>
      <c r="E33" s="4">
        <v>499.0</v>
      </c>
      <c r="F33" s="4">
        <v>6.0</v>
      </c>
      <c r="G33" s="12" t="s">
        <v>13117</v>
      </c>
      <c r="H33" s="4" t="s">
        <v>13118</v>
      </c>
      <c r="I33" s="4" t="s">
        <v>6693</v>
      </c>
      <c r="J33" s="5"/>
      <c r="K33" s="4" t="s">
        <v>67</v>
      </c>
      <c r="L33" s="4">
        <v>0.0</v>
      </c>
      <c r="M33" s="15" t="str">
        <f>VLOOKUP(A33,'Live Plan Data'!I:J,2, False)</f>
        <v>#N/A</v>
      </c>
    </row>
    <row r="34">
      <c r="A34" s="4" t="s">
        <v>13121</v>
      </c>
      <c r="B34" s="4" t="s">
        <v>280</v>
      </c>
      <c r="C34" s="4">
        <v>49877.0</v>
      </c>
      <c r="D34" s="4" t="s">
        <v>13063</v>
      </c>
      <c r="E34" s="4">
        <v>99.0</v>
      </c>
      <c r="F34" s="4">
        <v>3.0</v>
      </c>
      <c r="G34" s="12" t="s">
        <v>13122</v>
      </c>
      <c r="H34" s="4" t="s">
        <v>13123</v>
      </c>
      <c r="I34" s="4" t="s">
        <v>6693</v>
      </c>
      <c r="J34" s="5"/>
      <c r="K34" s="4" t="s">
        <v>67</v>
      </c>
      <c r="L34" s="4">
        <v>0.0</v>
      </c>
      <c r="M34" s="15" t="str">
        <f>VLOOKUP(A34,'Live Plan Data'!I:J,2, False)</f>
        <v>Active</v>
      </c>
    </row>
    <row r="35" hidden="1">
      <c r="A35" s="4" t="s">
        <v>13124</v>
      </c>
      <c r="B35" s="4" t="s">
        <v>13125</v>
      </c>
      <c r="C35" s="4">
        <v>50005.0</v>
      </c>
      <c r="D35" s="4" t="s">
        <v>13058</v>
      </c>
      <c r="E35" s="4">
        <v>99.0</v>
      </c>
      <c r="F35" s="4">
        <v>1.0</v>
      </c>
      <c r="G35" s="12" t="s">
        <v>13126</v>
      </c>
      <c r="H35" s="4" t="s">
        <v>13127</v>
      </c>
      <c r="I35" s="4" t="s">
        <v>13078</v>
      </c>
      <c r="J35" s="5"/>
      <c r="K35" s="4" t="s">
        <v>67</v>
      </c>
      <c r="L35" s="4">
        <v>0.0</v>
      </c>
      <c r="M35" s="15" t="str">
        <f>VLOOKUP(A35,'Live Plan Data'!I:J,2, False)</f>
        <v>#N/A</v>
      </c>
    </row>
    <row r="36" hidden="1">
      <c r="A36" s="4" t="s">
        <v>13128</v>
      </c>
      <c r="B36" s="4" t="s">
        <v>13125</v>
      </c>
      <c r="C36" s="4">
        <v>50005.0</v>
      </c>
      <c r="D36" s="4" t="s">
        <v>13063</v>
      </c>
      <c r="E36" s="4">
        <v>199.0</v>
      </c>
      <c r="F36" s="4">
        <v>3.0</v>
      </c>
      <c r="G36" s="12" t="s">
        <v>13126</v>
      </c>
      <c r="H36" s="4" t="s">
        <v>13127</v>
      </c>
      <c r="I36" s="4" t="s">
        <v>13078</v>
      </c>
      <c r="J36" s="5"/>
      <c r="K36" s="4" t="s">
        <v>67</v>
      </c>
      <c r="L36" s="4">
        <v>0.0</v>
      </c>
      <c r="M36" s="15" t="str">
        <f>VLOOKUP(A36,'Live Plan Data'!I:J,2, False)</f>
        <v>#N/A</v>
      </c>
    </row>
    <row r="37" hidden="1">
      <c r="A37" s="4" t="s">
        <v>13129</v>
      </c>
      <c r="B37" s="4" t="s">
        <v>13125</v>
      </c>
      <c r="C37" s="4">
        <v>50005.0</v>
      </c>
      <c r="D37" s="4" t="s">
        <v>13065</v>
      </c>
      <c r="E37" s="4">
        <v>349.0</v>
      </c>
      <c r="F37" s="4">
        <v>6.0</v>
      </c>
      <c r="G37" s="12" t="s">
        <v>13126</v>
      </c>
      <c r="H37" s="4" t="s">
        <v>13127</v>
      </c>
      <c r="I37" s="4" t="s">
        <v>13078</v>
      </c>
      <c r="J37" s="5"/>
      <c r="K37" s="4" t="s">
        <v>67</v>
      </c>
      <c r="L37" s="4">
        <v>0.0</v>
      </c>
      <c r="M37" s="15" t="str">
        <f>VLOOKUP(A37,'Live Plan Data'!I:J,2, False)</f>
        <v>#N/A</v>
      </c>
    </row>
    <row r="38" hidden="1">
      <c r="A38" s="4" t="s">
        <v>13130</v>
      </c>
      <c r="B38" s="4" t="s">
        <v>4561</v>
      </c>
      <c r="C38" s="4">
        <v>50031.0</v>
      </c>
      <c r="D38" s="4" t="s">
        <v>13058</v>
      </c>
      <c r="E38" s="4">
        <v>99.0</v>
      </c>
      <c r="F38" s="4">
        <v>1.0</v>
      </c>
      <c r="G38" s="12" t="s">
        <v>13131</v>
      </c>
      <c r="H38" s="4" t="s">
        <v>13132</v>
      </c>
      <c r="I38" s="4" t="s">
        <v>13078</v>
      </c>
      <c r="J38" s="5"/>
      <c r="K38" s="4" t="s">
        <v>67</v>
      </c>
      <c r="L38" s="4">
        <v>0.0</v>
      </c>
      <c r="M38" s="15" t="str">
        <f>VLOOKUP(A38,'Live Plan Data'!I:J,2, False)</f>
        <v>#N/A</v>
      </c>
    </row>
    <row r="39" hidden="1">
      <c r="A39" s="4" t="s">
        <v>13133</v>
      </c>
      <c r="B39" s="4" t="s">
        <v>4561</v>
      </c>
      <c r="C39" s="4">
        <v>50031.0</v>
      </c>
      <c r="D39" s="4" t="s">
        <v>13063</v>
      </c>
      <c r="E39" s="4">
        <v>199.0</v>
      </c>
      <c r="F39" s="4">
        <v>3.0</v>
      </c>
      <c r="G39" s="12" t="s">
        <v>13131</v>
      </c>
      <c r="H39" s="4" t="s">
        <v>13132</v>
      </c>
      <c r="I39" s="4" t="s">
        <v>13078</v>
      </c>
      <c r="J39" s="5"/>
      <c r="K39" s="4" t="s">
        <v>67</v>
      </c>
      <c r="L39" s="4">
        <v>0.0</v>
      </c>
      <c r="M39" s="15" t="str">
        <f>VLOOKUP(A39,'Live Plan Data'!I:J,2, False)</f>
        <v>#N/A</v>
      </c>
    </row>
    <row r="40" hidden="1">
      <c r="A40" s="4" t="s">
        <v>13134</v>
      </c>
      <c r="B40" s="4" t="s">
        <v>4561</v>
      </c>
      <c r="C40" s="4">
        <v>50031.0</v>
      </c>
      <c r="D40" s="4" t="s">
        <v>13065</v>
      </c>
      <c r="E40" s="4">
        <v>349.0</v>
      </c>
      <c r="F40" s="4">
        <v>6.0</v>
      </c>
      <c r="G40" s="12" t="s">
        <v>13131</v>
      </c>
      <c r="H40" s="4" t="s">
        <v>13132</v>
      </c>
      <c r="I40" s="4" t="s">
        <v>13078</v>
      </c>
      <c r="J40" s="5"/>
      <c r="K40" s="4" t="s">
        <v>67</v>
      </c>
      <c r="L40" s="4">
        <v>0.0</v>
      </c>
      <c r="M40" s="15" t="str">
        <f>VLOOKUP(A40,'Live Plan Data'!I:J,2, False)</f>
        <v>#N/A</v>
      </c>
    </row>
    <row r="41" hidden="1">
      <c r="A41" s="4" t="s">
        <v>13135</v>
      </c>
      <c r="B41" s="4" t="s">
        <v>1133</v>
      </c>
      <c r="C41" s="4">
        <v>49859.0</v>
      </c>
      <c r="D41" s="4" t="s">
        <v>13058</v>
      </c>
      <c r="E41" s="4">
        <v>99.0</v>
      </c>
      <c r="F41" s="4">
        <v>1.0</v>
      </c>
      <c r="G41" s="12" t="s">
        <v>13136</v>
      </c>
      <c r="H41" s="4" t="s">
        <v>13137</v>
      </c>
      <c r="I41" s="4" t="s">
        <v>6693</v>
      </c>
      <c r="J41" s="5"/>
      <c r="K41" s="4" t="s">
        <v>67</v>
      </c>
      <c r="L41" s="4">
        <v>0.0</v>
      </c>
      <c r="M41" s="15" t="str">
        <f>VLOOKUP(A41,'Live Plan Data'!I:J,2, False)</f>
        <v>#N/A</v>
      </c>
    </row>
    <row r="42" hidden="1">
      <c r="A42" s="4" t="s">
        <v>13138</v>
      </c>
      <c r="B42" s="4" t="s">
        <v>1133</v>
      </c>
      <c r="C42" s="4">
        <v>49859.0</v>
      </c>
      <c r="D42" s="4" t="s">
        <v>13063</v>
      </c>
      <c r="E42" s="4">
        <v>199.0</v>
      </c>
      <c r="F42" s="4">
        <v>3.0</v>
      </c>
      <c r="G42" s="12" t="s">
        <v>13136</v>
      </c>
      <c r="H42" s="4" t="s">
        <v>13137</v>
      </c>
      <c r="I42" s="4" t="s">
        <v>6693</v>
      </c>
      <c r="J42" s="5"/>
      <c r="K42" s="4" t="s">
        <v>67</v>
      </c>
      <c r="L42" s="4">
        <v>0.0</v>
      </c>
      <c r="M42" s="15" t="str">
        <f>VLOOKUP(A42,'Live Plan Data'!I:J,2, False)</f>
        <v>#N/A</v>
      </c>
    </row>
    <row r="43" hidden="1">
      <c r="A43" s="4" t="s">
        <v>13139</v>
      </c>
      <c r="B43" s="4" t="s">
        <v>1133</v>
      </c>
      <c r="C43" s="4">
        <v>49859.0</v>
      </c>
      <c r="D43" s="4" t="s">
        <v>13065</v>
      </c>
      <c r="E43" s="4">
        <v>349.0</v>
      </c>
      <c r="F43" s="4">
        <v>6.0</v>
      </c>
      <c r="G43" s="12" t="s">
        <v>13136</v>
      </c>
      <c r="H43" s="4" t="s">
        <v>13137</v>
      </c>
      <c r="I43" s="4" t="s">
        <v>6693</v>
      </c>
      <c r="J43" s="5"/>
      <c r="K43" s="4" t="s">
        <v>67</v>
      </c>
      <c r="L43" s="4">
        <v>0.0</v>
      </c>
      <c r="M43" s="15" t="str">
        <f>VLOOKUP(A43,'Live Plan Data'!I:J,2, False)</f>
        <v>#N/A</v>
      </c>
    </row>
    <row r="44">
      <c r="A44" s="4" t="s">
        <v>13140</v>
      </c>
      <c r="B44" s="4" t="s">
        <v>4796</v>
      </c>
      <c r="C44" s="4">
        <v>49996.0</v>
      </c>
      <c r="D44" s="4" t="s">
        <v>13058</v>
      </c>
      <c r="E44" s="4">
        <v>99.0</v>
      </c>
      <c r="F44" s="4">
        <v>1.0</v>
      </c>
      <c r="G44" s="12" t="s">
        <v>13141</v>
      </c>
      <c r="H44" s="4" t="s">
        <v>13142</v>
      </c>
      <c r="I44" s="4" t="s">
        <v>13061</v>
      </c>
      <c r="J44" s="5"/>
      <c r="K44" s="4" t="s">
        <v>67</v>
      </c>
      <c r="L44" s="4">
        <v>0.0</v>
      </c>
      <c r="M44" s="15" t="str">
        <f>VLOOKUP(A44,'Live Plan Data'!I:J,2, False)</f>
        <v>Active</v>
      </c>
    </row>
    <row r="45">
      <c r="A45" s="4" t="s">
        <v>13143</v>
      </c>
      <c r="B45" s="4" t="s">
        <v>4796</v>
      </c>
      <c r="C45" s="4">
        <v>49996.0</v>
      </c>
      <c r="D45" s="4" t="s">
        <v>13063</v>
      </c>
      <c r="E45" s="4">
        <v>199.0</v>
      </c>
      <c r="F45" s="4">
        <v>3.0</v>
      </c>
      <c r="G45" s="12" t="s">
        <v>13141</v>
      </c>
      <c r="H45" s="4" t="s">
        <v>13142</v>
      </c>
      <c r="I45" s="4" t="s">
        <v>13061</v>
      </c>
      <c r="J45" s="5"/>
      <c r="K45" s="4" t="s">
        <v>67</v>
      </c>
      <c r="L45" s="4">
        <v>0.0</v>
      </c>
      <c r="M45" s="15" t="str">
        <f>VLOOKUP(A45,'Live Plan Data'!I:J,2, False)</f>
        <v>Active</v>
      </c>
    </row>
    <row r="46">
      <c r="A46" s="4" t="s">
        <v>13144</v>
      </c>
      <c r="B46" s="4" t="s">
        <v>4796</v>
      </c>
      <c r="C46" s="4">
        <v>49996.0</v>
      </c>
      <c r="D46" s="4" t="s">
        <v>13065</v>
      </c>
      <c r="E46" s="4">
        <v>349.0</v>
      </c>
      <c r="F46" s="4">
        <v>6.0</v>
      </c>
      <c r="G46" s="12" t="s">
        <v>13141</v>
      </c>
      <c r="H46" s="4" t="s">
        <v>13142</v>
      </c>
      <c r="I46" s="4" t="s">
        <v>13061</v>
      </c>
      <c r="J46" s="5"/>
      <c r="K46" s="4" t="s">
        <v>67</v>
      </c>
      <c r="L46" s="4">
        <v>0.0</v>
      </c>
      <c r="M46" s="15" t="str">
        <f>VLOOKUP(A46,'Live Plan Data'!I:J,2, False)</f>
        <v>Active</v>
      </c>
    </row>
    <row r="47" hidden="1">
      <c r="A47" s="4" t="s">
        <v>13145</v>
      </c>
      <c r="B47" s="4" t="s">
        <v>1585</v>
      </c>
      <c r="C47" s="4">
        <v>50011.0</v>
      </c>
      <c r="D47" s="4" t="s">
        <v>13058</v>
      </c>
      <c r="E47" s="4">
        <v>99.0</v>
      </c>
      <c r="F47" s="4">
        <v>1.0</v>
      </c>
      <c r="G47" s="12" t="s">
        <v>13146</v>
      </c>
      <c r="H47" s="4" t="s">
        <v>13147</v>
      </c>
      <c r="I47" s="4" t="s">
        <v>13061</v>
      </c>
      <c r="J47" s="5"/>
      <c r="K47" s="4" t="s">
        <v>67</v>
      </c>
      <c r="L47" s="4">
        <v>0.0</v>
      </c>
      <c r="M47" s="15" t="str">
        <f>VLOOKUP(A47,'Live Plan Data'!I:J,2, False)</f>
        <v>#N/A</v>
      </c>
    </row>
    <row r="48" hidden="1">
      <c r="A48" s="4" t="s">
        <v>13148</v>
      </c>
      <c r="B48" s="4" t="s">
        <v>1585</v>
      </c>
      <c r="C48" s="4">
        <v>50011.0</v>
      </c>
      <c r="D48" s="4" t="s">
        <v>13063</v>
      </c>
      <c r="E48" s="4">
        <v>199.0</v>
      </c>
      <c r="F48" s="4">
        <v>3.0</v>
      </c>
      <c r="G48" s="12" t="s">
        <v>13146</v>
      </c>
      <c r="H48" s="4" t="s">
        <v>13147</v>
      </c>
      <c r="I48" s="4" t="s">
        <v>13061</v>
      </c>
      <c r="J48" s="5"/>
      <c r="K48" s="4" t="s">
        <v>67</v>
      </c>
      <c r="L48" s="4">
        <v>0.0</v>
      </c>
      <c r="M48" s="15" t="str">
        <f>VLOOKUP(A48,'Live Plan Data'!I:J,2, False)</f>
        <v>#N/A</v>
      </c>
    </row>
    <row r="49" hidden="1">
      <c r="A49" s="4" t="s">
        <v>13149</v>
      </c>
      <c r="B49" s="4" t="s">
        <v>1585</v>
      </c>
      <c r="C49" s="4">
        <v>50011.0</v>
      </c>
      <c r="D49" s="4" t="s">
        <v>13065</v>
      </c>
      <c r="E49" s="4">
        <v>349.0</v>
      </c>
      <c r="F49" s="4">
        <v>6.0</v>
      </c>
      <c r="G49" s="12" t="s">
        <v>13146</v>
      </c>
      <c r="H49" s="4" t="s">
        <v>13147</v>
      </c>
      <c r="I49" s="4" t="s">
        <v>13061</v>
      </c>
      <c r="J49" s="5"/>
      <c r="K49" s="4" t="s">
        <v>67</v>
      </c>
      <c r="L49" s="4">
        <v>0.0</v>
      </c>
      <c r="M49" s="15" t="str">
        <f>VLOOKUP(A49,'Live Plan Data'!I:J,2, False)</f>
        <v>#N/A</v>
      </c>
    </row>
    <row r="50" hidden="1">
      <c r="A50" s="4" t="s">
        <v>13150</v>
      </c>
      <c r="B50" s="4" t="s">
        <v>1982</v>
      </c>
      <c r="C50" s="4">
        <v>50032.0</v>
      </c>
      <c r="D50" s="4" t="s">
        <v>13058</v>
      </c>
      <c r="E50" s="4">
        <v>99.0</v>
      </c>
      <c r="F50" s="4">
        <v>1.0</v>
      </c>
      <c r="G50" s="12" t="s">
        <v>13151</v>
      </c>
      <c r="H50" s="4" t="s">
        <v>13152</v>
      </c>
      <c r="I50" s="4" t="s">
        <v>13078</v>
      </c>
      <c r="J50" s="5"/>
      <c r="K50" s="4" t="s">
        <v>67</v>
      </c>
      <c r="L50" s="4">
        <v>0.0</v>
      </c>
      <c r="M50" s="15" t="str">
        <f>VLOOKUP(A50,'Live Plan Data'!I:J,2, False)</f>
        <v>#N/A</v>
      </c>
    </row>
    <row r="51" hidden="1">
      <c r="A51" s="4" t="s">
        <v>13153</v>
      </c>
      <c r="B51" s="4" t="s">
        <v>1982</v>
      </c>
      <c r="C51" s="4">
        <v>50032.0</v>
      </c>
      <c r="D51" s="4" t="s">
        <v>13063</v>
      </c>
      <c r="E51" s="4">
        <v>199.0</v>
      </c>
      <c r="F51" s="4">
        <v>3.0</v>
      </c>
      <c r="G51" s="12" t="s">
        <v>13151</v>
      </c>
      <c r="H51" s="4" t="s">
        <v>13152</v>
      </c>
      <c r="I51" s="4" t="s">
        <v>13078</v>
      </c>
      <c r="J51" s="5"/>
      <c r="K51" s="4" t="s">
        <v>67</v>
      </c>
      <c r="L51" s="4">
        <v>0.0</v>
      </c>
      <c r="M51" s="15" t="str">
        <f>VLOOKUP(A51,'Live Plan Data'!I:J,2, False)</f>
        <v>#N/A</v>
      </c>
    </row>
    <row r="52" hidden="1">
      <c r="A52" s="4" t="s">
        <v>13154</v>
      </c>
      <c r="B52" s="4" t="s">
        <v>1982</v>
      </c>
      <c r="C52" s="4">
        <v>50032.0</v>
      </c>
      <c r="D52" s="4" t="s">
        <v>13065</v>
      </c>
      <c r="E52" s="4">
        <v>349.0</v>
      </c>
      <c r="F52" s="4">
        <v>6.0</v>
      </c>
      <c r="G52" s="12" t="s">
        <v>13151</v>
      </c>
      <c r="H52" s="4" t="s">
        <v>13152</v>
      </c>
      <c r="I52" s="4" t="s">
        <v>13078</v>
      </c>
      <c r="J52" s="5"/>
      <c r="K52" s="4" t="s">
        <v>67</v>
      </c>
      <c r="L52" s="4">
        <v>0.0</v>
      </c>
      <c r="M52" s="15" t="str">
        <f>VLOOKUP(A52,'Live Plan Data'!I:J,2, False)</f>
        <v>#N/A</v>
      </c>
    </row>
    <row r="53" hidden="1">
      <c r="A53" s="4" t="s">
        <v>13155</v>
      </c>
      <c r="B53" s="4" t="s">
        <v>5114</v>
      </c>
      <c r="C53" s="4">
        <v>49813.0</v>
      </c>
      <c r="D53" s="4" t="s">
        <v>13058</v>
      </c>
      <c r="E53" s="4">
        <v>299.0</v>
      </c>
      <c r="F53" s="4">
        <v>1.0</v>
      </c>
      <c r="G53" s="12" t="s">
        <v>13156</v>
      </c>
      <c r="H53" s="4" t="s">
        <v>13157</v>
      </c>
      <c r="I53" s="4" t="s">
        <v>6693</v>
      </c>
      <c r="J53" s="5"/>
      <c r="K53" s="4" t="s">
        <v>67</v>
      </c>
      <c r="L53" s="4">
        <v>0.0</v>
      </c>
      <c r="M53" s="15" t="str">
        <f>VLOOKUP(A53,'Live Plan Data'!I:J,2, False)</f>
        <v>#N/A</v>
      </c>
    </row>
    <row r="54" hidden="1">
      <c r="A54" s="4" t="s">
        <v>13158</v>
      </c>
      <c r="B54" s="4" t="s">
        <v>5114</v>
      </c>
      <c r="C54" s="4">
        <v>49813.0</v>
      </c>
      <c r="D54" s="4" t="s">
        <v>13063</v>
      </c>
      <c r="E54" s="4">
        <v>499.0</v>
      </c>
      <c r="F54" s="4">
        <v>3.0</v>
      </c>
      <c r="G54" s="12" t="s">
        <v>13156</v>
      </c>
      <c r="H54" s="4" t="s">
        <v>13157</v>
      </c>
      <c r="I54" s="4" t="s">
        <v>6693</v>
      </c>
      <c r="J54" s="5"/>
      <c r="K54" s="4" t="s">
        <v>67</v>
      </c>
      <c r="L54" s="4">
        <v>0.0</v>
      </c>
      <c r="M54" s="15" t="str">
        <f>VLOOKUP(A54,'Live Plan Data'!I:J,2, False)</f>
        <v>#N/A</v>
      </c>
    </row>
    <row r="55" hidden="1">
      <c r="A55" s="4" t="s">
        <v>13159</v>
      </c>
      <c r="B55" s="4" t="s">
        <v>5114</v>
      </c>
      <c r="C55" s="4">
        <v>49813.0</v>
      </c>
      <c r="D55" s="4" t="s">
        <v>13065</v>
      </c>
      <c r="E55" s="4">
        <v>799.0</v>
      </c>
      <c r="F55" s="4">
        <v>6.0</v>
      </c>
      <c r="G55" s="12" t="s">
        <v>13156</v>
      </c>
      <c r="H55" s="4" t="s">
        <v>13157</v>
      </c>
      <c r="I55" s="4" t="s">
        <v>6693</v>
      </c>
      <c r="J55" s="5"/>
      <c r="K55" s="4" t="s">
        <v>67</v>
      </c>
      <c r="L55" s="4">
        <v>0.0</v>
      </c>
      <c r="M55" s="15" t="str">
        <f>VLOOKUP(A55,'Live Plan Data'!I:J,2, False)</f>
        <v>#N/A</v>
      </c>
    </row>
    <row r="56">
      <c r="A56" s="4" t="s">
        <v>13160</v>
      </c>
      <c r="B56" s="4" t="s">
        <v>5321</v>
      </c>
      <c r="C56" s="4">
        <v>49995.0</v>
      </c>
      <c r="D56" s="4" t="s">
        <v>13058</v>
      </c>
      <c r="E56" s="4">
        <v>99.0</v>
      </c>
      <c r="F56" s="4">
        <v>1.0</v>
      </c>
      <c r="G56" s="12" t="s">
        <v>13161</v>
      </c>
      <c r="H56" s="4" t="s">
        <v>11761</v>
      </c>
      <c r="I56" s="4" t="s">
        <v>13061</v>
      </c>
      <c r="J56" s="5"/>
      <c r="K56" s="4" t="s">
        <v>67</v>
      </c>
      <c r="L56" s="4">
        <v>0.0</v>
      </c>
      <c r="M56" s="15" t="str">
        <f>VLOOKUP(A56,'Live Plan Data'!I:J,2, False)</f>
        <v>Active</v>
      </c>
    </row>
    <row r="57">
      <c r="A57" s="4" t="s">
        <v>13162</v>
      </c>
      <c r="B57" s="4" t="s">
        <v>5321</v>
      </c>
      <c r="C57" s="4">
        <v>49995.0</v>
      </c>
      <c r="D57" s="4" t="s">
        <v>13063</v>
      </c>
      <c r="E57" s="4">
        <v>199.0</v>
      </c>
      <c r="F57" s="4">
        <v>3.0</v>
      </c>
      <c r="G57" s="12" t="s">
        <v>13161</v>
      </c>
      <c r="H57" s="4" t="s">
        <v>11761</v>
      </c>
      <c r="I57" s="4" t="s">
        <v>13061</v>
      </c>
      <c r="J57" s="5"/>
      <c r="K57" s="4" t="s">
        <v>67</v>
      </c>
      <c r="L57" s="4">
        <v>0.0</v>
      </c>
      <c r="M57" s="15" t="str">
        <f>VLOOKUP(A57,'Live Plan Data'!I:J,2, False)</f>
        <v>Active</v>
      </c>
    </row>
    <row r="58">
      <c r="A58" s="4" t="s">
        <v>13163</v>
      </c>
      <c r="B58" s="4" t="s">
        <v>5321</v>
      </c>
      <c r="C58" s="4">
        <v>49995.0</v>
      </c>
      <c r="D58" s="4" t="s">
        <v>13065</v>
      </c>
      <c r="E58" s="4">
        <v>349.0</v>
      </c>
      <c r="F58" s="4">
        <v>6.0</v>
      </c>
      <c r="G58" s="12" t="s">
        <v>13161</v>
      </c>
      <c r="H58" s="4" t="s">
        <v>11761</v>
      </c>
      <c r="I58" s="4" t="s">
        <v>13061</v>
      </c>
      <c r="J58" s="5"/>
      <c r="K58" s="4" t="s">
        <v>67</v>
      </c>
      <c r="L58" s="4">
        <v>0.0</v>
      </c>
      <c r="M58" s="15" t="str">
        <f>VLOOKUP(A58,'Live Plan Data'!I:J,2, False)</f>
        <v>Active</v>
      </c>
    </row>
    <row r="59" hidden="1">
      <c r="A59" s="4" t="s">
        <v>13164</v>
      </c>
      <c r="B59" s="4" t="s">
        <v>885</v>
      </c>
      <c r="C59" s="4">
        <v>49844.0</v>
      </c>
      <c r="D59" s="4" t="s">
        <v>13058</v>
      </c>
      <c r="E59" s="4">
        <v>99.0</v>
      </c>
      <c r="F59" s="4">
        <v>1.0</v>
      </c>
      <c r="G59" s="12" t="s">
        <v>13165</v>
      </c>
      <c r="H59" s="4" t="s">
        <v>13166</v>
      </c>
      <c r="I59" s="4" t="s">
        <v>6693</v>
      </c>
      <c r="J59" s="5"/>
      <c r="K59" s="4" t="s">
        <v>67</v>
      </c>
      <c r="L59" s="4">
        <v>0.0</v>
      </c>
      <c r="M59" s="15" t="str">
        <f>VLOOKUP(A59,'Live Plan Data'!I:J,2, False)</f>
        <v>#N/A</v>
      </c>
    </row>
    <row r="60" hidden="1">
      <c r="A60" s="4" t="s">
        <v>13167</v>
      </c>
      <c r="B60" s="4" t="s">
        <v>885</v>
      </c>
      <c r="C60" s="4">
        <v>49844.0</v>
      </c>
      <c r="D60" s="4" t="s">
        <v>13063</v>
      </c>
      <c r="E60" s="4">
        <v>199.0</v>
      </c>
      <c r="F60" s="4">
        <v>3.0</v>
      </c>
      <c r="G60" s="12" t="s">
        <v>13165</v>
      </c>
      <c r="H60" s="4" t="s">
        <v>13166</v>
      </c>
      <c r="I60" s="4" t="s">
        <v>6693</v>
      </c>
      <c r="J60" s="5"/>
      <c r="K60" s="4" t="s">
        <v>67</v>
      </c>
      <c r="L60" s="4">
        <v>0.0</v>
      </c>
      <c r="M60" s="15" t="str">
        <f>VLOOKUP(A60,'Live Plan Data'!I:J,2, False)</f>
        <v>#N/A</v>
      </c>
    </row>
    <row r="61" hidden="1">
      <c r="A61" s="4" t="s">
        <v>13168</v>
      </c>
      <c r="B61" s="4" t="s">
        <v>885</v>
      </c>
      <c r="C61" s="4">
        <v>49844.0</v>
      </c>
      <c r="D61" s="4" t="s">
        <v>13065</v>
      </c>
      <c r="E61" s="4">
        <v>349.0</v>
      </c>
      <c r="F61" s="4">
        <v>6.0</v>
      </c>
      <c r="G61" s="12" t="s">
        <v>13165</v>
      </c>
      <c r="H61" s="4" t="s">
        <v>13166</v>
      </c>
      <c r="I61" s="4" t="s">
        <v>6693</v>
      </c>
      <c r="J61" s="5"/>
      <c r="K61" s="4" t="s">
        <v>67</v>
      </c>
      <c r="L61" s="4">
        <v>0.0</v>
      </c>
      <c r="M61" s="15" t="str">
        <f>VLOOKUP(A61,'Live Plan Data'!I:J,2, False)</f>
        <v>#N/A</v>
      </c>
    </row>
    <row r="62" hidden="1">
      <c r="A62" s="4" t="s">
        <v>13169</v>
      </c>
      <c r="B62" s="4" t="s">
        <v>13170</v>
      </c>
      <c r="C62" s="4">
        <v>50012.0</v>
      </c>
      <c r="D62" s="4" t="s">
        <v>13058</v>
      </c>
      <c r="E62" s="4">
        <v>99.0</v>
      </c>
      <c r="F62" s="4">
        <v>1.0</v>
      </c>
      <c r="G62" s="12" t="s">
        <v>13171</v>
      </c>
      <c r="H62" s="4" t="s">
        <v>13172</v>
      </c>
      <c r="I62" s="4" t="s">
        <v>13061</v>
      </c>
      <c r="J62" s="5"/>
      <c r="K62" s="4" t="s">
        <v>67</v>
      </c>
      <c r="L62" s="4">
        <v>0.0</v>
      </c>
      <c r="M62" s="15" t="str">
        <f>VLOOKUP(A62,'Live Plan Data'!I:J,2, False)</f>
        <v>#N/A</v>
      </c>
    </row>
    <row r="63" hidden="1">
      <c r="A63" s="4" t="s">
        <v>13173</v>
      </c>
      <c r="B63" s="4" t="s">
        <v>13170</v>
      </c>
      <c r="C63" s="4">
        <v>50012.0</v>
      </c>
      <c r="D63" s="4" t="s">
        <v>13063</v>
      </c>
      <c r="E63" s="4">
        <v>199.0</v>
      </c>
      <c r="F63" s="4">
        <v>3.0</v>
      </c>
      <c r="G63" s="12" t="s">
        <v>13171</v>
      </c>
      <c r="H63" s="4" t="s">
        <v>13172</v>
      </c>
      <c r="I63" s="4" t="s">
        <v>13061</v>
      </c>
      <c r="J63" s="5"/>
      <c r="K63" s="4" t="s">
        <v>67</v>
      </c>
      <c r="L63" s="4">
        <v>0.0</v>
      </c>
      <c r="M63" s="15" t="str">
        <f>VLOOKUP(A63,'Live Plan Data'!I:J,2, False)</f>
        <v>#N/A</v>
      </c>
    </row>
    <row r="64" hidden="1">
      <c r="A64" s="4" t="s">
        <v>13174</v>
      </c>
      <c r="B64" s="4" t="s">
        <v>13170</v>
      </c>
      <c r="C64" s="4">
        <v>50012.0</v>
      </c>
      <c r="D64" s="4" t="s">
        <v>13065</v>
      </c>
      <c r="E64" s="4">
        <v>349.0</v>
      </c>
      <c r="F64" s="4">
        <v>6.0</v>
      </c>
      <c r="G64" s="12" t="s">
        <v>13171</v>
      </c>
      <c r="H64" s="4" t="s">
        <v>13172</v>
      </c>
      <c r="I64" s="4" t="s">
        <v>13061</v>
      </c>
      <c r="J64" s="5"/>
      <c r="K64" s="4" t="s">
        <v>67</v>
      </c>
      <c r="L64" s="4">
        <v>0.0</v>
      </c>
      <c r="M64" s="15" t="str">
        <f>VLOOKUP(A64,'Live Plan Data'!I:J,2, False)</f>
        <v>#N/A</v>
      </c>
    </row>
    <row r="65" hidden="1">
      <c r="A65" s="4" t="s">
        <v>13175</v>
      </c>
      <c r="B65" s="4" t="s">
        <v>1727</v>
      </c>
      <c r="C65" s="4">
        <v>50033.0</v>
      </c>
      <c r="D65" s="4" t="s">
        <v>13058</v>
      </c>
      <c r="E65" s="4">
        <v>99.0</v>
      </c>
      <c r="F65" s="4">
        <v>1.0</v>
      </c>
      <c r="G65" s="12" t="s">
        <v>13176</v>
      </c>
      <c r="H65" s="4" t="s">
        <v>13177</v>
      </c>
      <c r="I65" s="4" t="s">
        <v>13078</v>
      </c>
      <c r="J65" s="5"/>
      <c r="K65" s="4" t="s">
        <v>67</v>
      </c>
      <c r="L65" s="4">
        <v>0.0</v>
      </c>
      <c r="M65" s="15" t="str">
        <f>VLOOKUP(A65,'Live Plan Data'!I:J,2, False)</f>
        <v>#N/A</v>
      </c>
    </row>
    <row r="66" hidden="1">
      <c r="A66" s="4" t="s">
        <v>13178</v>
      </c>
      <c r="B66" s="4" t="s">
        <v>1727</v>
      </c>
      <c r="C66" s="4">
        <v>50033.0</v>
      </c>
      <c r="D66" s="4" t="s">
        <v>13063</v>
      </c>
      <c r="E66" s="4">
        <v>199.0</v>
      </c>
      <c r="F66" s="4">
        <v>3.0</v>
      </c>
      <c r="G66" s="12" t="s">
        <v>13176</v>
      </c>
      <c r="H66" s="4" t="s">
        <v>13177</v>
      </c>
      <c r="I66" s="4" t="s">
        <v>13078</v>
      </c>
      <c r="J66" s="5"/>
      <c r="K66" s="4" t="s">
        <v>67</v>
      </c>
      <c r="L66" s="4">
        <v>0.0</v>
      </c>
      <c r="M66" s="15" t="str">
        <f>VLOOKUP(A66,'Live Plan Data'!I:J,2, False)</f>
        <v>#N/A</v>
      </c>
    </row>
    <row r="67" hidden="1">
      <c r="A67" s="4" t="s">
        <v>13179</v>
      </c>
      <c r="B67" s="4" t="s">
        <v>1727</v>
      </c>
      <c r="C67" s="4">
        <v>50033.0</v>
      </c>
      <c r="D67" s="4" t="s">
        <v>13065</v>
      </c>
      <c r="E67" s="4">
        <v>349.0</v>
      </c>
      <c r="F67" s="4">
        <v>6.0</v>
      </c>
      <c r="G67" s="12" t="s">
        <v>13176</v>
      </c>
      <c r="H67" s="4" t="s">
        <v>13177</v>
      </c>
      <c r="I67" s="4" t="s">
        <v>13078</v>
      </c>
      <c r="J67" s="5"/>
      <c r="K67" s="4" t="s">
        <v>67</v>
      </c>
      <c r="L67" s="4">
        <v>0.0</v>
      </c>
      <c r="M67" s="15" t="str">
        <f>VLOOKUP(A67,'Live Plan Data'!I:J,2, False)</f>
        <v>#N/A</v>
      </c>
    </row>
    <row r="68" hidden="1">
      <c r="A68" s="4" t="s">
        <v>13180</v>
      </c>
      <c r="B68" s="4" t="s">
        <v>5956</v>
      </c>
      <c r="C68" s="4">
        <v>50041.0</v>
      </c>
      <c r="D68" s="4" t="s">
        <v>13058</v>
      </c>
      <c r="E68" s="4">
        <v>99.0</v>
      </c>
      <c r="F68" s="4">
        <v>1.0</v>
      </c>
      <c r="G68" s="12" t="s">
        <v>13181</v>
      </c>
      <c r="H68" s="4" t="s">
        <v>13182</v>
      </c>
      <c r="I68" s="4" t="s">
        <v>13078</v>
      </c>
      <c r="J68" s="5"/>
      <c r="K68" s="4" t="s">
        <v>67</v>
      </c>
      <c r="L68" s="4">
        <v>0.0</v>
      </c>
      <c r="M68" s="15" t="str">
        <f>VLOOKUP(A68,'Live Plan Data'!I:J,2, False)</f>
        <v>#N/A</v>
      </c>
    </row>
    <row r="69" hidden="1">
      <c r="A69" s="4" t="s">
        <v>13183</v>
      </c>
      <c r="B69" s="4" t="s">
        <v>5956</v>
      </c>
      <c r="C69" s="4">
        <v>50041.0</v>
      </c>
      <c r="D69" s="4" t="s">
        <v>13063</v>
      </c>
      <c r="E69" s="4">
        <v>199.0</v>
      </c>
      <c r="F69" s="4">
        <v>3.0</v>
      </c>
      <c r="G69" s="12" t="s">
        <v>13181</v>
      </c>
      <c r="H69" s="4" t="s">
        <v>13182</v>
      </c>
      <c r="I69" s="4" t="s">
        <v>13078</v>
      </c>
      <c r="J69" s="5"/>
      <c r="K69" s="4" t="s">
        <v>67</v>
      </c>
      <c r="L69" s="4">
        <v>0.0</v>
      </c>
      <c r="M69" s="15" t="str">
        <f>VLOOKUP(A69,'Live Plan Data'!I:J,2, False)</f>
        <v>#N/A</v>
      </c>
    </row>
    <row r="70" hidden="1">
      <c r="A70" s="4" t="s">
        <v>13184</v>
      </c>
      <c r="B70" s="4" t="s">
        <v>5956</v>
      </c>
      <c r="C70" s="4">
        <v>50041.0</v>
      </c>
      <c r="D70" s="4" t="s">
        <v>13065</v>
      </c>
      <c r="E70" s="4">
        <v>349.0</v>
      </c>
      <c r="F70" s="4">
        <v>6.0</v>
      </c>
      <c r="G70" s="12" t="s">
        <v>13181</v>
      </c>
      <c r="H70" s="4" t="s">
        <v>13182</v>
      </c>
      <c r="I70" s="4" t="s">
        <v>13078</v>
      </c>
      <c r="J70" s="5"/>
      <c r="K70" s="4" t="s">
        <v>67</v>
      </c>
      <c r="L70" s="4">
        <v>0.0</v>
      </c>
      <c r="M70" s="15" t="str">
        <f>VLOOKUP(A70,'Live Plan Data'!I:J,2, False)</f>
        <v>#N/A</v>
      </c>
    </row>
    <row r="71">
      <c r="A71" s="4" t="s">
        <v>13185</v>
      </c>
      <c r="B71" s="4" t="s">
        <v>1104</v>
      </c>
      <c r="C71" s="4">
        <v>49993.0</v>
      </c>
      <c r="D71" s="4" t="s">
        <v>13058</v>
      </c>
      <c r="E71" s="4">
        <v>199.0</v>
      </c>
      <c r="F71" s="4">
        <v>1.0</v>
      </c>
      <c r="G71" s="12" t="s">
        <v>13186</v>
      </c>
      <c r="H71" s="4" t="s">
        <v>13187</v>
      </c>
      <c r="I71" s="4" t="s">
        <v>13061</v>
      </c>
      <c r="J71" s="5"/>
      <c r="K71" s="4" t="s">
        <v>67</v>
      </c>
      <c r="L71" s="4">
        <v>0.0</v>
      </c>
      <c r="M71" s="15" t="str">
        <f>VLOOKUP(A71,'Live Plan Data'!I:J,2, False)</f>
        <v>Active</v>
      </c>
    </row>
    <row r="72" hidden="1">
      <c r="A72" s="4" t="s">
        <v>13188</v>
      </c>
      <c r="B72" s="4" t="s">
        <v>1016</v>
      </c>
      <c r="C72" s="4">
        <v>49899.0</v>
      </c>
      <c r="D72" s="4" t="s">
        <v>13058</v>
      </c>
      <c r="E72" s="4">
        <v>99.0</v>
      </c>
      <c r="F72" s="4">
        <v>1.0</v>
      </c>
      <c r="G72" s="12" t="s">
        <v>13189</v>
      </c>
      <c r="H72" s="4" t="s">
        <v>13190</v>
      </c>
      <c r="I72" s="4" t="s">
        <v>13191</v>
      </c>
      <c r="J72" s="5"/>
      <c r="K72" s="4" t="s">
        <v>67</v>
      </c>
      <c r="L72" s="4">
        <v>0.0</v>
      </c>
      <c r="M72" s="15" t="str">
        <f>VLOOKUP(A72,'Live Plan Data'!I:J,2, False)</f>
        <v>#N/A</v>
      </c>
    </row>
    <row r="73" hidden="1">
      <c r="A73" s="4" t="s">
        <v>13192</v>
      </c>
      <c r="B73" s="4" t="s">
        <v>1016</v>
      </c>
      <c r="C73" s="4">
        <v>49899.0</v>
      </c>
      <c r="D73" s="4" t="s">
        <v>13063</v>
      </c>
      <c r="E73" s="4">
        <v>149.0</v>
      </c>
      <c r="F73" s="4">
        <v>3.0</v>
      </c>
      <c r="G73" s="12" t="s">
        <v>13189</v>
      </c>
      <c r="H73" s="4" t="s">
        <v>13190</v>
      </c>
      <c r="I73" s="4" t="s">
        <v>13191</v>
      </c>
      <c r="J73" s="5"/>
      <c r="K73" s="4" t="s">
        <v>67</v>
      </c>
      <c r="L73" s="4">
        <v>0.0</v>
      </c>
      <c r="M73" s="15" t="str">
        <f>VLOOKUP(A73,'Live Plan Data'!I:J,2, False)</f>
        <v>#N/A</v>
      </c>
    </row>
    <row r="74" hidden="1">
      <c r="A74" s="4" t="s">
        <v>13193</v>
      </c>
      <c r="B74" s="4" t="s">
        <v>1016</v>
      </c>
      <c r="C74" s="4">
        <v>49899.0</v>
      </c>
      <c r="D74" s="4" t="s">
        <v>13065</v>
      </c>
      <c r="E74" s="4">
        <v>249.0</v>
      </c>
      <c r="F74" s="4">
        <v>6.0</v>
      </c>
      <c r="G74" s="12" t="s">
        <v>13189</v>
      </c>
      <c r="H74" s="4" t="s">
        <v>13190</v>
      </c>
      <c r="I74" s="4" t="s">
        <v>13191</v>
      </c>
      <c r="J74" s="5"/>
      <c r="K74" s="4" t="s">
        <v>67</v>
      </c>
      <c r="L74" s="4">
        <v>0.0</v>
      </c>
      <c r="M74" s="15" t="str">
        <f>VLOOKUP(A74,'Live Plan Data'!I:J,2, False)</f>
        <v>#N/A</v>
      </c>
    </row>
    <row r="75" hidden="1">
      <c r="A75" s="4" t="s">
        <v>13194</v>
      </c>
      <c r="B75" s="4" t="s">
        <v>1582</v>
      </c>
      <c r="C75" s="4">
        <v>50048.0</v>
      </c>
      <c r="D75" s="4" t="s">
        <v>13058</v>
      </c>
      <c r="E75" s="4">
        <v>149.0</v>
      </c>
      <c r="F75" s="4">
        <v>1.0</v>
      </c>
      <c r="G75" s="12" t="s">
        <v>13195</v>
      </c>
      <c r="H75" s="4" t="s">
        <v>13196</v>
      </c>
      <c r="I75" s="4" t="s">
        <v>13191</v>
      </c>
      <c r="J75" s="5"/>
      <c r="K75" s="4" t="s">
        <v>67</v>
      </c>
      <c r="L75" s="4">
        <v>0.0</v>
      </c>
      <c r="M75" s="15" t="str">
        <f>VLOOKUP(A75,'Live Plan Data'!I:J,2, False)</f>
        <v>#N/A</v>
      </c>
    </row>
    <row r="76" hidden="1">
      <c r="A76" s="4" t="s">
        <v>13197</v>
      </c>
      <c r="B76" s="4" t="s">
        <v>1582</v>
      </c>
      <c r="C76" s="4">
        <v>50048.0</v>
      </c>
      <c r="D76" s="4" t="s">
        <v>13063</v>
      </c>
      <c r="E76" s="4">
        <v>299.0</v>
      </c>
      <c r="F76" s="4">
        <v>3.0</v>
      </c>
      <c r="G76" s="12" t="s">
        <v>13195</v>
      </c>
      <c r="H76" s="4" t="s">
        <v>13196</v>
      </c>
      <c r="I76" s="4" t="s">
        <v>13191</v>
      </c>
      <c r="J76" s="5"/>
      <c r="K76" s="4" t="s">
        <v>67</v>
      </c>
      <c r="L76" s="4">
        <v>0.0</v>
      </c>
      <c r="M76" s="15" t="str">
        <f>VLOOKUP(A76,'Live Plan Data'!I:J,2, False)</f>
        <v>#N/A</v>
      </c>
    </row>
    <row r="77" hidden="1">
      <c r="A77" s="4" t="s">
        <v>13198</v>
      </c>
      <c r="B77" s="4" t="s">
        <v>1582</v>
      </c>
      <c r="C77" s="4">
        <v>50048.0</v>
      </c>
      <c r="D77" s="4" t="s">
        <v>13065</v>
      </c>
      <c r="E77" s="4">
        <v>599.0</v>
      </c>
      <c r="F77" s="4">
        <v>6.0</v>
      </c>
      <c r="G77" s="12" t="s">
        <v>13195</v>
      </c>
      <c r="H77" s="4" t="s">
        <v>13196</v>
      </c>
      <c r="I77" s="4" t="s">
        <v>13191</v>
      </c>
      <c r="J77" s="5"/>
      <c r="K77" s="4" t="s">
        <v>67</v>
      </c>
      <c r="L77" s="4">
        <v>0.0</v>
      </c>
      <c r="M77" s="15" t="str">
        <f>VLOOKUP(A77,'Live Plan Data'!I:J,2, False)</f>
        <v>#N/A</v>
      </c>
    </row>
    <row r="78">
      <c r="A78" s="4" t="s">
        <v>13199</v>
      </c>
      <c r="B78" s="4" t="s">
        <v>2761</v>
      </c>
      <c r="C78" s="4">
        <v>50029.0</v>
      </c>
      <c r="D78" s="4" t="s">
        <v>13058</v>
      </c>
      <c r="E78" s="4">
        <v>99.0</v>
      </c>
      <c r="F78" s="4">
        <v>1.0</v>
      </c>
      <c r="G78" s="12" t="s">
        <v>13200</v>
      </c>
      <c r="H78" s="4" t="s">
        <v>13201</v>
      </c>
      <c r="I78" s="4" t="s">
        <v>13078</v>
      </c>
      <c r="J78" s="5"/>
      <c r="K78" s="4" t="s">
        <v>67</v>
      </c>
      <c r="L78" s="4">
        <v>0.0</v>
      </c>
      <c r="M78" s="15" t="str">
        <f>VLOOKUP(A78,'Live Plan Data'!I:J,2, False)</f>
        <v>Active</v>
      </c>
    </row>
    <row r="79">
      <c r="A79" s="4" t="s">
        <v>13202</v>
      </c>
      <c r="B79" s="4" t="s">
        <v>2761</v>
      </c>
      <c r="C79" s="4">
        <v>50029.0</v>
      </c>
      <c r="D79" s="4" t="s">
        <v>13063</v>
      </c>
      <c r="E79" s="4">
        <v>199.0</v>
      </c>
      <c r="F79" s="4">
        <v>3.0</v>
      </c>
      <c r="G79" s="12" t="s">
        <v>13200</v>
      </c>
      <c r="H79" s="4" t="s">
        <v>13201</v>
      </c>
      <c r="I79" s="4" t="s">
        <v>13078</v>
      </c>
      <c r="J79" s="5"/>
      <c r="K79" s="4" t="s">
        <v>67</v>
      </c>
      <c r="L79" s="4">
        <v>0.0</v>
      </c>
      <c r="M79" s="15" t="str">
        <f>VLOOKUP(A79,'Live Plan Data'!I:J,2, False)</f>
        <v>Active</v>
      </c>
    </row>
    <row r="80">
      <c r="A80" s="4" t="s">
        <v>13203</v>
      </c>
      <c r="B80" s="4" t="s">
        <v>2761</v>
      </c>
      <c r="C80" s="4">
        <v>50029.0</v>
      </c>
      <c r="D80" s="4" t="s">
        <v>13065</v>
      </c>
      <c r="E80" s="4">
        <v>349.0</v>
      </c>
      <c r="F80" s="4">
        <v>6.0</v>
      </c>
      <c r="G80" s="12" t="s">
        <v>13200</v>
      </c>
      <c r="H80" s="4" t="s">
        <v>13201</v>
      </c>
      <c r="I80" s="4" t="s">
        <v>13078</v>
      </c>
      <c r="J80" s="5"/>
      <c r="K80" s="4" t="s">
        <v>67</v>
      </c>
      <c r="L80" s="4">
        <v>0.0</v>
      </c>
      <c r="M80" s="15" t="str">
        <f>VLOOKUP(A80,'Live Plan Data'!I:J,2, False)</f>
        <v>Active</v>
      </c>
    </row>
    <row r="81">
      <c r="A81" s="4" t="s">
        <v>13204</v>
      </c>
      <c r="B81" s="4" t="s">
        <v>12770</v>
      </c>
      <c r="C81" s="4">
        <v>50053.0</v>
      </c>
      <c r="D81" s="4" t="s">
        <v>13058</v>
      </c>
      <c r="E81" s="4">
        <v>299.0</v>
      </c>
      <c r="F81" s="4">
        <v>1.0</v>
      </c>
      <c r="G81" s="12" t="s">
        <v>13205</v>
      </c>
      <c r="H81" s="4" t="s">
        <v>13206</v>
      </c>
      <c r="I81" s="4" t="s">
        <v>13191</v>
      </c>
      <c r="J81" s="5"/>
      <c r="K81" s="4" t="s">
        <v>67</v>
      </c>
      <c r="L81" s="4">
        <v>0.0</v>
      </c>
      <c r="M81" s="15" t="str">
        <f>VLOOKUP(A81,'Live Plan Data'!I:J,2, False)</f>
        <v>Active</v>
      </c>
    </row>
    <row r="82">
      <c r="A82" s="4" t="s">
        <v>13207</v>
      </c>
      <c r="B82" s="4" t="s">
        <v>12770</v>
      </c>
      <c r="C82" s="4">
        <v>50053.0</v>
      </c>
      <c r="D82" s="4" t="s">
        <v>13063</v>
      </c>
      <c r="E82" s="4">
        <v>599.0</v>
      </c>
      <c r="F82" s="4">
        <v>3.0</v>
      </c>
      <c r="G82" s="12" t="s">
        <v>13205</v>
      </c>
      <c r="H82" s="4" t="s">
        <v>13206</v>
      </c>
      <c r="I82" s="4" t="s">
        <v>13191</v>
      </c>
      <c r="J82" s="5"/>
      <c r="K82" s="4" t="s">
        <v>67</v>
      </c>
      <c r="L82" s="4">
        <v>0.0</v>
      </c>
      <c r="M82" s="15" t="str">
        <f>VLOOKUP(A82,'Live Plan Data'!I:J,2, False)</f>
        <v>Active</v>
      </c>
    </row>
    <row r="83">
      <c r="A83" s="4" t="s">
        <v>13208</v>
      </c>
      <c r="B83" s="4" t="s">
        <v>12770</v>
      </c>
      <c r="C83" s="4">
        <v>50053.0</v>
      </c>
      <c r="D83" s="4" t="s">
        <v>13065</v>
      </c>
      <c r="E83" s="4">
        <v>899.0</v>
      </c>
      <c r="F83" s="4">
        <v>6.0</v>
      </c>
      <c r="G83" s="12" t="s">
        <v>13205</v>
      </c>
      <c r="H83" s="4" t="s">
        <v>13206</v>
      </c>
      <c r="I83" s="4" t="s">
        <v>13191</v>
      </c>
      <c r="J83" s="5"/>
      <c r="K83" s="4" t="s">
        <v>67</v>
      </c>
      <c r="L83" s="4">
        <v>0.0</v>
      </c>
      <c r="M83" s="15" t="str">
        <f>VLOOKUP(A83,'Live Plan Data'!I:J,2, False)</f>
        <v>Active</v>
      </c>
    </row>
    <row r="84">
      <c r="A84" s="4" t="s">
        <v>13209</v>
      </c>
      <c r="B84" s="4" t="s">
        <v>12770</v>
      </c>
      <c r="C84" s="4">
        <v>50053.0</v>
      </c>
      <c r="D84" s="4" t="s">
        <v>13210</v>
      </c>
      <c r="E84" s="4">
        <v>1499.0</v>
      </c>
      <c r="F84" s="4">
        <v>12.0</v>
      </c>
      <c r="G84" s="12" t="s">
        <v>13205</v>
      </c>
      <c r="H84" s="4" t="s">
        <v>13206</v>
      </c>
      <c r="I84" s="4" t="s">
        <v>13191</v>
      </c>
      <c r="J84" s="5"/>
      <c r="K84" s="4" t="s">
        <v>67</v>
      </c>
      <c r="L84" s="4">
        <v>0.0</v>
      </c>
      <c r="M84" s="15" t="str">
        <f>VLOOKUP(A84,'Live Plan Data'!I:J,2, False)</f>
        <v>Active</v>
      </c>
    </row>
    <row r="85">
      <c r="A85" s="4" t="s">
        <v>13211</v>
      </c>
      <c r="B85" s="4" t="s">
        <v>6217</v>
      </c>
      <c r="C85" s="4">
        <v>50046.0</v>
      </c>
      <c r="D85" s="4" t="s">
        <v>13058</v>
      </c>
      <c r="E85" s="4">
        <v>99.0</v>
      </c>
      <c r="F85" s="4">
        <v>1.0</v>
      </c>
      <c r="G85" s="12" t="s">
        <v>13212</v>
      </c>
      <c r="H85" s="4" t="s">
        <v>6325</v>
      </c>
      <c r="I85" s="4" t="s">
        <v>13078</v>
      </c>
      <c r="J85" s="5"/>
      <c r="K85" s="4" t="s">
        <v>67</v>
      </c>
      <c r="L85" s="4">
        <v>0.0</v>
      </c>
      <c r="M85" s="15" t="str">
        <f>VLOOKUP(A85,'Live Plan Data'!I:J,2, False)</f>
        <v>Active</v>
      </c>
    </row>
    <row r="86">
      <c r="A86" s="4" t="s">
        <v>13213</v>
      </c>
      <c r="B86" s="4" t="s">
        <v>6217</v>
      </c>
      <c r="C86" s="4">
        <v>50046.0</v>
      </c>
      <c r="D86" s="4" t="s">
        <v>13063</v>
      </c>
      <c r="E86" s="4">
        <v>199.0</v>
      </c>
      <c r="F86" s="4">
        <v>3.0</v>
      </c>
      <c r="G86" s="12" t="s">
        <v>13212</v>
      </c>
      <c r="H86" s="4" t="s">
        <v>6325</v>
      </c>
      <c r="I86" s="4" t="s">
        <v>13078</v>
      </c>
      <c r="J86" s="5"/>
      <c r="K86" s="4" t="s">
        <v>67</v>
      </c>
      <c r="L86" s="4">
        <v>0.0</v>
      </c>
      <c r="M86" s="15" t="str">
        <f>VLOOKUP(A86,'Live Plan Data'!I:J,2, False)</f>
        <v>Active</v>
      </c>
    </row>
    <row r="87">
      <c r="A87" s="4" t="s">
        <v>13214</v>
      </c>
      <c r="B87" s="4" t="s">
        <v>6217</v>
      </c>
      <c r="C87" s="4">
        <v>50046.0</v>
      </c>
      <c r="D87" s="4" t="s">
        <v>13065</v>
      </c>
      <c r="E87" s="4">
        <v>349.0</v>
      </c>
      <c r="F87" s="4">
        <v>6.0</v>
      </c>
      <c r="G87" s="12" t="s">
        <v>13212</v>
      </c>
      <c r="H87" s="4" t="s">
        <v>6325</v>
      </c>
      <c r="I87" s="4" t="s">
        <v>13078</v>
      </c>
      <c r="J87" s="5"/>
      <c r="K87" s="4" t="s">
        <v>67</v>
      </c>
      <c r="L87" s="4">
        <v>0.0</v>
      </c>
      <c r="M87" s="15" t="str">
        <f>VLOOKUP(A87,'Live Plan Data'!I:J,2, False)</f>
        <v>Active</v>
      </c>
    </row>
    <row r="88">
      <c r="A88" s="4" t="s">
        <v>13215</v>
      </c>
      <c r="B88" s="4" t="s">
        <v>6367</v>
      </c>
      <c r="C88" s="4">
        <v>50043.0</v>
      </c>
      <c r="D88" s="4" t="s">
        <v>13058</v>
      </c>
      <c r="E88" s="4">
        <v>99.0</v>
      </c>
      <c r="F88" s="4">
        <v>1.0</v>
      </c>
      <c r="G88" s="12" t="s">
        <v>13216</v>
      </c>
      <c r="H88" s="4" t="s">
        <v>13217</v>
      </c>
      <c r="I88" s="4" t="s">
        <v>13078</v>
      </c>
      <c r="J88" s="5"/>
      <c r="K88" s="4" t="s">
        <v>67</v>
      </c>
      <c r="L88" s="4">
        <v>0.0</v>
      </c>
      <c r="M88" s="15" t="str">
        <f>VLOOKUP(A88,'Live Plan Data'!I:J,2, False)</f>
        <v>Active</v>
      </c>
    </row>
    <row r="89">
      <c r="A89" s="4" t="s">
        <v>13218</v>
      </c>
      <c r="B89" s="4" t="s">
        <v>6367</v>
      </c>
      <c r="C89" s="4">
        <v>50043.0</v>
      </c>
      <c r="D89" s="4" t="s">
        <v>13063</v>
      </c>
      <c r="E89" s="4">
        <v>199.0</v>
      </c>
      <c r="F89" s="4">
        <v>3.0</v>
      </c>
      <c r="G89" s="12" t="s">
        <v>13216</v>
      </c>
      <c r="H89" s="4" t="s">
        <v>13217</v>
      </c>
      <c r="I89" s="4" t="s">
        <v>13078</v>
      </c>
      <c r="J89" s="5"/>
      <c r="K89" s="4" t="s">
        <v>67</v>
      </c>
      <c r="L89" s="4">
        <v>0.0</v>
      </c>
      <c r="M89" s="15" t="str">
        <f>VLOOKUP(A89,'Live Plan Data'!I:J,2, False)</f>
        <v>Active</v>
      </c>
    </row>
    <row r="90">
      <c r="A90" s="4" t="s">
        <v>13219</v>
      </c>
      <c r="B90" s="4" t="s">
        <v>6367</v>
      </c>
      <c r="C90" s="4">
        <v>50043.0</v>
      </c>
      <c r="D90" s="4" t="s">
        <v>13065</v>
      </c>
      <c r="E90" s="4">
        <v>349.0</v>
      </c>
      <c r="F90" s="4">
        <v>6.0</v>
      </c>
      <c r="G90" s="12" t="s">
        <v>13216</v>
      </c>
      <c r="H90" s="4" t="s">
        <v>13217</v>
      </c>
      <c r="I90" s="4" t="s">
        <v>13078</v>
      </c>
      <c r="J90" s="5"/>
      <c r="K90" s="4" t="s">
        <v>67</v>
      </c>
      <c r="L90" s="4">
        <v>0.0</v>
      </c>
      <c r="M90" s="15" t="str">
        <f>VLOOKUP(A90,'Live Plan Data'!I:J,2, False)</f>
        <v>Active</v>
      </c>
    </row>
    <row r="91">
      <c r="A91" s="4" t="s">
        <v>13220</v>
      </c>
      <c r="B91" s="4" t="s">
        <v>5400</v>
      </c>
      <c r="C91" s="4">
        <v>50040.0</v>
      </c>
      <c r="D91" s="4" t="s">
        <v>13058</v>
      </c>
      <c r="E91" s="4">
        <v>99.0</v>
      </c>
      <c r="F91" s="4">
        <v>1.0</v>
      </c>
      <c r="G91" s="12" t="s">
        <v>13221</v>
      </c>
      <c r="H91" s="4" t="s">
        <v>13222</v>
      </c>
      <c r="I91" s="4" t="s">
        <v>13078</v>
      </c>
      <c r="J91" s="5"/>
      <c r="K91" s="4" t="s">
        <v>67</v>
      </c>
      <c r="L91" s="4">
        <v>0.0</v>
      </c>
      <c r="M91" s="15" t="str">
        <f>VLOOKUP(A91,'Live Plan Data'!I:J,2, False)</f>
        <v>Active</v>
      </c>
    </row>
    <row r="92">
      <c r="A92" s="4" t="s">
        <v>13223</v>
      </c>
      <c r="B92" s="4" t="s">
        <v>5400</v>
      </c>
      <c r="C92" s="4">
        <v>50040.0</v>
      </c>
      <c r="D92" s="4" t="s">
        <v>13063</v>
      </c>
      <c r="E92" s="4">
        <v>199.0</v>
      </c>
      <c r="F92" s="4">
        <v>3.0</v>
      </c>
      <c r="G92" s="12" t="s">
        <v>13221</v>
      </c>
      <c r="H92" s="4" t="s">
        <v>13222</v>
      </c>
      <c r="I92" s="4" t="s">
        <v>13078</v>
      </c>
      <c r="J92" s="5"/>
      <c r="K92" s="4" t="s">
        <v>67</v>
      </c>
      <c r="L92" s="4">
        <v>0.0</v>
      </c>
      <c r="M92" s="15" t="str">
        <f>VLOOKUP(A92,'Live Plan Data'!I:J,2, False)</f>
        <v>Active</v>
      </c>
    </row>
    <row r="93">
      <c r="A93" s="4" t="s">
        <v>13224</v>
      </c>
      <c r="B93" s="4" t="s">
        <v>5400</v>
      </c>
      <c r="C93" s="4">
        <v>50040.0</v>
      </c>
      <c r="D93" s="4" t="s">
        <v>13065</v>
      </c>
      <c r="E93" s="4">
        <v>349.0</v>
      </c>
      <c r="F93" s="4">
        <v>6.0</v>
      </c>
      <c r="G93" s="12" t="s">
        <v>13221</v>
      </c>
      <c r="H93" s="4" t="s">
        <v>13222</v>
      </c>
      <c r="I93" s="4" t="s">
        <v>13078</v>
      </c>
      <c r="J93" s="5"/>
      <c r="K93" s="4" t="s">
        <v>67</v>
      </c>
      <c r="L93" s="4">
        <v>0.0</v>
      </c>
      <c r="M93" s="15" t="str">
        <f>VLOOKUP(A93,'Live Plan Data'!I:J,2, False)</f>
        <v>Active</v>
      </c>
    </row>
    <row r="94">
      <c r="A94" s="4" t="s">
        <v>13225</v>
      </c>
      <c r="B94" s="4" t="s">
        <v>5508</v>
      </c>
      <c r="C94" s="4">
        <v>50023.0</v>
      </c>
      <c r="D94" s="4" t="s">
        <v>13058</v>
      </c>
      <c r="E94" s="4">
        <v>99.0</v>
      </c>
      <c r="F94" s="4">
        <v>1.0</v>
      </c>
      <c r="G94" s="12" t="s">
        <v>13226</v>
      </c>
      <c r="H94" s="4" t="s">
        <v>13227</v>
      </c>
      <c r="I94" s="4" t="s">
        <v>13078</v>
      </c>
      <c r="J94" s="5"/>
      <c r="K94" s="4" t="s">
        <v>67</v>
      </c>
      <c r="L94" s="4">
        <v>0.0</v>
      </c>
      <c r="M94" s="15" t="str">
        <f>VLOOKUP(A94,'Live Plan Data'!I:J,2, False)</f>
        <v>Active</v>
      </c>
    </row>
    <row r="95">
      <c r="A95" s="4" t="s">
        <v>13228</v>
      </c>
      <c r="B95" s="4" t="s">
        <v>5508</v>
      </c>
      <c r="C95" s="4">
        <v>50023.0</v>
      </c>
      <c r="D95" s="4" t="s">
        <v>13063</v>
      </c>
      <c r="E95" s="4">
        <v>199.0</v>
      </c>
      <c r="F95" s="4">
        <v>3.0</v>
      </c>
      <c r="G95" s="12" t="s">
        <v>13226</v>
      </c>
      <c r="H95" s="4" t="s">
        <v>13227</v>
      </c>
      <c r="I95" s="4" t="s">
        <v>13078</v>
      </c>
      <c r="J95" s="5"/>
      <c r="K95" s="4" t="s">
        <v>67</v>
      </c>
      <c r="L95" s="4">
        <v>0.0</v>
      </c>
      <c r="M95" s="15" t="str">
        <f>VLOOKUP(A95,'Live Plan Data'!I:J,2, False)</f>
        <v>Active</v>
      </c>
    </row>
    <row r="96">
      <c r="A96" s="4" t="s">
        <v>13229</v>
      </c>
      <c r="B96" s="4" t="s">
        <v>5508</v>
      </c>
      <c r="C96" s="4">
        <v>50023.0</v>
      </c>
      <c r="D96" s="4" t="s">
        <v>13065</v>
      </c>
      <c r="E96" s="4">
        <v>349.0</v>
      </c>
      <c r="F96" s="4">
        <v>6.0</v>
      </c>
      <c r="G96" s="12" t="s">
        <v>13226</v>
      </c>
      <c r="H96" s="4" t="s">
        <v>13227</v>
      </c>
      <c r="I96" s="4" t="s">
        <v>13078</v>
      </c>
      <c r="J96" s="5"/>
      <c r="K96" s="4" t="s">
        <v>67</v>
      </c>
      <c r="L96" s="4">
        <v>0.0</v>
      </c>
      <c r="M96" s="15" t="str">
        <f>VLOOKUP(A96,'Live Plan Data'!I:J,2, False)</f>
        <v>Active</v>
      </c>
    </row>
    <row r="97" hidden="1">
      <c r="A97" s="4" t="s">
        <v>13230</v>
      </c>
      <c r="B97" s="4" t="s">
        <v>1320</v>
      </c>
      <c r="C97" s="4">
        <v>50036.0</v>
      </c>
      <c r="D97" s="4" t="s">
        <v>13058</v>
      </c>
      <c r="E97" s="4">
        <v>149.0</v>
      </c>
      <c r="F97" s="4">
        <v>1.0</v>
      </c>
      <c r="G97" s="12" t="s">
        <v>13231</v>
      </c>
      <c r="H97" s="4" t="s">
        <v>13232</v>
      </c>
      <c r="I97" s="4" t="s">
        <v>13191</v>
      </c>
      <c r="J97" s="5"/>
      <c r="K97" s="4" t="s">
        <v>67</v>
      </c>
      <c r="L97" s="4">
        <v>0.0</v>
      </c>
      <c r="M97" s="15" t="str">
        <f>VLOOKUP(A97,'Live Plan Data'!I:J,2, False)</f>
        <v>#N/A</v>
      </c>
    </row>
    <row r="98" hidden="1">
      <c r="A98" s="4" t="s">
        <v>13233</v>
      </c>
      <c r="B98" s="4" t="s">
        <v>1320</v>
      </c>
      <c r="C98" s="4">
        <v>50036.0</v>
      </c>
      <c r="D98" s="4" t="s">
        <v>13063</v>
      </c>
      <c r="E98" s="4">
        <v>299.0</v>
      </c>
      <c r="F98" s="4">
        <v>3.0</v>
      </c>
      <c r="G98" s="12" t="s">
        <v>13231</v>
      </c>
      <c r="H98" s="4" t="s">
        <v>13232</v>
      </c>
      <c r="I98" s="4" t="s">
        <v>13191</v>
      </c>
      <c r="J98" s="5"/>
      <c r="K98" s="4" t="s">
        <v>67</v>
      </c>
      <c r="L98" s="4">
        <v>0.0</v>
      </c>
      <c r="M98" s="15" t="str">
        <f>VLOOKUP(A98,'Live Plan Data'!I:J,2, False)</f>
        <v>#N/A</v>
      </c>
    </row>
    <row r="99" hidden="1">
      <c r="A99" s="4" t="s">
        <v>13234</v>
      </c>
      <c r="B99" s="4" t="s">
        <v>1320</v>
      </c>
      <c r="C99" s="4">
        <v>50036.0</v>
      </c>
      <c r="D99" s="4" t="s">
        <v>13065</v>
      </c>
      <c r="E99" s="4">
        <v>599.0</v>
      </c>
      <c r="F99" s="4">
        <v>6.0</v>
      </c>
      <c r="G99" s="12" t="s">
        <v>13231</v>
      </c>
      <c r="H99" s="4" t="s">
        <v>13232</v>
      </c>
      <c r="I99" s="4" t="s">
        <v>13191</v>
      </c>
      <c r="J99" s="5"/>
      <c r="K99" s="4" t="s">
        <v>67</v>
      </c>
      <c r="L99" s="4">
        <v>0.0</v>
      </c>
      <c r="M99" s="15" t="str">
        <f>VLOOKUP(A99,'Live Plan Data'!I:J,2, False)</f>
        <v>#N/A</v>
      </c>
    </row>
    <row r="100" hidden="1">
      <c r="A100" s="4" t="s">
        <v>13235</v>
      </c>
      <c r="B100" s="4" t="s">
        <v>2161</v>
      </c>
      <c r="C100" s="4">
        <v>49854.0</v>
      </c>
      <c r="D100" s="4" t="s">
        <v>13058</v>
      </c>
      <c r="E100" s="4">
        <v>499.0</v>
      </c>
      <c r="F100" s="4">
        <v>1.0</v>
      </c>
      <c r="G100" s="12" t="s">
        <v>13236</v>
      </c>
      <c r="H100" s="4" t="s">
        <v>2174</v>
      </c>
      <c r="I100" s="4" t="s">
        <v>6693</v>
      </c>
      <c r="J100" s="5"/>
      <c r="K100" s="4" t="s">
        <v>67</v>
      </c>
      <c r="L100" s="4">
        <v>0.0</v>
      </c>
      <c r="M100" s="15" t="str">
        <f>VLOOKUP(A100,'Live Plan Data'!I:J,2, False)</f>
        <v>#N/A</v>
      </c>
    </row>
    <row r="101" hidden="1">
      <c r="A101" s="4" t="s">
        <v>13237</v>
      </c>
      <c r="B101" s="4" t="s">
        <v>2161</v>
      </c>
      <c r="C101" s="4">
        <v>49854.0</v>
      </c>
      <c r="D101" s="4" t="s">
        <v>13063</v>
      </c>
      <c r="E101" s="4">
        <v>999.0</v>
      </c>
      <c r="F101" s="4">
        <v>3.0</v>
      </c>
      <c r="G101" s="12" t="s">
        <v>13236</v>
      </c>
      <c r="H101" s="4" t="s">
        <v>2174</v>
      </c>
      <c r="I101" s="4" t="s">
        <v>6693</v>
      </c>
      <c r="J101" s="5"/>
      <c r="K101" s="4" t="s">
        <v>67</v>
      </c>
      <c r="L101" s="4">
        <v>0.0</v>
      </c>
      <c r="M101" s="15" t="str">
        <f>VLOOKUP(A101,'Live Plan Data'!I:J,2, False)</f>
        <v>#N/A</v>
      </c>
    </row>
    <row r="102" hidden="1">
      <c r="A102" s="4" t="s">
        <v>13238</v>
      </c>
      <c r="B102" s="4" t="s">
        <v>6592</v>
      </c>
      <c r="C102" s="4">
        <v>49958.0</v>
      </c>
      <c r="D102" s="4" t="s">
        <v>13063</v>
      </c>
      <c r="E102" s="4">
        <v>199.0</v>
      </c>
      <c r="F102" s="4">
        <v>3.0</v>
      </c>
      <c r="G102" s="12" t="s">
        <v>13239</v>
      </c>
      <c r="H102" s="4" t="s">
        <v>13240</v>
      </c>
      <c r="I102" s="4" t="s">
        <v>6693</v>
      </c>
      <c r="J102" s="5"/>
      <c r="K102" s="4" t="s">
        <v>67</v>
      </c>
      <c r="L102" s="4">
        <v>0.0</v>
      </c>
      <c r="M102" s="15" t="str">
        <f>VLOOKUP(A102,'Live Plan Data'!I:J,2, False)</f>
        <v>#N/A</v>
      </c>
    </row>
    <row r="103" hidden="1">
      <c r="A103" s="4" t="s">
        <v>13241</v>
      </c>
      <c r="B103" s="4" t="s">
        <v>6592</v>
      </c>
      <c r="C103" s="4">
        <v>49958.0</v>
      </c>
      <c r="D103" s="4" t="s">
        <v>13065</v>
      </c>
      <c r="E103" s="4">
        <v>349.0</v>
      </c>
      <c r="F103" s="4">
        <v>6.0</v>
      </c>
      <c r="G103" s="12" t="s">
        <v>13239</v>
      </c>
      <c r="H103" s="4" t="s">
        <v>13240</v>
      </c>
      <c r="I103" s="4" t="s">
        <v>6693</v>
      </c>
      <c r="J103" s="5"/>
      <c r="K103" s="4" t="s">
        <v>67</v>
      </c>
      <c r="L103" s="4">
        <v>0.0</v>
      </c>
      <c r="M103" s="15" t="str">
        <f>VLOOKUP(A103,'Live Plan Data'!I:J,2, False)</f>
        <v>#N/A</v>
      </c>
    </row>
    <row r="104">
      <c r="A104" s="4" t="s">
        <v>13242</v>
      </c>
      <c r="B104" s="4" t="s">
        <v>1264</v>
      </c>
      <c r="C104" s="4">
        <v>49994.0</v>
      </c>
      <c r="D104" s="4" t="s">
        <v>13058</v>
      </c>
      <c r="E104" s="4">
        <v>99.0</v>
      </c>
      <c r="F104" s="4">
        <v>1.0</v>
      </c>
      <c r="G104" s="12" t="s">
        <v>13243</v>
      </c>
      <c r="H104" s="4" t="s">
        <v>13244</v>
      </c>
      <c r="I104" s="4" t="s">
        <v>13061</v>
      </c>
      <c r="J104" s="5"/>
      <c r="K104" s="4" t="s">
        <v>67</v>
      </c>
      <c r="L104" s="4">
        <v>0.0</v>
      </c>
      <c r="M104" s="15" t="str">
        <f>VLOOKUP(A104,'Live Plan Data'!I:J,2, False)</f>
        <v>Active</v>
      </c>
    </row>
    <row r="105">
      <c r="A105" s="4" t="s">
        <v>13245</v>
      </c>
      <c r="B105" s="4" t="s">
        <v>1264</v>
      </c>
      <c r="C105" s="4">
        <v>49994.0</v>
      </c>
      <c r="D105" s="4" t="s">
        <v>13063</v>
      </c>
      <c r="E105" s="4">
        <v>199.0</v>
      </c>
      <c r="F105" s="4">
        <v>3.0</v>
      </c>
      <c r="G105" s="12" t="s">
        <v>13243</v>
      </c>
      <c r="H105" s="4" t="s">
        <v>13244</v>
      </c>
      <c r="I105" s="4" t="s">
        <v>13061</v>
      </c>
      <c r="J105" s="5"/>
      <c r="K105" s="4" t="s">
        <v>67</v>
      </c>
      <c r="L105" s="4">
        <v>0.0</v>
      </c>
      <c r="M105" s="15" t="str">
        <f>VLOOKUP(A105,'Live Plan Data'!I:J,2, False)</f>
        <v>Active</v>
      </c>
    </row>
    <row r="106">
      <c r="A106" s="4" t="s">
        <v>13246</v>
      </c>
      <c r="B106" s="4" t="s">
        <v>1264</v>
      </c>
      <c r="C106" s="4">
        <v>49994.0</v>
      </c>
      <c r="D106" s="4" t="s">
        <v>13065</v>
      </c>
      <c r="E106" s="4">
        <v>349.0</v>
      </c>
      <c r="F106" s="4">
        <v>6.0</v>
      </c>
      <c r="G106" s="12" t="s">
        <v>13243</v>
      </c>
      <c r="H106" s="4" t="s">
        <v>13244</v>
      </c>
      <c r="I106" s="4" t="s">
        <v>13061</v>
      </c>
      <c r="J106" s="5"/>
      <c r="K106" s="4" t="s">
        <v>67</v>
      </c>
      <c r="L106" s="4">
        <v>0.0</v>
      </c>
      <c r="M106" s="15" t="str">
        <f>VLOOKUP(A106,'Live Plan Data'!I:J,2, False)</f>
        <v>Active</v>
      </c>
    </row>
    <row r="107" hidden="1">
      <c r="A107" s="4" t="s">
        <v>13247</v>
      </c>
      <c r="B107" s="4" t="s">
        <v>1025</v>
      </c>
      <c r="C107" s="4">
        <v>49948.0</v>
      </c>
      <c r="D107" s="4" t="s">
        <v>13058</v>
      </c>
      <c r="E107" s="4">
        <v>99.0</v>
      </c>
      <c r="F107" s="4">
        <v>1.0</v>
      </c>
      <c r="G107" s="12" t="s">
        <v>13248</v>
      </c>
      <c r="H107" s="4" t="s">
        <v>13249</v>
      </c>
      <c r="I107" s="4" t="s">
        <v>6693</v>
      </c>
      <c r="J107" s="5"/>
      <c r="K107" s="4" t="s">
        <v>67</v>
      </c>
      <c r="L107" s="4">
        <v>0.0</v>
      </c>
      <c r="M107" s="15" t="str">
        <f>VLOOKUP(A107,'Live Plan Data'!I:J,2, False)</f>
        <v>#N/A</v>
      </c>
    </row>
    <row r="108" hidden="1">
      <c r="A108" s="4" t="s">
        <v>13250</v>
      </c>
      <c r="B108" s="4" t="s">
        <v>1025</v>
      </c>
      <c r="C108" s="4">
        <v>49948.0</v>
      </c>
      <c r="D108" s="4" t="s">
        <v>13063</v>
      </c>
      <c r="E108" s="4">
        <v>199.0</v>
      </c>
      <c r="F108" s="4">
        <v>3.0</v>
      </c>
      <c r="G108" s="12" t="s">
        <v>13248</v>
      </c>
      <c r="H108" s="4" t="s">
        <v>13249</v>
      </c>
      <c r="I108" s="4" t="s">
        <v>6693</v>
      </c>
      <c r="J108" s="5"/>
      <c r="K108" s="4" t="s">
        <v>67</v>
      </c>
      <c r="L108" s="4">
        <v>0.0</v>
      </c>
      <c r="M108" s="15" t="str">
        <f>VLOOKUP(A108,'Live Plan Data'!I:J,2, False)</f>
        <v>#N/A</v>
      </c>
    </row>
    <row r="109" hidden="1">
      <c r="A109" s="4" t="s">
        <v>13251</v>
      </c>
      <c r="B109" s="4" t="s">
        <v>1025</v>
      </c>
      <c r="C109" s="4">
        <v>49948.0</v>
      </c>
      <c r="D109" s="4" t="s">
        <v>13065</v>
      </c>
      <c r="E109" s="4">
        <v>349.0</v>
      </c>
      <c r="F109" s="4">
        <v>6.0</v>
      </c>
      <c r="G109" s="12" t="s">
        <v>13248</v>
      </c>
      <c r="H109" s="4" t="s">
        <v>13249</v>
      </c>
      <c r="I109" s="4" t="s">
        <v>6693</v>
      </c>
      <c r="J109" s="5"/>
      <c r="K109" s="4" t="s">
        <v>67</v>
      </c>
      <c r="L109" s="4">
        <v>0.0</v>
      </c>
      <c r="M109" s="15" t="str">
        <f>VLOOKUP(A109,'Live Plan Data'!I:J,2, False)</f>
        <v>#N/A</v>
      </c>
    </row>
    <row r="110" hidden="1">
      <c r="A110" s="4" t="s">
        <v>13252</v>
      </c>
      <c r="B110" s="4" t="s">
        <v>2702</v>
      </c>
      <c r="C110" s="4">
        <v>50015.0</v>
      </c>
      <c r="D110" s="4" t="s">
        <v>13058</v>
      </c>
      <c r="E110" s="4">
        <v>99.0</v>
      </c>
      <c r="F110" s="4">
        <v>1.0</v>
      </c>
      <c r="G110" s="12" t="s">
        <v>13253</v>
      </c>
      <c r="H110" s="4" t="s">
        <v>13254</v>
      </c>
      <c r="I110" s="4" t="s">
        <v>13255</v>
      </c>
      <c r="J110" s="5"/>
      <c r="K110" s="4" t="s">
        <v>67</v>
      </c>
      <c r="L110" s="4">
        <v>0.0</v>
      </c>
      <c r="M110" s="15" t="str">
        <f>VLOOKUP(A110,'Live Plan Data'!I:J,2, False)</f>
        <v>#N/A</v>
      </c>
    </row>
    <row r="111" hidden="1">
      <c r="A111" s="4" t="s">
        <v>13256</v>
      </c>
      <c r="B111" s="4" t="s">
        <v>2702</v>
      </c>
      <c r="C111" s="4">
        <v>50015.0</v>
      </c>
      <c r="D111" s="4" t="s">
        <v>13063</v>
      </c>
      <c r="E111" s="4">
        <v>249.0</v>
      </c>
      <c r="F111" s="4">
        <v>3.0</v>
      </c>
      <c r="G111" s="12" t="s">
        <v>13253</v>
      </c>
      <c r="H111" s="4" t="s">
        <v>13254</v>
      </c>
      <c r="I111" s="4" t="s">
        <v>13255</v>
      </c>
      <c r="J111" s="5"/>
      <c r="K111" s="4" t="s">
        <v>67</v>
      </c>
      <c r="L111" s="4">
        <v>0.0</v>
      </c>
      <c r="M111" s="15" t="str">
        <f>VLOOKUP(A111,'Live Plan Data'!I:J,2, False)</f>
        <v>#N/A</v>
      </c>
    </row>
    <row r="112" hidden="1">
      <c r="A112" s="4" t="s">
        <v>13257</v>
      </c>
      <c r="B112" s="4" t="s">
        <v>2702</v>
      </c>
      <c r="C112" s="4">
        <v>50015.0</v>
      </c>
      <c r="D112" s="4" t="s">
        <v>13065</v>
      </c>
      <c r="E112" s="4">
        <v>499.0</v>
      </c>
      <c r="F112" s="4">
        <v>6.0</v>
      </c>
      <c r="G112" s="12" t="s">
        <v>13253</v>
      </c>
      <c r="H112" s="4" t="s">
        <v>13254</v>
      </c>
      <c r="I112" s="4" t="s">
        <v>13255</v>
      </c>
      <c r="J112" s="5"/>
      <c r="K112" s="4" t="s">
        <v>67</v>
      </c>
      <c r="L112" s="4">
        <v>0.0</v>
      </c>
      <c r="M112" s="15" t="str">
        <f>VLOOKUP(A112,'Live Plan Data'!I:J,2, False)</f>
        <v>#N/A</v>
      </c>
    </row>
    <row r="113" hidden="1">
      <c r="A113" s="4" t="s">
        <v>13258</v>
      </c>
      <c r="B113" s="4" t="s">
        <v>13259</v>
      </c>
      <c r="C113" s="4">
        <v>50030.0</v>
      </c>
      <c r="D113" s="4" t="s">
        <v>13058</v>
      </c>
      <c r="E113" s="4">
        <v>99.0</v>
      </c>
      <c r="F113" s="4">
        <v>1.0</v>
      </c>
      <c r="G113" s="12" t="s">
        <v>13260</v>
      </c>
      <c r="H113" s="4" t="s">
        <v>13261</v>
      </c>
      <c r="I113" s="4" t="s">
        <v>13255</v>
      </c>
      <c r="J113" s="5"/>
      <c r="K113" s="4" t="s">
        <v>67</v>
      </c>
      <c r="L113" s="4">
        <v>0.0</v>
      </c>
      <c r="M113" s="15" t="str">
        <f>VLOOKUP(A113,'Live Plan Data'!I:J,2, False)</f>
        <v>#N/A</v>
      </c>
    </row>
    <row r="114" hidden="1">
      <c r="A114" s="4" t="s">
        <v>13262</v>
      </c>
      <c r="B114" s="4" t="s">
        <v>13259</v>
      </c>
      <c r="C114" s="4">
        <v>50030.0</v>
      </c>
      <c r="D114" s="4" t="s">
        <v>13063</v>
      </c>
      <c r="E114" s="4">
        <v>199.0</v>
      </c>
      <c r="F114" s="4">
        <v>3.0</v>
      </c>
      <c r="G114" s="12" t="s">
        <v>13260</v>
      </c>
      <c r="H114" s="4" t="s">
        <v>13261</v>
      </c>
      <c r="I114" s="4" t="s">
        <v>13255</v>
      </c>
      <c r="J114" s="5"/>
      <c r="K114" s="4" t="s">
        <v>67</v>
      </c>
      <c r="L114" s="4">
        <v>0.0</v>
      </c>
      <c r="M114" s="15" t="str">
        <f>VLOOKUP(A114,'Live Plan Data'!I:J,2, False)</f>
        <v>#N/A</v>
      </c>
    </row>
    <row r="115" hidden="1">
      <c r="A115" s="4" t="s">
        <v>13263</v>
      </c>
      <c r="B115" s="4" t="s">
        <v>13259</v>
      </c>
      <c r="C115" s="4">
        <v>50030.0</v>
      </c>
      <c r="D115" s="4" t="s">
        <v>13065</v>
      </c>
      <c r="E115" s="4">
        <v>349.0</v>
      </c>
      <c r="F115" s="4">
        <v>6.0</v>
      </c>
      <c r="G115" s="12" t="s">
        <v>13260</v>
      </c>
      <c r="H115" s="4" t="s">
        <v>13261</v>
      </c>
      <c r="I115" s="4" t="s">
        <v>13255</v>
      </c>
      <c r="J115" s="5"/>
      <c r="K115" s="4" t="s">
        <v>67</v>
      </c>
      <c r="L115" s="4">
        <v>0.0</v>
      </c>
      <c r="M115" s="15" t="str">
        <f>VLOOKUP(A115,'Live Plan Data'!I:J,2, False)</f>
        <v>#N/A</v>
      </c>
    </row>
    <row r="116" hidden="1">
      <c r="A116" s="4" t="s">
        <v>13264</v>
      </c>
      <c r="B116" s="4" t="s">
        <v>5181</v>
      </c>
      <c r="C116" s="4">
        <v>50022.0</v>
      </c>
      <c r="D116" s="4" t="s">
        <v>13058</v>
      </c>
      <c r="E116" s="4">
        <v>99.0</v>
      </c>
      <c r="F116" s="4">
        <v>1.0</v>
      </c>
      <c r="G116" s="12" t="s">
        <v>13265</v>
      </c>
      <c r="H116" s="4" t="s">
        <v>13266</v>
      </c>
      <c r="I116" s="4" t="s">
        <v>13255</v>
      </c>
      <c r="J116" s="5"/>
      <c r="K116" s="4" t="s">
        <v>67</v>
      </c>
      <c r="L116" s="4">
        <v>0.0</v>
      </c>
      <c r="M116" s="15" t="str">
        <f>VLOOKUP(A116,'Live Plan Data'!I:J,2, False)</f>
        <v>#N/A</v>
      </c>
    </row>
    <row r="117" hidden="1">
      <c r="A117" s="4" t="s">
        <v>13267</v>
      </c>
      <c r="B117" s="4" t="s">
        <v>5181</v>
      </c>
      <c r="C117" s="4">
        <v>50022.0</v>
      </c>
      <c r="D117" s="4" t="s">
        <v>13063</v>
      </c>
      <c r="E117" s="4">
        <v>199.0</v>
      </c>
      <c r="F117" s="4">
        <v>3.0</v>
      </c>
      <c r="G117" s="12" t="s">
        <v>13265</v>
      </c>
      <c r="H117" s="4" t="s">
        <v>13266</v>
      </c>
      <c r="I117" s="4" t="s">
        <v>13255</v>
      </c>
      <c r="J117" s="5"/>
      <c r="K117" s="4" t="s">
        <v>67</v>
      </c>
      <c r="L117" s="4">
        <v>0.0</v>
      </c>
      <c r="M117" s="15" t="str">
        <f>VLOOKUP(A117,'Live Plan Data'!I:J,2, False)</f>
        <v>#N/A</v>
      </c>
    </row>
    <row r="118" hidden="1">
      <c r="A118" s="4" t="s">
        <v>13268</v>
      </c>
      <c r="B118" s="4" t="s">
        <v>5181</v>
      </c>
      <c r="C118" s="4">
        <v>50022.0</v>
      </c>
      <c r="D118" s="4" t="s">
        <v>13065</v>
      </c>
      <c r="E118" s="4">
        <v>349.0</v>
      </c>
      <c r="F118" s="4">
        <v>6.0</v>
      </c>
      <c r="G118" s="12" t="s">
        <v>13265</v>
      </c>
      <c r="H118" s="4" t="s">
        <v>13266</v>
      </c>
      <c r="I118" s="4" t="s">
        <v>13255</v>
      </c>
      <c r="J118" s="5"/>
      <c r="K118" s="4" t="s">
        <v>67</v>
      </c>
      <c r="L118" s="4">
        <v>0.0</v>
      </c>
      <c r="M118" s="15" t="str">
        <f>VLOOKUP(A118,'Live Plan Data'!I:J,2, False)</f>
        <v>#N/A</v>
      </c>
    </row>
    <row r="119">
      <c r="A119" s="4" t="s">
        <v>13269</v>
      </c>
      <c r="B119" s="4" t="s">
        <v>12900</v>
      </c>
      <c r="C119" s="4">
        <v>50024.0</v>
      </c>
      <c r="D119" s="4" t="s">
        <v>13058</v>
      </c>
      <c r="E119" s="4">
        <v>99.0</v>
      </c>
      <c r="F119" s="4">
        <v>1.0</v>
      </c>
      <c r="G119" s="12" t="s">
        <v>13270</v>
      </c>
      <c r="H119" s="4" t="s">
        <v>13271</v>
      </c>
      <c r="I119" s="4" t="s">
        <v>13255</v>
      </c>
      <c r="J119" s="5"/>
      <c r="K119" s="4" t="s">
        <v>67</v>
      </c>
      <c r="L119" s="4">
        <v>0.0</v>
      </c>
      <c r="M119" s="15" t="str">
        <f>VLOOKUP(A119,'Live Plan Data'!I:J,2, False)</f>
        <v>Active</v>
      </c>
    </row>
    <row r="120">
      <c r="A120" s="4" t="s">
        <v>13272</v>
      </c>
      <c r="B120" s="4" t="s">
        <v>12900</v>
      </c>
      <c r="C120" s="4">
        <v>50024.0</v>
      </c>
      <c r="D120" s="4" t="s">
        <v>13063</v>
      </c>
      <c r="E120" s="4">
        <v>199.0</v>
      </c>
      <c r="F120" s="4">
        <v>3.0</v>
      </c>
      <c r="G120" s="12" t="s">
        <v>13270</v>
      </c>
      <c r="H120" s="4" t="s">
        <v>13271</v>
      </c>
      <c r="I120" s="4" t="s">
        <v>13255</v>
      </c>
      <c r="J120" s="5"/>
      <c r="K120" s="4" t="s">
        <v>67</v>
      </c>
      <c r="L120" s="4">
        <v>0.0</v>
      </c>
      <c r="M120" s="15" t="str">
        <f>VLOOKUP(A120,'Live Plan Data'!I:J,2, False)</f>
        <v>Active</v>
      </c>
    </row>
    <row r="121">
      <c r="A121" s="4" t="s">
        <v>13273</v>
      </c>
      <c r="B121" s="4" t="s">
        <v>12900</v>
      </c>
      <c r="C121" s="4">
        <v>50024.0</v>
      </c>
      <c r="D121" s="4" t="s">
        <v>13065</v>
      </c>
      <c r="E121" s="4">
        <v>349.0</v>
      </c>
      <c r="F121" s="4">
        <v>6.0</v>
      </c>
      <c r="G121" s="12" t="s">
        <v>13270</v>
      </c>
      <c r="H121" s="4" t="s">
        <v>13271</v>
      </c>
      <c r="I121" s="4" t="s">
        <v>13255</v>
      </c>
      <c r="J121" s="5"/>
      <c r="K121" s="4" t="s">
        <v>67</v>
      </c>
      <c r="L121" s="4">
        <v>0.0</v>
      </c>
      <c r="M121" s="15" t="str">
        <f>VLOOKUP(A121,'Live Plan Data'!I:J,2, False)</f>
        <v>Active</v>
      </c>
    </row>
    <row r="122">
      <c r="A122" s="4" t="s">
        <v>13274</v>
      </c>
      <c r="B122" s="4" t="s">
        <v>4341</v>
      </c>
      <c r="C122" s="4">
        <v>50039.0</v>
      </c>
      <c r="D122" s="4" t="s">
        <v>13058</v>
      </c>
      <c r="E122" s="4">
        <v>99.0</v>
      </c>
      <c r="F122" s="4">
        <v>1.0</v>
      </c>
      <c r="G122" s="12" t="s">
        <v>13275</v>
      </c>
      <c r="H122" s="4" t="s">
        <v>13276</v>
      </c>
      <c r="I122" s="4" t="s">
        <v>13078</v>
      </c>
      <c r="J122" s="5"/>
      <c r="K122" s="4" t="s">
        <v>67</v>
      </c>
      <c r="L122" s="4">
        <v>0.0</v>
      </c>
      <c r="M122" s="15" t="str">
        <f>VLOOKUP(A122,'Live Plan Data'!I:J,2, False)</f>
        <v>Active</v>
      </c>
    </row>
    <row r="123">
      <c r="A123" s="4" t="s">
        <v>13277</v>
      </c>
      <c r="B123" s="4" t="s">
        <v>4341</v>
      </c>
      <c r="C123" s="4">
        <v>50039.0</v>
      </c>
      <c r="D123" s="4" t="s">
        <v>13063</v>
      </c>
      <c r="E123" s="4">
        <v>199.0</v>
      </c>
      <c r="F123" s="4">
        <v>3.0</v>
      </c>
      <c r="G123" s="12" t="s">
        <v>13275</v>
      </c>
      <c r="H123" s="4" t="s">
        <v>13276</v>
      </c>
      <c r="I123" s="4" t="s">
        <v>13078</v>
      </c>
      <c r="J123" s="5"/>
      <c r="K123" s="4" t="s">
        <v>67</v>
      </c>
      <c r="L123" s="4">
        <v>0.0</v>
      </c>
      <c r="M123" s="15" t="str">
        <f>VLOOKUP(A123,'Live Plan Data'!I:J,2, False)</f>
        <v>Active</v>
      </c>
    </row>
    <row r="124">
      <c r="A124" s="4" t="s">
        <v>13278</v>
      </c>
      <c r="B124" s="4" t="s">
        <v>4341</v>
      </c>
      <c r="C124" s="4">
        <v>50039.0</v>
      </c>
      <c r="D124" s="4" t="s">
        <v>13065</v>
      </c>
      <c r="E124" s="4">
        <v>349.0</v>
      </c>
      <c r="F124" s="4">
        <v>6.0</v>
      </c>
      <c r="G124" s="12" t="s">
        <v>13275</v>
      </c>
      <c r="H124" s="4" t="s">
        <v>13276</v>
      </c>
      <c r="I124" s="4" t="s">
        <v>13078</v>
      </c>
      <c r="J124" s="5"/>
      <c r="K124" s="4" t="s">
        <v>67</v>
      </c>
      <c r="L124" s="4">
        <v>0.0</v>
      </c>
      <c r="M124" s="15" t="str">
        <f>VLOOKUP(A124,'Live Plan Data'!I:J,2, False)</f>
        <v>Active</v>
      </c>
    </row>
    <row r="125">
      <c r="A125" s="4" t="s">
        <v>13279</v>
      </c>
      <c r="B125" s="4" t="s">
        <v>4887</v>
      </c>
      <c r="C125" s="4">
        <v>49951.0</v>
      </c>
      <c r="D125" s="4" t="s">
        <v>13058</v>
      </c>
      <c r="E125" s="4">
        <v>99.0</v>
      </c>
      <c r="F125" s="4">
        <v>1.0</v>
      </c>
      <c r="G125" s="12" t="s">
        <v>13280</v>
      </c>
      <c r="H125" s="4" t="s">
        <v>13281</v>
      </c>
      <c r="I125" s="4" t="s">
        <v>13061</v>
      </c>
      <c r="J125" s="5"/>
      <c r="K125" s="4" t="s">
        <v>67</v>
      </c>
      <c r="L125" s="4">
        <v>0.0</v>
      </c>
      <c r="M125" s="15" t="str">
        <f>VLOOKUP(A125,'Live Plan Data'!I:J,2, False)</f>
        <v>Active</v>
      </c>
    </row>
    <row r="126">
      <c r="A126" s="4" t="s">
        <v>13282</v>
      </c>
      <c r="B126" s="4" t="s">
        <v>4887</v>
      </c>
      <c r="C126" s="4">
        <v>49951.0</v>
      </c>
      <c r="D126" s="4" t="s">
        <v>13283</v>
      </c>
      <c r="E126" s="4">
        <v>199.0</v>
      </c>
      <c r="F126" s="4">
        <v>3.0</v>
      </c>
      <c r="G126" s="12" t="s">
        <v>13280</v>
      </c>
      <c r="H126" s="4" t="s">
        <v>13281</v>
      </c>
      <c r="I126" s="4" t="s">
        <v>13061</v>
      </c>
      <c r="J126" s="5"/>
      <c r="K126" s="4" t="s">
        <v>67</v>
      </c>
      <c r="L126" s="4">
        <v>0.0</v>
      </c>
      <c r="M126" s="15" t="str">
        <f>VLOOKUP(A126,'Live Plan Data'!I:J,2, False)</f>
        <v>Active</v>
      </c>
    </row>
    <row r="127">
      <c r="A127" s="4" t="s">
        <v>13284</v>
      </c>
      <c r="B127" s="4" t="s">
        <v>4887</v>
      </c>
      <c r="C127" s="4">
        <v>49951.0</v>
      </c>
      <c r="D127" s="4" t="s">
        <v>13065</v>
      </c>
      <c r="E127" s="4">
        <v>349.0</v>
      </c>
      <c r="F127" s="4">
        <v>6.0</v>
      </c>
      <c r="G127" s="12" t="s">
        <v>13280</v>
      </c>
      <c r="H127" s="4" t="s">
        <v>13281</v>
      </c>
      <c r="I127" s="4" t="s">
        <v>13061</v>
      </c>
      <c r="J127" s="5"/>
      <c r="K127" s="4" t="s">
        <v>67</v>
      </c>
      <c r="L127" s="4">
        <v>0.0</v>
      </c>
      <c r="M127" s="15" t="str">
        <f>VLOOKUP(A127,'Live Plan Data'!I:J,2, False)</f>
        <v>Active</v>
      </c>
    </row>
    <row r="128" hidden="1">
      <c r="A128" s="4" t="s">
        <v>13285</v>
      </c>
      <c r="B128" s="4" t="s">
        <v>13286</v>
      </c>
      <c r="C128" s="4">
        <v>49977.0</v>
      </c>
      <c r="D128" s="4" t="s">
        <v>13058</v>
      </c>
      <c r="E128" s="4">
        <v>99.0</v>
      </c>
      <c r="F128" s="4">
        <v>1.0</v>
      </c>
      <c r="G128" s="12" t="s">
        <v>13287</v>
      </c>
      <c r="H128" s="4" t="s">
        <v>13288</v>
      </c>
      <c r="I128" s="4" t="s">
        <v>13061</v>
      </c>
      <c r="J128" s="5"/>
      <c r="K128" s="4" t="s">
        <v>67</v>
      </c>
      <c r="L128" s="4">
        <v>0.0</v>
      </c>
      <c r="M128" s="15" t="str">
        <f>VLOOKUP(A128,'Live Plan Data'!I:J,2, False)</f>
        <v>#N/A</v>
      </c>
    </row>
    <row r="129" hidden="1">
      <c r="A129" s="4" t="s">
        <v>13289</v>
      </c>
      <c r="B129" s="4" t="s">
        <v>13286</v>
      </c>
      <c r="C129" s="4">
        <v>49977.0</v>
      </c>
      <c r="D129" s="4" t="s">
        <v>13063</v>
      </c>
      <c r="E129" s="4">
        <v>199.0</v>
      </c>
      <c r="F129" s="4">
        <v>3.0</v>
      </c>
      <c r="G129" s="12" t="s">
        <v>13287</v>
      </c>
      <c r="H129" s="4" t="s">
        <v>13288</v>
      </c>
      <c r="I129" s="4" t="s">
        <v>13061</v>
      </c>
      <c r="J129" s="5"/>
      <c r="K129" s="4" t="s">
        <v>67</v>
      </c>
      <c r="L129" s="4">
        <v>0.0</v>
      </c>
      <c r="M129" s="15" t="str">
        <f>VLOOKUP(A129,'Live Plan Data'!I:J,2, False)</f>
        <v>#N/A</v>
      </c>
    </row>
    <row r="130" hidden="1">
      <c r="A130" s="4" t="s">
        <v>13290</v>
      </c>
      <c r="B130" s="4" t="s">
        <v>13286</v>
      </c>
      <c r="C130" s="4">
        <v>49977.0</v>
      </c>
      <c r="D130" s="4" t="s">
        <v>13065</v>
      </c>
      <c r="E130" s="4">
        <v>349.0</v>
      </c>
      <c r="F130" s="4">
        <v>6.0</v>
      </c>
      <c r="G130" s="12" t="s">
        <v>13287</v>
      </c>
      <c r="H130" s="4" t="s">
        <v>13288</v>
      </c>
      <c r="I130" s="4" t="s">
        <v>13061</v>
      </c>
      <c r="J130" s="5"/>
      <c r="K130" s="4" t="s">
        <v>67</v>
      </c>
      <c r="L130" s="4">
        <v>0.0</v>
      </c>
      <c r="M130" s="15" t="str">
        <f>VLOOKUP(A130,'Live Plan Data'!I:J,2, False)</f>
        <v>#N/A</v>
      </c>
    </row>
    <row r="131">
      <c r="A131" s="4" t="s">
        <v>13291</v>
      </c>
      <c r="B131" s="4" t="s">
        <v>6250</v>
      </c>
      <c r="C131" s="4">
        <v>49998.0</v>
      </c>
      <c r="D131" s="4" t="s">
        <v>13058</v>
      </c>
      <c r="E131" s="4">
        <v>99.0</v>
      </c>
      <c r="F131" s="4">
        <v>1.0</v>
      </c>
      <c r="G131" s="12" t="s">
        <v>13292</v>
      </c>
      <c r="H131" s="4" t="s">
        <v>13293</v>
      </c>
      <c r="I131" s="4" t="s">
        <v>13061</v>
      </c>
      <c r="J131" s="5"/>
      <c r="K131" s="4" t="s">
        <v>67</v>
      </c>
      <c r="L131" s="4">
        <v>0.0</v>
      </c>
      <c r="M131" s="15" t="str">
        <f>VLOOKUP(A131,'Live Plan Data'!I:J,2, False)</f>
        <v>Active</v>
      </c>
    </row>
    <row r="132">
      <c r="A132" s="4" t="s">
        <v>13294</v>
      </c>
      <c r="B132" s="4" t="s">
        <v>6250</v>
      </c>
      <c r="C132" s="4">
        <v>49998.0</v>
      </c>
      <c r="D132" s="4" t="s">
        <v>13063</v>
      </c>
      <c r="E132" s="4">
        <v>199.0</v>
      </c>
      <c r="F132" s="4">
        <v>3.0</v>
      </c>
      <c r="G132" s="12" t="s">
        <v>13292</v>
      </c>
      <c r="H132" s="4" t="s">
        <v>13293</v>
      </c>
      <c r="I132" s="4" t="s">
        <v>13061</v>
      </c>
      <c r="J132" s="5"/>
      <c r="K132" s="4" t="s">
        <v>67</v>
      </c>
      <c r="L132" s="4">
        <v>0.0</v>
      </c>
      <c r="M132" s="15" t="str">
        <f>VLOOKUP(A132,'Live Plan Data'!I:J,2, False)</f>
        <v>Active</v>
      </c>
    </row>
    <row r="133" hidden="1">
      <c r="A133" s="4" t="s">
        <v>13295</v>
      </c>
      <c r="B133" s="4" t="s">
        <v>6250</v>
      </c>
      <c r="C133" s="4">
        <v>49998.0</v>
      </c>
      <c r="D133" s="4" t="s">
        <v>13065</v>
      </c>
      <c r="E133" s="4">
        <v>349.0</v>
      </c>
      <c r="F133" s="4">
        <v>6.0</v>
      </c>
      <c r="G133" s="12" t="s">
        <v>13292</v>
      </c>
      <c r="H133" s="4" t="s">
        <v>13293</v>
      </c>
      <c r="I133" s="4" t="s">
        <v>13061</v>
      </c>
      <c r="J133" s="5"/>
      <c r="K133" s="4" t="s">
        <v>67</v>
      </c>
      <c r="L133" s="4">
        <v>0.0</v>
      </c>
      <c r="M133" s="15" t="str">
        <f>VLOOKUP(A133,'Live Plan Data'!I:J,2, False)</f>
        <v>#N/A</v>
      </c>
    </row>
    <row r="134" hidden="1">
      <c r="A134" s="4" t="s">
        <v>13296</v>
      </c>
      <c r="B134" s="4" t="s">
        <v>13297</v>
      </c>
      <c r="C134" s="4">
        <v>50026.0</v>
      </c>
      <c r="D134" s="4" t="s">
        <v>13065</v>
      </c>
      <c r="E134" s="4">
        <v>4999.0</v>
      </c>
      <c r="F134" s="4">
        <v>6.0</v>
      </c>
      <c r="G134" s="12" t="s">
        <v>13298</v>
      </c>
      <c r="H134" s="4" t="s">
        <v>13299</v>
      </c>
      <c r="I134" s="4" t="s">
        <v>13255</v>
      </c>
      <c r="J134" s="5"/>
      <c r="K134" s="4" t="s">
        <v>67</v>
      </c>
      <c r="L134" s="4">
        <v>0.0</v>
      </c>
      <c r="M134" s="15" t="str">
        <f>VLOOKUP(A134,'Live Plan Data'!I:J,2, False)</f>
        <v>#N/A</v>
      </c>
    </row>
    <row r="135" hidden="1">
      <c r="A135" s="4" t="s">
        <v>13300</v>
      </c>
      <c r="B135" s="4" t="s">
        <v>13297</v>
      </c>
      <c r="C135" s="4">
        <v>50026.0</v>
      </c>
      <c r="D135" s="4" t="s">
        <v>13058</v>
      </c>
      <c r="E135" s="4">
        <v>999.0</v>
      </c>
      <c r="F135" s="4">
        <v>1.0</v>
      </c>
      <c r="G135" s="12" t="s">
        <v>13298</v>
      </c>
      <c r="H135" s="4" t="s">
        <v>13299</v>
      </c>
      <c r="I135" s="4" t="s">
        <v>13255</v>
      </c>
      <c r="J135" s="5"/>
      <c r="K135" s="4" t="s">
        <v>67</v>
      </c>
      <c r="L135" s="4">
        <v>0.0</v>
      </c>
      <c r="M135" s="15" t="str">
        <f>VLOOKUP(A135,'Live Plan Data'!I:J,2, False)</f>
        <v>#N/A</v>
      </c>
    </row>
    <row r="136" hidden="1">
      <c r="A136" s="4" t="s">
        <v>13301</v>
      </c>
      <c r="B136" s="4" t="s">
        <v>13297</v>
      </c>
      <c r="C136" s="4">
        <v>50026.0</v>
      </c>
      <c r="D136" s="4" t="s">
        <v>13210</v>
      </c>
      <c r="E136" s="4">
        <v>7999.0</v>
      </c>
      <c r="F136" s="4">
        <v>12.0</v>
      </c>
      <c r="G136" s="12" t="s">
        <v>13298</v>
      </c>
      <c r="H136" s="4" t="s">
        <v>13299</v>
      </c>
      <c r="I136" s="4" t="s">
        <v>13255</v>
      </c>
      <c r="J136" s="5"/>
      <c r="K136" s="4" t="s">
        <v>67</v>
      </c>
      <c r="L136" s="4">
        <v>0.0</v>
      </c>
      <c r="M136" s="15" t="str">
        <f>VLOOKUP(A136,'Live Plan Data'!I:J,2, False)</f>
        <v>#N/A</v>
      </c>
    </row>
    <row r="137" hidden="1">
      <c r="A137" s="4" t="s">
        <v>13302</v>
      </c>
      <c r="B137" s="4" t="s">
        <v>578</v>
      </c>
      <c r="C137" s="4">
        <v>49891.0</v>
      </c>
      <c r="D137" s="4" t="s">
        <v>13063</v>
      </c>
      <c r="E137" s="4">
        <v>99.0</v>
      </c>
      <c r="F137" s="4">
        <v>3.0</v>
      </c>
      <c r="G137" s="12" t="s">
        <v>13303</v>
      </c>
      <c r="H137" s="4" t="s">
        <v>13304</v>
      </c>
      <c r="I137" s="4" t="s">
        <v>6693</v>
      </c>
      <c r="J137" s="5"/>
      <c r="K137" s="4" t="s">
        <v>67</v>
      </c>
      <c r="L137" s="4">
        <v>0.0</v>
      </c>
      <c r="M137" s="15" t="str">
        <f>VLOOKUP(A137,'Live Plan Data'!I:J,2, False)</f>
        <v>#N/A</v>
      </c>
    </row>
    <row r="138" hidden="1">
      <c r="A138" s="4" t="s">
        <v>13305</v>
      </c>
      <c r="B138" s="4" t="s">
        <v>3195</v>
      </c>
      <c r="C138" s="4">
        <v>50047.0</v>
      </c>
      <c r="D138" s="4" t="s">
        <v>13058</v>
      </c>
      <c r="E138" s="4">
        <v>499.0</v>
      </c>
      <c r="F138" s="4">
        <v>1.0</v>
      </c>
      <c r="G138" s="12" t="s">
        <v>13306</v>
      </c>
      <c r="H138" s="4" t="s">
        <v>13307</v>
      </c>
      <c r="I138" s="4" t="s">
        <v>4680</v>
      </c>
      <c r="J138" s="5"/>
      <c r="K138" s="4" t="s">
        <v>67</v>
      </c>
      <c r="L138" s="4">
        <v>0.0</v>
      </c>
      <c r="M138" s="15" t="str">
        <f>VLOOKUP(A138,'Live Plan Data'!I:J,2, False)</f>
        <v>#N/A</v>
      </c>
    </row>
    <row r="139" hidden="1">
      <c r="A139" s="4" t="s">
        <v>13308</v>
      </c>
      <c r="B139" s="4" t="s">
        <v>3195</v>
      </c>
      <c r="C139" s="4">
        <v>50047.0</v>
      </c>
      <c r="D139" s="4" t="s">
        <v>13063</v>
      </c>
      <c r="E139" s="4">
        <v>799.0</v>
      </c>
      <c r="F139" s="4">
        <v>3.0</v>
      </c>
      <c r="G139" s="12" t="s">
        <v>13306</v>
      </c>
      <c r="H139" s="4" t="s">
        <v>13307</v>
      </c>
      <c r="I139" s="4" t="s">
        <v>4680</v>
      </c>
      <c r="J139" s="5"/>
      <c r="K139" s="4" t="s">
        <v>67</v>
      </c>
      <c r="L139" s="4">
        <v>0.0</v>
      </c>
      <c r="M139" s="15" t="str">
        <f>VLOOKUP(A139,'Live Plan Data'!I:J,2, False)</f>
        <v>#N/A</v>
      </c>
    </row>
    <row r="140" hidden="1">
      <c r="A140" s="4" t="s">
        <v>13309</v>
      </c>
      <c r="B140" s="4" t="s">
        <v>3195</v>
      </c>
      <c r="C140" s="4">
        <v>50047.0</v>
      </c>
      <c r="D140" s="4" t="s">
        <v>13065</v>
      </c>
      <c r="E140" s="4">
        <v>999.0</v>
      </c>
      <c r="F140" s="4">
        <v>6.0</v>
      </c>
      <c r="G140" s="12" t="s">
        <v>13306</v>
      </c>
      <c r="H140" s="4" t="s">
        <v>13307</v>
      </c>
      <c r="I140" s="4" t="s">
        <v>4680</v>
      </c>
      <c r="J140" s="5"/>
      <c r="K140" s="4" t="s">
        <v>67</v>
      </c>
      <c r="L140" s="4">
        <v>0.0</v>
      </c>
      <c r="M140" s="15" t="str">
        <f>VLOOKUP(A140,'Live Plan Data'!I:J,2, False)</f>
        <v>#N/A</v>
      </c>
    </row>
    <row r="141">
      <c r="A141" s="4" t="s">
        <v>13310</v>
      </c>
      <c r="B141" s="4" t="s">
        <v>13311</v>
      </c>
      <c r="C141" s="4">
        <v>50025.0</v>
      </c>
      <c r="D141" s="4" t="s">
        <v>13058</v>
      </c>
      <c r="E141" s="4">
        <v>99.0</v>
      </c>
      <c r="F141" s="4">
        <v>1.0</v>
      </c>
      <c r="G141" s="12" t="s">
        <v>13312</v>
      </c>
      <c r="H141" s="4" t="s">
        <v>13313</v>
      </c>
      <c r="I141" s="4" t="s">
        <v>13255</v>
      </c>
      <c r="J141" s="5"/>
      <c r="K141" s="4" t="s">
        <v>67</v>
      </c>
      <c r="L141" s="4">
        <v>0.0</v>
      </c>
      <c r="M141" s="15" t="str">
        <f>VLOOKUP(A141,'Live Plan Data'!I:J,2, False)</f>
        <v>Active</v>
      </c>
    </row>
    <row r="142">
      <c r="A142" s="4" t="s">
        <v>13314</v>
      </c>
      <c r="B142" s="4" t="s">
        <v>13311</v>
      </c>
      <c r="C142" s="4">
        <v>50025.0</v>
      </c>
      <c r="D142" s="4" t="s">
        <v>13063</v>
      </c>
      <c r="E142" s="4">
        <v>199.0</v>
      </c>
      <c r="F142" s="4">
        <v>3.0</v>
      </c>
      <c r="G142" s="12" t="s">
        <v>13312</v>
      </c>
      <c r="H142" s="4" t="s">
        <v>13313</v>
      </c>
      <c r="I142" s="4" t="s">
        <v>13255</v>
      </c>
      <c r="J142" s="5"/>
      <c r="K142" s="4" t="s">
        <v>67</v>
      </c>
      <c r="L142" s="4">
        <v>0.0</v>
      </c>
      <c r="M142" s="15" t="str">
        <f>VLOOKUP(A142,'Live Plan Data'!I:J,2, False)</f>
        <v>Active</v>
      </c>
    </row>
    <row r="143">
      <c r="A143" s="4" t="s">
        <v>13315</v>
      </c>
      <c r="B143" s="4" t="s">
        <v>13311</v>
      </c>
      <c r="C143" s="4">
        <v>50025.0</v>
      </c>
      <c r="D143" s="4" t="s">
        <v>13065</v>
      </c>
      <c r="E143" s="4">
        <v>349.0</v>
      </c>
      <c r="F143" s="4">
        <v>6.0</v>
      </c>
      <c r="G143" s="12" t="s">
        <v>13312</v>
      </c>
      <c r="H143" s="4" t="s">
        <v>13313</v>
      </c>
      <c r="I143" s="4" t="s">
        <v>13255</v>
      </c>
      <c r="J143" s="5"/>
      <c r="K143" s="4" t="s">
        <v>67</v>
      </c>
      <c r="L143" s="4">
        <v>0.0</v>
      </c>
      <c r="M143" s="15" t="str">
        <f>VLOOKUP(A143,'Live Plan Data'!I:J,2, False)</f>
        <v>Active</v>
      </c>
    </row>
    <row r="144" hidden="1">
      <c r="A144" s="4" t="s">
        <v>13316</v>
      </c>
      <c r="B144" s="4" t="s">
        <v>12885</v>
      </c>
      <c r="C144" s="4">
        <v>50027.0</v>
      </c>
      <c r="D144" s="4" t="s">
        <v>13058</v>
      </c>
      <c r="E144" s="4">
        <v>99.0</v>
      </c>
      <c r="F144" s="4">
        <v>1.0</v>
      </c>
      <c r="G144" s="12" t="s">
        <v>13317</v>
      </c>
      <c r="H144" s="4" t="s">
        <v>13318</v>
      </c>
      <c r="I144" s="4" t="s">
        <v>13255</v>
      </c>
      <c r="J144" s="5"/>
      <c r="K144" s="4" t="s">
        <v>67</v>
      </c>
      <c r="L144" s="4">
        <v>0.0</v>
      </c>
      <c r="M144" s="15" t="str">
        <f>VLOOKUP(A144,'Live Plan Data'!I:J,2, False)</f>
        <v>#N/A</v>
      </c>
    </row>
    <row r="145" hidden="1">
      <c r="A145" s="4" t="s">
        <v>13319</v>
      </c>
      <c r="B145" s="4" t="s">
        <v>12885</v>
      </c>
      <c r="C145" s="4">
        <v>50027.0</v>
      </c>
      <c r="D145" s="4" t="s">
        <v>13063</v>
      </c>
      <c r="E145" s="4">
        <v>199.0</v>
      </c>
      <c r="F145" s="4">
        <v>3.0</v>
      </c>
      <c r="G145" s="12" t="s">
        <v>13317</v>
      </c>
      <c r="H145" s="4" t="s">
        <v>13318</v>
      </c>
      <c r="I145" s="4" t="s">
        <v>13255</v>
      </c>
      <c r="J145" s="5"/>
      <c r="K145" s="4" t="s">
        <v>67</v>
      </c>
      <c r="L145" s="4">
        <v>0.0</v>
      </c>
      <c r="M145" s="15" t="str">
        <f>VLOOKUP(A145,'Live Plan Data'!I:J,2, False)</f>
        <v>#N/A</v>
      </c>
    </row>
    <row r="146" hidden="1">
      <c r="A146" s="4" t="s">
        <v>13320</v>
      </c>
      <c r="B146" s="4" t="s">
        <v>12885</v>
      </c>
      <c r="C146" s="4">
        <v>50027.0</v>
      </c>
      <c r="D146" s="4" t="s">
        <v>13065</v>
      </c>
      <c r="E146" s="4">
        <v>349.0</v>
      </c>
      <c r="F146" s="4">
        <v>6.0</v>
      </c>
      <c r="G146" s="12" t="s">
        <v>13317</v>
      </c>
      <c r="H146" s="4" t="s">
        <v>13318</v>
      </c>
      <c r="I146" s="4" t="s">
        <v>13255</v>
      </c>
      <c r="J146" s="5"/>
      <c r="K146" s="4" t="s">
        <v>67</v>
      </c>
      <c r="L146" s="4">
        <v>0.0</v>
      </c>
      <c r="M146" s="15" t="str">
        <f>VLOOKUP(A146,'Live Plan Data'!I:J,2, False)</f>
        <v>#N/A</v>
      </c>
    </row>
    <row r="147">
      <c r="A147" s="4" t="s">
        <v>13321</v>
      </c>
      <c r="B147" s="4" t="s">
        <v>5110</v>
      </c>
      <c r="C147" s="4">
        <v>50051.0</v>
      </c>
      <c r="D147" s="4" t="s">
        <v>13058</v>
      </c>
      <c r="E147" s="4">
        <v>199.0</v>
      </c>
      <c r="F147" s="4">
        <v>1.0</v>
      </c>
      <c r="G147" s="12" t="s">
        <v>13322</v>
      </c>
      <c r="H147" s="4" t="s">
        <v>13323</v>
      </c>
      <c r="I147" s="4" t="s">
        <v>4680</v>
      </c>
      <c r="J147" s="5"/>
      <c r="K147" s="4" t="s">
        <v>67</v>
      </c>
      <c r="L147" s="4">
        <v>0.0</v>
      </c>
      <c r="M147" s="15" t="str">
        <f>VLOOKUP(A147,'Live Plan Data'!I:J,2, False)</f>
        <v>Active</v>
      </c>
    </row>
    <row r="148">
      <c r="A148" s="4" t="s">
        <v>13324</v>
      </c>
      <c r="B148" s="4" t="s">
        <v>5110</v>
      </c>
      <c r="C148" s="4">
        <v>50051.0</v>
      </c>
      <c r="D148" s="4" t="s">
        <v>13063</v>
      </c>
      <c r="E148" s="4">
        <v>499.0</v>
      </c>
      <c r="F148" s="4">
        <v>3.0</v>
      </c>
      <c r="G148" s="12" t="s">
        <v>13322</v>
      </c>
      <c r="H148" s="4" t="s">
        <v>13323</v>
      </c>
      <c r="I148" s="4" t="s">
        <v>4680</v>
      </c>
      <c r="J148" s="5"/>
      <c r="K148" s="4" t="s">
        <v>67</v>
      </c>
      <c r="L148" s="4">
        <v>0.0</v>
      </c>
      <c r="M148" s="15" t="str">
        <f>VLOOKUP(A148,'Live Plan Data'!I:J,2, False)</f>
        <v>Active</v>
      </c>
    </row>
    <row r="149">
      <c r="A149" s="4" t="s">
        <v>13325</v>
      </c>
      <c r="B149" s="4" t="s">
        <v>5110</v>
      </c>
      <c r="C149" s="4">
        <v>50051.0</v>
      </c>
      <c r="D149" s="4" t="s">
        <v>13065</v>
      </c>
      <c r="E149" s="4">
        <v>999.0</v>
      </c>
      <c r="F149" s="4">
        <v>6.0</v>
      </c>
      <c r="G149" s="12" t="s">
        <v>13322</v>
      </c>
      <c r="H149" s="4" t="s">
        <v>13323</v>
      </c>
      <c r="I149" s="4" t="s">
        <v>4680</v>
      </c>
      <c r="J149" s="5"/>
      <c r="K149" s="4" t="s">
        <v>67</v>
      </c>
      <c r="L149" s="4">
        <v>0.0</v>
      </c>
      <c r="M149" s="15" t="str">
        <f>VLOOKUP(A149,'Live Plan Data'!I:J,2, False)</f>
        <v>Active</v>
      </c>
    </row>
    <row r="150" hidden="1">
      <c r="A150" s="4" t="s">
        <v>13326</v>
      </c>
      <c r="B150" s="4" t="s">
        <v>12885</v>
      </c>
      <c r="C150" s="4">
        <v>50027.0</v>
      </c>
      <c r="D150" s="4" t="s">
        <v>13058</v>
      </c>
      <c r="E150" s="4">
        <v>99.0</v>
      </c>
      <c r="F150" s="4">
        <v>1.0</v>
      </c>
      <c r="G150" s="12" t="s">
        <v>13317</v>
      </c>
      <c r="H150" s="4" t="s">
        <v>13318</v>
      </c>
      <c r="I150" s="4" t="s">
        <v>13255</v>
      </c>
      <c r="J150" s="5"/>
      <c r="K150" s="4" t="s">
        <v>67</v>
      </c>
      <c r="L150" s="4">
        <v>0.0</v>
      </c>
      <c r="M150" s="15" t="str">
        <f>VLOOKUP(A150,'Live Plan Data'!I:J,2, False)</f>
        <v>#N/A</v>
      </c>
    </row>
    <row r="151" hidden="1">
      <c r="A151" s="4" t="s">
        <v>13327</v>
      </c>
      <c r="B151" s="4" t="s">
        <v>12885</v>
      </c>
      <c r="C151" s="4">
        <v>50027.0</v>
      </c>
      <c r="D151" s="4" t="s">
        <v>13063</v>
      </c>
      <c r="E151" s="4">
        <v>199.0</v>
      </c>
      <c r="F151" s="4">
        <v>3.0</v>
      </c>
      <c r="G151" s="12" t="s">
        <v>13317</v>
      </c>
      <c r="H151" s="4" t="s">
        <v>13318</v>
      </c>
      <c r="I151" s="4" t="s">
        <v>13255</v>
      </c>
      <c r="J151" s="5"/>
      <c r="K151" s="4" t="s">
        <v>67</v>
      </c>
      <c r="L151" s="4">
        <v>0.0</v>
      </c>
      <c r="M151" s="15" t="str">
        <f>VLOOKUP(A151,'Live Plan Data'!I:J,2, False)</f>
        <v>#N/A</v>
      </c>
    </row>
    <row r="152" hidden="1">
      <c r="A152" s="4" t="s">
        <v>13328</v>
      </c>
      <c r="B152" s="4" t="s">
        <v>12885</v>
      </c>
      <c r="C152" s="4">
        <v>50027.0</v>
      </c>
      <c r="D152" s="4" t="s">
        <v>13065</v>
      </c>
      <c r="E152" s="4">
        <v>349.0</v>
      </c>
      <c r="F152" s="4">
        <v>6.0</v>
      </c>
      <c r="G152" s="12" t="s">
        <v>13317</v>
      </c>
      <c r="H152" s="4" t="s">
        <v>13318</v>
      </c>
      <c r="I152" s="4" t="s">
        <v>13255</v>
      </c>
      <c r="J152" s="5"/>
      <c r="K152" s="4" t="s">
        <v>67</v>
      </c>
      <c r="L152" s="4">
        <v>0.0</v>
      </c>
      <c r="M152" s="15" t="str">
        <f>VLOOKUP(A152,'Live Plan Data'!I:J,2, False)</f>
        <v>#N/A</v>
      </c>
    </row>
    <row r="153" hidden="1">
      <c r="A153" s="4" t="s">
        <v>13329</v>
      </c>
      <c r="B153" s="4" t="s">
        <v>13330</v>
      </c>
      <c r="C153" s="4">
        <v>49890.0</v>
      </c>
      <c r="D153" s="4" t="s">
        <v>13058</v>
      </c>
      <c r="E153" s="4">
        <v>99.0</v>
      </c>
      <c r="F153" s="4">
        <v>1.0</v>
      </c>
      <c r="G153" s="12" t="s">
        <v>13331</v>
      </c>
      <c r="H153" s="4" t="s">
        <v>13332</v>
      </c>
      <c r="I153" s="4" t="s">
        <v>13333</v>
      </c>
      <c r="J153" s="5"/>
      <c r="K153" s="4" t="s">
        <v>67</v>
      </c>
      <c r="L153" s="4">
        <v>0.0</v>
      </c>
      <c r="M153" s="15" t="str">
        <f>VLOOKUP(A153,'Live Plan Data'!I:J,2, False)</f>
        <v>#N/A</v>
      </c>
    </row>
    <row r="154" hidden="1">
      <c r="A154" s="4" t="s">
        <v>13334</v>
      </c>
      <c r="B154" s="4" t="s">
        <v>2150</v>
      </c>
      <c r="C154" s="4">
        <v>49978.0</v>
      </c>
      <c r="D154" s="4" t="s">
        <v>13058</v>
      </c>
      <c r="E154" s="4">
        <v>99.0</v>
      </c>
      <c r="F154" s="4">
        <v>1.0</v>
      </c>
      <c r="G154" s="12" t="s">
        <v>13335</v>
      </c>
      <c r="H154" s="4" t="s">
        <v>13336</v>
      </c>
      <c r="I154" s="4" t="s">
        <v>13191</v>
      </c>
      <c r="J154" s="5"/>
      <c r="K154" s="4" t="s">
        <v>67</v>
      </c>
      <c r="L154" s="4">
        <v>0.0</v>
      </c>
      <c r="M154" s="15" t="str">
        <f>VLOOKUP(A154,'Live Plan Data'!I:J,2, False)</f>
        <v>#N/A</v>
      </c>
    </row>
    <row r="155">
      <c r="A155" s="4" t="s">
        <v>13337</v>
      </c>
      <c r="B155" s="4" t="s">
        <v>2150</v>
      </c>
      <c r="C155" s="4">
        <v>49978.0</v>
      </c>
      <c r="D155" s="4" t="s">
        <v>13063</v>
      </c>
      <c r="E155" s="4">
        <v>199.0</v>
      </c>
      <c r="F155" s="4">
        <v>3.0</v>
      </c>
      <c r="G155" s="12" t="s">
        <v>13335</v>
      </c>
      <c r="H155" s="4" t="s">
        <v>13336</v>
      </c>
      <c r="I155" s="4" t="s">
        <v>13191</v>
      </c>
      <c r="J155" s="5"/>
      <c r="K155" s="4" t="s">
        <v>67</v>
      </c>
      <c r="L155" s="4">
        <v>0.0</v>
      </c>
      <c r="M155" s="15" t="str">
        <f>VLOOKUP(A155,'Live Plan Data'!I:J,2, False)</f>
        <v>Active</v>
      </c>
    </row>
    <row r="156">
      <c r="A156" s="4" t="s">
        <v>13338</v>
      </c>
      <c r="B156" s="4" t="s">
        <v>2150</v>
      </c>
      <c r="C156" s="4">
        <v>49978.0</v>
      </c>
      <c r="D156" s="4" t="s">
        <v>13058</v>
      </c>
      <c r="E156" s="4">
        <v>99.0</v>
      </c>
      <c r="F156" s="4">
        <v>1.0</v>
      </c>
      <c r="G156" s="12" t="s">
        <v>13335</v>
      </c>
      <c r="H156" s="4" t="s">
        <v>13336</v>
      </c>
      <c r="I156" s="4" t="s">
        <v>13191</v>
      </c>
      <c r="J156" s="5"/>
      <c r="K156" s="4" t="s">
        <v>67</v>
      </c>
      <c r="L156" s="4">
        <v>0.0</v>
      </c>
      <c r="M156" s="15" t="str">
        <f>VLOOKUP(A156,'Live Plan Data'!I:J,2, False)</f>
        <v>Active</v>
      </c>
    </row>
    <row r="157">
      <c r="A157" s="4" t="s">
        <v>13339</v>
      </c>
      <c r="B157" s="4" t="s">
        <v>2150</v>
      </c>
      <c r="C157" s="4">
        <v>49978.0</v>
      </c>
      <c r="D157" s="4" t="s">
        <v>13065</v>
      </c>
      <c r="E157" s="4">
        <v>299.0</v>
      </c>
      <c r="F157" s="4">
        <v>6.0</v>
      </c>
      <c r="G157" s="12" t="s">
        <v>13335</v>
      </c>
      <c r="H157" s="4" t="s">
        <v>13336</v>
      </c>
      <c r="I157" s="4" t="s">
        <v>13191</v>
      </c>
      <c r="J157" s="5"/>
      <c r="K157" s="4" t="s">
        <v>67</v>
      </c>
      <c r="L157" s="4">
        <v>0.0</v>
      </c>
      <c r="M157" s="15" t="str">
        <f>VLOOKUP(A157,'Live Plan Data'!I:J,2, False)</f>
        <v>Active</v>
      </c>
    </row>
    <row r="158" hidden="1">
      <c r="A158" s="4" t="s">
        <v>13340</v>
      </c>
      <c r="B158" s="4" t="s">
        <v>3195</v>
      </c>
      <c r="C158" s="4">
        <v>50047.0</v>
      </c>
      <c r="D158" s="4" t="s">
        <v>13063</v>
      </c>
      <c r="E158" s="4">
        <v>799.0</v>
      </c>
      <c r="F158" s="4">
        <v>3.0</v>
      </c>
      <c r="G158" s="12" t="s">
        <v>13306</v>
      </c>
      <c r="H158" s="4" t="s">
        <v>13307</v>
      </c>
      <c r="I158" s="4" t="s">
        <v>4680</v>
      </c>
      <c r="J158" s="5"/>
      <c r="K158" s="4" t="s">
        <v>67</v>
      </c>
      <c r="L158" s="4">
        <v>0.0</v>
      </c>
      <c r="M158" s="15" t="str">
        <f>VLOOKUP(A158,'Live Plan Data'!I:J,2, False)</f>
        <v>#N/A</v>
      </c>
    </row>
    <row r="159" hidden="1">
      <c r="A159" s="4" t="s">
        <v>13341</v>
      </c>
      <c r="B159" s="4" t="s">
        <v>3195</v>
      </c>
      <c r="C159" s="4">
        <v>50047.0</v>
      </c>
      <c r="D159" s="4" t="s">
        <v>13063</v>
      </c>
      <c r="E159" s="4">
        <v>999.0</v>
      </c>
      <c r="F159" s="4">
        <v>3.0</v>
      </c>
      <c r="G159" s="12" t="s">
        <v>13306</v>
      </c>
      <c r="H159" s="4" t="s">
        <v>13307</v>
      </c>
      <c r="I159" s="4" t="s">
        <v>4680</v>
      </c>
      <c r="J159" s="5"/>
      <c r="K159" s="4" t="s">
        <v>67</v>
      </c>
      <c r="L159" s="4">
        <v>0.0</v>
      </c>
      <c r="M159" s="15" t="str">
        <f>VLOOKUP(A159,'Live Plan Data'!I:J,2, False)</f>
        <v>#N/A</v>
      </c>
    </row>
    <row r="160" hidden="1">
      <c r="A160" s="4" t="s">
        <v>13342</v>
      </c>
      <c r="B160" s="4" t="s">
        <v>3195</v>
      </c>
      <c r="C160" s="4">
        <v>50047.0</v>
      </c>
      <c r="D160" s="4" t="s">
        <v>13063</v>
      </c>
      <c r="E160" s="4">
        <v>1999.0</v>
      </c>
      <c r="F160" s="4">
        <v>3.0</v>
      </c>
      <c r="G160" s="12" t="s">
        <v>13306</v>
      </c>
      <c r="H160" s="4" t="s">
        <v>13307</v>
      </c>
      <c r="I160" s="4" t="s">
        <v>4680</v>
      </c>
      <c r="J160" s="5"/>
      <c r="K160" s="4" t="s">
        <v>67</v>
      </c>
      <c r="L160" s="4">
        <v>0.0</v>
      </c>
      <c r="M160" s="15" t="str">
        <f>VLOOKUP(A160,'Live Plan Data'!I:J,2, False)</f>
        <v>#N/A</v>
      </c>
    </row>
    <row r="161" hidden="1">
      <c r="A161" s="4" t="s">
        <v>13343</v>
      </c>
      <c r="B161" s="4" t="s">
        <v>5110</v>
      </c>
      <c r="C161" s="4">
        <v>50051.0</v>
      </c>
      <c r="D161" s="4" t="s">
        <v>13058</v>
      </c>
      <c r="E161" s="4">
        <v>199.0</v>
      </c>
      <c r="F161" s="4">
        <v>1.0</v>
      </c>
      <c r="G161" s="12" t="s">
        <v>13322</v>
      </c>
      <c r="H161" s="4" t="s">
        <v>13323</v>
      </c>
      <c r="I161" s="4" t="s">
        <v>4680</v>
      </c>
      <c r="J161" s="5"/>
      <c r="K161" s="4" t="s">
        <v>67</v>
      </c>
      <c r="L161" s="4">
        <v>0.0</v>
      </c>
      <c r="M161" s="15" t="str">
        <f>VLOOKUP(A161,'Live Plan Data'!I:J,2, False)</f>
        <v>#N/A</v>
      </c>
    </row>
    <row r="162" hidden="1">
      <c r="A162" s="4" t="s">
        <v>13344</v>
      </c>
      <c r="B162" s="4" t="s">
        <v>5956</v>
      </c>
      <c r="C162" s="4">
        <v>50041.0</v>
      </c>
      <c r="D162" s="4" t="s">
        <v>13063</v>
      </c>
      <c r="E162" s="4">
        <v>399.0</v>
      </c>
      <c r="F162" s="4">
        <v>3.0</v>
      </c>
      <c r="G162" s="12" t="s">
        <v>13181</v>
      </c>
      <c r="H162" s="4" t="s">
        <v>13182</v>
      </c>
      <c r="I162" s="4" t="s">
        <v>13078</v>
      </c>
      <c r="J162" s="5"/>
      <c r="K162" s="4" t="s">
        <v>67</v>
      </c>
      <c r="L162" s="4">
        <v>0.0</v>
      </c>
      <c r="M162" s="15" t="str">
        <f>VLOOKUP(A162,'Live Plan Data'!I:J,2, False)</f>
        <v>#N/A</v>
      </c>
    </row>
    <row r="163" hidden="1">
      <c r="A163" s="4" t="s">
        <v>13345</v>
      </c>
      <c r="B163" s="4" t="s">
        <v>5956</v>
      </c>
      <c r="C163" s="4">
        <v>50041.0</v>
      </c>
      <c r="D163" s="4" t="s">
        <v>13065</v>
      </c>
      <c r="E163" s="4">
        <v>999.0</v>
      </c>
      <c r="F163" s="4">
        <v>6.0</v>
      </c>
      <c r="G163" s="12" t="s">
        <v>13181</v>
      </c>
      <c r="H163" s="4" t="s">
        <v>13182</v>
      </c>
      <c r="I163" s="4" t="s">
        <v>13078</v>
      </c>
      <c r="J163" s="5"/>
      <c r="K163" s="4" t="s">
        <v>67</v>
      </c>
      <c r="L163" s="4">
        <v>0.0</v>
      </c>
      <c r="M163" s="15" t="str">
        <f>VLOOKUP(A163,'Live Plan Data'!I:J,2, False)</f>
        <v>#N/A</v>
      </c>
    </row>
    <row r="164" hidden="1">
      <c r="A164" s="4" t="s">
        <v>13346</v>
      </c>
      <c r="B164" s="4" t="s">
        <v>1582</v>
      </c>
      <c r="C164" s="4">
        <v>50048.0</v>
      </c>
      <c r="D164" s="4" t="s">
        <v>13058</v>
      </c>
      <c r="E164" s="4">
        <v>499.0</v>
      </c>
      <c r="F164" s="4">
        <v>1.0</v>
      </c>
      <c r="G164" s="12" t="s">
        <v>13195</v>
      </c>
      <c r="H164" s="4" t="s">
        <v>13196</v>
      </c>
      <c r="I164" s="4" t="s">
        <v>13191</v>
      </c>
      <c r="J164" s="5"/>
      <c r="K164" s="4" t="s">
        <v>67</v>
      </c>
      <c r="L164" s="4">
        <v>0.0</v>
      </c>
      <c r="M164" s="15" t="str">
        <f>VLOOKUP(A164,'Live Plan Data'!I:J,2, False)</f>
        <v>#N/A</v>
      </c>
    </row>
    <row r="165" hidden="1">
      <c r="A165" s="4" t="s">
        <v>13347</v>
      </c>
      <c r="B165" s="4" t="s">
        <v>1582</v>
      </c>
      <c r="C165" s="4">
        <v>50048.0</v>
      </c>
      <c r="D165" s="4" t="s">
        <v>13063</v>
      </c>
      <c r="E165" s="4">
        <v>999.0</v>
      </c>
      <c r="F165" s="4">
        <v>3.0</v>
      </c>
      <c r="G165" s="12" t="s">
        <v>13195</v>
      </c>
      <c r="H165" s="4" t="s">
        <v>13196</v>
      </c>
      <c r="I165" s="4" t="s">
        <v>13191</v>
      </c>
      <c r="J165" s="5"/>
      <c r="K165" s="4" t="s">
        <v>67</v>
      </c>
      <c r="L165" s="4">
        <v>0.0</v>
      </c>
      <c r="M165" s="15" t="str">
        <f>VLOOKUP(A165,'Live Plan Data'!I:J,2, False)</f>
        <v>#N/A</v>
      </c>
    </row>
    <row r="166" hidden="1">
      <c r="A166" s="4" t="s">
        <v>13348</v>
      </c>
      <c r="B166" s="4" t="s">
        <v>1582</v>
      </c>
      <c r="C166" s="4">
        <v>50048.0</v>
      </c>
      <c r="D166" s="4" t="s">
        <v>13063</v>
      </c>
      <c r="E166" s="4">
        <v>999.0</v>
      </c>
      <c r="F166" s="4">
        <v>3.0</v>
      </c>
      <c r="G166" s="12" t="s">
        <v>13195</v>
      </c>
      <c r="H166" s="4" t="s">
        <v>13196</v>
      </c>
      <c r="I166" s="4" t="s">
        <v>13191</v>
      </c>
      <c r="J166" s="5"/>
      <c r="K166" s="4" t="s">
        <v>67</v>
      </c>
      <c r="L166" s="4">
        <v>0.0</v>
      </c>
      <c r="M166" s="15" t="str">
        <f>VLOOKUP(A166,'Live Plan Data'!I:J,2, False)</f>
        <v>#N/A</v>
      </c>
    </row>
    <row r="167" hidden="1">
      <c r="A167" s="4" t="s">
        <v>13349</v>
      </c>
      <c r="B167" s="4" t="s">
        <v>1582</v>
      </c>
      <c r="C167" s="4">
        <v>50048.0</v>
      </c>
      <c r="D167" s="4" t="s">
        <v>13065</v>
      </c>
      <c r="E167" s="4">
        <v>1999.0</v>
      </c>
      <c r="F167" s="4">
        <v>6.0</v>
      </c>
      <c r="G167" s="12" t="s">
        <v>13195</v>
      </c>
      <c r="H167" s="4" t="s">
        <v>13196</v>
      </c>
      <c r="I167" s="4" t="s">
        <v>13191</v>
      </c>
      <c r="J167" s="5"/>
      <c r="K167" s="4" t="s">
        <v>67</v>
      </c>
      <c r="L167" s="4">
        <v>0.0</v>
      </c>
      <c r="M167" s="15" t="str">
        <f>VLOOKUP(A167,'Live Plan Data'!I:J,2, False)</f>
        <v>#N/A</v>
      </c>
    </row>
    <row r="168" hidden="1">
      <c r="A168" s="4" t="s">
        <v>13350</v>
      </c>
      <c r="B168" s="4" t="s">
        <v>12959</v>
      </c>
      <c r="C168" s="4">
        <v>50061.0</v>
      </c>
      <c r="D168" s="4" t="s">
        <v>13063</v>
      </c>
      <c r="E168" s="4">
        <v>249.0</v>
      </c>
      <c r="F168" s="4">
        <v>3.0</v>
      </c>
      <c r="G168" s="12" t="s">
        <v>13351</v>
      </c>
      <c r="H168" s="4" t="s">
        <v>13352</v>
      </c>
      <c r="I168" s="4" t="s">
        <v>13191</v>
      </c>
      <c r="J168" s="5"/>
      <c r="K168" s="4" t="s">
        <v>67</v>
      </c>
      <c r="L168" s="4">
        <v>0.0</v>
      </c>
      <c r="M168" s="15" t="str">
        <f>VLOOKUP(A168,'Live Plan Data'!I:J,2, False)</f>
        <v>#N/A</v>
      </c>
    </row>
    <row r="169" hidden="1">
      <c r="A169" s="4" t="s">
        <v>13353</v>
      </c>
      <c r="B169" s="4" t="s">
        <v>12959</v>
      </c>
      <c r="C169" s="4">
        <v>50061.0</v>
      </c>
      <c r="D169" s="4" t="s">
        <v>13063</v>
      </c>
      <c r="E169" s="4">
        <v>249.0</v>
      </c>
      <c r="F169" s="4">
        <v>3.0</v>
      </c>
      <c r="G169" s="12" t="s">
        <v>13351</v>
      </c>
      <c r="H169" s="4" t="s">
        <v>13352</v>
      </c>
      <c r="I169" s="4" t="s">
        <v>13191</v>
      </c>
      <c r="J169" s="5"/>
      <c r="K169" s="4" t="s">
        <v>67</v>
      </c>
      <c r="L169" s="4">
        <v>0.0</v>
      </c>
      <c r="M169" s="15" t="str">
        <f>VLOOKUP(A169,'Live Plan Data'!I:J,2, False)</f>
        <v>#N/A</v>
      </c>
    </row>
    <row r="170">
      <c r="A170" s="4" t="s">
        <v>13354</v>
      </c>
      <c r="B170" s="4" t="s">
        <v>12959</v>
      </c>
      <c r="C170" s="4">
        <v>50061.0</v>
      </c>
      <c r="D170" s="4" t="s">
        <v>13063</v>
      </c>
      <c r="E170" s="4">
        <v>249.0</v>
      </c>
      <c r="F170" s="4">
        <v>3.0</v>
      </c>
      <c r="G170" s="12" t="s">
        <v>13351</v>
      </c>
      <c r="H170" s="4" t="s">
        <v>13352</v>
      </c>
      <c r="I170" s="4" t="s">
        <v>13191</v>
      </c>
      <c r="J170" s="5"/>
      <c r="K170" s="4" t="s">
        <v>67</v>
      </c>
      <c r="L170" s="4">
        <v>0.0</v>
      </c>
      <c r="M170" s="15" t="str">
        <f>VLOOKUP(A170,'Live Plan Data'!I:J,2, False)</f>
        <v>Active</v>
      </c>
    </row>
    <row r="171" hidden="1">
      <c r="A171" s="4" t="s">
        <v>13355</v>
      </c>
      <c r="B171" s="4" t="s">
        <v>12959</v>
      </c>
      <c r="C171" s="4">
        <v>50061.0</v>
      </c>
      <c r="D171" s="4" t="s">
        <v>13065</v>
      </c>
      <c r="E171" s="4">
        <v>849.0</v>
      </c>
      <c r="F171" s="4">
        <v>6.0</v>
      </c>
      <c r="G171" s="12" t="s">
        <v>13351</v>
      </c>
      <c r="H171" s="4" t="s">
        <v>13352</v>
      </c>
      <c r="I171" s="4" t="s">
        <v>13191</v>
      </c>
      <c r="J171" s="5"/>
      <c r="K171" s="4" t="s">
        <v>67</v>
      </c>
      <c r="L171" s="4">
        <v>0.0</v>
      </c>
      <c r="M171" s="15" t="str">
        <f>VLOOKUP(A171,'Live Plan Data'!I:J,2, False)</f>
        <v>#N/A</v>
      </c>
    </row>
    <row r="172" hidden="1">
      <c r="A172" s="4" t="s">
        <v>13356</v>
      </c>
      <c r="B172" s="4" t="s">
        <v>12959</v>
      </c>
      <c r="C172" s="4">
        <v>50061.0</v>
      </c>
      <c r="D172" s="4" t="s">
        <v>13065</v>
      </c>
      <c r="E172" s="4">
        <v>849.0</v>
      </c>
      <c r="F172" s="4">
        <v>6.0</v>
      </c>
      <c r="G172" s="12" t="s">
        <v>13351</v>
      </c>
      <c r="H172" s="4" t="s">
        <v>13352</v>
      </c>
      <c r="I172" s="4" t="s">
        <v>13191</v>
      </c>
      <c r="J172" s="5"/>
      <c r="K172" s="4" t="s">
        <v>67</v>
      </c>
      <c r="L172" s="4">
        <v>0.0</v>
      </c>
      <c r="M172" s="15" t="str">
        <f>VLOOKUP(A172,'Live Plan Data'!I:J,2, False)</f>
        <v>#N/A</v>
      </c>
    </row>
    <row r="173">
      <c r="A173" s="4" t="s">
        <v>13357</v>
      </c>
      <c r="B173" s="4" t="s">
        <v>12959</v>
      </c>
      <c r="C173" s="4">
        <v>50061.0</v>
      </c>
      <c r="D173" s="4" t="s">
        <v>13065</v>
      </c>
      <c r="E173" s="4">
        <v>449.0</v>
      </c>
      <c r="F173" s="4">
        <v>6.0</v>
      </c>
      <c r="G173" s="12" t="s">
        <v>13351</v>
      </c>
      <c r="H173" s="4" t="s">
        <v>13352</v>
      </c>
      <c r="I173" s="4" t="s">
        <v>13191</v>
      </c>
      <c r="J173" s="5"/>
      <c r="K173" s="4" t="s">
        <v>67</v>
      </c>
      <c r="L173" s="4">
        <v>0.0</v>
      </c>
      <c r="M173" s="15" t="str">
        <f>VLOOKUP(A173,'Live Plan Data'!I:J,2, False)</f>
        <v>Active</v>
      </c>
    </row>
    <row r="174">
      <c r="A174" s="4" t="s">
        <v>13358</v>
      </c>
      <c r="B174" s="4" t="s">
        <v>12959</v>
      </c>
      <c r="C174" s="4">
        <v>50061.0</v>
      </c>
      <c r="D174" s="4" t="s">
        <v>13210</v>
      </c>
      <c r="E174" s="4">
        <v>849.0</v>
      </c>
      <c r="F174" s="4">
        <v>12.0</v>
      </c>
      <c r="G174" s="12" t="s">
        <v>13351</v>
      </c>
      <c r="H174" s="4" t="s">
        <v>13352</v>
      </c>
      <c r="I174" s="4" t="s">
        <v>13191</v>
      </c>
      <c r="J174" s="5"/>
      <c r="K174" s="4" t="s">
        <v>67</v>
      </c>
      <c r="L174" s="4">
        <v>0.0</v>
      </c>
      <c r="M174" s="15" t="str">
        <f>VLOOKUP(A174,'Live Plan Data'!I:J,2, False)</f>
        <v>Active</v>
      </c>
    </row>
    <row r="175">
      <c r="A175" s="4" t="s">
        <v>13359</v>
      </c>
      <c r="B175" s="4" t="s">
        <v>6320</v>
      </c>
      <c r="C175" s="4">
        <v>50044.0</v>
      </c>
      <c r="D175" s="4" t="s">
        <v>13058</v>
      </c>
      <c r="E175" s="4">
        <v>349.0</v>
      </c>
      <c r="F175" s="4">
        <v>1.0</v>
      </c>
      <c r="G175" s="12" t="s">
        <v>13360</v>
      </c>
      <c r="H175" s="4" t="s">
        <v>13361</v>
      </c>
      <c r="I175" s="4" t="s">
        <v>4680</v>
      </c>
      <c r="J175" s="5"/>
      <c r="K175" s="4" t="s">
        <v>67</v>
      </c>
      <c r="L175" s="4">
        <v>0.0</v>
      </c>
      <c r="M175" s="15" t="str">
        <f>VLOOKUP(A175,'Live Plan Data'!I:J,2, False)</f>
        <v>Active</v>
      </c>
    </row>
    <row r="176" hidden="1">
      <c r="A176" s="4" t="s">
        <v>13362</v>
      </c>
      <c r="B176" s="4" t="s">
        <v>6320</v>
      </c>
      <c r="C176" s="4">
        <v>50044.0</v>
      </c>
      <c r="D176" s="4" t="s">
        <v>13058</v>
      </c>
      <c r="E176" s="4">
        <v>599.0</v>
      </c>
      <c r="F176" s="4">
        <v>1.0</v>
      </c>
      <c r="G176" s="12" t="s">
        <v>13360</v>
      </c>
      <c r="H176" s="4" t="s">
        <v>13361</v>
      </c>
      <c r="I176" s="4" t="s">
        <v>4680</v>
      </c>
      <c r="J176" s="5"/>
      <c r="K176" s="4" t="s">
        <v>67</v>
      </c>
      <c r="L176" s="4">
        <v>0.0</v>
      </c>
      <c r="M176" s="15" t="str">
        <f>VLOOKUP(A176,'Live Plan Data'!I:J,2, False)</f>
        <v>#N/A</v>
      </c>
    </row>
    <row r="177" hidden="1">
      <c r="A177" s="4" t="s">
        <v>13363</v>
      </c>
      <c r="B177" s="4" t="s">
        <v>6320</v>
      </c>
      <c r="C177" s="4">
        <v>50044.0</v>
      </c>
      <c r="D177" s="4" t="s">
        <v>13058</v>
      </c>
      <c r="E177" s="4">
        <v>999.0</v>
      </c>
      <c r="F177" s="4">
        <v>1.0</v>
      </c>
      <c r="G177" s="12" t="s">
        <v>13360</v>
      </c>
      <c r="H177" s="4" t="s">
        <v>13361</v>
      </c>
      <c r="I177" s="4" t="s">
        <v>4680</v>
      </c>
      <c r="J177" s="5"/>
      <c r="K177" s="4" t="s">
        <v>67</v>
      </c>
      <c r="L177" s="4">
        <v>0.0</v>
      </c>
      <c r="M177" s="15" t="str">
        <f>VLOOKUP(A177,'Live Plan Data'!I:J,2, False)</f>
        <v>#N/A</v>
      </c>
    </row>
    <row r="178" hidden="1">
      <c r="A178" s="4" t="s">
        <v>13364</v>
      </c>
      <c r="B178" s="4" t="s">
        <v>2911</v>
      </c>
      <c r="C178" s="4">
        <v>50066.0</v>
      </c>
      <c r="D178" s="4" t="s">
        <v>13058</v>
      </c>
      <c r="E178" s="4">
        <v>199.0</v>
      </c>
      <c r="F178" s="4">
        <v>1.0</v>
      </c>
      <c r="G178" s="12" t="s">
        <v>13365</v>
      </c>
      <c r="H178" s="4" t="s">
        <v>13366</v>
      </c>
      <c r="I178" s="4" t="s">
        <v>13191</v>
      </c>
      <c r="J178" s="5"/>
      <c r="K178" s="4" t="s">
        <v>67</v>
      </c>
      <c r="L178" s="4">
        <v>0.0</v>
      </c>
      <c r="M178" s="15" t="str">
        <f>VLOOKUP(A178,'Live Plan Data'!I:J,2, False)</f>
        <v>#N/A</v>
      </c>
    </row>
    <row r="179" hidden="1">
      <c r="A179" s="4" t="s">
        <v>13367</v>
      </c>
      <c r="B179" s="4" t="s">
        <v>2911</v>
      </c>
      <c r="C179" s="4">
        <v>50066.0</v>
      </c>
      <c r="D179" s="4" t="s">
        <v>13063</v>
      </c>
      <c r="E179" s="4">
        <v>399.0</v>
      </c>
      <c r="F179" s="4">
        <v>3.0</v>
      </c>
      <c r="G179" s="12" t="s">
        <v>13365</v>
      </c>
      <c r="H179" s="4" t="s">
        <v>13366</v>
      </c>
      <c r="I179" s="4" t="s">
        <v>13191</v>
      </c>
      <c r="J179" s="5"/>
      <c r="K179" s="4" t="s">
        <v>67</v>
      </c>
      <c r="L179" s="4">
        <v>0.0</v>
      </c>
      <c r="M179" s="15" t="str">
        <f>VLOOKUP(A179,'Live Plan Data'!I:J,2, False)</f>
        <v>#N/A</v>
      </c>
    </row>
    <row r="180" hidden="1">
      <c r="A180" s="4" t="s">
        <v>13368</v>
      </c>
      <c r="B180" s="4" t="s">
        <v>2911</v>
      </c>
      <c r="C180" s="4">
        <v>50066.0</v>
      </c>
      <c r="D180" s="4" t="s">
        <v>13063</v>
      </c>
      <c r="E180" s="4">
        <v>399.0</v>
      </c>
      <c r="F180" s="4">
        <v>3.0</v>
      </c>
      <c r="G180" s="12" t="s">
        <v>13365</v>
      </c>
      <c r="H180" s="4" t="s">
        <v>13366</v>
      </c>
      <c r="I180" s="4" t="s">
        <v>13191</v>
      </c>
      <c r="J180" s="5"/>
      <c r="K180" s="4" t="s">
        <v>67</v>
      </c>
      <c r="L180" s="4">
        <v>0.0</v>
      </c>
      <c r="M180" s="15" t="str">
        <f>VLOOKUP(A180,'Live Plan Data'!I:J,2, False)</f>
        <v>#N/A</v>
      </c>
    </row>
    <row r="181" hidden="1">
      <c r="A181" s="4" t="s">
        <v>13369</v>
      </c>
      <c r="B181" s="4" t="s">
        <v>2911</v>
      </c>
      <c r="C181" s="4">
        <v>50066.0</v>
      </c>
      <c r="D181" s="4" t="s">
        <v>13065</v>
      </c>
      <c r="E181" s="4">
        <v>599.0</v>
      </c>
      <c r="F181" s="4">
        <v>6.0</v>
      </c>
      <c r="G181" s="12" t="s">
        <v>13365</v>
      </c>
      <c r="H181" s="4" t="s">
        <v>13366</v>
      </c>
      <c r="I181" s="4" t="s">
        <v>13191</v>
      </c>
      <c r="J181" s="5"/>
      <c r="K181" s="4" t="s">
        <v>67</v>
      </c>
      <c r="L181" s="4">
        <v>0.0</v>
      </c>
      <c r="M181" s="15" t="str">
        <f>VLOOKUP(A181,'Live Plan Data'!I:J,2, False)</f>
        <v>#N/A</v>
      </c>
    </row>
    <row r="182" hidden="1">
      <c r="A182" s="4" t="s">
        <v>13370</v>
      </c>
      <c r="B182" s="4" t="s">
        <v>2911</v>
      </c>
      <c r="C182" s="4">
        <v>50066.0</v>
      </c>
      <c r="D182" s="4" t="s">
        <v>13063</v>
      </c>
      <c r="E182" s="4">
        <v>399.0</v>
      </c>
      <c r="F182" s="4">
        <v>3.0</v>
      </c>
      <c r="G182" s="12" t="s">
        <v>13365</v>
      </c>
      <c r="H182" s="4" t="s">
        <v>13366</v>
      </c>
      <c r="I182" s="4" t="s">
        <v>13191</v>
      </c>
      <c r="J182" s="5"/>
      <c r="K182" s="4" t="s">
        <v>67</v>
      </c>
      <c r="L182" s="4">
        <v>0.0</v>
      </c>
      <c r="M182" s="15" t="str">
        <f>VLOOKUP(A182,'Live Plan Data'!I:J,2, False)</f>
        <v>#N/A</v>
      </c>
    </row>
    <row r="183">
      <c r="A183" s="4" t="s">
        <v>13371</v>
      </c>
      <c r="B183" s="4" t="s">
        <v>4433</v>
      </c>
      <c r="C183" s="4">
        <v>50052.0</v>
      </c>
      <c r="D183" s="4" t="s">
        <v>13058</v>
      </c>
      <c r="E183" s="4">
        <v>99.0</v>
      </c>
      <c r="F183" s="4">
        <v>1.0</v>
      </c>
      <c r="G183" s="12" t="s">
        <v>13372</v>
      </c>
      <c r="H183" s="4" t="s">
        <v>13373</v>
      </c>
      <c r="I183" s="4" t="s">
        <v>4680</v>
      </c>
      <c r="J183" s="5"/>
      <c r="K183" s="4" t="s">
        <v>67</v>
      </c>
      <c r="L183" s="4">
        <v>0.0</v>
      </c>
      <c r="M183" s="15" t="str">
        <f>VLOOKUP(A183,'Live Plan Data'!I:J,2, False)</f>
        <v>Active</v>
      </c>
    </row>
    <row r="184" hidden="1">
      <c r="A184" s="4" t="s">
        <v>13374</v>
      </c>
      <c r="B184" s="4" t="s">
        <v>4433</v>
      </c>
      <c r="C184" s="4">
        <v>50052.0</v>
      </c>
      <c r="D184" s="4" t="s">
        <v>13058</v>
      </c>
      <c r="E184" s="4">
        <v>199.0</v>
      </c>
      <c r="F184" s="4">
        <v>1.0</v>
      </c>
      <c r="G184" s="12" t="s">
        <v>13372</v>
      </c>
      <c r="H184" s="4" t="s">
        <v>13373</v>
      </c>
      <c r="I184" s="4" t="s">
        <v>4680</v>
      </c>
      <c r="J184" s="5"/>
      <c r="K184" s="4" t="s">
        <v>67</v>
      </c>
      <c r="L184" s="4">
        <v>0.0</v>
      </c>
      <c r="M184" s="15" t="str">
        <f>VLOOKUP(A184,'Live Plan Data'!I:J,2, False)</f>
        <v>#N/A</v>
      </c>
    </row>
    <row r="185" hidden="1">
      <c r="A185" s="4" t="s">
        <v>13375</v>
      </c>
      <c r="B185" s="4" t="s">
        <v>4433</v>
      </c>
      <c r="C185" s="4">
        <v>50052.0</v>
      </c>
      <c r="D185" s="4" t="s">
        <v>13058</v>
      </c>
      <c r="E185" s="4">
        <v>349.0</v>
      </c>
      <c r="F185" s="4">
        <v>1.0</v>
      </c>
      <c r="G185" s="12" t="s">
        <v>13372</v>
      </c>
      <c r="H185" s="4" t="s">
        <v>13373</v>
      </c>
      <c r="I185" s="4" t="s">
        <v>4680</v>
      </c>
      <c r="J185" s="5"/>
      <c r="K185" s="4" t="s">
        <v>67</v>
      </c>
      <c r="L185" s="4">
        <v>0.0</v>
      </c>
      <c r="M185" s="15" t="str">
        <f>VLOOKUP(A185,'Live Plan Data'!I:J,2, False)</f>
        <v>#N/A</v>
      </c>
    </row>
    <row r="186" hidden="1">
      <c r="A186" s="4" t="s">
        <v>13376</v>
      </c>
      <c r="B186" s="4" t="s">
        <v>13377</v>
      </c>
      <c r="C186" s="4">
        <v>50065.0</v>
      </c>
      <c r="D186" s="4" t="s">
        <v>13058</v>
      </c>
      <c r="E186" s="4">
        <v>99.0</v>
      </c>
      <c r="F186" s="4">
        <v>1.0</v>
      </c>
      <c r="G186" s="12" t="s">
        <v>13378</v>
      </c>
      <c r="H186" s="4" t="s">
        <v>13379</v>
      </c>
      <c r="I186" s="4" t="s">
        <v>13380</v>
      </c>
      <c r="J186" s="5"/>
      <c r="K186" s="4" t="s">
        <v>67</v>
      </c>
      <c r="L186" s="4">
        <v>0.0</v>
      </c>
      <c r="M186" s="15" t="str">
        <f>VLOOKUP(A186,'Live Plan Data'!I:J,2, False)</f>
        <v>#N/A</v>
      </c>
    </row>
    <row r="187" hidden="1">
      <c r="A187" s="4" t="s">
        <v>13381</v>
      </c>
      <c r="B187" s="4" t="s">
        <v>13377</v>
      </c>
      <c r="C187" s="4">
        <v>50065.0</v>
      </c>
      <c r="D187" s="4" t="s">
        <v>13063</v>
      </c>
      <c r="E187" s="4">
        <v>199.0</v>
      </c>
      <c r="F187" s="4">
        <v>3.0</v>
      </c>
      <c r="G187" s="12" t="s">
        <v>13378</v>
      </c>
      <c r="H187" s="4" t="s">
        <v>13379</v>
      </c>
      <c r="I187" s="4" t="s">
        <v>13380</v>
      </c>
      <c r="J187" s="5"/>
      <c r="K187" s="4" t="s">
        <v>67</v>
      </c>
      <c r="L187" s="4">
        <v>0.0</v>
      </c>
      <c r="M187" s="15" t="str">
        <f>VLOOKUP(A187,'Live Plan Data'!I:J,2, False)</f>
        <v>#N/A</v>
      </c>
    </row>
    <row r="188" hidden="1">
      <c r="A188" s="4" t="s">
        <v>13382</v>
      </c>
      <c r="B188" s="4" t="s">
        <v>13377</v>
      </c>
      <c r="C188" s="4">
        <v>50065.0</v>
      </c>
      <c r="D188" s="4" t="s">
        <v>13063</v>
      </c>
      <c r="E188" s="4">
        <v>199.0</v>
      </c>
      <c r="F188" s="4">
        <v>3.0</v>
      </c>
      <c r="G188" s="12" t="s">
        <v>13378</v>
      </c>
      <c r="H188" s="4" t="s">
        <v>13379</v>
      </c>
      <c r="I188" s="4" t="s">
        <v>13380</v>
      </c>
      <c r="J188" s="5"/>
      <c r="K188" s="4" t="s">
        <v>67</v>
      </c>
      <c r="L188" s="4">
        <v>0.0</v>
      </c>
      <c r="M188" s="15" t="str">
        <f>VLOOKUP(A188,'Live Plan Data'!I:J,2, False)</f>
        <v>#N/A</v>
      </c>
    </row>
    <row r="189" hidden="1">
      <c r="A189" s="4" t="s">
        <v>13383</v>
      </c>
      <c r="B189" s="4" t="s">
        <v>13377</v>
      </c>
      <c r="C189" s="4">
        <v>50065.0</v>
      </c>
      <c r="D189" s="4" t="s">
        <v>13065</v>
      </c>
      <c r="E189" s="4">
        <v>349.0</v>
      </c>
      <c r="F189" s="4">
        <v>6.0</v>
      </c>
      <c r="G189" s="12" t="s">
        <v>13378</v>
      </c>
      <c r="H189" s="4" t="s">
        <v>13379</v>
      </c>
      <c r="I189" s="4" t="s">
        <v>13380</v>
      </c>
      <c r="J189" s="5"/>
      <c r="K189" s="4" t="s">
        <v>67</v>
      </c>
      <c r="L189" s="4">
        <v>0.0</v>
      </c>
      <c r="M189" s="15" t="str">
        <f>VLOOKUP(A189,'Live Plan Data'!I:J,2, False)</f>
        <v>#N/A</v>
      </c>
    </row>
    <row r="190" hidden="1">
      <c r="A190" s="4" t="s">
        <v>13384</v>
      </c>
      <c r="B190" s="4" t="s">
        <v>5822</v>
      </c>
      <c r="C190" s="4">
        <v>50054.0</v>
      </c>
      <c r="D190" s="4" t="s">
        <v>13058</v>
      </c>
      <c r="E190" s="4">
        <v>99.0</v>
      </c>
      <c r="F190" s="4">
        <v>1.0</v>
      </c>
      <c r="G190" s="12" t="s">
        <v>13385</v>
      </c>
      <c r="H190" s="4" t="s">
        <v>13386</v>
      </c>
      <c r="I190" s="4" t="s">
        <v>4680</v>
      </c>
      <c r="J190" s="5"/>
      <c r="K190" s="4" t="s">
        <v>67</v>
      </c>
      <c r="L190" s="4">
        <v>0.0</v>
      </c>
      <c r="M190" s="15" t="str">
        <f>VLOOKUP(A190,'Live Plan Data'!I:J,2, False)</f>
        <v>#N/A</v>
      </c>
    </row>
    <row r="191" hidden="1">
      <c r="A191" s="4" t="s">
        <v>13387</v>
      </c>
      <c r="B191" s="4" t="s">
        <v>5822</v>
      </c>
      <c r="C191" s="4">
        <v>50054.0</v>
      </c>
      <c r="D191" s="4" t="s">
        <v>13058</v>
      </c>
      <c r="E191" s="4">
        <v>199.0</v>
      </c>
      <c r="F191" s="4">
        <v>1.0</v>
      </c>
      <c r="G191" s="12" t="s">
        <v>13385</v>
      </c>
      <c r="H191" s="4" t="s">
        <v>13386</v>
      </c>
      <c r="I191" s="4" t="s">
        <v>4680</v>
      </c>
      <c r="J191" s="5"/>
      <c r="K191" s="4" t="s">
        <v>67</v>
      </c>
      <c r="L191" s="4">
        <v>0.0</v>
      </c>
      <c r="M191" s="15" t="str">
        <f>VLOOKUP(A191,'Live Plan Data'!I:J,2, False)</f>
        <v>#N/A</v>
      </c>
    </row>
    <row r="192" hidden="1">
      <c r="A192" s="4" t="s">
        <v>13388</v>
      </c>
      <c r="B192" s="4" t="s">
        <v>5822</v>
      </c>
      <c r="C192" s="4">
        <v>50054.0</v>
      </c>
      <c r="D192" s="4" t="s">
        <v>13058</v>
      </c>
      <c r="E192" s="4">
        <v>349.0</v>
      </c>
      <c r="F192" s="4">
        <v>1.0</v>
      </c>
      <c r="G192" s="12" t="s">
        <v>13385</v>
      </c>
      <c r="H192" s="4" t="s">
        <v>13386</v>
      </c>
      <c r="I192" s="4" t="s">
        <v>4680</v>
      </c>
      <c r="J192" s="5"/>
      <c r="K192" s="4" t="s">
        <v>67</v>
      </c>
      <c r="L192" s="4">
        <v>0.0</v>
      </c>
      <c r="M192" s="15" t="str">
        <f>VLOOKUP(A192,'Live Plan Data'!I:J,2, False)</f>
        <v>#N/A</v>
      </c>
    </row>
    <row r="193" hidden="1">
      <c r="A193" s="4" t="s">
        <v>13389</v>
      </c>
      <c r="B193" s="4" t="s">
        <v>12822</v>
      </c>
      <c r="C193" s="4">
        <v>50068.0</v>
      </c>
      <c r="D193" s="4" t="s">
        <v>13058</v>
      </c>
      <c r="E193" s="4">
        <v>499.0</v>
      </c>
      <c r="F193" s="4">
        <v>1.0</v>
      </c>
      <c r="G193" s="12" t="s">
        <v>13390</v>
      </c>
      <c r="H193" s="4" t="s">
        <v>13391</v>
      </c>
      <c r="I193" s="4" t="s">
        <v>13191</v>
      </c>
      <c r="J193" s="5"/>
      <c r="K193" s="4" t="s">
        <v>67</v>
      </c>
      <c r="L193" s="4">
        <v>0.0</v>
      </c>
      <c r="M193" s="15" t="str">
        <f>VLOOKUP(A193,'Live Plan Data'!I:J,2, False)</f>
        <v>#N/A</v>
      </c>
    </row>
    <row r="194" hidden="1">
      <c r="A194" s="4" t="s">
        <v>13392</v>
      </c>
      <c r="B194" s="4" t="s">
        <v>12822</v>
      </c>
      <c r="C194" s="4">
        <v>50068.0</v>
      </c>
      <c r="D194" s="4" t="s">
        <v>13063</v>
      </c>
      <c r="E194" s="4">
        <v>999.0</v>
      </c>
      <c r="F194" s="4">
        <v>3.0</v>
      </c>
      <c r="G194" s="12" t="s">
        <v>13390</v>
      </c>
      <c r="H194" s="4" t="s">
        <v>13391</v>
      </c>
      <c r="I194" s="4" t="s">
        <v>13191</v>
      </c>
      <c r="J194" s="5"/>
      <c r="K194" s="4" t="s">
        <v>67</v>
      </c>
      <c r="L194" s="4">
        <v>0.0</v>
      </c>
      <c r="M194" s="15" t="str">
        <f>VLOOKUP(A194,'Live Plan Data'!I:J,2, False)</f>
        <v>#N/A</v>
      </c>
    </row>
    <row r="195" hidden="1">
      <c r="A195" s="4" t="s">
        <v>13393</v>
      </c>
      <c r="B195" s="4" t="s">
        <v>12822</v>
      </c>
      <c r="C195" s="4">
        <v>50068.0</v>
      </c>
      <c r="D195" s="4" t="s">
        <v>13065</v>
      </c>
      <c r="E195" s="4">
        <v>1999.0</v>
      </c>
      <c r="F195" s="4">
        <v>6.0</v>
      </c>
      <c r="G195" s="12" t="s">
        <v>13390</v>
      </c>
      <c r="H195" s="4" t="s">
        <v>13391</v>
      </c>
      <c r="I195" s="4" t="s">
        <v>13191</v>
      </c>
      <c r="J195" s="5"/>
      <c r="K195" s="4" t="s">
        <v>67</v>
      </c>
      <c r="L195" s="4">
        <v>0.0</v>
      </c>
      <c r="M195" s="15" t="str">
        <f>VLOOKUP(A195,'Live Plan Data'!I:J,2, False)</f>
        <v>#N/A</v>
      </c>
    </row>
    <row r="196" hidden="1">
      <c r="A196" s="4" t="s">
        <v>13394</v>
      </c>
      <c r="B196" s="4" t="s">
        <v>13395</v>
      </c>
      <c r="C196" s="4">
        <v>50069.0</v>
      </c>
      <c r="D196" s="4" t="s">
        <v>13058</v>
      </c>
      <c r="E196" s="4">
        <v>499.0</v>
      </c>
      <c r="F196" s="4">
        <v>1.0</v>
      </c>
      <c r="G196" s="12" t="s">
        <v>13396</v>
      </c>
      <c r="H196" s="4" t="s">
        <v>13397</v>
      </c>
      <c r="I196" s="4" t="s">
        <v>13191</v>
      </c>
      <c r="J196" s="5"/>
      <c r="K196" s="4" t="s">
        <v>67</v>
      </c>
      <c r="L196" s="4">
        <v>0.0</v>
      </c>
      <c r="M196" s="15" t="str">
        <f>VLOOKUP(A196,'Live Plan Data'!I:J,2, False)</f>
        <v>#N/A</v>
      </c>
    </row>
    <row r="197" hidden="1">
      <c r="A197" s="4" t="s">
        <v>13398</v>
      </c>
      <c r="B197" s="4" t="s">
        <v>13395</v>
      </c>
      <c r="C197" s="4">
        <v>50069.0</v>
      </c>
      <c r="D197" s="4" t="s">
        <v>13063</v>
      </c>
      <c r="E197" s="4">
        <v>999.0</v>
      </c>
      <c r="F197" s="4">
        <v>3.0</v>
      </c>
      <c r="G197" s="12" t="s">
        <v>13396</v>
      </c>
      <c r="H197" s="4" t="s">
        <v>13397</v>
      </c>
      <c r="I197" s="4" t="s">
        <v>13191</v>
      </c>
      <c r="J197" s="5"/>
      <c r="K197" s="4" t="s">
        <v>67</v>
      </c>
      <c r="L197" s="4">
        <v>0.0</v>
      </c>
      <c r="M197" s="15" t="str">
        <f>VLOOKUP(A197,'Live Plan Data'!I:J,2, False)</f>
        <v>#N/A</v>
      </c>
    </row>
    <row r="198" hidden="1">
      <c r="A198" s="4" t="s">
        <v>13399</v>
      </c>
      <c r="B198" s="4" t="s">
        <v>13400</v>
      </c>
      <c r="C198" s="4">
        <v>1234.0</v>
      </c>
      <c r="D198" s="4" t="s">
        <v>13058</v>
      </c>
      <c r="E198" s="4">
        <v>99.0</v>
      </c>
      <c r="F198" s="4">
        <v>1.0</v>
      </c>
      <c r="G198" s="12" t="s">
        <v>13401</v>
      </c>
      <c r="H198" s="4" t="s">
        <v>13402</v>
      </c>
      <c r="I198" s="4" t="s">
        <v>13402</v>
      </c>
      <c r="J198" s="5"/>
      <c r="K198" s="4" t="s">
        <v>67</v>
      </c>
      <c r="L198" s="4">
        <v>0.0</v>
      </c>
      <c r="M198" s="15" t="str">
        <f>VLOOKUP(A198,'Live Plan Data'!I:J,2, False)</f>
        <v>#N/A</v>
      </c>
    </row>
    <row r="199" hidden="1">
      <c r="A199" s="4" t="s">
        <v>13403</v>
      </c>
      <c r="B199" s="4" t="s">
        <v>13400</v>
      </c>
      <c r="C199" s="4">
        <v>1234.0</v>
      </c>
      <c r="D199" s="4" t="s">
        <v>13210</v>
      </c>
      <c r="E199" s="4">
        <v>249.0</v>
      </c>
      <c r="F199" s="4">
        <v>12.0</v>
      </c>
      <c r="G199" s="12" t="s">
        <v>13401</v>
      </c>
      <c r="H199" s="4" t="s">
        <v>13402</v>
      </c>
      <c r="I199" s="4" t="s">
        <v>13402</v>
      </c>
      <c r="J199" s="5"/>
      <c r="K199" s="4" t="s">
        <v>67</v>
      </c>
      <c r="L199" s="4">
        <v>0.0</v>
      </c>
      <c r="M199" s="15" t="str">
        <f>VLOOKUP(A199,'Live Plan Data'!I:J,2, False)</f>
        <v>#N/A</v>
      </c>
    </row>
    <row r="200" hidden="1">
      <c r="A200" s="4" t="s">
        <v>13404</v>
      </c>
      <c r="B200" s="4" t="s">
        <v>5822</v>
      </c>
      <c r="C200" s="4">
        <v>50054.0</v>
      </c>
      <c r="D200" s="4" t="s">
        <v>13065</v>
      </c>
      <c r="E200" s="4">
        <v>349.0</v>
      </c>
      <c r="F200" s="4">
        <v>6.0</v>
      </c>
      <c r="G200" s="12" t="s">
        <v>13385</v>
      </c>
      <c r="H200" s="4" t="s">
        <v>13386</v>
      </c>
      <c r="I200" s="4" t="s">
        <v>4680</v>
      </c>
      <c r="J200" s="5"/>
      <c r="K200" s="4" t="s">
        <v>67</v>
      </c>
      <c r="L200" s="4">
        <v>0.0</v>
      </c>
      <c r="M200" s="15" t="str">
        <f>VLOOKUP(A200,'Live Plan Data'!I:J,2, False)</f>
        <v>#N/A</v>
      </c>
    </row>
    <row r="201" hidden="1">
      <c r="A201" s="4" t="s">
        <v>13405</v>
      </c>
      <c r="B201" s="4" t="s">
        <v>5822</v>
      </c>
      <c r="C201" s="4">
        <v>50054.0</v>
      </c>
      <c r="D201" s="4" t="s">
        <v>13063</v>
      </c>
      <c r="E201" s="4">
        <v>199.0</v>
      </c>
      <c r="F201" s="4">
        <v>3.0</v>
      </c>
      <c r="G201" s="12" t="s">
        <v>13385</v>
      </c>
      <c r="H201" s="4" t="s">
        <v>13386</v>
      </c>
      <c r="I201" s="4" t="s">
        <v>4680</v>
      </c>
      <c r="J201" s="5"/>
      <c r="K201" s="4" t="s">
        <v>67</v>
      </c>
      <c r="L201" s="4">
        <v>0.0</v>
      </c>
      <c r="M201" s="15" t="str">
        <f>VLOOKUP(A201,'Live Plan Data'!I:J,2, False)</f>
        <v>#N/A</v>
      </c>
    </row>
    <row r="202" hidden="1">
      <c r="A202" s="4" t="s">
        <v>13406</v>
      </c>
      <c r="B202" s="4" t="s">
        <v>2455</v>
      </c>
      <c r="C202" s="4">
        <v>49997.0</v>
      </c>
      <c r="D202" s="4" t="s">
        <v>13063</v>
      </c>
      <c r="E202" s="4">
        <v>199.0</v>
      </c>
      <c r="F202" s="4">
        <v>3.0</v>
      </c>
      <c r="G202" s="12" t="s">
        <v>13059</v>
      </c>
      <c r="H202" s="4" t="s">
        <v>13060</v>
      </c>
      <c r="I202" s="4" t="s">
        <v>13061</v>
      </c>
      <c r="J202" s="5"/>
      <c r="K202" s="4" t="s">
        <v>67</v>
      </c>
      <c r="L202" s="4">
        <v>0.0</v>
      </c>
      <c r="M202" s="15" t="str">
        <f>VLOOKUP(A202,'Live Plan Data'!I:J,2, False)</f>
        <v>#N/A</v>
      </c>
    </row>
    <row r="203" hidden="1">
      <c r="A203" s="4" t="s">
        <v>13407</v>
      </c>
      <c r="B203" s="4" t="s">
        <v>2455</v>
      </c>
      <c r="C203" s="4">
        <v>49997.0</v>
      </c>
      <c r="D203" s="4" t="s">
        <v>13065</v>
      </c>
      <c r="E203" s="4">
        <v>349.0</v>
      </c>
      <c r="F203" s="4">
        <v>6.0</v>
      </c>
      <c r="G203" s="12" t="s">
        <v>13059</v>
      </c>
      <c r="H203" s="4" t="s">
        <v>13060</v>
      </c>
      <c r="I203" s="4" t="s">
        <v>13061</v>
      </c>
      <c r="J203" s="5"/>
      <c r="K203" s="4" t="s">
        <v>67</v>
      </c>
      <c r="L203" s="4">
        <v>0.0</v>
      </c>
      <c r="M203" s="15" t="str">
        <f>VLOOKUP(A203,'Live Plan Data'!I:J,2, False)</f>
        <v>#N/A</v>
      </c>
    </row>
    <row r="204" hidden="1">
      <c r="A204" s="4" t="s">
        <v>13408</v>
      </c>
      <c r="B204" s="4" t="s">
        <v>5181</v>
      </c>
      <c r="C204" s="4">
        <v>50022.0</v>
      </c>
      <c r="D204" s="4" t="s">
        <v>13063</v>
      </c>
      <c r="E204" s="4">
        <v>199.0</v>
      </c>
      <c r="F204" s="4">
        <v>3.0</v>
      </c>
      <c r="G204" s="12" t="s">
        <v>13265</v>
      </c>
      <c r="H204" s="4" t="s">
        <v>13266</v>
      </c>
      <c r="I204" s="4" t="s">
        <v>13255</v>
      </c>
      <c r="J204" s="5"/>
      <c r="K204" s="4" t="s">
        <v>67</v>
      </c>
      <c r="L204" s="4">
        <v>0.0</v>
      </c>
      <c r="M204" s="15" t="str">
        <f>VLOOKUP(A204,'Live Plan Data'!I:J,2, False)</f>
        <v>#N/A</v>
      </c>
    </row>
    <row r="205">
      <c r="A205" s="4" t="s">
        <v>13409</v>
      </c>
      <c r="B205" s="4" t="s">
        <v>5181</v>
      </c>
      <c r="C205" s="4">
        <v>50022.0</v>
      </c>
      <c r="D205" s="4" t="s">
        <v>13065</v>
      </c>
      <c r="E205" s="4">
        <v>349.0</v>
      </c>
      <c r="F205" s="4">
        <v>6.0</v>
      </c>
      <c r="G205" s="12" t="s">
        <v>13265</v>
      </c>
      <c r="H205" s="4" t="s">
        <v>13266</v>
      </c>
      <c r="I205" s="4" t="s">
        <v>13255</v>
      </c>
      <c r="J205" s="5"/>
      <c r="K205" s="4" t="s">
        <v>67</v>
      </c>
      <c r="L205" s="4">
        <v>0.0</v>
      </c>
      <c r="M205" s="15" t="str">
        <f>VLOOKUP(A205,'Live Plan Data'!I:J,2, False)</f>
        <v>Active</v>
      </c>
    </row>
    <row r="206">
      <c r="A206" s="4" t="s">
        <v>13410</v>
      </c>
      <c r="B206" s="4" t="s">
        <v>5181</v>
      </c>
      <c r="C206" s="4">
        <v>50022.0</v>
      </c>
      <c r="D206" s="4" t="s">
        <v>13063</v>
      </c>
      <c r="E206" s="4">
        <v>199.0</v>
      </c>
      <c r="F206" s="4">
        <v>3.0</v>
      </c>
      <c r="G206" s="12" t="s">
        <v>13265</v>
      </c>
      <c r="H206" s="4" t="s">
        <v>13266</v>
      </c>
      <c r="I206" s="4" t="s">
        <v>13255</v>
      </c>
      <c r="J206" s="5"/>
      <c r="K206" s="4" t="s">
        <v>67</v>
      </c>
      <c r="L206" s="4">
        <v>0.0</v>
      </c>
      <c r="M206" s="15" t="str">
        <f>VLOOKUP(A206,'Live Plan Data'!I:J,2, False)</f>
        <v>Active</v>
      </c>
    </row>
    <row r="207" hidden="1">
      <c r="A207" s="4" t="s">
        <v>13411</v>
      </c>
      <c r="B207" s="4" t="s">
        <v>3286</v>
      </c>
      <c r="C207" s="4">
        <v>49992.0</v>
      </c>
      <c r="D207" s="4" t="s">
        <v>13063</v>
      </c>
      <c r="E207" s="4">
        <v>199.0</v>
      </c>
      <c r="F207" s="4">
        <v>3.0</v>
      </c>
      <c r="G207" s="12" t="s">
        <v>13103</v>
      </c>
      <c r="H207" s="4" t="s">
        <v>13104</v>
      </c>
      <c r="I207" s="4" t="s">
        <v>13061</v>
      </c>
      <c r="J207" s="5"/>
      <c r="K207" s="4" t="s">
        <v>67</v>
      </c>
      <c r="L207" s="4">
        <v>0.0</v>
      </c>
      <c r="M207" s="15" t="str">
        <f>VLOOKUP(A207,'Live Plan Data'!I:J,2, False)</f>
        <v>#N/A</v>
      </c>
    </row>
    <row r="208" hidden="1">
      <c r="A208" s="4" t="s">
        <v>13412</v>
      </c>
      <c r="B208" s="4" t="s">
        <v>3286</v>
      </c>
      <c r="C208" s="4">
        <v>49992.0</v>
      </c>
      <c r="D208" s="4" t="s">
        <v>13065</v>
      </c>
      <c r="E208" s="4">
        <v>349.0</v>
      </c>
      <c r="F208" s="4">
        <v>6.0</v>
      </c>
      <c r="G208" s="12" t="s">
        <v>13103</v>
      </c>
      <c r="H208" s="4" t="s">
        <v>13104</v>
      </c>
      <c r="I208" s="4" t="s">
        <v>13061</v>
      </c>
      <c r="J208" s="5"/>
      <c r="K208" s="4" t="s">
        <v>67</v>
      </c>
      <c r="L208" s="4">
        <v>0.0</v>
      </c>
      <c r="M208" s="15" t="str">
        <f>VLOOKUP(A208,'Live Plan Data'!I:J,2, False)</f>
        <v>#N/A</v>
      </c>
    </row>
    <row r="209" hidden="1">
      <c r="A209" s="4" t="s">
        <v>13413</v>
      </c>
      <c r="B209" s="4" t="s">
        <v>2702</v>
      </c>
      <c r="C209" s="4">
        <v>50015.0</v>
      </c>
      <c r="D209" s="4" t="s">
        <v>13065</v>
      </c>
      <c r="E209" s="4">
        <v>349.0</v>
      </c>
      <c r="F209" s="4">
        <v>6.0</v>
      </c>
      <c r="G209" s="12" t="s">
        <v>13253</v>
      </c>
      <c r="H209" s="4" t="s">
        <v>13254</v>
      </c>
      <c r="I209" s="4" t="s">
        <v>13061</v>
      </c>
      <c r="J209" s="5"/>
      <c r="K209" s="4" t="s">
        <v>67</v>
      </c>
      <c r="L209" s="4">
        <v>0.0</v>
      </c>
      <c r="M209" s="15" t="str">
        <f>VLOOKUP(A209,'Live Plan Data'!I:J,2, False)</f>
        <v>#N/A</v>
      </c>
    </row>
    <row r="210" hidden="1">
      <c r="A210" s="4" t="s">
        <v>13414</v>
      </c>
      <c r="B210" s="4" t="s">
        <v>2702</v>
      </c>
      <c r="C210" s="4">
        <v>50015.0</v>
      </c>
      <c r="D210" s="4" t="s">
        <v>13063</v>
      </c>
      <c r="E210" s="4">
        <v>199.0</v>
      </c>
      <c r="F210" s="4">
        <v>3.0</v>
      </c>
      <c r="G210" s="12" t="s">
        <v>13253</v>
      </c>
      <c r="H210" s="4" t="s">
        <v>13254</v>
      </c>
      <c r="I210" s="4" t="s">
        <v>13061</v>
      </c>
      <c r="J210" s="5"/>
      <c r="K210" s="4" t="s">
        <v>67</v>
      </c>
      <c r="L210" s="4">
        <v>0.0</v>
      </c>
      <c r="M210" s="15" t="str">
        <f>VLOOKUP(A210,'Live Plan Data'!I:J,2, False)</f>
        <v>#N/A</v>
      </c>
    </row>
    <row r="211" hidden="1">
      <c r="A211" s="4" t="s">
        <v>13415</v>
      </c>
      <c r="B211" s="4" t="s">
        <v>13416</v>
      </c>
      <c r="C211" s="4">
        <v>23.0</v>
      </c>
      <c r="D211" s="4" t="s">
        <v>13058</v>
      </c>
      <c r="E211" s="4">
        <v>12.0</v>
      </c>
      <c r="F211" s="4">
        <v>1.0</v>
      </c>
      <c r="G211" s="4" t="s">
        <v>13417</v>
      </c>
      <c r="H211" s="4" t="s">
        <v>13418</v>
      </c>
      <c r="I211" s="4" t="s">
        <v>13419</v>
      </c>
      <c r="J211" s="5"/>
      <c r="K211" s="4" t="s">
        <v>67</v>
      </c>
      <c r="L211" s="4">
        <v>0.0</v>
      </c>
      <c r="M211" s="15" t="str">
        <f>VLOOKUP(A211,'Live Plan Data'!I:J,2, False)</f>
        <v>#N/A</v>
      </c>
    </row>
    <row r="212">
      <c r="A212" s="4" t="s">
        <v>13420</v>
      </c>
      <c r="B212" s="4" t="s">
        <v>12857</v>
      </c>
      <c r="C212" s="4">
        <v>50055.0</v>
      </c>
      <c r="D212" s="4" t="s">
        <v>13058</v>
      </c>
      <c r="E212" s="4">
        <v>499.0</v>
      </c>
      <c r="F212" s="4">
        <v>1.0</v>
      </c>
      <c r="G212" s="12" t="s">
        <v>13421</v>
      </c>
      <c r="H212" s="4" t="s">
        <v>13422</v>
      </c>
      <c r="I212" s="4" t="s">
        <v>4680</v>
      </c>
      <c r="J212" s="5"/>
      <c r="K212" s="4" t="s">
        <v>67</v>
      </c>
      <c r="L212" s="4">
        <v>0.0</v>
      </c>
      <c r="M212" s="15" t="str">
        <f>VLOOKUP(A212,'Live Plan Data'!I:J,2, False)</f>
        <v>Active</v>
      </c>
    </row>
    <row r="213">
      <c r="A213" s="4" t="s">
        <v>13423</v>
      </c>
      <c r="B213" s="4" t="s">
        <v>12857</v>
      </c>
      <c r="C213" s="4">
        <v>50055.0</v>
      </c>
      <c r="D213" s="4" t="s">
        <v>13063</v>
      </c>
      <c r="E213" s="4">
        <v>1499.0</v>
      </c>
      <c r="F213" s="4">
        <v>3.0</v>
      </c>
      <c r="G213" s="12" t="s">
        <v>13421</v>
      </c>
      <c r="H213" s="4" t="s">
        <v>13422</v>
      </c>
      <c r="I213" s="4" t="s">
        <v>4680</v>
      </c>
      <c r="J213" s="5"/>
      <c r="K213" s="4" t="s">
        <v>67</v>
      </c>
      <c r="L213" s="4">
        <v>0.0</v>
      </c>
      <c r="M213" s="15" t="str">
        <f>VLOOKUP(A213,'Live Plan Data'!I:J,2, False)</f>
        <v>Active</v>
      </c>
    </row>
    <row r="214">
      <c r="A214" s="4" t="s">
        <v>13424</v>
      </c>
      <c r="B214" s="4" t="s">
        <v>12857</v>
      </c>
      <c r="C214" s="4">
        <v>50055.0</v>
      </c>
      <c r="D214" s="4" t="s">
        <v>13065</v>
      </c>
      <c r="E214" s="4">
        <v>2999.0</v>
      </c>
      <c r="F214" s="4">
        <v>6.0</v>
      </c>
      <c r="G214" s="12" t="s">
        <v>13421</v>
      </c>
      <c r="H214" s="4" t="s">
        <v>13422</v>
      </c>
      <c r="I214" s="4" t="s">
        <v>4680</v>
      </c>
      <c r="J214" s="5"/>
      <c r="K214" s="4" t="s">
        <v>67</v>
      </c>
      <c r="L214" s="4">
        <v>0.0</v>
      </c>
      <c r="M214" s="15" t="str">
        <f>VLOOKUP(A214,'Live Plan Data'!I:J,2, False)</f>
        <v>Active</v>
      </c>
    </row>
    <row r="215" hidden="1">
      <c r="A215" s="4" t="s">
        <v>13425</v>
      </c>
      <c r="B215" s="4" t="s">
        <v>2702</v>
      </c>
      <c r="C215" s="4">
        <v>50015.0</v>
      </c>
      <c r="D215" s="4" t="s">
        <v>13063</v>
      </c>
      <c r="E215" s="4">
        <v>199.0</v>
      </c>
      <c r="F215" s="4">
        <v>3.0</v>
      </c>
      <c r="G215" s="12" t="s">
        <v>13253</v>
      </c>
      <c r="H215" s="4" t="s">
        <v>13254</v>
      </c>
      <c r="I215" s="4" t="s">
        <v>13380</v>
      </c>
      <c r="J215" s="5"/>
      <c r="K215" s="4" t="s">
        <v>67</v>
      </c>
      <c r="L215" s="4">
        <v>0.0</v>
      </c>
      <c r="M215" s="15" t="str">
        <f>VLOOKUP(A215,'Live Plan Data'!I:J,2, False)</f>
        <v>#N/A</v>
      </c>
    </row>
    <row r="216" hidden="1">
      <c r="A216" s="4" t="s">
        <v>13426</v>
      </c>
      <c r="B216" s="4" t="s">
        <v>2702</v>
      </c>
      <c r="C216" s="4">
        <v>50015.0</v>
      </c>
      <c r="D216" s="4" t="s">
        <v>13065</v>
      </c>
      <c r="E216" s="4">
        <v>349.0</v>
      </c>
      <c r="F216" s="4">
        <v>6.0</v>
      </c>
      <c r="G216" s="12" t="s">
        <v>13253</v>
      </c>
      <c r="H216" s="4" t="s">
        <v>13254</v>
      </c>
      <c r="I216" s="4" t="s">
        <v>13380</v>
      </c>
      <c r="J216" s="5"/>
      <c r="K216" s="4" t="s">
        <v>67</v>
      </c>
      <c r="L216" s="4">
        <v>0.0</v>
      </c>
      <c r="M216" s="15" t="str">
        <f>VLOOKUP(A216,'Live Plan Data'!I:J,2, False)</f>
        <v>#N/A</v>
      </c>
    </row>
    <row r="217" hidden="1">
      <c r="A217" s="4" t="s">
        <v>13427</v>
      </c>
      <c r="B217" s="4" t="s">
        <v>885</v>
      </c>
      <c r="C217" s="4">
        <v>49844.0</v>
      </c>
      <c r="D217" s="4" t="s">
        <v>13063</v>
      </c>
      <c r="E217" s="4">
        <v>199.0</v>
      </c>
      <c r="F217" s="4">
        <v>3.0</v>
      </c>
      <c r="G217" s="12" t="s">
        <v>13165</v>
      </c>
      <c r="H217" s="4" t="s">
        <v>13166</v>
      </c>
      <c r="I217" s="4" t="s">
        <v>6693</v>
      </c>
      <c r="J217" s="5"/>
      <c r="K217" s="4" t="s">
        <v>67</v>
      </c>
      <c r="L217" s="4">
        <v>0.0</v>
      </c>
      <c r="M217" s="15" t="str">
        <f>VLOOKUP(A217,'Live Plan Data'!I:J,2, False)</f>
        <v>#N/A</v>
      </c>
    </row>
    <row r="218" hidden="1">
      <c r="A218" s="4" t="s">
        <v>13428</v>
      </c>
      <c r="B218" s="4" t="s">
        <v>885</v>
      </c>
      <c r="C218" s="4">
        <v>49844.0</v>
      </c>
      <c r="D218" s="4" t="s">
        <v>13065</v>
      </c>
      <c r="E218" s="4">
        <v>349.0</v>
      </c>
      <c r="F218" s="4">
        <v>6.0</v>
      </c>
      <c r="G218" s="12" t="s">
        <v>13165</v>
      </c>
      <c r="H218" s="4" t="s">
        <v>13166</v>
      </c>
      <c r="I218" s="4" t="s">
        <v>6693</v>
      </c>
      <c r="J218" s="5"/>
      <c r="K218" s="4" t="s">
        <v>67</v>
      </c>
      <c r="L218" s="4">
        <v>0.0</v>
      </c>
      <c r="M218" s="15" t="str">
        <f>VLOOKUP(A218,'Live Plan Data'!I:J,2, False)</f>
        <v>#N/A</v>
      </c>
    </row>
    <row r="219" hidden="1">
      <c r="A219" s="4" t="s">
        <v>13429</v>
      </c>
      <c r="B219" s="4" t="s">
        <v>1582</v>
      </c>
      <c r="C219" s="4">
        <v>50048.0</v>
      </c>
      <c r="D219" s="4" t="s">
        <v>13058</v>
      </c>
      <c r="E219" s="4">
        <v>50.0</v>
      </c>
      <c r="F219" s="4">
        <v>1.0</v>
      </c>
      <c r="G219" s="12" t="s">
        <v>13195</v>
      </c>
      <c r="H219" s="4" t="s">
        <v>13196</v>
      </c>
      <c r="I219" s="4" t="s">
        <v>13191</v>
      </c>
      <c r="J219" s="5"/>
      <c r="K219" s="4" t="s">
        <v>67</v>
      </c>
      <c r="L219" s="4">
        <v>0.0</v>
      </c>
      <c r="M219" s="15" t="str">
        <f>VLOOKUP(A219,'Live Plan Data'!I:J,2, False)</f>
        <v>#N/A</v>
      </c>
    </row>
    <row r="220" hidden="1">
      <c r="A220" s="4" t="s">
        <v>13430</v>
      </c>
      <c r="B220" s="4" t="s">
        <v>1582</v>
      </c>
      <c r="C220" s="4">
        <v>50048.0</v>
      </c>
      <c r="D220" s="4" t="s">
        <v>13063</v>
      </c>
      <c r="E220" s="4">
        <v>999.0</v>
      </c>
      <c r="F220" s="4">
        <v>3.0</v>
      </c>
      <c r="G220" s="12" t="s">
        <v>13195</v>
      </c>
      <c r="H220" s="4" t="s">
        <v>13196</v>
      </c>
      <c r="I220" s="4" t="s">
        <v>13191</v>
      </c>
      <c r="J220" s="5"/>
      <c r="K220" s="4" t="s">
        <v>67</v>
      </c>
      <c r="L220" s="4">
        <v>0.0</v>
      </c>
      <c r="M220" s="15" t="str">
        <f>VLOOKUP(A220,'Live Plan Data'!I:J,2, False)</f>
        <v>#N/A</v>
      </c>
    </row>
    <row r="221" hidden="1">
      <c r="A221" s="4" t="s">
        <v>13431</v>
      </c>
      <c r="B221" s="4" t="s">
        <v>1582</v>
      </c>
      <c r="C221" s="4">
        <v>50048.0</v>
      </c>
      <c r="D221" s="4" t="s">
        <v>13063</v>
      </c>
      <c r="E221" s="4">
        <v>999.0</v>
      </c>
      <c r="F221" s="4">
        <v>3.0</v>
      </c>
      <c r="G221" s="12" t="s">
        <v>13195</v>
      </c>
      <c r="H221" s="4" t="s">
        <v>13196</v>
      </c>
      <c r="I221" s="4" t="s">
        <v>13191</v>
      </c>
      <c r="J221" s="5"/>
      <c r="K221" s="4" t="s">
        <v>67</v>
      </c>
      <c r="L221" s="4">
        <v>0.0</v>
      </c>
      <c r="M221" s="15" t="str">
        <f>VLOOKUP(A221,'Live Plan Data'!I:J,2, False)</f>
        <v>#N/A</v>
      </c>
    </row>
    <row r="222" hidden="1">
      <c r="A222" s="4" t="s">
        <v>13432</v>
      </c>
      <c r="B222" s="4" t="s">
        <v>1582</v>
      </c>
      <c r="C222" s="4">
        <v>50048.0</v>
      </c>
      <c r="D222" s="4" t="s">
        <v>13058</v>
      </c>
      <c r="E222" s="4">
        <v>50.0</v>
      </c>
      <c r="F222" s="4">
        <v>1.0</v>
      </c>
      <c r="G222" s="12" t="s">
        <v>13195</v>
      </c>
      <c r="H222" s="4" t="s">
        <v>13196</v>
      </c>
      <c r="I222" s="4" t="s">
        <v>13191</v>
      </c>
      <c r="J222" s="5"/>
      <c r="K222" s="4" t="s">
        <v>67</v>
      </c>
      <c r="L222" s="4">
        <v>0.0</v>
      </c>
      <c r="M222" s="15" t="str">
        <f>VLOOKUP(A222,'Live Plan Data'!I:J,2, False)</f>
        <v>#N/A</v>
      </c>
    </row>
    <row r="223">
      <c r="A223" s="4" t="s">
        <v>13433</v>
      </c>
      <c r="B223" s="4" t="s">
        <v>4433</v>
      </c>
      <c r="C223" s="4">
        <v>50052.0</v>
      </c>
      <c r="D223" s="4" t="s">
        <v>13065</v>
      </c>
      <c r="E223" s="4">
        <v>349.0</v>
      </c>
      <c r="F223" s="4">
        <v>6.0</v>
      </c>
      <c r="G223" s="12" t="s">
        <v>13372</v>
      </c>
      <c r="H223" s="4" t="s">
        <v>13373</v>
      </c>
      <c r="I223" s="4" t="s">
        <v>4680</v>
      </c>
      <c r="J223" s="5"/>
      <c r="K223" s="4" t="s">
        <v>67</v>
      </c>
      <c r="L223" s="4">
        <v>0.0</v>
      </c>
      <c r="M223" s="15" t="str">
        <f>VLOOKUP(A223,'Live Plan Data'!I:J,2, False)</f>
        <v>Active</v>
      </c>
    </row>
    <row r="224">
      <c r="A224" s="4" t="s">
        <v>13434</v>
      </c>
      <c r="B224" s="4" t="s">
        <v>4433</v>
      </c>
      <c r="C224" s="4">
        <v>50052.0</v>
      </c>
      <c r="D224" s="4" t="s">
        <v>13063</v>
      </c>
      <c r="E224" s="4">
        <v>199.0</v>
      </c>
      <c r="F224" s="4">
        <v>3.0</v>
      </c>
      <c r="G224" s="12" t="s">
        <v>13372</v>
      </c>
      <c r="H224" s="4" t="s">
        <v>13373</v>
      </c>
      <c r="I224" s="4" t="s">
        <v>4680</v>
      </c>
      <c r="J224" s="5"/>
      <c r="K224" s="4" t="s">
        <v>67</v>
      </c>
      <c r="L224" s="4">
        <v>0.0</v>
      </c>
      <c r="M224" s="15" t="str">
        <f>VLOOKUP(A224,'Live Plan Data'!I:J,2, False)</f>
        <v>Active</v>
      </c>
    </row>
    <row r="225" hidden="1">
      <c r="A225" s="4" t="s">
        <v>13435</v>
      </c>
      <c r="B225" s="4" t="s">
        <v>3195</v>
      </c>
      <c r="C225" s="4">
        <v>50047.0</v>
      </c>
      <c r="D225" s="4" t="s">
        <v>13065</v>
      </c>
      <c r="E225" s="4">
        <v>999.0</v>
      </c>
      <c r="F225" s="4">
        <v>6.0</v>
      </c>
      <c r="G225" s="12" t="s">
        <v>13306</v>
      </c>
      <c r="H225" s="4" t="s">
        <v>13307</v>
      </c>
      <c r="I225" s="4" t="s">
        <v>4680</v>
      </c>
      <c r="J225" s="5"/>
      <c r="K225" s="4" t="s">
        <v>67</v>
      </c>
      <c r="L225" s="4">
        <v>0.0</v>
      </c>
      <c r="M225" s="15" t="str">
        <f>VLOOKUP(A225,'Live Plan Data'!I:J,2, False)</f>
        <v>#N/A</v>
      </c>
    </row>
    <row r="226" hidden="1">
      <c r="A226" s="4" t="s">
        <v>13436</v>
      </c>
      <c r="B226" s="4" t="s">
        <v>3195</v>
      </c>
      <c r="C226" s="4">
        <v>50047.0</v>
      </c>
      <c r="D226" s="4" t="s">
        <v>13210</v>
      </c>
      <c r="E226" s="4">
        <v>1999.0</v>
      </c>
      <c r="F226" s="4">
        <v>12.0</v>
      </c>
      <c r="G226" s="12" t="s">
        <v>13306</v>
      </c>
      <c r="H226" s="4" t="s">
        <v>13307</v>
      </c>
      <c r="I226" s="4" t="s">
        <v>4680</v>
      </c>
      <c r="J226" s="5"/>
      <c r="K226" s="4" t="s">
        <v>67</v>
      </c>
      <c r="L226" s="4">
        <v>0.0</v>
      </c>
      <c r="M226" s="15" t="str">
        <f>VLOOKUP(A226,'Live Plan Data'!I:J,2, False)</f>
        <v>#N/A</v>
      </c>
    </row>
    <row r="227" hidden="1">
      <c r="A227" s="4" t="s">
        <v>13437</v>
      </c>
      <c r="B227" s="4" t="s">
        <v>960</v>
      </c>
      <c r="C227" s="4">
        <v>49834.0</v>
      </c>
      <c r="D227" s="4" t="s">
        <v>13058</v>
      </c>
      <c r="E227" s="4">
        <v>99.0</v>
      </c>
      <c r="F227" s="4">
        <v>1.0</v>
      </c>
      <c r="G227" s="12" t="s">
        <v>13098</v>
      </c>
      <c r="H227" s="4" t="s">
        <v>13438</v>
      </c>
      <c r="I227" s="5"/>
      <c r="J227" s="5"/>
      <c r="K227" s="4" t="s">
        <v>67</v>
      </c>
      <c r="L227" s="4">
        <v>0.0</v>
      </c>
      <c r="M227" s="15" t="str">
        <f>VLOOKUP(A227,'Live Plan Data'!I:J,2, False)</f>
        <v>#N/A</v>
      </c>
    </row>
    <row r="228" hidden="1">
      <c r="A228" s="4" t="s">
        <v>13439</v>
      </c>
      <c r="B228" s="4" t="s">
        <v>960</v>
      </c>
      <c r="C228" s="4">
        <v>49834.0</v>
      </c>
      <c r="D228" s="4" t="s">
        <v>13058</v>
      </c>
      <c r="E228" s="4">
        <v>99.0</v>
      </c>
      <c r="F228" s="4">
        <v>1.0</v>
      </c>
      <c r="G228" s="12" t="s">
        <v>13098</v>
      </c>
      <c r="H228" s="4" t="s">
        <v>13440</v>
      </c>
      <c r="I228" s="4" t="s">
        <v>7536</v>
      </c>
      <c r="J228" s="5"/>
      <c r="K228" s="4" t="s">
        <v>67</v>
      </c>
      <c r="L228" s="4">
        <v>0.0</v>
      </c>
      <c r="M228" s="15" t="str">
        <f>VLOOKUP(A228,'Live Plan Data'!I:J,2, False)</f>
        <v>#N/A</v>
      </c>
    </row>
    <row r="229" hidden="1">
      <c r="A229" s="4" t="s">
        <v>13441</v>
      </c>
      <c r="B229" s="4" t="s">
        <v>960</v>
      </c>
      <c r="C229" s="4">
        <v>49834.0</v>
      </c>
      <c r="D229" s="4" t="s">
        <v>13058</v>
      </c>
      <c r="E229" s="4">
        <v>99.0</v>
      </c>
      <c r="F229" s="4">
        <v>1.0</v>
      </c>
      <c r="G229" s="12" t="s">
        <v>13098</v>
      </c>
      <c r="H229" s="4" t="s">
        <v>13438</v>
      </c>
      <c r="I229" s="4" t="s">
        <v>7536</v>
      </c>
      <c r="J229" s="5"/>
      <c r="K229" s="4" t="s">
        <v>67</v>
      </c>
      <c r="L229" s="4">
        <v>0.0</v>
      </c>
      <c r="M229" s="15" t="str">
        <f>VLOOKUP(A229,'Live Plan Data'!I:J,2, False)</f>
        <v>#N/A</v>
      </c>
    </row>
    <row r="230" hidden="1">
      <c r="A230" s="4" t="s">
        <v>13442</v>
      </c>
      <c r="B230" s="4" t="s">
        <v>960</v>
      </c>
      <c r="C230" s="4">
        <v>49834.0</v>
      </c>
      <c r="D230" s="4" t="s">
        <v>13058</v>
      </c>
      <c r="E230" s="4">
        <v>99.0</v>
      </c>
      <c r="F230" s="4">
        <v>1.0</v>
      </c>
      <c r="G230" s="12" t="s">
        <v>13098</v>
      </c>
      <c r="H230" s="4" t="s">
        <v>13438</v>
      </c>
      <c r="I230" s="4" t="s">
        <v>7536</v>
      </c>
      <c r="J230" s="5"/>
      <c r="K230" s="4" t="s">
        <v>67</v>
      </c>
      <c r="L230" s="4">
        <v>0.0</v>
      </c>
      <c r="M230" s="15" t="str">
        <f>VLOOKUP(A230,'Live Plan Data'!I:J,2, False)</f>
        <v>#N/A</v>
      </c>
    </row>
    <row r="231" hidden="1">
      <c r="A231" s="4" t="s">
        <v>13443</v>
      </c>
      <c r="B231" s="4" t="s">
        <v>960</v>
      </c>
      <c r="C231" s="4">
        <v>49834.0</v>
      </c>
      <c r="D231" s="4" t="s">
        <v>13063</v>
      </c>
      <c r="E231" s="4">
        <v>199.0</v>
      </c>
      <c r="F231" s="4">
        <v>3.0</v>
      </c>
      <c r="G231" s="12" t="s">
        <v>13098</v>
      </c>
      <c r="H231" s="4" t="s">
        <v>13438</v>
      </c>
      <c r="I231" s="4" t="s">
        <v>7536</v>
      </c>
      <c r="J231" s="5"/>
      <c r="K231" s="4" t="s">
        <v>67</v>
      </c>
      <c r="L231" s="4">
        <v>0.0</v>
      </c>
      <c r="M231" s="15" t="str">
        <f>VLOOKUP(A231,'Live Plan Data'!I:J,2, False)</f>
        <v>#N/A</v>
      </c>
    </row>
    <row r="232" hidden="1">
      <c r="A232" s="4" t="s">
        <v>13444</v>
      </c>
      <c r="B232" s="4" t="s">
        <v>960</v>
      </c>
      <c r="C232" s="4">
        <v>49834.0</v>
      </c>
      <c r="D232" s="4" t="s">
        <v>13065</v>
      </c>
      <c r="E232" s="4">
        <v>349.0</v>
      </c>
      <c r="F232" s="4">
        <v>6.0</v>
      </c>
      <c r="G232" s="12" t="s">
        <v>13098</v>
      </c>
      <c r="H232" s="4" t="s">
        <v>13438</v>
      </c>
      <c r="I232" s="4" t="s">
        <v>7536</v>
      </c>
      <c r="J232" s="5"/>
      <c r="K232" s="4" t="s">
        <v>67</v>
      </c>
      <c r="L232" s="4">
        <v>0.0</v>
      </c>
      <c r="M232" s="15" t="str">
        <f>VLOOKUP(A232,'Live Plan Data'!I:J,2, False)</f>
        <v>#N/A</v>
      </c>
    </row>
    <row r="233" hidden="1">
      <c r="A233" s="4" t="s">
        <v>13445</v>
      </c>
      <c r="B233" s="4" t="s">
        <v>6198</v>
      </c>
      <c r="C233" s="4">
        <v>49835.0</v>
      </c>
      <c r="D233" s="4" t="s">
        <v>13063</v>
      </c>
      <c r="E233" s="4">
        <v>99.0</v>
      </c>
      <c r="F233" s="4">
        <v>3.0</v>
      </c>
      <c r="G233" s="12" t="s">
        <v>13446</v>
      </c>
      <c r="H233" s="4" t="s">
        <v>13438</v>
      </c>
      <c r="I233" s="4" t="s">
        <v>7536</v>
      </c>
      <c r="J233" s="5"/>
      <c r="K233" s="4" t="s">
        <v>67</v>
      </c>
      <c r="L233" s="4">
        <v>0.0</v>
      </c>
      <c r="M233" s="15" t="str">
        <f>VLOOKUP(A233,'Live Plan Data'!I:J,2, False)</f>
        <v>#N/A</v>
      </c>
    </row>
    <row r="234" hidden="1">
      <c r="A234" s="4" t="s">
        <v>13447</v>
      </c>
      <c r="B234" s="4" t="s">
        <v>2601</v>
      </c>
      <c r="C234" s="4">
        <v>50065.0</v>
      </c>
      <c r="D234" s="4" t="s">
        <v>13058</v>
      </c>
      <c r="E234" s="4">
        <v>99.0</v>
      </c>
      <c r="F234" s="4">
        <v>1.0</v>
      </c>
      <c r="G234" s="12" t="s">
        <v>13378</v>
      </c>
      <c r="H234" s="4" t="s">
        <v>13379</v>
      </c>
      <c r="I234" s="4" t="s">
        <v>13255</v>
      </c>
      <c r="J234" s="5"/>
      <c r="K234" s="4" t="s">
        <v>67</v>
      </c>
      <c r="L234" s="4">
        <v>0.0</v>
      </c>
      <c r="M234" s="15" t="str">
        <f>VLOOKUP(A234,'Live Plan Data'!I:J,2, False)</f>
        <v>#N/A</v>
      </c>
    </row>
    <row r="235" hidden="1">
      <c r="A235" s="4" t="s">
        <v>13448</v>
      </c>
      <c r="B235" s="4" t="s">
        <v>2601</v>
      </c>
      <c r="C235" s="4">
        <v>50065.0</v>
      </c>
      <c r="D235" s="4" t="s">
        <v>13063</v>
      </c>
      <c r="E235" s="4">
        <v>199.0</v>
      </c>
      <c r="F235" s="4">
        <v>3.0</v>
      </c>
      <c r="G235" s="12" t="s">
        <v>13378</v>
      </c>
      <c r="H235" s="4" t="s">
        <v>13379</v>
      </c>
      <c r="I235" s="4" t="s">
        <v>13255</v>
      </c>
      <c r="J235" s="5"/>
      <c r="K235" s="4" t="s">
        <v>67</v>
      </c>
      <c r="L235" s="4">
        <v>0.0</v>
      </c>
      <c r="M235" s="15" t="str">
        <f>VLOOKUP(A235,'Live Plan Data'!I:J,2, False)</f>
        <v>#N/A</v>
      </c>
    </row>
    <row r="236" hidden="1">
      <c r="A236" s="4" t="s">
        <v>13449</v>
      </c>
      <c r="B236" s="4" t="s">
        <v>2601</v>
      </c>
      <c r="C236" s="4">
        <v>50065.0</v>
      </c>
      <c r="D236" s="4" t="s">
        <v>13065</v>
      </c>
      <c r="E236" s="4">
        <v>349.0</v>
      </c>
      <c r="F236" s="4">
        <v>6.0</v>
      </c>
      <c r="G236" s="12" t="s">
        <v>13378</v>
      </c>
      <c r="H236" s="4" t="s">
        <v>13379</v>
      </c>
      <c r="I236" s="4" t="s">
        <v>13255</v>
      </c>
      <c r="J236" s="5"/>
      <c r="K236" s="4" t="s">
        <v>67</v>
      </c>
      <c r="L236" s="4">
        <v>0.0</v>
      </c>
      <c r="M236" s="15" t="str">
        <f>VLOOKUP(A236,'Live Plan Data'!I:J,2, False)</f>
        <v>#N/A</v>
      </c>
    </row>
    <row r="237">
      <c r="A237" s="4" t="s">
        <v>13450</v>
      </c>
      <c r="B237" s="4" t="s">
        <v>12885</v>
      </c>
      <c r="C237" s="4">
        <v>50027.0</v>
      </c>
      <c r="D237" s="4" t="s">
        <v>13065</v>
      </c>
      <c r="E237" s="4">
        <v>349.0</v>
      </c>
      <c r="F237" s="4">
        <v>6.0</v>
      </c>
      <c r="G237" s="12" t="s">
        <v>13317</v>
      </c>
      <c r="H237" s="4" t="s">
        <v>13318</v>
      </c>
      <c r="I237" s="4" t="s">
        <v>13255</v>
      </c>
      <c r="J237" s="5"/>
      <c r="K237" s="4" t="s">
        <v>67</v>
      </c>
      <c r="L237" s="4">
        <v>0.0</v>
      </c>
      <c r="M237" s="15" t="str">
        <f>VLOOKUP(A237,'Live Plan Data'!I:J,2, False)</f>
        <v>Active</v>
      </c>
    </row>
    <row r="238">
      <c r="A238" s="4" t="s">
        <v>13451</v>
      </c>
      <c r="B238" s="4" t="s">
        <v>12885</v>
      </c>
      <c r="C238" s="4">
        <v>50027.0</v>
      </c>
      <c r="D238" s="4" t="s">
        <v>13063</v>
      </c>
      <c r="E238" s="4">
        <v>199.0</v>
      </c>
      <c r="F238" s="4">
        <v>3.0</v>
      </c>
      <c r="G238" s="12" t="s">
        <v>13317</v>
      </c>
      <c r="H238" s="4" t="s">
        <v>13318</v>
      </c>
      <c r="I238" s="4" t="s">
        <v>13255</v>
      </c>
      <c r="J238" s="5"/>
      <c r="K238" s="4" t="s">
        <v>67</v>
      </c>
      <c r="L238" s="4">
        <v>0.0</v>
      </c>
      <c r="M238" s="15" t="str">
        <f>VLOOKUP(A238,'Live Plan Data'!I:J,2, False)</f>
        <v>Active</v>
      </c>
    </row>
    <row r="239">
      <c r="A239" s="4" t="s">
        <v>13452</v>
      </c>
      <c r="B239" s="4" t="s">
        <v>12885</v>
      </c>
      <c r="C239" s="4">
        <v>50027.0</v>
      </c>
      <c r="D239" s="4" t="s">
        <v>13058</v>
      </c>
      <c r="E239" s="4">
        <v>99.0</v>
      </c>
      <c r="F239" s="4">
        <v>1.0</v>
      </c>
      <c r="G239" s="12" t="s">
        <v>13317</v>
      </c>
      <c r="H239" s="4" t="s">
        <v>13318</v>
      </c>
      <c r="I239" s="4" t="s">
        <v>13255</v>
      </c>
      <c r="J239" s="5"/>
      <c r="K239" s="4" t="s">
        <v>67</v>
      </c>
      <c r="L239" s="4">
        <v>0.0</v>
      </c>
      <c r="M239" s="15" t="str">
        <f>VLOOKUP(A239,'Live Plan Data'!I:J,2, False)</f>
        <v>Active</v>
      </c>
    </row>
    <row r="240" hidden="1">
      <c r="A240" s="4" t="s">
        <v>13453</v>
      </c>
      <c r="B240" s="4" t="s">
        <v>13454</v>
      </c>
      <c r="C240" s="4">
        <v>49833.0</v>
      </c>
      <c r="D240" s="4" t="s">
        <v>13058</v>
      </c>
      <c r="E240" s="4">
        <v>199.0</v>
      </c>
      <c r="F240" s="4">
        <v>1.0</v>
      </c>
      <c r="G240" s="12" t="s">
        <v>13455</v>
      </c>
      <c r="H240" s="4" t="s">
        <v>13456</v>
      </c>
      <c r="I240" s="4" t="s">
        <v>7536</v>
      </c>
      <c r="J240" s="5"/>
      <c r="K240" s="4" t="s">
        <v>67</v>
      </c>
      <c r="L240" s="4">
        <v>0.0</v>
      </c>
      <c r="M240" s="15" t="str">
        <f>VLOOKUP(A240,'Live Plan Data'!I:J,2, False)</f>
        <v>#N/A</v>
      </c>
    </row>
    <row r="241" hidden="1">
      <c r="A241" s="4" t="s">
        <v>13457</v>
      </c>
      <c r="B241" s="4" t="s">
        <v>13454</v>
      </c>
      <c r="C241" s="4">
        <v>49833.0</v>
      </c>
      <c r="D241" s="4" t="s">
        <v>13063</v>
      </c>
      <c r="E241" s="4">
        <v>349.0</v>
      </c>
      <c r="F241" s="4">
        <v>3.0</v>
      </c>
      <c r="G241" s="12" t="s">
        <v>13455</v>
      </c>
      <c r="H241" s="4" t="s">
        <v>13456</v>
      </c>
      <c r="I241" s="4" t="s">
        <v>7536</v>
      </c>
      <c r="J241" s="5"/>
      <c r="K241" s="4" t="s">
        <v>67</v>
      </c>
      <c r="L241" s="4">
        <v>0.0</v>
      </c>
      <c r="M241" s="15" t="str">
        <f>VLOOKUP(A241,'Live Plan Data'!I:J,2, False)</f>
        <v>#N/A</v>
      </c>
    </row>
    <row r="242" hidden="1">
      <c r="A242" s="4" t="s">
        <v>13458</v>
      </c>
      <c r="B242" s="4" t="s">
        <v>13454</v>
      </c>
      <c r="C242" s="4">
        <v>49833.0</v>
      </c>
      <c r="D242" s="4" t="s">
        <v>13065</v>
      </c>
      <c r="E242" s="4">
        <v>599.0</v>
      </c>
      <c r="F242" s="4">
        <v>6.0</v>
      </c>
      <c r="G242" s="12" t="s">
        <v>13455</v>
      </c>
      <c r="H242" s="4" t="s">
        <v>13456</v>
      </c>
      <c r="I242" s="4" t="s">
        <v>7536</v>
      </c>
      <c r="J242" s="5"/>
      <c r="K242" s="4" t="s">
        <v>67</v>
      </c>
      <c r="L242" s="4">
        <v>0.0</v>
      </c>
      <c r="M242" s="15" t="str">
        <f>VLOOKUP(A242,'Live Plan Data'!I:J,2, False)</f>
        <v>#N/A</v>
      </c>
    </row>
    <row r="243" hidden="1">
      <c r="A243" s="4" t="s">
        <v>13459</v>
      </c>
      <c r="B243" s="4" t="s">
        <v>2911</v>
      </c>
      <c r="C243" s="4">
        <v>50066.0</v>
      </c>
      <c r="D243" s="4" t="s">
        <v>13058</v>
      </c>
      <c r="E243" s="4">
        <v>199.0</v>
      </c>
      <c r="F243" s="4">
        <v>1.0</v>
      </c>
      <c r="G243" s="12" t="s">
        <v>13460</v>
      </c>
      <c r="H243" s="4" t="s">
        <v>13461</v>
      </c>
      <c r="I243" s="4" t="s">
        <v>13191</v>
      </c>
      <c r="J243" s="5"/>
      <c r="K243" s="4" t="s">
        <v>67</v>
      </c>
      <c r="L243" s="4">
        <v>0.0</v>
      </c>
      <c r="M243" s="15" t="str">
        <f>VLOOKUP(A243,'Live Plan Data'!I:J,2, False)</f>
        <v>#N/A</v>
      </c>
    </row>
    <row r="244" hidden="1">
      <c r="A244" s="4" t="s">
        <v>13462</v>
      </c>
      <c r="B244" s="4" t="s">
        <v>2911</v>
      </c>
      <c r="C244" s="4">
        <v>50066.0</v>
      </c>
      <c r="D244" s="4" t="s">
        <v>13063</v>
      </c>
      <c r="E244" s="4">
        <v>399.0</v>
      </c>
      <c r="F244" s="4">
        <v>3.0</v>
      </c>
      <c r="G244" s="12" t="s">
        <v>13460</v>
      </c>
      <c r="H244" s="4" t="s">
        <v>13461</v>
      </c>
      <c r="I244" s="4" t="s">
        <v>13191</v>
      </c>
      <c r="J244" s="5"/>
      <c r="K244" s="4" t="s">
        <v>67</v>
      </c>
      <c r="L244" s="4">
        <v>0.0</v>
      </c>
      <c r="M244" s="15" t="str">
        <f>VLOOKUP(A244,'Live Plan Data'!I:J,2, False)</f>
        <v>#N/A</v>
      </c>
    </row>
    <row r="245" hidden="1">
      <c r="A245" s="4" t="s">
        <v>13463</v>
      </c>
      <c r="B245" s="4" t="s">
        <v>2911</v>
      </c>
      <c r="C245" s="4">
        <v>50066.0</v>
      </c>
      <c r="D245" s="4" t="s">
        <v>13065</v>
      </c>
      <c r="E245" s="4">
        <v>599.0</v>
      </c>
      <c r="F245" s="4">
        <v>6.0</v>
      </c>
      <c r="G245" s="12" t="s">
        <v>13460</v>
      </c>
      <c r="H245" s="4" t="s">
        <v>13461</v>
      </c>
      <c r="I245" s="4" t="s">
        <v>13191</v>
      </c>
      <c r="J245" s="5"/>
      <c r="K245" s="4" t="s">
        <v>67</v>
      </c>
      <c r="L245" s="4">
        <v>0.0</v>
      </c>
      <c r="M245" s="15" t="str">
        <f>VLOOKUP(A245,'Live Plan Data'!I:J,2, False)</f>
        <v>#N/A</v>
      </c>
    </row>
    <row r="246" hidden="1">
      <c r="A246" s="4" t="s">
        <v>13464</v>
      </c>
      <c r="B246" s="4" t="s">
        <v>12822</v>
      </c>
      <c r="C246" s="4">
        <v>50068.0</v>
      </c>
      <c r="D246" s="4" t="s">
        <v>13058</v>
      </c>
      <c r="E246" s="4">
        <v>499.0</v>
      </c>
      <c r="F246" s="4">
        <v>1.0</v>
      </c>
      <c r="G246" s="12" t="s">
        <v>13390</v>
      </c>
      <c r="H246" s="4" t="s">
        <v>13391</v>
      </c>
      <c r="I246" s="4" t="s">
        <v>13191</v>
      </c>
      <c r="J246" s="5"/>
      <c r="K246" s="4" t="s">
        <v>67</v>
      </c>
      <c r="L246" s="4">
        <v>0.0</v>
      </c>
      <c r="M246" s="15" t="str">
        <f>VLOOKUP(A246,'Live Plan Data'!I:J,2, False)</f>
        <v>#N/A</v>
      </c>
    </row>
    <row r="247">
      <c r="A247" s="4" t="s">
        <v>13465</v>
      </c>
      <c r="B247" s="4" t="s">
        <v>12822</v>
      </c>
      <c r="C247" s="4">
        <v>50068.0</v>
      </c>
      <c r="D247" s="4" t="s">
        <v>13058</v>
      </c>
      <c r="E247" s="4">
        <v>499.0</v>
      </c>
      <c r="F247" s="4">
        <v>1.0</v>
      </c>
      <c r="G247" s="12" t="s">
        <v>13390</v>
      </c>
      <c r="H247" s="4" t="s">
        <v>13391</v>
      </c>
      <c r="I247" s="4" t="s">
        <v>13191</v>
      </c>
      <c r="J247" s="5"/>
      <c r="K247" s="4" t="s">
        <v>67</v>
      </c>
      <c r="L247" s="4">
        <v>0.0</v>
      </c>
      <c r="M247" s="15" t="str">
        <f>VLOOKUP(A247,'Live Plan Data'!I:J,2, False)</f>
        <v>Active</v>
      </c>
    </row>
    <row r="248" hidden="1">
      <c r="A248" s="4" t="s">
        <v>13466</v>
      </c>
      <c r="B248" s="4" t="s">
        <v>12822</v>
      </c>
      <c r="C248" s="4">
        <v>50068.0</v>
      </c>
      <c r="D248" s="4" t="s">
        <v>13063</v>
      </c>
      <c r="E248" s="4">
        <v>999.0</v>
      </c>
      <c r="F248" s="4">
        <v>3.0</v>
      </c>
      <c r="G248" s="12" t="s">
        <v>13390</v>
      </c>
      <c r="H248" s="4" t="s">
        <v>13391</v>
      </c>
      <c r="I248" s="4" t="s">
        <v>13191</v>
      </c>
      <c r="J248" s="5"/>
      <c r="K248" s="4" t="s">
        <v>67</v>
      </c>
      <c r="L248" s="4">
        <v>0.0</v>
      </c>
      <c r="M248" s="15" t="str">
        <f>VLOOKUP(A248,'Live Plan Data'!I:J,2, False)</f>
        <v>#N/A</v>
      </c>
    </row>
    <row r="249">
      <c r="A249" s="4" t="s">
        <v>13467</v>
      </c>
      <c r="B249" s="4" t="s">
        <v>12822</v>
      </c>
      <c r="C249" s="4">
        <v>50068.0</v>
      </c>
      <c r="D249" s="4" t="s">
        <v>13063</v>
      </c>
      <c r="E249" s="4">
        <v>999.0</v>
      </c>
      <c r="F249" s="4">
        <v>3.0</v>
      </c>
      <c r="G249" s="12" t="s">
        <v>13390</v>
      </c>
      <c r="H249" s="4" t="s">
        <v>13391</v>
      </c>
      <c r="I249" s="4" t="s">
        <v>13191</v>
      </c>
      <c r="J249" s="5"/>
      <c r="K249" s="4" t="s">
        <v>67</v>
      </c>
      <c r="L249" s="4">
        <v>0.0</v>
      </c>
      <c r="M249" s="15" t="str">
        <f>VLOOKUP(A249,'Live Plan Data'!I:J,2, False)</f>
        <v>Active</v>
      </c>
    </row>
    <row r="250" hidden="1">
      <c r="A250" s="4" t="s">
        <v>13468</v>
      </c>
      <c r="B250" s="4" t="s">
        <v>12822</v>
      </c>
      <c r="C250" s="4">
        <v>50068.0</v>
      </c>
      <c r="D250" s="4" t="s">
        <v>13065</v>
      </c>
      <c r="E250" s="4">
        <v>1999.0</v>
      </c>
      <c r="F250" s="4">
        <v>6.0</v>
      </c>
      <c r="G250" s="12" t="s">
        <v>13390</v>
      </c>
      <c r="H250" s="4" t="s">
        <v>13391</v>
      </c>
      <c r="I250" s="4" t="s">
        <v>13191</v>
      </c>
      <c r="J250" s="5"/>
      <c r="K250" s="4" t="s">
        <v>67</v>
      </c>
      <c r="L250" s="4">
        <v>0.0</v>
      </c>
      <c r="M250" s="15" t="str">
        <f>VLOOKUP(A250,'Live Plan Data'!I:J,2, False)</f>
        <v>#N/A</v>
      </c>
    </row>
    <row r="251">
      <c r="A251" s="4" t="s">
        <v>13469</v>
      </c>
      <c r="B251" s="4" t="s">
        <v>12822</v>
      </c>
      <c r="C251" s="4">
        <v>50068.0</v>
      </c>
      <c r="D251" s="4" t="s">
        <v>13065</v>
      </c>
      <c r="E251" s="4">
        <v>1999.0</v>
      </c>
      <c r="F251" s="4">
        <v>6.0</v>
      </c>
      <c r="G251" s="12" t="s">
        <v>13390</v>
      </c>
      <c r="H251" s="4" t="s">
        <v>13391</v>
      </c>
      <c r="I251" s="4" t="s">
        <v>13191</v>
      </c>
      <c r="J251" s="5"/>
      <c r="K251" s="4" t="s">
        <v>67</v>
      </c>
      <c r="L251" s="4">
        <v>0.0</v>
      </c>
      <c r="M251" s="15" t="str">
        <f>VLOOKUP(A251,'Live Plan Data'!I:J,2, False)</f>
        <v>Active</v>
      </c>
    </row>
    <row r="252">
      <c r="A252" s="4" t="s">
        <v>13470</v>
      </c>
      <c r="B252" s="4" t="s">
        <v>1320</v>
      </c>
      <c r="C252" s="4">
        <v>50036.0</v>
      </c>
      <c r="D252" s="4" t="s">
        <v>13058</v>
      </c>
      <c r="E252" s="4">
        <v>199.0</v>
      </c>
      <c r="F252" s="4">
        <v>1.0</v>
      </c>
      <c r="G252" s="12" t="s">
        <v>13231</v>
      </c>
      <c r="H252" s="4" t="s">
        <v>13232</v>
      </c>
      <c r="I252" s="4" t="s">
        <v>13191</v>
      </c>
      <c r="J252" s="5"/>
      <c r="K252" s="4" t="s">
        <v>67</v>
      </c>
      <c r="L252" s="4">
        <v>0.0</v>
      </c>
      <c r="M252" s="15" t="str">
        <f>VLOOKUP(A252,'Live Plan Data'!I:J,2, False)</f>
        <v>Active</v>
      </c>
    </row>
    <row r="253" hidden="1">
      <c r="A253" s="4" t="s">
        <v>13471</v>
      </c>
      <c r="B253" s="4" t="s">
        <v>1320</v>
      </c>
      <c r="C253" s="4">
        <v>50036.0</v>
      </c>
      <c r="D253" s="4" t="s">
        <v>13058</v>
      </c>
      <c r="E253" s="4">
        <v>399.0</v>
      </c>
      <c r="F253" s="4">
        <v>1.0</v>
      </c>
      <c r="G253" s="12" t="s">
        <v>13231</v>
      </c>
      <c r="H253" s="4" t="s">
        <v>13232</v>
      </c>
      <c r="I253" s="4" t="s">
        <v>13191</v>
      </c>
      <c r="J253" s="5"/>
      <c r="K253" s="4" t="s">
        <v>67</v>
      </c>
      <c r="L253" s="4">
        <v>0.0</v>
      </c>
      <c r="M253" s="15" t="str">
        <f>VLOOKUP(A253,'Live Plan Data'!I:J,2, False)</f>
        <v>#N/A</v>
      </c>
    </row>
    <row r="254" hidden="1">
      <c r="A254" s="4" t="s">
        <v>13472</v>
      </c>
      <c r="B254" s="4" t="s">
        <v>1320</v>
      </c>
      <c r="C254" s="4">
        <v>50036.0</v>
      </c>
      <c r="D254" s="4" t="s">
        <v>13058</v>
      </c>
      <c r="E254" s="4">
        <v>399.0</v>
      </c>
      <c r="F254" s="4">
        <v>1.0</v>
      </c>
      <c r="G254" s="12" t="s">
        <v>13231</v>
      </c>
      <c r="H254" s="4" t="s">
        <v>13232</v>
      </c>
      <c r="I254" s="4" t="s">
        <v>13191</v>
      </c>
      <c r="J254" s="5"/>
      <c r="K254" s="4" t="s">
        <v>67</v>
      </c>
      <c r="L254" s="4">
        <v>0.0</v>
      </c>
      <c r="M254" s="15" t="str">
        <f>VLOOKUP(A254,'Live Plan Data'!I:J,2, False)</f>
        <v>#N/A</v>
      </c>
    </row>
    <row r="255">
      <c r="A255" s="4" t="s">
        <v>13473</v>
      </c>
      <c r="B255" s="4" t="s">
        <v>1320</v>
      </c>
      <c r="C255" s="4">
        <v>50036.0</v>
      </c>
      <c r="D255" s="4" t="s">
        <v>13065</v>
      </c>
      <c r="E255" s="4">
        <v>699.0</v>
      </c>
      <c r="F255" s="4">
        <v>6.0</v>
      </c>
      <c r="G255" s="12" t="s">
        <v>13231</v>
      </c>
      <c r="H255" s="4" t="s">
        <v>13232</v>
      </c>
      <c r="I255" s="4" t="s">
        <v>13191</v>
      </c>
      <c r="J255" s="5"/>
      <c r="K255" s="4" t="s">
        <v>67</v>
      </c>
      <c r="L255" s="4">
        <v>0.0</v>
      </c>
      <c r="M255" s="15" t="str">
        <f>VLOOKUP(A255,'Live Plan Data'!I:J,2, False)</f>
        <v>Active</v>
      </c>
    </row>
    <row r="256">
      <c r="A256" s="4" t="s">
        <v>13474</v>
      </c>
      <c r="B256" s="4" t="s">
        <v>1320</v>
      </c>
      <c r="C256" s="4">
        <v>50036.0</v>
      </c>
      <c r="D256" s="4" t="s">
        <v>13063</v>
      </c>
      <c r="E256" s="4">
        <v>399.0</v>
      </c>
      <c r="F256" s="4">
        <v>3.0</v>
      </c>
      <c r="G256" s="12" t="s">
        <v>13231</v>
      </c>
      <c r="H256" s="4" t="s">
        <v>13232</v>
      </c>
      <c r="I256" s="4" t="s">
        <v>13191</v>
      </c>
      <c r="J256" s="5"/>
      <c r="K256" s="4" t="s">
        <v>67</v>
      </c>
      <c r="L256" s="4">
        <v>0.0</v>
      </c>
      <c r="M256" s="15" t="str">
        <f>VLOOKUP(A256,'Live Plan Data'!I:J,2, False)</f>
        <v>Active</v>
      </c>
    </row>
    <row r="257" hidden="1">
      <c r="A257" s="4" t="s">
        <v>13475</v>
      </c>
      <c r="B257" s="4" t="s">
        <v>2702</v>
      </c>
      <c r="C257" s="4">
        <v>50015.0</v>
      </c>
      <c r="D257" s="4" t="s">
        <v>13058</v>
      </c>
      <c r="E257" s="4">
        <v>149.0</v>
      </c>
      <c r="F257" s="4">
        <v>1.0</v>
      </c>
      <c r="G257" s="12" t="s">
        <v>13253</v>
      </c>
      <c r="H257" s="4" t="s">
        <v>13254</v>
      </c>
      <c r="I257" s="4" t="s">
        <v>13255</v>
      </c>
      <c r="J257" s="5"/>
      <c r="K257" s="4" t="s">
        <v>67</v>
      </c>
      <c r="L257" s="4">
        <v>0.0</v>
      </c>
      <c r="M257" s="15" t="str">
        <f>VLOOKUP(A257,'Live Plan Data'!I:J,2, False)</f>
        <v>#N/A</v>
      </c>
    </row>
    <row r="258" hidden="1">
      <c r="A258" s="4" t="s">
        <v>13476</v>
      </c>
      <c r="B258" s="4" t="s">
        <v>2702</v>
      </c>
      <c r="C258" s="4">
        <v>50015.0</v>
      </c>
      <c r="D258" s="4" t="s">
        <v>13063</v>
      </c>
      <c r="E258" s="4">
        <v>349.0</v>
      </c>
      <c r="F258" s="4">
        <v>3.0</v>
      </c>
      <c r="G258" s="12" t="s">
        <v>13253</v>
      </c>
      <c r="H258" s="4" t="s">
        <v>13254</v>
      </c>
      <c r="I258" s="4" t="s">
        <v>13255</v>
      </c>
      <c r="J258" s="5"/>
      <c r="K258" s="4" t="s">
        <v>67</v>
      </c>
      <c r="L258" s="4">
        <v>0.0</v>
      </c>
      <c r="M258" s="15" t="str">
        <f>VLOOKUP(A258,'Live Plan Data'!I:J,2, False)</f>
        <v>#N/A</v>
      </c>
    </row>
    <row r="259" hidden="1">
      <c r="A259" s="4" t="s">
        <v>13477</v>
      </c>
      <c r="B259" s="4" t="s">
        <v>2702</v>
      </c>
      <c r="C259" s="4">
        <v>50015.0</v>
      </c>
      <c r="D259" s="4" t="s">
        <v>13065</v>
      </c>
      <c r="E259" s="4">
        <v>699.0</v>
      </c>
      <c r="F259" s="4">
        <v>6.0</v>
      </c>
      <c r="G259" s="12" t="s">
        <v>13253</v>
      </c>
      <c r="H259" s="4" t="s">
        <v>13254</v>
      </c>
      <c r="I259" s="4" t="s">
        <v>13255</v>
      </c>
      <c r="J259" s="5"/>
      <c r="K259" s="4" t="s">
        <v>67</v>
      </c>
      <c r="L259" s="4">
        <v>0.0</v>
      </c>
      <c r="M259" s="15" t="str">
        <f>VLOOKUP(A259,'Live Plan Data'!I:J,2, False)</f>
        <v>#N/A</v>
      </c>
    </row>
    <row r="260" hidden="1">
      <c r="A260" s="4" t="s">
        <v>13478</v>
      </c>
      <c r="B260" s="4" t="s">
        <v>2161</v>
      </c>
      <c r="C260" s="4">
        <v>49854.0</v>
      </c>
      <c r="D260" s="4" t="s">
        <v>13058</v>
      </c>
      <c r="E260" s="4">
        <v>599.0</v>
      </c>
      <c r="F260" s="4">
        <v>1.0</v>
      </c>
      <c r="G260" s="12" t="s">
        <v>13236</v>
      </c>
      <c r="H260" s="4" t="s">
        <v>2174</v>
      </c>
      <c r="I260" s="4" t="s">
        <v>6693</v>
      </c>
      <c r="J260" s="5"/>
      <c r="K260" s="4" t="s">
        <v>67</v>
      </c>
      <c r="L260" s="4">
        <v>0.0</v>
      </c>
      <c r="M260" s="15" t="str">
        <f>VLOOKUP(A260,'Live Plan Data'!I:J,2, False)</f>
        <v>#N/A</v>
      </c>
    </row>
    <row r="261" hidden="1">
      <c r="A261" s="4" t="s">
        <v>13479</v>
      </c>
      <c r="B261" s="4" t="s">
        <v>2161</v>
      </c>
      <c r="C261" s="4">
        <v>49854.0</v>
      </c>
      <c r="D261" s="4" t="s">
        <v>13063</v>
      </c>
      <c r="E261" s="4">
        <v>1499.0</v>
      </c>
      <c r="F261" s="4">
        <v>3.0</v>
      </c>
      <c r="G261" s="12" t="s">
        <v>13236</v>
      </c>
      <c r="H261" s="4" t="s">
        <v>2174</v>
      </c>
      <c r="I261" s="4" t="s">
        <v>6693</v>
      </c>
      <c r="J261" s="5"/>
      <c r="K261" s="4" t="s">
        <v>67</v>
      </c>
      <c r="L261" s="4">
        <v>0.0</v>
      </c>
      <c r="M261" s="15" t="str">
        <f>VLOOKUP(A261,'Live Plan Data'!I:J,2, False)</f>
        <v>#N/A</v>
      </c>
    </row>
    <row r="262" hidden="1">
      <c r="A262" s="4" t="s">
        <v>13480</v>
      </c>
      <c r="B262" s="4" t="s">
        <v>2161</v>
      </c>
      <c r="C262" s="4">
        <v>49854.0</v>
      </c>
      <c r="D262" s="4" t="s">
        <v>13063</v>
      </c>
      <c r="E262" s="4">
        <v>349.0</v>
      </c>
      <c r="F262" s="4">
        <v>3.0</v>
      </c>
      <c r="G262" s="12" t="s">
        <v>13455</v>
      </c>
      <c r="H262" s="4" t="s">
        <v>13118</v>
      </c>
      <c r="I262" s="4" t="s">
        <v>6693</v>
      </c>
      <c r="J262" s="5"/>
      <c r="K262" s="4" t="s">
        <v>67</v>
      </c>
      <c r="L262" s="4">
        <v>0.0</v>
      </c>
      <c r="M262" s="15" t="str">
        <f>VLOOKUP(A262,'Live Plan Data'!I:J,2, False)</f>
        <v>#N/A</v>
      </c>
    </row>
    <row r="263" hidden="1">
      <c r="A263" s="4" t="s">
        <v>13481</v>
      </c>
      <c r="B263" s="4" t="s">
        <v>2161</v>
      </c>
      <c r="C263" s="4">
        <v>49854.0</v>
      </c>
      <c r="D263" s="4" t="s">
        <v>13063</v>
      </c>
      <c r="E263" s="4">
        <v>349.0</v>
      </c>
      <c r="F263" s="4">
        <v>3.0</v>
      </c>
      <c r="G263" s="12" t="s">
        <v>13455</v>
      </c>
      <c r="H263" s="4" t="s">
        <v>13118</v>
      </c>
      <c r="I263" s="4" t="s">
        <v>6693</v>
      </c>
      <c r="J263" s="5"/>
      <c r="K263" s="4" t="s">
        <v>67</v>
      </c>
      <c r="L263" s="4">
        <v>0.0</v>
      </c>
      <c r="M263" s="15" t="str">
        <f>VLOOKUP(A263,'Live Plan Data'!I:J,2, False)</f>
        <v>#N/A</v>
      </c>
    </row>
    <row r="264" hidden="1">
      <c r="A264" s="4" t="s">
        <v>13482</v>
      </c>
      <c r="B264" s="4" t="s">
        <v>13454</v>
      </c>
      <c r="C264" s="4">
        <v>49833.0</v>
      </c>
      <c r="D264" s="4" t="s">
        <v>13063</v>
      </c>
      <c r="E264" s="4">
        <v>349.0</v>
      </c>
      <c r="F264" s="4">
        <v>3.0</v>
      </c>
      <c r="G264" s="12" t="s">
        <v>13455</v>
      </c>
      <c r="H264" s="4" t="s">
        <v>13118</v>
      </c>
      <c r="I264" s="4" t="s">
        <v>6693</v>
      </c>
      <c r="J264" s="5"/>
      <c r="K264" s="4" t="s">
        <v>67</v>
      </c>
      <c r="L264" s="4">
        <v>0.0</v>
      </c>
      <c r="M264" s="15" t="str">
        <f>VLOOKUP(A264,'Live Plan Data'!I:J,2, False)</f>
        <v>#N/A</v>
      </c>
    </row>
    <row r="265" hidden="1">
      <c r="A265" s="4" t="s">
        <v>13483</v>
      </c>
      <c r="B265" s="4" t="s">
        <v>13454</v>
      </c>
      <c r="C265" s="4">
        <v>49833.0</v>
      </c>
      <c r="D265" s="4" t="s">
        <v>13058</v>
      </c>
      <c r="E265" s="4">
        <v>199.0</v>
      </c>
      <c r="F265" s="4">
        <v>1.0</v>
      </c>
      <c r="G265" s="12" t="s">
        <v>13455</v>
      </c>
      <c r="H265" s="4" t="s">
        <v>13118</v>
      </c>
      <c r="I265" s="4" t="s">
        <v>6693</v>
      </c>
      <c r="J265" s="5"/>
      <c r="K265" s="4" t="s">
        <v>67</v>
      </c>
      <c r="L265" s="4">
        <v>0.0</v>
      </c>
      <c r="M265" s="15" t="str">
        <f>VLOOKUP(A265,'Live Plan Data'!I:J,2, False)</f>
        <v>#N/A</v>
      </c>
    </row>
    <row r="266" hidden="1">
      <c r="A266" s="4" t="s">
        <v>13484</v>
      </c>
      <c r="B266" s="4" t="s">
        <v>960</v>
      </c>
      <c r="C266" s="4">
        <v>49834.0</v>
      </c>
      <c r="D266" s="4" t="s">
        <v>13063</v>
      </c>
      <c r="E266" s="4">
        <v>199.0</v>
      </c>
      <c r="F266" s="4">
        <v>3.0</v>
      </c>
      <c r="G266" s="12" t="s">
        <v>13098</v>
      </c>
      <c r="H266" s="4" t="s">
        <v>13438</v>
      </c>
      <c r="I266" s="4" t="s">
        <v>6693</v>
      </c>
      <c r="J266" s="5"/>
      <c r="K266" s="4" t="s">
        <v>67</v>
      </c>
      <c r="L266" s="4">
        <v>0.0</v>
      </c>
      <c r="M266" s="15" t="str">
        <f>VLOOKUP(A266,'Live Plan Data'!I:J,2, False)</f>
        <v>#N/A</v>
      </c>
    </row>
    <row r="267" hidden="1">
      <c r="A267" s="4" t="s">
        <v>13485</v>
      </c>
      <c r="B267" s="4" t="s">
        <v>960</v>
      </c>
      <c r="C267" s="4">
        <v>49834.0</v>
      </c>
      <c r="D267" s="4" t="s">
        <v>13063</v>
      </c>
      <c r="E267" s="4">
        <v>199.0</v>
      </c>
      <c r="F267" s="4">
        <v>3.0</v>
      </c>
      <c r="G267" s="12" t="s">
        <v>13098</v>
      </c>
      <c r="H267" s="4" t="s">
        <v>13438</v>
      </c>
      <c r="I267" s="4" t="s">
        <v>6693</v>
      </c>
      <c r="J267" s="5"/>
      <c r="K267" s="4" t="s">
        <v>67</v>
      </c>
      <c r="L267" s="4">
        <v>0.0</v>
      </c>
      <c r="M267" s="15" t="str">
        <f>VLOOKUP(A267,'Live Plan Data'!I:J,2, False)</f>
        <v>#N/A</v>
      </c>
    </row>
    <row r="268" hidden="1">
      <c r="A268" s="4" t="s">
        <v>13486</v>
      </c>
      <c r="B268" s="4" t="s">
        <v>960</v>
      </c>
      <c r="C268" s="4">
        <v>49834.0</v>
      </c>
      <c r="D268" s="4" t="s">
        <v>13065</v>
      </c>
      <c r="E268" s="4">
        <v>349.0</v>
      </c>
      <c r="F268" s="4">
        <v>6.0</v>
      </c>
      <c r="G268" s="12" t="s">
        <v>13098</v>
      </c>
      <c r="H268" s="4" t="s">
        <v>13438</v>
      </c>
      <c r="I268" s="4" t="s">
        <v>6693</v>
      </c>
      <c r="J268" s="5"/>
      <c r="K268" s="4" t="s">
        <v>67</v>
      </c>
      <c r="L268" s="4">
        <v>0.0</v>
      </c>
      <c r="M268" s="15" t="str">
        <f>VLOOKUP(A268,'Live Plan Data'!I:J,2, False)</f>
        <v>#N/A</v>
      </c>
    </row>
    <row r="269" hidden="1">
      <c r="A269" s="4" t="s">
        <v>13487</v>
      </c>
      <c r="B269" s="4" t="s">
        <v>13454</v>
      </c>
      <c r="C269" s="4">
        <v>49833.0</v>
      </c>
      <c r="D269" s="4" t="s">
        <v>13065</v>
      </c>
      <c r="E269" s="4">
        <v>349.0</v>
      </c>
      <c r="F269" s="4">
        <v>6.0</v>
      </c>
      <c r="G269" s="12" t="s">
        <v>13455</v>
      </c>
      <c r="H269" s="4" t="s">
        <v>13118</v>
      </c>
      <c r="I269" s="4" t="s">
        <v>6693</v>
      </c>
      <c r="J269" s="5"/>
      <c r="K269" s="4" t="s">
        <v>67</v>
      </c>
      <c r="L269" s="4">
        <v>0.0</v>
      </c>
      <c r="M269" s="15" t="str">
        <f>VLOOKUP(A269,'Live Plan Data'!I:J,2, False)</f>
        <v>#N/A</v>
      </c>
    </row>
    <row r="270" hidden="1">
      <c r="A270" s="4" t="s">
        <v>13488</v>
      </c>
      <c r="B270" s="4" t="s">
        <v>13454</v>
      </c>
      <c r="C270" s="4">
        <v>49833.0</v>
      </c>
      <c r="D270" s="4" t="s">
        <v>13065</v>
      </c>
      <c r="E270" s="4">
        <v>349.0</v>
      </c>
      <c r="F270" s="4">
        <v>6.0</v>
      </c>
      <c r="G270" s="12" t="s">
        <v>13455</v>
      </c>
      <c r="H270" s="4" t="s">
        <v>13118</v>
      </c>
      <c r="I270" s="4" t="s">
        <v>6693</v>
      </c>
      <c r="J270" s="5"/>
      <c r="K270" s="4" t="s">
        <v>67</v>
      </c>
      <c r="L270" s="4">
        <v>0.0</v>
      </c>
      <c r="M270" s="15" t="str">
        <f>VLOOKUP(A270,'Live Plan Data'!I:J,2, False)</f>
        <v>#N/A</v>
      </c>
    </row>
    <row r="271" hidden="1">
      <c r="A271" s="4" t="s">
        <v>13489</v>
      </c>
      <c r="B271" s="4" t="s">
        <v>13454</v>
      </c>
      <c r="C271" s="4">
        <v>49833.0</v>
      </c>
      <c r="D271" s="4" t="s">
        <v>13063</v>
      </c>
      <c r="E271" s="4">
        <v>199.0</v>
      </c>
      <c r="F271" s="4">
        <v>3.0</v>
      </c>
      <c r="G271" s="12" t="s">
        <v>13455</v>
      </c>
      <c r="H271" s="4" t="s">
        <v>13118</v>
      </c>
      <c r="I271" s="4" t="s">
        <v>6693</v>
      </c>
      <c r="J271" s="5"/>
      <c r="K271" s="4" t="s">
        <v>67</v>
      </c>
      <c r="L271" s="4">
        <v>0.0</v>
      </c>
      <c r="M271" s="15" t="str">
        <f>VLOOKUP(A271,'Live Plan Data'!I:J,2, False)</f>
        <v>#N/A</v>
      </c>
    </row>
    <row r="272" hidden="1">
      <c r="A272" s="4" t="s">
        <v>13490</v>
      </c>
      <c r="B272" s="4" t="s">
        <v>885</v>
      </c>
      <c r="C272" s="4">
        <v>49844.0</v>
      </c>
      <c r="D272" s="4" t="s">
        <v>13063</v>
      </c>
      <c r="E272" s="4">
        <v>199.0</v>
      </c>
      <c r="F272" s="4">
        <v>3.0</v>
      </c>
      <c r="G272" s="12" t="s">
        <v>13165</v>
      </c>
      <c r="H272" s="4" t="s">
        <v>13166</v>
      </c>
      <c r="I272" s="4" t="s">
        <v>6693</v>
      </c>
      <c r="J272" s="5"/>
      <c r="K272" s="4" t="s">
        <v>67</v>
      </c>
      <c r="L272" s="4">
        <v>0.0</v>
      </c>
      <c r="M272" s="15" t="str">
        <f>VLOOKUP(A272,'Live Plan Data'!I:J,2, False)</f>
        <v>#N/A</v>
      </c>
    </row>
    <row r="273" hidden="1">
      <c r="A273" s="4" t="s">
        <v>13491</v>
      </c>
      <c r="B273" s="4" t="s">
        <v>885</v>
      </c>
      <c r="C273" s="4">
        <v>49844.0</v>
      </c>
      <c r="D273" s="4" t="s">
        <v>13063</v>
      </c>
      <c r="E273" s="4">
        <v>199.0</v>
      </c>
      <c r="F273" s="4">
        <v>3.0</v>
      </c>
      <c r="G273" s="12" t="s">
        <v>13165</v>
      </c>
      <c r="H273" s="4" t="s">
        <v>13166</v>
      </c>
      <c r="I273" s="4" t="s">
        <v>6693</v>
      </c>
      <c r="J273" s="5"/>
      <c r="K273" s="4" t="s">
        <v>67</v>
      </c>
      <c r="L273" s="4">
        <v>0.0</v>
      </c>
      <c r="M273" s="15" t="str">
        <f>VLOOKUP(A273,'Live Plan Data'!I:J,2, False)</f>
        <v>#N/A</v>
      </c>
    </row>
    <row r="274" hidden="1">
      <c r="A274" s="4" t="s">
        <v>13492</v>
      </c>
      <c r="B274" s="4" t="s">
        <v>885</v>
      </c>
      <c r="C274" s="4">
        <v>49844.0</v>
      </c>
      <c r="D274" s="4" t="s">
        <v>13065</v>
      </c>
      <c r="E274" s="4">
        <v>349.0</v>
      </c>
      <c r="F274" s="4">
        <v>6.0</v>
      </c>
      <c r="G274" s="12" t="s">
        <v>13165</v>
      </c>
      <c r="H274" s="4" t="s">
        <v>13166</v>
      </c>
      <c r="I274" s="4" t="s">
        <v>6693</v>
      </c>
      <c r="J274" s="5"/>
      <c r="K274" s="4" t="s">
        <v>67</v>
      </c>
      <c r="L274" s="4">
        <v>0.0</v>
      </c>
      <c r="M274" s="15" t="str">
        <f>VLOOKUP(A274,'Live Plan Data'!I:J,2, False)</f>
        <v>#N/A</v>
      </c>
    </row>
    <row r="275" hidden="1">
      <c r="A275" s="4" t="s">
        <v>13493</v>
      </c>
      <c r="B275" s="4" t="s">
        <v>12739</v>
      </c>
      <c r="C275" s="4">
        <v>50082.0</v>
      </c>
      <c r="D275" s="4" t="s">
        <v>13058</v>
      </c>
      <c r="E275" s="4">
        <v>149.0</v>
      </c>
      <c r="F275" s="4">
        <v>1.0</v>
      </c>
      <c r="G275" s="12" t="s">
        <v>13494</v>
      </c>
      <c r="H275" s="4" t="s">
        <v>13495</v>
      </c>
      <c r="I275" s="4" t="s">
        <v>13191</v>
      </c>
      <c r="J275" s="5"/>
      <c r="K275" s="4" t="s">
        <v>67</v>
      </c>
      <c r="L275" s="4">
        <v>0.0</v>
      </c>
      <c r="M275" s="15" t="str">
        <f>VLOOKUP(A275,'Live Plan Data'!I:J,2, False)</f>
        <v>#N/A</v>
      </c>
    </row>
    <row r="276" hidden="1">
      <c r="A276" s="4" t="s">
        <v>13496</v>
      </c>
      <c r="B276" s="4" t="s">
        <v>12739</v>
      </c>
      <c r="C276" s="4">
        <v>50082.0</v>
      </c>
      <c r="D276" s="4" t="s">
        <v>13063</v>
      </c>
      <c r="E276" s="4">
        <v>299.0</v>
      </c>
      <c r="F276" s="4">
        <v>3.0</v>
      </c>
      <c r="G276" s="12" t="s">
        <v>13494</v>
      </c>
      <c r="H276" s="4" t="s">
        <v>13495</v>
      </c>
      <c r="I276" s="4" t="s">
        <v>13191</v>
      </c>
      <c r="J276" s="5"/>
      <c r="K276" s="4" t="s">
        <v>67</v>
      </c>
      <c r="L276" s="4">
        <v>0.0</v>
      </c>
      <c r="M276" s="15" t="str">
        <f>VLOOKUP(A276,'Live Plan Data'!I:J,2, False)</f>
        <v>#N/A</v>
      </c>
    </row>
    <row r="277" hidden="1">
      <c r="A277" s="4" t="s">
        <v>13497</v>
      </c>
      <c r="B277" s="4" t="s">
        <v>12739</v>
      </c>
      <c r="C277" s="4">
        <v>50082.0</v>
      </c>
      <c r="D277" s="4" t="s">
        <v>13063</v>
      </c>
      <c r="E277" s="4">
        <v>299.0</v>
      </c>
      <c r="F277" s="4">
        <v>3.0</v>
      </c>
      <c r="G277" s="12" t="s">
        <v>13494</v>
      </c>
      <c r="H277" s="4" t="s">
        <v>13495</v>
      </c>
      <c r="I277" s="4" t="s">
        <v>13191</v>
      </c>
      <c r="J277" s="5"/>
      <c r="K277" s="4" t="s">
        <v>67</v>
      </c>
      <c r="L277" s="4">
        <v>0.0</v>
      </c>
      <c r="M277" s="15" t="str">
        <f>VLOOKUP(A277,'Live Plan Data'!I:J,2, False)</f>
        <v>#N/A</v>
      </c>
    </row>
    <row r="278" hidden="1">
      <c r="A278" s="4" t="s">
        <v>13498</v>
      </c>
      <c r="B278" s="4" t="s">
        <v>12739</v>
      </c>
      <c r="C278" s="4">
        <v>50082.0</v>
      </c>
      <c r="D278" s="4" t="s">
        <v>13065</v>
      </c>
      <c r="E278" s="4">
        <v>599.0</v>
      </c>
      <c r="F278" s="4">
        <v>6.0</v>
      </c>
      <c r="G278" s="12" t="s">
        <v>13494</v>
      </c>
      <c r="H278" s="4" t="s">
        <v>13495</v>
      </c>
      <c r="I278" s="4" t="s">
        <v>13191</v>
      </c>
      <c r="J278" s="5"/>
      <c r="K278" s="4" t="s">
        <v>67</v>
      </c>
      <c r="L278" s="4">
        <v>0.0</v>
      </c>
      <c r="M278" s="15" t="str">
        <f>VLOOKUP(A278,'Live Plan Data'!I:J,2, False)</f>
        <v>#N/A</v>
      </c>
    </row>
    <row r="279" hidden="1">
      <c r="A279" s="4" t="s">
        <v>13499</v>
      </c>
      <c r="B279" s="4" t="s">
        <v>6466</v>
      </c>
      <c r="C279" s="4">
        <v>50073.0</v>
      </c>
      <c r="D279" s="4" t="s">
        <v>13058</v>
      </c>
      <c r="E279" s="4">
        <v>599.0</v>
      </c>
      <c r="F279" s="4">
        <v>1.0</v>
      </c>
      <c r="G279" s="12" t="s">
        <v>13500</v>
      </c>
      <c r="H279" s="4" t="s">
        <v>13501</v>
      </c>
      <c r="I279" s="4" t="s">
        <v>13255</v>
      </c>
      <c r="J279" s="5"/>
      <c r="K279" s="4" t="s">
        <v>67</v>
      </c>
      <c r="L279" s="4">
        <v>0.0</v>
      </c>
      <c r="M279" s="15" t="str">
        <f>VLOOKUP(A279,'Live Plan Data'!I:J,2, False)</f>
        <v>#N/A</v>
      </c>
    </row>
    <row r="280" hidden="1">
      <c r="A280" s="4" t="s">
        <v>13502</v>
      </c>
      <c r="B280" s="4" t="s">
        <v>6466</v>
      </c>
      <c r="C280" s="4">
        <v>50073.0</v>
      </c>
      <c r="D280" s="4" t="s">
        <v>13063</v>
      </c>
      <c r="E280" s="4">
        <v>1499.0</v>
      </c>
      <c r="F280" s="4">
        <v>3.0</v>
      </c>
      <c r="G280" s="12" t="s">
        <v>13500</v>
      </c>
      <c r="H280" s="4" t="s">
        <v>13501</v>
      </c>
      <c r="I280" s="4" t="s">
        <v>13255</v>
      </c>
      <c r="J280" s="5"/>
      <c r="K280" s="4" t="s">
        <v>67</v>
      </c>
      <c r="L280" s="4">
        <v>0.0</v>
      </c>
      <c r="M280" s="15" t="str">
        <f>VLOOKUP(A280,'Live Plan Data'!I:J,2, False)</f>
        <v>#N/A</v>
      </c>
    </row>
    <row r="281" hidden="1">
      <c r="A281" s="4" t="s">
        <v>13503</v>
      </c>
      <c r="B281" s="4" t="s">
        <v>5114</v>
      </c>
      <c r="C281" s="4">
        <v>49813.0</v>
      </c>
      <c r="D281" s="4" t="s">
        <v>13058</v>
      </c>
      <c r="E281" s="4">
        <v>299.0</v>
      </c>
      <c r="F281" s="4">
        <v>1.0</v>
      </c>
      <c r="G281" s="12" t="s">
        <v>13156</v>
      </c>
      <c r="H281" s="4" t="s">
        <v>13157</v>
      </c>
      <c r="I281" s="4" t="s">
        <v>13255</v>
      </c>
      <c r="J281" s="5"/>
      <c r="K281" s="4" t="s">
        <v>67</v>
      </c>
      <c r="L281" s="4">
        <v>0.0</v>
      </c>
      <c r="M281" s="15" t="str">
        <f>VLOOKUP(A281,'Live Plan Data'!I:J,2, False)</f>
        <v>#N/A</v>
      </c>
    </row>
    <row r="282">
      <c r="A282" s="4" t="s">
        <v>13504</v>
      </c>
      <c r="B282" s="4" t="s">
        <v>5114</v>
      </c>
      <c r="C282" s="4">
        <v>49813.0</v>
      </c>
      <c r="D282" s="4" t="s">
        <v>13063</v>
      </c>
      <c r="E282" s="4">
        <v>499.0</v>
      </c>
      <c r="F282" s="4">
        <v>3.0</v>
      </c>
      <c r="G282" s="12" t="s">
        <v>13156</v>
      </c>
      <c r="H282" s="4" t="s">
        <v>13157</v>
      </c>
      <c r="I282" s="4" t="s">
        <v>13255</v>
      </c>
      <c r="J282" s="5"/>
      <c r="K282" s="4" t="s">
        <v>67</v>
      </c>
      <c r="L282" s="4">
        <v>0.0</v>
      </c>
      <c r="M282" s="15" t="str">
        <f>VLOOKUP(A282,'Live Plan Data'!I:J,2, False)</f>
        <v>Active</v>
      </c>
    </row>
    <row r="283">
      <c r="A283" s="4" t="s">
        <v>13505</v>
      </c>
      <c r="B283" s="4" t="s">
        <v>5114</v>
      </c>
      <c r="C283" s="4">
        <v>49813.0</v>
      </c>
      <c r="D283" s="4" t="s">
        <v>13065</v>
      </c>
      <c r="E283" s="4">
        <v>799.0</v>
      </c>
      <c r="F283" s="4">
        <v>6.0</v>
      </c>
      <c r="G283" s="12" t="s">
        <v>13156</v>
      </c>
      <c r="H283" s="4" t="s">
        <v>13157</v>
      </c>
      <c r="I283" s="4" t="s">
        <v>13255</v>
      </c>
      <c r="J283" s="5"/>
      <c r="K283" s="4" t="s">
        <v>67</v>
      </c>
      <c r="L283" s="4">
        <v>0.0</v>
      </c>
      <c r="M283" s="15" t="str">
        <f>VLOOKUP(A283,'Live Plan Data'!I:J,2, False)</f>
        <v>Active</v>
      </c>
    </row>
    <row r="284" hidden="1">
      <c r="A284" s="4" t="s">
        <v>13506</v>
      </c>
      <c r="B284" s="4" t="s">
        <v>4030</v>
      </c>
      <c r="C284" s="4">
        <v>49833.0</v>
      </c>
      <c r="D284" s="4" t="s">
        <v>13063</v>
      </c>
      <c r="E284" s="4">
        <v>199.0</v>
      </c>
      <c r="F284" s="4">
        <v>3.0</v>
      </c>
      <c r="G284" s="12" t="s">
        <v>13455</v>
      </c>
      <c r="H284" s="4" t="s">
        <v>13456</v>
      </c>
      <c r="I284" s="4" t="s">
        <v>13255</v>
      </c>
      <c r="J284" s="5"/>
      <c r="K284" s="4" t="s">
        <v>67</v>
      </c>
      <c r="L284" s="4">
        <v>0.0</v>
      </c>
      <c r="M284" s="15" t="str">
        <f>VLOOKUP(A284,'Live Plan Data'!I:J,2, False)</f>
        <v>#N/A</v>
      </c>
    </row>
    <row r="285" hidden="1">
      <c r="A285" s="4" t="s">
        <v>13507</v>
      </c>
      <c r="B285" s="4" t="s">
        <v>4030</v>
      </c>
      <c r="C285" s="4">
        <v>49833.0</v>
      </c>
      <c r="D285" s="4" t="s">
        <v>13065</v>
      </c>
      <c r="E285" s="4">
        <v>349.0</v>
      </c>
      <c r="F285" s="4">
        <v>6.0</v>
      </c>
      <c r="G285" s="12" t="s">
        <v>13455</v>
      </c>
      <c r="H285" s="4" t="s">
        <v>13456</v>
      </c>
      <c r="I285" s="4" t="s">
        <v>13255</v>
      </c>
      <c r="J285" s="5"/>
      <c r="K285" s="4" t="s">
        <v>67</v>
      </c>
      <c r="L285" s="4">
        <v>0.0</v>
      </c>
      <c r="M285" s="15" t="str">
        <f>VLOOKUP(A285,'Live Plan Data'!I:J,2, False)</f>
        <v>#N/A</v>
      </c>
    </row>
    <row r="286" hidden="1">
      <c r="A286" s="4" t="s">
        <v>13508</v>
      </c>
      <c r="B286" s="4" t="s">
        <v>4030</v>
      </c>
      <c r="C286" s="4">
        <v>49833.0</v>
      </c>
      <c r="D286" s="4" t="s">
        <v>13065</v>
      </c>
      <c r="E286" s="4">
        <v>349.0</v>
      </c>
      <c r="F286" s="4">
        <v>6.0</v>
      </c>
      <c r="G286" s="12" t="s">
        <v>13455</v>
      </c>
      <c r="H286" s="4" t="s">
        <v>13456</v>
      </c>
      <c r="I286" s="4" t="s">
        <v>13255</v>
      </c>
      <c r="J286" s="5"/>
      <c r="K286" s="4" t="s">
        <v>67</v>
      </c>
      <c r="L286" s="4">
        <v>0.0</v>
      </c>
      <c r="M286" s="15" t="str">
        <f>VLOOKUP(A286,'Live Plan Data'!I:J,2, False)</f>
        <v>#N/A</v>
      </c>
    </row>
    <row r="287" hidden="1">
      <c r="A287" s="4" t="s">
        <v>13509</v>
      </c>
      <c r="B287" s="4" t="s">
        <v>4030</v>
      </c>
      <c r="C287" s="4">
        <v>49833.0</v>
      </c>
      <c r="D287" s="4" t="s">
        <v>13210</v>
      </c>
      <c r="E287" s="4">
        <v>599.0</v>
      </c>
      <c r="F287" s="4">
        <v>12.0</v>
      </c>
      <c r="G287" s="12" t="s">
        <v>13455</v>
      </c>
      <c r="H287" s="4" t="s">
        <v>13456</v>
      </c>
      <c r="I287" s="4" t="s">
        <v>13255</v>
      </c>
      <c r="J287" s="5"/>
      <c r="K287" s="4" t="s">
        <v>67</v>
      </c>
      <c r="L287" s="4">
        <v>0.0</v>
      </c>
      <c r="M287" s="15" t="str">
        <f>VLOOKUP(A287,'Live Plan Data'!I:J,2, False)</f>
        <v>#N/A</v>
      </c>
    </row>
    <row r="288" hidden="1">
      <c r="A288" s="4" t="s">
        <v>13510</v>
      </c>
      <c r="B288" s="4" t="s">
        <v>12924</v>
      </c>
      <c r="C288" s="4">
        <v>50083.0</v>
      </c>
      <c r="D288" s="4" t="s">
        <v>13058</v>
      </c>
      <c r="E288" s="4">
        <v>799.0</v>
      </c>
      <c r="F288" s="4">
        <v>1.0</v>
      </c>
      <c r="G288" s="12" t="s">
        <v>13511</v>
      </c>
      <c r="H288" s="4" t="s">
        <v>13512</v>
      </c>
      <c r="I288" s="4" t="s">
        <v>13191</v>
      </c>
      <c r="J288" s="5"/>
      <c r="K288" s="4" t="s">
        <v>67</v>
      </c>
      <c r="L288" s="4">
        <v>1099.0</v>
      </c>
      <c r="M288" s="15" t="str">
        <f>VLOOKUP(A288,'Live Plan Data'!I:J,2, False)</f>
        <v>#N/A</v>
      </c>
    </row>
    <row r="289">
      <c r="A289" s="4" t="s">
        <v>13513</v>
      </c>
      <c r="B289" s="4" t="s">
        <v>12924</v>
      </c>
      <c r="C289" s="4">
        <v>50083.0</v>
      </c>
      <c r="D289" s="4" t="s">
        <v>13058</v>
      </c>
      <c r="E289" s="4">
        <v>799.0</v>
      </c>
      <c r="F289" s="4">
        <v>1.0</v>
      </c>
      <c r="G289" s="12" t="s">
        <v>13511</v>
      </c>
      <c r="H289" s="4" t="s">
        <v>13512</v>
      </c>
      <c r="I289" s="4" t="s">
        <v>13191</v>
      </c>
      <c r="J289" s="5"/>
      <c r="K289" s="4" t="s">
        <v>67</v>
      </c>
      <c r="L289" s="4">
        <v>1099.0</v>
      </c>
      <c r="M289" s="15" t="str">
        <f>VLOOKUP(A289,'Live Plan Data'!I:J,2, False)</f>
        <v>Active</v>
      </c>
    </row>
    <row r="290">
      <c r="A290" s="4" t="s">
        <v>13514</v>
      </c>
      <c r="B290" s="4" t="s">
        <v>12924</v>
      </c>
      <c r="C290" s="4">
        <v>50083.0</v>
      </c>
      <c r="D290" s="4" t="s">
        <v>13063</v>
      </c>
      <c r="E290" s="4">
        <v>499.0</v>
      </c>
      <c r="F290" s="4">
        <v>3.0</v>
      </c>
      <c r="G290" s="12" t="s">
        <v>13511</v>
      </c>
      <c r="H290" s="4" t="s">
        <v>13512</v>
      </c>
      <c r="I290" s="4" t="s">
        <v>13191</v>
      </c>
      <c r="J290" s="5"/>
      <c r="K290" s="4" t="s">
        <v>67</v>
      </c>
      <c r="L290" s="4">
        <v>699.0</v>
      </c>
      <c r="M290" s="15" t="str">
        <f>VLOOKUP(A290,'Live Plan Data'!I:J,2, False)</f>
        <v>Active</v>
      </c>
    </row>
    <row r="291">
      <c r="A291" s="4" t="s">
        <v>13515</v>
      </c>
      <c r="B291" s="4" t="s">
        <v>13516</v>
      </c>
      <c r="C291" s="4">
        <v>12345.0</v>
      </c>
      <c r="D291" s="4" t="s">
        <v>13058</v>
      </c>
      <c r="E291" s="4">
        <v>99.0</v>
      </c>
      <c r="F291" s="4">
        <v>1.0</v>
      </c>
      <c r="G291" s="12" t="s">
        <v>13331</v>
      </c>
      <c r="H291" s="4" t="s">
        <v>2458</v>
      </c>
      <c r="I291" s="4" t="s">
        <v>13517</v>
      </c>
      <c r="J291" s="4" t="s">
        <v>13518</v>
      </c>
      <c r="K291" s="4" t="s">
        <v>67</v>
      </c>
      <c r="L291" s="4">
        <v>100.0</v>
      </c>
      <c r="M291" s="15" t="str">
        <f>VLOOKUP(A291,'Live Plan Data'!I:J,2, False)</f>
        <v>Active</v>
      </c>
    </row>
    <row r="292">
      <c r="A292" s="4" t="s">
        <v>13519</v>
      </c>
      <c r="B292" s="4" t="s">
        <v>6689</v>
      </c>
      <c r="C292" s="4">
        <v>50058.0</v>
      </c>
      <c r="D292" s="4" t="s">
        <v>13058</v>
      </c>
      <c r="E292" s="4">
        <v>599.0</v>
      </c>
      <c r="F292" s="4">
        <v>1.0</v>
      </c>
      <c r="G292" s="12" t="s">
        <v>13520</v>
      </c>
      <c r="H292" s="4" t="s">
        <v>13521</v>
      </c>
      <c r="I292" s="4" t="s">
        <v>13255</v>
      </c>
      <c r="J292" s="5"/>
      <c r="K292" s="4" t="s">
        <v>67</v>
      </c>
      <c r="L292" s="4">
        <v>0.0</v>
      </c>
      <c r="M292" s="15" t="str">
        <f>VLOOKUP(A292,'Live Plan Data'!I:J,2, False)</f>
        <v>Active</v>
      </c>
    </row>
    <row r="293">
      <c r="A293" s="4" t="s">
        <v>13522</v>
      </c>
      <c r="B293" s="4" t="s">
        <v>6689</v>
      </c>
      <c r="C293" s="4">
        <v>50058.0</v>
      </c>
      <c r="D293" s="4" t="s">
        <v>13063</v>
      </c>
      <c r="E293" s="4">
        <v>999.0</v>
      </c>
      <c r="F293" s="4">
        <v>3.0</v>
      </c>
      <c r="G293" s="12" t="s">
        <v>13520</v>
      </c>
      <c r="H293" s="4" t="s">
        <v>13521</v>
      </c>
      <c r="I293" s="4" t="s">
        <v>13255</v>
      </c>
      <c r="J293" s="5"/>
      <c r="K293" s="4" t="s">
        <v>67</v>
      </c>
      <c r="L293" s="4">
        <v>0.0</v>
      </c>
      <c r="M293" s="15" t="str">
        <f>VLOOKUP(A293,'Live Plan Data'!I:J,2, False)</f>
        <v>Active</v>
      </c>
    </row>
    <row r="294" hidden="1">
      <c r="A294" s="4" t="s">
        <v>13523</v>
      </c>
      <c r="B294" s="4" t="s">
        <v>4281</v>
      </c>
      <c r="C294" s="4">
        <v>50079.0</v>
      </c>
      <c r="D294" s="4" t="s">
        <v>13058</v>
      </c>
      <c r="E294" s="4">
        <v>99.0</v>
      </c>
      <c r="F294" s="4">
        <v>1.0</v>
      </c>
      <c r="G294" s="12" t="s">
        <v>13524</v>
      </c>
      <c r="H294" s="4" t="s">
        <v>13525</v>
      </c>
      <c r="I294" s="4" t="s">
        <v>13526</v>
      </c>
      <c r="J294" s="5"/>
      <c r="K294" s="4" t="s">
        <v>67</v>
      </c>
      <c r="L294" s="4">
        <v>0.0</v>
      </c>
      <c r="M294" s="15" t="str">
        <f>VLOOKUP(A294,'Live Plan Data'!I:J,2, False)</f>
        <v>#N/A</v>
      </c>
    </row>
    <row r="295" hidden="1">
      <c r="A295" s="4" t="s">
        <v>13527</v>
      </c>
      <c r="B295" s="4" t="s">
        <v>4281</v>
      </c>
      <c r="C295" s="4">
        <v>50079.0</v>
      </c>
      <c r="D295" s="4" t="s">
        <v>13058</v>
      </c>
      <c r="E295" s="4">
        <v>99.0</v>
      </c>
      <c r="F295" s="4">
        <v>1.0</v>
      </c>
      <c r="G295" s="12" t="s">
        <v>13524</v>
      </c>
      <c r="H295" s="4" t="s">
        <v>13525</v>
      </c>
      <c r="I295" s="4" t="s">
        <v>13526</v>
      </c>
      <c r="J295" s="5"/>
      <c r="K295" s="4" t="s">
        <v>67</v>
      </c>
      <c r="L295" s="4">
        <v>0.0</v>
      </c>
      <c r="M295" s="15" t="str">
        <f>VLOOKUP(A295,'Live Plan Data'!I:J,2, False)</f>
        <v>#N/A</v>
      </c>
    </row>
    <row r="296" hidden="1">
      <c r="A296" s="4" t="s">
        <v>13528</v>
      </c>
      <c r="B296" s="4" t="s">
        <v>12739</v>
      </c>
      <c r="C296" s="4">
        <v>50082.0</v>
      </c>
      <c r="D296" s="4" t="s">
        <v>13058</v>
      </c>
      <c r="E296" s="4">
        <v>2999.0</v>
      </c>
      <c r="F296" s="4">
        <v>1.0</v>
      </c>
      <c r="G296" s="12" t="s">
        <v>13494</v>
      </c>
      <c r="H296" s="4" t="s">
        <v>13495</v>
      </c>
      <c r="I296" s="4" t="s">
        <v>13191</v>
      </c>
      <c r="J296" s="5"/>
      <c r="K296" s="4" t="s">
        <v>67</v>
      </c>
      <c r="L296" s="4">
        <v>0.0</v>
      </c>
      <c r="M296" s="15" t="str">
        <f>VLOOKUP(A296,'Live Plan Data'!I:J,2, False)</f>
        <v>#N/A</v>
      </c>
    </row>
    <row r="297">
      <c r="A297" s="4" t="s">
        <v>13529</v>
      </c>
      <c r="B297" s="4" t="s">
        <v>12739</v>
      </c>
      <c r="C297" s="4">
        <v>50082.0</v>
      </c>
      <c r="D297" s="4" t="s">
        <v>13058</v>
      </c>
      <c r="E297" s="4">
        <v>2999.0</v>
      </c>
      <c r="F297" s="4">
        <v>1.0</v>
      </c>
      <c r="G297" s="12" t="s">
        <v>13494</v>
      </c>
      <c r="H297" s="4" t="s">
        <v>13495</v>
      </c>
      <c r="I297" s="4" t="s">
        <v>13191</v>
      </c>
      <c r="J297" s="5"/>
      <c r="K297" s="4" t="s">
        <v>67</v>
      </c>
      <c r="L297" s="4">
        <v>0.0</v>
      </c>
      <c r="M297" s="15" t="str">
        <f>VLOOKUP(A297,'Live Plan Data'!I:J,2, False)</f>
        <v>Active</v>
      </c>
    </row>
    <row r="298" hidden="1">
      <c r="A298" s="4" t="s">
        <v>13530</v>
      </c>
      <c r="B298" s="4" t="s">
        <v>12739</v>
      </c>
      <c r="C298" s="4">
        <v>50082.0</v>
      </c>
      <c r="D298" s="4" t="s">
        <v>13063</v>
      </c>
      <c r="E298" s="4">
        <v>4999.0</v>
      </c>
      <c r="F298" s="4">
        <v>3.0</v>
      </c>
      <c r="G298" s="12" t="s">
        <v>13494</v>
      </c>
      <c r="H298" s="4" t="s">
        <v>13495</v>
      </c>
      <c r="I298" s="4" t="s">
        <v>13191</v>
      </c>
      <c r="J298" s="5"/>
      <c r="K298" s="4" t="s">
        <v>67</v>
      </c>
      <c r="L298" s="4">
        <v>0.0</v>
      </c>
      <c r="M298" s="15" t="str">
        <f>VLOOKUP(A298,'Live Plan Data'!I:J,2, False)</f>
        <v>#N/A</v>
      </c>
    </row>
    <row r="299">
      <c r="A299" s="4" t="s">
        <v>13531</v>
      </c>
      <c r="B299" s="4" t="s">
        <v>12739</v>
      </c>
      <c r="C299" s="4">
        <v>50082.0</v>
      </c>
      <c r="D299" s="4" t="s">
        <v>13063</v>
      </c>
      <c r="E299" s="4">
        <v>4999.0</v>
      </c>
      <c r="F299" s="4">
        <v>3.0</v>
      </c>
      <c r="G299" s="12" t="s">
        <v>13494</v>
      </c>
      <c r="H299" s="4" t="s">
        <v>13495</v>
      </c>
      <c r="I299" s="4" t="s">
        <v>13191</v>
      </c>
      <c r="J299" s="5"/>
      <c r="K299" s="4" t="s">
        <v>67</v>
      </c>
      <c r="L299" s="4">
        <v>0.0</v>
      </c>
      <c r="M299" s="15" t="str">
        <f>VLOOKUP(A299,'Live Plan Data'!I:J,2, False)</f>
        <v>Active</v>
      </c>
    </row>
    <row r="300" hidden="1">
      <c r="A300" s="4" t="s">
        <v>13532</v>
      </c>
      <c r="B300" s="4" t="s">
        <v>12739</v>
      </c>
      <c r="C300" s="4">
        <v>50082.0</v>
      </c>
      <c r="D300" s="4" t="s">
        <v>13210</v>
      </c>
      <c r="E300" s="4">
        <v>11999.0</v>
      </c>
      <c r="F300" s="4">
        <v>12.0</v>
      </c>
      <c r="G300" s="12" t="s">
        <v>13494</v>
      </c>
      <c r="H300" s="4" t="s">
        <v>13495</v>
      </c>
      <c r="I300" s="4" t="s">
        <v>13191</v>
      </c>
      <c r="J300" s="5"/>
      <c r="K300" s="4" t="s">
        <v>67</v>
      </c>
      <c r="L300" s="4">
        <v>0.0</v>
      </c>
      <c r="M300" s="15" t="str">
        <f>VLOOKUP(A300,'Live Plan Data'!I:J,2, False)</f>
        <v>#N/A</v>
      </c>
    </row>
    <row r="301">
      <c r="A301" s="4" t="s">
        <v>13533</v>
      </c>
      <c r="B301" s="4" t="s">
        <v>12739</v>
      </c>
      <c r="C301" s="4">
        <v>50082.0</v>
      </c>
      <c r="D301" s="4" t="s">
        <v>13210</v>
      </c>
      <c r="E301" s="4">
        <v>11999.0</v>
      </c>
      <c r="F301" s="4">
        <v>12.0</v>
      </c>
      <c r="G301" s="12" t="s">
        <v>13494</v>
      </c>
      <c r="H301" s="4" t="s">
        <v>13495</v>
      </c>
      <c r="I301" s="4" t="s">
        <v>13191</v>
      </c>
      <c r="J301" s="5"/>
      <c r="K301" s="4" t="s">
        <v>67</v>
      </c>
      <c r="L301" s="4">
        <v>0.0</v>
      </c>
      <c r="M301" s="15" t="str">
        <f>VLOOKUP(A301,'Live Plan Data'!I:J,2, False)</f>
        <v>Active</v>
      </c>
    </row>
    <row r="302" hidden="1">
      <c r="A302" s="4" t="s">
        <v>13534</v>
      </c>
      <c r="B302" s="4" t="s">
        <v>4281</v>
      </c>
      <c r="C302" s="4">
        <v>50079.0</v>
      </c>
      <c r="D302" s="4" t="s">
        <v>13058</v>
      </c>
      <c r="E302" s="4">
        <v>99.0</v>
      </c>
      <c r="F302" s="4">
        <v>1.0</v>
      </c>
      <c r="G302" s="12" t="s">
        <v>13524</v>
      </c>
      <c r="H302" s="4" t="s">
        <v>13525</v>
      </c>
      <c r="I302" s="4" t="s">
        <v>13526</v>
      </c>
      <c r="J302" s="5"/>
      <c r="K302" s="4" t="s">
        <v>67</v>
      </c>
      <c r="L302" s="4">
        <v>0.0</v>
      </c>
      <c r="M302" s="15" t="str">
        <f>VLOOKUP(A302,'Live Plan Data'!I:J,2, False)</f>
        <v>#N/A</v>
      </c>
    </row>
    <row r="303">
      <c r="A303" s="4" t="s">
        <v>13535</v>
      </c>
      <c r="B303" s="4" t="s">
        <v>4281</v>
      </c>
      <c r="C303" s="4">
        <v>50079.0</v>
      </c>
      <c r="D303" s="4" t="s">
        <v>13058</v>
      </c>
      <c r="E303" s="4">
        <v>99.0</v>
      </c>
      <c r="F303" s="4">
        <v>1.0</v>
      </c>
      <c r="G303" s="12" t="s">
        <v>13524</v>
      </c>
      <c r="H303" s="4" t="s">
        <v>13525</v>
      </c>
      <c r="I303" s="4" t="s">
        <v>13526</v>
      </c>
      <c r="J303" s="5"/>
      <c r="K303" s="4" t="s">
        <v>67</v>
      </c>
      <c r="L303" s="4">
        <v>0.0</v>
      </c>
      <c r="M303" s="15" t="str">
        <f>VLOOKUP(A303,'Live Plan Data'!I:J,2, False)</f>
        <v>Active</v>
      </c>
    </row>
    <row r="304">
      <c r="A304" s="4" t="s">
        <v>13536</v>
      </c>
      <c r="B304" s="4" t="s">
        <v>4281</v>
      </c>
      <c r="C304" s="4">
        <v>50079.0</v>
      </c>
      <c r="D304" s="4" t="s">
        <v>13058</v>
      </c>
      <c r="E304" s="4">
        <v>199.0</v>
      </c>
      <c r="F304" s="4">
        <v>1.0</v>
      </c>
      <c r="G304" s="12" t="s">
        <v>13524</v>
      </c>
      <c r="H304" s="4" t="s">
        <v>13525</v>
      </c>
      <c r="I304" s="4" t="s">
        <v>13526</v>
      </c>
      <c r="J304" s="5"/>
      <c r="K304" s="4" t="s">
        <v>67</v>
      </c>
      <c r="L304" s="4">
        <v>0.0</v>
      </c>
      <c r="M304" s="15" t="str">
        <f>VLOOKUP(A304,'Live Plan Data'!I:J,2, False)</f>
        <v>Active</v>
      </c>
    </row>
    <row r="305">
      <c r="A305" s="4" t="s">
        <v>13537</v>
      </c>
      <c r="B305" s="4" t="s">
        <v>4281</v>
      </c>
      <c r="C305" s="4">
        <v>50079.0</v>
      </c>
      <c r="D305" s="4" t="s">
        <v>13058</v>
      </c>
      <c r="E305" s="4">
        <v>349.0</v>
      </c>
      <c r="F305" s="4">
        <v>1.0</v>
      </c>
      <c r="G305" s="12" t="s">
        <v>13524</v>
      </c>
      <c r="H305" s="4" t="s">
        <v>13525</v>
      </c>
      <c r="I305" s="4" t="s">
        <v>13526</v>
      </c>
      <c r="J305" s="5"/>
      <c r="K305" s="4" t="s">
        <v>67</v>
      </c>
      <c r="L305" s="4">
        <v>0.0</v>
      </c>
      <c r="M305" s="15" t="str">
        <f>VLOOKUP(A305,'Live Plan Data'!I:J,2, False)</f>
        <v>Active</v>
      </c>
    </row>
    <row r="306">
      <c r="A306" s="4" t="s">
        <v>13538</v>
      </c>
      <c r="B306" s="4" t="s">
        <v>5105</v>
      </c>
      <c r="C306" s="4">
        <v>50078.0</v>
      </c>
      <c r="D306" s="4" t="s">
        <v>13058</v>
      </c>
      <c r="E306" s="4">
        <v>300.0</v>
      </c>
      <c r="F306" s="4">
        <v>1.0</v>
      </c>
      <c r="G306" s="12" t="s">
        <v>13539</v>
      </c>
      <c r="H306" s="4" t="s">
        <v>13540</v>
      </c>
      <c r="I306" s="4" t="s">
        <v>13541</v>
      </c>
      <c r="J306" s="5"/>
      <c r="K306" s="4" t="s">
        <v>67</v>
      </c>
      <c r="L306" s="4">
        <v>0.0</v>
      </c>
      <c r="M306" s="15" t="str">
        <f>VLOOKUP(A306,'Live Plan Data'!I:J,2, False)</f>
        <v>Active</v>
      </c>
    </row>
    <row r="307">
      <c r="A307" s="4" t="s">
        <v>13542</v>
      </c>
      <c r="B307" s="4" t="s">
        <v>5105</v>
      </c>
      <c r="C307" s="4">
        <v>50078.0</v>
      </c>
      <c r="D307" s="4" t="s">
        <v>13063</v>
      </c>
      <c r="E307" s="4">
        <v>600.0</v>
      </c>
      <c r="F307" s="4">
        <v>3.0</v>
      </c>
      <c r="G307" s="12" t="s">
        <v>13539</v>
      </c>
      <c r="H307" s="4" t="s">
        <v>13540</v>
      </c>
      <c r="I307" s="4" t="s">
        <v>13541</v>
      </c>
      <c r="J307" s="5"/>
      <c r="K307" s="4" t="s">
        <v>67</v>
      </c>
      <c r="L307" s="4">
        <v>0.0</v>
      </c>
      <c r="M307" s="15" t="str">
        <f>VLOOKUP(A307,'Live Plan Data'!I:J,2, False)</f>
        <v>Active</v>
      </c>
    </row>
    <row r="308">
      <c r="A308" s="4" t="s">
        <v>13543</v>
      </c>
      <c r="B308" s="4" t="s">
        <v>5105</v>
      </c>
      <c r="C308" s="4">
        <v>50078.0</v>
      </c>
      <c r="D308" s="4" t="s">
        <v>13065</v>
      </c>
      <c r="E308" s="4">
        <v>1000.0</v>
      </c>
      <c r="F308" s="4">
        <v>6.0</v>
      </c>
      <c r="G308" s="12" t="s">
        <v>13539</v>
      </c>
      <c r="H308" s="4" t="s">
        <v>13540</v>
      </c>
      <c r="I308" s="4" t="s">
        <v>13541</v>
      </c>
      <c r="J308" s="5"/>
      <c r="K308" s="4" t="s">
        <v>67</v>
      </c>
      <c r="L308" s="4">
        <v>0.0</v>
      </c>
      <c r="M308" s="15" t="str">
        <f>VLOOKUP(A308,'Live Plan Data'!I:J,2, False)</f>
        <v>Active</v>
      </c>
    </row>
    <row r="309" hidden="1">
      <c r="A309" s="4" t="s">
        <v>13544</v>
      </c>
      <c r="B309" s="4" t="s">
        <v>3326</v>
      </c>
      <c r="C309" s="4">
        <v>50030.0</v>
      </c>
      <c r="D309" s="4" t="s">
        <v>13058</v>
      </c>
      <c r="E309" s="4">
        <v>349.0</v>
      </c>
      <c r="F309" s="4">
        <v>1.0</v>
      </c>
      <c r="G309" s="12" t="s">
        <v>13260</v>
      </c>
      <c r="H309" s="4" t="s">
        <v>13261</v>
      </c>
      <c r="I309" s="4" t="s">
        <v>13255</v>
      </c>
      <c r="J309" s="5"/>
      <c r="K309" s="4" t="s">
        <v>67</v>
      </c>
      <c r="L309" s="4">
        <v>0.0</v>
      </c>
      <c r="M309" s="15" t="str">
        <f>VLOOKUP(A309,'Live Plan Data'!I:J,2, False)</f>
        <v>#N/A</v>
      </c>
    </row>
    <row r="310" hidden="1">
      <c r="A310" s="4" t="s">
        <v>13545</v>
      </c>
      <c r="B310" s="4" t="s">
        <v>3326</v>
      </c>
      <c r="C310" s="4">
        <v>50030.0</v>
      </c>
      <c r="D310" s="4" t="s">
        <v>13058</v>
      </c>
      <c r="E310" s="4">
        <v>649.0</v>
      </c>
      <c r="F310" s="4">
        <v>1.0</v>
      </c>
      <c r="G310" s="12" t="s">
        <v>13260</v>
      </c>
      <c r="H310" s="4" t="s">
        <v>13261</v>
      </c>
      <c r="I310" s="4" t="s">
        <v>13255</v>
      </c>
      <c r="J310" s="5"/>
      <c r="K310" s="4" t="s">
        <v>67</v>
      </c>
      <c r="L310" s="4">
        <v>0.0</v>
      </c>
      <c r="M310" s="15" t="str">
        <f>VLOOKUP(A310,'Live Plan Data'!I:J,2, False)</f>
        <v>#N/A</v>
      </c>
    </row>
    <row r="311" hidden="1">
      <c r="A311" s="4" t="s">
        <v>13546</v>
      </c>
      <c r="B311" s="4" t="s">
        <v>3326</v>
      </c>
      <c r="C311" s="4">
        <v>50030.0</v>
      </c>
      <c r="D311" s="4" t="s">
        <v>13065</v>
      </c>
      <c r="E311" s="4">
        <v>999.0</v>
      </c>
      <c r="F311" s="4">
        <v>6.0</v>
      </c>
      <c r="G311" s="12" t="s">
        <v>13260</v>
      </c>
      <c r="H311" s="4" t="s">
        <v>13261</v>
      </c>
      <c r="I311" s="4" t="s">
        <v>13255</v>
      </c>
      <c r="J311" s="5"/>
      <c r="K311" s="4" t="s">
        <v>67</v>
      </c>
      <c r="L311" s="4">
        <v>0.0</v>
      </c>
      <c r="M311" s="15" t="str">
        <f>VLOOKUP(A311,'Live Plan Data'!I:J,2, False)</f>
        <v>#N/A</v>
      </c>
    </row>
    <row r="312" hidden="1">
      <c r="A312" s="4" t="s">
        <v>13547</v>
      </c>
      <c r="B312" s="4" t="s">
        <v>3326</v>
      </c>
      <c r="C312" s="4">
        <v>50030.0</v>
      </c>
      <c r="D312" s="4" t="s">
        <v>13063</v>
      </c>
      <c r="E312" s="4">
        <v>649.0</v>
      </c>
      <c r="F312" s="4">
        <v>3.0</v>
      </c>
      <c r="G312" s="12" t="s">
        <v>13260</v>
      </c>
      <c r="H312" s="4" t="s">
        <v>13261</v>
      </c>
      <c r="I312" s="4" t="s">
        <v>13255</v>
      </c>
      <c r="J312" s="5"/>
      <c r="K312" s="4" t="s">
        <v>67</v>
      </c>
      <c r="L312" s="4">
        <v>0.0</v>
      </c>
      <c r="M312" s="15" t="str">
        <f>VLOOKUP(A312,'Live Plan Data'!I:J,2, False)</f>
        <v>#N/A</v>
      </c>
    </row>
    <row r="313" hidden="1">
      <c r="A313" s="4" t="s">
        <v>13548</v>
      </c>
      <c r="B313" s="4" t="s">
        <v>5984</v>
      </c>
      <c r="C313" s="4">
        <v>50076.0</v>
      </c>
      <c r="D313" s="4" t="s">
        <v>13058</v>
      </c>
      <c r="E313" s="4">
        <v>99.0</v>
      </c>
      <c r="F313" s="4">
        <v>1.0</v>
      </c>
      <c r="G313" s="12" t="s">
        <v>13549</v>
      </c>
      <c r="H313" s="4" t="s">
        <v>13550</v>
      </c>
      <c r="I313" s="4" t="s">
        <v>13541</v>
      </c>
      <c r="J313" s="5"/>
      <c r="K313" s="4" t="s">
        <v>67</v>
      </c>
      <c r="L313" s="4">
        <v>0.0</v>
      </c>
      <c r="M313" s="15" t="str">
        <f>VLOOKUP(A313,'Live Plan Data'!I:J,2, False)</f>
        <v>#N/A</v>
      </c>
    </row>
    <row r="314" hidden="1">
      <c r="A314" s="4" t="s">
        <v>13551</v>
      </c>
      <c r="B314" s="4" t="s">
        <v>5984</v>
      </c>
      <c r="C314" s="4">
        <v>50076.0</v>
      </c>
      <c r="D314" s="4" t="s">
        <v>13063</v>
      </c>
      <c r="E314" s="4">
        <v>199.0</v>
      </c>
      <c r="F314" s="4">
        <v>3.0</v>
      </c>
      <c r="G314" s="12" t="s">
        <v>13549</v>
      </c>
      <c r="H314" s="4" t="s">
        <v>13550</v>
      </c>
      <c r="I314" s="4" t="s">
        <v>13541</v>
      </c>
      <c r="J314" s="5"/>
      <c r="K314" s="4" t="s">
        <v>67</v>
      </c>
      <c r="L314" s="4">
        <v>0.0</v>
      </c>
      <c r="M314" s="15" t="str">
        <f>VLOOKUP(A314,'Live Plan Data'!I:J,2, False)</f>
        <v>#N/A</v>
      </c>
    </row>
    <row r="315" hidden="1">
      <c r="A315" s="4" t="s">
        <v>13552</v>
      </c>
      <c r="B315" s="4" t="s">
        <v>5984</v>
      </c>
      <c r="C315" s="4">
        <v>50076.0</v>
      </c>
      <c r="D315" s="4" t="s">
        <v>13065</v>
      </c>
      <c r="E315" s="4">
        <v>349.0</v>
      </c>
      <c r="F315" s="4">
        <v>6.0</v>
      </c>
      <c r="G315" s="12" t="s">
        <v>13549</v>
      </c>
      <c r="H315" s="4" t="s">
        <v>13550</v>
      </c>
      <c r="I315" s="4" t="s">
        <v>13541</v>
      </c>
      <c r="J315" s="5"/>
      <c r="K315" s="4" t="s">
        <v>67</v>
      </c>
      <c r="L315" s="4">
        <v>0.0</v>
      </c>
      <c r="M315" s="15" t="str">
        <f>VLOOKUP(A315,'Live Plan Data'!I:J,2, False)</f>
        <v>#N/A</v>
      </c>
    </row>
    <row r="316" hidden="1">
      <c r="A316" s="4" t="s">
        <v>13553</v>
      </c>
      <c r="B316" s="4" t="s">
        <v>13554</v>
      </c>
      <c r="C316" s="4">
        <v>50069.0</v>
      </c>
      <c r="D316" s="4" t="s">
        <v>13058</v>
      </c>
      <c r="E316" s="4">
        <v>999.0</v>
      </c>
      <c r="F316" s="4">
        <v>1.0</v>
      </c>
      <c r="G316" s="12" t="s">
        <v>13396</v>
      </c>
      <c r="H316" s="4" t="s">
        <v>13397</v>
      </c>
      <c r="I316" s="4" t="s">
        <v>13191</v>
      </c>
      <c r="J316" s="4" t="s">
        <v>13555</v>
      </c>
      <c r="K316" s="4" t="s">
        <v>67</v>
      </c>
      <c r="L316" s="4">
        <v>0.0</v>
      </c>
      <c r="M316" s="15" t="str">
        <f>VLOOKUP(A316,'Live Plan Data'!I:J,2, False)</f>
        <v>#N/A</v>
      </c>
    </row>
    <row r="317">
      <c r="A317" s="4" t="s">
        <v>13556</v>
      </c>
      <c r="B317" s="4" t="s">
        <v>13554</v>
      </c>
      <c r="C317" s="4">
        <v>50069.0</v>
      </c>
      <c r="D317" s="4" t="s">
        <v>13058</v>
      </c>
      <c r="E317" s="4">
        <v>999.0</v>
      </c>
      <c r="F317" s="4">
        <v>1.0</v>
      </c>
      <c r="G317" s="12" t="s">
        <v>13396</v>
      </c>
      <c r="H317" s="4" t="s">
        <v>13397</v>
      </c>
      <c r="I317" s="4" t="s">
        <v>13191</v>
      </c>
      <c r="J317" s="4" t="s">
        <v>13555</v>
      </c>
      <c r="K317" s="4" t="s">
        <v>67</v>
      </c>
      <c r="L317" s="4">
        <v>0.0</v>
      </c>
      <c r="M317" s="15" t="str">
        <f>VLOOKUP(A317,'Live Plan Data'!I:J,2, False)</f>
        <v>Active</v>
      </c>
    </row>
    <row r="318" hidden="1">
      <c r="A318" s="4" t="s">
        <v>13557</v>
      </c>
      <c r="B318" s="4" t="s">
        <v>13554</v>
      </c>
      <c r="C318" s="4">
        <v>50069.0</v>
      </c>
      <c r="D318" s="4" t="s">
        <v>13058</v>
      </c>
      <c r="E318" s="4">
        <v>1499.0</v>
      </c>
      <c r="F318" s="4">
        <v>1.0</v>
      </c>
      <c r="G318" s="12" t="s">
        <v>13396</v>
      </c>
      <c r="H318" s="4" t="s">
        <v>13397</v>
      </c>
      <c r="I318" s="4" t="s">
        <v>13191</v>
      </c>
      <c r="J318" s="4" t="s">
        <v>13558</v>
      </c>
      <c r="K318" s="4" t="s">
        <v>67</v>
      </c>
      <c r="L318" s="4">
        <v>0.0</v>
      </c>
      <c r="M318" s="15" t="str">
        <f>VLOOKUP(A318,'Live Plan Data'!I:J,2, False)</f>
        <v>#N/A</v>
      </c>
    </row>
    <row r="319">
      <c r="A319" s="4" t="s">
        <v>13559</v>
      </c>
      <c r="B319" s="4" t="s">
        <v>13554</v>
      </c>
      <c r="C319" s="4">
        <v>50069.0</v>
      </c>
      <c r="D319" s="4" t="s">
        <v>13058</v>
      </c>
      <c r="E319" s="4">
        <v>1499.0</v>
      </c>
      <c r="F319" s="4">
        <v>1.0</v>
      </c>
      <c r="G319" s="12" t="s">
        <v>13396</v>
      </c>
      <c r="H319" s="4" t="s">
        <v>13397</v>
      </c>
      <c r="I319" s="4" t="s">
        <v>13191</v>
      </c>
      <c r="J319" s="4" t="s">
        <v>13558</v>
      </c>
      <c r="K319" s="4" t="s">
        <v>67</v>
      </c>
      <c r="L319" s="4">
        <v>0.0</v>
      </c>
      <c r="M319" s="15" t="str">
        <f>VLOOKUP(A319,'Live Plan Data'!I:J,2, False)</f>
        <v>Active</v>
      </c>
    </row>
    <row r="320" hidden="1">
      <c r="A320" s="4" t="s">
        <v>13560</v>
      </c>
      <c r="B320" s="4" t="s">
        <v>13554</v>
      </c>
      <c r="C320" s="4">
        <v>50069.0</v>
      </c>
      <c r="D320" s="4" t="s">
        <v>13058</v>
      </c>
      <c r="E320" s="4">
        <v>1999.0</v>
      </c>
      <c r="F320" s="4">
        <v>1.0</v>
      </c>
      <c r="G320" s="12" t="s">
        <v>13396</v>
      </c>
      <c r="H320" s="4" t="s">
        <v>13397</v>
      </c>
      <c r="I320" s="4" t="s">
        <v>13191</v>
      </c>
      <c r="J320" s="4" t="s">
        <v>13561</v>
      </c>
      <c r="K320" s="4" t="s">
        <v>67</v>
      </c>
      <c r="L320" s="4">
        <v>0.0</v>
      </c>
      <c r="M320" s="15" t="str">
        <f>VLOOKUP(A320,'Live Plan Data'!I:J,2, False)</f>
        <v>#N/A</v>
      </c>
    </row>
    <row r="321">
      <c r="A321" s="4" t="s">
        <v>13562</v>
      </c>
      <c r="B321" s="4" t="s">
        <v>13554</v>
      </c>
      <c r="C321" s="4">
        <v>50069.0</v>
      </c>
      <c r="D321" s="4" t="s">
        <v>13058</v>
      </c>
      <c r="E321" s="4">
        <v>1999.0</v>
      </c>
      <c r="F321" s="4">
        <v>1.0</v>
      </c>
      <c r="G321" s="12" t="s">
        <v>13396</v>
      </c>
      <c r="H321" s="4" t="s">
        <v>13397</v>
      </c>
      <c r="I321" s="4" t="s">
        <v>13191</v>
      </c>
      <c r="J321" s="4" t="s">
        <v>13561</v>
      </c>
      <c r="K321" s="4" t="s">
        <v>67</v>
      </c>
      <c r="L321" s="4">
        <v>0.0</v>
      </c>
      <c r="M321" s="15" t="str">
        <f>VLOOKUP(A321,'Live Plan Data'!I:J,2, False)</f>
        <v>Active</v>
      </c>
    </row>
    <row r="322" hidden="1">
      <c r="A322" s="4" t="s">
        <v>13563</v>
      </c>
      <c r="B322" s="4" t="s">
        <v>3195</v>
      </c>
      <c r="C322" s="4">
        <v>50047.0</v>
      </c>
      <c r="D322" s="4" t="s">
        <v>13063</v>
      </c>
      <c r="E322" s="4">
        <v>199.0</v>
      </c>
      <c r="F322" s="4">
        <v>3.0</v>
      </c>
      <c r="G322" s="12" t="s">
        <v>13306</v>
      </c>
      <c r="H322" s="4" t="s">
        <v>13307</v>
      </c>
      <c r="I322" s="4" t="s">
        <v>4680</v>
      </c>
      <c r="J322" s="5"/>
      <c r="K322" s="4" t="s">
        <v>67</v>
      </c>
      <c r="L322" s="4">
        <v>0.0</v>
      </c>
      <c r="M322" s="15" t="str">
        <f>VLOOKUP(A322,'Live Plan Data'!I:J,2, False)</f>
        <v>#N/A</v>
      </c>
    </row>
    <row r="323" hidden="1">
      <c r="A323" s="4" t="s">
        <v>13564</v>
      </c>
      <c r="B323" s="4" t="s">
        <v>3195</v>
      </c>
      <c r="C323" s="4">
        <v>50047.0</v>
      </c>
      <c r="D323" s="4" t="s">
        <v>13065</v>
      </c>
      <c r="E323" s="4">
        <v>299.0</v>
      </c>
      <c r="F323" s="4">
        <v>6.0</v>
      </c>
      <c r="G323" s="12" t="s">
        <v>13306</v>
      </c>
      <c r="H323" s="4" t="s">
        <v>13307</v>
      </c>
      <c r="I323" s="4" t="s">
        <v>4680</v>
      </c>
      <c r="J323" s="5"/>
      <c r="K323" s="4" t="s">
        <v>67</v>
      </c>
      <c r="L323" s="4">
        <v>0.0</v>
      </c>
      <c r="M323" s="15" t="str">
        <f>VLOOKUP(A323,'Live Plan Data'!I:J,2, False)</f>
        <v>#N/A</v>
      </c>
    </row>
    <row r="324" hidden="1">
      <c r="A324" s="4" t="s">
        <v>13565</v>
      </c>
      <c r="B324" s="4" t="s">
        <v>3195</v>
      </c>
      <c r="C324" s="4">
        <v>50047.0</v>
      </c>
      <c r="D324" s="4" t="s">
        <v>13210</v>
      </c>
      <c r="E324" s="4">
        <v>499.0</v>
      </c>
      <c r="F324" s="4">
        <v>12.0</v>
      </c>
      <c r="G324" s="12" t="s">
        <v>13306</v>
      </c>
      <c r="H324" s="4" t="s">
        <v>13307</v>
      </c>
      <c r="I324" s="4" t="s">
        <v>4680</v>
      </c>
      <c r="J324" s="5"/>
      <c r="K324" s="4" t="s">
        <v>67</v>
      </c>
      <c r="L324" s="4">
        <v>0.0</v>
      </c>
      <c r="M324" s="15" t="str">
        <f>VLOOKUP(A324,'Live Plan Data'!I:J,2, False)</f>
        <v>#N/A</v>
      </c>
    </row>
    <row r="325" hidden="1">
      <c r="A325" s="4" t="s">
        <v>13566</v>
      </c>
      <c r="B325" s="4" t="s">
        <v>3326</v>
      </c>
      <c r="C325" s="4">
        <v>50030.0</v>
      </c>
      <c r="D325" s="4" t="s">
        <v>13058</v>
      </c>
      <c r="E325" s="4">
        <v>197.0</v>
      </c>
      <c r="F325" s="4">
        <v>1.0</v>
      </c>
      <c r="G325" s="12" t="s">
        <v>13260</v>
      </c>
      <c r="H325" s="4" t="s">
        <v>13261</v>
      </c>
      <c r="I325" s="4" t="s">
        <v>13255</v>
      </c>
      <c r="J325" s="5"/>
      <c r="K325" s="4" t="s">
        <v>67</v>
      </c>
      <c r="L325" s="4">
        <v>0.0</v>
      </c>
      <c r="M325" s="15" t="str">
        <f>VLOOKUP(A325,'Live Plan Data'!I:J,2, False)</f>
        <v>#N/A</v>
      </c>
    </row>
    <row r="326" hidden="1">
      <c r="A326" s="4" t="s">
        <v>13567</v>
      </c>
      <c r="B326" s="4" t="s">
        <v>3326</v>
      </c>
      <c r="C326" s="4">
        <v>50030.0</v>
      </c>
      <c r="D326" s="4" t="s">
        <v>13063</v>
      </c>
      <c r="E326" s="4">
        <v>397.0</v>
      </c>
      <c r="F326" s="4">
        <v>3.0</v>
      </c>
      <c r="G326" s="12" t="s">
        <v>13260</v>
      </c>
      <c r="H326" s="4" t="s">
        <v>13261</v>
      </c>
      <c r="I326" s="4" t="s">
        <v>13255</v>
      </c>
      <c r="J326" s="5"/>
      <c r="K326" s="4" t="s">
        <v>67</v>
      </c>
      <c r="L326" s="4">
        <v>0.0</v>
      </c>
      <c r="M326" s="15" t="str">
        <f>VLOOKUP(A326,'Live Plan Data'!I:J,2, False)</f>
        <v>#N/A</v>
      </c>
    </row>
    <row r="327" hidden="1">
      <c r="A327" s="4" t="s">
        <v>13568</v>
      </c>
      <c r="B327" s="4" t="s">
        <v>3326</v>
      </c>
      <c r="C327" s="4">
        <v>50030.0</v>
      </c>
      <c r="D327" s="4" t="s">
        <v>13063</v>
      </c>
      <c r="E327" s="4">
        <v>597.0</v>
      </c>
      <c r="F327" s="4">
        <v>3.0</v>
      </c>
      <c r="G327" s="12" t="s">
        <v>13260</v>
      </c>
      <c r="H327" s="4" t="s">
        <v>13261</v>
      </c>
      <c r="I327" s="4" t="s">
        <v>13255</v>
      </c>
      <c r="J327" s="5"/>
      <c r="K327" s="4" t="s">
        <v>67</v>
      </c>
      <c r="L327" s="4">
        <v>0.0</v>
      </c>
      <c r="M327" s="15" t="str">
        <f>VLOOKUP(A327,'Live Plan Data'!I:J,2, False)</f>
        <v>#N/A</v>
      </c>
    </row>
    <row r="328" hidden="1">
      <c r="A328" s="4" t="s">
        <v>13569</v>
      </c>
      <c r="B328" s="4" t="s">
        <v>6195</v>
      </c>
      <c r="C328" s="4">
        <v>50092.0</v>
      </c>
      <c r="D328" s="4" t="s">
        <v>13058</v>
      </c>
      <c r="E328" s="4">
        <v>249.0</v>
      </c>
      <c r="F328" s="4">
        <v>1.0</v>
      </c>
      <c r="G328" s="12" t="s">
        <v>13570</v>
      </c>
      <c r="H328" s="4" t="s">
        <v>13571</v>
      </c>
      <c r="I328" s="4" t="s">
        <v>13526</v>
      </c>
      <c r="J328" s="5"/>
      <c r="K328" s="4" t="s">
        <v>67</v>
      </c>
      <c r="L328" s="4">
        <v>0.0</v>
      </c>
      <c r="M328" s="15" t="str">
        <f>VLOOKUP(A328,'Live Plan Data'!I:J,2, False)</f>
        <v>#N/A</v>
      </c>
    </row>
    <row r="329" hidden="1">
      <c r="A329" s="4" t="s">
        <v>13572</v>
      </c>
      <c r="B329" s="4" t="s">
        <v>6195</v>
      </c>
      <c r="C329" s="4">
        <v>50092.0</v>
      </c>
      <c r="D329" s="4" t="s">
        <v>13063</v>
      </c>
      <c r="E329" s="4">
        <v>599.0</v>
      </c>
      <c r="F329" s="4">
        <v>3.0</v>
      </c>
      <c r="G329" s="12" t="s">
        <v>13570</v>
      </c>
      <c r="H329" s="4" t="s">
        <v>13571</v>
      </c>
      <c r="I329" s="4" t="s">
        <v>13526</v>
      </c>
      <c r="J329" s="5"/>
      <c r="K329" s="4" t="s">
        <v>67</v>
      </c>
      <c r="L329" s="4">
        <v>0.0</v>
      </c>
      <c r="M329" s="15" t="str">
        <f>VLOOKUP(A329,'Live Plan Data'!I:J,2, False)</f>
        <v>#N/A</v>
      </c>
    </row>
    <row r="330" hidden="1">
      <c r="A330" s="4" t="s">
        <v>13573</v>
      </c>
      <c r="B330" s="4" t="s">
        <v>6195</v>
      </c>
      <c r="C330" s="4">
        <v>50092.0</v>
      </c>
      <c r="D330" s="4" t="s">
        <v>13065</v>
      </c>
      <c r="E330" s="4">
        <v>999.0</v>
      </c>
      <c r="F330" s="4">
        <v>6.0</v>
      </c>
      <c r="G330" s="12" t="s">
        <v>13570</v>
      </c>
      <c r="H330" s="4" t="s">
        <v>13571</v>
      </c>
      <c r="I330" s="4" t="s">
        <v>13526</v>
      </c>
      <c r="J330" s="5"/>
      <c r="K330" s="4" t="s">
        <v>67</v>
      </c>
      <c r="L330" s="4">
        <v>0.0</v>
      </c>
      <c r="M330" s="15" t="str">
        <f>VLOOKUP(A330,'Live Plan Data'!I:J,2, False)</f>
        <v>#N/A</v>
      </c>
    </row>
    <row r="331">
      <c r="A331" s="4" t="s">
        <v>13574</v>
      </c>
      <c r="B331" s="4" t="s">
        <v>6320</v>
      </c>
      <c r="C331" s="4">
        <v>50044.0</v>
      </c>
      <c r="D331" s="4" t="s">
        <v>13063</v>
      </c>
      <c r="E331" s="4">
        <v>599.0</v>
      </c>
      <c r="F331" s="4">
        <v>3.0</v>
      </c>
      <c r="G331" s="12" t="s">
        <v>13360</v>
      </c>
      <c r="H331" s="4" t="s">
        <v>13361</v>
      </c>
      <c r="I331" s="4" t="s">
        <v>4680</v>
      </c>
      <c r="J331" s="5"/>
      <c r="K331" s="4" t="s">
        <v>67</v>
      </c>
      <c r="L331" s="4">
        <v>0.0</v>
      </c>
      <c r="M331" s="15" t="str">
        <f>VLOOKUP(A331,'Live Plan Data'!I:J,2, False)</f>
        <v>Active</v>
      </c>
    </row>
    <row r="332">
      <c r="A332" s="4" t="s">
        <v>13575</v>
      </c>
      <c r="B332" s="4" t="s">
        <v>6320</v>
      </c>
      <c r="C332" s="4">
        <v>50044.0</v>
      </c>
      <c r="D332" s="4" t="s">
        <v>13065</v>
      </c>
      <c r="E332" s="4">
        <v>999.0</v>
      </c>
      <c r="F332" s="4">
        <v>6.0</v>
      </c>
      <c r="G332" s="12" t="s">
        <v>13360</v>
      </c>
      <c r="H332" s="4" t="s">
        <v>13361</v>
      </c>
      <c r="I332" s="4" t="s">
        <v>4680</v>
      </c>
      <c r="J332" s="5"/>
      <c r="K332" s="4" t="s">
        <v>67</v>
      </c>
      <c r="L332" s="4">
        <v>0.0</v>
      </c>
      <c r="M332" s="15" t="str">
        <f>VLOOKUP(A332,'Live Plan Data'!I:J,2, False)</f>
        <v>Active</v>
      </c>
    </row>
    <row r="333">
      <c r="A333" s="4" t="s">
        <v>13576</v>
      </c>
      <c r="B333" s="4" t="s">
        <v>3978</v>
      </c>
      <c r="C333" s="4">
        <v>50091.0</v>
      </c>
      <c r="D333" s="4" t="s">
        <v>13058</v>
      </c>
      <c r="E333" s="4">
        <v>99.0</v>
      </c>
      <c r="F333" s="4">
        <v>1.0</v>
      </c>
      <c r="G333" s="12" t="s">
        <v>13577</v>
      </c>
      <c r="H333" s="4" t="s">
        <v>13578</v>
      </c>
      <c r="I333" s="4" t="s">
        <v>13541</v>
      </c>
      <c r="J333" s="5"/>
      <c r="K333" s="4" t="s">
        <v>67</v>
      </c>
      <c r="L333" s="4">
        <v>0.0</v>
      </c>
      <c r="M333" s="15" t="str">
        <f>VLOOKUP(A333,'Live Plan Data'!I:J,2, False)</f>
        <v>Active</v>
      </c>
    </row>
    <row r="334">
      <c r="A334" s="4" t="s">
        <v>13579</v>
      </c>
      <c r="B334" s="4" t="s">
        <v>3978</v>
      </c>
      <c r="C334" s="4">
        <v>50091.0</v>
      </c>
      <c r="D334" s="4" t="s">
        <v>13063</v>
      </c>
      <c r="E334" s="4">
        <v>199.0</v>
      </c>
      <c r="F334" s="4">
        <v>3.0</v>
      </c>
      <c r="G334" s="12" t="s">
        <v>13577</v>
      </c>
      <c r="H334" s="4" t="s">
        <v>13578</v>
      </c>
      <c r="I334" s="4" t="s">
        <v>13541</v>
      </c>
      <c r="J334" s="5"/>
      <c r="K334" s="4" t="s">
        <v>67</v>
      </c>
      <c r="L334" s="4">
        <v>0.0</v>
      </c>
      <c r="M334" s="15" t="str">
        <f>VLOOKUP(A334,'Live Plan Data'!I:J,2, False)</f>
        <v>Active</v>
      </c>
    </row>
    <row r="335">
      <c r="A335" s="4" t="s">
        <v>13580</v>
      </c>
      <c r="B335" s="4" t="s">
        <v>3978</v>
      </c>
      <c r="C335" s="4">
        <v>50091.0</v>
      </c>
      <c r="D335" s="4" t="s">
        <v>13065</v>
      </c>
      <c r="E335" s="4">
        <v>349.0</v>
      </c>
      <c r="F335" s="4">
        <v>6.0</v>
      </c>
      <c r="G335" s="12" t="s">
        <v>13577</v>
      </c>
      <c r="H335" s="4" t="s">
        <v>13578</v>
      </c>
      <c r="I335" s="4" t="s">
        <v>13541</v>
      </c>
      <c r="J335" s="5"/>
      <c r="K335" s="4" t="s">
        <v>67</v>
      </c>
      <c r="L335" s="4">
        <v>0.0</v>
      </c>
      <c r="M335" s="15" t="str">
        <f>VLOOKUP(A335,'Live Plan Data'!I:J,2, False)</f>
        <v>Active</v>
      </c>
    </row>
    <row r="336" hidden="1">
      <c r="A336" s="4" t="s">
        <v>13581</v>
      </c>
      <c r="B336" s="4" t="s">
        <v>2702</v>
      </c>
      <c r="C336" s="4">
        <v>50015.0</v>
      </c>
      <c r="D336" s="4" t="s">
        <v>13063</v>
      </c>
      <c r="E336" s="4">
        <v>199.0</v>
      </c>
      <c r="F336" s="4">
        <v>3.0</v>
      </c>
      <c r="G336" s="12" t="s">
        <v>13253</v>
      </c>
      <c r="H336" s="4" t="s">
        <v>13254</v>
      </c>
      <c r="I336" s="4" t="s">
        <v>13255</v>
      </c>
      <c r="J336" s="5"/>
      <c r="K336" s="4" t="s">
        <v>67</v>
      </c>
      <c r="L336" s="4">
        <v>0.0</v>
      </c>
      <c r="M336" s="15" t="str">
        <f>VLOOKUP(A336,'Live Plan Data'!I:J,2, False)</f>
        <v>#N/A</v>
      </c>
    </row>
    <row r="337" hidden="1">
      <c r="A337" s="4" t="s">
        <v>13582</v>
      </c>
      <c r="B337" s="4" t="s">
        <v>2702</v>
      </c>
      <c r="C337" s="4">
        <v>50015.0</v>
      </c>
      <c r="D337" s="4" t="s">
        <v>13065</v>
      </c>
      <c r="E337" s="4">
        <v>349.0</v>
      </c>
      <c r="F337" s="4">
        <v>6.0</v>
      </c>
      <c r="G337" s="12" t="s">
        <v>13253</v>
      </c>
      <c r="H337" s="4" t="s">
        <v>13254</v>
      </c>
      <c r="I337" s="4" t="s">
        <v>13255</v>
      </c>
      <c r="J337" s="5"/>
      <c r="K337" s="4" t="s">
        <v>67</v>
      </c>
      <c r="L337" s="4">
        <v>0.0</v>
      </c>
      <c r="M337" s="15" t="str">
        <f>VLOOKUP(A337,'Live Plan Data'!I:J,2, False)</f>
        <v>#N/A</v>
      </c>
    </row>
    <row r="338">
      <c r="A338" s="4" t="s">
        <v>13583</v>
      </c>
      <c r="B338" s="4" t="s">
        <v>2702</v>
      </c>
      <c r="C338" s="4">
        <v>50015.0</v>
      </c>
      <c r="D338" s="4" t="s">
        <v>13210</v>
      </c>
      <c r="E338" s="4">
        <v>599.0</v>
      </c>
      <c r="F338" s="4">
        <v>12.0</v>
      </c>
      <c r="G338" s="12" t="s">
        <v>13253</v>
      </c>
      <c r="H338" s="4" t="s">
        <v>13254</v>
      </c>
      <c r="I338" s="4" t="s">
        <v>13255</v>
      </c>
      <c r="J338" s="5"/>
      <c r="K338" s="4" t="s">
        <v>67</v>
      </c>
      <c r="L338" s="4">
        <v>0.0</v>
      </c>
      <c r="M338" s="15" t="str">
        <f>VLOOKUP(A338,'Live Plan Data'!I:J,2, False)</f>
        <v>Active</v>
      </c>
    </row>
    <row r="339" hidden="1">
      <c r="A339" s="4" t="s">
        <v>13584</v>
      </c>
      <c r="B339" s="4" t="s">
        <v>5181</v>
      </c>
      <c r="C339" s="4">
        <v>50022.0</v>
      </c>
      <c r="D339" s="4" t="s">
        <v>13210</v>
      </c>
      <c r="E339" s="4">
        <v>599.0</v>
      </c>
      <c r="F339" s="4">
        <v>12.0</v>
      </c>
      <c r="G339" s="12" t="s">
        <v>13265</v>
      </c>
      <c r="H339" s="4" t="s">
        <v>13266</v>
      </c>
      <c r="I339" s="4" t="s">
        <v>13255</v>
      </c>
      <c r="J339" s="5"/>
      <c r="K339" s="4" t="s">
        <v>67</v>
      </c>
      <c r="L339" s="4">
        <v>0.0</v>
      </c>
      <c r="M339" s="15" t="str">
        <f>VLOOKUP(A339,'Live Plan Data'!I:J,2, False)</f>
        <v>#N/A</v>
      </c>
    </row>
    <row r="340">
      <c r="A340" s="4" t="s">
        <v>13585</v>
      </c>
      <c r="B340" s="4" t="s">
        <v>2911</v>
      </c>
      <c r="C340" s="4">
        <v>50066.0</v>
      </c>
      <c r="D340" s="4" t="s">
        <v>13058</v>
      </c>
      <c r="E340" s="4">
        <v>589.0</v>
      </c>
      <c r="F340" s="4">
        <v>1.0</v>
      </c>
      <c r="G340" s="12" t="s">
        <v>13460</v>
      </c>
      <c r="H340" s="4" t="s">
        <v>13586</v>
      </c>
      <c r="I340" s="4" t="s">
        <v>13191</v>
      </c>
      <c r="J340" s="5"/>
      <c r="K340" s="4" t="s">
        <v>67</v>
      </c>
      <c r="L340" s="4">
        <v>0.0</v>
      </c>
      <c r="M340" s="15" t="str">
        <f>VLOOKUP(A340,'Live Plan Data'!I:J,2, False)</f>
        <v>Active</v>
      </c>
    </row>
    <row r="341" hidden="1">
      <c r="A341" s="4" t="s">
        <v>13587</v>
      </c>
      <c r="B341" s="4" t="s">
        <v>2911</v>
      </c>
      <c r="C341" s="4">
        <v>50066.0</v>
      </c>
      <c r="D341" s="4" t="s">
        <v>13063</v>
      </c>
      <c r="E341" s="4">
        <v>1179.0</v>
      </c>
      <c r="F341" s="4">
        <v>3.0</v>
      </c>
      <c r="G341" s="12" t="s">
        <v>13460</v>
      </c>
      <c r="H341" s="4" t="s">
        <v>13586</v>
      </c>
      <c r="I341" s="4" t="s">
        <v>13191</v>
      </c>
      <c r="J341" s="5"/>
      <c r="K341" s="4" t="s">
        <v>67</v>
      </c>
      <c r="L341" s="4">
        <v>0.0</v>
      </c>
      <c r="M341" s="15" t="str">
        <f>VLOOKUP(A341,'Live Plan Data'!I:J,2, False)</f>
        <v>#N/A</v>
      </c>
    </row>
    <row r="342">
      <c r="A342" s="4" t="s">
        <v>13588</v>
      </c>
      <c r="B342" s="4" t="s">
        <v>2911</v>
      </c>
      <c r="C342" s="4">
        <v>50066.0</v>
      </c>
      <c r="D342" s="4" t="s">
        <v>13063</v>
      </c>
      <c r="E342" s="4">
        <v>1179.0</v>
      </c>
      <c r="F342" s="4">
        <v>3.0</v>
      </c>
      <c r="G342" s="12" t="s">
        <v>13460</v>
      </c>
      <c r="H342" s="4" t="s">
        <v>13586</v>
      </c>
      <c r="I342" s="4" t="s">
        <v>13191</v>
      </c>
      <c r="J342" s="5"/>
      <c r="K342" s="4" t="s">
        <v>67</v>
      </c>
      <c r="L342" s="4">
        <v>0.0</v>
      </c>
      <c r="M342" s="15" t="str">
        <f>VLOOKUP(A342,'Live Plan Data'!I:J,2, False)</f>
        <v>Active</v>
      </c>
    </row>
    <row r="343">
      <c r="A343" s="4" t="s">
        <v>13589</v>
      </c>
      <c r="B343" s="4" t="s">
        <v>2911</v>
      </c>
      <c r="C343" s="4">
        <v>50066.0</v>
      </c>
      <c r="D343" s="4" t="s">
        <v>13065</v>
      </c>
      <c r="E343" s="4">
        <v>2359.0</v>
      </c>
      <c r="F343" s="4">
        <v>6.0</v>
      </c>
      <c r="G343" s="12" t="s">
        <v>13460</v>
      </c>
      <c r="H343" s="4" t="s">
        <v>13586</v>
      </c>
      <c r="I343" s="4" t="s">
        <v>13191</v>
      </c>
      <c r="J343" s="5"/>
      <c r="K343" s="4" t="s">
        <v>67</v>
      </c>
      <c r="L343" s="4">
        <v>0.0</v>
      </c>
      <c r="M343" s="15" t="str">
        <f>VLOOKUP(A343,'Live Plan Data'!I:J,2, False)</f>
        <v>Active</v>
      </c>
    </row>
    <row r="344">
      <c r="A344" s="4" t="s">
        <v>13590</v>
      </c>
      <c r="B344" s="4" t="s">
        <v>5181</v>
      </c>
      <c r="C344" s="4">
        <v>50022.0</v>
      </c>
      <c r="D344" s="4" t="s">
        <v>13058</v>
      </c>
      <c r="E344" s="4">
        <v>99.0</v>
      </c>
      <c r="F344" s="4">
        <v>1.0</v>
      </c>
      <c r="G344" s="12" t="s">
        <v>13265</v>
      </c>
      <c r="H344" s="4" t="s">
        <v>13266</v>
      </c>
      <c r="I344" s="4" t="s">
        <v>13255</v>
      </c>
      <c r="J344" s="5"/>
      <c r="K344" s="4" t="s">
        <v>67</v>
      </c>
      <c r="L344" s="4">
        <v>0.0</v>
      </c>
      <c r="M344" s="15" t="str">
        <f>VLOOKUP(A344,'Live Plan Data'!I:J,2, False)</f>
        <v>Active</v>
      </c>
    </row>
    <row r="345" hidden="1">
      <c r="A345" s="4" t="s">
        <v>13591</v>
      </c>
      <c r="B345" s="4" t="s">
        <v>2702</v>
      </c>
      <c r="C345" s="4">
        <v>50015.0</v>
      </c>
      <c r="D345" s="4" t="s">
        <v>13058</v>
      </c>
      <c r="E345" s="4">
        <v>99.0</v>
      </c>
      <c r="F345" s="4">
        <v>1.0</v>
      </c>
      <c r="G345" s="12" t="s">
        <v>13253</v>
      </c>
      <c r="H345" s="4" t="s">
        <v>13254</v>
      </c>
      <c r="I345" s="4" t="s">
        <v>13255</v>
      </c>
      <c r="J345" s="5"/>
      <c r="K345" s="4" t="s">
        <v>67</v>
      </c>
      <c r="L345" s="4">
        <v>0.0</v>
      </c>
      <c r="M345" s="15" t="str">
        <f>VLOOKUP(A345,'Live Plan Data'!I:J,2, False)</f>
        <v>#N/A</v>
      </c>
    </row>
    <row r="346" hidden="1">
      <c r="A346" s="4" t="s">
        <v>13592</v>
      </c>
      <c r="B346" s="4" t="s">
        <v>4030</v>
      </c>
      <c r="C346" s="4">
        <v>49833.0</v>
      </c>
      <c r="D346" s="4" t="s">
        <v>13058</v>
      </c>
      <c r="E346" s="4">
        <v>99.0</v>
      </c>
      <c r="F346" s="4">
        <v>1.0</v>
      </c>
      <c r="G346" s="12" t="s">
        <v>13455</v>
      </c>
      <c r="H346" s="4" t="s">
        <v>13456</v>
      </c>
      <c r="I346" s="4" t="s">
        <v>13255</v>
      </c>
      <c r="J346" s="5"/>
      <c r="K346" s="4" t="s">
        <v>67</v>
      </c>
      <c r="L346" s="4">
        <v>0.0</v>
      </c>
      <c r="M346" s="15" t="str">
        <f>VLOOKUP(A346,'Live Plan Data'!I:J,2, False)</f>
        <v>#N/A</v>
      </c>
    </row>
    <row r="347" hidden="1">
      <c r="A347" s="4" t="s">
        <v>13593</v>
      </c>
      <c r="B347" s="4" t="s">
        <v>4030</v>
      </c>
      <c r="C347" s="4">
        <v>49833.0</v>
      </c>
      <c r="D347" s="4" t="s">
        <v>13063</v>
      </c>
      <c r="E347" s="4">
        <v>199.0</v>
      </c>
      <c r="F347" s="4">
        <v>3.0</v>
      </c>
      <c r="G347" s="12" t="s">
        <v>13455</v>
      </c>
      <c r="H347" s="4" t="s">
        <v>13456</v>
      </c>
      <c r="I347" s="4" t="s">
        <v>13255</v>
      </c>
      <c r="J347" s="5"/>
      <c r="K347" s="4" t="s">
        <v>67</v>
      </c>
      <c r="L347" s="4">
        <v>0.0</v>
      </c>
      <c r="M347" s="15" t="str">
        <f>VLOOKUP(A347,'Live Plan Data'!I:J,2, False)</f>
        <v>#N/A</v>
      </c>
    </row>
    <row r="348" hidden="1">
      <c r="A348" s="4" t="s">
        <v>13594</v>
      </c>
      <c r="B348" s="4" t="s">
        <v>4030</v>
      </c>
      <c r="C348" s="4">
        <v>49833.0</v>
      </c>
      <c r="D348" s="4" t="s">
        <v>13065</v>
      </c>
      <c r="E348" s="4">
        <v>349.0</v>
      </c>
      <c r="F348" s="4">
        <v>6.0</v>
      </c>
      <c r="G348" s="12" t="s">
        <v>13455</v>
      </c>
      <c r="H348" s="4" t="s">
        <v>13456</v>
      </c>
      <c r="I348" s="4" t="s">
        <v>13255</v>
      </c>
      <c r="J348" s="5"/>
      <c r="K348" s="4" t="s">
        <v>67</v>
      </c>
      <c r="L348" s="4">
        <v>0.0</v>
      </c>
      <c r="M348" s="15" t="str">
        <f>VLOOKUP(A348,'Live Plan Data'!I:J,2, False)</f>
        <v>#N/A</v>
      </c>
    </row>
    <row r="349">
      <c r="A349" s="4" t="s">
        <v>13595</v>
      </c>
      <c r="B349" s="4" t="s">
        <v>2702</v>
      </c>
      <c r="C349" s="4">
        <v>50015.0</v>
      </c>
      <c r="D349" s="4" t="s">
        <v>13058</v>
      </c>
      <c r="E349" s="4">
        <v>149.0</v>
      </c>
      <c r="F349" s="4">
        <v>1.0</v>
      </c>
      <c r="G349" s="12" t="s">
        <v>13253</v>
      </c>
      <c r="H349" s="4" t="s">
        <v>13254</v>
      </c>
      <c r="I349" s="4" t="s">
        <v>13255</v>
      </c>
      <c r="J349" s="5"/>
      <c r="K349" s="4" t="s">
        <v>67</v>
      </c>
      <c r="L349" s="4">
        <v>0.0</v>
      </c>
      <c r="M349" s="15" t="str">
        <f>VLOOKUP(A349,'Live Plan Data'!I:J,2, False)</f>
        <v>Active</v>
      </c>
    </row>
    <row r="350">
      <c r="A350" s="4" t="s">
        <v>13596</v>
      </c>
      <c r="B350" s="4" t="s">
        <v>2702</v>
      </c>
      <c r="C350" s="4">
        <v>50015.0</v>
      </c>
      <c r="D350" s="4" t="s">
        <v>13063</v>
      </c>
      <c r="E350" s="4">
        <v>349.0</v>
      </c>
      <c r="F350" s="4">
        <v>3.0</v>
      </c>
      <c r="G350" s="12" t="s">
        <v>13253</v>
      </c>
      <c r="H350" s="4" t="s">
        <v>13254</v>
      </c>
      <c r="I350" s="4" t="s">
        <v>13255</v>
      </c>
      <c r="J350" s="5"/>
      <c r="K350" s="4" t="s">
        <v>67</v>
      </c>
      <c r="L350" s="4">
        <v>0.0</v>
      </c>
      <c r="M350" s="15" t="str">
        <f>VLOOKUP(A350,'Live Plan Data'!I:J,2, False)</f>
        <v>Active</v>
      </c>
    </row>
    <row r="351" hidden="1">
      <c r="A351" s="4" t="s">
        <v>13597</v>
      </c>
      <c r="B351" s="4" t="s">
        <v>2702</v>
      </c>
      <c r="C351" s="4">
        <v>50015.0</v>
      </c>
      <c r="D351" s="4" t="s">
        <v>13065</v>
      </c>
      <c r="E351" s="4">
        <v>699.0</v>
      </c>
      <c r="F351" s="4">
        <v>6.0</v>
      </c>
      <c r="G351" s="12" t="s">
        <v>13253</v>
      </c>
      <c r="H351" s="4" t="s">
        <v>13254</v>
      </c>
      <c r="I351" s="4" t="s">
        <v>13255</v>
      </c>
      <c r="J351" s="5"/>
      <c r="K351" s="4" t="s">
        <v>67</v>
      </c>
      <c r="L351" s="4">
        <v>0.0</v>
      </c>
      <c r="M351" s="15" t="str">
        <f>VLOOKUP(A351,'Live Plan Data'!I:J,2, False)</f>
        <v>#N/A</v>
      </c>
    </row>
    <row r="352">
      <c r="A352" s="4" t="s">
        <v>13598</v>
      </c>
      <c r="B352" s="4" t="s">
        <v>2702</v>
      </c>
      <c r="C352" s="4">
        <v>50015.0</v>
      </c>
      <c r="D352" s="4" t="s">
        <v>13065</v>
      </c>
      <c r="E352" s="4">
        <v>699.0</v>
      </c>
      <c r="F352" s="4">
        <v>6.0</v>
      </c>
      <c r="G352" s="12" t="s">
        <v>13253</v>
      </c>
      <c r="H352" s="4" t="s">
        <v>13254</v>
      </c>
      <c r="I352" s="4" t="s">
        <v>13255</v>
      </c>
      <c r="J352" s="5"/>
      <c r="K352" s="4" t="s">
        <v>67</v>
      </c>
      <c r="L352" s="4">
        <v>0.0</v>
      </c>
      <c r="M352" s="15" t="str">
        <f>VLOOKUP(A352,'Live Plan Data'!I:J,2, False)</f>
        <v>Active</v>
      </c>
    </row>
    <row r="353">
      <c r="A353" s="4" t="s">
        <v>13599</v>
      </c>
      <c r="B353" s="4" t="s">
        <v>13600</v>
      </c>
      <c r="C353" s="4">
        <v>49997.0</v>
      </c>
      <c r="D353" s="4" t="s">
        <v>13058</v>
      </c>
      <c r="E353" s="4">
        <v>99.0</v>
      </c>
      <c r="F353" s="4">
        <v>1.0</v>
      </c>
      <c r="G353" s="12" t="s">
        <v>13059</v>
      </c>
      <c r="H353" s="4" t="s">
        <v>13060</v>
      </c>
      <c r="I353" s="4" t="s">
        <v>13061</v>
      </c>
      <c r="J353" s="5"/>
      <c r="K353" s="4" t="s">
        <v>67</v>
      </c>
      <c r="L353" s="4">
        <v>0.0</v>
      </c>
      <c r="M353" s="15" t="str">
        <f>VLOOKUP(A353,'Live Plan Data'!I:J,2, False)</f>
        <v>Active</v>
      </c>
    </row>
    <row r="354">
      <c r="A354" s="4" t="s">
        <v>13601</v>
      </c>
      <c r="B354" s="4" t="s">
        <v>13600</v>
      </c>
      <c r="C354" s="4">
        <v>49997.0</v>
      </c>
      <c r="D354" s="4" t="s">
        <v>13063</v>
      </c>
      <c r="E354" s="4">
        <v>199.0</v>
      </c>
      <c r="F354" s="4">
        <v>3.0</v>
      </c>
      <c r="G354" s="12" t="s">
        <v>13059</v>
      </c>
      <c r="H354" s="4" t="s">
        <v>13060</v>
      </c>
      <c r="I354" s="4" t="s">
        <v>13061</v>
      </c>
      <c r="J354" s="5"/>
      <c r="K354" s="4" t="s">
        <v>67</v>
      </c>
      <c r="L354" s="4">
        <v>0.0</v>
      </c>
      <c r="M354" s="15" t="str">
        <f>VLOOKUP(A354,'Live Plan Data'!I:J,2, False)</f>
        <v>Active</v>
      </c>
    </row>
    <row r="355">
      <c r="A355" s="4" t="s">
        <v>13602</v>
      </c>
      <c r="B355" s="4" t="s">
        <v>13600</v>
      </c>
      <c r="C355" s="4">
        <v>49997.0</v>
      </c>
      <c r="D355" s="4" t="s">
        <v>13065</v>
      </c>
      <c r="E355" s="4">
        <v>349.0</v>
      </c>
      <c r="F355" s="4">
        <v>6.0</v>
      </c>
      <c r="G355" s="12" t="s">
        <v>13059</v>
      </c>
      <c r="H355" s="4" t="s">
        <v>13060</v>
      </c>
      <c r="I355" s="4" t="s">
        <v>13061</v>
      </c>
      <c r="J355" s="5"/>
      <c r="K355" s="4" t="s">
        <v>67</v>
      </c>
      <c r="L355" s="4">
        <v>0.0</v>
      </c>
      <c r="M355" s="15" t="str">
        <f>VLOOKUP(A355,'Live Plan Data'!I:J,2, False)</f>
        <v>Active</v>
      </c>
    </row>
    <row r="356" hidden="1">
      <c r="A356" s="4" t="s">
        <v>13603</v>
      </c>
      <c r="B356" s="4" t="s">
        <v>3610</v>
      </c>
      <c r="C356" s="4">
        <v>49992.0</v>
      </c>
      <c r="D356" s="4" t="s">
        <v>13058</v>
      </c>
      <c r="E356" s="4">
        <v>99.0</v>
      </c>
      <c r="F356" s="4">
        <v>1.0</v>
      </c>
      <c r="G356" s="12" t="s">
        <v>13103</v>
      </c>
      <c r="H356" s="4" t="s">
        <v>13104</v>
      </c>
      <c r="I356" s="4" t="s">
        <v>13061</v>
      </c>
      <c r="J356" s="5"/>
      <c r="K356" s="4" t="s">
        <v>67</v>
      </c>
      <c r="L356" s="4">
        <v>0.0</v>
      </c>
      <c r="M356" s="15" t="str">
        <f>VLOOKUP(A356,'Live Plan Data'!I:J,2, False)</f>
        <v>#N/A</v>
      </c>
    </row>
    <row r="357" hidden="1">
      <c r="A357" s="4" t="s">
        <v>13604</v>
      </c>
      <c r="B357" s="4" t="s">
        <v>3610</v>
      </c>
      <c r="C357" s="4">
        <v>49992.0</v>
      </c>
      <c r="D357" s="4" t="s">
        <v>13063</v>
      </c>
      <c r="E357" s="4">
        <v>199.0</v>
      </c>
      <c r="F357" s="4">
        <v>3.0</v>
      </c>
      <c r="G357" s="12" t="s">
        <v>13103</v>
      </c>
      <c r="H357" s="4" t="s">
        <v>13104</v>
      </c>
      <c r="I357" s="4" t="s">
        <v>13061</v>
      </c>
      <c r="J357" s="5"/>
      <c r="K357" s="4" t="s">
        <v>67</v>
      </c>
      <c r="L357" s="4">
        <v>0.0</v>
      </c>
      <c r="M357" s="15" t="str">
        <f>VLOOKUP(A357,'Live Plan Data'!I:J,2, False)</f>
        <v>#N/A</v>
      </c>
    </row>
    <row r="358" hidden="1">
      <c r="A358" s="4" t="s">
        <v>13605</v>
      </c>
      <c r="B358" s="4" t="s">
        <v>3610</v>
      </c>
      <c r="C358" s="4">
        <v>49992.0</v>
      </c>
      <c r="D358" s="4" t="s">
        <v>13065</v>
      </c>
      <c r="E358" s="4">
        <v>349.0</v>
      </c>
      <c r="F358" s="4">
        <v>6.0</v>
      </c>
      <c r="G358" s="12" t="s">
        <v>13103</v>
      </c>
      <c r="H358" s="4" t="s">
        <v>13104</v>
      </c>
      <c r="I358" s="4" t="s">
        <v>13061</v>
      </c>
      <c r="J358" s="5"/>
      <c r="K358" s="4" t="s">
        <v>67</v>
      </c>
      <c r="L358" s="4">
        <v>0.0</v>
      </c>
      <c r="M358" s="15" t="str">
        <f>VLOOKUP(A358,'Live Plan Data'!I:J,2, False)</f>
        <v>#N/A</v>
      </c>
    </row>
    <row r="359">
      <c r="A359" s="4" t="s">
        <v>13606</v>
      </c>
      <c r="B359" s="4" t="s">
        <v>3326</v>
      </c>
      <c r="C359" s="4">
        <v>50030.0</v>
      </c>
      <c r="D359" s="4" t="s">
        <v>13058</v>
      </c>
      <c r="E359" s="4">
        <v>99.0</v>
      </c>
      <c r="F359" s="4">
        <v>1.0</v>
      </c>
      <c r="G359" s="12" t="s">
        <v>13260</v>
      </c>
      <c r="H359" s="4" t="s">
        <v>13261</v>
      </c>
      <c r="I359" s="4" t="s">
        <v>13255</v>
      </c>
      <c r="J359" s="5"/>
      <c r="K359" s="4" t="s">
        <v>67</v>
      </c>
      <c r="L359" s="4">
        <v>0.0</v>
      </c>
      <c r="M359" s="15" t="str">
        <f>VLOOKUP(A359,'Live Plan Data'!I:J,2, False)</f>
        <v>Active</v>
      </c>
    </row>
    <row r="360">
      <c r="A360" s="4" t="s">
        <v>13607</v>
      </c>
      <c r="B360" s="4" t="s">
        <v>3326</v>
      </c>
      <c r="C360" s="4">
        <v>50030.0</v>
      </c>
      <c r="D360" s="4" t="s">
        <v>13063</v>
      </c>
      <c r="E360" s="4">
        <v>199.0</v>
      </c>
      <c r="F360" s="4">
        <v>3.0</v>
      </c>
      <c r="G360" s="12" t="s">
        <v>13260</v>
      </c>
      <c r="H360" s="4" t="s">
        <v>13261</v>
      </c>
      <c r="I360" s="4" t="s">
        <v>13255</v>
      </c>
      <c r="J360" s="5"/>
      <c r="K360" s="4" t="s">
        <v>67</v>
      </c>
      <c r="L360" s="4">
        <v>0.0</v>
      </c>
      <c r="M360" s="15" t="str">
        <f>VLOOKUP(A360,'Live Plan Data'!I:J,2, False)</f>
        <v>Active</v>
      </c>
    </row>
    <row r="361">
      <c r="A361" s="4" t="s">
        <v>13608</v>
      </c>
      <c r="B361" s="4" t="s">
        <v>3326</v>
      </c>
      <c r="C361" s="4">
        <v>50030.0</v>
      </c>
      <c r="D361" s="4" t="s">
        <v>13065</v>
      </c>
      <c r="E361" s="4">
        <v>349.0</v>
      </c>
      <c r="F361" s="4">
        <v>6.0</v>
      </c>
      <c r="G361" s="12" t="s">
        <v>13260</v>
      </c>
      <c r="H361" s="4" t="s">
        <v>13261</v>
      </c>
      <c r="I361" s="4" t="s">
        <v>13255</v>
      </c>
      <c r="J361" s="5"/>
      <c r="K361" s="4" t="s">
        <v>67</v>
      </c>
      <c r="L361" s="4">
        <v>0.0</v>
      </c>
      <c r="M361" s="15" t="str">
        <f>VLOOKUP(A361,'Live Plan Data'!I:J,2, False)</f>
        <v>Active</v>
      </c>
    </row>
    <row r="362" hidden="1">
      <c r="A362" s="4" t="s">
        <v>13609</v>
      </c>
      <c r="B362" s="4" t="s">
        <v>3610</v>
      </c>
      <c r="C362" s="4">
        <v>49992.0</v>
      </c>
      <c r="D362" s="4" t="s">
        <v>13210</v>
      </c>
      <c r="E362" s="4">
        <v>349.0</v>
      </c>
      <c r="F362" s="4">
        <v>12.0</v>
      </c>
      <c r="G362" s="12" t="s">
        <v>13103</v>
      </c>
      <c r="H362" s="4" t="s">
        <v>13104</v>
      </c>
      <c r="I362" s="4" t="s">
        <v>13061</v>
      </c>
      <c r="J362" s="5"/>
      <c r="K362" s="4" t="s">
        <v>67</v>
      </c>
      <c r="L362" s="4">
        <v>0.0</v>
      </c>
      <c r="M362" s="15" t="str">
        <f>VLOOKUP(A362,'Live Plan Data'!I:J,2, False)</f>
        <v>#N/A</v>
      </c>
    </row>
    <row r="363" hidden="1">
      <c r="A363" s="4" t="s">
        <v>13610</v>
      </c>
      <c r="B363" s="4" t="s">
        <v>680</v>
      </c>
      <c r="C363" s="4">
        <v>49835.0</v>
      </c>
      <c r="D363" s="4" t="s">
        <v>13058</v>
      </c>
      <c r="E363" s="4">
        <v>99.0</v>
      </c>
      <c r="F363" s="4">
        <v>1.0</v>
      </c>
      <c r="G363" s="12" t="s">
        <v>13611</v>
      </c>
      <c r="H363" s="4" t="s">
        <v>13612</v>
      </c>
      <c r="I363" s="4" t="s">
        <v>13255</v>
      </c>
      <c r="J363" s="5"/>
      <c r="K363" s="4" t="s">
        <v>67</v>
      </c>
      <c r="L363" s="4">
        <v>0.0</v>
      </c>
      <c r="M363" s="15" t="str">
        <f>VLOOKUP(A363,'Live Plan Data'!I:J,2, False)</f>
        <v>#N/A</v>
      </c>
    </row>
    <row r="364" hidden="1">
      <c r="A364" s="4" t="s">
        <v>13613</v>
      </c>
      <c r="B364" s="4" t="s">
        <v>680</v>
      </c>
      <c r="C364" s="4">
        <v>49835.0</v>
      </c>
      <c r="D364" s="4" t="s">
        <v>13063</v>
      </c>
      <c r="E364" s="4">
        <v>199.0</v>
      </c>
      <c r="F364" s="4">
        <v>3.0</v>
      </c>
      <c r="G364" s="12" t="s">
        <v>13611</v>
      </c>
      <c r="H364" s="4" t="s">
        <v>13612</v>
      </c>
      <c r="I364" s="4" t="s">
        <v>13255</v>
      </c>
      <c r="J364" s="5"/>
      <c r="K364" s="4" t="s">
        <v>67</v>
      </c>
      <c r="L364" s="4">
        <v>0.0</v>
      </c>
      <c r="M364" s="15" t="str">
        <f>VLOOKUP(A364,'Live Plan Data'!I:J,2, False)</f>
        <v>#N/A</v>
      </c>
    </row>
    <row r="365" hidden="1">
      <c r="A365" s="4" t="s">
        <v>13614</v>
      </c>
      <c r="B365" s="4" t="s">
        <v>680</v>
      </c>
      <c r="C365" s="4">
        <v>49835.0</v>
      </c>
      <c r="D365" s="4" t="s">
        <v>13065</v>
      </c>
      <c r="E365" s="4">
        <v>349.0</v>
      </c>
      <c r="F365" s="4">
        <v>6.0</v>
      </c>
      <c r="G365" s="12" t="s">
        <v>13611</v>
      </c>
      <c r="H365" s="4" t="s">
        <v>13612</v>
      </c>
      <c r="I365" s="4" t="s">
        <v>13255</v>
      </c>
      <c r="J365" s="5"/>
      <c r="K365" s="4" t="s">
        <v>67</v>
      </c>
      <c r="L365" s="4">
        <v>0.0</v>
      </c>
      <c r="M365" s="15" t="str">
        <f>VLOOKUP(A365,'Live Plan Data'!I:J,2, False)</f>
        <v>#N/A</v>
      </c>
    </row>
    <row r="366" hidden="1">
      <c r="A366" s="4" t="s">
        <v>13615</v>
      </c>
      <c r="B366" s="4" t="s">
        <v>885</v>
      </c>
      <c r="C366" s="4">
        <v>49844.0</v>
      </c>
      <c r="D366" s="4" t="s">
        <v>13058</v>
      </c>
      <c r="E366" s="4">
        <v>99.0</v>
      </c>
      <c r="F366" s="4">
        <v>1.0</v>
      </c>
      <c r="G366" s="12" t="s">
        <v>13165</v>
      </c>
      <c r="H366" s="4" t="s">
        <v>13166</v>
      </c>
      <c r="I366" s="4" t="s">
        <v>7536</v>
      </c>
      <c r="J366" s="5"/>
      <c r="K366" s="4" t="s">
        <v>67</v>
      </c>
      <c r="L366" s="4">
        <v>0.0</v>
      </c>
      <c r="M366" s="15" t="str">
        <f>VLOOKUP(A366,'Live Plan Data'!I:J,2, False)</f>
        <v>#N/A</v>
      </c>
    </row>
    <row r="367" hidden="1">
      <c r="A367" s="4" t="s">
        <v>13616</v>
      </c>
      <c r="B367" s="4" t="s">
        <v>885</v>
      </c>
      <c r="C367" s="4">
        <v>49844.0</v>
      </c>
      <c r="D367" s="4" t="s">
        <v>13063</v>
      </c>
      <c r="E367" s="4">
        <v>199.0</v>
      </c>
      <c r="F367" s="4">
        <v>3.0</v>
      </c>
      <c r="G367" s="12" t="s">
        <v>13165</v>
      </c>
      <c r="H367" s="4" t="s">
        <v>13166</v>
      </c>
      <c r="I367" s="4" t="s">
        <v>7536</v>
      </c>
      <c r="J367" s="5"/>
      <c r="K367" s="4" t="s">
        <v>67</v>
      </c>
      <c r="L367" s="4">
        <v>0.0</v>
      </c>
      <c r="M367" s="15" t="str">
        <f>VLOOKUP(A367,'Live Plan Data'!I:J,2, False)</f>
        <v>#N/A</v>
      </c>
    </row>
    <row r="368" hidden="1">
      <c r="A368" s="4" t="s">
        <v>13617</v>
      </c>
      <c r="B368" s="4" t="s">
        <v>885</v>
      </c>
      <c r="C368" s="4">
        <v>49844.0</v>
      </c>
      <c r="D368" s="4" t="s">
        <v>13065</v>
      </c>
      <c r="E368" s="4">
        <v>349.0</v>
      </c>
      <c r="F368" s="4">
        <v>6.0</v>
      </c>
      <c r="G368" s="12" t="s">
        <v>13165</v>
      </c>
      <c r="H368" s="4" t="s">
        <v>13166</v>
      </c>
      <c r="I368" s="4" t="s">
        <v>7536</v>
      </c>
      <c r="J368" s="5"/>
      <c r="K368" s="4" t="s">
        <v>67</v>
      </c>
      <c r="L368" s="4">
        <v>0.0</v>
      </c>
      <c r="M368" s="15" t="str">
        <f>VLOOKUP(A368,'Live Plan Data'!I:J,2, False)</f>
        <v>#N/A</v>
      </c>
    </row>
    <row r="369" hidden="1">
      <c r="A369" s="4" t="s">
        <v>13618</v>
      </c>
      <c r="B369" s="4" t="s">
        <v>3610</v>
      </c>
      <c r="C369" s="4">
        <v>49992.0</v>
      </c>
      <c r="D369" s="4" t="s">
        <v>13058</v>
      </c>
      <c r="E369" s="4">
        <v>99.0</v>
      </c>
      <c r="F369" s="4">
        <v>1.0</v>
      </c>
      <c r="G369" s="12" t="s">
        <v>13103</v>
      </c>
      <c r="H369" s="4" t="s">
        <v>13104</v>
      </c>
      <c r="I369" s="4" t="s">
        <v>13061</v>
      </c>
      <c r="J369" s="5"/>
      <c r="K369" s="4" t="s">
        <v>67</v>
      </c>
      <c r="L369" s="4">
        <v>0.0</v>
      </c>
      <c r="M369" s="15" t="str">
        <f>VLOOKUP(A369,'Live Plan Data'!I:J,2, False)</f>
        <v>#N/A</v>
      </c>
    </row>
    <row r="370">
      <c r="A370" s="4" t="s">
        <v>13619</v>
      </c>
      <c r="B370" s="4" t="s">
        <v>3610</v>
      </c>
      <c r="C370" s="4">
        <v>49992.0</v>
      </c>
      <c r="D370" s="4" t="s">
        <v>13063</v>
      </c>
      <c r="E370" s="4">
        <v>199.0</v>
      </c>
      <c r="F370" s="4">
        <v>3.0</v>
      </c>
      <c r="G370" s="12" t="s">
        <v>13103</v>
      </c>
      <c r="H370" s="4" t="s">
        <v>13104</v>
      </c>
      <c r="I370" s="4" t="s">
        <v>13061</v>
      </c>
      <c r="J370" s="5"/>
      <c r="K370" s="4" t="s">
        <v>67</v>
      </c>
      <c r="L370" s="4">
        <v>0.0</v>
      </c>
      <c r="M370" s="15" t="str">
        <f>VLOOKUP(A370,'Live Plan Data'!I:J,2, False)</f>
        <v>Active</v>
      </c>
    </row>
    <row r="371">
      <c r="A371" s="4" t="s">
        <v>13620</v>
      </c>
      <c r="B371" s="4" t="s">
        <v>3610</v>
      </c>
      <c r="C371" s="4">
        <v>49992.0</v>
      </c>
      <c r="D371" s="4" t="s">
        <v>13065</v>
      </c>
      <c r="E371" s="4">
        <v>349.0</v>
      </c>
      <c r="F371" s="4">
        <v>6.0</v>
      </c>
      <c r="G371" s="12" t="s">
        <v>13103</v>
      </c>
      <c r="H371" s="4" t="s">
        <v>13104</v>
      </c>
      <c r="I371" s="4" t="s">
        <v>13061</v>
      </c>
      <c r="J371" s="5"/>
      <c r="K371" s="4" t="s">
        <v>67</v>
      </c>
      <c r="L371" s="4">
        <v>0.0</v>
      </c>
      <c r="M371" s="15" t="str">
        <f>VLOOKUP(A371,'Live Plan Data'!I:J,2, False)</f>
        <v>Active</v>
      </c>
    </row>
    <row r="372">
      <c r="A372" s="4" t="s">
        <v>13621</v>
      </c>
      <c r="B372" s="4" t="s">
        <v>3610</v>
      </c>
      <c r="C372" s="4">
        <v>49992.0</v>
      </c>
      <c r="D372" s="4" t="s">
        <v>13058</v>
      </c>
      <c r="E372" s="4">
        <v>99.0</v>
      </c>
      <c r="F372" s="4">
        <v>1.0</v>
      </c>
      <c r="G372" s="12" t="s">
        <v>13103</v>
      </c>
      <c r="H372" s="4" t="s">
        <v>13104</v>
      </c>
      <c r="I372" s="4" t="s">
        <v>13061</v>
      </c>
      <c r="J372" s="5"/>
      <c r="K372" s="4" t="s">
        <v>67</v>
      </c>
      <c r="L372" s="4">
        <v>0.0</v>
      </c>
      <c r="M372" s="15" t="str">
        <f>VLOOKUP(A372,'Live Plan Data'!I:J,2, False)</f>
        <v>Active</v>
      </c>
    </row>
    <row r="373">
      <c r="A373" s="4" t="s">
        <v>13622</v>
      </c>
      <c r="B373" s="4" t="s">
        <v>680</v>
      </c>
      <c r="C373" s="4">
        <v>49835.0</v>
      </c>
      <c r="D373" s="4" t="s">
        <v>13058</v>
      </c>
      <c r="E373" s="4">
        <v>99.0</v>
      </c>
      <c r="F373" s="4">
        <v>1.0</v>
      </c>
      <c r="G373" s="12" t="s">
        <v>13446</v>
      </c>
      <c r="H373" s="4" t="s">
        <v>13612</v>
      </c>
      <c r="I373" s="4" t="s">
        <v>13255</v>
      </c>
      <c r="J373" s="5"/>
      <c r="K373" s="4" t="s">
        <v>67</v>
      </c>
      <c r="L373" s="4">
        <v>0.0</v>
      </c>
      <c r="M373" s="15" t="str">
        <f>VLOOKUP(A373,'Live Plan Data'!I:J,2, False)</f>
        <v>Active</v>
      </c>
    </row>
    <row r="374">
      <c r="A374" s="4" t="s">
        <v>13623</v>
      </c>
      <c r="B374" s="4" t="s">
        <v>680</v>
      </c>
      <c r="C374" s="4">
        <v>49835.0</v>
      </c>
      <c r="D374" s="4" t="s">
        <v>13063</v>
      </c>
      <c r="E374" s="4">
        <v>199.0</v>
      </c>
      <c r="F374" s="4">
        <v>3.0</v>
      </c>
      <c r="G374" s="12" t="s">
        <v>13446</v>
      </c>
      <c r="H374" s="4" t="s">
        <v>13612</v>
      </c>
      <c r="I374" s="4" t="s">
        <v>13255</v>
      </c>
      <c r="J374" s="5"/>
      <c r="K374" s="4" t="s">
        <v>67</v>
      </c>
      <c r="L374" s="4">
        <v>0.0</v>
      </c>
      <c r="M374" s="15" t="str">
        <f>VLOOKUP(A374,'Live Plan Data'!I:J,2, False)</f>
        <v>Active</v>
      </c>
    </row>
    <row r="375">
      <c r="A375" s="4" t="s">
        <v>13624</v>
      </c>
      <c r="B375" s="4" t="s">
        <v>680</v>
      </c>
      <c r="C375" s="4">
        <v>49835.0</v>
      </c>
      <c r="D375" s="4" t="s">
        <v>13065</v>
      </c>
      <c r="E375" s="4">
        <v>349.0</v>
      </c>
      <c r="F375" s="4">
        <v>6.0</v>
      </c>
      <c r="G375" s="12" t="s">
        <v>13446</v>
      </c>
      <c r="H375" s="4" t="s">
        <v>13612</v>
      </c>
      <c r="I375" s="4" t="s">
        <v>13255</v>
      </c>
      <c r="J375" s="5"/>
      <c r="K375" s="4" t="s">
        <v>67</v>
      </c>
      <c r="L375" s="4">
        <v>0.0</v>
      </c>
      <c r="M375" s="15" t="str">
        <f>VLOOKUP(A375,'Live Plan Data'!I:J,2, False)</f>
        <v>Active</v>
      </c>
    </row>
    <row r="376" hidden="1">
      <c r="A376" s="4" t="s">
        <v>13625</v>
      </c>
      <c r="B376" s="4" t="s">
        <v>4942</v>
      </c>
      <c r="C376" s="4">
        <v>50094.0</v>
      </c>
      <c r="D376" s="4" t="s">
        <v>13058</v>
      </c>
      <c r="E376" s="4">
        <v>199.0</v>
      </c>
      <c r="F376" s="4">
        <v>1.0</v>
      </c>
      <c r="G376" s="12" t="s">
        <v>13626</v>
      </c>
      <c r="H376" s="4" t="s">
        <v>13627</v>
      </c>
      <c r="I376" s="4" t="s">
        <v>13541</v>
      </c>
      <c r="J376" s="5"/>
      <c r="K376" s="4" t="s">
        <v>67</v>
      </c>
      <c r="L376" s="4">
        <v>0.0</v>
      </c>
      <c r="M376" s="15" t="str">
        <f>VLOOKUP(A376,'Live Plan Data'!I:J,2, False)</f>
        <v>#N/A</v>
      </c>
    </row>
    <row r="377" hidden="1">
      <c r="A377" s="4" t="s">
        <v>13628</v>
      </c>
      <c r="B377" s="4" t="s">
        <v>4942</v>
      </c>
      <c r="C377" s="4">
        <v>50094.0</v>
      </c>
      <c r="D377" s="4" t="s">
        <v>13063</v>
      </c>
      <c r="E377" s="4">
        <v>399.0</v>
      </c>
      <c r="F377" s="4">
        <v>3.0</v>
      </c>
      <c r="G377" s="12" t="s">
        <v>13626</v>
      </c>
      <c r="H377" s="4" t="s">
        <v>13627</v>
      </c>
      <c r="I377" s="4" t="s">
        <v>13541</v>
      </c>
      <c r="J377" s="5"/>
      <c r="K377" s="4" t="s">
        <v>67</v>
      </c>
      <c r="L377" s="4">
        <v>0.0</v>
      </c>
      <c r="M377" s="15" t="str">
        <f>VLOOKUP(A377,'Live Plan Data'!I:J,2, False)</f>
        <v>#N/A</v>
      </c>
    </row>
    <row r="378" hidden="1">
      <c r="A378" s="4" t="s">
        <v>13629</v>
      </c>
      <c r="B378" s="4" t="s">
        <v>4942</v>
      </c>
      <c r="C378" s="4">
        <v>50094.0</v>
      </c>
      <c r="D378" s="4" t="s">
        <v>13065</v>
      </c>
      <c r="E378" s="4">
        <v>599.0</v>
      </c>
      <c r="F378" s="4">
        <v>6.0</v>
      </c>
      <c r="G378" s="12" t="s">
        <v>13626</v>
      </c>
      <c r="H378" s="4" t="s">
        <v>13627</v>
      </c>
      <c r="I378" s="4" t="s">
        <v>13541</v>
      </c>
      <c r="J378" s="5"/>
      <c r="K378" s="4" t="s">
        <v>67</v>
      </c>
      <c r="L378" s="4">
        <v>0.0</v>
      </c>
      <c r="M378" s="15" t="str">
        <f>VLOOKUP(A378,'Live Plan Data'!I:J,2, False)</f>
        <v>#N/A</v>
      </c>
    </row>
    <row r="379" hidden="1">
      <c r="A379" s="4" t="s">
        <v>13630</v>
      </c>
      <c r="B379" s="4" t="s">
        <v>4399</v>
      </c>
      <c r="C379" s="4">
        <v>50110.0</v>
      </c>
      <c r="D379" s="4" t="s">
        <v>13058</v>
      </c>
      <c r="E379" s="4">
        <v>99.0</v>
      </c>
      <c r="F379" s="4">
        <v>1.0</v>
      </c>
      <c r="G379" s="12" t="s">
        <v>13631</v>
      </c>
      <c r="H379" s="4" t="s">
        <v>13632</v>
      </c>
      <c r="I379" s="4" t="s">
        <v>13541</v>
      </c>
      <c r="J379" s="5"/>
      <c r="K379" s="4" t="s">
        <v>67</v>
      </c>
      <c r="L379" s="4">
        <v>0.0</v>
      </c>
      <c r="M379" s="15" t="str">
        <f>VLOOKUP(A379,'Live Plan Data'!I:J,2, False)</f>
        <v>#N/A</v>
      </c>
    </row>
    <row r="380" hidden="1">
      <c r="A380" s="4" t="s">
        <v>13633</v>
      </c>
      <c r="B380" s="4" t="s">
        <v>4399</v>
      </c>
      <c r="C380" s="4">
        <v>50110.0</v>
      </c>
      <c r="D380" s="4" t="s">
        <v>13063</v>
      </c>
      <c r="E380" s="4">
        <v>199.0</v>
      </c>
      <c r="F380" s="4">
        <v>3.0</v>
      </c>
      <c r="G380" s="12" t="s">
        <v>13631</v>
      </c>
      <c r="H380" s="4" t="s">
        <v>13632</v>
      </c>
      <c r="I380" s="4" t="s">
        <v>13541</v>
      </c>
      <c r="J380" s="5"/>
      <c r="K380" s="4" t="s">
        <v>67</v>
      </c>
      <c r="L380" s="4">
        <v>0.0</v>
      </c>
      <c r="M380" s="15" t="str">
        <f>VLOOKUP(A380,'Live Plan Data'!I:J,2, False)</f>
        <v>#N/A</v>
      </c>
    </row>
    <row r="381" hidden="1">
      <c r="A381" s="4" t="s">
        <v>13634</v>
      </c>
      <c r="B381" s="4" t="s">
        <v>4399</v>
      </c>
      <c r="C381" s="4">
        <v>50110.0</v>
      </c>
      <c r="D381" s="4" t="s">
        <v>13065</v>
      </c>
      <c r="E381" s="4">
        <v>349.0</v>
      </c>
      <c r="F381" s="4">
        <v>6.0</v>
      </c>
      <c r="G381" s="12" t="s">
        <v>13631</v>
      </c>
      <c r="H381" s="4" t="s">
        <v>13632</v>
      </c>
      <c r="I381" s="4" t="s">
        <v>13541</v>
      </c>
      <c r="J381" s="5"/>
      <c r="K381" s="4" t="s">
        <v>67</v>
      </c>
      <c r="L381" s="4">
        <v>0.0</v>
      </c>
      <c r="M381" s="15" t="str">
        <f>VLOOKUP(A381,'Live Plan Data'!I:J,2, False)</f>
        <v>#N/A</v>
      </c>
    </row>
    <row r="382" hidden="1">
      <c r="A382" s="4" t="s">
        <v>13635</v>
      </c>
      <c r="B382" s="4" t="s">
        <v>13636</v>
      </c>
      <c r="C382" s="4">
        <v>2313.0</v>
      </c>
      <c r="D382" s="4" t="s">
        <v>13058</v>
      </c>
      <c r="E382" s="4">
        <v>122.0</v>
      </c>
      <c r="F382" s="4">
        <v>1.0</v>
      </c>
      <c r="G382" s="4" t="s">
        <v>13637</v>
      </c>
      <c r="H382" s="4" t="s">
        <v>13638</v>
      </c>
      <c r="I382" s="4" t="s">
        <v>13638</v>
      </c>
      <c r="J382" s="4" t="s">
        <v>13639</v>
      </c>
      <c r="K382" s="4" t="s">
        <v>67</v>
      </c>
      <c r="L382" s="4">
        <v>0.0</v>
      </c>
      <c r="M382" s="15" t="str">
        <f>VLOOKUP(A382,'Live Plan Data'!I:J,2, False)</f>
        <v>#N/A</v>
      </c>
    </row>
    <row r="383">
      <c r="A383" s="4" t="s">
        <v>13640</v>
      </c>
      <c r="B383" s="4" t="s">
        <v>3986</v>
      </c>
      <c r="C383" s="4">
        <v>50086.0</v>
      </c>
      <c r="D383" s="4" t="s">
        <v>13058</v>
      </c>
      <c r="E383" s="4">
        <v>249.0</v>
      </c>
      <c r="F383" s="4">
        <v>1.0</v>
      </c>
      <c r="G383" s="12" t="s">
        <v>13641</v>
      </c>
      <c r="H383" s="4" t="s">
        <v>13642</v>
      </c>
      <c r="I383" s="4" t="s">
        <v>13191</v>
      </c>
      <c r="J383" s="5"/>
      <c r="K383" s="4" t="s">
        <v>67</v>
      </c>
      <c r="L383" s="4">
        <v>0.0</v>
      </c>
      <c r="M383" s="15" t="str">
        <f>VLOOKUP(A383,'Live Plan Data'!I:J,2, False)</f>
        <v>Active</v>
      </c>
    </row>
    <row r="384">
      <c r="A384" s="4" t="s">
        <v>13643</v>
      </c>
      <c r="B384" s="4" t="s">
        <v>3986</v>
      </c>
      <c r="C384" s="4">
        <v>50086.0</v>
      </c>
      <c r="D384" s="4" t="s">
        <v>13063</v>
      </c>
      <c r="E384" s="4">
        <v>599.0</v>
      </c>
      <c r="F384" s="4">
        <v>3.0</v>
      </c>
      <c r="G384" s="12" t="s">
        <v>13641</v>
      </c>
      <c r="H384" s="4" t="s">
        <v>13642</v>
      </c>
      <c r="I384" s="4" t="s">
        <v>13191</v>
      </c>
      <c r="J384" s="5"/>
      <c r="K384" s="4" t="s">
        <v>67</v>
      </c>
      <c r="L384" s="4">
        <v>0.0</v>
      </c>
      <c r="M384" s="15" t="str">
        <f>VLOOKUP(A384,'Live Plan Data'!I:J,2, False)</f>
        <v>Active</v>
      </c>
    </row>
    <row r="385" hidden="1">
      <c r="A385" s="4" t="s">
        <v>13644</v>
      </c>
      <c r="B385" s="4" t="s">
        <v>4914</v>
      </c>
      <c r="C385" s="4">
        <v>50113.0</v>
      </c>
      <c r="D385" s="4" t="s">
        <v>13058</v>
      </c>
      <c r="E385" s="4">
        <v>199.0</v>
      </c>
      <c r="F385" s="4">
        <v>1.0</v>
      </c>
      <c r="G385" s="12" t="s">
        <v>13645</v>
      </c>
      <c r="H385" s="4" t="s">
        <v>13646</v>
      </c>
      <c r="I385" s="4" t="s">
        <v>13191</v>
      </c>
      <c r="J385" s="4" t="s">
        <v>4919</v>
      </c>
      <c r="K385" s="4" t="s">
        <v>67</v>
      </c>
      <c r="L385" s="4">
        <v>0.0</v>
      </c>
      <c r="M385" s="15" t="str">
        <f>VLOOKUP(A385,'Live Plan Data'!I:J,2, False)</f>
        <v>#N/A</v>
      </c>
    </row>
    <row r="386" hidden="1">
      <c r="A386" s="4" t="s">
        <v>13647</v>
      </c>
      <c r="B386" s="4" t="s">
        <v>4914</v>
      </c>
      <c r="C386" s="4">
        <v>50113.0</v>
      </c>
      <c r="D386" s="4" t="s">
        <v>13058</v>
      </c>
      <c r="E386" s="4">
        <v>349.0</v>
      </c>
      <c r="F386" s="4">
        <v>1.0</v>
      </c>
      <c r="G386" s="12" t="s">
        <v>13645</v>
      </c>
      <c r="H386" s="4" t="s">
        <v>13646</v>
      </c>
      <c r="I386" s="4" t="s">
        <v>13191</v>
      </c>
      <c r="J386" s="4" t="s">
        <v>4931</v>
      </c>
      <c r="K386" s="4" t="s">
        <v>67</v>
      </c>
      <c r="L386" s="4">
        <v>0.0</v>
      </c>
      <c r="M386" s="15" t="str">
        <f>VLOOKUP(A386,'Live Plan Data'!I:J,2, False)</f>
        <v>#N/A</v>
      </c>
    </row>
    <row r="387" hidden="1">
      <c r="A387" s="4" t="s">
        <v>13648</v>
      </c>
      <c r="B387" s="4" t="s">
        <v>4914</v>
      </c>
      <c r="C387" s="4">
        <v>50113.0</v>
      </c>
      <c r="D387" s="4" t="s">
        <v>13058</v>
      </c>
      <c r="E387" s="4">
        <v>499.0</v>
      </c>
      <c r="F387" s="4">
        <v>1.0</v>
      </c>
      <c r="G387" s="12" t="s">
        <v>13645</v>
      </c>
      <c r="H387" s="4" t="s">
        <v>13646</v>
      </c>
      <c r="I387" s="4" t="s">
        <v>13191</v>
      </c>
      <c r="J387" s="4" t="s">
        <v>4915</v>
      </c>
      <c r="K387" s="4" t="s">
        <v>67</v>
      </c>
      <c r="L387" s="4">
        <v>0.0</v>
      </c>
      <c r="M387" s="15" t="str">
        <f>VLOOKUP(A387,'Live Plan Data'!I:J,2, False)</f>
        <v>#N/A</v>
      </c>
    </row>
    <row r="388" hidden="1">
      <c r="A388" s="4" t="s">
        <v>13649</v>
      </c>
      <c r="B388" s="4" t="s">
        <v>4422</v>
      </c>
      <c r="C388" s="4">
        <v>50026.0</v>
      </c>
      <c r="D388" s="4" t="s">
        <v>13058</v>
      </c>
      <c r="E388" s="4">
        <v>499.0</v>
      </c>
      <c r="F388" s="4">
        <v>1.0</v>
      </c>
      <c r="G388" s="12" t="s">
        <v>13298</v>
      </c>
      <c r="H388" s="4" t="s">
        <v>13299</v>
      </c>
      <c r="I388" s="4" t="s">
        <v>13255</v>
      </c>
      <c r="J388" s="5"/>
      <c r="K388" s="4" t="s">
        <v>67</v>
      </c>
      <c r="L388" s="4">
        <v>0.0</v>
      </c>
      <c r="M388" s="15" t="str">
        <f>VLOOKUP(A388,'Live Plan Data'!I:J,2, False)</f>
        <v>#N/A</v>
      </c>
    </row>
    <row r="389" hidden="1">
      <c r="A389" s="4" t="s">
        <v>13650</v>
      </c>
      <c r="B389" s="4" t="s">
        <v>4422</v>
      </c>
      <c r="C389" s="4">
        <v>50026.0</v>
      </c>
      <c r="D389" s="4" t="s">
        <v>13063</v>
      </c>
      <c r="E389" s="4">
        <v>999.0</v>
      </c>
      <c r="F389" s="4">
        <v>3.0</v>
      </c>
      <c r="G389" s="12" t="s">
        <v>13298</v>
      </c>
      <c r="H389" s="4" t="s">
        <v>13299</v>
      </c>
      <c r="I389" s="4" t="s">
        <v>13255</v>
      </c>
      <c r="J389" s="5"/>
      <c r="K389" s="4" t="s">
        <v>67</v>
      </c>
      <c r="L389" s="4">
        <v>0.0</v>
      </c>
      <c r="M389" s="15" t="str">
        <f>VLOOKUP(A389,'Live Plan Data'!I:J,2, False)</f>
        <v>#N/A</v>
      </c>
    </row>
    <row r="390">
      <c r="A390" s="4" t="s">
        <v>13651</v>
      </c>
      <c r="B390" s="4" t="s">
        <v>1016</v>
      </c>
      <c r="C390" s="4">
        <v>49899.0</v>
      </c>
      <c r="D390" s="4" t="s">
        <v>13058</v>
      </c>
      <c r="E390" s="4">
        <v>199.0</v>
      </c>
      <c r="F390" s="4">
        <v>1.0</v>
      </c>
      <c r="G390" s="12" t="s">
        <v>13189</v>
      </c>
      <c r="H390" s="4" t="s">
        <v>13190</v>
      </c>
      <c r="I390" s="4" t="s">
        <v>13191</v>
      </c>
      <c r="J390" s="5"/>
      <c r="K390" s="4" t="s">
        <v>67</v>
      </c>
      <c r="L390" s="4">
        <v>0.0</v>
      </c>
      <c r="M390" s="15" t="str">
        <f>VLOOKUP(A390,'Live Plan Data'!I:J,2, False)</f>
        <v>Active</v>
      </c>
    </row>
    <row r="391">
      <c r="A391" s="4" t="s">
        <v>13652</v>
      </c>
      <c r="B391" s="4" t="s">
        <v>1016</v>
      </c>
      <c r="C391" s="4">
        <v>49899.0</v>
      </c>
      <c r="D391" s="4" t="s">
        <v>13063</v>
      </c>
      <c r="E391" s="4">
        <v>299.0</v>
      </c>
      <c r="F391" s="4">
        <v>3.0</v>
      </c>
      <c r="G391" s="12" t="s">
        <v>13189</v>
      </c>
      <c r="H391" s="4" t="s">
        <v>13190</v>
      </c>
      <c r="I391" s="4" t="s">
        <v>13191</v>
      </c>
      <c r="J391" s="5"/>
      <c r="K391" s="4" t="s">
        <v>67</v>
      </c>
      <c r="L391" s="4">
        <v>0.0</v>
      </c>
      <c r="M391" s="15" t="str">
        <f>VLOOKUP(A391,'Live Plan Data'!I:J,2, False)</f>
        <v>Active</v>
      </c>
    </row>
    <row r="392">
      <c r="A392" s="4" t="s">
        <v>13653</v>
      </c>
      <c r="B392" s="4" t="s">
        <v>1016</v>
      </c>
      <c r="C392" s="4">
        <v>49899.0</v>
      </c>
      <c r="D392" s="4" t="s">
        <v>13065</v>
      </c>
      <c r="E392" s="4">
        <v>499.0</v>
      </c>
      <c r="F392" s="4">
        <v>6.0</v>
      </c>
      <c r="G392" s="12" t="s">
        <v>13189</v>
      </c>
      <c r="H392" s="4" t="s">
        <v>13190</v>
      </c>
      <c r="I392" s="4" t="s">
        <v>13191</v>
      </c>
      <c r="J392" s="5"/>
      <c r="K392" s="4" t="s">
        <v>67</v>
      </c>
      <c r="L392" s="4">
        <v>0.0</v>
      </c>
      <c r="M392" s="15" t="str">
        <f>VLOOKUP(A392,'Live Plan Data'!I:J,2, False)</f>
        <v>Active</v>
      </c>
    </row>
    <row r="393">
      <c r="A393" s="4" t="s">
        <v>13654</v>
      </c>
      <c r="B393" s="4" t="s">
        <v>587</v>
      </c>
      <c r="C393" s="4">
        <v>49907.0</v>
      </c>
      <c r="D393" s="4" t="s">
        <v>13058</v>
      </c>
      <c r="E393" s="4">
        <v>99.0</v>
      </c>
      <c r="F393" s="4">
        <v>1.0</v>
      </c>
      <c r="G393" s="12" t="s">
        <v>13109</v>
      </c>
      <c r="H393" s="4" t="s">
        <v>13110</v>
      </c>
      <c r="I393" s="4" t="s">
        <v>4680</v>
      </c>
      <c r="J393" s="5"/>
      <c r="K393" s="4" t="s">
        <v>67</v>
      </c>
      <c r="L393" s="4">
        <v>0.0</v>
      </c>
      <c r="M393" s="15" t="str">
        <f>VLOOKUP(A393,'Live Plan Data'!I:J,2, False)</f>
        <v>Active</v>
      </c>
    </row>
    <row r="394">
      <c r="A394" s="4" t="s">
        <v>13655</v>
      </c>
      <c r="B394" s="4" t="s">
        <v>587</v>
      </c>
      <c r="C394" s="4">
        <v>49907.0</v>
      </c>
      <c r="D394" s="4" t="s">
        <v>13063</v>
      </c>
      <c r="E394" s="4">
        <v>199.0</v>
      </c>
      <c r="F394" s="4">
        <v>3.0</v>
      </c>
      <c r="G394" s="12" t="s">
        <v>13109</v>
      </c>
      <c r="H394" s="4" t="s">
        <v>13110</v>
      </c>
      <c r="I394" s="4" t="s">
        <v>4680</v>
      </c>
      <c r="J394" s="5"/>
      <c r="K394" s="4" t="s">
        <v>67</v>
      </c>
      <c r="L394" s="4">
        <v>0.0</v>
      </c>
      <c r="M394" s="15" t="str">
        <f>VLOOKUP(A394,'Live Plan Data'!I:J,2, False)</f>
        <v>Active</v>
      </c>
    </row>
    <row r="395">
      <c r="A395" s="4" t="s">
        <v>13656</v>
      </c>
      <c r="B395" s="4" t="s">
        <v>587</v>
      </c>
      <c r="C395" s="4">
        <v>49907.0</v>
      </c>
      <c r="D395" s="4" t="s">
        <v>13065</v>
      </c>
      <c r="E395" s="4">
        <v>349.0</v>
      </c>
      <c r="F395" s="4">
        <v>6.0</v>
      </c>
      <c r="G395" s="12" t="s">
        <v>13109</v>
      </c>
      <c r="H395" s="4" t="s">
        <v>13110</v>
      </c>
      <c r="I395" s="4" t="s">
        <v>4680</v>
      </c>
      <c r="J395" s="5"/>
      <c r="K395" s="4" t="s">
        <v>67</v>
      </c>
      <c r="L395" s="4">
        <v>0.0</v>
      </c>
      <c r="M395" s="15" t="str">
        <f>VLOOKUP(A395,'Live Plan Data'!I:J,2, False)</f>
        <v>Active</v>
      </c>
    </row>
    <row r="396" hidden="1">
      <c r="A396" s="4" t="s">
        <v>13657</v>
      </c>
      <c r="B396" s="4" t="s">
        <v>1133</v>
      </c>
      <c r="C396" s="4">
        <v>49859.0</v>
      </c>
      <c r="D396" s="4" t="s">
        <v>13058</v>
      </c>
      <c r="E396" s="4">
        <v>99.0</v>
      </c>
      <c r="F396" s="4">
        <v>1.0</v>
      </c>
      <c r="G396" s="12" t="s">
        <v>13136</v>
      </c>
      <c r="H396" s="4" t="s">
        <v>13137</v>
      </c>
      <c r="I396" s="4" t="s">
        <v>4680</v>
      </c>
      <c r="J396" s="5"/>
      <c r="K396" s="4" t="s">
        <v>67</v>
      </c>
      <c r="L396" s="4">
        <v>0.0</v>
      </c>
      <c r="M396" s="15" t="str">
        <f>VLOOKUP(A396,'Live Plan Data'!I:J,2, False)</f>
        <v>#N/A</v>
      </c>
    </row>
    <row r="397" hidden="1">
      <c r="A397" s="4" t="s">
        <v>13658</v>
      </c>
      <c r="B397" s="4" t="s">
        <v>1133</v>
      </c>
      <c r="C397" s="4">
        <v>49859.0</v>
      </c>
      <c r="D397" s="4" t="s">
        <v>13063</v>
      </c>
      <c r="E397" s="4">
        <v>199.0</v>
      </c>
      <c r="F397" s="4">
        <v>3.0</v>
      </c>
      <c r="G397" s="12" t="s">
        <v>13136</v>
      </c>
      <c r="H397" s="4" t="s">
        <v>13137</v>
      </c>
      <c r="I397" s="4" t="s">
        <v>4680</v>
      </c>
      <c r="J397" s="5"/>
      <c r="K397" s="4" t="s">
        <v>67</v>
      </c>
      <c r="L397" s="4">
        <v>0.0</v>
      </c>
      <c r="M397" s="15" t="str">
        <f>VLOOKUP(A397,'Live Plan Data'!I:J,2, False)</f>
        <v>#N/A</v>
      </c>
    </row>
    <row r="398" hidden="1">
      <c r="A398" s="4" t="s">
        <v>13659</v>
      </c>
      <c r="B398" s="4" t="s">
        <v>1133</v>
      </c>
      <c r="C398" s="4">
        <v>49859.0</v>
      </c>
      <c r="D398" s="4" t="s">
        <v>13065</v>
      </c>
      <c r="E398" s="4">
        <v>349.0</v>
      </c>
      <c r="F398" s="4">
        <v>6.0</v>
      </c>
      <c r="G398" s="12" t="s">
        <v>13136</v>
      </c>
      <c r="H398" s="4" t="s">
        <v>13137</v>
      </c>
      <c r="I398" s="4" t="s">
        <v>4680</v>
      </c>
      <c r="J398" s="5"/>
      <c r="K398" s="4" t="s">
        <v>67</v>
      </c>
      <c r="L398" s="4">
        <v>0.0</v>
      </c>
      <c r="M398" s="15" t="str">
        <f>VLOOKUP(A398,'Live Plan Data'!I:J,2, False)</f>
        <v>#N/A</v>
      </c>
    </row>
    <row r="399">
      <c r="A399" s="4" t="s">
        <v>13660</v>
      </c>
      <c r="B399" s="4" t="s">
        <v>6595</v>
      </c>
      <c r="C399" s="4">
        <v>49958.0</v>
      </c>
      <c r="D399" s="4" t="s">
        <v>13063</v>
      </c>
      <c r="E399" s="4">
        <v>199.0</v>
      </c>
      <c r="F399" s="4">
        <v>3.0</v>
      </c>
      <c r="G399" s="12" t="s">
        <v>13239</v>
      </c>
      <c r="H399" s="4" t="s">
        <v>13240</v>
      </c>
      <c r="I399" s="4" t="s">
        <v>4680</v>
      </c>
      <c r="J399" s="5"/>
      <c r="K399" s="4" t="s">
        <v>67</v>
      </c>
      <c r="L399" s="4">
        <v>0.0</v>
      </c>
      <c r="M399" s="15" t="str">
        <f>VLOOKUP(A399,'Live Plan Data'!I:J,2, False)</f>
        <v>Active</v>
      </c>
    </row>
    <row r="400">
      <c r="A400" s="4" t="s">
        <v>13661</v>
      </c>
      <c r="B400" s="4" t="s">
        <v>6595</v>
      </c>
      <c r="C400" s="4">
        <v>49958.0</v>
      </c>
      <c r="D400" s="4" t="s">
        <v>13065</v>
      </c>
      <c r="E400" s="4">
        <v>349.0</v>
      </c>
      <c r="F400" s="4">
        <v>6.0</v>
      </c>
      <c r="G400" s="12" t="s">
        <v>13239</v>
      </c>
      <c r="H400" s="4" t="s">
        <v>13240</v>
      </c>
      <c r="I400" s="4" t="s">
        <v>4680</v>
      </c>
      <c r="J400" s="5"/>
      <c r="K400" s="4" t="s">
        <v>67</v>
      </c>
      <c r="L400" s="4">
        <v>0.0</v>
      </c>
      <c r="M400" s="15" t="str">
        <f>VLOOKUP(A400,'Live Plan Data'!I:J,2, False)</f>
        <v>Active</v>
      </c>
    </row>
    <row r="401">
      <c r="A401" s="4" t="s">
        <v>13662</v>
      </c>
      <c r="B401" s="4" t="s">
        <v>12794</v>
      </c>
      <c r="C401" s="4">
        <v>50119.0</v>
      </c>
      <c r="D401" s="4" t="s">
        <v>13058</v>
      </c>
      <c r="E401" s="4">
        <v>499.0</v>
      </c>
      <c r="F401" s="4">
        <v>1.0</v>
      </c>
      <c r="G401" s="12" t="s">
        <v>13663</v>
      </c>
      <c r="H401" s="4" t="s">
        <v>13664</v>
      </c>
      <c r="I401" s="4" t="s">
        <v>13665</v>
      </c>
      <c r="J401" s="4" t="s">
        <v>13666</v>
      </c>
      <c r="K401" s="4" t="s">
        <v>67</v>
      </c>
      <c r="L401" s="4">
        <v>700.0</v>
      </c>
      <c r="M401" s="15" t="str">
        <f>VLOOKUP(A401,'Live Plan Data'!I:J,2, False)</f>
        <v>Active</v>
      </c>
    </row>
    <row r="402">
      <c r="A402" s="4" t="s">
        <v>13667</v>
      </c>
      <c r="B402" s="4" t="s">
        <v>12794</v>
      </c>
      <c r="C402" s="4">
        <v>50119.0</v>
      </c>
      <c r="D402" s="4" t="s">
        <v>13058</v>
      </c>
      <c r="E402" s="4">
        <v>799.0</v>
      </c>
      <c r="F402" s="4">
        <v>1.0</v>
      </c>
      <c r="G402" s="12" t="s">
        <v>13663</v>
      </c>
      <c r="H402" s="4" t="s">
        <v>13664</v>
      </c>
      <c r="I402" s="4" t="s">
        <v>13665</v>
      </c>
      <c r="J402" s="4" t="s">
        <v>13668</v>
      </c>
      <c r="K402" s="4" t="s">
        <v>67</v>
      </c>
      <c r="L402" s="4">
        <v>1100.0</v>
      </c>
      <c r="M402" s="15" t="str">
        <f>VLOOKUP(A402,'Live Plan Data'!I:J,2, False)</f>
        <v>Active</v>
      </c>
    </row>
    <row r="403">
      <c r="A403" s="4" t="s">
        <v>13669</v>
      </c>
      <c r="B403" s="4" t="s">
        <v>12794</v>
      </c>
      <c r="C403" s="4">
        <v>50119.0</v>
      </c>
      <c r="D403" s="4" t="s">
        <v>13058</v>
      </c>
      <c r="E403" s="4">
        <v>1499.0</v>
      </c>
      <c r="F403" s="4">
        <v>1.0</v>
      </c>
      <c r="G403" s="12" t="s">
        <v>13663</v>
      </c>
      <c r="H403" s="4" t="s">
        <v>13664</v>
      </c>
      <c r="I403" s="4" t="s">
        <v>13665</v>
      </c>
      <c r="J403" s="4" t="s">
        <v>13670</v>
      </c>
      <c r="K403" s="4" t="s">
        <v>67</v>
      </c>
      <c r="L403" s="4">
        <v>2000.0</v>
      </c>
      <c r="M403" s="15" t="str">
        <f>VLOOKUP(A403,'Live Plan Data'!I:J,2, False)</f>
        <v>Active</v>
      </c>
    </row>
    <row r="404" hidden="1">
      <c r="A404" s="4" t="s">
        <v>13671</v>
      </c>
      <c r="B404" s="4" t="s">
        <v>5984</v>
      </c>
      <c r="C404" s="4">
        <v>50076.0</v>
      </c>
      <c r="D404" s="4" t="s">
        <v>13058</v>
      </c>
      <c r="E404" s="4">
        <v>199.0</v>
      </c>
      <c r="F404" s="4">
        <v>1.0</v>
      </c>
      <c r="G404" s="12" t="s">
        <v>13549</v>
      </c>
      <c r="H404" s="4" t="s">
        <v>13550</v>
      </c>
      <c r="I404" s="4" t="s">
        <v>13541</v>
      </c>
      <c r="J404" s="5"/>
      <c r="K404" s="4" t="s">
        <v>67</v>
      </c>
      <c r="L404" s="4">
        <v>0.0</v>
      </c>
      <c r="M404" s="15" t="str">
        <f>VLOOKUP(A404,'Live Plan Data'!I:J,2, False)</f>
        <v>#N/A</v>
      </c>
    </row>
    <row r="405" hidden="1">
      <c r="A405" s="4" t="s">
        <v>13672</v>
      </c>
      <c r="B405" s="4" t="s">
        <v>5984</v>
      </c>
      <c r="C405" s="4">
        <v>50076.0</v>
      </c>
      <c r="D405" s="4" t="s">
        <v>13063</v>
      </c>
      <c r="E405" s="4">
        <v>349.0</v>
      </c>
      <c r="F405" s="4">
        <v>3.0</v>
      </c>
      <c r="G405" s="12" t="s">
        <v>13549</v>
      </c>
      <c r="H405" s="4" t="s">
        <v>13550</v>
      </c>
      <c r="I405" s="4" t="s">
        <v>13541</v>
      </c>
      <c r="J405" s="5"/>
      <c r="K405" s="4" t="s">
        <v>67</v>
      </c>
      <c r="L405" s="4">
        <v>0.0</v>
      </c>
      <c r="M405" s="15" t="str">
        <f>VLOOKUP(A405,'Live Plan Data'!I:J,2, False)</f>
        <v>#N/A</v>
      </c>
    </row>
    <row r="406" hidden="1">
      <c r="A406" s="4" t="s">
        <v>13673</v>
      </c>
      <c r="B406" s="4" t="s">
        <v>5984</v>
      </c>
      <c r="C406" s="4">
        <v>50076.0</v>
      </c>
      <c r="D406" s="4" t="s">
        <v>13065</v>
      </c>
      <c r="E406" s="4">
        <v>599.0</v>
      </c>
      <c r="F406" s="4">
        <v>6.0</v>
      </c>
      <c r="G406" s="12" t="s">
        <v>13549</v>
      </c>
      <c r="H406" s="4" t="s">
        <v>13550</v>
      </c>
      <c r="I406" s="4" t="s">
        <v>13541</v>
      </c>
      <c r="J406" s="5"/>
      <c r="K406" s="4" t="s">
        <v>67</v>
      </c>
      <c r="L406" s="4">
        <v>0.0</v>
      </c>
      <c r="M406" s="15" t="str">
        <f>VLOOKUP(A406,'Live Plan Data'!I:J,2, False)</f>
        <v>#N/A</v>
      </c>
    </row>
    <row r="407" hidden="1">
      <c r="A407" s="4" t="s">
        <v>13674</v>
      </c>
      <c r="B407" s="4" t="s">
        <v>5984</v>
      </c>
      <c r="C407" s="4">
        <v>50076.0</v>
      </c>
      <c r="D407" s="4" t="s">
        <v>13065</v>
      </c>
      <c r="E407" s="4">
        <v>599.0</v>
      </c>
      <c r="F407" s="4">
        <v>6.0</v>
      </c>
      <c r="G407" s="12" t="s">
        <v>13549</v>
      </c>
      <c r="H407" s="4" t="s">
        <v>13550</v>
      </c>
      <c r="I407" s="4" t="s">
        <v>13541</v>
      </c>
      <c r="J407" s="5"/>
      <c r="K407" s="4" t="s">
        <v>67</v>
      </c>
      <c r="L407" s="4">
        <v>0.0</v>
      </c>
      <c r="M407" s="15" t="str">
        <f>VLOOKUP(A407,'Live Plan Data'!I:J,2, False)</f>
        <v>#N/A</v>
      </c>
    </row>
    <row r="408">
      <c r="A408" s="4" t="s">
        <v>13675</v>
      </c>
      <c r="B408" s="4" t="s">
        <v>2161</v>
      </c>
      <c r="C408" s="4">
        <v>50073.0</v>
      </c>
      <c r="D408" s="4" t="s">
        <v>13058</v>
      </c>
      <c r="E408" s="4">
        <v>799.0</v>
      </c>
      <c r="F408" s="4">
        <v>1.0</v>
      </c>
      <c r="G408" s="12" t="s">
        <v>13676</v>
      </c>
      <c r="H408" s="4" t="s">
        <v>2174</v>
      </c>
      <c r="I408" s="4" t="s">
        <v>13255</v>
      </c>
      <c r="J408" s="5"/>
      <c r="K408" s="4" t="s">
        <v>67</v>
      </c>
      <c r="L408" s="4">
        <v>0.0</v>
      </c>
      <c r="M408" s="15" t="str">
        <f>VLOOKUP(A408,'Live Plan Data'!I:J,2, False)</f>
        <v>Active</v>
      </c>
    </row>
    <row r="409">
      <c r="A409" s="4" t="s">
        <v>13677</v>
      </c>
      <c r="B409" s="4" t="s">
        <v>2161</v>
      </c>
      <c r="C409" s="4">
        <v>50073.0</v>
      </c>
      <c r="D409" s="4" t="s">
        <v>13063</v>
      </c>
      <c r="E409" s="4">
        <v>2199.0</v>
      </c>
      <c r="F409" s="4">
        <v>3.0</v>
      </c>
      <c r="G409" s="12" t="s">
        <v>13676</v>
      </c>
      <c r="H409" s="4" t="s">
        <v>2174</v>
      </c>
      <c r="I409" s="4" t="s">
        <v>13255</v>
      </c>
      <c r="J409" s="5"/>
      <c r="K409" s="4" t="s">
        <v>67</v>
      </c>
      <c r="L409" s="4">
        <v>0.0</v>
      </c>
      <c r="M409" s="15" t="str">
        <f>VLOOKUP(A409,'Live Plan Data'!I:J,2, False)</f>
        <v>Active</v>
      </c>
    </row>
    <row r="410" hidden="1">
      <c r="A410" s="4" t="s">
        <v>13678</v>
      </c>
      <c r="B410" s="5"/>
      <c r="C410" s="4">
        <v>1.0</v>
      </c>
      <c r="D410" s="4" t="s">
        <v>13058</v>
      </c>
      <c r="E410" s="5"/>
      <c r="F410" s="4">
        <v>1.0</v>
      </c>
      <c r="G410" s="5"/>
      <c r="H410" s="5"/>
      <c r="I410" s="5"/>
      <c r="J410" s="5"/>
      <c r="K410" s="4" t="s">
        <v>67</v>
      </c>
      <c r="L410" s="4">
        <v>0.0</v>
      </c>
      <c r="M410" s="15" t="str">
        <f>VLOOKUP(A410,'Live Plan Data'!I:J,2, False)</f>
        <v>#N/A</v>
      </c>
    </row>
    <row r="411" hidden="1">
      <c r="A411" s="4" t="s">
        <v>13679</v>
      </c>
      <c r="B411" s="4" t="s">
        <v>13680</v>
      </c>
      <c r="C411" s="4">
        <v>50122.0</v>
      </c>
      <c r="D411" s="4" t="s">
        <v>13058</v>
      </c>
      <c r="E411" s="4">
        <v>999.0</v>
      </c>
      <c r="F411" s="4">
        <v>1.0</v>
      </c>
      <c r="G411" s="12" t="s">
        <v>13681</v>
      </c>
      <c r="H411" s="4" t="s">
        <v>13682</v>
      </c>
      <c r="I411" s="4" t="s">
        <v>13683</v>
      </c>
      <c r="J411" s="5"/>
      <c r="K411" s="4" t="s">
        <v>67</v>
      </c>
      <c r="L411" s="4">
        <v>0.0</v>
      </c>
      <c r="M411" s="15" t="str">
        <f>VLOOKUP(A411,'Live Plan Data'!I:J,2, False)</f>
        <v>#N/A</v>
      </c>
    </row>
    <row r="412" hidden="1">
      <c r="A412" s="4" t="s">
        <v>13684</v>
      </c>
      <c r="B412" s="4" t="s">
        <v>13680</v>
      </c>
      <c r="C412" s="4">
        <v>50122.0</v>
      </c>
      <c r="D412" s="4" t="s">
        <v>13065</v>
      </c>
      <c r="E412" s="4">
        <v>4999.0</v>
      </c>
      <c r="F412" s="4">
        <v>6.0</v>
      </c>
      <c r="G412" s="12" t="s">
        <v>13681</v>
      </c>
      <c r="H412" s="4" t="s">
        <v>13682</v>
      </c>
      <c r="I412" s="4" t="s">
        <v>13683</v>
      </c>
      <c r="J412" s="5"/>
      <c r="K412" s="4" t="s">
        <v>67</v>
      </c>
      <c r="L412" s="4">
        <v>0.0</v>
      </c>
      <c r="M412" s="15" t="str">
        <f>VLOOKUP(A412,'Live Plan Data'!I:J,2, False)</f>
        <v>#N/A</v>
      </c>
    </row>
    <row r="413" hidden="1">
      <c r="A413" s="4" t="s">
        <v>13685</v>
      </c>
      <c r="B413" s="4" t="s">
        <v>13680</v>
      </c>
      <c r="C413" s="4">
        <v>50122.0</v>
      </c>
      <c r="D413" s="4" t="s">
        <v>13210</v>
      </c>
      <c r="E413" s="4">
        <v>9999.0</v>
      </c>
      <c r="F413" s="4">
        <v>12.0</v>
      </c>
      <c r="G413" s="12" t="s">
        <v>13681</v>
      </c>
      <c r="H413" s="4" t="s">
        <v>13682</v>
      </c>
      <c r="I413" s="4" t="s">
        <v>13683</v>
      </c>
      <c r="J413" s="5"/>
      <c r="K413" s="4" t="s">
        <v>67</v>
      </c>
      <c r="L413" s="4">
        <v>0.0</v>
      </c>
      <c r="M413" s="15" t="str">
        <f>VLOOKUP(A413,'Live Plan Data'!I:J,2, False)</f>
        <v>#N/A</v>
      </c>
    </row>
    <row r="414" hidden="1">
      <c r="A414" s="4" t="s">
        <v>13686</v>
      </c>
      <c r="B414" s="4" t="s">
        <v>2161</v>
      </c>
      <c r="C414" s="4">
        <v>50073.0</v>
      </c>
      <c r="D414" s="4" t="s">
        <v>13058</v>
      </c>
      <c r="E414" s="4">
        <v>599.0</v>
      </c>
      <c r="F414" s="4">
        <v>1.0</v>
      </c>
      <c r="G414" s="12" t="s">
        <v>13676</v>
      </c>
      <c r="H414" s="4" t="s">
        <v>2174</v>
      </c>
      <c r="I414" s="4" t="s">
        <v>13255</v>
      </c>
      <c r="J414" s="5"/>
      <c r="K414" s="4" t="s">
        <v>67</v>
      </c>
      <c r="L414" s="4">
        <v>0.0</v>
      </c>
      <c r="M414" s="15" t="str">
        <f>VLOOKUP(A414,'Live Plan Data'!I:J,2, False)</f>
        <v>#N/A</v>
      </c>
    </row>
    <row r="415" hidden="1">
      <c r="A415" s="4" t="s">
        <v>13687</v>
      </c>
      <c r="B415" s="4" t="s">
        <v>2161</v>
      </c>
      <c r="C415" s="4">
        <v>50073.0</v>
      </c>
      <c r="D415" s="4" t="s">
        <v>13058</v>
      </c>
      <c r="E415" s="4">
        <v>599.0</v>
      </c>
      <c r="F415" s="4">
        <v>1.0</v>
      </c>
      <c r="G415" s="12" t="s">
        <v>13676</v>
      </c>
      <c r="H415" s="4" t="s">
        <v>2174</v>
      </c>
      <c r="I415" s="4" t="s">
        <v>13255</v>
      </c>
      <c r="J415" s="5"/>
      <c r="K415" s="4" t="s">
        <v>67</v>
      </c>
      <c r="L415" s="4">
        <v>0.0</v>
      </c>
      <c r="M415" s="15" t="str">
        <f>VLOOKUP(A415,'Live Plan Data'!I:J,2, False)</f>
        <v>#N/A</v>
      </c>
    </row>
    <row r="416" hidden="1">
      <c r="A416" s="4" t="s">
        <v>13688</v>
      </c>
      <c r="B416" s="4" t="s">
        <v>2161</v>
      </c>
      <c r="C416" s="4">
        <v>50073.0</v>
      </c>
      <c r="D416" s="4" t="s">
        <v>13063</v>
      </c>
      <c r="E416" s="4">
        <v>1499.0</v>
      </c>
      <c r="F416" s="4">
        <v>3.0</v>
      </c>
      <c r="G416" s="12" t="s">
        <v>13676</v>
      </c>
      <c r="H416" s="4" t="s">
        <v>2174</v>
      </c>
      <c r="I416" s="4" t="s">
        <v>13255</v>
      </c>
      <c r="J416" s="5"/>
      <c r="K416" s="4" t="s">
        <v>67</v>
      </c>
      <c r="L416" s="4">
        <v>0.0</v>
      </c>
      <c r="M416" s="15" t="str">
        <f>VLOOKUP(A416,'Live Plan Data'!I:J,2, False)</f>
        <v>#N/A</v>
      </c>
    </row>
    <row r="417" hidden="1">
      <c r="A417" s="4" t="s">
        <v>13689</v>
      </c>
      <c r="B417" s="4" t="s">
        <v>12614</v>
      </c>
      <c r="C417" s="4">
        <v>50123.0</v>
      </c>
      <c r="D417" s="4" t="s">
        <v>13058</v>
      </c>
      <c r="E417" s="4">
        <v>249.0</v>
      </c>
      <c r="F417" s="4">
        <v>1.0</v>
      </c>
      <c r="G417" s="12" t="s">
        <v>13690</v>
      </c>
      <c r="H417" s="4" t="s">
        <v>13691</v>
      </c>
      <c r="I417" s="4" t="s">
        <v>13683</v>
      </c>
      <c r="J417" s="4" t="s">
        <v>13555</v>
      </c>
      <c r="K417" s="4" t="s">
        <v>67</v>
      </c>
      <c r="L417" s="4">
        <v>0.0</v>
      </c>
      <c r="M417" s="15" t="str">
        <f>VLOOKUP(A417,'Live Plan Data'!I:J,2, False)</f>
        <v>#N/A</v>
      </c>
    </row>
    <row r="418" hidden="1">
      <c r="A418" s="4" t="s">
        <v>13692</v>
      </c>
      <c r="B418" s="4" t="s">
        <v>12614</v>
      </c>
      <c r="C418" s="4">
        <v>50123.0</v>
      </c>
      <c r="D418" s="4" t="s">
        <v>13063</v>
      </c>
      <c r="E418" s="4">
        <v>599.0</v>
      </c>
      <c r="F418" s="4">
        <v>3.0</v>
      </c>
      <c r="G418" s="12" t="s">
        <v>13690</v>
      </c>
      <c r="H418" s="4" t="s">
        <v>13691</v>
      </c>
      <c r="I418" s="4" t="s">
        <v>13683</v>
      </c>
      <c r="J418" s="5"/>
      <c r="K418" s="4" t="s">
        <v>67</v>
      </c>
      <c r="L418" s="4">
        <v>0.0</v>
      </c>
      <c r="M418" s="15" t="str">
        <f>VLOOKUP(A418,'Live Plan Data'!I:J,2, False)</f>
        <v>#N/A</v>
      </c>
    </row>
    <row r="419" hidden="1">
      <c r="A419" s="4" t="s">
        <v>13693</v>
      </c>
      <c r="B419" s="4" t="s">
        <v>12614</v>
      </c>
      <c r="C419" s="4">
        <v>50123.0</v>
      </c>
      <c r="D419" s="4" t="s">
        <v>13063</v>
      </c>
      <c r="E419" s="4">
        <v>599.0</v>
      </c>
      <c r="F419" s="4">
        <v>3.0</v>
      </c>
      <c r="G419" s="12" t="s">
        <v>13690</v>
      </c>
      <c r="H419" s="4" t="s">
        <v>13691</v>
      </c>
      <c r="I419" s="4" t="s">
        <v>13683</v>
      </c>
      <c r="J419" s="5"/>
      <c r="K419" s="4" t="s">
        <v>67</v>
      </c>
      <c r="L419" s="4">
        <v>0.0</v>
      </c>
      <c r="M419" s="15" t="str">
        <f>VLOOKUP(A419,'Live Plan Data'!I:J,2, False)</f>
        <v>#N/A</v>
      </c>
    </row>
    <row r="420" hidden="1">
      <c r="A420" s="4" t="s">
        <v>13694</v>
      </c>
      <c r="B420" s="4" t="s">
        <v>12614</v>
      </c>
      <c r="C420" s="4">
        <v>50123.0</v>
      </c>
      <c r="D420" s="4" t="s">
        <v>13058</v>
      </c>
      <c r="E420" s="4">
        <v>1999.0</v>
      </c>
      <c r="F420" s="4">
        <v>1.0</v>
      </c>
      <c r="G420" s="12" t="s">
        <v>13690</v>
      </c>
      <c r="H420" s="4" t="s">
        <v>13691</v>
      </c>
      <c r="I420" s="4" t="s">
        <v>13683</v>
      </c>
      <c r="J420" s="4" t="s">
        <v>13561</v>
      </c>
      <c r="K420" s="4" t="s">
        <v>67</v>
      </c>
      <c r="L420" s="4">
        <v>0.0</v>
      </c>
      <c r="M420" s="15" t="str">
        <f>VLOOKUP(A420,'Live Plan Data'!I:J,2, False)</f>
        <v>#N/A</v>
      </c>
    </row>
    <row r="421">
      <c r="A421" s="4" t="s">
        <v>13695</v>
      </c>
      <c r="B421" s="4" t="s">
        <v>1133</v>
      </c>
      <c r="C421" s="4">
        <v>49859.0</v>
      </c>
      <c r="D421" s="4" t="s">
        <v>13058</v>
      </c>
      <c r="E421" s="4">
        <v>99.0</v>
      </c>
      <c r="F421" s="4">
        <v>1.0</v>
      </c>
      <c r="G421" s="12" t="s">
        <v>13136</v>
      </c>
      <c r="H421" s="4" t="s">
        <v>13696</v>
      </c>
      <c r="I421" s="4" t="s">
        <v>4680</v>
      </c>
      <c r="J421" s="5"/>
      <c r="K421" s="4" t="s">
        <v>67</v>
      </c>
      <c r="L421" s="4">
        <v>0.0</v>
      </c>
      <c r="M421" s="15" t="str">
        <f>VLOOKUP(A421,'Live Plan Data'!I:J,2, False)</f>
        <v>Active</v>
      </c>
    </row>
    <row r="422">
      <c r="A422" s="4" t="s">
        <v>13697</v>
      </c>
      <c r="B422" s="4" t="s">
        <v>1133</v>
      </c>
      <c r="C422" s="4">
        <v>49859.0</v>
      </c>
      <c r="D422" s="4" t="s">
        <v>13063</v>
      </c>
      <c r="E422" s="4">
        <v>199.0</v>
      </c>
      <c r="F422" s="4">
        <v>3.0</v>
      </c>
      <c r="G422" s="12" t="s">
        <v>13136</v>
      </c>
      <c r="H422" s="4" t="s">
        <v>13696</v>
      </c>
      <c r="I422" s="4" t="s">
        <v>4680</v>
      </c>
      <c r="J422" s="5"/>
      <c r="K422" s="4" t="s">
        <v>67</v>
      </c>
      <c r="L422" s="4">
        <v>0.0</v>
      </c>
      <c r="M422" s="15" t="str">
        <f>VLOOKUP(A422,'Live Plan Data'!I:J,2, False)</f>
        <v>Active</v>
      </c>
    </row>
    <row r="423">
      <c r="A423" s="4" t="s">
        <v>13698</v>
      </c>
      <c r="B423" s="4" t="s">
        <v>1133</v>
      </c>
      <c r="C423" s="4">
        <v>49859.0</v>
      </c>
      <c r="D423" s="4" t="s">
        <v>13065</v>
      </c>
      <c r="E423" s="4">
        <v>349.0</v>
      </c>
      <c r="F423" s="4">
        <v>6.0</v>
      </c>
      <c r="G423" s="12" t="s">
        <v>13136</v>
      </c>
      <c r="H423" s="4" t="s">
        <v>13696</v>
      </c>
      <c r="I423" s="4" t="s">
        <v>4680</v>
      </c>
      <c r="J423" s="5"/>
      <c r="K423" s="4" t="s">
        <v>67</v>
      </c>
      <c r="L423" s="4">
        <v>0.0</v>
      </c>
      <c r="M423" s="15" t="str">
        <f>VLOOKUP(A423,'Live Plan Data'!I:J,2, False)</f>
        <v>Active</v>
      </c>
    </row>
    <row r="424" hidden="1">
      <c r="A424" s="4" t="s">
        <v>13699</v>
      </c>
      <c r="B424" s="4" t="s">
        <v>13700</v>
      </c>
      <c r="C424" s="4">
        <v>50129.0</v>
      </c>
      <c r="D424" s="4" t="s">
        <v>13058</v>
      </c>
      <c r="E424" s="4">
        <v>249.0</v>
      </c>
      <c r="F424" s="4">
        <v>1.0</v>
      </c>
      <c r="G424" s="12" t="s">
        <v>13701</v>
      </c>
      <c r="H424" s="4" t="s">
        <v>13702</v>
      </c>
      <c r="I424" s="4" t="s">
        <v>13191</v>
      </c>
      <c r="J424" s="4" t="s">
        <v>4919</v>
      </c>
      <c r="K424" s="4" t="s">
        <v>67</v>
      </c>
      <c r="L424" s="4">
        <v>0.0</v>
      </c>
      <c r="M424" s="15" t="str">
        <f>VLOOKUP(A424,'Live Plan Data'!I:J,2, False)</f>
        <v>#N/A</v>
      </c>
    </row>
    <row r="425" hidden="1">
      <c r="A425" s="4" t="s">
        <v>13703</v>
      </c>
      <c r="B425" s="4" t="s">
        <v>13700</v>
      </c>
      <c r="C425" s="4">
        <v>50129.0</v>
      </c>
      <c r="D425" s="4" t="s">
        <v>13058</v>
      </c>
      <c r="E425" s="4">
        <v>499.0</v>
      </c>
      <c r="F425" s="4">
        <v>1.0</v>
      </c>
      <c r="G425" s="12" t="s">
        <v>13701</v>
      </c>
      <c r="H425" s="4" t="s">
        <v>13702</v>
      </c>
      <c r="I425" s="4" t="s">
        <v>13191</v>
      </c>
      <c r="J425" s="4" t="s">
        <v>4931</v>
      </c>
      <c r="K425" s="4" t="s">
        <v>67</v>
      </c>
      <c r="L425" s="4">
        <v>0.0</v>
      </c>
      <c r="M425" s="15" t="str">
        <f>VLOOKUP(A425,'Live Plan Data'!I:J,2, False)</f>
        <v>#N/A</v>
      </c>
    </row>
    <row r="426" hidden="1">
      <c r="A426" s="4" t="s">
        <v>13704</v>
      </c>
      <c r="B426" s="4" t="s">
        <v>13700</v>
      </c>
      <c r="C426" s="4">
        <v>50129.0</v>
      </c>
      <c r="D426" s="4" t="s">
        <v>13063</v>
      </c>
      <c r="E426" s="4">
        <v>999.0</v>
      </c>
      <c r="F426" s="4">
        <v>3.0</v>
      </c>
      <c r="G426" s="12" t="s">
        <v>13701</v>
      </c>
      <c r="H426" s="4" t="s">
        <v>13702</v>
      </c>
      <c r="I426" s="4" t="s">
        <v>13191</v>
      </c>
      <c r="J426" s="4" t="s">
        <v>13705</v>
      </c>
      <c r="K426" s="4" t="s">
        <v>67</v>
      </c>
      <c r="L426" s="4">
        <v>0.0</v>
      </c>
      <c r="M426" s="15" t="str">
        <f>VLOOKUP(A426,'Live Plan Data'!I:J,2, False)</f>
        <v>#N/A</v>
      </c>
    </row>
    <row r="427">
      <c r="A427" s="4" t="s">
        <v>13706</v>
      </c>
      <c r="B427" s="4" t="s">
        <v>885</v>
      </c>
      <c r="C427" s="4">
        <v>49844.0</v>
      </c>
      <c r="D427" s="4" t="s">
        <v>13058</v>
      </c>
      <c r="E427" s="4">
        <v>99.0</v>
      </c>
      <c r="F427" s="4">
        <v>1.0</v>
      </c>
      <c r="G427" s="12" t="s">
        <v>13165</v>
      </c>
      <c r="H427" s="4" t="s">
        <v>13166</v>
      </c>
      <c r="I427" s="4" t="s">
        <v>4680</v>
      </c>
      <c r="J427" s="5"/>
      <c r="K427" s="4" t="s">
        <v>67</v>
      </c>
      <c r="L427" s="4">
        <v>0.0</v>
      </c>
      <c r="M427" s="15" t="str">
        <f>VLOOKUP(A427,'Live Plan Data'!I:J,2, False)</f>
        <v>Active</v>
      </c>
    </row>
    <row r="428">
      <c r="A428" s="4" t="s">
        <v>13707</v>
      </c>
      <c r="B428" s="4" t="s">
        <v>885</v>
      </c>
      <c r="C428" s="4">
        <v>49844.0</v>
      </c>
      <c r="D428" s="4" t="s">
        <v>13063</v>
      </c>
      <c r="E428" s="4">
        <v>199.0</v>
      </c>
      <c r="F428" s="4">
        <v>3.0</v>
      </c>
      <c r="G428" s="12" t="s">
        <v>13165</v>
      </c>
      <c r="H428" s="4" t="s">
        <v>13166</v>
      </c>
      <c r="I428" s="4" t="s">
        <v>4680</v>
      </c>
      <c r="J428" s="5"/>
      <c r="K428" s="4" t="s">
        <v>67</v>
      </c>
      <c r="L428" s="4">
        <v>0.0</v>
      </c>
      <c r="M428" s="15" t="str">
        <f>VLOOKUP(A428,'Live Plan Data'!I:J,2, False)</f>
        <v>Active</v>
      </c>
    </row>
    <row r="429">
      <c r="A429" s="4" t="s">
        <v>13708</v>
      </c>
      <c r="B429" s="4" t="s">
        <v>885</v>
      </c>
      <c r="C429" s="4">
        <v>49844.0</v>
      </c>
      <c r="D429" s="4" t="s">
        <v>13065</v>
      </c>
      <c r="E429" s="4">
        <v>349.0</v>
      </c>
      <c r="F429" s="4">
        <v>6.0</v>
      </c>
      <c r="G429" s="12" t="s">
        <v>13165</v>
      </c>
      <c r="H429" s="4" t="s">
        <v>13166</v>
      </c>
      <c r="I429" s="4" t="s">
        <v>4680</v>
      </c>
      <c r="J429" s="5"/>
      <c r="K429" s="4" t="s">
        <v>67</v>
      </c>
      <c r="L429" s="4">
        <v>0.0</v>
      </c>
      <c r="M429" s="15" t="str">
        <f>VLOOKUP(A429,'Live Plan Data'!I:J,2, False)</f>
        <v>Active</v>
      </c>
    </row>
    <row r="430" hidden="1">
      <c r="A430" s="4" t="s">
        <v>13709</v>
      </c>
      <c r="B430" s="4" t="s">
        <v>12671</v>
      </c>
      <c r="C430" s="4">
        <v>50129.0</v>
      </c>
      <c r="D430" s="4" t="s">
        <v>13058</v>
      </c>
      <c r="E430" s="4">
        <v>2999.0</v>
      </c>
      <c r="F430" s="4">
        <v>1.0</v>
      </c>
      <c r="G430" s="12" t="s">
        <v>13701</v>
      </c>
      <c r="H430" s="4" t="s">
        <v>13702</v>
      </c>
      <c r="I430" s="4" t="s">
        <v>13191</v>
      </c>
      <c r="J430" s="5"/>
      <c r="K430" s="4" t="s">
        <v>67</v>
      </c>
      <c r="L430" s="4">
        <v>0.0</v>
      </c>
      <c r="M430" s="15" t="str">
        <f>VLOOKUP(A430,'Live Plan Data'!I:J,2, False)</f>
        <v>#N/A</v>
      </c>
    </row>
    <row r="431" hidden="1">
      <c r="A431" s="4" t="s">
        <v>13710</v>
      </c>
      <c r="B431" s="4" t="s">
        <v>12671</v>
      </c>
      <c r="C431" s="4">
        <v>50129.0</v>
      </c>
      <c r="D431" s="4" t="s">
        <v>13063</v>
      </c>
      <c r="E431" s="4">
        <v>5999.0</v>
      </c>
      <c r="F431" s="4">
        <v>3.0</v>
      </c>
      <c r="G431" s="12" t="s">
        <v>13701</v>
      </c>
      <c r="H431" s="4" t="s">
        <v>13702</v>
      </c>
      <c r="I431" s="4" t="s">
        <v>13191</v>
      </c>
      <c r="J431" s="5"/>
      <c r="K431" s="4" t="s">
        <v>67</v>
      </c>
      <c r="L431" s="4">
        <v>0.0</v>
      </c>
      <c r="M431" s="15" t="str">
        <f>VLOOKUP(A431,'Live Plan Data'!I:J,2, False)</f>
        <v>#N/A</v>
      </c>
    </row>
    <row r="432" hidden="1">
      <c r="A432" s="4" t="s">
        <v>13711</v>
      </c>
      <c r="B432" s="4" t="s">
        <v>12671</v>
      </c>
      <c r="C432" s="4">
        <v>50129.0</v>
      </c>
      <c r="D432" s="4" t="s">
        <v>13065</v>
      </c>
      <c r="E432" s="4">
        <v>8999.0</v>
      </c>
      <c r="F432" s="4">
        <v>6.0</v>
      </c>
      <c r="G432" s="12" t="s">
        <v>13701</v>
      </c>
      <c r="H432" s="4" t="s">
        <v>13702</v>
      </c>
      <c r="I432" s="4" t="s">
        <v>13191</v>
      </c>
      <c r="J432" s="5"/>
      <c r="K432" s="4" t="s">
        <v>67</v>
      </c>
      <c r="L432" s="4">
        <v>0.0</v>
      </c>
      <c r="M432" s="15" t="str">
        <f>VLOOKUP(A432,'Live Plan Data'!I:J,2, False)</f>
        <v>#N/A</v>
      </c>
    </row>
    <row r="433">
      <c r="A433" s="4" t="s">
        <v>13712</v>
      </c>
      <c r="B433" s="4" t="s">
        <v>1582</v>
      </c>
      <c r="C433" s="4">
        <v>50048.0</v>
      </c>
      <c r="D433" s="4" t="s">
        <v>13058</v>
      </c>
      <c r="E433" s="4">
        <v>299.0</v>
      </c>
      <c r="F433" s="4">
        <v>1.0</v>
      </c>
      <c r="G433" s="12" t="s">
        <v>13195</v>
      </c>
      <c r="H433" s="4" t="s">
        <v>13196</v>
      </c>
      <c r="I433" s="4" t="s">
        <v>13191</v>
      </c>
      <c r="J433" s="4" t="s">
        <v>6175</v>
      </c>
      <c r="K433" s="4" t="s">
        <v>67</v>
      </c>
      <c r="L433" s="4">
        <v>0.0</v>
      </c>
      <c r="M433" s="15" t="str">
        <f>VLOOKUP(A433,'Live Plan Data'!I:J,2, False)</f>
        <v>Active</v>
      </c>
    </row>
    <row r="434">
      <c r="A434" s="4" t="s">
        <v>13713</v>
      </c>
      <c r="B434" s="4" t="s">
        <v>1582</v>
      </c>
      <c r="C434" s="4">
        <v>50048.0</v>
      </c>
      <c r="D434" s="4" t="s">
        <v>13063</v>
      </c>
      <c r="E434" s="4">
        <v>599.0</v>
      </c>
      <c r="F434" s="4">
        <v>3.0</v>
      </c>
      <c r="G434" s="12" t="s">
        <v>13195</v>
      </c>
      <c r="H434" s="4" t="s">
        <v>13196</v>
      </c>
      <c r="I434" s="4" t="s">
        <v>13191</v>
      </c>
      <c r="J434" s="4" t="s">
        <v>6175</v>
      </c>
      <c r="K434" s="4" t="s">
        <v>67</v>
      </c>
      <c r="L434" s="4">
        <v>0.0</v>
      </c>
      <c r="M434" s="15" t="str">
        <f>VLOOKUP(A434,'Live Plan Data'!I:J,2, False)</f>
        <v>Active</v>
      </c>
    </row>
    <row r="435">
      <c r="A435" s="4" t="s">
        <v>13714</v>
      </c>
      <c r="B435" s="4" t="s">
        <v>1582</v>
      </c>
      <c r="C435" s="4">
        <v>50048.0</v>
      </c>
      <c r="D435" s="4" t="s">
        <v>13065</v>
      </c>
      <c r="E435" s="4">
        <v>999.0</v>
      </c>
      <c r="F435" s="4">
        <v>6.0</v>
      </c>
      <c r="G435" s="12" t="s">
        <v>13195</v>
      </c>
      <c r="H435" s="4" t="s">
        <v>13196</v>
      </c>
      <c r="I435" s="4" t="s">
        <v>13191</v>
      </c>
      <c r="J435" s="4" t="s">
        <v>6175</v>
      </c>
      <c r="K435" s="4" t="s">
        <v>67</v>
      </c>
      <c r="L435" s="4">
        <v>0.0</v>
      </c>
      <c r="M435" s="15" t="str">
        <f>VLOOKUP(A435,'Live Plan Data'!I:J,2, False)</f>
        <v>Active</v>
      </c>
    </row>
    <row r="436">
      <c r="A436" s="4" t="s">
        <v>13715</v>
      </c>
      <c r="B436" s="4" t="s">
        <v>1582</v>
      </c>
      <c r="C436" s="4">
        <v>50048.0</v>
      </c>
      <c r="D436" s="4" t="s">
        <v>13058</v>
      </c>
      <c r="E436" s="4">
        <v>49.0</v>
      </c>
      <c r="F436" s="4">
        <v>1.0</v>
      </c>
      <c r="G436" s="12" t="s">
        <v>13195</v>
      </c>
      <c r="H436" s="4" t="s">
        <v>13196</v>
      </c>
      <c r="I436" s="4" t="s">
        <v>13191</v>
      </c>
      <c r="J436" s="4" t="s">
        <v>13716</v>
      </c>
      <c r="K436" s="4" t="s">
        <v>67</v>
      </c>
      <c r="L436" s="4">
        <v>0.0</v>
      </c>
      <c r="M436" s="15" t="str">
        <f>VLOOKUP(A436,'Live Plan Data'!I:J,2, False)</f>
        <v>Active</v>
      </c>
    </row>
    <row r="437">
      <c r="A437" s="4" t="s">
        <v>13717</v>
      </c>
      <c r="B437" s="4" t="s">
        <v>12895</v>
      </c>
      <c r="C437" s="4">
        <v>50127.0</v>
      </c>
      <c r="D437" s="4" t="s">
        <v>13058</v>
      </c>
      <c r="E437" s="4">
        <v>199.0</v>
      </c>
      <c r="F437" s="4">
        <v>1.0</v>
      </c>
      <c r="G437" s="12" t="s">
        <v>13718</v>
      </c>
      <c r="H437" s="4" t="s">
        <v>5126</v>
      </c>
      <c r="I437" s="4" t="s">
        <v>13719</v>
      </c>
      <c r="J437" s="5"/>
      <c r="K437" s="4" t="s">
        <v>67</v>
      </c>
      <c r="L437" s="4">
        <v>0.0</v>
      </c>
      <c r="M437" s="15" t="str">
        <f>VLOOKUP(A437,'Live Plan Data'!I:J,2, False)</f>
        <v>Active</v>
      </c>
    </row>
    <row r="438">
      <c r="A438" s="4" t="s">
        <v>13720</v>
      </c>
      <c r="B438" s="4" t="s">
        <v>12895</v>
      </c>
      <c r="C438" s="4">
        <v>50127.0</v>
      </c>
      <c r="D438" s="4" t="s">
        <v>13063</v>
      </c>
      <c r="E438" s="4">
        <v>299.0</v>
      </c>
      <c r="F438" s="4">
        <v>3.0</v>
      </c>
      <c r="G438" s="12" t="s">
        <v>13718</v>
      </c>
      <c r="H438" s="4" t="s">
        <v>5126</v>
      </c>
      <c r="I438" s="4" t="s">
        <v>13719</v>
      </c>
      <c r="J438" s="5"/>
      <c r="K438" s="4" t="s">
        <v>67</v>
      </c>
      <c r="L438" s="4">
        <v>0.0</v>
      </c>
      <c r="M438" s="15" t="str">
        <f>VLOOKUP(A438,'Live Plan Data'!I:J,2, False)</f>
        <v>Active</v>
      </c>
    </row>
    <row r="439">
      <c r="A439" s="4" t="s">
        <v>13721</v>
      </c>
      <c r="B439" s="4" t="s">
        <v>12895</v>
      </c>
      <c r="C439" s="4">
        <v>50127.0</v>
      </c>
      <c r="D439" s="4" t="s">
        <v>13065</v>
      </c>
      <c r="E439" s="4">
        <v>499.0</v>
      </c>
      <c r="F439" s="4">
        <v>6.0</v>
      </c>
      <c r="G439" s="12" t="s">
        <v>13718</v>
      </c>
      <c r="H439" s="4" t="s">
        <v>5126</v>
      </c>
      <c r="I439" s="4" t="s">
        <v>13719</v>
      </c>
      <c r="J439" s="5"/>
      <c r="K439" s="4" t="s">
        <v>67</v>
      </c>
      <c r="L439" s="4">
        <v>0.0</v>
      </c>
      <c r="M439" s="15" t="str">
        <f>VLOOKUP(A439,'Live Plan Data'!I:J,2, False)</f>
        <v>Active</v>
      </c>
    </row>
    <row r="440">
      <c r="A440" s="4" t="s">
        <v>13722</v>
      </c>
      <c r="B440" s="4" t="s">
        <v>4561</v>
      </c>
      <c r="C440" s="4">
        <v>50031.0</v>
      </c>
      <c r="D440" s="4" t="s">
        <v>13058</v>
      </c>
      <c r="E440" s="4">
        <v>599.0</v>
      </c>
      <c r="F440" s="4">
        <v>1.0</v>
      </c>
      <c r="G440" s="12" t="s">
        <v>13131</v>
      </c>
      <c r="H440" s="4" t="s">
        <v>13132</v>
      </c>
      <c r="I440" s="4" t="s">
        <v>13078</v>
      </c>
      <c r="J440" s="5"/>
      <c r="K440" s="4" t="s">
        <v>67</v>
      </c>
      <c r="L440" s="4">
        <v>0.0</v>
      </c>
      <c r="M440" s="15" t="str">
        <f>VLOOKUP(A440,'Live Plan Data'!I:J,2, False)</f>
        <v>Active</v>
      </c>
    </row>
    <row r="441">
      <c r="A441" s="4" t="s">
        <v>13723</v>
      </c>
      <c r="B441" s="4" t="s">
        <v>4561</v>
      </c>
      <c r="C441" s="4">
        <v>50031.0</v>
      </c>
      <c r="D441" s="4" t="s">
        <v>13063</v>
      </c>
      <c r="E441" s="4">
        <v>1499.0</v>
      </c>
      <c r="F441" s="4">
        <v>3.0</v>
      </c>
      <c r="G441" s="12" t="s">
        <v>13131</v>
      </c>
      <c r="H441" s="4" t="s">
        <v>13132</v>
      </c>
      <c r="I441" s="4" t="s">
        <v>13078</v>
      </c>
      <c r="J441" s="5"/>
      <c r="K441" s="4" t="s">
        <v>67</v>
      </c>
      <c r="L441" s="4">
        <v>0.0</v>
      </c>
      <c r="M441" s="15" t="str">
        <f>VLOOKUP(A441,'Live Plan Data'!I:J,2, False)</f>
        <v>Active</v>
      </c>
    </row>
    <row r="442" hidden="1">
      <c r="A442" s="4" t="s">
        <v>13724</v>
      </c>
      <c r="B442" s="4" t="s">
        <v>5822</v>
      </c>
      <c r="C442" s="4">
        <v>50054.0</v>
      </c>
      <c r="D442" s="4" t="s">
        <v>13058</v>
      </c>
      <c r="E442" s="4">
        <v>199.0</v>
      </c>
      <c r="F442" s="4">
        <v>1.0</v>
      </c>
      <c r="G442" s="12" t="s">
        <v>13385</v>
      </c>
      <c r="H442" s="4" t="s">
        <v>13386</v>
      </c>
      <c r="I442" s="4" t="s">
        <v>4680</v>
      </c>
      <c r="J442" s="5"/>
      <c r="K442" s="4" t="s">
        <v>67</v>
      </c>
      <c r="L442" s="4">
        <v>0.0</v>
      </c>
      <c r="M442" s="15" t="str">
        <f>VLOOKUP(A442,'Live Plan Data'!I:J,2, False)</f>
        <v>#N/A</v>
      </c>
    </row>
    <row r="443" hidden="1">
      <c r="A443" s="4" t="s">
        <v>13725</v>
      </c>
      <c r="B443" s="4" t="s">
        <v>12671</v>
      </c>
      <c r="C443" s="4">
        <v>50129.0</v>
      </c>
      <c r="D443" s="4" t="s">
        <v>13058</v>
      </c>
      <c r="E443" s="4">
        <v>499.0</v>
      </c>
      <c r="F443" s="4">
        <v>1.0</v>
      </c>
      <c r="G443" s="12" t="s">
        <v>13701</v>
      </c>
      <c r="H443" s="4" t="s">
        <v>13702</v>
      </c>
      <c r="I443" s="4" t="s">
        <v>13191</v>
      </c>
      <c r="J443" s="4" t="s">
        <v>4919</v>
      </c>
      <c r="K443" s="4" t="s">
        <v>67</v>
      </c>
      <c r="L443" s="4">
        <v>0.0</v>
      </c>
      <c r="M443" s="15" t="str">
        <f>VLOOKUP(A443,'Live Plan Data'!I:J,2, False)</f>
        <v>#N/A</v>
      </c>
    </row>
    <row r="444" hidden="1">
      <c r="A444" s="4" t="s">
        <v>13726</v>
      </c>
      <c r="B444" s="4" t="s">
        <v>12671</v>
      </c>
      <c r="C444" s="4">
        <v>50129.0</v>
      </c>
      <c r="D444" s="4" t="s">
        <v>13058</v>
      </c>
      <c r="E444" s="4">
        <v>799.0</v>
      </c>
      <c r="F444" s="4">
        <v>1.0</v>
      </c>
      <c r="G444" s="12" t="s">
        <v>13701</v>
      </c>
      <c r="H444" s="4" t="s">
        <v>13702</v>
      </c>
      <c r="I444" s="4" t="s">
        <v>13191</v>
      </c>
      <c r="J444" s="4" t="s">
        <v>4931</v>
      </c>
      <c r="K444" s="4" t="s">
        <v>67</v>
      </c>
      <c r="L444" s="4">
        <v>0.0</v>
      </c>
      <c r="M444" s="15" t="str">
        <f>VLOOKUP(A444,'Live Plan Data'!I:J,2, False)</f>
        <v>#N/A</v>
      </c>
    </row>
    <row r="445" hidden="1">
      <c r="A445" s="4" t="s">
        <v>13727</v>
      </c>
      <c r="B445" s="4" t="s">
        <v>12671</v>
      </c>
      <c r="C445" s="4">
        <v>50129.0</v>
      </c>
      <c r="D445" s="4" t="s">
        <v>13058</v>
      </c>
      <c r="E445" s="4">
        <v>999.0</v>
      </c>
      <c r="F445" s="4">
        <v>1.0</v>
      </c>
      <c r="G445" s="12" t="s">
        <v>13701</v>
      </c>
      <c r="H445" s="4" t="s">
        <v>13702</v>
      </c>
      <c r="I445" s="4" t="s">
        <v>13191</v>
      </c>
      <c r="J445" s="4" t="s">
        <v>13705</v>
      </c>
      <c r="K445" s="4" t="s">
        <v>67</v>
      </c>
      <c r="L445" s="4">
        <v>0.0</v>
      </c>
      <c r="M445" s="15" t="str">
        <f>VLOOKUP(A445,'Live Plan Data'!I:J,2, False)</f>
        <v>#N/A</v>
      </c>
    </row>
    <row r="446" hidden="1">
      <c r="A446" s="4" t="s">
        <v>13728</v>
      </c>
      <c r="B446" s="4" t="s">
        <v>2441</v>
      </c>
      <c r="C446" s="4">
        <v>50143.0</v>
      </c>
      <c r="D446" s="4" t="s">
        <v>13058</v>
      </c>
      <c r="E446" s="4">
        <v>99.0</v>
      </c>
      <c r="F446" s="4">
        <v>1.0</v>
      </c>
      <c r="G446" s="12" t="s">
        <v>13729</v>
      </c>
      <c r="H446" s="4" t="s">
        <v>13730</v>
      </c>
      <c r="I446" s="4" t="s">
        <v>13731</v>
      </c>
      <c r="J446" s="5"/>
      <c r="K446" s="4" t="s">
        <v>67</v>
      </c>
      <c r="L446" s="4">
        <v>0.0</v>
      </c>
      <c r="M446" s="15" t="str">
        <f>VLOOKUP(A446,'Live Plan Data'!I:J,2, False)</f>
        <v>#N/A</v>
      </c>
    </row>
    <row r="447" hidden="1">
      <c r="A447" s="4" t="s">
        <v>13732</v>
      </c>
      <c r="B447" s="4" t="s">
        <v>2441</v>
      </c>
      <c r="C447" s="4">
        <v>50143.0</v>
      </c>
      <c r="D447" s="4" t="s">
        <v>13063</v>
      </c>
      <c r="E447" s="4">
        <v>199.0</v>
      </c>
      <c r="F447" s="4">
        <v>3.0</v>
      </c>
      <c r="G447" s="12" t="s">
        <v>13729</v>
      </c>
      <c r="H447" s="4" t="s">
        <v>13730</v>
      </c>
      <c r="I447" s="4" t="s">
        <v>13731</v>
      </c>
      <c r="J447" s="5"/>
      <c r="K447" s="4" t="s">
        <v>67</v>
      </c>
      <c r="L447" s="4">
        <v>0.0</v>
      </c>
      <c r="M447" s="15" t="str">
        <f>VLOOKUP(A447,'Live Plan Data'!I:J,2, False)</f>
        <v>#N/A</v>
      </c>
    </row>
    <row r="448" hidden="1">
      <c r="A448" s="4" t="s">
        <v>13733</v>
      </c>
      <c r="B448" s="4" t="s">
        <v>2441</v>
      </c>
      <c r="C448" s="4">
        <v>50143.0</v>
      </c>
      <c r="D448" s="4" t="s">
        <v>13065</v>
      </c>
      <c r="E448" s="4">
        <v>349.0</v>
      </c>
      <c r="F448" s="4">
        <v>6.0</v>
      </c>
      <c r="G448" s="12" t="s">
        <v>13729</v>
      </c>
      <c r="H448" s="4" t="s">
        <v>13730</v>
      </c>
      <c r="I448" s="4" t="s">
        <v>13731</v>
      </c>
      <c r="J448" s="5"/>
      <c r="K448" s="4" t="s">
        <v>67</v>
      </c>
      <c r="L448" s="4">
        <v>0.0</v>
      </c>
      <c r="M448" s="15" t="str">
        <f>VLOOKUP(A448,'Live Plan Data'!I:J,2, False)</f>
        <v>#N/A</v>
      </c>
    </row>
    <row r="449">
      <c r="A449" s="4" t="s">
        <v>13734</v>
      </c>
      <c r="B449" s="4" t="s">
        <v>13735</v>
      </c>
      <c r="C449" s="4">
        <v>50146.0</v>
      </c>
      <c r="D449" s="4" t="s">
        <v>13058</v>
      </c>
      <c r="E449" s="4">
        <v>99.0</v>
      </c>
      <c r="F449" s="4">
        <v>1.0</v>
      </c>
      <c r="G449" s="12" t="s">
        <v>13736</v>
      </c>
      <c r="H449" s="4" t="s">
        <v>13737</v>
      </c>
      <c r="I449" s="4" t="s">
        <v>13738</v>
      </c>
      <c r="J449" s="5"/>
      <c r="K449" s="4" t="s">
        <v>67</v>
      </c>
      <c r="L449" s="4">
        <v>0.0</v>
      </c>
      <c r="M449" s="15" t="str">
        <f>VLOOKUP(A449,'Live Plan Data'!I:J,2, False)</f>
        <v>Active</v>
      </c>
    </row>
    <row r="450" hidden="1">
      <c r="A450" s="4" t="s">
        <v>13739</v>
      </c>
      <c r="B450" s="4" t="s">
        <v>13735</v>
      </c>
      <c r="C450" s="4">
        <v>50146.0</v>
      </c>
      <c r="D450" s="4" t="s">
        <v>13063</v>
      </c>
      <c r="E450" s="4">
        <v>199.0</v>
      </c>
      <c r="F450" s="4">
        <v>3.0</v>
      </c>
      <c r="G450" s="12" t="s">
        <v>13736</v>
      </c>
      <c r="H450" s="4" t="s">
        <v>13737</v>
      </c>
      <c r="I450" s="4" t="s">
        <v>13738</v>
      </c>
      <c r="J450" s="5"/>
      <c r="K450" s="4" t="s">
        <v>67</v>
      </c>
      <c r="L450" s="4">
        <v>0.0</v>
      </c>
      <c r="M450" s="15" t="str">
        <f>VLOOKUP(A450,'Live Plan Data'!I:J,2, False)</f>
        <v>#N/A</v>
      </c>
    </row>
    <row r="451">
      <c r="A451" s="4" t="s">
        <v>13740</v>
      </c>
      <c r="B451" s="4" t="s">
        <v>13735</v>
      </c>
      <c r="C451" s="4">
        <v>50146.0</v>
      </c>
      <c r="D451" s="4" t="s">
        <v>13063</v>
      </c>
      <c r="E451" s="4">
        <v>199.0</v>
      </c>
      <c r="F451" s="4">
        <v>3.0</v>
      </c>
      <c r="G451" s="12" t="s">
        <v>13736</v>
      </c>
      <c r="H451" s="4" t="s">
        <v>13737</v>
      </c>
      <c r="I451" s="4" t="s">
        <v>13738</v>
      </c>
      <c r="J451" s="5"/>
      <c r="K451" s="4" t="s">
        <v>67</v>
      </c>
      <c r="L451" s="4">
        <v>0.0</v>
      </c>
      <c r="M451" s="15" t="str">
        <f>VLOOKUP(A451,'Live Plan Data'!I:J,2, False)</f>
        <v>Active</v>
      </c>
    </row>
    <row r="452">
      <c r="A452" s="4" t="s">
        <v>13741</v>
      </c>
      <c r="B452" s="4" t="s">
        <v>13735</v>
      </c>
      <c r="C452" s="4">
        <v>50146.0</v>
      </c>
      <c r="D452" s="4" t="s">
        <v>13065</v>
      </c>
      <c r="E452" s="4">
        <v>349.0</v>
      </c>
      <c r="F452" s="4">
        <v>6.0</v>
      </c>
      <c r="G452" s="12" t="s">
        <v>13736</v>
      </c>
      <c r="H452" s="4" t="s">
        <v>13737</v>
      </c>
      <c r="I452" s="4" t="s">
        <v>13738</v>
      </c>
      <c r="J452" s="5"/>
      <c r="K452" s="4" t="s">
        <v>67</v>
      </c>
      <c r="L452" s="4">
        <v>0.0</v>
      </c>
      <c r="M452" s="15" t="str">
        <f>VLOOKUP(A452,'Live Plan Data'!I:J,2, False)</f>
        <v>Active</v>
      </c>
    </row>
    <row r="453">
      <c r="A453" s="4" t="s">
        <v>13742</v>
      </c>
      <c r="B453" s="4" t="s">
        <v>12644</v>
      </c>
      <c r="C453" s="4">
        <v>50114.0</v>
      </c>
      <c r="D453" s="4" t="s">
        <v>13058</v>
      </c>
      <c r="E453" s="4">
        <v>249.0</v>
      </c>
      <c r="F453" s="4">
        <v>1.0</v>
      </c>
      <c r="G453" s="12" t="s">
        <v>13743</v>
      </c>
      <c r="H453" s="4" t="s">
        <v>2717</v>
      </c>
      <c r="I453" s="4" t="s">
        <v>13665</v>
      </c>
      <c r="J453" s="5"/>
      <c r="K453" s="4" t="s">
        <v>67</v>
      </c>
      <c r="L453" s="4">
        <v>0.0</v>
      </c>
      <c r="M453" s="15" t="str">
        <f>VLOOKUP(A453,'Live Plan Data'!I:J,2, False)</f>
        <v>Active</v>
      </c>
    </row>
    <row r="454" hidden="1">
      <c r="A454" s="4" t="s">
        <v>13744</v>
      </c>
      <c r="B454" s="4" t="s">
        <v>12644</v>
      </c>
      <c r="C454" s="4">
        <v>50114.0</v>
      </c>
      <c r="D454" s="4" t="s">
        <v>13063</v>
      </c>
      <c r="E454" s="4">
        <v>719.0</v>
      </c>
      <c r="F454" s="4">
        <v>3.0</v>
      </c>
      <c r="G454" s="12" t="s">
        <v>13743</v>
      </c>
      <c r="H454" s="4" t="s">
        <v>2717</v>
      </c>
      <c r="I454" s="4" t="s">
        <v>13665</v>
      </c>
      <c r="J454" s="5"/>
      <c r="K454" s="4" t="s">
        <v>67</v>
      </c>
      <c r="L454" s="4">
        <v>0.0</v>
      </c>
      <c r="M454" s="15" t="str">
        <f>VLOOKUP(A454,'Live Plan Data'!I:J,2, False)</f>
        <v>#N/A</v>
      </c>
    </row>
    <row r="455">
      <c r="A455" s="4" t="s">
        <v>13745</v>
      </c>
      <c r="B455" s="4" t="s">
        <v>12644</v>
      </c>
      <c r="C455" s="4">
        <v>50114.0</v>
      </c>
      <c r="D455" s="4" t="s">
        <v>13063</v>
      </c>
      <c r="E455" s="4">
        <v>719.0</v>
      </c>
      <c r="F455" s="4">
        <v>3.0</v>
      </c>
      <c r="G455" s="12" t="s">
        <v>13743</v>
      </c>
      <c r="H455" s="4" t="s">
        <v>2717</v>
      </c>
      <c r="I455" s="4" t="s">
        <v>13665</v>
      </c>
      <c r="J455" s="5"/>
      <c r="K455" s="4" t="s">
        <v>67</v>
      </c>
      <c r="L455" s="4">
        <v>0.0</v>
      </c>
      <c r="M455" s="15" t="str">
        <f>VLOOKUP(A455,'Live Plan Data'!I:J,2, False)</f>
        <v>Active</v>
      </c>
    </row>
    <row r="456">
      <c r="A456" s="4" t="s">
        <v>13746</v>
      </c>
      <c r="B456" s="4" t="s">
        <v>12644</v>
      </c>
      <c r="C456" s="4">
        <v>50114.0</v>
      </c>
      <c r="D456" s="4" t="s">
        <v>13065</v>
      </c>
      <c r="E456" s="4">
        <v>1199.0</v>
      </c>
      <c r="F456" s="4">
        <v>6.0</v>
      </c>
      <c r="G456" s="12" t="s">
        <v>13743</v>
      </c>
      <c r="H456" s="4" t="s">
        <v>2717</v>
      </c>
      <c r="I456" s="4" t="s">
        <v>13665</v>
      </c>
      <c r="J456" s="5"/>
      <c r="K456" s="4" t="s">
        <v>67</v>
      </c>
      <c r="L456" s="4">
        <v>0.0</v>
      </c>
      <c r="M456" s="15" t="str">
        <f>VLOOKUP(A456,'Live Plan Data'!I:J,2, False)</f>
        <v>Active</v>
      </c>
    </row>
    <row r="457">
      <c r="A457" s="4" t="s">
        <v>13747</v>
      </c>
      <c r="B457" s="4" t="s">
        <v>12644</v>
      </c>
      <c r="C457" s="4">
        <v>50114.0</v>
      </c>
      <c r="D457" s="4" t="s">
        <v>13210</v>
      </c>
      <c r="E457" s="4">
        <v>2399.0</v>
      </c>
      <c r="F457" s="4">
        <v>12.0</v>
      </c>
      <c r="G457" s="12" t="s">
        <v>13743</v>
      </c>
      <c r="H457" s="4" t="s">
        <v>2717</v>
      </c>
      <c r="I457" s="4" t="s">
        <v>13665</v>
      </c>
      <c r="J457" s="5"/>
      <c r="K457" s="4" t="s">
        <v>67</v>
      </c>
      <c r="L457" s="4">
        <v>0.0</v>
      </c>
      <c r="M457" s="15" t="str">
        <f>VLOOKUP(A457,'Live Plan Data'!I:J,2, False)</f>
        <v>Active</v>
      </c>
    </row>
    <row r="458">
      <c r="A458" s="4" t="s">
        <v>13748</v>
      </c>
      <c r="B458" s="4" t="s">
        <v>3708</v>
      </c>
      <c r="C458" s="4">
        <v>50104.0</v>
      </c>
      <c r="D458" s="4" t="s">
        <v>13058</v>
      </c>
      <c r="E458" s="4">
        <v>99.0</v>
      </c>
      <c r="F458" s="4">
        <v>1.0</v>
      </c>
      <c r="G458" s="12" t="s">
        <v>13749</v>
      </c>
      <c r="H458" s="4" t="s">
        <v>3512</v>
      </c>
      <c r="I458" s="4" t="s">
        <v>4680</v>
      </c>
      <c r="J458" s="5"/>
      <c r="K458" s="4" t="s">
        <v>67</v>
      </c>
      <c r="L458" s="4">
        <v>0.0</v>
      </c>
      <c r="M458" s="15" t="str">
        <f>VLOOKUP(A458,'Live Plan Data'!I:J,2, False)</f>
        <v>Active</v>
      </c>
    </row>
    <row r="459">
      <c r="A459" s="4" t="s">
        <v>13750</v>
      </c>
      <c r="B459" s="4" t="s">
        <v>3708</v>
      </c>
      <c r="C459" s="4">
        <v>50104.0</v>
      </c>
      <c r="D459" s="4" t="s">
        <v>13063</v>
      </c>
      <c r="E459" s="4">
        <v>199.0</v>
      </c>
      <c r="F459" s="4">
        <v>3.0</v>
      </c>
      <c r="G459" s="12" t="s">
        <v>13749</v>
      </c>
      <c r="H459" s="4" t="s">
        <v>3512</v>
      </c>
      <c r="I459" s="4" t="s">
        <v>4680</v>
      </c>
      <c r="J459" s="5"/>
      <c r="K459" s="4" t="s">
        <v>67</v>
      </c>
      <c r="L459" s="4">
        <v>0.0</v>
      </c>
      <c r="M459" s="15" t="str">
        <f>VLOOKUP(A459,'Live Plan Data'!I:J,2, False)</f>
        <v>Active</v>
      </c>
    </row>
    <row r="460">
      <c r="A460" s="4" t="s">
        <v>13751</v>
      </c>
      <c r="B460" s="4" t="s">
        <v>3708</v>
      </c>
      <c r="C460" s="4">
        <v>50104.0</v>
      </c>
      <c r="D460" s="4" t="s">
        <v>13065</v>
      </c>
      <c r="E460" s="4">
        <v>349.0</v>
      </c>
      <c r="F460" s="4">
        <v>6.0</v>
      </c>
      <c r="G460" s="12" t="s">
        <v>13749</v>
      </c>
      <c r="H460" s="4" t="s">
        <v>3512</v>
      </c>
      <c r="I460" s="4" t="s">
        <v>4680</v>
      </c>
      <c r="J460" s="5"/>
      <c r="K460" s="4" t="s">
        <v>67</v>
      </c>
      <c r="L460" s="4">
        <v>0.0</v>
      </c>
      <c r="M460" s="15" t="str">
        <f>VLOOKUP(A460,'Live Plan Data'!I:J,2, False)</f>
        <v>Active</v>
      </c>
    </row>
    <row r="461">
      <c r="A461" s="4" t="s">
        <v>13752</v>
      </c>
      <c r="B461" s="4" t="s">
        <v>13753</v>
      </c>
      <c r="C461" s="4">
        <v>50147.0</v>
      </c>
      <c r="D461" s="4" t="s">
        <v>13058</v>
      </c>
      <c r="E461" s="4">
        <v>99.0</v>
      </c>
      <c r="F461" s="4">
        <v>1.0</v>
      </c>
      <c r="G461" s="12" t="s">
        <v>13754</v>
      </c>
      <c r="H461" s="4" t="s">
        <v>4387</v>
      </c>
      <c r="I461" s="4" t="s">
        <v>13738</v>
      </c>
      <c r="J461" s="5"/>
      <c r="K461" s="4" t="s">
        <v>67</v>
      </c>
      <c r="L461" s="4">
        <v>0.0</v>
      </c>
      <c r="M461" s="15" t="str">
        <f>VLOOKUP(A461,'Live Plan Data'!I:J,2, False)</f>
        <v>Active</v>
      </c>
    </row>
    <row r="462">
      <c r="A462" s="4" t="s">
        <v>13755</v>
      </c>
      <c r="B462" s="4" t="s">
        <v>13753</v>
      </c>
      <c r="C462" s="4">
        <v>50147.0</v>
      </c>
      <c r="D462" s="4" t="s">
        <v>13063</v>
      </c>
      <c r="E462" s="4">
        <v>199.0</v>
      </c>
      <c r="F462" s="4">
        <v>3.0</v>
      </c>
      <c r="G462" s="12" t="s">
        <v>13754</v>
      </c>
      <c r="H462" s="4" t="s">
        <v>4387</v>
      </c>
      <c r="I462" s="4" t="s">
        <v>13738</v>
      </c>
      <c r="J462" s="5"/>
      <c r="K462" s="4" t="s">
        <v>67</v>
      </c>
      <c r="L462" s="4">
        <v>0.0</v>
      </c>
      <c r="M462" s="15" t="str">
        <f>VLOOKUP(A462,'Live Plan Data'!I:J,2, False)</f>
        <v>Active</v>
      </c>
    </row>
    <row r="463">
      <c r="A463" s="4" t="s">
        <v>13756</v>
      </c>
      <c r="B463" s="4" t="s">
        <v>13753</v>
      </c>
      <c r="C463" s="4">
        <v>50147.0</v>
      </c>
      <c r="D463" s="4" t="s">
        <v>13065</v>
      </c>
      <c r="E463" s="4">
        <v>349.0</v>
      </c>
      <c r="F463" s="4">
        <v>6.0</v>
      </c>
      <c r="G463" s="12" t="s">
        <v>13754</v>
      </c>
      <c r="H463" s="4" t="s">
        <v>4387</v>
      </c>
      <c r="I463" s="4" t="s">
        <v>13738</v>
      </c>
      <c r="J463" s="5"/>
      <c r="K463" s="4" t="s">
        <v>67</v>
      </c>
      <c r="L463" s="4">
        <v>0.0</v>
      </c>
      <c r="M463" s="15" t="str">
        <f>VLOOKUP(A463,'Live Plan Data'!I:J,2, False)</f>
        <v>Active</v>
      </c>
    </row>
    <row r="464">
      <c r="A464" s="4" t="s">
        <v>13757</v>
      </c>
      <c r="B464" s="4" t="s">
        <v>2441</v>
      </c>
      <c r="C464" s="4">
        <v>50143.0</v>
      </c>
      <c r="D464" s="4" t="s">
        <v>13058</v>
      </c>
      <c r="E464" s="4">
        <v>199.0</v>
      </c>
      <c r="F464" s="4">
        <v>1.0</v>
      </c>
      <c r="G464" s="12" t="s">
        <v>13729</v>
      </c>
      <c r="H464" s="4" t="s">
        <v>13730</v>
      </c>
      <c r="I464" s="4" t="s">
        <v>13731</v>
      </c>
      <c r="J464" s="5"/>
      <c r="K464" s="4" t="s">
        <v>67</v>
      </c>
      <c r="L464" s="4">
        <v>0.0</v>
      </c>
      <c r="M464" s="15" t="str">
        <f>VLOOKUP(A464,'Live Plan Data'!I:J,2, False)</f>
        <v>Active</v>
      </c>
    </row>
    <row r="465">
      <c r="A465" s="4" t="s">
        <v>13758</v>
      </c>
      <c r="B465" s="4" t="s">
        <v>2441</v>
      </c>
      <c r="C465" s="4">
        <v>50143.0</v>
      </c>
      <c r="D465" s="4" t="s">
        <v>13063</v>
      </c>
      <c r="E465" s="4">
        <v>399.0</v>
      </c>
      <c r="F465" s="4">
        <v>3.0</v>
      </c>
      <c r="G465" s="12" t="s">
        <v>13729</v>
      </c>
      <c r="H465" s="4" t="s">
        <v>13730</v>
      </c>
      <c r="I465" s="4" t="s">
        <v>13731</v>
      </c>
      <c r="J465" s="5"/>
      <c r="K465" s="4" t="s">
        <v>67</v>
      </c>
      <c r="L465" s="4">
        <v>0.0</v>
      </c>
      <c r="M465" s="15" t="str">
        <f>VLOOKUP(A465,'Live Plan Data'!I:J,2, False)</f>
        <v>Active</v>
      </c>
    </row>
    <row r="466">
      <c r="A466" s="4" t="s">
        <v>13759</v>
      </c>
      <c r="B466" s="4" t="s">
        <v>2441</v>
      </c>
      <c r="C466" s="4">
        <v>50143.0</v>
      </c>
      <c r="D466" s="4" t="s">
        <v>13065</v>
      </c>
      <c r="E466" s="4">
        <v>999.0</v>
      </c>
      <c r="F466" s="4">
        <v>6.0</v>
      </c>
      <c r="G466" s="12" t="s">
        <v>13729</v>
      </c>
      <c r="H466" s="4" t="s">
        <v>13730</v>
      </c>
      <c r="I466" s="4" t="s">
        <v>13731</v>
      </c>
      <c r="J466" s="5"/>
      <c r="K466" s="4" t="s">
        <v>67</v>
      </c>
      <c r="L466" s="4">
        <v>0.0</v>
      </c>
      <c r="M466" s="15" t="str">
        <f>VLOOKUP(A466,'Live Plan Data'!I:J,2, False)</f>
        <v>Active</v>
      </c>
    </row>
    <row r="467" hidden="1">
      <c r="A467" s="4" t="s">
        <v>13760</v>
      </c>
      <c r="B467" s="4" t="s">
        <v>1727</v>
      </c>
      <c r="C467" s="4">
        <v>50033.0</v>
      </c>
      <c r="D467" s="4" t="s">
        <v>13058</v>
      </c>
      <c r="E467" s="4">
        <v>199.0</v>
      </c>
      <c r="F467" s="4">
        <v>1.0</v>
      </c>
      <c r="G467" s="12" t="s">
        <v>13176</v>
      </c>
      <c r="H467" s="4" t="s">
        <v>13177</v>
      </c>
      <c r="I467" s="4" t="s">
        <v>13078</v>
      </c>
      <c r="J467" s="5"/>
      <c r="K467" s="4" t="s">
        <v>67</v>
      </c>
      <c r="L467" s="4">
        <v>0.0</v>
      </c>
      <c r="M467" s="15" t="str">
        <f>VLOOKUP(A467,'Live Plan Data'!I:J,2, False)</f>
        <v>#N/A</v>
      </c>
    </row>
    <row r="468" hidden="1">
      <c r="A468" s="4" t="s">
        <v>13761</v>
      </c>
      <c r="B468" s="4" t="s">
        <v>1727</v>
      </c>
      <c r="C468" s="4">
        <v>50033.0</v>
      </c>
      <c r="D468" s="4" t="s">
        <v>13063</v>
      </c>
      <c r="E468" s="4">
        <v>299.0</v>
      </c>
      <c r="F468" s="4">
        <v>3.0</v>
      </c>
      <c r="G468" s="12" t="s">
        <v>13176</v>
      </c>
      <c r="H468" s="4" t="s">
        <v>13177</v>
      </c>
      <c r="I468" s="4" t="s">
        <v>13078</v>
      </c>
      <c r="J468" s="5"/>
      <c r="K468" s="4" t="s">
        <v>67</v>
      </c>
      <c r="L468" s="4">
        <v>0.0</v>
      </c>
      <c r="M468" s="15" t="str">
        <f>VLOOKUP(A468,'Live Plan Data'!I:J,2, False)</f>
        <v>#N/A</v>
      </c>
    </row>
    <row r="469" hidden="1">
      <c r="A469" s="4" t="s">
        <v>13762</v>
      </c>
      <c r="B469" s="4" t="s">
        <v>1727</v>
      </c>
      <c r="C469" s="4">
        <v>50033.0</v>
      </c>
      <c r="D469" s="4" t="s">
        <v>13065</v>
      </c>
      <c r="E469" s="4">
        <v>399.0</v>
      </c>
      <c r="F469" s="4">
        <v>6.0</v>
      </c>
      <c r="G469" s="12" t="s">
        <v>13176</v>
      </c>
      <c r="H469" s="4" t="s">
        <v>13177</v>
      </c>
      <c r="I469" s="4" t="s">
        <v>13078</v>
      </c>
      <c r="J469" s="5"/>
      <c r="K469" s="4" t="s">
        <v>67</v>
      </c>
      <c r="L469" s="4">
        <v>0.0</v>
      </c>
      <c r="M469" s="15" t="str">
        <f>VLOOKUP(A469,'Live Plan Data'!I:J,2, False)</f>
        <v>#N/A</v>
      </c>
    </row>
    <row r="470" hidden="1">
      <c r="A470" s="4" t="s">
        <v>13763</v>
      </c>
      <c r="B470" s="4" t="s">
        <v>13764</v>
      </c>
      <c r="C470" s="4">
        <v>123.0</v>
      </c>
      <c r="D470" s="4" t="s">
        <v>13058</v>
      </c>
      <c r="E470" s="4">
        <v>99.0</v>
      </c>
      <c r="F470" s="4">
        <v>1.0</v>
      </c>
      <c r="G470" s="12" t="s">
        <v>13765</v>
      </c>
      <c r="H470" s="4" t="s">
        <v>3313</v>
      </c>
      <c r="I470" s="4" t="s">
        <v>3313</v>
      </c>
      <c r="J470" s="5"/>
      <c r="K470" s="4" t="s">
        <v>67</v>
      </c>
      <c r="L470" s="4">
        <v>0.0</v>
      </c>
      <c r="M470" s="15" t="str">
        <f>VLOOKUP(A470,'Live Plan Data'!I:J,2, False)</f>
        <v>#N/A</v>
      </c>
    </row>
    <row r="471" hidden="1">
      <c r="A471" s="4" t="s">
        <v>13766</v>
      </c>
      <c r="B471" s="4" t="s">
        <v>6195</v>
      </c>
      <c r="C471" s="4">
        <v>50092.0</v>
      </c>
      <c r="D471" s="4" t="s">
        <v>13058</v>
      </c>
      <c r="E471" s="4">
        <v>249.0</v>
      </c>
      <c r="F471" s="4">
        <v>1.0</v>
      </c>
      <c r="G471" s="12" t="s">
        <v>13570</v>
      </c>
      <c r="H471" s="4" t="s">
        <v>13571</v>
      </c>
      <c r="I471" s="4" t="s">
        <v>13541</v>
      </c>
      <c r="J471" s="5"/>
      <c r="K471" s="4" t="s">
        <v>67</v>
      </c>
      <c r="L471" s="4">
        <v>0.0</v>
      </c>
      <c r="M471" s="15" t="str">
        <f>VLOOKUP(A471,'Live Plan Data'!I:J,2, False)</f>
        <v>#N/A</v>
      </c>
    </row>
    <row r="472" hidden="1">
      <c r="A472" s="4" t="s">
        <v>13767</v>
      </c>
      <c r="B472" s="4" t="s">
        <v>6195</v>
      </c>
      <c r="C472" s="4">
        <v>50092.0</v>
      </c>
      <c r="D472" s="4" t="s">
        <v>13063</v>
      </c>
      <c r="E472" s="4">
        <v>449.0</v>
      </c>
      <c r="F472" s="4">
        <v>3.0</v>
      </c>
      <c r="G472" s="12" t="s">
        <v>13570</v>
      </c>
      <c r="H472" s="4" t="s">
        <v>13571</v>
      </c>
      <c r="I472" s="4" t="s">
        <v>13541</v>
      </c>
      <c r="J472" s="5"/>
      <c r="K472" s="4" t="s">
        <v>67</v>
      </c>
      <c r="L472" s="4">
        <v>0.0</v>
      </c>
      <c r="M472" s="15" t="str">
        <f>VLOOKUP(A472,'Live Plan Data'!I:J,2, False)</f>
        <v>#N/A</v>
      </c>
    </row>
    <row r="473" hidden="1">
      <c r="A473" s="4" t="s">
        <v>13768</v>
      </c>
      <c r="B473" s="4" t="s">
        <v>6195</v>
      </c>
      <c r="C473" s="4">
        <v>50092.0</v>
      </c>
      <c r="D473" s="4" t="s">
        <v>13065</v>
      </c>
      <c r="E473" s="4">
        <v>699.0</v>
      </c>
      <c r="F473" s="4">
        <v>6.0</v>
      </c>
      <c r="G473" s="12" t="s">
        <v>13570</v>
      </c>
      <c r="H473" s="4" t="s">
        <v>13571</v>
      </c>
      <c r="I473" s="4" t="s">
        <v>13541</v>
      </c>
      <c r="J473" s="5"/>
      <c r="K473" s="4" t="s">
        <v>67</v>
      </c>
      <c r="L473" s="4">
        <v>0.0</v>
      </c>
      <c r="M473" s="15" t="str">
        <f>VLOOKUP(A473,'Live Plan Data'!I:J,2, False)</f>
        <v>#N/A</v>
      </c>
    </row>
    <row r="474" hidden="1">
      <c r="A474" s="4" t="s">
        <v>13769</v>
      </c>
      <c r="B474" s="4" t="s">
        <v>6195</v>
      </c>
      <c r="C474" s="4">
        <v>50092.0</v>
      </c>
      <c r="D474" s="4" t="s">
        <v>13065</v>
      </c>
      <c r="E474" s="4">
        <v>699.0</v>
      </c>
      <c r="F474" s="4">
        <v>6.0</v>
      </c>
      <c r="G474" s="12" t="s">
        <v>13570</v>
      </c>
      <c r="H474" s="4" t="s">
        <v>13571</v>
      </c>
      <c r="I474" s="4" t="s">
        <v>13541</v>
      </c>
      <c r="J474" s="5"/>
      <c r="K474" s="4" t="s">
        <v>67</v>
      </c>
      <c r="L474" s="4">
        <v>0.0</v>
      </c>
      <c r="M474" s="15" t="str">
        <f>VLOOKUP(A474,'Live Plan Data'!I:J,2, False)</f>
        <v>#N/A</v>
      </c>
    </row>
    <row r="475" hidden="1">
      <c r="A475" s="4" t="s">
        <v>13770</v>
      </c>
      <c r="B475" s="4" t="s">
        <v>3618</v>
      </c>
      <c r="C475" s="4">
        <v>50136.0</v>
      </c>
      <c r="D475" s="4" t="s">
        <v>13058</v>
      </c>
      <c r="E475" s="4">
        <v>99.0</v>
      </c>
      <c r="F475" s="4">
        <v>1.0</v>
      </c>
      <c r="G475" s="12" t="s">
        <v>13771</v>
      </c>
      <c r="H475" s="4" t="s">
        <v>13772</v>
      </c>
      <c r="I475" s="4" t="s">
        <v>13719</v>
      </c>
      <c r="J475" s="5"/>
      <c r="K475" s="4" t="s">
        <v>67</v>
      </c>
      <c r="L475" s="4">
        <v>0.0</v>
      </c>
      <c r="M475" s="15" t="str">
        <f>VLOOKUP(A475,'Live Plan Data'!I:J,2, False)</f>
        <v>#N/A</v>
      </c>
    </row>
    <row r="476" hidden="1">
      <c r="A476" s="4" t="s">
        <v>13773</v>
      </c>
      <c r="B476" s="4" t="s">
        <v>3618</v>
      </c>
      <c r="C476" s="4">
        <v>50136.0</v>
      </c>
      <c r="D476" s="4" t="s">
        <v>13058</v>
      </c>
      <c r="E476" s="4">
        <v>199.0</v>
      </c>
      <c r="F476" s="4">
        <v>1.0</v>
      </c>
      <c r="G476" s="12" t="s">
        <v>13771</v>
      </c>
      <c r="H476" s="4" t="s">
        <v>13772</v>
      </c>
      <c r="I476" s="4" t="s">
        <v>13719</v>
      </c>
      <c r="J476" s="5"/>
      <c r="K476" s="4" t="s">
        <v>67</v>
      </c>
      <c r="L476" s="4">
        <v>0.0</v>
      </c>
      <c r="M476" s="15" t="str">
        <f>VLOOKUP(A476,'Live Plan Data'!I:J,2, False)</f>
        <v>#N/A</v>
      </c>
    </row>
    <row r="477" hidden="1">
      <c r="A477" s="4" t="s">
        <v>13774</v>
      </c>
      <c r="B477" s="4" t="s">
        <v>3618</v>
      </c>
      <c r="C477" s="4">
        <v>50136.0</v>
      </c>
      <c r="D477" s="4" t="s">
        <v>13058</v>
      </c>
      <c r="E477" s="4">
        <v>349.0</v>
      </c>
      <c r="F477" s="4">
        <v>1.0</v>
      </c>
      <c r="G477" s="12" t="s">
        <v>13771</v>
      </c>
      <c r="H477" s="4" t="s">
        <v>13772</v>
      </c>
      <c r="I477" s="4" t="s">
        <v>13719</v>
      </c>
      <c r="J477" s="5"/>
      <c r="K477" s="4" t="s">
        <v>67</v>
      </c>
      <c r="L477" s="4">
        <v>0.0</v>
      </c>
      <c r="M477" s="15" t="str">
        <f>VLOOKUP(A477,'Live Plan Data'!I:J,2, False)</f>
        <v>#N/A</v>
      </c>
    </row>
    <row r="478" hidden="1">
      <c r="A478" s="4" t="s">
        <v>13775</v>
      </c>
      <c r="B478" s="4" t="s">
        <v>3618</v>
      </c>
      <c r="C478" s="4">
        <v>50136.0</v>
      </c>
      <c r="D478" s="4" t="s">
        <v>13058</v>
      </c>
      <c r="E478" s="4">
        <v>99.0</v>
      </c>
      <c r="F478" s="4">
        <v>1.0</v>
      </c>
      <c r="G478" s="12" t="s">
        <v>13771</v>
      </c>
      <c r="H478" s="4" t="s">
        <v>13772</v>
      </c>
      <c r="I478" s="4" t="s">
        <v>13719</v>
      </c>
      <c r="J478" s="5"/>
      <c r="K478" s="4" t="s">
        <v>67</v>
      </c>
      <c r="L478" s="4">
        <v>0.0</v>
      </c>
      <c r="M478" s="15" t="str">
        <f>VLOOKUP(A478,'Live Plan Data'!I:J,2, False)</f>
        <v>#N/A</v>
      </c>
    </row>
    <row r="479" hidden="1">
      <c r="A479" s="4" t="s">
        <v>13776</v>
      </c>
      <c r="B479" s="4" t="s">
        <v>3618</v>
      </c>
      <c r="C479" s="4">
        <v>50136.0</v>
      </c>
      <c r="D479" s="4" t="s">
        <v>13063</v>
      </c>
      <c r="E479" s="4">
        <v>199.0</v>
      </c>
      <c r="F479" s="4">
        <v>3.0</v>
      </c>
      <c r="G479" s="12" t="s">
        <v>13771</v>
      </c>
      <c r="H479" s="4" t="s">
        <v>13772</v>
      </c>
      <c r="I479" s="4" t="s">
        <v>13719</v>
      </c>
      <c r="J479" s="5"/>
      <c r="K479" s="4" t="s">
        <v>67</v>
      </c>
      <c r="L479" s="4">
        <v>0.0</v>
      </c>
      <c r="M479" s="15" t="str">
        <f>VLOOKUP(A479,'Live Plan Data'!I:J,2, False)</f>
        <v>#N/A</v>
      </c>
    </row>
    <row r="480" hidden="1">
      <c r="A480" s="4" t="s">
        <v>13777</v>
      </c>
      <c r="B480" s="4" t="s">
        <v>3618</v>
      </c>
      <c r="C480" s="4">
        <v>50136.0</v>
      </c>
      <c r="D480" s="4" t="s">
        <v>13065</v>
      </c>
      <c r="E480" s="4">
        <v>349.0</v>
      </c>
      <c r="F480" s="4">
        <v>6.0</v>
      </c>
      <c r="G480" s="12" t="s">
        <v>13771</v>
      </c>
      <c r="H480" s="4" t="s">
        <v>13772</v>
      </c>
      <c r="I480" s="4" t="s">
        <v>13719</v>
      </c>
      <c r="J480" s="5"/>
      <c r="K480" s="4" t="s">
        <v>67</v>
      </c>
      <c r="L480" s="4">
        <v>0.0</v>
      </c>
      <c r="M480" s="15" t="str">
        <f>VLOOKUP(A480,'Live Plan Data'!I:J,2, False)</f>
        <v>#N/A</v>
      </c>
    </row>
    <row r="481">
      <c r="A481" s="4" t="s">
        <v>13778</v>
      </c>
      <c r="B481" s="4" t="s">
        <v>12621</v>
      </c>
      <c r="C481" s="4">
        <v>50137.0</v>
      </c>
      <c r="D481" s="4" t="s">
        <v>13058</v>
      </c>
      <c r="E481" s="4">
        <v>99.0</v>
      </c>
      <c r="F481" s="4">
        <v>1.0</v>
      </c>
      <c r="G481" s="12" t="s">
        <v>13779</v>
      </c>
      <c r="H481" s="4" t="s">
        <v>13780</v>
      </c>
      <c r="I481" s="4" t="s">
        <v>13719</v>
      </c>
      <c r="J481" s="5"/>
      <c r="K481" s="4" t="s">
        <v>67</v>
      </c>
      <c r="L481" s="4">
        <v>0.0</v>
      </c>
      <c r="M481" s="15" t="str">
        <f>VLOOKUP(A481,'Live Plan Data'!I:J,2, False)</f>
        <v>Active</v>
      </c>
    </row>
    <row r="482">
      <c r="A482" s="4" t="s">
        <v>13781</v>
      </c>
      <c r="B482" s="4" t="s">
        <v>12621</v>
      </c>
      <c r="C482" s="4">
        <v>50137.0</v>
      </c>
      <c r="D482" s="4" t="s">
        <v>13063</v>
      </c>
      <c r="E482" s="4">
        <v>199.0</v>
      </c>
      <c r="F482" s="4">
        <v>3.0</v>
      </c>
      <c r="G482" s="12" t="s">
        <v>13779</v>
      </c>
      <c r="H482" s="4" t="s">
        <v>13780</v>
      </c>
      <c r="I482" s="4" t="s">
        <v>13719</v>
      </c>
      <c r="J482" s="5"/>
      <c r="K482" s="4" t="s">
        <v>67</v>
      </c>
      <c r="L482" s="4">
        <v>0.0</v>
      </c>
      <c r="M482" s="15" t="str">
        <f>VLOOKUP(A482,'Live Plan Data'!I:J,2, False)</f>
        <v>Active</v>
      </c>
    </row>
    <row r="483">
      <c r="A483" s="4" t="s">
        <v>13782</v>
      </c>
      <c r="B483" s="4" t="s">
        <v>12621</v>
      </c>
      <c r="C483" s="4">
        <v>50137.0</v>
      </c>
      <c r="D483" s="4" t="s">
        <v>13065</v>
      </c>
      <c r="E483" s="4">
        <v>349.0</v>
      </c>
      <c r="F483" s="4">
        <v>6.0</v>
      </c>
      <c r="G483" s="12" t="s">
        <v>13779</v>
      </c>
      <c r="H483" s="4" t="s">
        <v>13780</v>
      </c>
      <c r="I483" s="4" t="s">
        <v>13719</v>
      </c>
      <c r="J483" s="5"/>
      <c r="K483" s="4" t="s">
        <v>67</v>
      </c>
      <c r="L483" s="4">
        <v>0.0</v>
      </c>
      <c r="M483" s="15" t="str">
        <f>VLOOKUP(A483,'Live Plan Data'!I:J,2, False)</f>
        <v>Active</v>
      </c>
    </row>
    <row r="484">
      <c r="A484" s="4" t="s">
        <v>13783</v>
      </c>
      <c r="B484" s="4" t="s">
        <v>12784</v>
      </c>
      <c r="C484" s="4">
        <v>50148.0</v>
      </c>
      <c r="D484" s="4" t="s">
        <v>13058</v>
      </c>
      <c r="E484" s="4">
        <v>199.0</v>
      </c>
      <c r="F484" s="4">
        <v>1.0</v>
      </c>
      <c r="G484" s="12" t="s">
        <v>13784</v>
      </c>
      <c r="H484" s="4" t="s">
        <v>13785</v>
      </c>
      <c r="I484" s="4" t="s">
        <v>13738</v>
      </c>
      <c r="J484" s="5"/>
      <c r="K484" s="4" t="s">
        <v>67</v>
      </c>
      <c r="L484" s="4">
        <v>0.0</v>
      </c>
      <c r="M484" s="15" t="str">
        <f>VLOOKUP(A484,'Live Plan Data'!I:J,2, False)</f>
        <v>Active</v>
      </c>
    </row>
    <row r="485">
      <c r="A485" s="4" t="s">
        <v>13786</v>
      </c>
      <c r="B485" s="4" t="s">
        <v>12784</v>
      </c>
      <c r="C485" s="4">
        <v>50148.0</v>
      </c>
      <c r="D485" s="4" t="s">
        <v>13063</v>
      </c>
      <c r="E485" s="4">
        <v>399.0</v>
      </c>
      <c r="F485" s="4">
        <v>3.0</v>
      </c>
      <c r="G485" s="12" t="s">
        <v>13784</v>
      </c>
      <c r="H485" s="4" t="s">
        <v>13785</v>
      </c>
      <c r="I485" s="4" t="s">
        <v>13738</v>
      </c>
      <c r="J485" s="5"/>
      <c r="K485" s="4" t="s">
        <v>67</v>
      </c>
      <c r="L485" s="4">
        <v>0.0</v>
      </c>
      <c r="M485" s="15" t="str">
        <f>VLOOKUP(A485,'Live Plan Data'!I:J,2, False)</f>
        <v>Active</v>
      </c>
    </row>
    <row r="486">
      <c r="A486" s="4" t="s">
        <v>13787</v>
      </c>
      <c r="B486" s="4" t="s">
        <v>12784</v>
      </c>
      <c r="C486" s="4">
        <v>50148.0</v>
      </c>
      <c r="D486" s="4" t="s">
        <v>13065</v>
      </c>
      <c r="E486" s="4">
        <v>899.0</v>
      </c>
      <c r="F486" s="4">
        <v>6.0</v>
      </c>
      <c r="G486" s="12" t="s">
        <v>13784</v>
      </c>
      <c r="H486" s="4" t="s">
        <v>13785</v>
      </c>
      <c r="I486" s="4" t="s">
        <v>13738</v>
      </c>
      <c r="J486" s="5"/>
      <c r="K486" s="4" t="s">
        <v>67</v>
      </c>
      <c r="L486" s="4">
        <v>0.0</v>
      </c>
      <c r="M486" s="15" t="str">
        <f>VLOOKUP(A486,'Live Plan Data'!I:J,2, False)</f>
        <v>Active</v>
      </c>
    </row>
    <row r="487">
      <c r="A487" s="4" t="s">
        <v>13788</v>
      </c>
      <c r="B487" s="4" t="s">
        <v>5956</v>
      </c>
      <c r="C487" s="4">
        <v>50041.0</v>
      </c>
      <c r="D487" s="4" t="s">
        <v>13210</v>
      </c>
      <c r="E487" s="4">
        <v>399.0</v>
      </c>
      <c r="F487" s="4">
        <v>12.0</v>
      </c>
      <c r="G487" s="12" t="s">
        <v>13181</v>
      </c>
      <c r="H487" s="4" t="s">
        <v>13182</v>
      </c>
      <c r="I487" s="4" t="s">
        <v>13078</v>
      </c>
      <c r="J487" s="4" t="s">
        <v>5972</v>
      </c>
      <c r="K487" s="4" t="s">
        <v>67</v>
      </c>
      <c r="L487" s="4">
        <v>0.0</v>
      </c>
      <c r="M487" s="15" t="str">
        <f>VLOOKUP(A487,'Live Plan Data'!I:J,2, False)</f>
        <v>Active</v>
      </c>
    </row>
    <row r="488">
      <c r="A488" s="4" t="s">
        <v>13789</v>
      </c>
      <c r="B488" s="4" t="s">
        <v>5956</v>
      </c>
      <c r="C488" s="4">
        <v>50041.0</v>
      </c>
      <c r="D488" s="4" t="s">
        <v>13210</v>
      </c>
      <c r="E488" s="4">
        <v>999.0</v>
      </c>
      <c r="F488" s="4">
        <v>12.0</v>
      </c>
      <c r="G488" s="12" t="s">
        <v>13181</v>
      </c>
      <c r="H488" s="4" t="s">
        <v>13182</v>
      </c>
      <c r="I488" s="4" t="s">
        <v>13078</v>
      </c>
      <c r="J488" s="4" t="s">
        <v>13790</v>
      </c>
      <c r="K488" s="4" t="s">
        <v>67</v>
      </c>
      <c r="L488" s="4">
        <v>0.0</v>
      </c>
      <c r="M488" s="15" t="str">
        <f>VLOOKUP(A488,'Live Plan Data'!I:J,2, False)</f>
        <v>Active</v>
      </c>
    </row>
    <row r="489" hidden="1">
      <c r="A489" s="4" t="s">
        <v>13791</v>
      </c>
      <c r="B489" s="4" t="s">
        <v>12717</v>
      </c>
      <c r="C489" s="4">
        <v>50149.0</v>
      </c>
      <c r="D489" s="4" t="s">
        <v>13058</v>
      </c>
      <c r="E489" s="4">
        <v>99.0</v>
      </c>
      <c r="F489" s="4">
        <v>1.0</v>
      </c>
      <c r="G489" s="12" t="s">
        <v>13792</v>
      </c>
      <c r="H489" s="4" t="s">
        <v>13793</v>
      </c>
      <c r="I489" s="4" t="s">
        <v>13719</v>
      </c>
      <c r="J489" s="5"/>
      <c r="K489" s="4" t="s">
        <v>67</v>
      </c>
      <c r="L489" s="4">
        <v>0.0</v>
      </c>
      <c r="M489" s="15" t="str">
        <f>VLOOKUP(A489,'Live Plan Data'!I:J,2, False)</f>
        <v>#N/A</v>
      </c>
    </row>
    <row r="490" hidden="1">
      <c r="A490" s="4" t="s">
        <v>13794</v>
      </c>
      <c r="B490" s="4" t="s">
        <v>12717</v>
      </c>
      <c r="C490" s="4">
        <v>50149.0</v>
      </c>
      <c r="D490" s="4" t="s">
        <v>13063</v>
      </c>
      <c r="E490" s="4">
        <v>199.0</v>
      </c>
      <c r="F490" s="4">
        <v>3.0</v>
      </c>
      <c r="G490" s="12" t="s">
        <v>13792</v>
      </c>
      <c r="H490" s="4" t="s">
        <v>13793</v>
      </c>
      <c r="I490" s="4" t="s">
        <v>13719</v>
      </c>
      <c r="J490" s="5"/>
      <c r="K490" s="4" t="s">
        <v>67</v>
      </c>
      <c r="L490" s="4">
        <v>0.0</v>
      </c>
      <c r="M490" s="15" t="str">
        <f>VLOOKUP(A490,'Live Plan Data'!I:J,2, False)</f>
        <v>#N/A</v>
      </c>
    </row>
    <row r="491" hidden="1">
      <c r="A491" s="4" t="s">
        <v>13795</v>
      </c>
      <c r="B491" s="4" t="s">
        <v>12717</v>
      </c>
      <c r="C491" s="4">
        <v>50149.0</v>
      </c>
      <c r="D491" s="4" t="s">
        <v>13065</v>
      </c>
      <c r="E491" s="4">
        <v>349.0</v>
      </c>
      <c r="F491" s="4">
        <v>6.0</v>
      </c>
      <c r="G491" s="12" t="s">
        <v>13792</v>
      </c>
      <c r="H491" s="4" t="s">
        <v>13793</v>
      </c>
      <c r="I491" s="4" t="s">
        <v>13719</v>
      </c>
      <c r="J491" s="5"/>
      <c r="K491" s="4" t="s">
        <v>67</v>
      </c>
      <c r="L491" s="4">
        <v>0.0</v>
      </c>
      <c r="M491" s="15" t="str">
        <f>VLOOKUP(A491,'Live Plan Data'!I:J,2, False)</f>
        <v>#N/A</v>
      </c>
    </row>
    <row r="492" hidden="1">
      <c r="A492" s="4" t="s">
        <v>13796</v>
      </c>
      <c r="B492" s="4" t="s">
        <v>13797</v>
      </c>
      <c r="C492" s="4">
        <v>50111.0</v>
      </c>
      <c r="D492" s="4" t="s">
        <v>13063</v>
      </c>
      <c r="E492" s="4">
        <v>2100.0</v>
      </c>
      <c r="F492" s="4">
        <v>3.0</v>
      </c>
      <c r="G492" s="12" t="s">
        <v>13798</v>
      </c>
      <c r="H492" s="4" t="s">
        <v>13799</v>
      </c>
      <c r="I492" s="4" t="s">
        <v>13800</v>
      </c>
      <c r="J492" s="4" t="s">
        <v>13801</v>
      </c>
      <c r="K492" s="4" t="s">
        <v>67</v>
      </c>
      <c r="L492" s="4">
        <v>0.0</v>
      </c>
      <c r="M492" s="15" t="str">
        <f>VLOOKUP(A492,'Live Plan Data'!I:J,2, False)</f>
        <v>#N/A</v>
      </c>
    </row>
    <row r="493" hidden="1">
      <c r="A493" s="4" t="s">
        <v>13802</v>
      </c>
      <c r="B493" s="4" t="s">
        <v>13797</v>
      </c>
      <c r="C493" s="4">
        <v>50111.0</v>
      </c>
      <c r="D493" s="4" t="s">
        <v>13065</v>
      </c>
      <c r="E493" s="4">
        <v>3600.0</v>
      </c>
      <c r="F493" s="4">
        <v>6.0</v>
      </c>
      <c r="G493" s="12" t="s">
        <v>13798</v>
      </c>
      <c r="H493" s="4" t="s">
        <v>13799</v>
      </c>
      <c r="I493" s="4" t="s">
        <v>13800</v>
      </c>
      <c r="J493" s="4" t="s">
        <v>13801</v>
      </c>
      <c r="K493" s="4" t="s">
        <v>67</v>
      </c>
      <c r="L493" s="4">
        <v>0.0</v>
      </c>
      <c r="M493" s="15" t="str">
        <f>VLOOKUP(A493,'Live Plan Data'!I:J,2, False)</f>
        <v>#N/A</v>
      </c>
    </row>
    <row r="494" hidden="1">
      <c r="A494" s="4" t="s">
        <v>13803</v>
      </c>
      <c r="B494" s="4" t="s">
        <v>13797</v>
      </c>
      <c r="C494" s="4">
        <v>50111.0</v>
      </c>
      <c r="D494" s="4" t="s">
        <v>13210</v>
      </c>
      <c r="E494" s="4">
        <v>6666.0</v>
      </c>
      <c r="F494" s="4">
        <v>12.0</v>
      </c>
      <c r="G494" s="12" t="s">
        <v>13798</v>
      </c>
      <c r="H494" s="4" t="s">
        <v>13799</v>
      </c>
      <c r="I494" s="4" t="s">
        <v>13800</v>
      </c>
      <c r="J494" s="4" t="s">
        <v>13801</v>
      </c>
      <c r="K494" s="4" t="s">
        <v>67</v>
      </c>
      <c r="L494" s="4">
        <v>0.0</v>
      </c>
      <c r="M494" s="15" t="str">
        <f>VLOOKUP(A494,'Live Plan Data'!I:J,2, False)</f>
        <v>#N/A</v>
      </c>
    </row>
    <row r="495" hidden="1">
      <c r="A495" s="4" t="s">
        <v>13804</v>
      </c>
      <c r="B495" s="4" t="s">
        <v>13797</v>
      </c>
      <c r="C495" s="4">
        <v>50111.0</v>
      </c>
      <c r="D495" s="4" t="s">
        <v>13210</v>
      </c>
      <c r="E495" s="4">
        <v>14000.0</v>
      </c>
      <c r="F495" s="4">
        <v>12.0</v>
      </c>
      <c r="G495" s="12" t="s">
        <v>13798</v>
      </c>
      <c r="H495" s="4" t="s">
        <v>13799</v>
      </c>
      <c r="I495" s="4" t="s">
        <v>13800</v>
      </c>
      <c r="J495" s="4" t="s">
        <v>13805</v>
      </c>
      <c r="K495" s="4" t="s">
        <v>67</v>
      </c>
      <c r="L495" s="4">
        <v>0.0</v>
      </c>
      <c r="M495" s="15" t="str">
        <f>VLOOKUP(A495,'Live Plan Data'!I:J,2, False)</f>
        <v>#N/A</v>
      </c>
    </row>
    <row r="496" hidden="1">
      <c r="A496" s="4" t="s">
        <v>13806</v>
      </c>
      <c r="B496" s="4" t="s">
        <v>13797</v>
      </c>
      <c r="C496" s="4">
        <v>50111.0</v>
      </c>
      <c r="D496" s="4" t="s">
        <v>13065</v>
      </c>
      <c r="E496" s="4">
        <v>8000.0</v>
      </c>
      <c r="F496" s="4">
        <v>6.0</v>
      </c>
      <c r="G496" s="12" t="s">
        <v>13798</v>
      </c>
      <c r="H496" s="4" t="s">
        <v>13799</v>
      </c>
      <c r="I496" s="4" t="s">
        <v>13800</v>
      </c>
      <c r="J496" s="4" t="s">
        <v>13805</v>
      </c>
      <c r="K496" s="4" t="s">
        <v>67</v>
      </c>
      <c r="L496" s="4">
        <v>0.0</v>
      </c>
      <c r="M496" s="15" t="str">
        <f>VLOOKUP(A496,'Live Plan Data'!I:J,2, False)</f>
        <v>#N/A</v>
      </c>
    </row>
    <row r="497" hidden="1">
      <c r="A497" s="4" t="s">
        <v>13807</v>
      </c>
      <c r="B497" s="4" t="s">
        <v>13797</v>
      </c>
      <c r="C497" s="4">
        <v>50111.0</v>
      </c>
      <c r="D497" s="4" t="s">
        <v>13063</v>
      </c>
      <c r="E497" s="4">
        <v>4500.0</v>
      </c>
      <c r="F497" s="4">
        <v>3.0</v>
      </c>
      <c r="G497" s="12" t="s">
        <v>13798</v>
      </c>
      <c r="H497" s="4" t="s">
        <v>13799</v>
      </c>
      <c r="I497" s="4" t="s">
        <v>13800</v>
      </c>
      <c r="J497" s="4" t="s">
        <v>13805</v>
      </c>
      <c r="K497" s="4" t="s">
        <v>67</v>
      </c>
      <c r="L497" s="4">
        <v>0.0</v>
      </c>
      <c r="M497" s="15" t="str">
        <f>VLOOKUP(A497,'Live Plan Data'!I:J,2, False)</f>
        <v>#N/A</v>
      </c>
    </row>
    <row r="498">
      <c r="A498" s="4" t="s">
        <v>13808</v>
      </c>
      <c r="B498" s="4" t="s">
        <v>12665</v>
      </c>
      <c r="C498" s="4">
        <v>50150.0</v>
      </c>
      <c r="D498" s="4" t="s">
        <v>13058</v>
      </c>
      <c r="E498" s="4">
        <v>99.0</v>
      </c>
      <c r="F498" s="4">
        <v>1.0</v>
      </c>
      <c r="G498" s="12" t="s">
        <v>13809</v>
      </c>
      <c r="H498" s="4" t="s">
        <v>13810</v>
      </c>
      <c r="I498" s="4" t="s">
        <v>13719</v>
      </c>
      <c r="J498" s="5"/>
      <c r="K498" s="4" t="s">
        <v>67</v>
      </c>
      <c r="L498" s="4">
        <v>0.0</v>
      </c>
      <c r="M498" s="15" t="str">
        <f>VLOOKUP(A498,'Live Plan Data'!I:J,2, False)</f>
        <v>Active</v>
      </c>
    </row>
    <row r="499">
      <c r="A499" s="4" t="s">
        <v>13811</v>
      </c>
      <c r="B499" s="4" t="s">
        <v>12665</v>
      </c>
      <c r="C499" s="4">
        <v>50150.0</v>
      </c>
      <c r="D499" s="4" t="s">
        <v>13063</v>
      </c>
      <c r="E499" s="4">
        <v>199.0</v>
      </c>
      <c r="F499" s="4">
        <v>3.0</v>
      </c>
      <c r="G499" s="12" t="s">
        <v>13809</v>
      </c>
      <c r="H499" s="4" t="s">
        <v>13810</v>
      </c>
      <c r="I499" s="4" t="s">
        <v>13719</v>
      </c>
      <c r="J499" s="5"/>
      <c r="K499" s="4" t="s">
        <v>67</v>
      </c>
      <c r="L499" s="4">
        <v>0.0</v>
      </c>
      <c r="M499" s="15" t="str">
        <f>VLOOKUP(A499,'Live Plan Data'!I:J,2, False)</f>
        <v>Active</v>
      </c>
    </row>
    <row r="500">
      <c r="A500" s="4" t="s">
        <v>13812</v>
      </c>
      <c r="B500" s="4" t="s">
        <v>12665</v>
      </c>
      <c r="C500" s="4">
        <v>50150.0</v>
      </c>
      <c r="D500" s="4" t="s">
        <v>13065</v>
      </c>
      <c r="E500" s="4">
        <v>349.0</v>
      </c>
      <c r="F500" s="4">
        <v>6.0</v>
      </c>
      <c r="G500" s="12" t="s">
        <v>13809</v>
      </c>
      <c r="H500" s="4" t="s">
        <v>13810</v>
      </c>
      <c r="I500" s="4" t="s">
        <v>13719</v>
      </c>
      <c r="J500" s="5"/>
      <c r="K500" s="4" t="s">
        <v>67</v>
      </c>
      <c r="L500" s="4">
        <v>0.0</v>
      </c>
      <c r="M500" s="15" t="str">
        <f>VLOOKUP(A500,'Live Plan Data'!I:J,2, False)</f>
        <v>Active</v>
      </c>
    </row>
    <row r="501">
      <c r="A501" s="4" t="s">
        <v>13813</v>
      </c>
      <c r="B501" s="4" t="s">
        <v>12966</v>
      </c>
      <c r="C501" s="4">
        <v>50154.0</v>
      </c>
      <c r="D501" s="4" t="s">
        <v>13058</v>
      </c>
      <c r="E501" s="4">
        <v>99.0</v>
      </c>
      <c r="F501" s="4">
        <v>1.0</v>
      </c>
      <c r="G501" s="12" t="s">
        <v>13814</v>
      </c>
      <c r="H501" s="4" t="s">
        <v>13815</v>
      </c>
      <c r="I501" s="4" t="s">
        <v>13816</v>
      </c>
      <c r="J501" s="5"/>
      <c r="K501" s="4" t="s">
        <v>67</v>
      </c>
      <c r="L501" s="4">
        <v>0.0</v>
      </c>
      <c r="M501" s="15" t="str">
        <f>VLOOKUP(A501,'Live Plan Data'!I:J,2, False)</f>
        <v>Active</v>
      </c>
    </row>
    <row r="502">
      <c r="A502" s="4" t="s">
        <v>13817</v>
      </c>
      <c r="B502" s="4" t="s">
        <v>12966</v>
      </c>
      <c r="C502" s="4">
        <v>50154.0</v>
      </c>
      <c r="D502" s="4" t="s">
        <v>13063</v>
      </c>
      <c r="E502" s="4">
        <v>199.0</v>
      </c>
      <c r="F502" s="4">
        <v>3.0</v>
      </c>
      <c r="G502" s="12" t="s">
        <v>13814</v>
      </c>
      <c r="H502" s="4" t="s">
        <v>13815</v>
      </c>
      <c r="I502" s="4" t="s">
        <v>13816</v>
      </c>
      <c r="J502" s="5"/>
      <c r="K502" s="4" t="s">
        <v>67</v>
      </c>
      <c r="L502" s="4">
        <v>0.0</v>
      </c>
      <c r="M502" s="15" t="str">
        <f>VLOOKUP(A502,'Live Plan Data'!I:J,2, False)</f>
        <v>Active</v>
      </c>
    </row>
    <row r="503">
      <c r="A503" s="4" t="s">
        <v>13818</v>
      </c>
      <c r="B503" s="4" t="s">
        <v>12966</v>
      </c>
      <c r="C503" s="4">
        <v>50154.0</v>
      </c>
      <c r="D503" s="4" t="s">
        <v>13065</v>
      </c>
      <c r="E503" s="4">
        <v>349.0</v>
      </c>
      <c r="F503" s="4">
        <v>6.0</v>
      </c>
      <c r="G503" s="12" t="s">
        <v>13814</v>
      </c>
      <c r="H503" s="4" t="s">
        <v>13815</v>
      </c>
      <c r="I503" s="4" t="s">
        <v>13816</v>
      </c>
      <c r="J503" s="5"/>
      <c r="K503" s="4" t="s">
        <v>67</v>
      </c>
      <c r="L503" s="4">
        <v>0.0</v>
      </c>
      <c r="M503" s="15" t="str">
        <f>VLOOKUP(A503,'Live Plan Data'!I:J,2, False)</f>
        <v>Active</v>
      </c>
    </row>
    <row r="504">
      <c r="A504" s="4" t="s">
        <v>13819</v>
      </c>
      <c r="B504" s="4" t="s">
        <v>4914</v>
      </c>
      <c r="C504" s="4">
        <v>50113.0</v>
      </c>
      <c r="D504" s="4" t="s">
        <v>13058</v>
      </c>
      <c r="E504" s="4">
        <v>499.0</v>
      </c>
      <c r="F504" s="4">
        <v>1.0</v>
      </c>
      <c r="G504" s="12" t="s">
        <v>13645</v>
      </c>
      <c r="H504" s="4" t="s">
        <v>13646</v>
      </c>
      <c r="I504" s="4" t="s">
        <v>13665</v>
      </c>
      <c r="J504" s="5"/>
      <c r="K504" s="4" t="s">
        <v>67</v>
      </c>
      <c r="L504" s="4">
        <v>0.0</v>
      </c>
      <c r="M504" s="15" t="str">
        <f>VLOOKUP(A504,'Live Plan Data'!I:J,2, False)</f>
        <v>Active</v>
      </c>
    </row>
    <row r="505">
      <c r="A505" s="4" t="s">
        <v>13820</v>
      </c>
      <c r="B505" s="4" t="s">
        <v>4914</v>
      </c>
      <c r="C505" s="4">
        <v>50113.0</v>
      </c>
      <c r="D505" s="4" t="s">
        <v>13063</v>
      </c>
      <c r="E505" s="4">
        <v>1349.0</v>
      </c>
      <c r="F505" s="4">
        <v>3.0</v>
      </c>
      <c r="G505" s="12" t="s">
        <v>13645</v>
      </c>
      <c r="H505" s="4" t="s">
        <v>13646</v>
      </c>
      <c r="I505" s="4" t="s">
        <v>13665</v>
      </c>
      <c r="J505" s="5"/>
      <c r="K505" s="4" t="s">
        <v>67</v>
      </c>
      <c r="L505" s="4">
        <v>0.0</v>
      </c>
      <c r="M505" s="15" t="str">
        <f>VLOOKUP(A505,'Live Plan Data'!I:J,2, False)</f>
        <v>Active</v>
      </c>
    </row>
    <row r="506">
      <c r="A506" s="4" t="s">
        <v>13821</v>
      </c>
      <c r="B506" s="4" t="s">
        <v>4914</v>
      </c>
      <c r="C506" s="4">
        <v>50113.0</v>
      </c>
      <c r="D506" s="4" t="s">
        <v>13065</v>
      </c>
      <c r="E506" s="4">
        <v>2499.0</v>
      </c>
      <c r="F506" s="4">
        <v>6.0</v>
      </c>
      <c r="G506" s="12" t="s">
        <v>13645</v>
      </c>
      <c r="H506" s="4" t="s">
        <v>13646</v>
      </c>
      <c r="I506" s="4" t="s">
        <v>13665</v>
      </c>
      <c r="J506" s="5"/>
      <c r="K506" s="4" t="s">
        <v>67</v>
      </c>
      <c r="L506" s="4">
        <v>0.0</v>
      </c>
      <c r="M506" s="15" t="str">
        <f>VLOOKUP(A506,'Live Plan Data'!I:J,2, False)</f>
        <v>Active</v>
      </c>
    </row>
    <row r="507" hidden="1">
      <c r="A507" s="4" t="s">
        <v>13822</v>
      </c>
      <c r="B507" s="4" t="s">
        <v>6462</v>
      </c>
      <c r="C507" s="4">
        <v>50169.0</v>
      </c>
      <c r="D507" s="4" t="s">
        <v>13058</v>
      </c>
      <c r="E507" s="4">
        <v>999.0</v>
      </c>
      <c r="F507" s="4">
        <v>1.0</v>
      </c>
      <c r="G507" s="12" t="s">
        <v>13823</v>
      </c>
      <c r="H507" s="4" t="s">
        <v>13824</v>
      </c>
      <c r="I507" s="4" t="s">
        <v>13191</v>
      </c>
      <c r="J507" s="5"/>
      <c r="K507" s="4" t="s">
        <v>67</v>
      </c>
      <c r="L507" s="4">
        <v>0.0</v>
      </c>
      <c r="M507" s="15" t="str">
        <f>VLOOKUP(A507,'Live Plan Data'!I:J,2, False)</f>
        <v>#N/A</v>
      </c>
    </row>
    <row r="508" hidden="1">
      <c r="A508" s="4" t="s">
        <v>13825</v>
      </c>
      <c r="B508" s="4" t="s">
        <v>6462</v>
      </c>
      <c r="C508" s="4">
        <v>50169.0</v>
      </c>
      <c r="D508" s="4" t="s">
        <v>13058</v>
      </c>
      <c r="E508" s="4">
        <v>999.0</v>
      </c>
      <c r="F508" s="4">
        <v>1.0</v>
      </c>
      <c r="G508" s="12" t="s">
        <v>13823</v>
      </c>
      <c r="H508" s="4" t="s">
        <v>13824</v>
      </c>
      <c r="I508" s="4" t="s">
        <v>13191</v>
      </c>
      <c r="J508" s="5"/>
      <c r="K508" s="4" t="s">
        <v>67</v>
      </c>
      <c r="L508" s="4">
        <v>0.0</v>
      </c>
      <c r="M508" s="15" t="str">
        <f>VLOOKUP(A508,'Live Plan Data'!I:J,2, False)</f>
        <v>#N/A</v>
      </c>
    </row>
    <row r="509" hidden="1">
      <c r="A509" s="4" t="s">
        <v>13826</v>
      </c>
      <c r="B509" s="4" t="s">
        <v>6462</v>
      </c>
      <c r="C509" s="4">
        <v>50169.0</v>
      </c>
      <c r="D509" s="4" t="s">
        <v>13063</v>
      </c>
      <c r="E509" s="4">
        <v>1999.0</v>
      </c>
      <c r="F509" s="4">
        <v>3.0</v>
      </c>
      <c r="G509" s="12" t="s">
        <v>13823</v>
      </c>
      <c r="H509" s="4" t="s">
        <v>13824</v>
      </c>
      <c r="I509" s="4" t="s">
        <v>13191</v>
      </c>
      <c r="J509" s="5"/>
      <c r="K509" s="4" t="s">
        <v>67</v>
      </c>
      <c r="L509" s="4">
        <v>0.0</v>
      </c>
      <c r="M509" s="15" t="str">
        <f>VLOOKUP(A509,'Live Plan Data'!I:J,2, False)</f>
        <v>#N/A</v>
      </c>
    </row>
    <row r="510">
      <c r="A510" s="4" t="s">
        <v>13827</v>
      </c>
      <c r="B510" s="4" t="s">
        <v>12658</v>
      </c>
      <c r="C510" s="4">
        <v>50093.0</v>
      </c>
      <c r="D510" s="4" t="s">
        <v>13210</v>
      </c>
      <c r="E510" s="4">
        <v>299.0</v>
      </c>
      <c r="F510" s="4">
        <v>12.0</v>
      </c>
      <c r="G510" s="12" t="s">
        <v>13828</v>
      </c>
      <c r="H510" s="4" t="s">
        <v>13829</v>
      </c>
      <c r="I510" s="4" t="s">
        <v>13665</v>
      </c>
      <c r="J510" s="4" t="s">
        <v>13830</v>
      </c>
      <c r="K510" s="4" t="s">
        <v>67</v>
      </c>
      <c r="L510" s="4">
        <v>0.0</v>
      </c>
      <c r="M510" s="15" t="str">
        <f>VLOOKUP(A510,'Live Plan Data'!I:J,2, False)</f>
        <v>Active</v>
      </c>
    </row>
    <row r="511">
      <c r="A511" s="4" t="s">
        <v>13831</v>
      </c>
      <c r="B511" s="4" t="s">
        <v>12658</v>
      </c>
      <c r="C511" s="4">
        <v>50093.0</v>
      </c>
      <c r="D511" s="4" t="s">
        <v>13210</v>
      </c>
      <c r="E511" s="4">
        <v>499.0</v>
      </c>
      <c r="F511" s="4">
        <v>12.0</v>
      </c>
      <c r="G511" s="12" t="s">
        <v>13828</v>
      </c>
      <c r="H511" s="4" t="s">
        <v>13829</v>
      </c>
      <c r="I511" s="4" t="s">
        <v>13665</v>
      </c>
      <c r="J511" s="4" t="s">
        <v>13832</v>
      </c>
      <c r="K511" s="4" t="s">
        <v>67</v>
      </c>
      <c r="L511" s="4">
        <v>0.0</v>
      </c>
      <c r="M511" s="15" t="str">
        <f>VLOOKUP(A511,'Live Plan Data'!I:J,2, False)</f>
        <v>Active</v>
      </c>
    </row>
    <row r="512">
      <c r="A512" s="4" t="s">
        <v>13833</v>
      </c>
      <c r="B512" s="4" t="s">
        <v>12658</v>
      </c>
      <c r="C512" s="4">
        <v>50093.0</v>
      </c>
      <c r="D512" s="4" t="s">
        <v>13210</v>
      </c>
      <c r="E512" s="4">
        <v>999.0</v>
      </c>
      <c r="F512" s="4">
        <v>12.0</v>
      </c>
      <c r="G512" s="12" t="s">
        <v>13828</v>
      </c>
      <c r="H512" s="4" t="s">
        <v>13829</v>
      </c>
      <c r="I512" s="4" t="s">
        <v>13665</v>
      </c>
      <c r="J512" s="4" t="s">
        <v>13834</v>
      </c>
      <c r="K512" s="4" t="s">
        <v>67</v>
      </c>
      <c r="L512" s="4">
        <v>0.0</v>
      </c>
      <c r="M512" s="15" t="str">
        <f>VLOOKUP(A512,'Live Plan Data'!I:J,2, False)</f>
        <v>Active</v>
      </c>
    </row>
    <row r="513" hidden="1">
      <c r="A513" s="4" t="s">
        <v>13835</v>
      </c>
      <c r="B513" s="4" t="s">
        <v>12906</v>
      </c>
      <c r="C513" s="4">
        <v>50168.0</v>
      </c>
      <c r="D513" s="4" t="s">
        <v>13058</v>
      </c>
      <c r="E513" s="4">
        <v>349.0</v>
      </c>
      <c r="F513" s="4">
        <v>1.0</v>
      </c>
      <c r="G513" s="12" t="s">
        <v>13836</v>
      </c>
      <c r="H513" s="4" t="s">
        <v>13837</v>
      </c>
      <c r="I513" s="4" t="s">
        <v>13683</v>
      </c>
      <c r="J513" s="5"/>
      <c r="K513" s="4" t="s">
        <v>67</v>
      </c>
      <c r="L513" s="4">
        <v>0.0</v>
      </c>
      <c r="M513" s="15" t="str">
        <f>VLOOKUP(A513,'Live Plan Data'!I:J,2, False)</f>
        <v>#N/A</v>
      </c>
    </row>
    <row r="514" hidden="1">
      <c r="A514" s="4" t="s">
        <v>13838</v>
      </c>
      <c r="B514" s="4" t="s">
        <v>12906</v>
      </c>
      <c r="C514" s="4">
        <v>50168.0</v>
      </c>
      <c r="D514" s="4" t="s">
        <v>13063</v>
      </c>
      <c r="E514" s="4">
        <v>549.0</v>
      </c>
      <c r="F514" s="4">
        <v>3.0</v>
      </c>
      <c r="G514" s="12" t="s">
        <v>13836</v>
      </c>
      <c r="H514" s="4" t="s">
        <v>13837</v>
      </c>
      <c r="I514" s="4" t="s">
        <v>13683</v>
      </c>
      <c r="J514" s="5"/>
      <c r="K514" s="4" t="s">
        <v>67</v>
      </c>
      <c r="L514" s="4">
        <v>0.0</v>
      </c>
      <c r="M514" s="15" t="str">
        <f>VLOOKUP(A514,'Live Plan Data'!I:J,2, False)</f>
        <v>#N/A</v>
      </c>
    </row>
    <row r="515" hidden="1">
      <c r="A515" s="4" t="s">
        <v>13839</v>
      </c>
      <c r="B515" s="4" t="s">
        <v>12906</v>
      </c>
      <c r="C515" s="4">
        <v>50168.0</v>
      </c>
      <c r="D515" s="4" t="s">
        <v>13063</v>
      </c>
      <c r="E515" s="4">
        <v>549.0</v>
      </c>
      <c r="F515" s="4">
        <v>3.0</v>
      </c>
      <c r="G515" s="12" t="s">
        <v>13836</v>
      </c>
      <c r="H515" s="4" t="s">
        <v>13837</v>
      </c>
      <c r="I515" s="4" t="s">
        <v>13683</v>
      </c>
      <c r="J515" s="5"/>
      <c r="K515" s="4" t="s">
        <v>67</v>
      </c>
      <c r="L515" s="4">
        <v>0.0</v>
      </c>
      <c r="M515" s="15" t="str">
        <f>VLOOKUP(A515,'Live Plan Data'!I:J,2, False)</f>
        <v>#N/A</v>
      </c>
    </row>
    <row r="516" hidden="1">
      <c r="A516" s="4" t="s">
        <v>13840</v>
      </c>
      <c r="B516" s="4" t="s">
        <v>12906</v>
      </c>
      <c r="C516" s="4">
        <v>50168.0</v>
      </c>
      <c r="D516" s="4" t="s">
        <v>13065</v>
      </c>
      <c r="E516" s="4">
        <v>799.0</v>
      </c>
      <c r="F516" s="4">
        <v>6.0</v>
      </c>
      <c r="G516" s="12" t="s">
        <v>13836</v>
      </c>
      <c r="H516" s="4" t="s">
        <v>13837</v>
      </c>
      <c r="I516" s="4" t="s">
        <v>13683</v>
      </c>
      <c r="J516" s="5"/>
      <c r="K516" s="4" t="s">
        <v>67</v>
      </c>
      <c r="L516" s="4">
        <v>0.0</v>
      </c>
      <c r="M516" s="15" t="str">
        <f>VLOOKUP(A516,'Live Plan Data'!I:J,2, False)</f>
        <v>#N/A</v>
      </c>
    </row>
    <row r="517">
      <c r="A517" s="4" t="s">
        <v>13841</v>
      </c>
      <c r="B517" s="4" t="s">
        <v>13377</v>
      </c>
      <c r="C517" s="4">
        <v>50065.0</v>
      </c>
      <c r="D517" s="4" t="s">
        <v>13058</v>
      </c>
      <c r="E517" s="4">
        <v>349.0</v>
      </c>
      <c r="F517" s="4">
        <v>1.0</v>
      </c>
      <c r="G517" s="12" t="s">
        <v>13378</v>
      </c>
      <c r="H517" s="4" t="s">
        <v>13379</v>
      </c>
      <c r="I517" s="4" t="s">
        <v>13731</v>
      </c>
      <c r="J517" s="5"/>
      <c r="K517" s="4" t="s">
        <v>67</v>
      </c>
      <c r="L517" s="4">
        <v>0.0</v>
      </c>
      <c r="M517" s="15" t="str">
        <f>VLOOKUP(A517,'Live Plan Data'!I:J,2, False)</f>
        <v>Active</v>
      </c>
    </row>
    <row r="518">
      <c r="A518" s="4" t="s">
        <v>13842</v>
      </c>
      <c r="B518" s="4" t="s">
        <v>13377</v>
      </c>
      <c r="C518" s="4">
        <v>50065.0</v>
      </c>
      <c r="D518" s="4" t="s">
        <v>13063</v>
      </c>
      <c r="E518" s="4">
        <v>599.0</v>
      </c>
      <c r="F518" s="4">
        <v>3.0</v>
      </c>
      <c r="G518" s="12" t="s">
        <v>13378</v>
      </c>
      <c r="H518" s="4" t="s">
        <v>13379</v>
      </c>
      <c r="I518" s="4" t="s">
        <v>13731</v>
      </c>
      <c r="J518" s="5"/>
      <c r="K518" s="4" t="s">
        <v>67</v>
      </c>
      <c r="L518" s="4">
        <v>0.0</v>
      </c>
      <c r="M518" s="15" t="str">
        <f>VLOOKUP(A518,'Live Plan Data'!I:J,2, False)</f>
        <v>Active</v>
      </c>
    </row>
    <row r="519">
      <c r="A519" s="4" t="s">
        <v>13843</v>
      </c>
      <c r="B519" s="4" t="s">
        <v>13377</v>
      </c>
      <c r="C519" s="4">
        <v>50065.0</v>
      </c>
      <c r="D519" s="4" t="s">
        <v>13065</v>
      </c>
      <c r="E519" s="4">
        <v>899.0</v>
      </c>
      <c r="F519" s="4">
        <v>6.0</v>
      </c>
      <c r="G519" s="12" t="s">
        <v>13378</v>
      </c>
      <c r="H519" s="4" t="s">
        <v>13379</v>
      </c>
      <c r="I519" s="4" t="s">
        <v>13731</v>
      </c>
      <c r="J519" s="5"/>
      <c r="K519" s="4" t="s">
        <v>67</v>
      </c>
      <c r="L519" s="4">
        <v>0.0</v>
      </c>
      <c r="M519" s="15" t="str">
        <f>VLOOKUP(A519,'Live Plan Data'!I:J,2, False)</f>
        <v>Active</v>
      </c>
    </row>
    <row r="520" hidden="1">
      <c r="A520" s="4" t="s">
        <v>13844</v>
      </c>
      <c r="B520" s="4" t="s">
        <v>13377</v>
      </c>
      <c r="C520" s="4">
        <v>50065.0</v>
      </c>
      <c r="D520" s="4" t="s">
        <v>13065</v>
      </c>
      <c r="E520" s="4">
        <v>899.0</v>
      </c>
      <c r="F520" s="4">
        <v>6.0</v>
      </c>
      <c r="G520" s="12" t="s">
        <v>13378</v>
      </c>
      <c r="H520" s="4" t="s">
        <v>13379</v>
      </c>
      <c r="I520" s="4" t="s">
        <v>13731</v>
      </c>
      <c r="J520" s="5"/>
      <c r="K520" s="4" t="s">
        <v>67</v>
      </c>
      <c r="L520" s="4">
        <v>0.0</v>
      </c>
      <c r="M520" s="15" t="str">
        <f>VLOOKUP(A520,'Live Plan Data'!I:J,2, False)</f>
        <v>#N/A</v>
      </c>
    </row>
    <row r="521" hidden="1">
      <c r="A521" s="4" t="s">
        <v>13845</v>
      </c>
      <c r="B521" s="4" t="s">
        <v>12814</v>
      </c>
      <c r="C521" s="4">
        <v>50170.0</v>
      </c>
      <c r="D521" s="4" t="s">
        <v>13058</v>
      </c>
      <c r="E521" s="4">
        <v>149.0</v>
      </c>
      <c r="F521" s="4">
        <v>1.0</v>
      </c>
      <c r="G521" s="12" t="s">
        <v>13846</v>
      </c>
      <c r="H521" s="4" t="s">
        <v>13847</v>
      </c>
      <c r="I521" s="4" t="s">
        <v>13683</v>
      </c>
      <c r="J521" s="4" t="s">
        <v>13848</v>
      </c>
      <c r="K521" s="4" t="s">
        <v>67</v>
      </c>
      <c r="L521" s="4">
        <v>0.0</v>
      </c>
      <c r="M521" s="15" t="str">
        <f>VLOOKUP(A521,'Live Plan Data'!I:J,2, False)</f>
        <v>#N/A</v>
      </c>
    </row>
    <row r="522" hidden="1">
      <c r="A522" s="4" t="s">
        <v>13849</v>
      </c>
      <c r="B522" s="4" t="s">
        <v>12814</v>
      </c>
      <c r="C522" s="4">
        <v>50170.0</v>
      </c>
      <c r="D522" s="4" t="s">
        <v>13058</v>
      </c>
      <c r="E522" s="4">
        <v>99.0</v>
      </c>
      <c r="F522" s="4">
        <v>1.0</v>
      </c>
      <c r="G522" s="12" t="s">
        <v>13846</v>
      </c>
      <c r="H522" s="4" t="s">
        <v>13847</v>
      </c>
      <c r="I522" s="4" t="s">
        <v>13683</v>
      </c>
      <c r="J522" s="4" t="s">
        <v>13850</v>
      </c>
      <c r="K522" s="4" t="s">
        <v>67</v>
      </c>
      <c r="L522" s="4">
        <v>0.0</v>
      </c>
      <c r="M522" s="15" t="str">
        <f>VLOOKUP(A522,'Live Plan Data'!I:J,2, False)</f>
        <v>#N/A</v>
      </c>
    </row>
    <row r="523">
      <c r="A523" s="4" t="s">
        <v>13851</v>
      </c>
      <c r="B523" s="4" t="s">
        <v>12817</v>
      </c>
      <c r="C523" s="4">
        <v>50155.0</v>
      </c>
      <c r="D523" s="4" t="s">
        <v>13058</v>
      </c>
      <c r="E523" s="4">
        <v>99.0</v>
      </c>
      <c r="F523" s="4">
        <v>1.0</v>
      </c>
      <c r="G523" s="12" t="s">
        <v>13852</v>
      </c>
      <c r="H523" s="4" t="s">
        <v>13853</v>
      </c>
      <c r="I523" s="4" t="s">
        <v>13816</v>
      </c>
      <c r="J523" s="5"/>
      <c r="K523" s="4" t="s">
        <v>67</v>
      </c>
      <c r="L523" s="4">
        <v>0.0</v>
      </c>
      <c r="M523" s="15" t="str">
        <f>VLOOKUP(A523,'Live Plan Data'!I:J,2, False)</f>
        <v>Active</v>
      </c>
    </row>
    <row r="524" hidden="1">
      <c r="A524" s="4" t="s">
        <v>13854</v>
      </c>
      <c r="B524" s="4" t="s">
        <v>12814</v>
      </c>
      <c r="C524" s="4">
        <v>50170.0</v>
      </c>
      <c r="D524" s="4" t="s">
        <v>13058</v>
      </c>
      <c r="E524" s="4">
        <v>99.0</v>
      </c>
      <c r="F524" s="4">
        <v>1.0</v>
      </c>
      <c r="G524" s="12" t="s">
        <v>13846</v>
      </c>
      <c r="H524" s="4" t="s">
        <v>13847</v>
      </c>
      <c r="I524" s="4" t="s">
        <v>13683</v>
      </c>
      <c r="J524" s="4" t="s">
        <v>13855</v>
      </c>
      <c r="K524" s="4" t="s">
        <v>67</v>
      </c>
      <c r="L524" s="4">
        <v>0.0</v>
      </c>
      <c r="M524" s="15" t="str">
        <f>VLOOKUP(A524,'Live Plan Data'!I:J,2, False)</f>
        <v>#N/A</v>
      </c>
    </row>
    <row r="525">
      <c r="A525" s="4" t="s">
        <v>13856</v>
      </c>
      <c r="B525" s="4" t="s">
        <v>12817</v>
      </c>
      <c r="C525" s="4">
        <v>50155.0</v>
      </c>
      <c r="D525" s="4" t="s">
        <v>13065</v>
      </c>
      <c r="E525" s="4">
        <v>349.0</v>
      </c>
      <c r="F525" s="4">
        <v>6.0</v>
      </c>
      <c r="G525" s="12" t="s">
        <v>13852</v>
      </c>
      <c r="H525" s="4" t="s">
        <v>13853</v>
      </c>
      <c r="I525" s="4" t="s">
        <v>13816</v>
      </c>
      <c r="J525" s="5"/>
      <c r="K525" s="4" t="s">
        <v>67</v>
      </c>
      <c r="L525" s="4">
        <v>0.0</v>
      </c>
      <c r="M525" s="15" t="str">
        <f>VLOOKUP(A525,'Live Plan Data'!I:J,2, False)</f>
        <v>Active</v>
      </c>
    </row>
    <row r="526">
      <c r="A526" s="4" t="s">
        <v>13857</v>
      </c>
      <c r="B526" s="4" t="s">
        <v>4030</v>
      </c>
      <c r="C526" s="4">
        <v>49833.0</v>
      </c>
      <c r="D526" s="4" t="s">
        <v>13058</v>
      </c>
      <c r="E526" s="4">
        <v>149.0</v>
      </c>
      <c r="F526" s="4">
        <v>1.0</v>
      </c>
      <c r="G526" s="12" t="s">
        <v>13455</v>
      </c>
      <c r="H526" s="4" t="s">
        <v>13456</v>
      </c>
      <c r="I526" s="4" t="s">
        <v>13255</v>
      </c>
      <c r="J526" s="5"/>
      <c r="K526" s="4" t="s">
        <v>67</v>
      </c>
      <c r="L526" s="4">
        <v>0.0</v>
      </c>
      <c r="M526" s="15" t="str">
        <f>VLOOKUP(A526,'Live Plan Data'!I:J,2, False)</f>
        <v>Active</v>
      </c>
    </row>
    <row r="527">
      <c r="A527" s="4" t="s">
        <v>13858</v>
      </c>
      <c r="B527" s="4" t="s">
        <v>4030</v>
      </c>
      <c r="C527" s="4">
        <v>49833.0</v>
      </c>
      <c r="D527" s="4" t="s">
        <v>13063</v>
      </c>
      <c r="E527" s="4">
        <v>299.0</v>
      </c>
      <c r="F527" s="4">
        <v>3.0</v>
      </c>
      <c r="G527" s="12" t="s">
        <v>13455</v>
      </c>
      <c r="H527" s="4" t="s">
        <v>13456</v>
      </c>
      <c r="I527" s="4" t="s">
        <v>13255</v>
      </c>
      <c r="J527" s="5"/>
      <c r="K527" s="4" t="s">
        <v>67</v>
      </c>
      <c r="L527" s="4">
        <v>0.0</v>
      </c>
      <c r="M527" s="15" t="str">
        <f>VLOOKUP(A527,'Live Plan Data'!I:J,2, False)</f>
        <v>Active</v>
      </c>
    </row>
    <row r="528">
      <c r="A528" s="4" t="s">
        <v>13859</v>
      </c>
      <c r="B528" s="4" t="s">
        <v>4030</v>
      </c>
      <c r="C528" s="4">
        <v>49833.0</v>
      </c>
      <c r="D528" s="4" t="s">
        <v>13065</v>
      </c>
      <c r="E528" s="4">
        <v>449.0</v>
      </c>
      <c r="F528" s="4">
        <v>6.0</v>
      </c>
      <c r="G528" s="12" t="s">
        <v>13455</v>
      </c>
      <c r="H528" s="4" t="s">
        <v>13456</v>
      </c>
      <c r="I528" s="4" t="s">
        <v>13255</v>
      </c>
      <c r="J528" s="5"/>
      <c r="K528" s="4" t="s">
        <v>67</v>
      </c>
      <c r="L528" s="4">
        <v>0.0</v>
      </c>
      <c r="M528" s="15" t="str">
        <f>VLOOKUP(A528,'Live Plan Data'!I:J,2, False)</f>
        <v>Active</v>
      </c>
    </row>
    <row r="529">
      <c r="A529" s="4" t="s">
        <v>13860</v>
      </c>
      <c r="B529" s="4" t="s">
        <v>3986</v>
      </c>
      <c r="C529" s="4">
        <v>50086.0</v>
      </c>
      <c r="D529" s="4" t="s">
        <v>13065</v>
      </c>
      <c r="E529" s="4">
        <v>999.0</v>
      </c>
      <c r="F529" s="4">
        <v>6.0</v>
      </c>
      <c r="G529" s="12" t="s">
        <v>13641</v>
      </c>
      <c r="H529" s="4" t="s">
        <v>13642</v>
      </c>
      <c r="I529" s="4" t="s">
        <v>13191</v>
      </c>
      <c r="J529" s="5"/>
      <c r="K529" s="4" t="s">
        <v>67</v>
      </c>
      <c r="L529" s="4">
        <v>0.0</v>
      </c>
      <c r="M529" s="15" t="str">
        <f>VLOOKUP(A529,'Live Plan Data'!I:J,2, False)</f>
        <v>Active</v>
      </c>
    </row>
    <row r="530" hidden="1">
      <c r="A530" s="4" t="s">
        <v>13861</v>
      </c>
      <c r="B530" s="4" t="s">
        <v>12746</v>
      </c>
      <c r="C530" s="4">
        <v>50162.0</v>
      </c>
      <c r="D530" s="4" t="s">
        <v>13058</v>
      </c>
      <c r="E530" s="4">
        <v>1999.0</v>
      </c>
      <c r="F530" s="4">
        <v>1.0</v>
      </c>
      <c r="G530" s="12" t="s">
        <v>13862</v>
      </c>
      <c r="H530" s="4" t="s">
        <v>13863</v>
      </c>
      <c r="I530" s="4" t="s">
        <v>13738</v>
      </c>
      <c r="J530" s="5"/>
      <c r="K530" s="4" t="s">
        <v>67</v>
      </c>
      <c r="L530" s="4">
        <v>0.0</v>
      </c>
      <c r="M530" s="15" t="str">
        <f>VLOOKUP(A530,'Live Plan Data'!I:J,2, False)</f>
        <v>#N/A</v>
      </c>
    </row>
    <row r="531" hidden="1">
      <c r="A531" s="4" t="s">
        <v>13864</v>
      </c>
      <c r="B531" s="4" t="s">
        <v>12746</v>
      </c>
      <c r="C531" s="4">
        <v>50162.0</v>
      </c>
      <c r="D531" s="4" t="s">
        <v>13063</v>
      </c>
      <c r="E531" s="4">
        <v>4999.0</v>
      </c>
      <c r="F531" s="4">
        <v>3.0</v>
      </c>
      <c r="G531" s="12" t="s">
        <v>13862</v>
      </c>
      <c r="H531" s="4" t="s">
        <v>13863</v>
      </c>
      <c r="I531" s="4" t="s">
        <v>13738</v>
      </c>
      <c r="J531" s="5"/>
      <c r="K531" s="4" t="s">
        <v>67</v>
      </c>
      <c r="L531" s="4">
        <v>0.0</v>
      </c>
      <c r="M531" s="15" t="str">
        <f>VLOOKUP(A531,'Live Plan Data'!I:J,2, False)</f>
        <v>#N/A</v>
      </c>
    </row>
    <row r="532" hidden="1">
      <c r="A532" s="4" t="s">
        <v>13865</v>
      </c>
      <c r="B532" s="4" t="s">
        <v>12746</v>
      </c>
      <c r="C532" s="4">
        <v>50162.0</v>
      </c>
      <c r="D532" s="4" t="s">
        <v>13065</v>
      </c>
      <c r="E532" s="4">
        <v>8999.0</v>
      </c>
      <c r="F532" s="4">
        <v>6.0</v>
      </c>
      <c r="G532" s="12" t="s">
        <v>13862</v>
      </c>
      <c r="H532" s="4" t="s">
        <v>13863</v>
      </c>
      <c r="I532" s="4" t="s">
        <v>13738</v>
      </c>
      <c r="J532" s="5"/>
      <c r="K532" s="4" t="s">
        <v>67</v>
      </c>
      <c r="L532" s="4">
        <v>0.0</v>
      </c>
      <c r="M532" s="15" t="str">
        <f>VLOOKUP(A532,'Live Plan Data'!I:J,2, False)</f>
        <v>#N/A</v>
      </c>
    </row>
    <row r="533" hidden="1">
      <c r="A533" s="4" t="s">
        <v>13866</v>
      </c>
      <c r="B533" s="4" t="s">
        <v>12746</v>
      </c>
      <c r="C533" s="4">
        <v>50162.0</v>
      </c>
      <c r="D533" s="4" t="s">
        <v>13210</v>
      </c>
      <c r="E533" s="4">
        <v>14999.0</v>
      </c>
      <c r="F533" s="4">
        <v>12.0</v>
      </c>
      <c r="G533" s="12" t="s">
        <v>13862</v>
      </c>
      <c r="H533" s="4" t="s">
        <v>13863</v>
      </c>
      <c r="I533" s="4" t="s">
        <v>13738</v>
      </c>
      <c r="J533" s="5"/>
      <c r="K533" s="4" t="s">
        <v>67</v>
      </c>
      <c r="L533" s="4">
        <v>0.0</v>
      </c>
      <c r="M533" s="15" t="str">
        <f>VLOOKUP(A533,'Live Plan Data'!I:J,2, False)</f>
        <v>#N/A</v>
      </c>
    </row>
    <row r="534">
      <c r="A534" s="4" t="s">
        <v>13867</v>
      </c>
      <c r="B534" s="4" t="s">
        <v>3878</v>
      </c>
      <c r="C534" s="4">
        <v>50173.0</v>
      </c>
      <c r="D534" s="4" t="s">
        <v>13058</v>
      </c>
      <c r="E534" s="4">
        <v>99.0</v>
      </c>
      <c r="F534" s="4">
        <v>1.0</v>
      </c>
      <c r="G534" s="12" t="s">
        <v>13868</v>
      </c>
      <c r="H534" s="4" t="s">
        <v>13869</v>
      </c>
      <c r="I534" s="4" t="s">
        <v>13683</v>
      </c>
      <c r="J534" s="5"/>
      <c r="K534" s="4" t="s">
        <v>67</v>
      </c>
      <c r="L534" s="4">
        <v>0.0</v>
      </c>
      <c r="M534" s="15" t="str">
        <f>VLOOKUP(A534,'Live Plan Data'!I:J,2, False)</f>
        <v>Active</v>
      </c>
    </row>
    <row r="535">
      <c r="A535" s="4" t="s">
        <v>13870</v>
      </c>
      <c r="B535" s="4" t="s">
        <v>3878</v>
      </c>
      <c r="C535" s="4">
        <v>50173.0</v>
      </c>
      <c r="D535" s="4" t="s">
        <v>13063</v>
      </c>
      <c r="E535" s="4">
        <v>249.0</v>
      </c>
      <c r="F535" s="4">
        <v>3.0</v>
      </c>
      <c r="G535" s="12" t="s">
        <v>13868</v>
      </c>
      <c r="H535" s="4" t="s">
        <v>13869</v>
      </c>
      <c r="I535" s="4" t="s">
        <v>13683</v>
      </c>
      <c r="J535" s="5"/>
      <c r="K535" s="4" t="s">
        <v>67</v>
      </c>
      <c r="L535" s="4">
        <v>0.0</v>
      </c>
      <c r="M535" s="15" t="str">
        <f>VLOOKUP(A535,'Live Plan Data'!I:J,2, False)</f>
        <v>Active</v>
      </c>
    </row>
    <row r="536">
      <c r="A536" s="4" t="s">
        <v>13871</v>
      </c>
      <c r="B536" s="4" t="s">
        <v>3878</v>
      </c>
      <c r="C536" s="4">
        <v>50173.0</v>
      </c>
      <c r="D536" s="4" t="s">
        <v>13065</v>
      </c>
      <c r="E536" s="4">
        <v>449.0</v>
      </c>
      <c r="F536" s="4">
        <v>6.0</v>
      </c>
      <c r="G536" s="12" t="s">
        <v>13868</v>
      </c>
      <c r="H536" s="4" t="s">
        <v>13869</v>
      </c>
      <c r="I536" s="4" t="s">
        <v>13683</v>
      </c>
      <c r="J536" s="5"/>
      <c r="K536" s="4" t="s">
        <v>67</v>
      </c>
      <c r="L536" s="4">
        <v>0.0</v>
      </c>
      <c r="M536" s="15" t="str">
        <f>VLOOKUP(A536,'Live Plan Data'!I:J,2, False)</f>
        <v>Active</v>
      </c>
    </row>
    <row r="537">
      <c r="A537" s="4" t="s">
        <v>13872</v>
      </c>
      <c r="B537" s="4" t="s">
        <v>4942</v>
      </c>
      <c r="C537" s="4">
        <v>50094.0</v>
      </c>
      <c r="D537" s="4" t="s">
        <v>13058</v>
      </c>
      <c r="E537" s="4">
        <v>199.0</v>
      </c>
      <c r="F537" s="4">
        <v>1.0</v>
      </c>
      <c r="G537" s="12" t="s">
        <v>13626</v>
      </c>
      <c r="H537" s="4" t="s">
        <v>13627</v>
      </c>
      <c r="I537" s="4" t="s">
        <v>13255</v>
      </c>
      <c r="J537" s="5"/>
      <c r="K537" s="4" t="s">
        <v>67</v>
      </c>
      <c r="L537" s="4">
        <v>0.0</v>
      </c>
      <c r="M537" s="15" t="str">
        <f>VLOOKUP(A537,'Live Plan Data'!I:J,2, False)</f>
        <v>Active</v>
      </c>
    </row>
    <row r="538">
      <c r="A538" s="4" t="s">
        <v>13873</v>
      </c>
      <c r="B538" s="4" t="s">
        <v>4942</v>
      </c>
      <c r="C538" s="4">
        <v>50094.0</v>
      </c>
      <c r="D538" s="4" t="s">
        <v>13063</v>
      </c>
      <c r="E538" s="4">
        <v>399.0</v>
      </c>
      <c r="F538" s="4">
        <v>3.0</v>
      </c>
      <c r="G538" s="12" t="s">
        <v>13626</v>
      </c>
      <c r="H538" s="4" t="s">
        <v>13627</v>
      </c>
      <c r="I538" s="4" t="s">
        <v>13255</v>
      </c>
      <c r="J538" s="5"/>
      <c r="K538" s="4" t="s">
        <v>67</v>
      </c>
      <c r="L538" s="4">
        <v>0.0</v>
      </c>
      <c r="M538" s="15" t="str">
        <f>VLOOKUP(A538,'Live Plan Data'!I:J,2, False)</f>
        <v>Active</v>
      </c>
    </row>
    <row r="539">
      <c r="A539" s="4" t="s">
        <v>13874</v>
      </c>
      <c r="B539" s="4" t="s">
        <v>4942</v>
      </c>
      <c r="C539" s="4">
        <v>50094.0</v>
      </c>
      <c r="D539" s="4" t="s">
        <v>13065</v>
      </c>
      <c r="E539" s="4">
        <v>599.0</v>
      </c>
      <c r="F539" s="4">
        <v>6.0</v>
      </c>
      <c r="G539" s="12" t="s">
        <v>13626</v>
      </c>
      <c r="H539" s="4" t="s">
        <v>13627</v>
      </c>
      <c r="I539" s="4" t="s">
        <v>13255</v>
      </c>
      <c r="J539" s="5"/>
      <c r="K539" s="4" t="s">
        <v>67</v>
      </c>
      <c r="L539" s="4">
        <v>0.0</v>
      </c>
      <c r="M539" s="15" t="str">
        <f>VLOOKUP(A539,'Live Plan Data'!I:J,2, False)</f>
        <v>Active</v>
      </c>
    </row>
    <row r="540">
      <c r="A540" s="4" t="s">
        <v>13875</v>
      </c>
      <c r="B540" s="4" t="s">
        <v>13876</v>
      </c>
      <c r="C540" s="4">
        <v>50160.0</v>
      </c>
      <c r="D540" s="4" t="s">
        <v>13058</v>
      </c>
      <c r="E540" s="4">
        <v>99.0</v>
      </c>
      <c r="F540" s="4">
        <v>1.0</v>
      </c>
      <c r="G540" s="12" t="s">
        <v>13877</v>
      </c>
      <c r="H540" s="4" t="s">
        <v>13878</v>
      </c>
      <c r="I540" s="4" t="s">
        <v>13816</v>
      </c>
      <c r="J540" s="5"/>
      <c r="K540" s="4" t="s">
        <v>67</v>
      </c>
      <c r="L540" s="4">
        <v>0.0</v>
      </c>
      <c r="M540" s="15" t="str">
        <f>VLOOKUP(A540,'Live Plan Data'!I:J,2, False)</f>
        <v>Active</v>
      </c>
    </row>
    <row r="541">
      <c r="A541" s="4" t="s">
        <v>13879</v>
      </c>
      <c r="B541" s="4" t="s">
        <v>13876</v>
      </c>
      <c r="C541" s="4">
        <v>50160.0</v>
      </c>
      <c r="D541" s="4" t="s">
        <v>13063</v>
      </c>
      <c r="E541" s="4">
        <v>199.0</v>
      </c>
      <c r="F541" s="4">
        <v>3.0</v>
      </c>
      <c r="G541" s="12" t="s">
        <v>13877</v>
      </c>
      <c r="H541" s="4" t="s">
        <v>13878</v>
      </c>
      <c r="I541" s="4" t="s">
        <v>13816</v>
      </c>
      <c r="J541" s="5"/>
      <c r="K541" s="4" t="s">
        <v>67</v>
      </c>
      <c r="L541" s="4">
        <v>0.0</v>
      </c>
      <c r="M541" s="15" t="str">
        <f>VLOOKUP(A541,'Live Plan Data'!I:J,2, False)</f>
        <v>Active</v>
      </c>
    </row>
    <row r="542">
      <c r="A542" s="4" t="s">
        <v>13880</v>
      </c>
      <c r="B542" s="4" t="s">
        <v>13876</v>
      </c>
      <c r="C542" s="4">
        <v>50160.0</v>
      </c>
      <c r="D542" s="4" t="s">
        <v>13065</v>
      </c>
      <c r="E542" s="4">
        <v>349.0</v>
      </c>
      <c r="F542" s="4">
        <v>6.0</v>
      </c>
      <c r="G542" s="12" t="s">
        <v>13877</v>
      </c>
      <c r="H542" s="4" t="s">
        <v>13878</v>
      </c>
      <c r="I542" s="4" t="s">
        <v>13816</v>
      </c>
      <c r="J542" s="5"/>
      <c r="K542" s="4" t="s">
        <v>67</v>
      </c>
      <c r="L542" s="4">
        <v>0.0</v>
      </c>
      <c r="M542" s="15" t="str">
        <f>VLOOKUP(A542,'Live Plan Data'!I:J,2, False)</f>
        <v>Active</v>
      </c>
    </row>
    <row r="543">
      <c r="A543" s="4" t="s">
        <v>13881</v>
      </c>
      <c r="B543" s="4" t="s">
        <v>6462</v>
      </c>
      <c r="C543" s="4">
        <v>50169.0</v>
      </c>
      <c r="D543" s="4" t="s">
        <v>13058</v>
      </c>
      <c r="E543" s="4">
        <v>499.0</v>
      </c>
      <c r="F543" s="4">
        <v>1.0</v>
      </c>
      <c r="G543" s="12" t="s">
        <v>13823</v>
      </c>
      <c r="H543" s="4" t="s">
        <v>13824</v>
      </c>
      <c r="I543" s="4" t="s">
        <v>13191</v>
      </c>
      <c r="J543" s="5"/>
      <c r="K543" s="4" t="s">
        <v>67</v>
      </c>
      <c r="L543" s="4">
        <v>700.0</v>
      </c>
      <c r="M543" s="15" t="str">
        <f>VLOOKUP(A543,'Live Plan Data'!I:J,2, False)</f>
        <v>Active</v>
      </c>
    </row>
    <row r="544">
      <c r="A544" s="4" t="s">
        <v>13882</v>
      </c>
      <c r="B544" s="4" t="s">
        <v>6462</v>
      </c>
      <c r="C544" s="4">
        <v>50169.0</v>
      </c>
      <c r="D544" s="4" t="s">
        <v>13063</v>
      </c>
      <c r="E544" s="4">
        <v>999.0</v>
      </c>
      <c r="F544" s="4">
        <v>3.0</v>
      </c>
      <c r="G544" s="12" t="s">
        <v>13823</v>
      </c>
      <c r="H544" s="4" t="s">
        <v>13824</v>
      </c>
      <c r="I544" s="4" t="s">
        <v>13191</v>
      </c>
      <c r="J544" s="5"/>
      <c r="K544" s="4" t="s">
        <v>67</v>
      </c>
      <c r="L544" s="4">
        <v>1400.0</v>
      </c>
      <c r="M544" s="15" t="str">
        <f>VLOOKUP(A544,'Live Plan Data'!I:J,2, False)</f>
        <v>Active</v>
      </c>
    </row>
    <row r="545" hidden="1">
      <c r="A545" s="4" t="s">
        <v>13883</v>
      </c>
      <c r="B545" s="4" t="s">
        <v>5984</v>
      </c>
      <c r="C545" s="4">
        <v>50076.0</v>
      </c>
      <c r="D545" s="4" t="s">
        <v>13058</v>
      </c>
      <c r="E545" s="4">
        <v>199.0</v>
      </c>
      <c r="F545" s="4">
        <v>1.0</v>
      </c>
      <c r="G545" s="12" t="s">
        <v>13549</v>
      </c>
      <c r="H545" s="4" t="s">
        <v>13550</v>
      </c>
      <c r="I545" s="4" t="s">
        <v>4680</v>
      </c>
      <c r="J545" s="5"/>
      <c r="K545" s="4" t="s">
        <v>67</v>
      </c>
      <c r="L545" s="4">
        <v>0.0</v>
      </c>
      <c r="M545" s="15" t="str">
        <f>VLOOKUP(A545,'Live Plan Data'!I:J,2, False)</f>
        <v>#N/A</v>
      </c>
    </row>
    <row r="546" hidden="1">
      <c r="A546" s="4" t="s">
        <v>13884</v>
      </c>
      <c r="B546" s="4" t="s">
        <v>5984</v>
      </c>
      <c r="C546" s="4">
        <v>50076.0</v>
      </c>
      <c r="D546" s="4" t="s">
        <v>13063</v>
      </c>
      <c r="E546" s="4">
        <v>349.0</v>
      </c>
      <c r="F546" s="4">
        <v>3.0</v>
      </c>
      <c r="G546" s="12" t="s">
        <v>13549</v>
      </c>
      <c r="H546" s="4" t="s">
        <v>13550</v>
      </c>
      <c r="I546" s="4" t="s">
        <v>4680</v>
      </c>
      <c r="J546" s="5"/>
      <c r="K546" s="4" t="s">
        <v>67</v>
      </c>
      <c r="L546" s="4">
        <v>0.0</v>
      </c>
      <c r="M546" s="15" t="str">
        <f>VLOOKUP(A546,'Live Plan Data'!I:J,2, False)</f>
        <v>#N/A</v>
      </c>
    </row>
    <row r="547" hidden="1">
      <c r="A547" s="4" t="s">
        <v>13885</v>
      </c>
      <c r="B547" s="4" t="s">
        <v>5984</v>
      </c>
      <c r="C547" s="4">
        <v>50076.0</v>
      </c>
      <c r="D547" s="4" t="s">
        <v>13065</v>
      </c>
      <c r="E547" s="4">
        <v>599.0</v>
      </c>
      <c r="F547" s="4">
        <v>6.0</v>
      </c>
      <c r="G547" s="12" t="s">
        <v>13549</v>
      </c>
      <c r="H547" s="4" t="s">
        <v>13550</v>
      </c>
      <c r="I547" s="4" t="s">
        <v>4680</v>
      </c>
      <c r="J547" s="5"/>
      <c r="K547" s="4" t="s">
        <v>67</v>
      </c>
      <c r="L547" s="4">
        <v>0.0</v>
      </c>
      <c r="M547" s="15" t="str">
        <f>VLOOKUP(A547,'Live Plan Data'!I:J,2, False)</f>
        <v>#N/A</v>
      </c>
    </row>
    <row r="548" hidden="1">
      <c r="A548" s="4" t="s">
        <v>13886</v>
      </c>
      <c r="B548" s="4" t="s">
        <v>5984</v>
      </c>
      <c r="C548" s="4">
        <v>50076.0</v>
      </c>
      <c r="D548" s="4" t="s">
        <v>13065</v>
      </c>
      <c r="E548" s="4">
        <v>599.0</v>
      </c>
      <c r="F548" s="4">
        <v>6.0</v>
      </c>
      <c r="G548" s="12" t="s">
        <v>13549</v>
      </c>
      <c r="H548" s="4" t="s">
        <v>13550</v>
      </c>
      <c r="I548" s="4" t="s">
        <v>4680</v>
      </c>
      <c r="J548" s="5"/>
      <c r="K548" s="4" t="s">
        <v>67</v>
      </c>
      <c r="L548" s="4">
        <v>0.0</v>
      </c>
      <c r="M548" s="15" t="str">
        <f>VLOOKUP(A548,'Live Plan Data'!I:J,2, False)</f>
        <v>#N/A</v>
      </c>
    </row>
    <row r="549">
      <c r="A549" s="4" t="s">
        <v>13887</v>
      </c>
      <c r="B549" s="4" t="s">
        <v>4399</v>
      </c>
      <c r="C549" s="4">
        <v>50110.0</v>
      </c>
      <c r="D549" s="4" t="s">
        <v>13058</v>
      </c>
      <c r="E549" s="4">
        <v>99.0</v>
      </c>
      <c r="F549" s="4">
        <v>1.0</v>
      </c>
      <c r="G549" s="12" t="s">
        <v>13631</v>
      </c>
      <c r="H549" s="4" t="s">
        <v>13632</v>
      </c>
      <c r="I549" s="4" t="s">
        <v>4680</v>
      </c>
      <c r="J549" s="5"/>
      <c r="K549" s="4" t="s">
        <v>67</v>
      </c>
      <c r="L549" s="4">
        <v>0.0</v>
      </c>
      <c r="M549" s="15" t="str">
        <f>VLOOKUP(A549,'Live Plan Data'!I:J,2, False)</f>
        <v>Active</v>
      </c>
    </row>
    <row r="550">
      <c r="A550" s="4" t="s">
        <v>13888</v>
      </c>
      <c r="B550" s="4" t="s">
        <v>4399</v>
      </c>
      <c r="C550" s="4">
        <v>50110.0</v>
      </c>
      <c r="D550" s="4" t="s">
        <v>13063</v>
      </c>
      <c r="E550" s="4">
        <v>199.0</v>
      </c>
      <c r="F550" s="4">
        <v>3.0</v>
      </c>
      <c r="G550" s="12" t="s">
        <v>13631</v>
      </c>
      <c r="H550" s="4" t="s">
        <v>13632</v>
      </c>
      <c r="I550" s="4" t="s">
        <v>4680</v>
      </c>
      <c r="J550" s="5"/>
      <c r="K550" s="4" t="s">
        <v>67</v>
      </c>
      <c r="L550" s="4">
        <v>0.0</v>
      </c>
      <c r="M550" s="15" t="str">
        <f>VLOOKUP(A550,'Live Plan Data'!I:J,2, False)</f>
        <v>Active</v>
      </c>
    </row>
    <row r="551">
      <c r="A551" s="4" t="s">
        <v>13889</v>
      </c>
      <c r="B551" s="4" t="s">
        <v>4399</v>
      </c>
      <c r="C551" s="4">
        <v>50110.0</v>
      </c>
      <c r="D551" s="4" t="s">
        <v>13065</v>
      </c>
      <c r="E551" s="4">
        <v>349.0</v>
      </c>
      <c r="F551" s="4">
        <v>6.0</v>
      </c>
      <c r="G551" s="12" t="s">
        <v>13631</v>
      </c>
      <c r="H551" s="4" t="s">
        <v>13632</v>
      </c>
      <c r="I551" s="4" t="s">
        <v>4680</v>
      </c>
      <c r="J551" s="5"/>
      <c r="K551" s="4" t="s">
        <v>67</v>
      </c>
      <c r="L551" s="4">
        <v>0.0</v>
      </c>
      <c r="M551" s="15" t="str">
        <f>VLOOKUP(A551,'Live Plan Data'!I:J,2, False)</f>
        <v>Active</v>
      </c>
    </row>
    <row r="552">
      <c r="A552" s="4" t="s">
        <v>13890</v>
      </c>
      <c r="B552" s="4" t="s">
        <v>12808</v>
      </c>
      <c r="C552" s="4">
        <v>50157.0</v>
      </c>
      <c r="D552" s="4" t="s">
        <v>13058</v>
      </c>
      <c r="E552" s="4">
        <v>99.0</v>
      </c>
      <c r="F552" s="4">
        <v>1.0</v>
      </c>
      <c r="G552" s="12" t="s">
        <v>13891</v>
      </c>
      <c r="H552" s="4" t="s">
        <v>13892</v>
      </c>
      <c r="I552" s="4" t="s">
        <v>13816</v>
      </c>
      <c r="J552" s="5"/>
      <c r="K552" s="4" t="s">
        <v>67</v>
      </c>
      <c r="L552" s="4">
        <v>0.0</v>
      </c>
      <c r="M552" s="15" t="str">
        <f>VLOOKUP(A552,'Live Plan Data'!I:J,2, False)</f>
        <v>Active</v>
      </c>
    </row>
    <row r="553" hidden="1">
      <c r="A553" s="4" t="s">
        <v>13893</v>
      </c>
      <c r="B553" s="4" t="s">
        <v>12808</v>
      </c>
      <c r="C553" s="4">
        <v>50157.0</v>
      </c>
      <c r="D553" s="4" t="s">
        <v>13063</v>
      </c>
      <c r="E553" s="4">
        <v>299.0</v>
      </c>
      <c r="F553" s="4">
        <v>3.0</v>
      </c>
      <c r="G553" s="12" t="s">
        <v>13891</v>
      </c>
      <c r="H553" s="4" t="s">
        <v>13892</v>
      </c>
      <c r="I553" s="4" t="s">
        <v>13816</v>
      </c>
      <c r="J553" s="5"/>
      <c r="K553" s="4" t="s">
        <v>67</v>
      </c>
      <c r="L553" s="4">
        <v>0.0</v>
      </c>
      <c r="M553" s="15" t="str">
        <f>VLOOKUP(A553,'Live Plan Data'!I:J,2, False)</f>
        <v>#N/A</v>
      </c>
    </row>
    <row r="554">
      <c r="A554" s="4" t="s">
        <v>13894</v>
      </c>
      <c r="B554" s="4" t="s">
        <v>12808</v>
      </c>
      <c r="C554" s="4">
        <v>50157.0</v>
      </c>
      <c r="D554" s="4" t="s">
        <v>13065</v>
      </c>
      <c r="E554" s="4">
        <v>499.0</v>
      </c>
      <c r="F554" s="4">
        <v>6.0</v>
      </c>
      <c r="G554" s="12" t="s">
        <v>13891</v>
      </c>
      <c r="H554" s="4" t="s">
        <v>13892</v>
      </c>
      <c r="I554" s="4" t="s">
        <v>13816</v>
      </c>
      <c r="J554" s="5"/>
      <c r="K554" s="4" t="s">
        <v>67</v>
      </c>
      <c r="L554" s="4">
        <v>0.0</v>
      </c>
      <c r="M554" s="15" t="str">
        <f>VLOOKUP(A554,'Live Plan Data'!I:J,2, False)</f>
        <v>Active</v>
      </c>
    </row>
    <row r="555">
      <c r="A555" s="4" t="s">
        <v>13895</v>
      </c>
      <c r="B555" s="4" t="s">
        <v>12808</v>
      </c>
      <c r="C555" s="4">
        <v>50157.0</v>
      </c>
      <c r="D555" s="4" t="s">
        <v>13063</v>
      </c>
      <c r="E555" s="4">
        <v>299.0</v>
      </c>
      <c r="F555" s="4">
        <v>3.0</v>
      </c>
      <c r="G555" s="12" t="s">
        <v>13891</v>
      </c>
      <c r="H555" s="4" t="s">
        <v>13892</v>
      </c>
      <c r="I555" s="4" t="s">
        <v>13816</v>
      </c>
      <c r="J555" s="5"/>
      <c r="K555" s="4" t="s">
        <v>67</v>
      </c>
      <c r="L555" s="4">
        <v>0.0</v>
      </c>
      <c r="M555" s="15" t="str">
        <f>VLOOKUP(A555,'Live Plan Data'!I:J,2, False)</f>
        <v>Active</v>
      </c>
    </row>
    <row r="556" hidden="1">
      <c r="A556" s="4" t="s">
        <v>13896</v>
      </c>
      <c r="B556" s="4" t="s">
        <v>12671</v>
      </c>
      <c r="C556" s="4">
        <v>50129.0</v>
      </c>
      <c r="D556" s="4" t="s">
        <v>13058</v>
      </c>
      <c r="E556" s="4">
        <v>1997.0</v>
      </c>
      <c r="F556" s="4">
        <v>1.0</v>
      </c>
      <c r="G556" s="12" t="s">
        <v>13701</v>
      </c>
      <c r="H556" s="4" t="s">
        <v>13702</v>
      </c>
      <c r="I556" s="4" t="s">
        <v>13683</v>
      </c>
      <c r="J556" s="5"/>
      <c r="K556" s="4" t="s">
        <v>67</v>
      </c>
      <c r="L556" s="4">
        <v>0.0</v>
      </c>
      <c r="M556" s="15" t="str">
        <f>VLOOKUP(A556,'Live Plan Data'!I:J,2, False)</f>
        <v>#N/A</v>
      </c>
    </row>
    <row r="557" hidden="1">
      <c r="A557" s="4" t="s">
        <v>13897</v>
      </c>
      <c r="B557" s="4" t="s">
        <v>12671</v>
      </c>
      <c r="C557" s="4">
        <v>50129.0</v>
      </c>
      <c r="D557" s="4" t="s">
        <v>13058</v>
      </c>
      <c r="E557" s="4">
        <v>499.0</v>
      </c>
      <c r="F557" s="4">
        <v>1.0</v>
      </c>
      <c r="G557" s="12" t="s">
        <v>13701</v>
      </c>
      <c r="H557" s="4" t="s">
        <v>13702</v>
      </c>
      <c r="I557" s="4" t="s">
        <v>13683</v>
      </c>
      <c r="J557" s="4" t="s">
        <v>13898</v>
      </c>
      <c r="K557" s="4" t="s">
        <v>67</v>
      </c>
      <c r="L557" s="4">
        <v>0.0</v>
      </c>
      <c r="M557" s="15" t="str">
        <f>VLOOKUP(A557,'Live Plan Data'!I:J,2, False)</f>
        <v>#N/A</v>
      </c>
    </row>
    <row r="558" hidden="1">
      <c r="A558" s="4" t="s">
        <v>13899</v>
      </c>
      <c r="B558" s="4" t="s">
        <v>12671</v>
      </c>
      <c r="C558" s="4">
        <v>50129.0</v>
      </c>
      <c r="D558" s="4" t="s">
        <v>13058</v>
      </c>
      <c r="E558" s="4">
        <v>1997.0</v>
      </c>
      <c r="F558" s="4">
        <v>1.0</v>
      </c>
      <c r="G558" s="12" t="s">
        <v>13701</v>
      </c>
      <c r="H558" s="4" t="s">
        <v>13702</v>
      </c>
      <c r="I558" s="4" t="s">
        <v>13683</v>
      </c>
      <c r="J558" s="4" t="s">
        <v>13900</v>
      </c>
      <c r="K558" s="4" t="s">
        <v>67</v>
      </c>
      <c r="L558" s="4">
        <v>0.0</v>
      </c>
      <c r="M558" s="15" t="str">
        <f>VLOOKUP(A558,'Live Plan Data'!I:J,2, False)</f>
        <v>#N/A</v>
      </c>
    </row>
    <row r="559" hidden="1">
      <c r="A559" s="4" t="s">
        <v>13901</v>
      </c>
      <c r="B559" s="4" t="s">
        <v>12671</v>
      </c>
      <c r="C559" s="4">
        <v>50129.0</v>
      </c>
      <c r="D559" s="4" t="s">
        <v>13058</v>
      </c>
      <c r="E559" s="4">
        <v>499.0</v>
      </c>
      <c r="F559" s="4">
        <v>1.0</v>
      </c>
      <c r="G559" s="12" t="s">
        <v>13701</v>
      </c>
      <c r="H559" s="4" t="s">
        <v>13702</v>
      </c>
      <c r="I559" s="4" t="s">
        <v>13683</v>
      </c>
      <c r="J559" s="4" t="s">
        <v>13898</v>
      </c>
      <c r="K559" s="4" t="s">
        <v>67</v>
      </c>
      <c r="L559" s="4">
        <v>0.0</v>
      </c>
      <c r="M559" s="15" t="str">
        <f>VLOOKUP(A559,'Live Plan Data'!I:J,2, False)</f>
        <v>#N/A</v>
      </c>
    </row>
    <row r="560" hidden="1">
      <c r="A560" s="4" t="s">
        <v>13902</v>
      </c>
      <c r="B560" s="4" t="s">
        <v>12671</v>
      </c>
      <c r="C560" s="4">
        <v>50129.0</v>
      </c>
      <c r="D560" s="4" t="s">
        <v>13058</v>
      </c>
      <c r="E560" s="4">
        <v>499.0</v>
      </c>
      <c r="F560" s="4">
        <v>1.0</v>
      </c>
      <c r="G560" s="12" t="s">
        <v>13701</v>
      </c>
      <c r="H560" s="4" t="s">
        <v>13702</v>
      </c>
      <c r="I560" s="4" t="s">
        <v>13683</v>
      </c>
      <c r="J560" s="4" t="s">
        <v>13898</v>
      </c>
      <c r="K560" s="4" t="s">
        <v>67</v>
      </c>
      <c r="L560" s="4">
        <v>0.0</v>
      </c>
      <c r="M560" s="15" t="str">
        <f>VLOOKUP(A560,'Live Plan Data'!I:J,2, False)</f>
        <v>#N/A</v>
      </c>
    </row>
    <row r="561" hidden="1">
      <c r="A561" s="4" t="s">
        <v>13903</v>
      </c>
      <c r="B561" s="4" t="s">
        <v>12671</v>
      </c>
      <c r="C561" s="4">
        <v>50129.0</v>
      </c>
      <c r="D561" s="4" t="s">
        <v>13058</v>
      </c>
      <c r="E561" s="4">
        <v>499.0</v>
      </c>
      <c r="F561" s="4">
        <v>1.0</v>
      </c>
      <c r="G561" s="12" t="s">
        <v>13701</v>
      </c>
      <c r="H561" s="4" t="s">
        <v>13702</v>
      </c>
      <c r="I561" s="4" t="s">
        <v>13683</v>
      </c>
      <c r="J561" s="4" t="s">
        <v>13904</v>
      </c>
      <c r="K561" s="4" t="s">
        <v>67</v>
      </c>
      <c r="L561" s="4">
        <v>0.0</v>
      </c>
      <c r="M561" s="15" t="str">
        <f>VLOOKUP(A561,'Live Plan Data'!I:J,2, False)</f>
        <v>#N/A</v>
      </c>
    </row>
    <row r="562" hidden="1">
      <c r="A562" s="4" t="s">
        <v>13905</v>
      </c>
      <c r="B562" s="4" t="s">
        <v>12671</v>
      </c>
      <c r="C562" s="4">
        <v>50129.0</v>
      </c>
      <c r="D562" s="4" t="s">
        <v>13058</v>
      </c>
      <c r="E562" s="4">
        <v>1997.0</v>
      </c>
      <c r="F562" s="4">
        <v>1.0</v>
      </c>
      <c r="G562" s="12" t="s">
        <v>13701</v>
      </c>
      <c r="H562" s="4" t="s">
        <v>13702</v>
      </c>
      <c r="I562" s="4" t="s">
        <v>13683</v>
      </c>
      <c r="J562" s="4" t="s">
        <v>13906</v>
      </c>
      <c r="K562" s="4" t="s">
        <v>67</v>
      </c>
      <c r="L562" s="4">
        <v>0.0</v>
      </c>
      <c r="M562" s="15" t="str">
        <f>VLOOKUP(A562,'Live Plan Data'!I:J,2, False)</f>
        <v>#N/A</v>
      </c>
    </row>
    <row r="563">
      <c r="A563" s="4" t="s">
        <v>13907</v>
      </c>
      <c r="B563" s="4" t="s">
        <v>3195</v>
      </c>
      <c r="C563" s="4">
        <v>50047.0</v>
      </c>
      <c r="D563" s="4" t="s">
        <v>13063</v>
      </c>
      <c r="E563" s="4">
        <v>349.0</v>
      </c>
      <c r="F563" s="4">
        <v>3.0</v>
      </c>
      <c r="G563" s="12" t="s">
        <v>13306</v>
      </c>
      <c r="H563" s="4" t="s">
        <v>13307</v>
      </c>
      <c r="I563" s="4" t="s">
        <v>4680</v>
      </c>
      <c r="J563" s="5"/>
      <c r="K563" s="4" t="s">
        <v>67</v>
      </c>
      <c r="L563" s="4">
        <v>0.0</v>
      </c>
      <c r="M563" s="15" t="str">
        <f>VLOOKUP(A563,'Live Plan Data'!I:J,2, False)</f>
        <v>Active</v>
      </c>
    </row>
    <row r="564">
      <c r="A564" s="4" t="s">
        <v>13908</v>
      </c>
      <c r="B564" s="4" t="s">
        <v>3195</v>
      </c>
      <c r="C564" s="4">
        <v>50047.0</v>
      </c>
      <c r="D564" s="4" t="s">
        <v>13065</v>
      </c>
      <c r="E564" s="4">
        <v>599.0</v>
      </c>
      <c r="F564" s="4">
        <v>6.0</v>
      </c>
      <c r="G564" s="12" t="s">
        <v>13306</v>
      </c>
      <c r="H564" s="4" t="s">
        <v>13307</v>
      </c>
      <c r="I564" s="4" t="s">
        <v>4680</v>
      </c>
      <c r="J564" s="5"/>
      <c r="K564" s="4" t="s">
        <v>67</v>
      </c>
      <c r="L564" s="4">
        <v>0.0</v>
      </c>
      <c r="M564" s="15" t="str">
        <f>VLOOKUP(A564,'Live Plan Data'!I:J,2, False)</f>
        <v>Active</v>
      </c>
    </row>
    <row r="565">
      <c r="A565" s="4" t="s">
        <v>13909</v>
      </c>
      <c r="B565" s="4" t="s">
        <v>3195</v>
      </c>
      <c r="C565" s="4">
        <v>50047.0</v>
      </c>
      <c r="D565" s="4" t="s">
        <v>13210</v>
      </c>
      <c r="E565" s="4">
        <v>999.0</v>
      </c>
      <c r="F565" s="4">
        <v>12.0</v>
      </c>
      <c r="G565" s="12" t="s">
        <v>13306</v>
      </c>
      <c r="H565" s="4" t="s">
        <v>13307</v>
      </c>
      <c r="I565" s="4" t="s">
        <v>4680</v>
      </c>
      <c r="J565" s="5"/>
      <c r="K565" s="4" t="s">
        <v>67</v>
      </c>
      <c r="L565" s="4">
        <v>0.0</v>
      </c>
      <c r="M565" s="15" t="str">
        <f>VLOOKUP(A565,'Live Plan Data'!I:J,2, False)</f>
        <v>Active</v>
      </c>
    </row>
    <row r="566">
      <c r="A566" s="4" t="s">
        <v>13910</v>
      </c>
      <c r="B566" s="4" t="s">
        <v>12906</v>
      </c>
      <c r="C566" s="4">
        <v>50168.0</v>
      </c>
      <c r="D566" s="4" t="s">
        <v>13058</v>
      </c>
      <c r="E566" s="4">
        <v>349.0</v>
      </c>
      <c r="F566" s="4">
        <v>1.0</v>
      </c>
      <c r="G566" s="12" t="s">
        <v>13836</v>
      </c>
      <c r="H566" s="4" t="s">
        <v>13837</v>
      </c>
      <c r="I566" s="4" t="s">
        <v>13665</v>
      </c>
      <c r="J566" s="5"/>
      <c r="K566" s="4" t="s">
        <v>67</v>
      </c>
      <c r="L566" s="4">
        <v>0.0</v>
      </c>
      <c r="M566" s="15" t="str">
        <f>VLOOKUP(A566,'Live Plan Data'!I:J,2, False)</f>
        <v>Active</v>
      </c>
    </row>
    <row r="567">
      <c r="A567" s="4" t="s">
        <v>13911</v>
      </c>
      <c r="B567" s="4" t="s">
        <v>12906</v>
      </c>
      <c r="C567" s="4">
        <v>50168.0</v>
      </c>
      <c r="D567" s="4" t="s">
        <v>13063</v>
      </c>
      <c r="E567" s="4">
        <v>549.0</v>
      </c>
      <c r="F567" s="4">
        <v>3.0</v>
      </c>
      <c r="G567" s="12" t="s">
        <v>13836</v>
      </c>
      <c r="H567" s="4" t="s">
        <v>13837</v>
      </c>
      <c r="I567" s="4" t="s">
        <v>13665</v>
      </c>
      <c r="J567" s="5"/>
      <c r="K567" s="4" t="s">
        <v>67</v>
      </c>
      <c r="L567" s="4">
        <v>0.0</v>
      </c>
      <c r="M567" s="15" t="str">
        <f>VLOOKUP(A567,'Live Plan Data'!I:J,2, False)</f>
        <v>Active</v>
      </c>
    </row>
    <row r="568">
      <c r="A568" s="4" t="s">
        <v>13912</v>
      </c>
      <c r="B568" s="4" t="s">
        <v>12906</v>
      </c>
      <c r="C568" s="4">
        <v>50168.0</v>
      </c>
      <c r="D568" s="4" t="s">
        <v>13065</v>
      </c>
      <c r="E568" s="4">
        <v>799.0</v>
      </c>
      <c r="F568" s="4">
        <v>6.0</v>
      </c>
      <c r="G568" s="12" t="s">
        <v>13836</v>
      </c>
      <c r="H568" s="4" t="s">
        <v>13837</v>
      </c>
      <c r="I568" s="4" t="s">
        <v>13665</v>
      </c>
      <c r="J568" s="5"/>
      <c r="K568" s="4" t="s">
        <v>67</v>
      </c>
      <c r="L568" s="4">
        <v>0.0</v>
      </c>
      <c r="M568" s="15" t="str">
        <f>VLOOKUP(A568,'Live Plan Data'!I:J,2, False)</f>
        <v>Active</v>
      </c>
    </row>
    <row r="569">
      <c r="A569" s="4" t="s">
        <v>13913</v>
      </c>
      <c r="B569" s="4" t="s">
        <v>5984</v>
      </c>
      <c r="C569" s="4">
        <v>50076.0</v>
      </c>
      <c r="D569" s="4" t="s">
        <v>13058</v>
      </c>
      <c r="E569" s="4">
        <v>299.0</v>
      </c>
      <c r="F569" s="4">
        <v>1.0</v>
      </c>
      <c r="G569" s="12" t="s">
        <v>13549</v>
      </c>
      <c r="H569" s="4" t="s">
        <v>13550</v>
      </c>
      <c r="I569" s="4" t="s">
        <v>4680</v>
      </c>
      <c r="J569" s="5"/>
      <c r="K569" s="4" t="s">
        <v>67</v>
      </c>
      <c r="L569" s="4">
        <v>0.0</v>
      </c>
      <c r="M569" s="15" t="str">
        <f>VLOOKUP(A569,'Live Plan Data'!I:J,2, False)</f>
        <v>Active</v>
      </c>
    </row>
    <row r="570">
      <c r="A570" s="4" t="s">
        <v>13914</v>
      </c>
      <c r="B570" s="4" t="s">
        <v>5984</v>
      </c>
      <c r="C570" s="4">
        <v>50076.0</v>
      </c>
      <c r="D570" s="4" t="s">
        <v>13063</v>
      </c>
      <c r="E570" s="4">
        <v>799.0</v>
      </c>
      <c r="F570" s="4">
        <v>3.0</v>
      </c>
      <c r="G570" s="12" t="s">
        <v>13549</v>
      </c>
      <c r="H570" s="4" t="s">
        <v>13550</v>
      </c>
      <c r="I570" s="4" t="s">
        <v>4680</v>
      </c>
      <c r="J570" s="5"/>
      <c r="K570" s="4" t="s">
        <v>67</v>
      </c>
      <c r="L570" s="4">
        <v>0.0</v>
      </c>
      <c r="M570" s="15" t="str">
        <f>VLOOKUP(A570,'Live Plan Data'!I:J,2, False)</f>
        <v>Active</v>
      </c>
    </row>
    <row r="571">
      <c r="A571" s="4" t="s">
        <v>13915</v>
      </c>
      <c r="B571" s="4" t="s">
        <v>5984</v>
      </c>
      <c r="C571" s="4">
        <v>50076.0</v>
      </c>
      <c r="D571" s="4" t="s">
        <v>13065</v>
      </c>
      <c r="E571" s="4">
        <v>1299.0</v>
      </c>
      <c r="F571" s="4">
        <v>6.0</v>
      </c>
      <c r="G571" s="12" t="s">
        <v>13549</v>
      </c>
      <c r="H571" s="4" t="s">
        <v>13550</v>
      </c>
      <c r="I571" s="4" t="s">
        <v>4680</v>
      </c>
      <c r="J571" s="5"/>
      <c r="K571" s="4" t="s">
        <v>67</v>
      </c>
      <c r="L571" s="4">
        <v>0.0</v>
      </c>
      <c r="M571" s="15" t="str">
        <f>VLOOKUP(A571,'Live Plan Data'!I:J,2, False)</f>
        <v>Active</v>
      </c>
    </row>
    <row r="572">
      <c r="A572" s="4" t="s">
        <v>13916</v>
      </c>
      <c r="B572" s="4" t="s">
        <v>13917</v>
      </c>
      <c r="C572" s="4">
        <v>50149.0</v>
      </c>
      <c r="D572" s="4" t="s">
        <v>13058</v>
      </c>
      <c r="E572" s="4">
        <v>799.0</v>
      </c>
      <c r="F572" s="4">
        <v>1.0</v>
      </c>
      <c r="G572" s="12" t="s">
        <v>13792</v>
      </c>
      <c r="H572" s="4" t="s">
        <v>13793</v>
      </c>
      <c r="I572" s="4" t="s">
        <v>13918</v>
      </c>
      <c r="J572" s="5"/>
      <c r="K572" s="4" t="s">
        <v>67</v>
      </c>
      <c r="L572" s="4">
        <v>0.0</v>
      </c>
      <c r="M572" s="15" t="str">
        <f>VLOOKUP(A572,'Live Plan Data'!I:J,2, False)</f>
        <v>Active</v>
      </c>
    </row>
    <row r="573">
      <c r="A573" s="4" t="s">
        <v>13919</v>
      </c>
      <c r="B573" s="4" t="s">
        <v>13917</v>
      </c>
      <c r="C573" s="4">
        <v>50149.0</v>
      </c>
      <c r="D573" s="4" t="s">
        <v>13063</v>
      </c>
      <c r="E573" s="4">
        <v>1999.0</v>
      </c>
      <c r="F573" s="4">
        <v>3.0</v>
      </c>
      <c r="G573" s="12" t="s">
        <v>13792</v>
      </c>
      <c r="H573" s="4" t="s">
        <v>13793</v>
      </c>
      <c r="I573" s="4" t="s">
        <v>13918</v>
      </c>
      <c r="J573" s="5"/>
      <c r="K573" s="4" t="s">
        <v>67</v>
      </c>
      <c r="L573" s="4">
        <v>0.0</v>
      </c>
      <c r="M573" s="15" t="str">
        <f>VLOOKUP(A573,'Live Plan Data'!I:J,2, False)</f>
        <v>Active</v>
      </c>
    </row>
    <row r="574">
      <c r="A574" s="4" t="s">
        <v>13920</v>
      </c>
      <c r="B574" s="4" t="s">
        <v>13917</v>
      </c>
      <c r="C574" s="4">
        <v>50149.0</v>
      </c>
      <c r="D574" s="4" t="s">
        <v>13065</v>
      </c>
      <c r="E574" s="4">
        <v>3799.0</v>
      </c>
      <c r="F574" s="4">
        <v>6.0</v>
      </c>
      <c r="G574" s="12" t="s">
        <v>13792</v>
      </c>
      <c r="H574" s="4" t="s">
        <v>13793</v>
      </c>
      <c r="I574" s="4" t="s">
        <v>13918</v>
      </c>
      <c r="J574" s="5"/>
      <c r="K574" s="4" t="s">
        <v>67</v>
      </c>
      <c r="L574" s="4">
        <v>0.0</v>
      </c>
      <c r="M574" s="15" t="str">
        <f>VLOOKUP(A574,'Live Plan Data'!I:J,2, False)</f>
        <v>Active</v>
      </c>
    </row>
    <row r="575">
      <c r="A575" s="4" t="s">
        <v>13921</v>
      </c>
      <c r="B575" s="4" t="s">
        <v>13917</v>
      </c>
      <c r="C575" s="4">
        <v>50149.0</v>
      </c>
      <c r="D575" s="4" t="s">
        <v>13058</v>
      </c>
      <c r="E575" s="4">
        <v>3499.0</v>
      </c>
      <c r="F575" s="4">
        <v>1.0</v>
      </c>
      <c r="G575" s="12" t="s">
        <v>13792</v>
      </c>
      <c r="H575" s="4" t="s">
        <v>13793</v>
      </c>
      <c r="I575" s="4" t="s">
        <v>13918</v>
      </c>
      <c r="J575" s="5"/>
      <c r="K575" s="4" t="s">
        <v>67</v>
      </c>
      <c r="L575" s="4">
        <v>0.0</v>
      </c>
      <c r="M575" s="15" t="str">
        <f>VLOOKUP(A575,'Live Plan Data'!I:J,2, False)</f>
        <v>Active</v>
      </c>
    </row>
    <row r="576">
      <c r="A576" s="4" t="s">
        <v>13922</v>
      </c>
      <c r="B576" s="4" t="s">
        <v>4422</v>
      </c>
      <c r="C576" s="4">
        <v>50026.0</v>
      </c>
      <c r="D576" s="4" t="s">
        <v>13058</v>
      </c>
      <c r="E576" s="4">
        <v>199.0</v>
      </c>
      <c r="F576" s="4">
        <v>1.0</v>
      </c>
      <c r="G576" s="12" t="s">
        <v>13298</v>
      </c>
      <c r="H576" s="4" t="s">
        <v>13299</v>
      </c>
      <c r="I576" s="4" t="s">
        <v>13255</v>
      </c>
      <c r="J576" s="5"/>
      <c r="K576" s="4" t="s">
        <v>67</v>
      </c>
      <c r="L576" s="4">
        <v>0.0</v>
      </c>
      <c r="M576" s="15" t="str">
        <f>VLOOKUP(A576,'Live Plan Data'!I:J,2, False)</f>
        <v>Active</v>
      </c>
    </row>
    <row r="577">
      <c r="A577" s="4" t="s">
        <v>13923</v>
      </c>
      <c r="B577" s="4" t="s">
        <v>4422</v>
      </c>
      <c r="C577" s="4">
        <v>50026.0</v>
      </c>
      <c r="D577" s="4" t="s">
        <v>13063</v>
      </c>
      <c r="E577" s="4">
        <v>499.0</v>
      </c>
      <c r="F577" s="4">
        <v>3.0</v>
      </c>
      <c r="G577" s="12" t="s">
        <v>13298</v>
      </c>
      <c r="H577" s="4" t="s">
        <v>13299</v>
      </c>
      <c r="I577" s="4" t="s">
        <v>13255</v>
      </c>
      <c r="J577" s="5"/>
      <c r="K577" s="4" t="s">
        <v>67</v>
      </c>
      <c r="L577" s="4">
        <v>0.0</v>
      </c>
      <c r="M577" s="15" t="str">
        <f>VLOOKUP(A577,'Live Plan Data'!I:J,2, False)</f>
        <v>Active</v>
      </c>
    </row>
    <row r="578">
      <c r="A578" s="4" t="s">
        <v>13924</v>
      </c>
      <c r="B578" s="4" t="s">
        <v>12978</v>
      </c>
      <c r="C578" s="4">
        <v>50088.0</v>
      </c>
      <c r="D578" s="4" t="s">
        <v>13058</v>
      </c>
      <c r="E578" s="4">
        <v>999.0</v>
      </c>
      <c r="F578" s="4">
        <v>1.0</v>
      </c>
      <c r="G578" s="12" t="s">
        <v>13925</v>
      </c>
      <c r="H578" s="4" t="s">
        <v>13926</v>
      </c>
      <c r="I578" s="4" t="s">
        <v>13683</v>
      </c>
      <c r="J578" s="4" t="s">
        <v>13927</v>
      </c>
      <c r="K578" s="4" t="s">
        <v>67</v>
      </c>
      <c r="L578" s="4">
        <v>0.0</v>
      </c>
      <c r="M578" s="15" t="str">
        <f>VLOOKUP(A578,'Live Plan Data'!I:J,2, False)</f>
        <v>Active</v>
      </c>
    </row>
    <row r="579">
      <c r="A579" s="4" t="s">
        <v>13928</v>
      </c>
      <c r="B579" s="4" t="s">
        <v>12978</v>
      </c>
      <c r="C579" s="4">
        <v>50088.0</v>
      </c>
      <c r="D579" s="4" t="s">
        <v>13058</v>
      </c>
      <c r="E579" s="4">
        <v>999.0</v>
      </c>
      <c r="F579" s="4">
        <v>1.0</v>
      </c>
      <c r="G579" s="12" t="s">
        <v>13925</v>
      </c>
      <c r="H579" s="4" t="s">
        <v>13926</v>
      </c>
      <c r="I579" s="4" t="s">
        <v>13683</v>
      </c>
      <c r="J579" s="4" t="s">
        <v>13929</v>
      </c>
      <c r="K579" s="4" t="s">
        <v>67</v>
      </c>
      <c r="L579" s="4">
        <v>0.0</v>
      </c>
      <c r="M579" s="15" t="str">
        <f>VLOOKUP(A579,'Live Plan Data'!I:J,2, False)</f>
        <v>Active</v>
      </c>
    </row>
    <row r="580">
      <c r="A580" s="4" t="s">
        <v>13930</v>
      </c>
      <c r="B580" s="4" t="s">
        <v>12978</v>
      </c>
      <c r="C580" s="4">
        <v>50088.0</v>
      </c>
      <c r="D580" s="4" t="s">
        <v>13058</v>
      </c>
      <c r="E580" s="4">
        <v>499.0</v>
      </c>
      <c r="F580" s="4">
        <v>1.0</v>
      </c>
      <c r="G580" s="12" t="s">
        <v>13925</v>
      </c>
      <c r="H580" s="4" t="s">
        <v>13926</v>
      </c>
      <c r="I580" s="4" t="s">
        <v>13683</v>
      </c>
      <c r="J580" s="4" t="s">
        <v>13931</v>
      </c>
      <c r="K580" s="4" t="s">
        <v>67</v>
      </c>
      <c r="L580" s="4">
        <v>0.0</v>
      </c>
      <c r="M580" s="15" t="str">
        <f>VLOOKUP(A580,'Live Plan Data'!I:J,2, False)</f>
        <v>Active</v>
      </c>
    </row>
    <row r="581" hidden="1">
      <c r="A581" s="4" t="s">
        <v>13932</v>
      </c>
      <c r="B581" s="4" t="s">
        <v>12978</v>
      </c>
      <c r="C581" s="4">
        <v>50088.0</v>
      </c>
      <c r="D581" s="4" t="s">
        <v>13063</v>
      </c>
      <c r="E581" s="4">
        <v>1999.0</v>
      </c>
      <c r="F581" s="4">
        <v>3.0</v>
      </c>
      <c r="G581" s="12" t="s">
        <v>13925</v>
      </c>
      <c r="H581" s="4" t="s">
        <v>13926</v>
      </c>
      <c r="I581" s="4" t="s">
        <v>13683</v>
      </c>
      <c r="J581" s="4" t="s">
        <v>13927</v>
      </c>
      <c r="K581" s="4" t="s">
        <v>67</v>
      </c>
      <c r="L581" s="4">
        <v>0.0</v>
      </c>
      <c r="M581" s="15" t="str">
        <f>VLOOKUP(A581,'Live Plan Data'!I:J,2, False)</f>
        <v>#N/A</v>
      </c>
    </row>
    <row r="582" hidden="1">
      <c r="A582" s="4" t="s">
        <v>13933</v>
      </c>
      <c r="B582" s="4" t="s">
        <v>12978</v>
      </c>
      <c r="C582" s="4">
        <v>50088.0</v>
      </c>
      <c r="D582" s="4" t="s">
        <v>13063</v>
      </c>
      <c r="E582" s="4">
        <v>1999.0</v>
      </c>
      <c r="F582" s="4">
        <v>3.0</v>
      </c>
      <c r="G582" s="12" t="s">
        <v>13925</v>
      </c>
      <c r="H582" s="4" t="s">
        <v>13926</v>
      </c>
      <c r="I582" s="4" t="s">
        <v>13683</v>
      </c>
      <c r="J582" s="4" t="s">
        <v>13929</v>
      </c>
      <c r="K582" s="4" t="s">
        <v>67</v>
      </c>
      <c r="L582" s="4">
        <v>0.0</v>
      </c>
      <c r="M582" s="15" t="str">
        <f>VLOOKUP(A582,'Live Plan Data'!I:J,2, False)</f>
        <v>#N/A</v>
      </c>
    </row>
    <row r="583" hidden="1">
      <c r="A583" s="4" t="s">
        <v>13934</v>
      </c>
      <c r="B583" s="4" t="s">
        <v>12978</v>
      </c>
      <c r="C583" s="4">
        <v>50088.0</v>
      </c>
      <c r="D583" s="4" t="s">
        <v>13063</v>
      </c>
      <c r="E583" s="4">
        <v>1499.0</v>
      </c>
      <c r="F583" s="4">
        <v>3.0</v>
      </c>
      <c r="G583" s="12" t="s">
        <v>13925</v>
      </c>
      <c r="H583" s="4" t="s">
        <v>13926</v>
      </c>
      <c r="I583" s="4" t="s">
        <v>13683</v>
      </c>
      <c r="J583" s="4" t="s">
        <v>13931</v>
      </c>
      <c r="K583" s="4" t="s">
        <v>67</v>
      </c>
      <c r="L583" s="4">
        <v>0.0</v>
      </c>
      <c r="M583" s="15" t="str">
        <f>VLOOKUP(A583,'Live Plan Data'!I:J,2, False)</f>
        <v>#N/A</v>
      </c>
    </row>
    <row r="584">
      <c r="A584" s="4" t="s">
        <v>13935</v>
      </c>
      <c r="B584" s="4" t="s">
        <v>13680</v>
      </c>
      <c r="C584" s="4">
        <v>50122.0</v>
      </c>
      <c r="D584" s="4" t="s">
        <v>13210</v>
      </c>
      <c r="E584" s="4">
        <v>799.0</v>
      </c>
      <c r="F584" s="4">
        <v>12.0</v>
      </c>
      <c r="G584" s="12" t="s">
        <v>13925</v>
      </c>
      <c r="H584" s="4" t="s">
        <v>13936</v>
      </c>
      <c r="I584" s="4" t="s">
        <v>13665</v>
      </c>
      <c r="J584" s="4" t="s">
        <v>13937</v>
      </c>
      <c r="K584" s="4" t="s">
        <v>67</v>
      </c>
      <c r="L584" s="4">
        <v>0.0</v>
      </c>
      <c r="M584" s="15" t="str">
        <f>VLOOKUP(A584,'Live Plan Data'!I:J,2, False)</f>
        <v>Active</v>
      </c>
    </row>
    <row r="585">
      <c r="A585" s="4" t="s">
        <v>13938</v>
      </c>
      <c r="B585" s="4" t="s">
        <v>13680</v>
      </c>
      <c r="C585" s="4">
        <v>50122.0</v>
      </c>
      <c r="D585" s="4" t="s">
        <v>13065</v>
      </c>
      <c r="E585" s="4">
        <v>499.0</v>
      </c>
      <c r="F585" s="4">
        <v>6.0</v>
      </c>
      <c r="G585" s="12" t="s">
        <v>13925</v>
      </c>
      <c r="H585" s="4" t="s">
        <v>13936</v>
      </c>
      <c r="I585" s="4" t="s">
        <v>13665</v>
      </c>
      <c r="J585" s="4" t="s">
        <v>13939</v>
      </c>
      <c r="K585" s="4" t="s">
        <v>67</v>
      </c>
      <c r="L585" s="4">
        <v>0.0</v>
      </c>
      <c r="M585" s="15" t="str">
        <f>VLOOKUP(A585,'Live Plan Data'!I:J,2, False)</f>
        <v>Active</v>
      </c>
    </row>
    <row r="586">
      <c r="A586" s="4" t="s">
        <v>13940</v>
      </c>
      <c r="B586" s="4" t="s">
        <v>13680</v>
      </c>
      <c r="C586" s="4">
        <v>50122.0</v>
      </c>
      <c r="D586" s="4" t="s">
        <v>13058</v>
      </c>
      <c r="E586" s="4">
        <v>399.0</v>
      </c>
      <c r="F586" s="4">
        <v>1.0</v>
      </c>
      <c r="G586" s="12" t="s">
        <v>13925</v>
      </c>
      <c r="H586" s="4" t="s">
        <v>13936</v>
      </c>
      <c r="I586" s="4" t="s">
        <v>13665</v>
      </c>
      <c r="J586" s="4" t="s">
        <v>13705</v>
      </c>
      <c r="K586" s="4" t="s">
        <v>67</v>
      </c>
      <c r="L586" s="4">
        <v>0.0</v>
      </c>
      <c r="M586" s="15" t="str">
        <f>VLOOKUP(A586,'Live Plan Data'!I:J,2, False)</f>
        <v>Active</v>
      </c>
    </row>
    <row r="587" hidden="1">
      <c r="A587" s="4" t="s">
        <v>13941</v>
      </c>
      <c r="B587" s="4" t="s">
        <v>3618</v>
      </c>
      <c r="C587" s="4">
        <v>50136.0</v>
      </c>
      <c r="D587" s="4" t="s">
        <v>13058</v>
      </c>
      <c r="E587" s="4">
        <v>199.0</v>
      </c>
      <c r="F587" s="4">
        <v>1.0</v>
      </c>
      <c r="G587" s="12" t="s">
        <v>13771</v>
      </c>
      <c r="H587" s="4" t="s">
        <v>13772</v>
      </c>
      <c r="I587" s="4" t="s">
        <v>13816</v>
      </c>
      <c r="J587" s="5"/>
      <c r="K587" s="4" t="s">
        <v>67</v>
      </c>
      <c r="L587" s="4">
        <v>0.0</v>
      </c>
      <c r="M587" s="15" t="str">
        <f>VLOOKUP(A587,'Live Plan Data'!I:J,2, False)</f>
        <v>#N/A</v>
      </c>
    </row>
    <row r="588">
      <c r="A588" s="4" t="s">
        <v>13942</v>
      </c>
      <c r="B588" s="4" t="s">
        <v>6195</v>
      </c>
      <c r="C588" s="4">
        <v>50092.0</v>
      </c>
      <c r="D588" s="4" t="s">
        <v>13058</v>
      </c>
      <c r="E588" s="4">
        <v>249.0</v>
      </c>
      <c r="F588" s="4">
        <v>1.0</v>
      </c>
      <c r="G588" s="12" t="s">
        <v>13570</v>
      </c>
      <c r="H588" s="4" t="s">
        <v>13943</v>
      </c>
      <c r="I588" s="4" t="s">
        <v>13255</v>
      </c>
      <c r="J588" s="5"/>
      <c r="K588" s="4" t="s">
        <v>67</v>
      </c>
      <c r="L588" s="4">
        <v>0.0</v>
      </c>
      <c r="M588" s="15" t="str">
        <f>VLOOKUP(A588,'Live Plan Data'!I:J,2, False)</f>
        <v>Active</v>
      </c>
    </row>
    <row r="589" hidden="1">
      <c r="A589" s="4" t="s">
        <v>13944</v>
      </c>
      <c r="B589" s="4" t="s">
        <v>3618</v>
      </c>
      <c r="C589" s="4">
        <v>50136.0</v>
      </c>
      <c r="D589" s="4" t="s">
        <v>13058</v>
      </c>
      <c r="E589" s="4">
        <v>349.0</v>
      </c>
      <c r="F589" s="4">
        <v>1.0</v>
      </c>
      <c r="G589" s="12" t="s">
        <v>13771</v>
      </c>
      <c r="H589" s="4" t="s">
        <v>13772</v>
      </c>
      <c r="I589" s="4" t="s">
        <v>13816</v>
      </c>
      <c r="J589" s="5"/>
      <c r="K589" s="4" t="s">
        <v>67</v>
      </c>
      <c r="L589" s="4">
        <v>0.0</v>
      </c>
      <c r="M589" s="15" t="str">
        <f>VLOOKUP(A589,'Live Plan Data'!I:J,2, False)</f>
        <v>#N/A</v>
      </c>
    </row>
    <row r="590">
      <c r="A590" s="4" t="s">
        <v>13945</v>
      </c>
      <c r="B590" s="4" t="s">
        <v>6195</v>
      </c>
      <c r="C590" s="4">
        <v>50092.0</v>
      </c>
      <c r="D590" s="4" t="s">
        <v>13063</v>
      </c>
      <c r="E590" s="4">
        <v>449.0</v>
      </c>
      <c r="F590" s="4">
        <v>3.0</v>
      </c>
      <c r="G590" s="12" t="s">
        <v>13570</v>
      </c>
      <c r="H590" s="4" t="s">
        <v>13943</v>
      </c>
      <c r="I590" s="4" t="s">
        <v>13255</v>
      </c>
      <c r="J590" s="5"/>
      <c r="K590" s="4" t="s">
        <v>67</v>
      </c>
      <c r="L590" s="4">
        <v>0.0</v>
      </c>
      <c r="M590" s="15" t="str">
        <f>VLOOKUP(A590,'Live Plan Data'!I:J,2, False)</f>
        <v>Active</v>
      </c>
    </row>
    <row r="591">
      <c r="A591" s="4" t="s">
        <v>13946</v>
      </c>
      <c r="B591" s="4" t="s">
        <v>3618</v>
      </c>
      <c r="C591" s="4">
        <v>50136.0</v>
      </c>
      <c r="D591" s="4" t="s">
        <v>13058</v>
      </c>
      <c r="E591" s="4">
        <v>99.0</v>
      </c>
      <c r="F591" s="4">
        <v>1.0</v>
      </c>
      <c r="G591" s="12" t="s">
        <v>13771</v>
      </c>
      <c r="H591" s="4" t="s">
        <v>13772</v>
      </c>
      <c r="I591" s="4" t="s">
        <v>13816</v>
      </c>
      <c r="J591" s="5"/>
      <c r="K591" s="4" t="s">
        <v>67</v>
      </c>
      <c r="L591" s="4">
        <v>0.0</v>
      </c>
      <c r="M591" s="15" t="str">
        <f>VLOOKUP(A591,'Live Plan Data'!I:J,2, False)</f>
        <v>Active</v>
      </c>
    </row>
    <row r="592">
      <c r="A592" s="4" t="s">
        <v>13947</v>
      </c>
      <c r="B592" s="4" t="s">
        <v>6195</v>
      </c>
      <c r="C592" s="4">
        <v>50092.0</v>
      </c>
      <c r="D592" s="4" t="s">
        <v>13065</v>
      </c>
      <c r="E592" s="4">
        <v>699.0</v>
      </c>
      <c r="F592" s="4">
        <v>6.0</v>
      </c>
      <c r="G592" s="12" t="s">
        <v>13570</v>
      </c>
      <c r="H592" s="4" t="s">
        <v>13943</v>
      </c>
      <c r="I592" s="4" t="s">
        <v>13255</v>
      </c>
      <c r="J592" s="5"/>
      <c r="K592" s="4" t="s">
        <v>67</v>
      </c>
      <c r="L592" s="4">
        <v>0.0</v>
      </c>
      <c r="M592" s="15" t="str">
        <f>VLOOKUP(A592,'Live Plan Data'!I:J,2, False)</f>
        <v>Active</v>
      </c>
    </row>
    <row r="593">
      <c r="A593" s="4" t="s">
        <v>13948</v>
      </c>
      <c r="B593" s="4" t="s">
        <v>3618</v>
      </c>
      <c r="C593" s="4">
        <v>50136.0</v>
      </c>
      <c r="D593" s="4" t="s">
        <v>13063</v>
      </c>
      <c r="E593" s="4">
        <v>199.0</v>
      </c>
      <c r="F593" s="4">
        <v>3.0</v>
      </c>
      <c r="G593" s="12" t="s">
        <v>13771</v>
      </c>
      <c r="H593" s="4" t="s">
        <v>13772</v>
      </c>
      <c r="I593" s="4" t="s">
        <v>13816</v>
      </c>
      <c r="J593" s="5"/>
      <c r="K593" s="4" t="s">
        <v>67</v>
      </c>
      <c r="L593" s="4">
        <v>0.0</v>
      </c>
      <c r="M593" s="15" t="str">
        <f>VLOOKUP(A593,'Live Plan Data'!I:J,2, False)</f>
        <v>Active</v>
      </c>
    </row>
    <row r="594" hidden="1">
      <c r="A594" s="4" t="s">
        <v>13949</v>
      </c>
      <c r="B594" s="4" t="s">
        <v>3618</v>
      </c>
      <c r="C594" s="4">
        <v>50136.0</v>
      </c>
      <c r="D594" s="4" t="s">
        <v>13063</v>
      </c>
      <c r="E594" s="4">
        <v>349.0</v>
      </c>
      <c r="F594" s="4">
        <v>3.0</v>
      </c>
      <c r="G594" s="12" t="s">
        <v>13771</v>
      </c>
      <c r="H594" s="4" t="s">
        <v>13772</v>
      </c>
      <c r="I594" s="4" t="s">
        <v>13816</v>
      </c>
      <c r="J594" s="5"/>
      <c r="K594" s="4" t="s">
        <v>67</v>
      </c>
      <c r="L594" s="4">
        <v>0.0</v>
      </c>
      <c r="M594" s="15" t="str">
        <f>VLOOKUP(A594,'Live Plan Data'!I:J,2, False)</f>
        <v>#N/A</v>
      </c>
    </row>
    <row r="595">
      <c r="A595" s="4" t="s">
        <v>13950</v>
      </c>
      <c r="B595" s="4" t="s">
        <v>3618</v>
      </c>
      <c r="C595" s="4">
        <v>50136.0</v>
      </c>
      <c r="D595" s="4" t="s">
        <v>13065</v>
      </c>
      <c r="E595" s="4">
        <v>349.0</v>
      </c>
      <c r="F595" s="4">
        <v>6.0</v>
      </c>
      <c r="G595" s="12" t="s">
        <v>13771</v>
      </c>
      <c r="H595" s="4" t="s">
        <v>13772</v>
      </c>
      <c r="I595" s="4" t="s">
        <v>13816</v>
      </c>
      <c r="J595" s="5"/>
      <c r="K595" s="4" t="s">
        <v>67</v>
      </c>
      <c r="L595" s="4">
        <v>0.0</v>
      </c>
      <c r="M595" s="15" t="str">
        <f>VLOOKUP(A595,'Live Plan Data'!I:J,2, False)</f>
        <v>Active</v>
      </c>
    </row>
    <row r="596">
      <c r="A596" s="4" t="s">
        <v>13951</v>
      </c>
      <c r="B596" s="4" t="s">
        <v>5822</v>
      </c>
      <c r="C596" s="4">
        <v>50054.0</v>
      </c>
      <c r="D596" s="4" t="s">
        <v>13058</v>
      </c>
      <c r="E596" s="4">
        <v>149.0</v>
      </c>
      <c r="F596" s="4">
        <v>1.0</v>
      </c>
      <c r="G596" s="12" t="s">
        <v>13385</v>
      </c>
      <c r="H596" s="4" t="s">
        <v>13386</v>
      </c>
      <c r="I596" s="4" t="s">
        <v>4680</v>
      </c>
      <c r="J596" s="5"/>
      <c r="K596" s="4" t="s">
        <v>67</v>
      </c>
      <c r="L596" s="4">
        <v>0.0</v>
      </c>
      <c r="M596" s="15" t="str">
        <f>VLOOKUP(A596,'Live Plan Data'!I:J,2, False)</f>
        <v>Active</v>
      </c>
    </row>
    <row r="597">
      <c r="A597" s="4" t="s">
        <v>13952</v>
      </c>
      <c r="B597" s="4" t="s">
        <v>5822</v>
      </c>
      <c r="C597" s="4">
        <v>50054.0</v>
      </c>
      <c r="D597" s="4" t="s">
        <v>13063</v>
      </c>
      <c r="E597" s="4">
        <v>349.0</v>
      </c>
      <c r="F597" s="4">
        <v>3.0</v>
      </c>
      <c r="G597" s="12" t="s">
        <v>13385</v>
      </c>
      <c r="H597" s="4" t="s">
        <v>13386</v>
      </c>
      <c r="I597" s="4" t="s">
        <v>4680</v>
      </c>
      <c r="J597" s="5"/>
      <c r="K597" s="4" t="s">
        <v>67</v>
      </c>
      <c r="L597" s="4">
        <v>0.0</v>
      </c>
      <c r="M597" s="15" t="str">
        <f>VLOOKUP(A597,'Live Plan Data'!I:J,2, False)</f>
        <v>Active</v>
      </c>
    </row>
    <row r="598">
      <c r="A598" s="4" t="s">
        <v>13953</v>
      </c>
      <c r="B598" s="4" t="s">
        <v>5822</v>
      </c>
      <c r="C598" s="4">
        <v>50054.0</v>
      </c>
      <c r="D598" s="4" t="s">
        <v>13065</v>
      </c>
      <c r="E598" s="4">
        <v>649.0</v>
      </c>
      <c r="F598" s="4">
        <v>6.0</v>
      </c>
      <c r="G598" s="12" t="s">
        <v>13385</v>
      </c>
      <c r="H598" s="4" t="s">
        <v>13386</v>
      </c>
      <c r="I598" s="4" t="s">
        <v>4680</v>
      </c>
      <c r="J598" s="5"/>
      <c r="K598" s="4" t="s">
        <v>67</v>
      </c>
      <c r="L598" s="4">
        <v>0.0</v>
      </c>
      <c r="M598" s="15" t="str">
        <f>VLOOKUP(A598,'Live Plan Data'!I:J,2, False)</f>
        <v>Active</v>
      </c>
    </row>
    <row r="599">
      <c r="A599" s="4" t="s">
        <v>13954</v>
      </c>
      <c r="B599" s="4" t="s">
        <v>5822</v>
      </c>
      <c r="C599" s="4">
        <v>50054.0</v>
      </c>
      <c r="D599" s="4" t="s">
        <v>13210</v>
      </c>
      <c r="E599" s="4">
        <v>999.0</v>
      </c>
      <c r="F599" s="4">
        <v>12.0</v>
      </c>
      <c r="G599" s="12" t="s">
        <v>13385</v>
      </c>
      <c r="H599" s="4" t="s">
        <v>13386</v>
      </c>
      <c r="I599" s="4" t="s">
        <v>4680</v>
      </c>
      <c r="J599" s="5"/>
      <c r="K599" s="4" t="s">
        <v>67</v>
      </c>
      <c r="L599" s="4">
        <v>0.0</v>
      </c>
      <c r="M599" s="15" t="str">
        <f>VLOOKUP(A599,'Live Plan Data'!I:J,2, False)</f>
        <v>Active</v>
      </c>
    </row>
    <row r="600">
      <c r="A600" s="4" t="s">
        <v>13955</v>
      </c>
      <c r="B600" s="4" t="s">
        <v>12746</v>
      </c>
      <c r="C600" s="4">
        <v>50162.0</v>
      </c>
      <c r="D600" s="4" t="s">
        <v>13058</v>
      </c>
      <c r="E600" s="4">
        <v>299.0</v>
      </c>
      <c r="F600" s="4">
        <v>1.0</v>
      </c>
      <c r="G600" s="12" t="s">
        <v>13862</v>
      </c>
      <c r="H600" s="4" t="s">
        <v>13863</v>
      </c>
      <c r="I600" s="4" t="s">
        <v>13191</v>
      </c>
      <c r="J600" s="5"/>
      <c r="K600" s="4" t="s">
        <v>67</v>
      </c>
      <c r="L600" s="4">
        <v>0.0</v>
      </c>
      <c r="M600" s="15" t="str">
        <f>VLOOKUP(A600,'Live Plan Data'!I:J,2, False)</f>
        <v>Active</v>
      </c>
    </row>
    <row r="601" hidden="1">
      <c r="A601" s="4" t="s">
        <v>13956</v>
      </c>
      <c r="B601" s="4" t="s">
        <v>12746</v>
      </c>
      <c r="C601" s="4">
        <v>50162.0</v>
      </c>
      <c r="D601" s="4" t="s">
        <v>13063</v>
      </c>
      <c r="E601" s="4">
        <v>499.0</v>
      </c>
      <c r="F601" s="4">
        <v>3.0</v>
      </c>
      <c r="G601" s="12" t="s">
        <v>13862</v>
      </c>
      <c r="H601" s="4" t="s">
        <v>13863</v>
      </c>
      <c r="I601" s="4" t="s">
        <v>13191</v>
      </c>
      <c r="J601" s="5"/>
      <c r="K601" s="4" t="s">
        <v>67</v>
      </c>
      <c r="L601" s="4">
        <v>0.0</v>
      </c>
      <c r="M601" s="15" t="str">
        <f>VLOOKUP(A601,'Live Plan Data'!I:J,2, False)</f>
        <v>#N/A</v>
      </c>
    </row>
    <row r="602">
      <c r="A602" s="4" t="s">
        <v>13957</v>
      </c>
      <c r="B602" s="4" t="s">
        <v>12746</v>
      </c>
      <c r="C602" s="4">
        <v>50162.0</v>
      </c>
      <c r="D602" s="4" t="s">
        <v>13065</v>
      </c>
      <c r="E602" s="4">
        <v>999.0</v>
      </c>
      <c r="F602" s="4">
        <v>6.0</v>
      </c>
      <c r="G602" s="12" t="s">
        <v>13862</v>
      </c>
      <c r="H602" s="4" t="s">
        <v>13863</v>
      </c>
      <c r="I602" s="4" t="s">
        <v>13191</v>
      </c>
      <c r="J602" s="5"/>
      <c r="K602" s="4" t="s">
        <v>67</v>
      </c>
      <c r="L602" s="4">
        <v>0.0</v>
      </c>
      <c r="M602" s="15" t="str">
        <f>VLOOKUP(A602,'Live Plan Data'!I:J,2, False)</f>
        <v>Active</v>
      </c>
    </row>
    <row r="603">
      <c r="A603" s="4" t="s">
        <v>13958</v>
      </c>
      <c r="B603" s="4" t="s">
        <v>12746</v>
      </c>
      <c r="C603" s="4">
        <v>50162.0</v>
      </c>
      <c r="D603" s="4" t="s">
        <v>13063</v>
      </c>
      <c r="E603" s="4">
        <v>599.0</v>
      </c>
      <c r="F603" s="4">
        <v>3.0</v>
      </c>
      <c r="G603" s="12" t="s">
        <v>13862</v>
      </c>
      <c r="H603" s="4" t="s">
        <v>13863</v>
      </c>
      <c r="I603" s="4" t="s">
        <v>13191</v>
      </c>
      <c r="J603" s="5"/>
      <c r="K603" s="4" t="s">
        <v>67</v>
      </c>
      <c r="L603" s="4">
        <v>0.0</v>
      </c>
      <c r="M603" s="15" t="str">
        <f>VLOOKUP(A603,'Live Plan Data'!I:J,2, False)</f>
        <v>Active</v>
      </c>
    </row>
    <row r="604">
      <c r="A604" s="4" t="s">
        <v>13959</v>
      </c>
      <c r="B604" s="4" t="s">
        <v>5114</v>
      </c>
      <c r="C604" s="4">
        <v>49813.0</v>
      </c>
      <c r="D604" s="4" t="s">
        <v>13058</v>
      </c>
      <c r="E604" s="4">
        <v>299.0</v>
      </c>
      <c r="F604" s="4">
        <v>1.0</v>
      </c>
      <c r="G604" s="12" t="s">
        <v>13156</v>
      </c>
      <c r="H604" s="4" t="s">
        <v>13157</v>
      </c>
      <c r="I604" s="4" t="s">
        <v>13255</v>
      </c>
      <c r="J604" s="5"/>
      <c r="K604" s="4" t="s">
        <v>67</v>
      </c>
      <c r="L604" s="4">
        <v>0.0</v>
      </c>
      <c r="M604" s="15" t="str">
        <f>VLOOKUP(A604,'Live Plan Data'!I:J,2, False)</f>
        <v>Active</v>
      </c>
    </row>
    <row r="605">
      <c r="A605" s="4" t="s">
        <v>13960</v>
      </c>
      <c r="B605" s="4" t="s">
        <v>12814</v>
      </c>
      <c r="C605" s="4">
        <v>50170.0</v>
      </c>
      <c r="D605" s="4" t="s">
        <v>13058</v>
      </c>
      <c r="E605" s="4">
        <v>99.0</v>
      </c>
      <c r="F605" s="4">
        <v>1.0</v>
      </c>
      <c r="G605" s="12" t="s">
        <v>13846</v>
      </c>
      <c r="H605" s="4" t="s">
        <v>13847</v>
      </c>
      <c r="I605" s="4" t="s">
        <v>13683</v>
      </c>
      <c r="J605" s="5"/>
      <c r="K605" s="4" t="s">
        <v>67</v>
      </c>
      <c r="L605" s="4">
        <v>0.0</v>
      </c>
      <c r="M605" s="15" t="str">
        <f>VLOOKUP(A605,'Live Plan Data'!I:J,2, False)</f>
        <v>Active</v>
      </c>
    </row>
    <row r="606">
      <c r="A606" s="4" t="s">
        <v>13961</v>
      </c>
      <c r="B606" s="4" t="s">
        <v>3008</v>
      </c>
      <c r="C606" s="4">
        <v>50020.0</v>
      </c>
      <c r="D606" s="4" t="s">
        <v>13058</v>
      </c>
      <c r="E606" s="4">
        <v>199.0</v>
      </c>
      <c r="F606" s="4">
        <v>1.0</v>
      </c>
      <c r="G606" s="12" t="s">
        <v>13076</v>
      </c>
      <c r="H606" s="4" t="s">
        <v>13077</v>
      </c>
      <c r="I606" s="4" t="s">
        <v>13078</v>
      </c>
      <c r="J606" s="5"/>
      <c r="K606" s="4" t="s">
        <v>67</v>
      </c>
      <c r="L606" s="4">
        <v>0.0</v>
      </c>
      <c r="M606" s="15" t="str">
        <f>VLOOKUP(A606,'Live Plan Data'!I:J,2, False)</f>
        <v>Active</v>
      </c>
    </row>
    <row r="607">
      <c r="A607" s="4" t="s">
        <v>13962</v>
      </c>
      <c r="B607" s="4" t="s">
        <v>3008</v>
      </c>
      <c r="C607" s="4">
        <v>50020.0</v>
      </c>
      <c r="D607" s="4" t="s">
        <v>13063</v>
      </c>
      <c r="E607" s="4">
        <v>499.0</v>
      </c>
      <c r="F607" s="4">
        <v>3.0</v>
      </c>
      <c r="G607" s="12" t="s">
        <v>13076</v>
      </c>
      <c r="H607" s="4" t="s">
        <v>13077</v>
      </c>
      <c r="I607" s="4" t="s">
        <v>13078</v>
      </c>
      <c r="J607" s="5"/>
      <c r="K607" s="4" t="s">
        <v>67</v>
      </c>
      <c r="L607" s="4">
        <v>0.0</v>
      </c>
      <c r="M607" s="15" t="str">
        <f>VLOOKUP(A607,'Live Plan Data'!I:J,2, False)</f>
        <v>Active</v>
      </c>
    </row>
    <row r="608">
      <c r="A608" s="4" t="s">
        <v>13963</v>
      </c>
      <c r="B608" s="4" t="s">
        <v>3008</v>
      </c>
      <c r="C608" s="4">
        <v>50020.0</v>
      </c>
      <c r="D608" s="4" t="s">
        <v>13065</v>
      </c>
      <c r="E608" s="4">
        <v>899.0</v>
      </c>
      <c r="F608" s="4">
        <v>6.0</v>
      </c>
      <c r="G608" s="12" t="s">
        <v>13076</v>
      </c>
      <c r="H608" s="4" t="s">
        <v>13077</v>
      </c>
      <c r="I608" s="4" t="s">
        <v>13078</v>
      </c>
      <c r="J608" s="5"/>
      <c r="K608" s="4" t="s">
        <v>67</v>
      </c>
      <c r="L608" s="4">
        <v>0.0</v>
      </c>
      <c r="M608" s="15" t="str">
        <f>VLOOKUP(A608,'Live Plan Data'!I:J,2, False)</f>
        <v>Active</v>
      </c>
    </row>
    <row r="609">
      <c r="A609" s="4" t="s">
        <v>13964</v>
      </c>
      <c r="B609" s="4" t="s">
        <v>12614</v>
      </c>
      <c r="C609" s="4">
        <v>50123.0</v>
      </c>
      <c r="D609" s="4" t="s">
        <v>13058</v>
      </c>
      <c r="E609" s="4">
        <v>299.0</v>
      </c>
      <c r="F609" s="4">
        <v>1.0</v>
      </c>
      <c r="G609" s="12" t="s">
        <v>13690</v>
      </c>
      <c r="H609" s="4" t="s">
        <v>13691</v>
      </c>
      <c r="I609" s="4" t="s">
        <v>13965</v>
      </c>
      <c r="J609" s="4" t="s">
        <v>13966</v>
      </c>
      <c r="K609" s="4" t="s">
        <v>67</v>
      </c>
      <c r="L609" s="4">
        <v>0.0</v>
      </c>
      <c r="M609" s="15" t="str">
        <f>VLOOKUP(A609,'Live Plan Data'!I:J,2, False)</f>
        <v>Active</v>
      </c>
    </row>
    <row r="610">
      <c r="A610" s="4" t="s">
        <v>13967</v>
      </c>
      <c r="B610" s="4" t="s">
        <v>12614</v>
      </c>
      <c r="C610" s="4">
        <v>50123.0</v>
      </c>
      <c r="D610" s="4" t="s">
        <v>13058</v>
      </c>
      <c r="E610" s="4">
        <v>499.0</v>
      </c>
      <c r="F610" s="4">
        <v>1.0</v>
      </c>
      <c r="G610" s="12" t="s">
        <v>13690</v>
      </c>
      <c r="H610" s="4" t="s">
        <v>13691</v>
      </c>
      <c r="I610" s="4" t="s">
        <v>13965</v>
      </c>
      <c r="J610" s="4" t="s">
        <v>13968</v>
      </c>
      <c r="K610" s="4" t="s">
        <v>67</v>
      </c>
      <c r="L610" s="4">
        <v>0.0</v>
      </c>
      <c r="M610" s="15" t="str">
        <f>VLOOKUP(A610,'Live Plan Data'!I:J,2, False)</f>
        <v>Active</v>
      </c>
    </row>
    <row r="611">
      <c r="A611" s="4" t="s">
        <v>13969</v>
      </c>
      <c r="B611" s="4" t="s">
        <v>12614</v>
      </c>
      <c r="C611" s="4">
        <v>50123.0</v>
      </c>
      <c r="D611" s="4" t="s">
        <v>13058</v>
      </c>
      <c r="E611" s="4">
        <v>1999.0</v>
      </c>
      <c r="F611" s="4">
        <v>1.0</v>
      </c>
      <c r="G611" s="12" t="s">
        <v>13690</v>
      </c>
      <c r="H611" s="4" t="s">
        <v>13691</v>
      </c>
      <c r="I611" s="4" t="s">
        <v>13965</v>
      </c>
      <c r="J611" s="4" t="s">
        <v>13561</v>
      </c>
      <c r="K611" s="4" t="s">
        <v>67</v>
      </c>
      <c r="L611" s="4">
        <v>0.0</v>
      </c>
      <c r="M611" s="15" t="str">
        <f>VLOOKUP(A611,'Live Plan Data'!I:J,2, False)</f>
        <v>Active</v>
      </c>
    </row>
    <row r="612">
      <c r="A612" s="4" t="s">
        <v>13970</v>
      </c>
      <c r="B612" s="4" t="s">
        <v>12671</v>
      </c>
      <c r="C612" s="4">
        <v>50129.0</v>
      </c>
      <c r="D612" s="4" t="s">
        <v>13058</v>
      </c>
      <c r="E612" s="4">
        <v>599.0</v>
      </c>
      <c r="F612" s="4">
        <v>1.0</v>
      </c>
      <c r="G612" s="12" t="s">
        <v>13701</v>
      </c>
      <c r="H612" s="4" t="s">
        <v>13702</v>
      </c>
      <c r="I612" s="4" t="s">
        <v>13683</v>
      </c>
      <c r="J612" s="5"/>
      <c r="K612" s="4" t="s">
        <v>67</v>
      </c>
      <c r="L612" s="4">
        <v>0.0</v>
      </c>
      <c r="M612" s="15" t="str">
        <f>VLOOKUP(A612,'Live Plan Data'!I:J,2, False)</f>
        <v>Active</v>
      </c>
    </row>
    <row r="613" hidden="1">
      <c r="A613" s="4" t="s">
        <v>13971</v>
      </c>
      <c r="B613" s="4" t="s">
        <v>6217</v>
      </c>
      <c r="C613" s="4">
        <v>50046.0</v>
      </c>
      <c r="D613" s="4" t="s">
        <v>13058</v>
      </c>
      <c r="E613" s="4">
        <v>399.0</v>
      </c>
      <c r="F613" s="4">
        <v>1.0</v>
      </c>
      <c r="G613" s="12" t="s">
        <v>13212</v>
      </c>
      <c r="H613" s="4" t="s">
        <v>6325</v>
      </c>
      <c r="I613" s="4" t="s">
        <v>13078</v>
      </c>
      <c r="J613" s="5"/>
      <c r="K613" s="4" t="s">
        <v>67</v>
      </c>
      <c r="L613" s="4">
        <v>0.0</v>
      </c>
      <c r="M613" s="15" t="str">
        <f>VLOOKUP(A613,'Live Plan Data'!I:J,2, False)</f>
        <v>#N/A</v>
      </c>
    </row>
    <row r="614" hidden="1">
      <c r="A614" s="4" t="s">
        <v>13972</v>
      </c>
      <c r="B614" s="4" t="s">
        <v>6217</v>
      </c>
      <c r="C614" s="4">
        <v>50046.0</v>
      </c>
      <c r="D614" s="4" t="s">
        <v>13063</v>
      </c>
      <c r="E614" s="4">
        <v>799.0</v>
      </c>
      <c r="F614" s="4">
        <v>3.0</v>
      </c>
      <c r="G614" s="12" t="s">
        <v>13212</v>
      </c>
      <c r="H614" s="4" t="s">
        <v>6325</v>
      </c>
      <c r="I614" s="4" t="s">
        <v>13078</v>
      </c>
      <c r="J614" s="5"/>
      <c r="K614" s="4" t="s">
        <v>67</v>
      </c>
      <c r="L614" s="4">
        <v>0.0</v>
      </c>
      <c r="M614" s="15" t="str">
        <f>VLOOKUP(A614,'Live Plan Data'!I:J,2, False)</f>
        <v>#N/A</v>
      </c>
    </row>
    <row r="615" hidden="1">
      <c r="A615" s="4" t="s">
        <v>13973</v>
      </c>
      <c r="B615" s="4" t="s">
        <v>6217</v>
      </c>
      <c r="C615" s="4">
        <v>50046.0</v>
      </c>
      <c r="D615" s="4" t="s">
        <v>13065</v>
      </c>
      <c r="E615" s="4">
        <v>1499.0</v>
      </c>
      <c r="F615" s="4">
        <v>6.0</v>
      </c>
      <c r="G615" s="12" t="s">
        <v>13212</v>
      </c>
      <c r="H615" s="4" t="s">
        <v>6325</v>
      </c>
      <c r="I615" s="4" t="s">
        <v>13078</v>
      </c>
      <c r="J615" s="5"/>
      <c r="K615" s="4" t="s">
        <v>67</v>
      </c>
      <c r="L615" s="4">
        <v>0.0</v>
      </c>
      <c r="M615" s="15" t="str">
        <f>VLOOKUP(A615,'Live Plan Data'!I:J,2, False)</f>
        <v>#N/A</v>
      </c>
    </row>
  </sheetData>
  <autoFilter ref="$A$1:$M$615">
    <filterColumn colId="12">
      <filters>
        <filter val="Active"/>
      </filters>
    </filterColumn>
  </autoFilter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3"/>
    <hyperlink r:id="rId381" ref="G384"/>
    <hyperlink r:id="rId382" ref="G385"/>
    <hyperlink r:id="rId383" ref="G386"/>
    <hyperlink r:id="rId384" ref="G387"/>
    <hyperlink r:id="rId385" ref="G388"/>
    <hyperlink r:id="rId386" ref="G389"/>
    <hyperlink r:id="rId387" ref="G390"/>
    <hyperlink r:id="rId388" ref="G391"/>
    <hyperlink r:id="rId389" ref="G392"/>
    <hyperlink r:id="rId390" ref="G393"/>
    <hyperlink r:id="rId391" ref="G394"/>
    <hyperlink r:id="rId392" ref="G395"/>
    <hyperlink r:id="rId393" ref="G396"/>
    <hyperlink r:id="rId394" ref="G397"/>
    <hyperlink r:id="rId395" ref="G398"/>
    <hyperlink r:id="rId396" ref="G399"/>
    <hyperlink r:id="rId397" ref="G400"/>
    <hyperlink r:id="rId398" ref="G401"/>
    <hyperlink r:id="rId399" ref="G402"/>
    <hyperlink r:id="rId400" ref="G403"/>
    <hyperlink r:id="rId401" ref="G404"/>
    <hyperlink r:id="rId402" ref="G405"/>
    <hyperlink r:id="rId403" ref="G406"/>
    <hyperlink r:id="rId404" ref="G407"/>
    <hyperlink r:id="rId405" ref="G408"/>
    <hyperlink r:id="rId406" ref="G409"/>
    <hyperlink r:id="rId407" ref="G411"/>
    <hyperlink r:id="rId408" ref="G412"/>
    <hyperlink r:id="rId409" ref="G413"/>
    <hyperlink r:id="rId410" ref="G414"/>
    <hyperlink r:id="rId411" ref="G415"/>
    <hyperlink r:id="rId412" ref="G416"/>
    <hyperlink r:id="rId413" ref="G417"/>
    <hyperlink r:id="rId414" ref="G418"/>
    <hyperlink r:id="rId415" ref="G419"/>
    <hyperlink r:id="rId416" ref="G420"/>
    <hyperlink r:id="rId417" ref="G421"/>
    <hyperlink r:id="rId418" ref="G422"/>
    <hyperlink r:id="rId419" ref="G423"/>
    <hyperlink r:id="rId420" ref="G424"/>
    <hyperlink r:id="rId421" ref="G425"/>
    <hyperlink r:id="rId422" ref="G426"/>
    <hyperlink r:id="rId423" ref="G427"/>
    <hyperlink r:id="rId424" ref="G428"/>
    <hyperlink r:id="rId425" ref="G429"/>
    <hyperlink r:id="rId426" ref="G430"/>
    <hyperlink r:id="rId427" ref="G431"/>
    <hyperlink r:id="rId428" ref="G432"/>
    <hyperlink r:id="rId429" ref="G433"/>
    <hyperlink r:id="rId430" ref="G434"/>
    <hyperlink r:id="rId431" ref="G435"/>
    <hyperlink r:id="rId432" ref="G436"/>
    <hyperlink r:id="rId433" ref="G437"/>
    <hyperlink r:id="rId434" ref="G438"/>
    <hyperlink r:id="rId435" ref="G439"/>
    <hyperlink r:id="rId436" ref="G440"/>
    <hyperlink r:id="rId437" ref="G441"/>
    <hyperlink r:id="rId438" ref="G442"/>
    <hyperlink r:id="rId439" ref="G443"/>
    <hyperlink r:id="rId440" ref="G444"/>
    <hyperlink r:id="rId441" ref="G445"/>
    <hyperlink r:id="rId442" ref="G446"/>
    <hyperlink r:id="rId443" ref="G447"/>
    <hyperlink r:id="rId444" ref="G448"/>
    <hyperlink r:id="rId445" ref="G449"/>
    <hyperlink r:id="rId446" ref="G450"/>
    <hyperlink r:id="rId447" ref="G451"/>
    <hyperlink r:id="rId448" ref="G452"/>
    <hyperlink r:id="rId449" ref="G453"/>
    <hyperlink r:id="rId450" ref="G454"/>
    <hyperlink r:id="rId451" ref="G455"/>
    <hyperlink r:id="rId452" ref="G456"/>
    <hyperlink r:id="rId453" ref="G457"/>
    <hyperlink r:id="rId454" ref="G458"/>
    <hyperlink r:id="rId455" ref="G459"/>
    <hyperlink r:id="rId456" ref="G460"/>
    <hyperlink r:id="rId457" ref="G461"/>
    <hyperlink r:id="rId458" ref="G462"/>
    <hyperlink r:id="rId459" ref="G463"/>
    <hyperlink r:id="rId460" ref="G464"/>
    <hyperlink r:id="rId461" ref="G465"/>
    <hyperlink r:id="rId462" ref="G466"/>
    <hyperlink r:id="rId463" ref="G467"/>
    <hyperlink r:id="rId464" ref="G468"/>
    <hyperlink r:id="rId465" ref="G469"/>
    <hyperlink r:id="rId466" ref="G470"/>
    <hyperlink r:id="rId467" ref="G471"/>
    <hyperlink r:id="rId468" ref="G472"/>
    <hyperlink r:id="rId469" ref="G473"/>
    <hyperlink r:id="rId470" ref="G474"/>
    <hyperlink r:id="rId471" ref="G475"/>
    <hyperlink r:id="rId472" ref="G476"/>
    <hyperlink r:id="rId473" ref="G477"/>
    <hyperlink r:id="rId474" ref="G478"/>
    <hyperlink r:id="rId475" ref="G479"/>
    <hyperlink r:id="rId476" ref="G480"/>
    <hyperlink r:id="rId477" ref="G481"/>
    <hyperlink r:id="rId478" ref="G482"/>
    <hyperlink r:id="rId479" ref="G483"/>
    <hyperlink r:id="rId480" ref="G484"/>
    <hyperlink r:id="rId481" ref="G485"/>
    <hyperlink r:id="rId482" ref="G486"/>
    <hyperlink r:id="rId483" ref="G487"/>
    <hyperlink r:id="rId484" ref="G488"/>
    <hyperlink r:id="rId485" ref="G489"/>
    <hyperlink r:id="rId486" ref="G490"/>
    <hyperlink r:id="rId487" ref="G491"/>
    <hyperlink r:id="rId488" ref="G492"/>
    <hyperlink r:id="rId489" ref="G493"/>
    <hyperlink r:id="rId490" ref="G494"/>
    <hyperlink r:id="rId491" ref="G495"/>
    <hyperlink r:id="rId492" ref="G496"/>
    <hyperlink r:id="rId493" ref="G497"/>
    <hyperlink r:id="rId494" ref="G498"/>
    <hyperlink r:id="rId495" ref="G499"/>
    <hyperlink r:id="rId496" ref="G500"/>
    <hyperlink r:id="rId497" ref="G501"/>
    <hyperlink r:id="rId498" ref="G502"/>
    <hyperlink r:id="rId499" ref="G503"/>
    <hyperlink r:id="rId500" ref="G504"/>
    <hyperlink r:id="rId501" ref="G505"/>
    <hyperlink r:id="rId502" ref="G506"/>
    <hyperlink r:id="rId503" ref="G507"/>
    <hyperlink r:id="rId504" ref="G508"/>
    <hyperlink r:id="rId505" ref="G509"/>
    <hyperlink r:id="rId506" ref="G510"/>
    <hyperlink r:id="rId507" ref="G511"/>
    <hyperlink r:id="rId508" ref="G512"/>
    <hyperlink r:id="rId509" ref="G513"/>
    <hyperlink r:id="rId510" ref="G514"/>
    <hyperlink r:id="rId511" ref="G515"/>
    <hyperlink r:id="rId512" ref="G516"/>
    <hyperlink r:id="rId513" ref="G517"/>
    <hyperlink r:id="rId514" ref="G518"/>
    <hyperlink r:id="rId515" ref="G519"/>
    <hyperlink r:id="rId516" ref="G520"/>
    <hyperlink r:id="rId517" ref="G521"/>
    <hyperlink r:id="rId518" ref="G522"/>
    <hyperlink r:id="rId519" ref="G523"/>
    <hyperlink r:id="rId520" ref="G524"/>
    <hyperlink r:id="rId521" ref="G525"/>
    <hyperlink r:id="rId522" ref="G526"/>
    <hyperlink r:id="rId523" ref="G527"/>
    <hyperlink r:id="rId524" ref="G528"/>
    <hyperlink r:id="rId525" ref="G529"/>
    <hyperlink r:id="rId526" ref="G530"/>
    <hyperlink r:id="rId527" ref="G531"/>
    <hyperlink r:id="rId528" ref="G532"/>
    <hyperlink r:id="rId529" ref="G533"/>
    <hyperlink r:id="rId530" ref="G534"/>
    <hyperlink r:id="rId531" ref="G535"/>
    <hyperlink r:id="rId532" ref="G536"/>
    <hyperlink r:id="rId533" ref="G537"/>
    <hyperlink r:id="rId534" ref="G538"/>
    <hyperlink r:id="rId535" ref="G539"/>
    <hyperlink r:id="rId536" ref="G540"/>
    <hyperlink r:id="rId537" ref="G541"/>
    <hyperlink r:id="rId538" ref="G542"/>
    <hyperlink r:id="rId539" ref="G543"/>
    <hyperlink r:id="rId540" ref="G544"/>
    <hyperlink r:id="rId541" ref="G545"/>
    <hyperlink r:id="rId542" ref="G546"/>
    <hyperlink r:id="rId543" ref="G547"/>
    <hyperlink r:id="rId544" ref="G548"/>
    <hyperlink r:id="rId545" ref="G549"/>
    <hyperlink r:id="rId546" ref="G550"/>
    <hyperlink r:id="rId547" ref="G551"/>
    <hyperlink r:id="rId548" ref="G552"/>
    <hyperlink r:id="rId549" ref="G553"/>
    <hyperlink r:id="rId550" ref="G554"/>
    <hyperlink r:id="rId551" ref="G555"/>
    <hyperlink r:id="rId552" ref="G556"/>
    <hyperlink r:id="rId553" ref="G557"/>
    <hyperlink r:id="rId554" ref="G558"/>
    <hyperlink r:id="rId555" ref="G559"/>
    <hyperlink r:id="rId556" ref="G560"/>
    <hyperlink r:id="rId557" ref="G561"/>
    <hyperlink r:id="rId558" ref="G562"/>
    <hyperlink r:id="rId559" ref="G563"/>
    <hyperlink r:id="rId560" ref="G564"/>
    <hyperlink r:id="rId561" ref="G565"/>
    <hyperlink r:id="rId562" ref="G566"/>
    <hyperlink r:id="rId563" ref="G567"/>
    <hyperlink r:id="rId564" ref="G568"/>
    <hyperlink r:id="rId565" ref="G569"/>
    <hyperlink r:id="rId566" ref="G570"/>
    <hyperlink r:id="rId567" ref="G571"/>
    <hyperlink r:id="rId568" ref="G572"/>
    <hyperlink r:id="rId569" ref="G573"/>
    <hyperlink r:id="rId570" ref="G574"/>
    <hyperlink r:id="rId571" ref="G575"/>
    <hyperlink r:id="rId572" ref="G576"/>
    <hyperlink r:id="rId573" ref="G577"/>
    <hyperlink r:id="rId574" ref="G578"/>
    <hyperlink r:id="rId575" ref="G579"/>
    <hyperlink r:id="rId576" ref="G580"/>
    <hyperlink r:id="rId577" ref="G581"/>
    <hyperlink r:id="rId578" ref="G582"/>
    <hyperlink r:id="rId579" ref="G583"/>
    <hyperlink r:id="rId580" ref="G584"/>
    <hyperlink r:id="rId581" ref="G585"/>
    <hyperlink r:id="rId582" ref="G586"/>
    <hyperlink r:id="rId583" ref="G587"/>
    <hyperlink r:id="rId584" ref="G588"/>
    <hyperlink r:id="rId585" ref="G589"/>
    <hyperlink r:id="rId586" ref="G590"/>
    <hyperlink r:id="rId587" ref="G591"/>
    <hyperlink r:id="rId588" ref="G592"/>
    <hyperlink r:id="rId589" ref="G593"/>
    <hyperlink r:id="rId590" ref="G594"/>
    <hyperlink r:id="rId591" ref="G595"/>
    <hyperlink r:id="rId592" ref="G596"/>
    <hyperlink r:id="rId593" ref="G597"/>
    <hyperlink r:id="rId594" ref="G598"/>
    <hyperlink r:id="rId595" ref="G599"/>
    <hyperlink r:id="rId596" ref="G600"/>
    <hyperlink r:id="rId597" ref="G601"/>
    <hyperlink r:id="rId598" ref="G602"/>
    <hyperlink r:id="rId599" ref="G603"/>
    <hyperlink r:id="rId600" ref="G604"/>
    <hyperlink r:id="rId601" ref="G605"/>
    <hyperlink r:id="rId602" ref="G606"/>
    <hyperlink r:id="rId603" ref="G607"/>
    <hyperlink r:id="rId604" ref="G608"/>
    <hyperlink r:id="rId605" ref="G609"/>
    <hyperlink r:id="rId606" ref="G610"/>
    <hyperlink r:id="rId607" ref="G611"/>
    <hyperlink r:id="rId608" ref="G612"/>
    <hyperlink r:id="rId609" ref="G613"/>
    <hyperlink r:id="rId610" ref="G614"/>
    <hyperlink r:id="rId611" ref="G615"/>
  </hyperlinks>
  <drawing r:id="rId61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7.29"/>
    <col customWidth="1" min="6" max="6" width="21.57"/>
  </cols>
  <sheetData>
    <row r="1">
      <c r="A1" s="1" t="s">
        <v>13974</v>
      </c>
      <c r="B1" s="1" t="s">
        <v>13975</v>
      </c>
      <c r="C1" s="1" t="s">
        <v>13976</v>
      </c>
      <c r="D1" s="1" t="s">
        <v>13977</v>
      </c>
      <c r="E1" s="1" t="s">
        <v>13978</v>
      </c>
      <c r="F1" s="1" t="s">
        <v>13979</v>
      </c>
      <c r="G1" s="1" t="s">
        <v>13980</v>
      </c>
    </row>
    <row r="2">
      <c r="A2" s="1">
        <v>49813.0</v>
      </c>
      <c r="B2" s="1">
        <v>4910.0</v>
      </c>
      <c r="C2" s="1">
        <v>1.611289436E9</v>
      </c>
      <c r="D2" s="1">
        <v>4.0</v>
      </c>
      <c r="E2" s="1" t="b">
        <v>0</v>
      </c>
      <c r="F2" s="1" t="s">
        <v>13981</v>
      </c>
    </row>
    <row r="3">
      <c r="A3" s="1">
        <v>49813.0</v>
      </c>
      <c r="B3" s="1">
        <v>1442.0</v>
      </c>
      <c r="C3" s="1">
        <v>1.605880534E9</v>
      </c>
      <c r="D3" s="1">
        <v>4.0</v>
      </c>
      <c r="E3" s="1" t="b">
        <v>0</v>
      </c>
      <c r="F3" s="1" t="s">
        <v>13982</v>
      </c>
    </row>
    <row r="4">
      <c r="A4" s="1">
        <v>49813.0</v>
      </c>
      <c r="B4" s="1">
        <v>14677.0</v>
      </c>
      <c r="C4" s="1">
        <v>1.613904102E9</v>
      </c>
      <c r="D4" s="1">
        <v>4.0</v>
      </c>
      <c r="E4" s="1" t="b">
        <v>0</v>
      </c>
      <c r="F4" s="1" t="s">
        <v>13983</v>
      </c>
    </row>
    <row r="5">
      <c r="A5" s="1">
        <v>49813.0</v>
      </c>
      <c r="B5" s="1">
        <v>18381.0</v>
      </c>
      <c r="C5" s="1">
        <v>1.621511564E9</v>
      </c>
      <c r="D5" s="1">
        <v>4.0</v>
      </c>
      <c r="E5" s="1" t="b">
        <v>0</v>
      </c>
      <c r="F5" s="1" t="s">
        <v>13984</v>
      </c>
    </row>
    <row r="6">
      <c r="A6" s="1">
        <v>49813.0</v>
      </c>
      <c r="B6" s="1">
        <v>14121.0</v>
      </c>
      <c r="C6" s="1">
        <v>1.613556897E9</v>
      </c>
      <c r="D6" s="1">
        <v>4.0</v>
      </c>
      <c r="E6" s="1" t="b">
        <v>0</v>
      </c>
      <c r="F6" s="1" t="s">
        <v>13985</v>
      </c>
    </row>
    <row r="7">
      <c r="A7" s="1">
        <v>49813.0</v>
      </c>
      <c r="B7" s="1">
        <v>16743.0</v>
      </c>
      <c r="C7" s="1">
        <v>1.620882071E9</v>
      </c>
      <c r="D7" s="1">
        <v>4.0</v>
      </c>
      <c r="E7" s="1" t="b">
        <v>0</v>
      </c>
      <c r="F7" s="1" t="s">
        <v>13986</v>
      </c>
      <c r="G7" s="1" t="b">
        <v>1</v>
      </c>
    </row>
    <row r="8">
      <c r="A8" s="1">
        <v>49813.0</v>
      </c>
      <c r="B8" s="1">
        <v>5218.0</v>
      </c>
      <c r="C8" s="1">
        <v>1.611341061E9</v>
      </c>
      <c r="D8" s="1">
        <v>4.0</v>
      </c>
      <c r="E8" s="1" t="b">
        <v>0</v>
      </c>
      <c r="F8" s="1" t="s">
        <v>13987</v>
      </c>
    </row>
    <row r="9">
      <c r="A9" s="1">
        <v>49813.0</v>
      </c>
      <c r="B9" s="1">
        <v>16910.0</v>
      </c>
      <c r="C9" s="1">
        <v>1.618565026E9</v>
      </c>
      <c r="D9" s="1">
        <v>4.0</v>
      </c>
      <c r="E9" s="1" t="b">
        <v>0</v>
      </c>
      <c r="F9" s="1" t="s">
        <v>13988</v>
      </c>
    </row>
    <row r="10">
      <c r="A10" s="1">
        <v>49813.0</v>
      </c>
      <c r="B10" s="1">
        <v>1638.0</v>
      </c>
      <c r="C10" s="1">
        <v>1.606412791E9</v>
      </c>
      <c r="D10" s="1">
        <v>4.0</v>
      </c>
      <c r="E10" s="1" t="b">
        <v>0</v>
      </c>
      <c r="F10" s="1" t="s">
        <v>13989</v>
      </c>
    </row>
    <row r="11">
      <c r="A11" s="1">
        <v>49813.0</v>
      </c>
      <c r="B11" s="1">
        <v>1253.0</v>
      </c>
      <c r="C11" s="1">
        <v>1.604375064E9</v>
      </c>
      <c r="D11" s="1">
        <v>4.0</v>
      </c>
      <c r="E11" s="1" t="b">
        <v>0</v>
      </c>
      <c r="F11" s="1" t="s">
        <v>13990</v>
      </c>
    </row>
    <row r="12">
      <c r="A12" s="1">
        <v>49813.0</v>
      </c>
      <c r="B12" s="1">
        <v>14397.0</v>
      </c>
      <c r="C12" s="1">
        <v>1.61372287E9</v>
      </c>
      <c r="D12" s="1">
        <v>4.0</v>
      </c>
      <c r="E12" s="1" t="b">
        <v>0</v>
      </c>
      <c r="F12" s="1" t="s">
        <v>13991</v>
      </c>
    </row>
    <row r="13">
      <c r="A13" s="1">
        <v>49813.0</v>
      </c>
      <c r="B13" s="1">
        <v>14871.0</v>
      </c>
      <c r="C13" s="1">
        <v>1.614067685E9</v>
      </c>
      <c r="D13" s="1">
        <v>4.0</v>
      </c>
      <c r="E13" s="1" t="b">
        <v>0</v>
      </c>
      <c r="F13" s="1" t="s">
        <v>13992</v>
      </c>
    </row>
    <row r="14">
      <c r="A14" s="1">
        <v>49813.0</v>
      </c>
      <c r="B14" s="1">
        <v>1264.0</v>
      </c>
      <c r="C14" s="1">
        <v>1.604466616E9</v>
      </c>
      <c r="D14" s="1">
        <v>4.0</v>
      </c>
      <c r="E14" s="1" t="b">
        <v>0</v>
      </c>
      <c r="F14" s="1" t="s">
        <v>13993</v>
      </c>
    </row>
    <row r="15">
      <c r="A15" s="1">
        <v>49813.0</v>
      </c>
      <c r="B15" s="1">
        <v>1246.0</v>
      </c>
      <c r="C15" s="1">
        <v>1.604338185E9</v>
      </c>
      <c r="D15" s="1">
        <v>4.0</v>
      </c>
      <c r="E15" s="1" t="b">
        <v>0</v>
      </c>
      <c r="F15" s="1" t="s">
        <v>13994</v>
      </c>
      <c r="G15" s="1" t="b">
        <v>1</v>
      </c>
    </row>
    <row r="16">
      <c r="A16" s="1">
        <v>49813.0</v>
      </c>
      <c r="B16" s="1">
        <v>16182.0</v>
      </c>
      <c r="C16" s="1">
        <v>1.615703286E9</v>
      </c>
      <c r="D16" s="1">
        <v>4.0</v>
      </c>
      <c r="E16" s="1" t="b">
        <v>0</v>
      </c>
      <c r="F16" s="1" t="s">
        <v>13995</v>
      </c>
    </row>
    <row r="17">
      <c r="A17" s="1">
        <v>49813.0</v>
      </c>
      <c r="B17" s="1">
        <v>4837.0</v>
      </c>
      <c r="C17" s="1">
        <v>1.611245141E9</v>
      </c>
      <c r="D17" s="1">
        <v>4.0</v>
      </c>
      <c r="E17" s="1" t="b">
        <v>0</v>
      </c>
      <c r="F17" s="1" t="s">
        <v>13996</v>
      </c>
    </row>
    <row r="18">
      <c r="A18" s="1">
        <v>49813.0</v>
      </c>
      <c r="B18" s="1">
        <v>6369.0</v>
      </c>
      <c r="C18" s="1">
        <v>1.611631168E9</v>
      </c>
      <c r="D18" s="1">
        <v>4.0</v>
      </c>
      <c r="E18" s="1" t="b">
        <v>0</v>
      </c>
      <c r="F18" s="1" t="s">
        <v>13997</v>
      </c>
    </row>
    <row r="19">
      <c r="A19" s="1">
        <v>49813.0</v>
      </c>
      <c r="B19" s="1">
        <v>11268.0</v>
      </c>
      <c r="C19" s="1">
        <v>1.61271365E9</v>
      </c>
      <c r="D19" s="1">
        <v>4.0</v>
      </c>
      <c r="E19" s="1" t="b">
        <v>0</v>
      </c>
      <c r="F19" s="1" t="s">
        <v>13998</v>
      </c>
    </row>
    <row r="20">
      <c r="A20" s="1">
        <v>49813.0</v>
      </c>
      <c r="B20" s="1">
        <v>3633.0</v>
      </c>
      <c r="C20" s="1">
        <v>1.610668669E9</v>
      </c>
      <c r="D20" s="1">
        <v>4.0</v>
      </c>
      <c r="E20" s="1" t="b">
        <v>0</v>
      </c>
      <c r="F20" s="1" t="s">
        <v>13999</v>
      </c>
    </row>
    <row r="21">
      <c r="A21" s="1">
        <v>49813.0</v>
      </c>
      <c r="B21" s="1">
        <v>2611.0</v>
      </c>
      <c r="C21" s="1">
        <v>1.608706545E9</v>
      </c>
      <c r="D21" s="1">
        <v>4.0</v>
      </c>
      <c r="E21" s="1" t="b">
        <v>0</v>
      </c>
      <c r="F21" s="1" t="s">
        <v>14000</v>
      </c>
    </row>
    <row r="22">
      <c r="A22" s="1">
        <v>49813.0</v>
      </c>
      <c r="B22" s="1">
        <v>16714.0</v>
      </c>
      <c r="C22" s="1">
        <v>1.617734547E9</v>
      </c>
      <c r="D22" s="1">
        <v>4.0</v>
      </c>
      <c r="E22" s="1" t="b">
        <v>0</v>
      </c>
      <c r="F22" s="1" t="s">
        <v>14001</v>
      </c>
    </row>
    <row r="23">
      <c r="A23" s="1">
        <v>49813.0</v>
      </c>
      <c r="B23" s="1">
        <v>16911.0</v>
      </c>
      <c r="C23" s="1">
        <v>1.618565028E9</v>
      </c>
      <c r="D23" s="1">
        <v>4.0</v>
      </c>
      <c r="E23" s="1" t="b">
        <v>0</v>
      </c>
      <c r="F23" s="1" t="s">
        <v>14002</v>
      </c>
    </row>
    <row r="24">
      <c r="A24" s="1">
        <v>49813.0</v>
      </c>
      <c r="B24" s="1">
        <v>4880.0</v>
      </c>
      <c r="C24" s="1">
        <v>1.611255861E9</v>
      </c>
      <c r="D24" s="1">
        <v>4.0</v>
      </c>
      <c r="E24" s="1" t="b">
        <v>0</v>
      </c>
      <c r="F24" s="1" t="s">
        <v>14003</v>
      </c>
    </row>
    <row r="25">
      <c r="A25" s="1">
        <v>49813.0</v>
      </c>
      <c r="B25" s="1">
        <v>6507.0</v>
      </c>
      <c r="C25" s="1">
        <v>1.611655473E9</v>
      </c>
      <c r="D25" s="1">
        <v>4.0</v>
      </c>
      <c r="E25" s="1" t="b">
        <v>0</v>
      </c>
      <c r="F25" s="1" t="s">
        <v>14004</v>
      </c>
    </row>
    <row r="26">
      <c r="A26" s="1">
        <v>49813.0</v>
      </c>
      <c r="B26" s="1">
        <v>15563.0</v>
      </c>
      <c r="C26" s="1">
        <v>1.614694505E9</v>
      </c>
      <c r="D26" s="1">
        <v>4.0</v>
      </c>
      <c r="E26" s="1" t="b">
        <v>0</v>
      </c>
      <c r="F26" s="1" t="s">
        <v>14005</v>
      </c>
    </row>
    <row r="27">
      <c r="A27" s="1">
        <v>49813.0</v>
      </c>
      <c r="B27" s="1">
        <v>17215.0</v>
      </c>
      <c r="C27" s="1">
        <v>1.619241791E9</v>
      </c>
      <c r="D27" s="1">
        <v>4.0</v>
      </c>
      <c r="E27" s="1" t="b">
        <v>0</v>
      </c>
      <c r="F27" s="1" t="s">
        <v>14006</v>
      </c>
    </row>
    <row r="28">
      <c r="A28" s="1">
        <v>49813.0</v>
      </c>
      <c r="B28" s="1">
        <v>1266.0</v>
      </c>
      <c r="C28" s="1">
        <v>1.604466619E9</v>
      </c>
      <c r="D28" s="1">
        <v>4.0</v>
      </c>
      <c r="E28" s="1" t="b">
        <v>0</v>
      </c>
      <c r="F28" s="1" t="s">
        <v>14007</v>
      </c>
    </row>
    <row r="29">
      <c r="A29" s="1">
        <v>49813.0</v>
      </c>
      <c r="B29" s="1">
        <v>13632.0</v>
      </c>
      <c r="C29" s="1">
        <v>1.61331519E9</v>
      </c>
      <c r="D29" s="1">
        <v>4.0</v>
      </c>
      <c r="E29" s="1" t="b">
        <v>0</v>
      </c>
      <c r="F29" s="1" t="s">
        <v>14007</v>
      </c>
    </row>
    <row r="30">
      <c r="A30" s="1">
        <v>49813.0</v>
      </c>
      <c r="B30" s="1">
        <v>2437.0</v>
      </c>
      <c r="C30" s="1">
        <v>1.608281055E9</v>
      </c>
      <c r="D30" s="1">
        <v>4.0</v>
      </c>
      <c r="E30" s="1" t="b">
        <v>0</v>
      </c>
      <c r="F30" s="1" t="s">
        <v>14008</v>
      </c>
    </row>
    <row r="31">
      <c r="A31" s="1">
        <v>49813.0</v>
      </c>
      <c r="B31" s="1">
        <v>1795.0</v>
      </c>
      <c r="C31" s="1">
        <v>1.614355863E9</v>
      </c>
      <c r="D31" s="1">
        <v>4.0</v>
      </c>
      <c r="E31" s="1" t="b">
        <v>0</v>
      </c>
      <c r="F31" s="1" t="s">
        <v>14009</v>
      </c>
    </row>
    <row r="32">
      <c r="A32" s="1">
        <v>49813.0</v>
      </c>
      <c r="B32" s="1">
        <v>1248.0</v>
      </c>
      <c r="C32" s="1">
        <v>1.604371411E9</v>
      </c>
      <c r="D32" s="1">
        <v>4.0</v>
      </c>
      <c r="E32" s="1" t="b">
        <v>0</v>
      </c>
      <c r="F32" s="1" t="s">
        <v>14010</v>
      </c>
    </row>
    <row r="33">
      <c r="A33" s="1">
        <v>49813.0</v>
      </c>
      <c r="B33" s="1">
        <v>15939.0</v>
      </c>
      <c r="C33" s="1">
        <v>1.615190174E9</v>
      </c>
      <c r="D33" s="1">
        <v>4.0</v>
      </c>
      <c r="E33" s="1" t="b">
        <v>0</v>
      </c>
      <c r="F33" s="1" t="s">
        <v>14011</v>
      </c>
    </row>
    <row r="34">
      <c r="A34" s="1">
        <v>49813.0</v>
      </c>
      <c r="B34" s="1">
        <v>9225.0</v>
      </c>
      <c r="C34" s="1">
        <v>1.612105882E9</v>
      </c>
      <c r="D34" s="1">
        <v>4.0</v>
      </c>
      <c r="E34" s="1" t="b">
        <v>0</v>
      </c>
      <c r="F34" s="1" t="s">
        <v>14012</v>
      </c>
    </row>
    <row r="35">
      <c r="A35" s="1">
        <v>49813.0</v>
      </c>
      <c r="B35" s="1">
        <v>3197.0</v>
      </c>
      <c r="C35" s="1">
        <v>1.610024995E9</v>
      </c>
      <c r="D35" s="1">
        <v>4.0</v>
      </c>
      <c r="E35" s="1" t="b">
        <v>0</v>
      </c>
      <c r="F35" s="1" t="s">
        <v>14013</v>
      </c>
    </row>
    <row r="36">
      <c r="A36" s="1">
        <v>49813.0</v>
      </c>
      <c r="B36" s="1">
        <v>5013.0</v>
      </c>
      <c r="C36" s="1">
        <v>1.611297119E9</v>
      </c>
      <c r="D36" s="1">
        <v>4.0</v>
      </c>
      <c r="E36" s="1" t="b">
        <v>0</v>
      </c>
      <c r="F36" s="1" t="s">
        <v>14014</v>
      </c>
    </row>
    <row r="37">
      <c r="A37" s="1">
        <v>49813.0</v>
      </c>
      <c r="B37" s="1">
        <v>17525.0</v>
      </c>
      <c r="C37" s="1">
        <v>1.620181831E9</v>
      </c>
      <c r="D37" s="1">
        <v>4.0</v>
      </c>
      <c r="E37" s="1" t="b">
        <v>0</v>
      </c>
      <c r="F37" s="1" t="s">
        <v>14015</v>
      </c>
    </row>
    <row r="38">
      <c r="A38" s="1">
        <v>49813.0</v>
      </c>
      <c r="B38" s="1">
        <v>12056.0</v>
      </c>
      <c r="C38" s="1">
        <v>1.613328347E9</v>
      </c>
      <c r="D38" s="1">
        <v>4.0</v>
      </c>
      <c r="E38" s="1" t="b">
        <v>0</v>
      </c>
      <c r="F38" s="1" t="s">
        <v>14016</v>
      </c>
    </row>
    <row r="39">
      <c r="A39" s="1">
        <v>49813.0</v>
      </c>
      <c r="B39" s="1">
        <v>4809.0</v>
      </c>
      <c r="C39" s="1">
        <v>1.611233683E9</v>
      </c>
      <c r="D39" s="1">
        <v>4.0</v>
      </c>
      <c r="E39" s="1" t="b">
        <v>0</v>
      </c>
      <c r="F39" s="1" t="s">
        <v>14017</v>
      </c>
      <c r="G39" s="1" t="b">
        <v>1</v>
      </c>
    </row>
    <row r="40">
      <c r="A40" s="1">
        <v>49813.0</v>
      </c>
      <c r="B40" s="1">
        <v>16090.0</v>
      </c>
      <c r="C40" s="1">
        <v>1.615469467E9</v>
      </c>
      <c r="D40" s="1">
        <v>4.0</v>
      </c>
      <c r="E40" s="1" t="b">
        <v>0</v>
      </c>
      <c r="F40" s="1" t="s">
        <v>14018</v>
      </c>
    </row>
    <row r="41">
      <c r="A41" s="1">
        <v>49813.0</v>
      </c>
      <c r="B41" s="1">
        <v>4898.0</v>
      </c>
      <c r="C41" s="1">
        <v>1.611259827E9</v>
      </c>
      <c r="D41" s="1">
        <v>4.0</v>
      </c>
      <c r="E41" s="1" t="b">
        <v>0</v>
      </c>
      <c r="F41" s="1" t="s">
        <v>14019</v>
      </c>
    </row>
    <row r="42">
      <c r="A42" s="1">
        <v>49813.0</v>
      </c>
      <c r="B42" s="1">
        <v>16183.0</v>
      </c>
      <c r="C42" s="1">
        <v>1.616463827E9</v>
      </c>
      <c r="D42" s="1">
        <v>4.0</v>
      </c>
      <c r="E42" s="1" t="b">
        <v>0</v>
      </c>
      <c r="F42" s="1" t="s">
        <v>14020</v>
      </c>
    </row>
    <row r="43">
      <c r="A43" s="1">
        <v>49813.0</v>
      </c>
      <c r="B43" s="1">
        <v>6147.0</v>
      </c>
      <c r="C43" s="1">
        <v>1.611570213E9</v>
      </c>
      <c r="D43" s="1">
        <v>4.0</v>
      </c>
      <c r="E43" s="1" t="b">
        <v>0</v>
      </c>
      <c r="F43" s="1" t="s">
        <v>14021</v>
      </c>
    </row>
    <row r="44">
      <c r="A44" s="1">
        <v>49813.0</v>
      </c>
      <c r="B44" s="1">
        <v>16526.0</v>
      </c>
      <c r="C44" s="1">
        <v>1.617050639E9</v>
      </c>
      <c r="D44" s="1">
        <v>4.0</v>
      </c>
      <c r="E44" s="1" t="b">
        <v>0</v>
      </c>
      <c r="F44" s="1" t="s">
        <v>14022</v>
      </c>
    </row>
    <row r="45">
      <c r="A45" s="1">
        <v>49813.0</v>
      </c>
      <c r="B45" s="1">
        <v>1491.0</v>
      </c>
      <c r="C45" s="1">
        <v>1.605986109E9</v>
      </c>
      <c r="D45" s="1">
        <v>4.0</v>
      </c>
      <c r="E45" s="1" t="b">
        <v>0</v>
      </c>
      <c r="F45" s="1" t="s">
        <v>14023</v>
      </c>
    </row>
    <row r="46">
      <c r="A46" s="1">
        <v>49813.0</v>
      </c>
      <c r="B46" s="1">
        <v>17021.0</v>
      </c>
      <c r="C46" s="1">
        <v>1.618905233E9</v>
      </c>
      <c r="D46" s="1">
        <v>4.0</v>
      </c>
      <c r="E46" s="1" t="b">
        <v>0</v>
      </c>
      <c r="F46" s="1" t="s">
        <v>14024</v>
      </c>
    </row>
    <row r="47">
      <c r="A47" s="1">
        <v>49813.0</v>
      </c>
      <c r="B47" s="1">
        <v>17988.0</v>
      </c>
      <c r="C47" s="1">
        <v>1.620806359E9</v>
      </c>
      <c r="D47" s="1">
        <v>4.0</v>
      </c>
      <c r="E47" s="1" t="b">
        <v>0</v>
      </c>
      <c r="F47" s="1" t="s">
        <v>14025</v>
      </c>
    </row>
    <row r="48">
      <c r="A48" s="1">
        <v>49813.0</v>
      </c>
      <c r="B48" s="1">
        <v>16993.0</v>
      </c>
      <c r="C48" s="1">
        <v>1.618816188E9</v>
      </c>
      <c r="D48" s="1">
        <v>4.0</v>
      </c>
      <c r="E48" s="1" t="b">
        <v>0</v>
      </c>
      <c r="F48" s="1" t="s">
        <v>14026</v>
      </c>
    </row>
    <row r="49">
      <c r="A49" s="1">
        <v>49813.0</v>
      </c>
      <c r="B49" s="1">
        <v>17663.0</v>
      </c>
      <c r="C49" s="1">
        <v>1.620391588E9</v>
      </c>
      <c r="D49" s="1">
        <v>4.0</v>
      </c>
      <c r="E49" s="1" t="b">
        <v>0</v>
      </c>
      <c r="F49" s="1" t="s">
        <v>14027</v>
      </c>
    </row>
    <row r="50">
      <c r="A50" s="1">
        <v>49813.0</v>
      </c>
      <c r="B50" s="1">
        <v>16553.0</v>
      </c>
      <c r="C50" s="1">
        <v>1.617117835E9</v>
      </c>
      <c r="D50" s="1">
        <v>4.0</v>
      </c>
      <c r="E50" s="1" t="b">
        <v>0</v>
      </c>
      <c r="F50" s="1" t="s">
        <v>14028</v>
      </c>
    </row>
    <row r="51">
      <c r="A51" s="1">
        <v>49813.0</v>
      </c>
      <c r="B51" s="1">
        <v>17323.0</v>
      </c>
      <c r="C51" s="1">
        <v>1.61945058E9</v>
      </c>
      <c r="D51" s="1">
        <v>4.0</v>
      </c>
      <c r="E51" s="1" t="b">
        <v>0</v>
      </c>
      <c r="F51" s="1" t="s">
        <v>14029</v>
      </c>
    </row>
    <row r="52">
      <c r="A52" s="1">
        <v>49813.0</v>
      </c>
      <c r="B52" s="1">
        <v>5459.0</v>
      </c>
      <c r="C52" s="1">
        <v>1.611409186E9</v>
      </c>
      <c r="D52" s="1">
        <v>4.0</v>
      </c>
      <c r="E52" s="1" t="b">
        <v>0</v>
      </c>
      <c r="F52" s="1" t="s">
        <v>14030</v>
      </c>
    </row>
    <row r="53">
      <c r="A53" s="1">
        <v>49813.0</v>
      </c>
      <c r="B53" s="1">
        <v>15076.0</v>
      </c>
      <c r="C53" s="1">
        <v>1.614239761E9</v>
      </c>
      <c r="D53" s="1">
        <v>4.0</v>
      </c>
      <c r="E53" s="1" t="b">
        <v>0</v>
      </c>
      <c r="F53" s="1" t="s">
        <v>14031</v>
      </c>
    </row>
    <row r="54">
      <c r="A54" s="1">
        <v>49813.0</v>
      </c>
      <c r="B54" s="1">
        <v>18048.0</v>
      </c>
      <c r="C54" s="1">
        <v>1.621041103E9</v>
      </c>
      <c r="D54" s="1">
        <v>4.0</v>
      </c>
      <c r="E54" s="1" t="b">
        <v>0</v>
      </c>
      <c r="F54" s="1" t="s">
        <v>14032</v>
      </c>
    </row>
    <row r="55">
      <c r="A55" s="1">
        <v>49813.0</v>
      </c>
      <c r="B55" s="1">
        <v>1501.0</v>
      </c>
      <c r="C55" s="1">
        <v>1.6060245E9</v>
      </c>
      <c r="D55" s="1">
        <v>4.0</v>
      </c>
      <c r="E55" s="1" t="b">
        <v>0</v>
      </c>
      <c r="F55" s="1" t="s">
        <v>14033</v>
      </c>
    </row>
    <row r="56">
      <c r="A56" s="1">
        <v>49813.0</v>
      </c>
      <c r="B56" s="1">
        <v>2050.0</v>
      </c>
      <c r="C56" s="1">
        <v>1.607356367E9</v>
      </c>
      <c r="D56" s="1">
        <v>4.0</v>
      </c>
      <c r="E56" s="1" t="b">
        <v>0</v>
      </c>
      <c r="F56" s="1" t="s">
        <v>14034</v>
      </c>
    </row>
    <row r="57">
      <c r="A57" s="1">
        <v>49813.0</v>
      </c>
      <c r="B57" s="1">
        <v>3594.0</v>
      </c>
      <c r="C57" s="1">
        <v>1.610627937E9</v>
      </c>
      <c r="D57" s="1">
        <v>4.0</v>
      </c>
      <c r="E57" s="1" t="b">
        <v>0</v>
      </c>
      <c r="F57" s="1" t="s">
        <v>14035</v>
      </c>
    </row>
    <row r="58">
      <c r="A58" s="1">
        <v>49813.0</v>
      </c>
      <c r="B58" s="1">
        <v>18196.0</v>
      </c>
      <c r="C58" s="1">
        <v>1.621220895E9</v>
      </c>
      <c r="D58" s="1">
        <v>4.0</v>
      </c>
      <c r="E58" s="1" t="b">
        <v>0</v>
      </c>
      <c r="F58" s="1" t="s">
        <v>14036</v>
      </c>
    </row>
    <row r="59">
      <c r="A59" s="1">
        <v>49813.0</v>
      </c>
      <c r="B59" s="1">
        <v>12607.0</v>
      </c>
      <c r="C59" s="1">
        <v>1.613025798E9</v>
      </c>
      <c r="D59" s="1">
        <v>4.0</v>
      </c>
      <c r="E59" s="1" t="b">
        <v>0</v>
      </c>
      <c r="F59" s="1" t="s">
        <v>14037</v>
      </c>
    </row>
    <row r="60">
      <c r="A60" s="1">
        <v>49813.0</v>
      </c>
      <c r="B60" s="1">
        <v>3467.0</v>
      </c>
      <c r="C60" s="1">
        <v>1.610544389E9</v>
      </c>
      <c r="D60" s="1">
        <v>4.0</v>
      </c>
      <c r="E60" s="1" t="b">
        <v>0</v>
      </c>
      <c r="F60" s="1" t="s">
        <v>14038</v>
      </c>
    </row>
    <row r="61">
      <c r="A61" s="1">
        <v>49813.0</v>
      </c>
      <c r="B61" s="1">
        <v>5280.0</v>
      </c>
      <c r="C61" s="1">
        <v>1.614666846E9</v>
      </c>
      <c r="D61" s="1">
        <v>4.0</v>
      </c>
      <c r="E61" s="1" t="b">
        <v>0</v>
      </c>
      <c r="F61" s="1" t="s">
        <v>14039</v>
      </c>
    </row>
    <row r="62">
      <c r="A62" s="1">
        <v>49813.0</v>
      </c>
      <c r="B62" s="1">
        <v>1728.0</v>
      </c>
      <c r="C62" s="1">
        <v>1.606580938E9</v>
      </c>
      <c r="D62" s="1">
        <v>4.0</v>
      </c>
      <c r="E62" s="1" t="b">
        <v>0</v>
      </c>
      <c r="F62" s="1" t="s">
        <v>14040</v>
      </c>
      <c r="G62" s="1" t="b">
        <v>1</v>
      </c>
    </row>
    <row r="63">
      <c r="A63" s="1">
        <v>49813.0</v>
      </c>
      <c r="B63" s="1">
        <v>17317.0</v>
      </c>
      <c r="C63" s="1">
        <v>1.619444201E9</v>
      </c>
      <c r="D63" s="1">
        <v>4.0</v>
      </c>
      <c r="E63" s="1" t="b">
        <v>0</v>
      </c>
      <c r="F63" s="1" t="s">
        <v>14041</v>
      </c>
    </row>
    <row r="64">
      <c r="A64" s="1">
        <v>49813.0</v>
      </c>
      <c r="B64" s="1">
        <v>5398.0</v>
      </c>
      <c r="C64" s="1">
        <v>1.611400767E9</v>
      </c>
      <c r="D64" s="1">
        <v>4.0</v>
      </c>
      <c r="E64" s="1" t="b">
        <v>0</v>
      </c>
      <c r="F64" s="1" t="s">
        <v>14042</v>
      </c>
    </row>
    <row r="65">
      <c r="A65" s="1">
        <v>49813.0</v>
      </c>
      <c r="B65" s="1">
        <v>20145.0</v>
      </c>
      <c r="C65" s="1">
        <v>1.62383401E9</v>
      </c>
      <c r="D65" s="1">
        <v>4.0</v>
      </c>
      <c r="E65" s="1" t="b">
        <v>0</v>
      </c>
      <c r="F65" s="1" t="s">
        <v>14043</v>
      </c>
    </row>
    <row r="66">
      <c r="A66" s="1">
        <v>49813.0</v>
      </c>
      <c r="B66" s="1">
        <v>18821.0</v>
      </c>
      <c r="C66" s="1">
        <v>1.622017824E9</v>
      </c>
      <c r="D66" s="1">
        <v>4.0</v>
      </c>
      <c r="E66" s="1" t="b">
        <v>0</v>
      </c>
      <c r="F66" s="1" t="s">
        <v>14044</v>
      </c>
      <c r="G66" s="1" t="b">
        <v>1</v>
      </c>
    </row>
    <row r="67">
      <c r="A67" s="1">
        <v>49813.0</v>
      </c>
      <c r="B67" s="1">
        <v>5300.0</v>
      </c>
      <c r="C67" s="1">
        <v>1.611379561E9</v>
      </c>
      <c r="D67" s="1">
        <v>4.0</v>
      </c>
      <c r="E67" s="1" t="b">
        <v>0</v>
      </c>
      <c r="F67" s="1" t="s">
        <v>14045</v>
      </c>
    </row>
    <row r="68">
      <c r="A68" s="1">
        <v>49813.0</v>
      </c>
      <c r="B68" s="1">
        <v>6759.0</v>
      </c>
      <c r="C68" s="1">
        <v>1.61173772E9</v>
      </c>
      <c r="D68" s="1">
        <v>4.0</v>
      </c>
      <c r="E68" s="1" t="b">
        <v>0</v>
      </c>
      <c r="F68" s="1" t="s">
        <v>14046</v>
      </c>
    </row>
    <row r="69">
      <c r="A69" s="1">
        <v>49813.0</v>
      </c>
      <c r="B69" s="1">
        <v>14706.0</v>
      </c>
      <c r="C69" s="1">
        <v>1.613924673E9</v>
      </c>
      <c r="D69" s="1">
        <v>4.0</v>
      </c>
      <c r="E69" s="1" t="b">
        <v>0</v>
      </c>
      <c r="F69" s="1" t="s">
        <v>14047</v>
      </c>
    </row>
    <row r="70">
      <c r="A70" s="1">
        <v>49813.0</v>
      </c>
      <c r="B70" s="1">
        <v>1594.0</v>
      </c>
      <c r="C70" s="1">
        <v>1.60632493E9</v>
      </c>
      <c r="D70" s="1">
        <v>4.0</v>
      </c>
      <c r="E70" s="1" t="b">
        <v>0</v>
      </c>
      <c r="F70" s="1" t="s">
        <v>14048</v>
      </c>
    </row>
    <row r="71">
      <c r="A71" s="1">
        <v>49813.0</v>
      </c>
      <c r="B71" s="1">
        <v>12358.0</v>
      </c>
      <c r="C71" s="1">
        <v>1.612956601E9</v>
      </c>
      <c r="D71" s="1">
        <v>4.0</v>
      </c>
      <c r="E71" s="1" t="b">
        <v>0</v>
      </c>
      <c r="F71" s="1" t="s">
        <v>14049</v>
      </c>
    </row>
    <row r="72">
      <c r="A72" s="1">
        <v>49813.0</v>
      </c>
      <c r="B72" s="1">
        <v>9751.0</v>
      </c>
      <c r="C72" s="1">
        <v>1.61220914E9</v>
      </c>
      <c r="D72" s="1">
        <v>4.0</v>
      </c>
      <c r="E72" s="1" t="b">
        <v>0</v>
      </c>
      <c r="F72" s="1" t="s">
        <v>14050</v>
      </c>
    </row>
    <row r="73">
      <c r="A73" s="1">
        <v>49813.0</v>
      </c>
      <c r="B73" s="1">
        <v>2100.0</v>
      </c>
      <c r="C73" s="1">
        <v>1.607365969E9</v>
      </c>
      <c r="D73" s="1">
        <v>4.0</v>
      </c>
      <c r="E73" s="1" t="b">
        <v>0</v>
      </c>
      <c r="F73" s="1" t="s">
        <v>14051</v>
      </c>
    </row>
    <row r="74">
      <c r="A74" s="1">
        <v>49813.0</v>
      </c>
      <c r="B74" s="1">
        <v>2920.0</v>
      </c>
      <c r="C74" s="1">
        <v>1.609576559E9</v>
      </c>
      <c r="D74" s="1">
        <v>4.0</v>
      </c>
      <c r="E74" s="1" t="b">
        <v>0</v>
      </c>
      <c r="F74" s="1" t="s">
        <v>14052</v>
      </c>
    </row>
    <row r="75">
      <c r="A75" s="1">
        <v>49813.0</v>
      </c>
      <c r="B75" s="1">
        <v>16089.0</v>
      </c>
      <c r="C75" s="1">
        <v>1.615467461E9</v>
      </c>
      <c r="D75" s="1">
        <v>4.0</v>
      </c>
      <c r="E75" s="1" t="b">
        <v>0</v>
      </c>
      <c r="F75" s="1" t="s">
        <v>14053</v>
      </c>
    </row>
    <row r="76">
      <c r="A76" s="1">
        <v>49813.0</v>
      </c>
      <c r="B76" s="1">
        <v>11651.0</v>
      </c>
      <c r="C76" s="1">
        <v>1.61332407E9</v>
      </c>
      <c r="D76" s="1">
        <v>4.0</v>
      </c>
      <c r="E76" s="1" t="b">
        <v>0</v>
      </c>
      <c r="F76" s="1" t="s">
        <v>14054</v>
      </c>
    </row>
    <row r="77">
      <c r="A77" s="1">
        <v>49813.0</v>
      </c>
      <c r="B77" s="1">
        <v>14141.0</v>
      </c>
      <c r="C77" s="1">
        <v>1.613745792E9</v>
      </c>
      <c r="D77" s="1">
        <v>4.0</v>
      </c>
      <c r="E77" s="1" t="b">
        <v>0</v>
      </c>
      <c r="F77" s="1" t="s">
        <v>14055</v>
      </c>
    </row>
    <row r="78">
      <c r="A78" s="1">
        <v>49813.0</v>
      </c>
      <c r="B78" s="1">
        <v>18333.0</v>
      </c>
      <c r="C78" s="1">
        <v>1.621494396E9</v>
      </c>
      <c r="D78" s="1">
        <v>4.0</v>
      </c>
      <c r="E78" s="1" t="b">
        <v>0</v>
      </c>
      <c r="F78" s="1" t="s">
        <v>14056</v>
      </c>
    </row>
    <row r="79">
      <c r="A79" s="1">
        <v>49813.0</v>
      </c>
      <c r="B79" s="1">
        <v>3681.0</v>
      </c>
      <c r="C79" s="1">
        <v>1.610964104E9</v>
      </c>
      <c r="D79" s="1">
        <v>4.0</v>
      </c>
      <c r="E79" s="1" t="b">
        <v>0</v>
      </c>
      <c r="F79" s="1" t="s">
        <v>14057</v>
      </c>
    </row>
    <row r="80">
      <c r="A80" s="1">
        <v>49813.0</v>
      </c>
      <c r="B80" s="1">
        <v>14924.0</v>
      </c>
      <c r="C80" s="1">
        <v>1.614095608E9</v>
      </c>
      <c r="D80" s="1">
        <v>4.0</v>
      </c>
      <c r="E80" s="1" t="b">
        <v>0</v>
      </c>
      <c r="F80" s="1" t="s">
        <v>14058</v>
      </c>
    </row>
    <row r="81">
      <c r="A81" s="1">
        <v>49813.0</v>
      </c>
      <c r="B81" s="1">
        <v>18393.0</v>
      </c>
      <c r="C81" s="1">
        <v>1.621519941E9</v>
      </c>
      <c r="D81" s="1">
        <v>4.0</v>
      </c>
      <c r="E81" s="1" t="b">
        <v>0</v>
      </c>
      <c r="F81" s="1" t="s">
        <v>14059</v>
      </c>
    </row>
    <row r="82">
      <c r="A82" s="1">
        <v>49813.0</v>
      </c>
      <c r="B82" s="1">
        <v>17073.0</v>
      </c>
      <c r="C82" s="1">
        <v>1.618996784E9</v>
      </c>
      <c r="D82" s="1">
        <v>4.0</v>
      </c>
      <c r="E82" s="1" t="b">
        <v>0</v>
      </c>
      <c r="F82" s="1" t="s">
        <v>14060</v>
      </c>
    </row>
    <row r="83">
      <c r="A83" s="1">
        <v>49813.0</v>
      </c>
      <c r="B83" s="1">
        <v>5225.0</v>
      </c>
      <c r="C83" s="1">
        <v>1.611342057E9</v>
      </c>
      <c r="D83" s="1">
        <v>4.0</v>
      </c>
      <c r="E83" s="1" t="b">
        <v>0</v>
      </c>
      <c r="F83" s="1" t="s">
        <v>14061</v>
      </c>
    </row>
    <row r="84">
      <c r="A84" s="1">
        <v>49813.0</v>
      </c>
      <c r="B84" s="1">
        <v>4985.0</v>
      </c>
      <c r="C84" s="1">
        <v>1.611291766E9</v>
      </c>
      <c r="D84" s="1">
        <v>4.0</v>
      </c>
      <c r="E84" s="1" t="b">
        <v>0</v>
      </c>
      <c r="F84" s="1" t="s">
        <v>14062</v>
      </c>
    </row>
    <row r="85">
      <c r="A85" s="1">
        <v>49813.0</v>
      </c>
      <c r="B85" s="1">
        <v>1585.0</v>
      </c>
      <c r="C85" s="1">
        <v>1.606304845E9</v>
      </c>
      <c r="D85" s="1">
        <v>4.0</v>
      </c>
      <c r="E85" s="1" t="b">
        <v>0</v>
      </c>
      <c r="F85" s="1" t="s">
        <v>14063</v>
      </c>
    </row>
    <row r="86">
      <c r="A86" s="1">
        <v>49813.0</v>
      </c>
      <c r="B86" s="1">
        <v>15819.0</v>
      </c>
      <c r="C86" s="1">
        <v>1.615012106E9</v>
      </c>
      <c r="D86" s="1">
        <v>4.0</v>
      </c>
      <c r="E86" s="1" t="b">
        <v>0</v>
      </c>
      <c r="F86" s="1" t="s">
        <v>14064</v>
      </c>
    </row>
    <row r="87">
      <c r="A87" s="1">
        <v>49813.0</v>
      </c>
      <c r="B87" s="1">
        <v>461.0</v>
      </c>
      <c r="C87" s="1">
        <v>1.604480728E9</v>
      </c>
      <c r="D87" s="1">
        <v>9.0</v>
      </c>
      <c r="E87" s="1" t="b">
        <v>0</v>
      </c>
      <c r="F87" s="1" t="s">
        <v>14065</v>
      </c>
    </row>
    <row r="88">
      <c r="A88" s="1">
        <v>49813.0</v>
      </c>
      <c r="B88" s="1">
        <v>6284.0</v>
      </c>
      <c r="C88" s="1">
        <v>1.611597915E9</v>
      </c>
      <c r="D88" s="1">
        <v>4.0</v>
      </c>
      <c r="E88" s="1" t="b">
        <v>0</v>
      </c>
      <c r="F88" s="1" t="s">
        <v>14066</v>
      </c>
    </row>
    <row r="89">
      <c r="A89" s="1">
        <v>49813.0</v>
      </c>
      <c r="B89" s="1">
        <v>15539.0</v>
      </c>
      <c r="C89" s="1">
        <v>1.614667501E9</v>
      </c>
      <c r="D89" s="1">
        <v>4.0</v>
      </c>
      <c r="E89" s="1" t="b">
        <v>0</v>
      </c>
      <c r="F89" s="1" t="s">
        <v>14067</v>
      </c>
    </row>
    <row r="90">
      <c r="A90" s="1">
        <v>49813.0</v>
      </c>
      <c r="B90" s="1">
        <v>11900.0</v>
      </c>
      <c r="C90" s="1">
        <v>1.612864546E9</v>
      </c>
      <c r="D90" s="1">
        <v>9.0</v>
      </c>
      <c r="E90" s="1" t="b">
        <v>0</v>
      </c>
      <c r="F90" s="1" t="s">
        <v>14068</v>
      </c>
    </row>
    <row r="91">
      <c r="A91" s="1">
        <v>49813.0</v>
      </c>
      <c r="B91" s="1">
        <v>14514.0</v>
      </c>
      <c r="C91" s="1">
        <v>1.61450887E9</v>
      </c>
      <c r="D91" s="1">
        <v>4.0</v>
      </c>
      <c r="E91" s="1" t="b">
        <v>0</v>
      </c>
      <c r="F91" s="1" t="s">
        <v>14069</v>
      </c>
    </row>
    <row r="92">
      <c r="A92" s="1">
        <v>49813.0</v>
      </c>
      <c r="B92" s="1">
        <v>1554.0</v>
      </c>
      <c r="C92" s="1">
        <v>1.606201997E9</v>
      </c>
      <c r="D92" s="1">
        <v>4.0</v>
      </c>
      <c r="E92" s="1" t="b">
        <v>0</v>
      </c>
      <c r="F92" s="1" t="s">
        <v>14070</v>
      </c>
    </row>
    <row r="93">
      <c r="A93" s="1">
        <v>49813.0</v>
      </c>
      <c r="B93" s="1">
        <v>1530.0</v>
      </c>
      <c r="C93" s="1">
        <v>1.606106069E9</v>
      </c>
      <c r="D93" s="1">
        <v>4.0</v>
      </c>
      <c r="E93" s="1" t="b">
        <v>0</v>
      </c>
      <c r="F93" s="1" t="s">
        <v>14071</v>
      </c>
    </row>
    <row r="94">
      <c r="A94" s="1">
        <v>49813.0</v>
      </c>
      <c r="B94" s="1">
        <v>17361.0</v>
      </c>
      <c r="C94" s="1">
        <v>1.619700995E9</v>
      </c>
      <c r="D94" s="1">
        <v>4.0</v>
      </c>
      <c r="E94" s="1" t="b">
        <v>0</v>
      </c>
      <c r="F94" s="1" t="s">
        <v>14072</v>
      </c>
    </row>
    <row r="95">
      <c r="A95" s="1">
        <v>49813.0</v>
      </c>
      <c r="B95" s="1">
        <v>16527.0</v>
      </c>
      <c r="C95" s="1">
        <v>1.61704147E9</v>
      </c>
      <c r="D95" s="1">
        <v>4.0</v>
      </c>
      <c r="E95" s="1" t="b">
        <v>0</v>
      </c>
      <c r="F95" s="1" t="s">
        <v>14073</v>
      </c>
    </row>
    <row r="96">
      <c r="A96" s="1">
        <v>49813.0</v>
      </c>
      <c r="B96" s="1">
        <v>5671.0</v>
      </c>
      <c r="C96" s="1">
        <v>1.611945062E9</v>
      </c>
      <c r="D96" s="1">
        <v>4.0</v>
      </c>
      <c r="E96" s="1" t="b">
        <v>0</v>
      </c>
      <c r="F96" s="1" t="s">
        <v>14074</v>
      </c>
    </row>
    <row r="97">
      <c r="A97" s="1">
        <v>49813.0</v>
      </c>
      <c r="B97" s="1">
        <v>17189.0</v>
      </c>
      <c r="C97" s="1">
        <v>1.61917922E9</v>
      </c>
      <c r="D97" s="1">
        <v>4.0</v>
      </c>
      <c r="E97" s="1" t="b">
        <v>0</v>
      </c>
      <c r="F97" s="1" t="s">
        <v>14075</v>
      </c>
    </row>
    <row r="98">
      <c r="A98" s="1">
        <v>49813.0</v>
      </c>
      <c r="B98" s="1">
        <v>5056.0</v>
      </c>
      <c r="C98" s="1">
        <v>1.611654437E9</v>
      </c>
      <c r="D98" s="1">
        <v>4.0</v>
      </c>
      <c r="E98" s="1" t="b">
        <v>0</v>
      </c>
      <c r="F98" s="1" t="s">
        <v>14076</v>
      </c>
    </row>
    <row r="99">
      <c r="A99" s="1">
        <v>49813.0</v>
      </c>
      <c r="B99" s="1">
        <v>2944.0</v>
      </c>
      <c r="C99" s="1">
        <v>1.609623856E9</v>
      </c>
      <c r="D99" s="1">
        <v>4.0</v>
      </c>
      <c r="E99" s="1" t="b">
        <v>0</v>
      </c>
      <c r="F99" s="1" t="s">
        <v>14077</v>
      </c>
    </row>
    <row r="100">
      <c r="A100" s="1">
        <v>49813.0</v>
      </c>
      <c r="B100" s="1">
        <v>9749.0</v>
      </c>
      <c r="C100" s="1">
        <v>1.612722828E9</v>
      </c>
      <c r="D100" s="1">
        <v>4.0</v>
      </c>
      <c r="E100" s="1" t="b">
        <v>0</v>
      </c>
      <c r="F100" s="1" t="s">
        <v>14078</v>
      </c>
    </row>
    <row r="101">
      <c r="A101" s="1">
        <v>49813.0</v>
      </c>
      <c r="B101" s="1">
        <v>3672.0</v>
      </c>
      <c r="C101" s="1">
        <v>1.610706956E9</v>
      </c>
      <c r="D101" s="1">
        <v>4.0</v>
      </c>
      <c r="E101" s="1" t="b">
        <v>0</v>
      </c>
      <c r="F101" s="1" t="s">
        <v>14079</v>
      </c>
    </row>
    <row r="102">
      <c r="A102" s="1">
        <v>49813.0</v>
      </c>
      <c r="B102" s="1">
        <v>11225.0</v>
      </c>
      <c r="C102" s="1">
        <v>1.612703976E9</v>
      </c>
      <c r="D102" s="1">
        <v>4.0</v>
      </c>
      <c r="E102" s="1" t="b">
        <v>0</v>
      </c>
      <c r="F102" s="1" t="s">
        <v>14080</v>
      </c>
    </row>
    <row r="103">
      <c r="A103" s="1">
        <v>49813.0</v>
      </c>
      <c r="B103" s="1">
        <v>1255.0</v>
      </c>
      <c r="C103" s="1">
        <v>1.6043889E9</v>
      </c>
      <c r="D103" s="1">
        <v>4.0</v>
      </c>
      <c r="E103" s="1" t="b">
        <v>0</v>
      </c>
      <c r="F103" s="1" t="s">
        <v>14081</v>
      </c>
    </row>
    <row r="104">
      <c r="A104" s="1">
        <v>49813.0</v>
      </c>
      <c r="B104" s="1">
        <v>1310.0</v>
      </c>
      <c r="C104" s="1">
        <v>1.604833472E9</v>
      </c>
      <c r="D104" s="1">
        <v>4.0</v>
      </c>
      <c r="E104" s="1" t="b">
        <v>0</v>
      </c>
      <c r="F104" s="1" t="s">
        <v>14082</v>
      </c>
    </row>
    <row r="105">
      <c r="A105" s="1">
        <v>49813.0</v>
      </c>
      <c r="B105" s="1">
        <v>11906.0</v>
      </c>
      <c r="C105" s="1">
        <v>1.614447652E9</v>
      </c>
      <c r="D105" s="1">
        <v>4.0</v>
      </c>
      <c r="E105" s="1" t="b">
        <v>0</v>
      </c>
      <c r="F105" s="1" t="s">
        <v>14083</v>
      </c>
    </row>
    <row r="106">
      <c r="A106" s="1">
        <v>49813.0</v>
      </c>
      <c r="B106" s="1">
        <v>1271.0</v>
      </c>
      <c r="C106" s="1">
        <v>1.604479739E9</v>
      </c>
      <c r="D106" s="1">
        <v>4.0</v>
      </c>
      <c r="E106" s="1" t="b">
        <v>0</v>
      </c>
      <c r="F106" s="1" t="s">
        <v>14084</v>
      </c>
    </row>
    <row r="107">
      <c r="A107" s="1">
        <v>49813.0</v>
      </c>
      <c r="B107" s="1">
        <v>4780.0</v>
      </c>
      <c r="C107" s="1">
        <v>1.611227178E9</v>
      </c>
      <c r="D107" s="1">
        <v>4.0</v>
      </c>
      <c r="E107" s="1" t="b">
        <v>0</v>
      </c>
      <c r="F107" s="1" t="s">
        <v>14085</v>
      </c>
    </row>
    <row r="108">
      <c r="A108" s="1">
        <v>49813.0</v>
      </c>
      <c r="B108" s="1">
        <v>19170.0</v>
      </c>
      <c r="C108" s="1">
        <v>1.622456839E9</v>
      </c>
      <c r="D108" s="1">
        <v>4.0</v>
      </c>
      <c r="E108" s="1" t="b">
        <v>0</v>
      </c>
      <c r="F108" s="1" t="s">
        <v>14086</v>
      </c>
    </row>
    <row r="109">
      <c r="A109" s="1">
        <v>49813.0</v>
      </c>
      <c r="B109" s="1">
        <v>1600.0</v>
      </c>
      <c r="C109" s="1">
        <v>1.606375809E9</v>
      </c>
      <c r="D109" s="1">
        <v>9.0</v>
      </c>
      <c r="E109" s="1" t="b">
        <v>0</v>
      </c>
      <c r="F109" s="1" t="s">
        <v>14087</v>
      </c>
    </row>
    <row r="110">
      <c r="A110" s="1">
        <v>49813.0</v>
      </c>
      <c r="B110" s="1">
        <v>1532.0</v>
      </c>
      <c r="C110" s="1">
        <v>1.60611099E9</v>
      </c>
      <c r="D110" s="1">
        <v>4.0</v>
      </c>
      <c r="E110" s="1" t="b">
        <v>0</v>
      </c>
      <c r="F110" s="1" t="s">
        <v>14088</v>
      </c>
    </row>
    <row r="111">
      <c r="A111" s="1">
        <v>49813.0</v>
      </c>
      <c r="B111" s="1">
        <v>5951.0</v>
      </c>
      <c r="C111" s="1">
        <v>1.611514234E9</v>
      </c>
      <c r="D111" s="1">
        <v>4.0</v>
      </c>
      <c r="E111" s="1" t="b">
        <v>0</v>
      </c>
      <c r="F111" s="1" t="s">
        <v>14089</v>
      </c>
    </row>
    <row r="112">
      <c r="A112" s="1">
        <v>49813.0</v>
      </c>
      <c r="B112" s="1">
        <v>6703.0</v>
      </c>
      <c r="C112" s="1">
        <v>1.611726848E9</v>
      </c>
      <c r="D112" s="1">
        <v>4.0</v>
      </c>
      <c r="E112" s="1" t="b">
        <v>0</v>
      </c>
      <c r="F112" s="1" t="s">
        <v>14090</v>
      </c>
    </row>
    <row r="113">
      <c r="A113" s="1">
        <v>49813.0</v>
      </c>
      <c r="B113" s="1">
        <v>4759.0</v>
      </c>
      <c r="C113" s="1">
        <v>1.611223879E9</v>
      </c>
      <c r="D113" s="1">
        <v>4.0</v>
      </c>
      <c r="E113" s="1" t="b">
        <v>0</v>
      </c>
      <c r="F113" s="1" t="s">
        <v>14091</v>
      </c>
    </row>
    <row r="114">
      <c r="A114" s="1">
        <v>49813.0</v>
      </c>
      <c r="B114" s="1">
        <v>6285.0</v>
      </c>
      <c r="C114" s="1">
        <v>1.611619584E9</v>
      </c>
      <c r="D114" s="1">
        <v>4.0</v>
      </c>
      <c r="E114" s="1" t="b">
        <v>0</v>
      </c>
      <c r="F114" s="1" t="s">
        <v>14092</v>
      </c>
    </row>
    <row r="115">
      <c r="A115" s="1">
        <v>49813.0</v>
      </c>
      <c r="B115" s="1">
        <v>2580.0</v>
      </c>
      <c r="C115" s="1">
        <v>1.608619588E9</v>
      </c>
      <c r="D115" s="1">
        <v>4.0</v>
      </c>
      <c r="E115" s="1" t="b">
        <v>0</v>
      </c>
      <c r="F115" s="1" t="s">
        <v>14093</v>
      </c>
    </row>
    <row r="116">
      <c r="A116" s="1">
        <v>49813.0</v>
      </c>
      <c r="B116" s="1">
        <v>14090.0</v>
      </c>
      <c r="C116" s="1">
        <v>1.613549804E9</v>
      </c>
      <c r="D116" s="1">
        <v>4.0</v>
      </c>
      <c r="E116" s="1" t="b">
        <v>0</v>
      </c>
      <c r="F116" s="1" t="s">
        <v>14094</v>
      </c>
    </row>
    <row r="117">
      <c r="A117" s="1">
        <v>49813.0</v>
      </c>
      <c r="B117" s="1">
        <v>17548.0</v>
      </c>
      <c r="C117" s="1">
        <v>1.620206283E9</v>
      </c>
      <c r="D117" s="1">
        <v>4.0</v>
      </c>
      <c r="E117" s="1" t="b">
        <v>0</v>
      </c>
      <c r="F117" s="1" t="s">
        <v>14095</v>
      </c>
      <c r="G117" s="1" t="b">
        <v>1</v>
      </c>
    </row>
    <row r="118">
      <c r="A118" s="1">
        <v>49813.0</v>
      </c>
      <c r="B118" s="1">
        <v>14790.0</v>
      </c>
      <c r="C118" s="1">
        <v>1.615052272E9</v>
      </c>
      <c r="D118" s="1">
        <v>4.0</v>
      </c>
      <c r="E118" s="1" t="b">
        <v>0</v>
      </c>
      <c r="F118" s="1" t="s">
        <v>14096</v>
      </c>
    </row>
    <row r="119">
      <c r="A119" s="1">
        <v>49813.0</v>
      </c>
      <c r="B119" s="1">
        <v>3198.0</v>
      </c>
      <c r="C119" s="1">
        <v>1.610028596E9</v>
      </c>
      <c r="D119" s="1">
        <v>4.0</v>
      </c>
      <c r="E119" s="1" t="b">
        <v>0</v>
      </c>
      <c r="F119" s="1" t="s">
        <v>14097</v>
      </c>
    </row>
    <row r="120">
      <c r="A120" s="1">
        <v>49813.0</v>
      </c>
      <c r="B120" s="1">
        <v>11821.0</v>
      </c>
      <c r="C120" s="1">
        <v>1.615179568E9</v>
      </c>
      <c r="D120" s="1">
        <v>4.0</v>
      </c>
      <c r="E120" s="1" t="b">
        <v>0</v>
      </c>
      <c r="F120" s="1" t="s">
        <v>14098</v>
      </c>
    </row>
    <row r="121">
      <c r="A121" s="1">
        <v>49813.0</v>
      </c>
      <c r="B121" s="1">
        <v>17051.0</v>
      </c>
      <c r="C121" s="1">
        <v>1.618950798E9</v>
      </c>
      <c r="D121" s="1">
        <v>4.0</v>
      </c>
      <c r="E121" s="1" t="b">
        <v>0</v>
      </c>
      <c r="F121" s="1" t="s">
        <v>14099</v>
      </c>
    </row>
    <row r="122">
      <c r="A122" s="1">
        <v>49813.0</v>
      </c>
      <c r="B122" s="1">
        <v>14739.0</v>
      </c>
      <c r="C122" s="1">
        <v>1.613963809E9</v>
      </c>
      <c r="D122" s="1">
        <v>4.0</v>
      </c>
      <c r="E122" s="1" t="b">
        <v>0</v>
      </c>
      <c r="F122" s="1" t="s">
        <v>14100</v>
      </c>
    </row>
    <row r="123">
      <c r="A123" s="1">
        <v>49813.0</v>
      </c>
      <c r="B123" s="1">
        <v>2678.0</v>
      </c>
      <c r="C123" s="1">
        <v>1.608924825E9</v>
      </c>
      <c r="D123" s="1">
        <v>4.0</v>
      </c>
      <c r="E123" s="1" t="b">
        <v>0</v>
      </c>
      <c r="F123" s="1" t="s">
        <v>14101</v>
      </c>
    </row>
    <row r="124">
      <c r="A124" s="1">
        <v>49813.0</v>
      </c>
      <c r="B124" s="1">
        <v>14042.0</v>
      </c>
      <c r="C124" s="1">
        <v>1.613470844E9</v>
      </c>
      <c r="D124" s="1">
        <v>4.0</v>
      </c>
      <c r="E124" s="1" t="b">
        <v>0</v>
      </c>
      <c r="F124" s="1" t="s">
        <v>14102</v>
      </c>
    </row>
    <row r="125">
      <c r="A125" s="1">
        <v>49813.0</v>
      </c>
      <c r="B125" s="1">
        <v>1244.0</v>
      </c>
      <c r="C125" s="1">
        <v>1.604332268E9</v>
      </c>
      <c r="D125" s="1">
        <v>4.0</v>
      </c>
      <c r="E125" s="1" t="b">
        <v>0</v>
      </c>
      <c r="F125" s="1" t="s">
        <v>14103</v>
      </c>
    </row>
    <row r="126">
      <c r="A126" s="1">
        <v>49813.0</v>
      </c>
      <c r="B126" s="1">
        <v>1487.0</v>
      </c>
      <c r="C126" s="1">
        <v>1.605978282E9</v>
      </c>
      <c r="D126" s="1">
        <v>4.0</v>
      </c>
      <c r="E126" s="1" t="b">
        <v>0</v>
      </c>
      <c r="F126" s="1" t="s">
        <v>14104</v>
      </c>
    </row>
    <row r="127">
      <c r="A127" s="1">
        <v>49813.0</v>
      </c>
      <c r="B127" s="1">
        <v>16755.0</v>
      </c>
      <c r="C127" s="1">
        <v>1.6179602E9</v>
      </c>
      <c r="D127" s="1">
        <v>4.0</v>
      </c>
      <c r="E127" s="1" t="b">
        <v>0</v>
      </c>
      <c r="F127" s="1" t="s">
        <v>14105</v>
      </c>
    </row>
    <row r="128">
      <c r="A128" s="1">
        <v>49813.0</v>
      </c>
      <c r="B128" s="1">
        <v>5055.0</v>
      </c>
      <c r="C128" s="1">
        <v>1.611530924E9</v>
      </c>
      <c r="D128" s="1">
        <v>4.0</v>
      </c>
      <c r="E128" s="1" t="b">
        <v>0</v>
      </c>
      <c r="F128" s="1" t="s">
        <v>14106</v>
      </c>
      <c r="G128" s="1" t="b">
        <v>1</v>
      </c>
    </row>
    <row r="129">
      <c r="A129" s="1">
        <v>49813.0</v>
      </c>
      <c r="B129" s="1">
        <v>16616.0</v>
      </c>
      <c r="C129" s="1">
        <v>1.617522781E9</v>
      </c>
      <c r="D129" s="1">
        <v>4.0</v>
      </c>
      <c r="E129" s="1" t="b">
        <v>0</v>
      </c>
      <c r="F129" s="1" t="s">
        <v>14107</v>
      </c>
    </row>
    <row r="130">
      <c r="A130" s="1">
        <v>49813.0</v>
      </c>
      <c r="B130" s="1">
        <v>7351.0</v>
      </c>
      <c r="C130" s="1">
        <v>1.612172301E9</v>
      </c>
      <c r="D130" s="1">
        <v>4.0</v>
      </c>
      <c r="E130" s="1" t="b">
        <v>0</v>
      </c>
      <c r="F130" s="1" t="s">
        <v>14108</v>
      </c>
    </row>
    <row r="131">
      <c r="A131" s="1">
        <v>49813.0</v>
      </c>
      <c r="B131" s="1">
        <v>4955.0</v>
      </c>
      <c r="C131" s="1">
        <v>1.611286833E9</v>
      </c>
      <c r="D131" s="1">
        <v>4.0</v>
      </c>
      <c r="E131" s="1" t="b">
        <v>0</v>
      </c>
      <c r="F131" s="1" t="s">
        <v>14109</v>
      </c>
    </row>
    <row r="132">
      <c r="A132" s="1">
        <v>49813.0</v>
      </c>
      <c r="B132" s="1">
        <v>5209.0</v>
      </c>
      <c r="C132" s="1">
        <v>1.611336815E9</v>
      </c>
      <c r="D132" s="1">
        <v>4.0</v>
      </c>
      <c r="E132" s="1" t="b">
        <v>0</v>
      </c>
      <c r="F132" s="1" t="s">
        <v>14110</v>
      </c>
    </row>
    <row r="133">
      <c r="A133" s="1">
        <v>49813.0</v>
      </c>
      <c r="B133" s="1">
        <v>5240.0</v>
      </c>
      <c r="C133" s="1">
        <v>1.611344001E9</v>
      </c>
      <c r="D133" s="1">
        <v>4.0</v>
      </c>
      <c r="E133" s="1" t="b">
        <v>0</v>
      </c>
      <c r="F133" s="1" t="s">
        <v>14111</v>
      </c>
    </row>
    <row r="134">
      <c r="A134" s="1">
        <v>49813.0</v>
      </c>
      <c r="B134" s="1">
        <v>7492.0</v>
      </c>
      <c r="C134" s="1">
        <v>1.612454826E9</v>
      </c>
      <c r="D134" s="1">
        <v>4.0</v>
      </c>
      <c r="E134" s="1" t="b">
        <v>0</v>
      </c>
      <c r="F134" s="1" t="s">
        <v>14112</v>
      </c>
    </row>
    <row r="135">
      <c r="A135" s="1">
        <v>49813.0</v>
      </c>
      <c r="B135" s="1">
        <v>12546.0</v>
      </c>
      <c r="C135" s="1">
        <v>1.613016284E9</v>
      </c>
      <c r="D135" s="1">
        <v>4.0</v>
      </c>
      <c r="E135" s="1" t="b">
        <v>0</v>
      </c>
      <c r="F135" s="1" t="s">
        <v>14113</v>
      </c>
    </row>
    <row r="136">
      <c r="A136" s="1">
        <v>49813.0</v>
      </c>
      <c r="B136" s="1">
        <v>2799.0</v>
      </c>
      <c r="C136" s="1">
        <v>1.609312908E9</v>
      </c>
      <c r="D136" s="1">
        <v>4.0</v>
      </c>
      <c r="E136" s="1" t="b">
        <v>0</v>
      </c>
      <c r="F136" s="1" t="s">
        <v>14114</v>
      </c>
    </row>
    <row r="137">
      <c r="A137" s="1">
        <v>49813.0</v>
      </c>
      <c r="B137" s="1">
        <v>2088.0</v>
      </c>
      <c r="C137" s="1">
        <v>1.607350828E9</v>
      </c>
      <c r="D137" s="1">
        <v>4.0</v>
      </c>
      <c r="E137" s="1" t="b">
        <v>0</v>
      </c>
      <c r="F137" s="1" t="s">
        <v>14115</v>
      </c>
    </row>
    <row r="138">
      <c r="A138" s="1">
        <v>49813.0</v>
      </c>
      <c r="B138" s="1">
        <v>2670.0</v>
      </c>
      <c r="C138" s="1">
        <v>1.608825738E9</v>
      </c>
      <c r="D138" s="1">
        <v>4.0</v>
      </c>
      <c r="E138" s="1" t="b">
        <v>0</v>
      </c>
      <c r="F138" s="1" t="s">
        <v>14116</v>
      </c>
    </row>
    <row r="139">
      <c r="A139" s="1">
        <v>49813.0</v>
      </c>
      <c r="B139" s="1">
        <v>16095.0</v>
      </c>
      <c r="C139" s="1">
        <v>1.619781911E9</v>
      </c>
      <c r="D139" s="1">
        <v>4.0</v>
      </c>
      <c r="E139" s="1" t="b">
        <v>0</v>
      </c>
      <c r="F139" s="1" t="s">
        <v>14117</v>
      </c>
    </row>
    <row r="140">
      <c r="A140" s="1">
        <v>49813.0</v>
      </c>
      <c r="B140" s="1">
        <v>1309.0</v>
      </c>
      <c r="C140" s="1">
        <v>1.604831463E9</v>
      </c>
      <c r="D140" s="1">
        <v>4.0</v>
      </c>
      <c r="E140" s="1" t="b">
        <v>0</v>
      </c>
      <c r="F140" s="1" t="s">
        <v>14118</v>
      </c>
    </row>
    <row r="141">
      <c r="A141" s="1">
        <v>49813.0</v>
      </c>
      <c r="B141" s="1">
        <v>20435.0</v>
      </c>
      <c r="C141" s="1">
        <v>1.624361938E9</v>
      </c>
      <c r="D141" s="1">
        <v>9.0</v>
      </c>
      <c r="E141" s="1" t="b">
        <v>0</v>
      </c>
      <c r="F141" s="1" t="s">
        <v>14119</v>
      </c>
    </row>
    <row r="142">
      <c r="A142" s="1">
        <v>49813.0</v>
      </c>
      <c r="B142" s="1">
        <v>5505.0</v>
      </c>
      <c r="C142" s="1">
        <v>1.617279414E9</v>
      </c>
      <c r="D142" s="1">
        <v>4.0</v>
      </c>
      <c r="E142" s="1" t="b">
        <v>0</v>
      </c>
      <c r="F142" s="1" t="s">
        <v>14120</v>
      </c>
    </row>
    <row r="143">
      <c r="A143" s="1">
        <v>49813.0</v>
      </c>
      <c r="B143" s="1">
        <v>1456.0</v>
      </c>
      <c r="C143" s="1">
        <v>1.605893238E9</v>
      </c>
      <c r="D143" s="1">
        <v>4.0</v>
      </c>
      <c r="E143" s="1" t="b">
        <v>0</v>
      </c>
      <c r="F143" s="1" t="s">
        <v>14121</v>
      </c>
    </row>
    <row r="144">
      <c r="A144" s="1">
        <v>49813.0</v>
      </c>
      <c r="B144" s="1">
        <v>12661.0</v>
      </c>
      <c r="C144" s="1">
        <v>1.613036613E9</v>
      </c>
      <c r="D144" s="1">
        <v>4.0</v>
      </c>
      <c r="E144" s="1" t="b">
        <v>0</v>
      </c>
      <c r="F144" s="1" t="s">
        <v>14122</v>
      </c>
    </row>
    <row r="145">
      <c r="A145" s="1">
        <v>49813.0</v>
      </c>
      <c r="B145" s="1">
        <v>3344.0</v>
      </c>
      <c r="C145" s="1">
        <v>1.610379711E9</v>
      </c>
      <c r="D145" s="1">
        <v>9.0</v>
      </c>
      <c r="E145" s="1" t="b">
        <v>0</v>
      </c>
      <c r="F145" s="1" t="s">
        <v>14123</v>
      </c>
    </row>
    <row r="146">
      <c r="A146" s="1">
        <v>49813.0</v>
      </c>
      <c r="B146" s="1">
        <v>3231.0</v>
      </c>
      <c r="C146" s="1">
        <v>1.610099013E9</v>
      </c>
      <c r="D146" s="1">
        <v>4.0</v>
      </c>
      <c r="E146" s="1" t="b">
        <v>0</v>
      </c>
      <c r="F146" s="1" t="s">
        <v>14124</v>
      </c>
    </row>
    <row r="147">
      <c r="A147" s="1">
        <v>49813.0</v>
      </c>
      <c r="B147" s="1">
        <v>16940.0</v>
      </c>
      <c r="C147" s="1">
        <v>1.618661302E9</v>
      </c>
      <c r="D147" s="1">
        <v>4.0</v>
      </c>
      <c r="E147" s="1" t="b">
        <v>0</v>
      </c>
      <c r="F147" s="1" t="s">
        <v>14125</v>
      </c>
    </row>
    <row r="148">
      <c r="A148" s="1">
        <v>49813.0</v>
      </c>
      <c r="B148" s="1">
        <v>15742.0</v>
      </c>
      <c r="C148" s="1">
        <v>1.614987068E9</v>
      </c>
      <c r="D148" s="1">
        <v>4.0</v>
      </c>
      <c r="E148" s="1" t="b">
        <v>0</v>
      </c>
      <c r="F148" s="1" t="s">
        <v>14126</v>
      </c>
    </row>
    <row r="149">
      <c r="A149" s="1">
        <v>49813.0</v>
      </c>
      <c r="B149" s="1">
        <v>19551.0</v>
      </c>
      <c r="C149" s="1">
        <v>1.622986856E9</v>
      </c>
      <c r="D149" s="1">
        <v>4.0</v>
      </c>
      <c r="E149" s="1" t="b">
        <v>0</v>
      </c>
      <c r="F149" s="1" t="s">
        <v>14127</v>
      </c>
    </row>
    <row r="150">
      <c r="A150" s="1">
        <v>49813.0</v>
      </c>
      <c r="B150" s="1">
        <v>9564.0</v>
      </c>
      <c r="C150" s="1">
        <v>1.61217506E9</v>
      </c>
      <c r="D150" s="1">
        <v>4.0</v>
      </c>
      <c r="E150" s="1" t="b">
        <v>0</v>
      </c>
      <c r="F150" s="1" t="s">
        <v>14128</v>
      </c>
    </row>
    <row r="151">
      <c r="A151" s="1">
        <v>49813.0</v>
      </c>
      <c r="B151" s="1">
        <v>13825.0</v>
      </c>
      <c r="C151" s="1">
        <v>1.613385365E9</v>
      </c>
      <c r="D151" s="1">
        <v>4.0</v>
      </c>
      <c r="E151" s="1" t="b">
        <v>0</v>
      </c>
      <c r="F151" s="1" t="s">
        <v>14129</v>
      </c>
    </row>
    <row r="152">
      <c r="A152" s="1">
        <v>49813.0</v>
      </c>
      <c r="B152" s="1">
        <v>3725.0</v>
      </c>
      <c r="C152" s="1">
        <v>1.610728976E9</v>
      </c>
      <c r="D152" s="1">
        <v>4.0</v>
      </c>
      <c r="E152" s="1" t="b">
        <v>0</v>
      </c>
      <c r="F152" s="1" t="s">
        <v>14130</v>
      </c>
    </row>
    <row r="153">
      <c r="A153" s="1">
        <v>49813.0</v>
      </c>
      <c r="B153" s="1">
        <v>14944.0</v>
      </c>
      <c r="C153" s="1">
        <v>1.614107026E9</v>
      </c>
      <c r="D153" s="1">
        <v>4.0</v>
      </c>
      <c r="E153" s="1" t="b">
        <v>0</v>
      </c>
      <c r="F153" s="1" t="s">
        <v>14131</v>
      </c>
    </row>
    <row r="154">
      <c r="A154" s="1">
        <v>49813.0</v>
      </c>
      <c r="B154" s="1">
        <v>14500.0</v>
      </c>
      <c r="C154" s="1">
        <v>1.613798907E9</v>
      </c>
      <c r="D154" s="1">
        <v>4.0</v>
      </c>
      <c r="E154" s="1" t="b">
        <v>0</v>
      </c>
      <c r="F154" s="1" t="s">
        <v>14132</v>
      </c>
    </row>
    <row r="155">
      <c r="A155" s="1">
        <v>49813.0</v>
      </c>
      <c r="B155" s="1">
        <v>15650.0</v>
      </c>
      <c r="C155" s="1">
        <v>1.614815941E9</v>
      </c>
      <c r="D155" s="1">
        <v>4.0</v>
      </c>
      <c r="E155" s="1" t="b">
        <v>0</v>
      </c>
      <c r="F155" s="1" t="s">
        <v>14133</v>
      </c>
    </row>
    <row r="156">
      <c r="A156" s="1">
        <v>49813.0</v>
      </c>
      <c r="B156" s="1">
        <v>3687.0</v>
      </c>
      <c r="C156" s="1">
        <v>1.610712923E9</v>
      </c>
      <c r="D156" s="1">
        <v>4.0</v>
      </c>
      <c r="E156" s="1" t="b">
        <v>0</v>
      </c>
      <c r="F156" s="1" t="s">
        <v>14134</v>
      </c>
    </row>
    <row r="157">
      <c r="A157" s="1">
        <v>49813.0</v>
      </c>
      <c r="B157" s="1">
        <v>11703.0</v>
      </c>
      <c r="C157" s="1">
        <v>1.612811922E9</v>
      </c>
      <c r="D157" s="1">
        <v>4.0</v>
      </c>
      <c r="E157" s="1" t="b">
        <v>0</v>
      </c>
      <c r="F157" s="1" t="s">
        <v>14135</v>
      </c>
    </row>
    <row r="158">
      <c r="A158" s="1">
        <v>49813.0</v>
      </c>
      <c r="B158" s="1">
        <v>10728.0</v>
      </c>
      <c r="C158" s="1">
        <v>1.615614746E9</v>
      </c>
      <c r="D158" s="1">
        <v>4.0</v>
      </c>
      <c r="E158" s="1" t="b">
        <v>0</v>
      </c>
      <c r="F158" s="1" t="s">
        <v>14136</v>
      </c>
    </row>
    <row r="159">
      <c r="A159" s="1">
        <v>49813.0</v>
      </c>
      <c r="B159" s="1">
        <v>16498.0</v>
      </c>
      <c r="C159" s="1">
        <v>1.616825382E9</v>
      </c>
      <c r="D159" s="1">
        <v>4.0</v>
      </c>
      <c r="E159" s="1" t="b">
        <v>0</v>
      </c>
      <c r="F159" s="1" t="s">
        <v>14137</v>
      </c>
    </row>
    <row r="160">
      <c r="A160" s="1">
        <v>49813.0</v>
      </c>
      <c r="B160" s="1">
        <v>3692.0</v>
      </c>
      <c r="C160" s="1">
        <v>1.610845311E9</v>
      </c>
      <c r="D160" s="1">
        <v>4.0</v>
      </c>
      <c r="E160" s="1" t="b">
        <v>0</v>
      </c>
      <c r="F160" s="1" t="s">
        <v>14138</v>
      </c>
    </row>
    <row r="161">
      <c r="A161" s="1">
        <v>49813.0</v>
      </c>
      <c r="B161" s="1">
        <v>19908.0</v>
      </c>
      <c r="C161" s="1">
        <v>1.623469583E9</v>
      </c>
      <c r="D161" s="1">
        <v>4.0</v>
      </c>
      <c r="E161" s="1" t="b">
        <v>0</v>
      </c>
      <c r="F161" s="1" t="s">
        <v>14139</v>
      </c>
    </row>
    <row r="162">
      <c r="A162" s="1">
        <v>49813.0</v>
      </c>
      <c r="B162" s="1">
        <v>1441.0</v>
      </c>
      <c r="C162" s="1">
        <v>1.605875138E9</v>
      </c>
      <c r="D162" s="1">
        <v>4.0</v>
      </c>
      <c r="E162" s="1" t="b">
        <v>0</v>
      </c>
      <c r="F162" s="1" t="s">
        <v>14140</v>
      </c>
    </row>
    <row r="163">
      <c r="A163" s="1">
        <v>49813.0</v>
      </c>
      <c r="B163" s="1">
        <v>12062.0</v>
      </c>
      <c r="C163" s="1">
        <v>1.61289001E9</v>
      </c>
      <c r="D163" s="1">
        <v>4.0</v>
      </c>
      <c r="E163" s="1" t="b">
        <v>0</v>
      </c>
      <c r="F163" s="1" t="s">
        <v>14141</v>
      </c>
    </row>
    <row r="164">
      <c r="A164" s="1">
        <v>49813.0</v>
      </c>
      <c r="B164" s="1">
        <v>16804.0</v>
      </c>
      <c r="C164" s="1">
        <v>1.618219373E9</v>
      </c>
      <c r="D164" s="1">
        <v>4.0</v>
      </c>
      <c r="E164" s="1" t="b">
        <v>0</v>
      </c>
      <c r="F164" s="1" t="s">
        <v>14142</v>
      </c>
    </row>
    <row r="165">
      <c r="A165" s="1">
        <v>49813.0</v>
      </c>
      <c r="B165" s="1">
        <v>3973.0</v>
      </c>
      <c r="C165" s="1">
        <v>1.610911575E9</v>
      </c>
      <c r="D165" s="1">
        <v>4.0</v>
      </c>
      <c r="E165" s="1" t="b">
        <v>0</v>
      </c>
      <c r="F165" s="1" t="s">
        <v>14143</v>
      </c>
    </row>
    <row r="166">
      <c r="A166" s="1">
        <v>49813.0</v>
      </c>
      <c r="B166" s="1">
        <v>5772.0</v>
      </c>
      <c r="C166" s="1">
        <v>1.611483345E9</v>
      </c>
      <c r="D166" s="1">
        <v>4.0</v>
      </c>
      <c r="E166" s="1" t="b">
        <v>0</v>
      </c>
      <c r="F166" s="1" t="s">
        <v>14144</v>
      </c>
    </row>
    <row r="167">
      <c r="A167" s="1">
        <v>49813.0</v>
      </c>
      <c r="B167" s="1">
        <v>1793.0</v>
      </c>
      <c r="C167" s="1">
        <v>1.606656143E9</v>
      </c>
      <c r="D167" s="1">
        <v>4.0</v>
      </c>
      <c r="E167" s="1" t="b">
        <v>0</v>
      </c>
      <c r="F167" s="1" t="s">
        <v>14145</v>
      </c>
    </row>
    <row r="168">
      <c r="A168" s="1">
        <v>49813.0</v>
      </c>
      <c r="B168" s="1">
        <v>13721.0</v>
      </c>
      <c r="C168" s="1">
        <v>1.613375936E9</v>
      </c>
      <c r="D168" s="1">
        <v>4.0</v>
      </c>
      <c r="E168" s="1" t="b">
        <v>0</v>
      </c>
      <c r="F168" s="1" t="s">
        <v>14146</v>
      </c>
    </row>
    <row r="169">
      <c r="A169" s="1">
        <v>49813.0</v>
      </c>
      <c r="B169" s="1">
        <v>1447.0</v>
      </c>
      <c r="C169" s="1">
        <v>1.605884947E9</v>
      </c>
      <c r="D169" s="1">
        <v>4.0</v>
      </c>
      <c r="E169" s="1" t="b">
        <v>0</v>
      </c>
      <c r="F169" s="1" t="s">
        <v>14147</v>
      </c>
    </row>
    <row r="170">
      <c r="A170" s="1">
        <v>49813.0</v>
      </c>
      <c r="B170" s="1">
        <v>17420.0</v>
      </c>
      <c r="C170" s="1">
        <v>1.619693867E9</v>
      </c>
      <c r="D170" s="1">
        <v>4.0</v>
      </c>
      <c r="E170" s="1" t="b">
        <v>0</v>
      </c>
      <c r="F170" s="1" t="s">
        <v>14148</v>
      </c>
    </row>
    <row r="171">
      <c r="A171" s="1">
        <v>49813.0</v>
      </c>
      <c r="B171" s="1">
        <v>1257.0</v>
      </c>
      <c r="C171" s="1">
        <v>1.604390558E9</v>
      </c>
      <c r="D171" s="1">
        <v>4.0</v>
      </c>
      <c r="E171" s="1" t="b">
        <v>0</v>
      </c>
      <c r="F171" s="1" t="s">
        <v>14149</v>
      </c>
    </row>
    <row r="172">
      <c r="A172" s="1">
        <v>49813.0</v>
      </c>
      <c r="B172" s="1">
        <v>3720.0</v>
      </c>
      <c r="C172" s="1">
        <v>1.610724042E9</v>
      </c>
      <c r="D172" s="1">
        <v>4.0</v>
      </c>
      <c r="E172" s="1" t="b">
        <v>0</v>
      </c>
      <c r="F172" s="1" t="s">
        <v>14150</v>
      </c>
    </row>
    <row r="173">
      <c r="A173" s="1">
        <v>49813.0</v>
      </c>
      <c r="B173" s="1">
        <v>6407.0</v>
      </c>
      <c r="C173" s="1">
        <v>1.61848621E9</v>
      </c>
      <c r="D173" s="1">
        <v>4.0</v>
      </c>
      <c r="E173" s="1" t="b">
        <v>0</v>
      </c>
      <c r="F173" s="1" t="s">
        <v>14151</v>
      </c>
      <c r="G173" s="1" t="b">
        <v>1</v>
      </c>
    </row>
    <row r="174">
      <c r="A174" s="1">
        <v>49813.0</v>
      </c>
      <c r="B174" s="1">
        <v>3489.0</v>
      </c>
      <c r="C174" s="1">
        <v>1.61055023E9</v>
      </c>
      <c r="D174" s="1">
        <v>4.0</v>
      </c>
      <c r="E174" s="1" t="b">
        <v>0</v>
      </c>
      <c r="F174" s="1" t="s">
        <v>14152</v>
      </c>
    </row>
    <row r="175">
      <c r="A175" s="1">
        <v>49813.0</v>
      </c>
      <c r="B175" s="1">
        <v>11363.0</v>
      </c>
      <c r="C175" s="1">
        <v>1.612733123E9</v>
      </c>
      <c r="D175" s="1">
        <v>4.0</v>
      </c>
      <c r="E175" s="1" t="b">
        <v>0</v>
      </c>
      <c r="F175" s="1" t="s">
        <v>14153</v>
      </c>
    </row>
    <row r="176">
      <c r="A176" s="1">
        <v>49813.0</v>
      </c>
      <c r="B176" s="1">
        <v>16920.0</v>
      </c>
      <c r="C176" s="1">
        <v>1.618576022E9</v>
      </c>
      <c r="D176" s="1">
        <v>4.0</v>
      </c>
      <c r="E176" s="1" t="b">
        <v>0</v>
      </c>
      <c r="F176" s="1" t="s">
        <v>14154</v>
      </c>
    </row>
    <row r="177">
      <c r="A177" s="1">
        <v>49813.0</v>
      </c>
      <c r="B177" s="1">
        <v>6795.0</v>
      </c>
      <c r="C177" s="1">
        <v>1.61519062E9</v>
      </c>
      <c r="D177" s="1">
        <v>4.0</v>
      </c>
      <c r="E177" s="1" t="b">
        <v>0</v>
      </c>
      <c r="F177" s="1" t="s">
        <v>14155</v>
      </c>
    </row>
    <row r="178">
      <c r="A178" s="1">
        <v>49813.0</v>
      </c>
      <c r="B178" s="1">
        <v>17430.0</v>
      </c>
      <c r="C178" s="1">
        <v>1.619675199E9</v>
      </c>
      <c r="D178" s="1">
        <v>4.0</v>
      </c>
      <c r="E178" s="1" t="b">
        <v>0</v>
      </c>
      <c r="F178" s="1" t="s">
        <v>14156</v>
      </c>
      <c r="G178" s="1" t="b">
        <v>1</v>
      </c>
    </row>
    <row r="179">
      <c r="A179" s="1">
        <v>49813.0</v>
      </c>
      <c r="B179" s="1">
        <v>17319.0</v>
      </c>
      <c r="C179" s="1">
        <v>1.619444221E9</v>
      </c>
      <c r="D179" s="1">
        <v>4.0</v>
      </c>
      <c r="E179" s="1" t="b">
        <v>0</v>
      </c>
      <c r="F179" s="1" t="s">
        <v>14157</v>
      </c>
    </row>
    <row r="180">
      <c r="A180" s="1">
        <v>49813.0</v>
      </c>
      <c r="B180" s="1">
        <v>20051.0</v>
      </c>
      <c r="C180" s="1">
        <v>1.623686201E9</v>
      </c>
      <c r="D180" s="1">
        <v>4.0</v>
      </c>
      <c r="E180" s="1" t="b">
        <v>0</v>
      </c>
      <c r="F180" s="1" t="s">
        <v>14158</v>
      </c>
    </row>
    <row r="181">
      <c r="A181" s="1">
        <v>49813.0</v>
      </c>
      <c r="B181" s="1">
        <v>16809.0</v>
      </c>
      <c r="C181" s="1">
        <v>1.618226126E9</v>
      </c>
      <c r="D181" s="1">
        <v>4.0</v>
      </c>
      <c r="E181" s="1" t="b">
        <v>0</v>
      </c>
      <c r="F181" s="1" t="s">
        <v>14159</v>
      </c>
    </row>
    <row r="182">
      <c r="A182" s="1">
        <v>49813.0</v>
      </c>
      <c r="B182" s="1">
        <v>5491.0</v>
      </c>
      <c r="C182" s="1">
        <v>1.611428656E9</v>
      </c>
      <c r="D182" s="1">
        <v>4.0</v>
      </c>
      <c r="E182" s="1" t="b">
        <v>0</v>
      </c>
      <c r="F182" s="1" t="s">
        <v>14160</v>
      </c>
    </row>
    <row r="183">
      <c r="A183" s="1">
        <v>49813.0</v>
      </c>
      <c r="B183" s="1">
        <v>17203.0</v>
      </c>
      <c r="C183" s="1">
        <v>1.619191851E9</v>
      </c>
      <c r="D183" s="1">
        <v>4.0</v>
      </c>
      <c r="E183" s="1" t="b">
        <v>0</v>
      </c>
      <c r="F183" s="1" t="s">
        <v>14161</v>
      </c>
    </row>
    <row r="184">
      <c r="A184" s="1">
        <v>49813.0</v>
      </c>
      <c r="B184" s="1">
        <v>1540.0</v>
      </c>
      <c r="C184" s="1">
        <v>1.60614104E9</v>
      </c>
      <c r="D184" s="1">
        <v>4.0</v>
      </c>
      <c r="E184" s="1" t="b">
        <v>0</v>
      </c>
      <c r="F184" s="1" t="s">
        <v>14162</v>
      </c>
    </row>
    <row r="185">
      <c r="A185" s="1">
        <v>49813.0</v>
      </c>
      <c r="B185" s="1">
        <v>18520.0</v>
      </c>
      <c r="C185" s="1">
        <v>1.621682701E9</v>
      </c>
      <c r="D185" s="1">
        <v>4.0</v>
      </c>
      <c r="E185" s="1" t="b">
        <v>0</v>
      </c>
      <c r="F185" s="1" t="s">
        <v>14163</v>
      </c>
    </row>
    <row r="186">
      <c r="A186" s="1">
        <v>49813.0</v>
      </c>
      <c r="B186" s="1">
        <v>5226.0</v>
      </c>
      <c r="C186" s="1">
        <v>1.611341429E9</v>
      </c>
      <c r="D186" s="1">
        <v>4.0</v>
      </c>
      <c r="E186" s="1" t="b">
        <v>0</v>
      </c>
      <c r="F186" s="1" t="s">
        <v>14164</v>
      </c>
    </row>
    <row r="187">
      <c r="A187" s="1">
        <v>49813.0</v>
      </c>
      <c r="B187" s="1">
        <v>5057.0</v>
      </c>
      <c r="C187" s="1">
        <v>1.611304425E9</v>
      </c>
      <c r="D187" s="1">
        <v>4.0</v>
      </c>
      <c r="E187" s="1" t="b">
        <v>0</v>
      </c>
      <c r="F187" s="1" t="s">
        <v>14165</v>
      </c>
      <c r="G187" s="1" t="b">
        <v>1</v>
      </c>
    </row>
    <row r="188">
      <c r="A188" s="1">
        <v>49813.0</v>
      </c>
      <c r="B188" s="1">
        <v>16042.0</v>
      </c>
      <c r="C188" s="1">
        <v>1.616133593E9</v>
      </c>
      <c r="D188" s="1">
        <v>4.0</v>
      </c>
      <c r="E188" s="1" t="b">
        <v>0</v>
      </c>
      <c r="F188" s="1" t="s">
        <v>14166</v>
      </c>
    </row>
    <row r="189">
      <c r="A189" s="1">
        <v>49813.0</v>
      </c>
      <c r="B189" s="1">
        <v>18650.0</v>
      </c>
      <c r="C189" s="1">
        <v>1.621806398E9</v>
      </c>
      <c r="D189" s="1">
        <v>4.0</v>
      </c>
      <c r="E189" s="1" t="b">
        <v>0</v>
      </c>
      <c r="F189" s="1" t="s">
        <v>14167</v>
      </c>
    </row>
    <row r="190">
      <c r="A190" s="1">
        <v>49813.0</v>
      </c>
      <c r="B190" s="1">
        <v>581.0</v>
      </c>
      <c r="C190" s="1">
        <v>1.605090482E9</v>
      </c>
      <c r="D190" s="1">
        <v>9.0</v>
      </c>
      <c r="E190" s="1" t="b">
        <v>0</v>
      </c>
      <c r="F190" s="1" t="s">
        <v>14168</v>
      </c>
    </row>
    <row r="191">
      <c r="A191" s="1">
        <v>49813.0</v>
      </c>
      <c r="B191" s="1">
        <v>18050.0</v>
      </c>
      <c r="C191" s="1">
        <v>1.621052148E9</v>
      </c>
      <c r="D191" s="1">
        <v>4.0</v>
      </c>
      <c r="E191" s="1" t="b">
        <v>0</v>
      </c>
      <c r="F191" s="1" t="s">
        <v>14169</v>
      </c>
    </row>
    <row r="192">
      <c r="A192" s="1">
        <v>49813.0</v>
      </c>
      <c r="B192" s="1">
        <v>17545.0</v>
      </c>
      <c r="C192" s="1">
        <v>1.620198761E9</v>
      </c>
      <c r="D192" s="1">
        <v>4.0</v>
      </c>
      <c r="E192" s="1" t="b">
        <v>0</v>
      </c>
      <c r="F192" s="1" t="s">
        <v>14170</v>
      </c>
    </row>
    <row r="193">
      <c r="A193" s="1">
        <v>49813.0</v>
      </c>
      <c r="B193" s="1">
        <v>4798.0</v>
      </c>
      <c r="C193" s="1">
        <v>1.611238573E9</v>
      </c>
      <c r="D193" s="1">
        <v>4.0</v>
      </c>
      <c r="E193" s="1" t="b">
        <v>0</v>
      </c>
      <c r="F193" s="1" t="s">
        <v>14171</v>
      </c>
    </row>
    <row r="194">
      <c r="A194" s="1">
        <v>49813.0</v>
      </c>
      <c r="B194" s="1">
        <v>17980.0</v>
      </c>
      <c r="C194" s="1">
        <v>1.620752376E9</v>
      </c>
      <c r="D194" s="1">
        <v>4.0</v>
      </c>
      <c r="E194" s="1" t="b">
        <v>0</v>
      </c>
      <c r="F194" s="1" t="s">
        <v>14172</v>
      </c>
    </row>
    <row r="195">
      <c r="A195" s="1">
        <v>49813.0</v>
      </c>
      <c r="B195" s="1">
        <v>1272.0</v>
      </c>
      <c r="C195" s="1">
        <v>1.604649193E9</v>
      </c>
      <c r="D195" s="1">
        <v>4.0</v>
      </c>
      <c r="E195" s="1" t="b">
        <v>0</v>
      </c>
      <c r="F195" s="1" t="s">
        <v>14173</v>
      </c>
    </row>
    <row r="196">
      <c r="A196" s="1">
        <v>49813.0</v>
      </c>
      <c r="B196" s="1">
        <v>14408.0</v>
      </c>
      <c r="C196" s="1">
        <v>1.613723447E9</v>
      </c>
      <c r="D196" s="1">
        <v>4.0</v>
      </c>
      <c r="E196" s="1" t="b">
        <v>0</v>
      </c>
      <c r="F196" s="1" t="s">
        <v>14174</v>
      </c>
    </row>
    <row r="197">
      <c r="A197" s="1">
        <v>49813.0</v>
      </c>
      <c r="B197" s="1">
        <v>17054.0</v>
      </c>
      <c r="C197" s="1">
        <v>1.618977601E9</v>
      </c>
      <c r="D197" s="1">
        <v>4.0</v>
      </c>
      <c r="E197" s="1" t="b">
        <v>0</v>
      </c>
      <c r="F197" s="1" t="s">
        <v>14175</v>
      </c>
    </row>
    <row r="198">
      <c r="A198" s="1">
        <v>49813.0</v>
      </c>
      <c r="B198" s="1">
        <v>3673.0</v>
      </c>
      <c r="C198" s="1">
        <v>1.610873015E9</v>
      </c>
      <c r="D198" s="1">
        <v>4.0</v>
      </c>
      <c r="E198" s="1" t="b">
        <v>0</v>
      </c>
      <c r="F198" s="1" t="s">
        <v>14176</v>
      </c>
    </row>
    <row r="199">
      <c r="A199" s="1">
        <v>49813.0</v>
      </c>
      <c r="B199" s="1">
        <v>1465.0</v>
      </c>
      <c r="C199" s="1">
        <v>1.605955721E9</v>
      </c>
      <c r="D199" s="1">
        <v>4.0</v>
      </c>
      <c r="E199" s="1" t="b">
        <v>0</v>
      </c>
      <c r="F199" s="1" t="s">
        <v>14177</v>
      </c>
    </row>
    <row r="200">
      <c r="A200" s="1">
        <v>49813.0</v>
      </c>
      <c r="B200" s="1">
        <v>17076.0</v>
      </c>
      <c r="C200" s="1">
        <v>1.619000772E9</v>
      </c>
      <c r="D200" s="1">
        <v>4.0</v>
      </c>
      <c r="E200" s="1" t="b">
        <v>0</v>
      </c>
      <c r="F200" s="1" t="s">
        <v>14178</v>
      </c>
    </row>
    <row r="201">
      <c r="A201" s="1">
        <v>49813.0</v>
      </c>
      <c r="B201" s="1">
        <v>15192.0</v>
      </c>
      <c r="C201" s="1">
        <v>1.61433074E9</v>
      </c>
      <c r="D201" s="1">
        <v>4.0</v>
      </c>
      <c r="E201" s="1" t="b">
        <v>0</v>
      </c>
      <c r="F201" s="1" t="s">
        <v>14179</v>
      </c>
    </row>
    <row r="202">
      <c r="A202" s="1">
        <v>49813.0</v>
      </c>
      <c r="B202" s="1">
        <v>12334.0</v>
      </c>
      <c r="C202" s="1">
        <v>1.613904079E9</v>
      </c>
      <c r="D202" s="1">
        <v>4.0</v>
      </c>
      <c r="E202" s="1" t="b">
        <v>0</v>
      </c>
      <c r="F202" s="1" t="s">
        <v>14180</v>
      </c>
    </row>
    <row r="203">
      <c r="A203" s="1">
        <v>49813.0</v>
      </c>
      <c r="B203" s="1">
        <v>11331.0</v>
      </c>
      <c r="C203" s="1">
        <v>1.612718911E9</v>
      </c>
      <c r="D203" s="1">
        <v>4.0</v>
      </c>
      <c r="E203" s="1" t="b">
        <v>0</v>
      </c>
      <c r="F203" s="1" t="s">
        <v>14181</v>
      </c>
    </row>
    <row r="204">
      <c r="A204" s="1">
        <v>49813.0</v>
      </c>
      <c r="B204" s="1">
        <v>10870.0</v>
      </c>
      <c r="C204" s="1">
        <v>1.61261493E9</v>
      </c>
      <c r="D204" s="1">
        <v>4.0</v>
      </c>
      <c r="E204" s="1" t="b">
        <v>0</v>
      </c>
      <c r="F204" s="1" t="s">
        <v>14182</v>
      </c>
    </row>
    <row r="205">
      <c r="A205" s="1">
        <v>49813.0</v>
      </c>
      <c r="B205" s="1">
        <v>3000.0</v>
      </c>
      <c r="C205" s="1">
        <v>1.617515892E9</v>
      </c>
      <c r="D205" s="1">
        <v>4.0</v>
      </c>
      <c r="E205" s="1" t="b">
        <v>0</v>
      </c>
      <c r="F205" s="1" t="s">
        <v>14183</v>
      </c>
    </row>
    <row r="206">
      <c r="A206" s="1">
        <v>49813.0</v>
      </c>
      <c r="B206" s="1">
        <v>14369.0</v>
      </c>
      <c r="C206" s="1">
        <v>1.613707913E9</v>
      </c>
      <c r="D206" s="1">
        <v>4.0</v>
      </c>
      <c r="E206" s="1" t="b">
        <v>0</v>
      </c>
      <c r="F206" s="1" t="s">
        <v>14184</v>
      </c>
    </row>
    <row r="207">
      <c r="A207" s="1">
        <v>49813.0</v>
      </c>
      <c r="B207" s="1">
        <v>15826.0</v>
      </c>
      <c r="C207" s="1">
        <v>1.61505821E9</v>
      </c>
      <c r="D207" s="1">
        <v>4.0</v>
      </c>
      <c r="E207" s="1" t="b">
        <v>0</v>
      </c>
      <c r="F207" s="1" t="s">
        <v>14185</v>
      </c>
    </row>
    <row r="208">
      <c r="A208" s="1">
        <v>49813.0</v>
      </c>
      <c r="B208" s="1">
        <v>4084.0</v>
      </c>
      <c r="C208" s="1">
        <v>1.610989928E9</v>
      </c>
      <c r="D208" s="1">
        <v>4.0</v>
      </c>
      <c r="E208" s="1" t="b">
        <v>0</v>
      </c>
      <c r="F208" s="1" t="s">
        <v>14186</v>
      </c>
    </row>
    <row r="209">
      <c r="A209" s="1">
        <v>49813.0</v>
      </c>
      <c r="B209" s="1">
        <v>17636.0</v>
      </c>
      <c r="C209" s="1">
        <v>1.620623048E9</v>
      </c>
      <c r="D209" s="1">
        <v>4.0</v>
      </c>
      <c r="E209" s="1" t="b">
        <v>0</v>
      </c>
      <c r="F209" s="1" t="s">
        <v>14187</v>
      </c>
    </row>
    <row r="210">
      <c r="A210" s="1">
        <v>49813.0</v>
      </c>
      <c r="B210" s="1">
        <v>2987.0</v>
      </c>
      <c r="C210" s="1">
        <v>1.60975548E9</v>
      </c>
      <c r="D210" s="1">
        <v>4.0</v>
      </c>
      <c r="E210" s="1" t="b">
        <v>0</v>
      </c>
      <c r="F210" s="1" t="s">
        <v>14188</v>
      </c>
    </row>
    <row r="211">
      <c r="A211" s="1">
        <v>49813.0</v>
      </c>
      <c r="B211" s="1">
        <v>17568.0</v>
      </c>
      <c r="C211" s="1">
        <v>1.620217887E9</v>
      </c>
      <c r="D211" s="1">
        <v>4.0</v>
      </c>
      <c r="E211" s="1" t="b">
        <v>0</v>
      </c>
      <c r="F211" s="1" t="s">
        <v>14189</v>
      </c>
    </row>
    <row r="212">
      <c r="A212" s="1">
        <v>49813.0</v>
      </c>
      <c r="B212" s="1">
        <v>16960.0</v>
      </c>
      <c r="C212" s="1">
        <v>1.618743071E9</v>
      </c>
      <c r="D212" s="1">
        <v>4.0</v>
      </c>
      <c r="E212" s="1" t="b">
        <v>0</v>
      </c>
      <c r="F212" s="1" t="s">
        <v>14190</v>
      </c>
    </row>
    <row r="213">
      <c r="A213" s="1">
        <v>49813.0</v>
      </c>
      <c r="B213" s="1">
        <v>1524.0</v>
      </c>
      <c r="C213" s="1">
        <v>1.60614009E9</v>
      </c>
      <c r="D213" s="1">
        <v>4.0</v>
      </c>
      <c r="E213" s="1" t="b">
        <v>0</v>
      </c>
      <c r="F213" s="1" t="s">
        <v>14191</v>
      </c>
    </row>
    <row r="214">
      <c r="A214" s="1">
        <v>49813.0</v>
      </c>
      <c r="B214" s="1">
        <v>12658.0</v>
      </c>
      <c r="C214" s="1">
        <v>1.613035454E9</v>
      </c>
      <c r="D214" s="1">
        <v>4.0</v>
      </c>
      <c r="E214" s="1" t="b">
        <v>0</v>
      </c>
      <c r="F214" s="1" t="s">
        <v>14192</v>
      </c>
    </row>
    <row r="215">
      <c r="A215" s="1">
        <v>49813.0</v>
      </c>
      <c r="B215" s="1">
        <v>13566.0</v>
      </c>
      <c r="C215" s="1">
        <v>1.613314263E9</v>
      </c>
      <c r="D215" s="1">
        <v>4.0</v>
      </c>
      <c r="E215" s="1" t="b">
        <v>0</v>
      </c>
      <c r="F215" s="1" t="s">
        <v>14193</v>
      </c>
    </row>
    <row r="216">
      <c r="A216" s="1">
        <v>49813.0</v>
      </c>
      <c r="B216" s="1">
        <v>6057.0</v>
      </c>
      <c r="C216" s="1">
        <v>1.61182101E9</v>
      </c>
      <c r="D216" s="1">
        <v>4.0</v>
      </c>
      <c r="E216" s="1" t="b">
        <v>0</v>
      </c>
      <c r="F216" s="1" t="s">
        <v>14194</v>
      </c>
    </row>
    <row r="217">
      <c r="A217" s="1">
        <v>49813.0</v>
      </c>
      <c r="B217" s="1">
        <v>12509.0</v>
      </c>
      <c r="C217" s="1">
        <v>1.612990618E9</v>
      </c>
      <c r="D217" s="1">
        <v>4.0</v>
      </c>
      <c r="E217" s="1" t="b">
        <v>0</v>
      </c>
      <c r="F217" s="1" t="s">
        <v>14195</v>
      </c>
    </row>
    <row r="218">
      <c r="A218" s="1">
        <v>49813.0</v>
      </c>
      <c r="B218" s="1">
        <v>16842.0</v>
      </c>
      <c r="C218" s="1">
        <v>1.618400657E9</v>
      </c>
      <c r="D218" s="1">
        <v>4.0</v>
      </c>
      <c r="E218" s="1" t="b">
        <v>0</v>
      </c>
      <c r="F218" s="1" t="s">
        <v>14196</v>
      </c>
    </row>
    <row r="219">
      <c r="A219" s="1">
        <v>49813.0</v>
      </c>
      <c r="B219" s="1">
        <v>1270.0</v>
      </c>
      <c r="C219" s="1">
        <v>1.60447632E9</v>
      </c>
      <c r="D219" s="1">
        <v>4.0</v>
      </c>
      <c r="E219" s="1" t="b">
        <v>0</v>
      </c>
      <c r="F219" s="1" t="s">
        <v>14197</v>
      </c>
    </row>
    <row r="220">
      <c r="A220" s="1">
        <v>49813.0</v>
      </c>
      <c r="B220" s="1">
        <v>1537.0</v>
      </c>
      <c r="C220" s="1">
        <v>1.606122907E9</v>
      </c>
      <c r="D220" s="1">
        <v>4.0</v>
      </c>
      <c r="E220" s="1" t="b">
        <v>0</v>
      </c>
      <c r="F220" s="1" t="s">
        <v>14198</v>
      </c>
    </row>
    <row r="221">
      <c r="A221" s="1">
        <v>49813.0</v>
      </c>
      <c r="B221" s="1">
        <v>5584.0</v>
      </c>
      <c r="C221" s="1">
        <v>1.611659643E9</v>
      </c>
      <c r="D221" s="1">
        <v>4.0</v>
      </c>
      <c r="E221" s="1" t="b">
        <v>0</v>
      </c>
      <c r="F221" s="1" t="s">
        <v>14199</v>
      </c>
    </row>
    <row r="222">
      <c r="A222" s="1">
        <v>49813.0</v>
      </c>
      <c r="B222" s="1">
        <v>4921.0</v>
      </c>
      <c r="C222" s="1">
        <v>1.611273021E9</v>
      </c>
      <c r="D222" s="1">
        <v>4.0</v>
      </c>
      <c r="E222" s="1" t="b">
        <v>0</v>
      </c>
      <c r="F222" s="1" t="s">
        <v>14200</v>
      </c>
    </row>
    <row r="223">
      <c r="A223" s="1">
        <v>49813.0</v>
      </c>
      <c r="B223" s="1">
        <v>6396.0</v>
      </c>
      <c r="C223" s="1">
        <v>1.611651042E9</v>
      </c>
      <c r="D223" s="1">
        <v>4.0</v>
      </c>
      <c r="E223" s="1" t="b">
        <v>0</v>
      </c>
      <c r="F223" s="1" t="s">
        <v>14201</v>
      </c>
    </row>
    <row r="224">
      <c r="A224" s="1">
        <v>49813.0</v>
      </c>
      <c r="B224" s="1">
        <v>5210.0</v>
      </c>
      <c r="C224" s="1">
        <v>1.61133699E9</v>
      </c>
      <c r="D224" s="1">
        <v>4.0</v>
      </c>
      <c r="E224" s="1" t="b">
        <v>0</v>
      </c>
      <c r="F224" s="1" t="s">
        <v>14202</v>
      </c>
    </row>
    <row r="225">
      <c r="A225" s="1">
        <v>49813.0</v>
      </c>
      <c r="B225" s="1">
        <v>19361.0</v>
      </c>
      <c r="C225" s="1">
        <v>1.622631889E9</v>
      </c>
      <c r="D225" s="1">
        <v>4.0</v>
      </c>
      <c r="E225" s="1" t="b">
        <v>0</v>
      </c>
      <c r="F225" s="1" t="s">
        <v>14203</v>
      </c>
    </row>
    <row r="226">
      <c r="A226" s="1">
        <v>49813.0</v>
      </c>
      <c r="B226" s="1">
        <v>14461.0</v>
      </c>
      <c r="C226" s="1">
        <v>1.613753611E9</v>
      </c>
      <c r="D226" s="1">
        <v>4.0</v>
      </c>
      <c r="E226" s="1" t="b">
        <v>0</v>
      </c>
      <c r="F226" s="1" t="s">
        <v>14204</v>
      </c>
    </row>
    <row r="227">
      <c r="A227" s="1">
        <v>49813.0</v>
      </c>
      <c r="B227" s="1">
        <v>17124.0</v>
      </c>
      <c r="C227" s="1">
        <v>1.619073631E9</v>
      </c>
      <c r="D227" s="1">
        <v>4.0</v>
      </c>
      <c r="E227" s="1" t="b">
        <v>0</v>
      </c>
      <c r="F227" s="1" t="s">
        <v>14205</v>
      </c>
    </row>
    <row r="228">
      <c r="A228" s="1">
        <v>49813.0</v>
      </c>
      <c r="B228" s="1">
        <v>2628.0</v>
      </c>
      <c r="C228" s="1">
        <v>1.608746521E9</v>
      </c>
      <c r="D228" s="1">
        <v>4.0</v>
      </c>
      <c r="E228" s="1" t="b">
        <v>0</v>
      </c>
      <c r="F228" s="1" t="s">
        <v>14206</v>
      </c>
    </row>
    <row r="229">
      <c r="A229" s="1">
        <v>49813.0</v>
      </c>
      <c r="B229" s="1">
        <v>19528.0</v>
      </c>
      <c r="C229" s="1">
        <v>1.622971676E9</v>
      </c>
      <c r="D229" s="1">
        <v>4.0</v>
      </c>
      <c r="E229" s="1" t="b">
        <v>0</v>
      </c>
      <c r="F229" s="1" t="s">
        <v>14207</v>
      </c>
    </row>
    <row r="230">
      <c r="A230" s="1">
        <v>49813.0</v>
      </c>
      <c r="B230" s="1">
        <v>14320.0</v>
      </c>
      <c r="C230" s="1">
        <v>1.614095685E9</v>
      </c>
      <c r="D230" s="1">
        <v>4.0</v>
      </c>
      <c r="E230" s="1" t="b">
        <v>0</v>
      </c>
      <c r="F230" s="1" t="s">
        <v>14208</v>
      </c>
    </row>
    <row r="231">
      <c r="A231" s="1">
        <v>49813.0</v>
      </c>
      <c r="B231" s="1">
        <v>2817.0</v>
      </c>
      <c r="C231" s="1">
        <v>1.609332884E9</v>
      </c>
      <c r="D231" s="1">
        <v>4.0</v>
      </c>
      <c r="E231" s="1" t="b">
        <v>0</v>
      </c>
      <c r="F231" s="1" t="s">
        <v>14209</v>
      </c>
    </row>
    <row r="232">
      <c r="A232" s="1">
        <v>49813.0</v>
      </c>
      <c r="B232" s="1">
        <v>14888.0</v>
      </c>
      <c r="C232" s="1">
        <v>1.614069361E9</v>
      </c>
      <c r="D232" s="1">
        <v>4.0</v>
      </c>
      <c r="E232" s="1" t="b">
        <v>0</v>
      </c>
      <c r="F232" s="1" t="s">
        <v>14210</v>
      </c>
    </row>
    <row r="233">
      <c r="A233" s="1">
        <v>49813.0</v>
      </c>
      <c r="B233" s="1">
        <v>16591.0</v>
      </c>
      <c r="C233" s="1">
        <v>1.617271482E9</v>
      </c>
      <c r="D233" s="1">
        <v>4.0</v>
      </c>
      <c r="E233" s="1" t="b">
        <v>0</v>
      </c>
      <c r="F233" s="1" t="s">
        <v>14211</v>
      </c>
    </row>
    <row r="234">
      <c r="A234" s="1">
        <v>49813.0</v>
      </c>
      <c r="B234" s="1">
        <v>14116.0</v>
      </c>
      <c r="C234" s="1">
        <v>1.613537324E9</v>
      </c>
      <c r="D234" s="1">
        <v>4.0</v>
      </c>
      <c r="E234" s="1" t="b">
        <v>0</v>
      </c>
      <c r="F234" s="1" t="s">
        <v>14212</v>
      </c>
    </row>
    <row r="235">
      <c r="A235" s="1">
        <v>49813.0</v>
      </c>
      <c r="B235" s="1">
        <v>1247.0</v>
      </c>
      <c r="C235" s="1">
        <v>1.604338397E9</v>
      </c>
      <c r="D235" s="1">
        <v>4.0</v>
      </c>
      <c r="E235" s="1" t="b">
        <v>0</v>
      </c>
      <c r="F235" s="1" t="s">
        <v>14213</v>
      </c>
      <c r="G235" s="1" t="b">
        <v>1</v>
      </c>
    </row>
    <row r="236">
      <c r="A236" s="1">
        <v>49813.0</v>
      </c>
      <c r="B236" s="1">
        <v>620.0</v>
      </c>
      <c r="C236" s="1">
        <v>1.604294776E9</v>
      </c>
      <c r="D236" s="1">
        <v>1.0</v>
      </c>
      <c r="E236" s="1" t="b">
        <v>1</v>
      </c>
      <c r="F236" s="1" t="s">
        <v>14214</v>
      </c>
    </row>
    <row r="237">
      <c r="A237" s="1">
        <v>49813.0</v>
      </c>
      <c r="B237" s="1">
        <v>5305.0</v>
      </c>
      <c r="C237" s="1">
        <v>1.611377386E9</v>
      </c>
      <c r="D237" s="1">
        <v>4.0</v>
      </c>
      <c r="E237" s="1" t="b">
        <v>0</v>
      </c>
      <c r="F237" s="1" t="s">
        <v>14215</v>
      </c>
      <c r="G237" s="1" t="b">
        <v>1</v>
      </c>
    </row>
    <row r="238">
      <c r="A238" s="1">
        <v>49813.0</v>
      </c>
      <c r="B238" s="1">
        <v>1286.0</v>
      </c>
      <c r="C238" s="1">
        <v>1.605033631E9</v>
      </c>
      <c r="D238" s="1">
        <v>4.0</v>
      </c>
      <c r="E238" s="1" t="b">
        <v>0</v>
      </c>
      <c r="F238" s="1" t="s">
        <v>14216</v>
      </c>
    </row>
    <row r="239">
      <c r="A239" s="1">
        <v>49813.0</v>
      </c>
      <c r="B239" s="1">
        <v>16340.0</v>
      </c>
      <c r="C239" s="1">
        <v>1.616317262E9</v>
      </c>
      <c r="D239" s="1">
        <v>4.0</v>
      </c>
      <c r="E239" s="1" t="b">
        <v>0</v>
      </c>
      <c r="F239" s="1" t="s">
        <v>14217</v>
      </c>
    </row>
    <row r="240">
      <c r="A240" s="1">
        <v>49813.0</v>
      </c>
      <c r="B240" s="1">
        <v>19744.0</v>
      </c>
      <c r="C240" s="1">
        <v>1.623238512E9</v>
      </c>
      <c r="D240" s="1">
        <v>4.0</v>
      </c>
      <c r="E240" s="1" t="b">
        <v>0</v>
      </c>
      <c r="F240" s="1" t="s">
        <v>14218</v>
      </c>
    </row>
    <row r="241">
      <c r="A241" s="1">
        <v>49813.0</v>
      </c>
      <c r="B241" s="1">
        <v>4995.0</v>
      </c>
      <c r="C241" s="1">
        <v>1.612034481E9</v>
      </c>
      <c r="D241" s="1">
        <v>4.0</v>
      </c>
      <c r="E241" s="1" t="b">
        <v>0</v>
      </c>
      <c r="F241" s="1" t="s">
        <v>14219</v>
      </c>
    </row>
    <row r="242">
      <c r="A242" s="1">
        <v>49813.0</v>
      </c>
      <c r="B242" s="1">
        <v>19515.0</v>
      </c>
      <c r="C242" s="1">
        <v>1.622900129E9</v>
      </c>
      <c r="D242" s="1">
        <v>4.0</v>
      </c>
      <c r="E242" s="1" t="b">
        <v>0</v>
      </c>
      <c r="F242" s="1" t="s">
        <v>14220</v>
      </c>
    </row>
    <row r="243">
      <c r="A243" s="1">
        <v>49813.0</v>
      </c>
      <c r="B243" s="1">
        <v>4620.0</v>
      </c>
      <c r="C243" s="1">
        <v>1.611174875E9</v>
      </c>
      <c r="D243" s="1">
        <v>4.0</v>
      </c>
      <c r="E243" s="1" t="b">
        <v>0</v>
      </c>
      <c r="F243" s="1" t="s">
        <v>14221</v>
      </c>
    </row>
    <row r="244">
      <c r="A244" s="1">
        <v>49813.0</v>
      </c>
      <c r="B244" s="1">
        <v>4796.0</v>
      </c>
      <c r="C244" s="1">
        <v>1.611230418E9</v>
      </c>
      <c r="D244" s="1">
        <v>4.0</v>
      </c>
      <c r="E244" s="1" t="b">
        <v>0</v>
      </c>
      <c r="F244" s="1" t="s">
        <v>14222</v>
      </c>
    </row>
    <row r="245">
      <c r="A245" s="1">
        <v>49813.0</v>
      </c>
      <c r="B245" s="1">
        <v>19747.0</v>
      </c>
      <c r="C245" s="1">
        <v>1.623239095E9</v>
      </c>
      <c r="D245" s="1">
        <v>4.0</v>
      </c>
      <c r="E245" s="1" t="b">
        <v>0</v>
      </c>
      <c r="F245" s="1" t="s">
        <v>14223</v>
      </c>
    </row>
    <row r="246">
      <c r="A246" s="1">
        <v>49813.0</v>
      </c>
      <c r="B246" s="1">
        <v>1735.0</v>
      </c>
      <c r="C246" s="1">
        <v>1.606624624E9</v>
      </c>
      <c r="D246" s="1">
        <v>4.0</v>
      </c>
      <c r="E246" s="1" t="b">
        <v>0</v>
      </c>
      <c r="F246" s="1" t="s">
        <v>14224</v>
      </c>
    </row>
    <row r="247">
      <c r="A247" s="1">
        <v>49813.0</v>
      </c>
      <c r="B247" s="1">
        <v>5996.0</v>
      </c>
      <c r="C247" s="1">
        <v>1.61154109E9</v>
      </c>
      <c r="D247" s="1">
        <v>4.0</v>
      </c>
      <c r="E247" s="1" t="b">
        <v>0</v>
      </c>
      <c r="F247" s="1" t="s">
        <v>14225</v>
      </c>
    </row>
    <row r="248">
      <c r="A248" s="1">
        <v>49813.0</v>
      </c>
      <c r="B248" s="1">
        <v>17133.0</v>
      </c>
      <c r="C248" s="1">
        <v>1.619082108E9</v>
      </c>
      <c r="D248" s="1">
        <v>4.0</v>
      </c>
      <c r="E248" s="1" t="b">
        <v>0</v>
      </c>
      <c r="F248" s="1" t="s">
        <v>14226</v>
      </c>
    </row>
    <row r="249">
      <c r="A249" s="1">
        <v>49813.0</v>
      </c>
      <c r="B249" s="1">
        <v>16886.0</v>
      </c>
      <c r="C249" s="1">
        <v>1.618558694E9</v>
      </c>
      <c r="D249" s="1">
        <v>4.0</v>
      </c>
      <c r="E249" s="1" t="b">
        <v>0</v>
      </c>
      <c r="F249" s="1" t="s">
        <v>14227</v>
      </c>
    </row>
    <row r="250">
      <c r="A250" s="1">
        <v>49813.0</v>
      </c>
      <c r="B250" s="1">
        <v>3625.0</v>
      </c>
      <c r="C250" s="1">
        <v>1.610639019E9</v>
      </c>
      <c r="D250" s="1">
        <v>4.0</v>
      </c>
      <c r="E250" s="1" t="b">
        <v>0</v>
      </c>
      <c r="F250" s="1" t="s">
        <v>14228</v>
      </c>
    </row>
    <row r="251">
      <c r="A251" s="1">
        <v>49813.0</v>
      </c>
      <c r="B251" s="1">
        <v>17155.0</v>
      </c>
      <c r="C251" s="1">
        <v>1.619153342E9</v>
      </c>
      <c r="D251" s="1">
        <v>4.0</v>
      </c>
      <c r="E251" s="1" t="b">
        <v>0</v>
      </c>
      <c r="F251" s="1" t="s">
        <v>14229</v>
      </c>
    </row>
    <row r="252">
      <c r="A252" s="1">
        <v>49813.0</v>
      </c>
      <c r="B252" s="1">
        <v>2865.0</v>
      </c>
      <c r="C252" s="1">
        <v>1.609606198E9</v>
      </c>
      <c r="D252" s="1">
        <v>4.0</v>
      </c>
      <c r="E252" s="1" t="b">
        <v>0</v>
      </c>
      <c r="F252" s="1" t="s">
        <v>14230</v>
      </c>
    </row>
    <row r="253">
      <c r="A253" s="1">
        <v>49813.0</v>
      </c>
      <c r="B253" s="1">
        <v>19910.0</v>
      </c>
      <c r="C253" s="1">
        <v>1.623473903E9</v>
      </c>
      <c r="D253" s="1">
        <v>4.0</v>
      </c>
      <c r="E253" s="1" t="b">
        <v>0</v>
      </c>
      <c r="F253" s="1" t="s">
        <v>14231</v>
      </c>
    </row>
    <row r="254">
      <c r="A254" s="1">
        <v>49813.0</v>
      </c>
      <c r="B254" s="1">
        <v>1455.0</v>
      </c>
      <c r="C254" s="1">
        <v>1.605892527E9</v>
      </c>
      <c r="D254" s="1">
        <v>4.0</v>
      </c>
      <c r="E254" s="1" t="b">
        <v>0</v>
      </c>
      <c r="F254" s="1" t="s">
        <v>14232</v>
      </c>
      <c r="G254" s="1" t="b">
        <v>1</v>
      </c>
    </row>
    <row r="255">
      <c r="A255" s="1">
        <v>49813.0</v>
      </c>
      <c r="B255" s="1">
        <v>3723.0</v>
      </c>
      <c r="C255" s="1">
        <v>1.615186728E9</v>
      </c>
      <c r="D255" s="1">
        <v>4.0</v>
      </c>
      <c r="E255" s="1" t="b">
        <v>0</v>
      </c>
      <c r="F255" s="1" t="s">
        <v>14233</v>
      </c>
    </row>
    <row r="256">
      <c r="A256" s="1">
        <v>49813.0</v>
      </c>
      <c r="B256" s="1">
        <v>17626.0</v>
      </c>
      <c r="C256" s="1">
        <v>1.620351156E9</v>
      </c>
      <c r="D256" s="1">
        <v>4.0</v>
      </c>
      <c r="E256" s="1" t="b">
        <v>0</v>
      </c>
      <c r="F256" s="1" t="s">
        <v>14234</v>
      </c>
    </row>
    <row r="257">
      <c r="A257" s="1">
        <v>49813.0</v>
      </c>
      <c r="B257" s="1">
        <v>6719.0</v>
      </c>
      <c r="C257" s="1">
        <v>1.611830667E9</v>
      </c>
      <c r="D257" s="1">
        <v>4.0</v>
      </c>
      <c r="E257" s="1" t="b">
        <v>0</v>
      </c>
      <c r="F257" s="1" t="s">
        <v>14235</v>
      </c>
    </row>
    <row r="258">
      <c r="A258" s="1">
        <v>49813.0</v>
      </c>
      <c r="B258" s="1">
        <v>15137.0</v>
      </c>
      <c r="C258" s="1">
        <v>1.614311906E9</v>
      </c>
      <c r="D258" s="1">
        <v>4.0</v>
      </c>
      <c r="E258" s="1" t="b">
        <v>0</v>
      </c>
      <c r="F258" s="1" t="s">
        <v>14236</v>
      </c>
    </row>
    <row r="259">
      <c r="A259" s="1">
        <v>49813.0</v>
      </c>
      <c r="B259" s="1">
        <v>17046.0</v>
      </c>
      <c r="C259" s="1">
        <v>1.618936679E9</v>
      </c>
      <c r="D259" s="1">
        <v>4.0</v>
      </c>
      <c r="E259" s="1" t="b">
        <v>0</v>
      </c>
      <c r="F259" s="1" t="s">
        <v>14237</v>
      </c>
    </row>
    <row r="260">
      <c r="A260" s="1">
        <v>49813.0</v>
      </c>
      <c r="B260" s="1">
        <v>14278.0</v>
      </c>
      <c r="C260" s="1">
        <v>1.613645551E9</v>
      </c>
      <c r="D260" s="1">
        <v>4.0</v>
      </c>
      <c r="E260" s="1" t="b">
        <v>0</v>
      </c>
      <c r="F260" s="1" t="s">
        <v>14238</v>
      </c>
    </row>
    <row r="261">
      <c r="A261" s="1">
        <v>49813.0</v>
      </c>
      <c r="B261" s="1">
        <v>5940.0</v>
      </c>
      <c r="C261" s="1">
        <v>1.611860256E9</v>
      </c>
      <c r="D261" s="1">
        <v>4.0</v>
      </c>
      <c r="E261" s="1" t="b">
        <v>0</v>
      </c>
      <c r="F261" s="1" t="s">
        <v>14239</v>
      </c>
    </row>
    <row r="262">
      <c r="A262" s="1">
        <v>49813.0</v>
      </c>
      <c r="B262" s="1">
        <v>16850.0</v>
      </c>
      <c r="C262" s="1">
        <v>1.618404952E9</v>
      </c>
      <c r="D262" s="1">
        <v>4.0</v>
      </c>
      <c r="E262" s="1" t="b">
        <v>0</v>
      </c>
      <c r="F262" s="1" t="s">
        <v>14240</v>
      </c>
    </row>
    <row r="263">
      <c r="A263" s="1">
        <v>49813.0</v>
      </c>
      <c r="B263" s="1">
        <v>16289.0</v>
      </c>
      <c r="C263" s="1">
        <v>1.616063526E9</v>
      </c>
      <c r="D263" s="1">
        <v>4.0</v>
      </c>
      <c r="E263" s="1" t="b">
        <v>0</v>
      </c>
      <c r="F263" s="1" t="s">
        <v>14241</v>
      </c>
    </row>
    <row r="264">
      <c r="A264" s="1">
        <v>49813.0</v>
      </c>
      <c r="B264" s="1">
        <v>11843.0</v>
      </c>
      <c r="C264" s="1">
        <v>1.615806747E9</v>
      </c>
      <c r="D264" s="1">
        <v>4.0</v>
      </c>
      <c r="E264" s="1" t="b">
        <v>0</v>
      </c>
      <c r="F264" s="1" t="s">
        <v>14242</v>
      </c>
    </row>
    <row r="265">
      <c r="A265" s="1">
        <v>49813.0</v>
      </c>
      <c r="B265" s="1">
        <v>17903.0</v>
      </c>
      <c r="C265" s="1">
        <v>1.620645983E9</v>
      </c>
      <c r="D265" s="1">
        <v>4.0</v>
      </c>
      <c r="E265" s="1" t="b">
        <v>0</v>
      </c>
      <c r="F265" s="1" t="s">
        <v>14243</v>
      </c>
    </row>
    <row r="266">
      <c r="A266" s="1">
        <v>49813.0</v>
      </c>
      <c r="B266" s="1">
        <v>16084.0</v>
      </c>
      <c r="C266" s="1">
        <v>1.615451083E9</v>
      </c>
      <c r="D266" s="1">
        <v>4.0</v>
      </c>
      <c r="E266" s="1" t="b">
        <v>0</v>
      </c>
      <c r="F266" s="1" t="s">
        <v>14244</v>
      </c>
    </row>
    <row r="267">
      <c r="A267" s="1">
        <v>49813.0</v>
      </c>
      <c r="B267" s="1">
        <v>16862.0</v>
      </c>
      <c r="C267" s="1">
        <v>1.618453457E9</v>
      </c>
      <c r="D267" s="1">
        <v>4.0</v>
      </c>
      <c r="E267" s="1" t="b">
        <v>0</v>
      </c>
      <c r="F267" s="1" t="s">
        <v>14245</v>
      </c>
    </row>
    <row r="268">
      <c r="A268" s="1">
        <v>49813.0</v>
      </c>
      <c r="B268" s="1">
        <v>18194.0</v>
      </c>
      <c r="C268" s="1">
        <v>1.621221277E9</v>
      </c>
      <c r="D268" s="1">
        <v>4.0</v>
      </c>
      <c r="E268" s="1" t="b">
        <v>0</v>
      </c>
      <c r="F268" s="1" t="s">
        <v>14246</v>
      </c>
    </row>
    <row r="269">
      <c r="A269" s="1">
        <v>49813.0</v>
      </c>
      <c r="B269" s="1">
        <v>2844.0</v>
      </c>
      <c r="C269" s="1">
        <v>1.609419353E9</v>
      </c>
      <c r="D269" s="1">
        <v>4.0</v>
      </c>
      <c r="E269" s="1" t="b">
        <v>0</v>
      </c>
      <c r="F269" s="1" t="s">
        <v>14247</v>
      </c>
    </row>
    <row r="270">
      <c r="A270" s="1">
        <v>49813.0</v>
      </c>
      <c r="B270" s="1">
        <v>3976.0</v>
      </c>
      <c r="C270" s="1">
        <v>1.61106342E9</v>
      </c>
      <c r="D270" s="1">
        <v>4.0</v>
      </c>
      <c r="E270" s="1" t="b">
        <v>0</v>
      </c>
      <c r="F270" s="1" t="s">
        <v>14248</v>
      </c>
    </row>
    <row r="271">
      <c r="A271" s="1">
        <v>49813.0</v>
      </c>
      <c r="B271" s="1">
        <v>11203.0</v>
      </c>
      <c r="C271" s="1">
        <v>1.612789741E9</v>
      </c>
      <c r="D271" s="1">
        <v>4.0</v>
      </c>
      <c r="E271" s="1" t="b">
        <v>0</v>
      </c>
      <c r="F271" s="1" t="s">
        <v>14249</v>
      </c>
    </row>
    <row r="272">
      <c r="A272" s="1">
        <v>49813.0</v>
      </c>
      <c r="B272" s="1">
        <v>5124.0</v>
      </c>
      <c r="C272" s="1">
        <v>1.611317377E9</v>
      </c>
      <c r="D272" s="1">
        <v>4.0</v>
      </c>
      <c r="E272" s="1" t="b">
        <v>0</v>
      </c>
      <c r="F272" s="1" t="s">
        <v>14250</v>
      </c>
    </row>
    <row r="273">
      <c r="A273" s="1">
        <v>49813.0</v>
      </c>
      <c r="B273" s="1">
        <v>17204.0</v>
      </c>
      <c r="C273" s="1">
        <v>1.619241977E9</v>
      </c>
      <c r="D273" s="1">
        <v>4.0</v>
      </c>
      <c r="E273" s="1" t="b">
        <v>0</v>
      </c>
      <c r="F273" s="1" t="s">
        <v>14251</v>
      </c>
    </row>
    <row r="274">
      <c r="A274" s="1">
        <v>49813.0</v>
      </c>
      <c r="B274" s="1">
        <v>16827.0</v>
      </c>
      <c r="C274" s="1">
        <v>1.618316127E9</v>
      </c>
      <c r="D274" s="1">
        <v>4.0</v>
      </c>
      <c r="E274" s="1" t="b">
        <v>0</v>
      </c>
      <c r="F274" s="1" t="s">
        <v>14252</v>
      </c>
    </row>
    <row r="275">
      <c r="A275" s="1">
        <v>49813.0</v>
      </c>
      <c r="B275" s="1">
        <v>6069.0</v>
      </c>
      <c r="C275" s="1">
        <v>1.617958367E9</v>
      </c>
      <c r="D275" s="1">
        <v>4.0</v>
      </c>
      <c r="E275" s="1" t="b">
        <v>0</v>
      </c>
      <c r="F275" s="1" t="s">
        <v>14253</v>
      </c>
    </row>
    <row r="276">
      <c r="A276" s="1">
        <v>49813.0</v>
      </c>
      <c r="B276" s="1">
        <v>822.0</v>
      </c>
      <c r="C276" s="1">
        <v>1.604295023E9</v>
      </c>
      <c r="D276" s="1">
        <v>4.0</v>
      </c>
      <c r="E276" s="1" t="b">
        <v>0</v>
      </c>
      <c r="F276" s="1" t="s">
        <v>14254</v>
      </c>
    </row>
    <row r="277">
      <c r="A277" s="1">
        <v>49813.0</v>
      </c>
      <c r="B277" s="1">
        <v>17219.0</v>
      </c>
      <c r="C277" s="1">
        <v>1.621405187E9</v>
      </c>
      <c r="D277" s="1">
        <v>4.0</v>
      </c>
      <c r="E277" s="1" t="b">
        <v>0</v>
      </c>
      <c r="F277" s="1" t="s">
        <v>14255</v>
      </c>
    </row>
    <row r="278">
      <c r="A278" s="1">
        <v>49813.0</v>
      </c>
      <c r="B278" s="1">
        <v>1778.0</v>
      </c>
      <c r="C278" s="1">
        <v>1.60671585E9</v>
      </c>
      <c r="D278" s="1">
        <v>4.0</v>
      </c>
      <c r="E278" s="1" t="b">
        <v>0</v>
      </c>
      <c r="F278" s="1" t="s">
        <v>14256</v>
      </c>
    </row>
    <row r="279">
      <c r="A279" s="1">
        <v>49813.0</v>
      </c>
      <c r="B279" s="1">
        <v>12724.0</v>
      </c>
      <c r="C279" s="1">
        <v>1.613046949E9</v>
      </c>
      <c r="D279" s="1">
        <v>4.0</v>
      </c>
      <c r="E279" s="1" t="b">
        <v>0</v>
      </c>
      <c r="F279" s="1" t="s">
        <v>14257</v>
      </c>
    </row>
    <row r="280">
      <c r="A280" s="1">
        <v>49813.0</v>
      </c>
      <c r="B280" s="1">
        <v>17200.0</v>
      </c>
      <c r="C280" s="1">
        <v>1.619191866E9</v>
      </c>
      <c r="D280" s="1">
        <v>4.0</v>
      </c>
      <c r="E280" s="1" t="b">
        <v>0</v>
      </c>
      <c r="F280" s="1" t="s">
        <v>14258</v>
      </c>
    </row>
    <row r="281">
      <c r="A281" s="1">
        <v>49813.0</v>
      </c>
      <c r="B281" s="1">
        <v>1981.0</v>
      </c>
      <c r="C281" s="1">
        <v>1.607147194E9</v>
      </c>
      <c r="D281" s="1">
        <v>4.0</v>
      </c>
      <c r="E281" s="1" t="b">
        <v>0</v>
      </c>
      <c r="F281" s="1" t="s">
        <v>14259</v>
      </c>
    </row>
    <row r="282">
      <c r="A282" s="1">
        <v>49813.0</v>
      </c>
      <c r="B282" s="1">
        <v>1276.0</v>
      </c>
      <c r="C282" s="1">
        <v>1.60450259E9</v>
      </c>
      <c r="D282" s="1">
        <v>4.0</v>
      </c>
      <c r="E282" s="1" t="b">
        <v>0</v>
      </c>
      <c r="F282" s="1" t="s">
        <v>14260</v>
      </c>
    </row>
    <row r="283">
      <c r="A283" s="1">
        <v>49813.0</v>
      </c>
      <c r="B283" s="1">
        <v>18628.0</v>
      </c>
      <c r="C283" s="1">
        <v>1.621782288E9</v>
      </c>
      <c r="D283" s="1">
        <v>4.0</v>
      </c>
      <c r="E283" s="1" t="b">
        <v>0</v>
      </c>
      <c r="F283" s="1" t="s">
        <v>14261</v>
      </c>
    </row>
    <row r="284">
      <c r="A284" s="1">
        <v>49813.0</v>
      </c>
      <c r="B284" s="1">
        <v>17424.0</v>
      </c>
      <c r="C284" s="1">
        <v>1.61969383E9</v>
      </c>
      <c r="D284" s="1">
        <v>4.0</v>
      </c>
      <c r="E284" s="1" t="b">
        <v>0</v>
      </c>
      <c r="F284" s="1" t="s">
        <v>14262</v>
      </c>
    </row>
    <row r="285">
      <c r="A285" s="1">
        <v>49813.0</v>
      </c>
      <c r="B285" s="1">
        <v>5312.0</v>
      </c>
      <c r="C285" s="1">
        <v>1.612633118E9</v>
      </c>
      <c r="D285" s="1">
        <v>4.0</v>
      </c>
      <c r="E285" s="1" t="b">
        <v>0</v>
      </c>
      <c r="F285" s="1" t="s">
        <v>14263</v>
      </c>
    </row>
    <row r="286">
      <c r="A286" s="1">
        <v>49813.0</v>
      </c>
      <c r="B286" s="1">
        <v>3866.0</v>
      </c>
      <c r="C286" s="1">
        <v>1.610830648E9</v>
      </c>
      <c r="D286" s="1">
        <v>4.0</v>
      </c>
      <c r="E286" s="1" t="b">
        <v>0</v>
      </c>
      <c r="F286" s="1" t="s">
        <v>14264</v>
      </c>
    </row>
    <row r="287">
      <c r="A287" s="1">
        <v>49813.0</v>
      </c>
      <c r="B287" s="1">
        <v>3517.0</v>
      </c>
      <c r="C287" s="1">
        <v>1.610627102E9</v>
      </c>
      <c r="D287" s="1">
        <v>4.0</v>
      </c>
      <c r="E287" s="1" t="b">
        <v>0</v>
      </c>
      <c r="F287" s="1" t="s">
        <v>14265</v>
      </c>
    </row>
    <row r="288">
      <c r="A288" s="1">
        <v>49813.0</v>
      </c>
      <c r="B288" s="1">
        <v>9294.0</v>
      </c>
      <c r="C288" s="1">
        <v>1.612116156E9</v>
      </c>
      <c r="D288" s="1">
        <v>4.0</v>
      </c>
      <c r="E288" s="1" t="b">
        <v>0</v>
      </c>
      <c r="F288" s="1" t="s">
        <v>14266</v>
      </c>
    </row>
    <row r="289">
      <c r="A289" s="1">
        <v>49813.0</v>
      </c>
      <c r="B289" s="1">
        <v>9870.0</v>
      </c>
      <c r="C289" s="1">
        <v>1.61226297E9</v>
      </c>
      <c r="D289" s="1">
        <v>4.0</v>
      </c>
      <c r="E289" s="1" t="b">
        <v>0</v>
      </c>
      <c r="F289" s="1" t="s">
        <v>14267</v>
      </c>
    </row>
    <row r="290">
      <c r="A290" s="1">
        <v>49813.0</v>
      </c>
      <c r="B290" s="1">
        <v>1360.0</v>
      </c>
      <c r="C290" s="1">
        <v>1.605117943E9</v>
      </c>
      <c r="D290" s="1">
        <v>4.0</v>
      </c>
      <c r="E290" s="1" t="b">
        <v>0</v>
      </c>
      <c r="F290" s="1" t="s">
        <v>14268</v>
      </c>
    </row>
    <row r="291">
      <c r="A291" s="1">
        <v>49813.0</v>
      </c>
      <c r="B291" s="1">
        <v>1413.0</v>
      </c>
      <c r="C291" s="1">
        <v>1.605679509E9</v>
      </c>
      <c r="D291" s="1">
        <v>4.0</v>
      </c>
      <c r="E291" s="1" t="b">
        <v>0</v>
      </c>
      <c r="F291" s="1" t="s">
        <v>14269</v>
      </c>
      <c r="G291" s="1" t="b">
        <v>1</v>
      </c>
    </row>
    <row r="292">
      <c r="A292" s="1">
        <v>49813.0</v>
      </c>
      <c r="B292" s="1">
        <v>11936.0</v>
      </c>
      <c r="C292" s="1">
        <v>1.612868639E9</v>
      </c>
      <c r="D292" s="1">
        <v>4.0</v>
      </c>
      <c r="E292" s="1" t="b">
        <v>0</v>
      </c>
      <c r="F292" s="1" t="s">
        <v>14270</v>
      </c>
    </row>
    <row r="293">
      <c r="A293" s="1">
        <v>49813.0</v>
      </c>
      <c r="B293" s="1">
        <v>3786.0</v>
      </c>
      <c r="C293" s="1">
        <v>1.610802011E9</v>
      </c>
      <c r="D293" s="1">
        <v>4.0</v>
      </c>
      <c r="E293" s="1" t="b">
        <v>0</v>
      </c>
      <c r="F293" s="1" t="s">
        <v>14271</v>
      </c>
    </row>
    <row r="294">
      <c r="A294" s="1">
        <v>49813.0</v>
      </c>
      <c r="B294" s="1">
        <v>18720.0</v>
      </c>
      <c r="C294" s="1">
        <v>1.621872817E9</v>
      </c>
      <c r="D294" s="1">
        <v>4.0</v>
      </c>
      <c r="E294" s="1" t="b">
        <v>0</v>
      </c>
      <c r="F294" s="1" t="s">
        <v>14272</v>
      </c>
    </row>
    <row r="295">
      <c r="A295" s="1">
        <v>49813.0</v>
      </c>
      <c r="B295" s="1">
        <v>10934.0</v>
      </c>
      <c r="C295" s="1">
        <v>1.612634441E9</v>
      </c>
      <c r="D295" s="1">
        <v>4.0</v>
      </c>
      <c r="E295" s="1" t="b">
        <v>0</v>
      </c>
      <c r="F295" s="1" t="s">
        <v>14273</v>
      </c>
    </row>
    <row r="296">
      <c r="A296" s="1">
        <v>49813.0</v>
      </c>
      <c r="B296" s="1">
        <v>19618.0</v>
      </c>
      <c r="C296" s="1">
        <v>1.62307412E9</v>
      </c>
      <c r="D296" s="1">
        <v>4.0</v>
      </c>
      <c r="E296" s="1" t="b">
        <v>0</v>
      </c>
      <c r="F296" s="1" t="s">
        <v>14274</v>
      </c>
    </row>
    <row r="297">
      <c r="A297" s="1">
        <v>49813.0</v>
      </c>
      <c r="B297" s="1">
        <v>15488.0</v>
      </c>
      <c r="C297" s="1">
        <v>1.614604412E9</v>
      </c>
      <c r="D297" s="1">
        <v>4.0</v>
      </c>
      <c r="E297" s="1" t="b">
        <v>0</v>
      </c>
      <c r="F297" s="1" t="s">
        <v>14275</v>
      </c>
    </row>
    <row r="298">
      <c r="A298" s="1">
        <v>49813.0</v>
      </c>
      <c r="B298" s="1">
        <v>19711.0</v>
      </c>
      <c r="C298" s="1">
        <v>1.623206538E9</v>
      </c>
      <c r="D298" s="1">
        <v>4.0</v>
      </c>
      <c r="E298" s="1" t="b">
        <v>0</v>
      </c>
      <c r="F298" s="1" t="s">
        <v>14276</v>
      </c>
    </row>
    <row r="299">
      <c r="A299" s="1">
        <v>49813.0</v>
      </c>
      <c r="B299" s="1">
        <v>3422.0</v>
      </c>
      <c r="C299" s="1">
        <v>1.610475755E9</v>
      </c>
      <c r="D299" s="1">
        <v>4.0</v>
      </c>
      <c r="E299" s="1" t="b">
        <v>0</v>
      </c>
      <c r="F299" s="1" t="s">
        <v>14277</v>
      </c>
    </row>
    <row r="300">
      <c r="A300" s="1">
        <v>49813.0</v>
      </c>
      <c r="B300" s="1">
        <v>17893.0</v>
      </c>
      <c r="C300" s="1">
        <v>1.620642174E9</v>
      </c>
      <c r="D300" s="1">
        <v>4.0</v>
      </c>
      <c r="E300" s="1" t="b">
        <v>0</v>
      </c>
      <c r="F300" s="1" t="s">
        <v>14278</v>
      </c>
    </row>
    <row r="301">
      <c r="A301" s="1">
        <v>49813.0</v>
      </c>
      <c r="B301" s="1">
        <v>17344.0</v>
      </c>
      <c r="C301" s="1">
        <v>1.619504836E9</v>
      </c>
      <c r="D301" s="1">
        <v>4.0</v>
      </c>
      <c r="E301" s="1" t="b">
        <v>0</v>
      </c>
      <c r="F301" s="1" t="s">
        <v>14279</v>
      </c>
    </row>
    <row r="302">
      <c r="A302" s="1">
        <v>49813.0</v>
      </c>
      <c r="B302" s="1">
        <v>3210.0</v>
      </c>
      <c r="C302" s="1">
        <v>1.610053E9</v>
      </c>
      <c r="D302" s="1">
        <v>4.0</v>
      </c>
      <c r="E302" s="1" t="b">
        <v>0</v>
      </c>
      <c r="F302" s="1" t="s">
        <v>14280</v>
      </c>
    </row>
    <row r="303">
      <c r="A303" s="1">
        <v>49813.0</v>
      </c>
      <c r="B303" s="1">
        <v>5082.0</v>
      </c>
      <c r="C303" s="1">
        <v>1.611774555E9</v>
      </c>
      <c r="D303" s="1">
        <v>4.0</v>
      </c>
      <c r="E303" s="1" t="b">
        <v>0</v>
      </c>
      <c r="F303" s="1" t="s">
        <v>14281</v>
      </c>
    </row>
    <row r="304">
      <c r="A304" s="1">
        <v>49813.0</v>
      </c>
      <c r="B304" s="1">
        <v>2615.0</v>
      </c>
      <c r="C304" s="1">
        <v>1.608729798E9</v>
      </c>
      <c r="D304" s="1">
        <v>4.0</v>
      </c>
      <c r="E304" s="1" t="b">
        <v>0</v>
      </c>
      <c r="F304" s="1" t="s">
        <v>14282</v>
      </c>
    </row>
    <row r="305">
      <c r="A305" s="1">
        <v>49813.0</v>
      </c>
      <c r="B305" s="1">
        <v>17142.0</v>
      </c>
      <c r="C305" s="1">
        <v>1.619109272E9</v>
      </c>
      <c r="D305" s="1">
        <v>4.0</v>
      </c>
      <c r="E305" s="1" t="b">
        <v>0</v>
      </c>
      <c r="F305" s="1" t="s">
        <v>14283</v>
      </c>
    </row>
    <row r="306">
      <c r="A306" s="1">
        <v>49813.0</v>
      </c>
      <c r="B306" s="1">
        <v>16843.0</v>
      </c>
      <c r="C306" s="1">
        <v>1.618404949E9</v>
      </c>
      <c r="D306" s="1">
        <v>4.0</v>
      </c>
      <c r="E306" s="1" t="b">
        <v>0</v>
      </c>
      <c r="F306" s="1" t="s">
        <v>14284</v>
      </c>
    </row>
    <row r="307">
      <c r="A307" s="1">
        <v>49813.0</v>
      </c>
      <c r="B307" s="1">
        <v>1345.0</v>
      </c>
      <c r="C307" s="1">
        <v>1.605018009E9</v>
      </c>
      <c r="D307" s="1">
        <v>9.0</v>
      </c>
      <c r="E307" s="1" t="b">
        <v>0</v>
      </c>
      <c r="F307" s="1" t="s">
        <v>14285</v>
      </c>
    </row>
    <row r="308">
      <c r="A308" s="1">
        <v>49813.0</v>
      </c>
      <c r="B308" s="1">
        <v>11506.0</v>
      </c>
      <c r="C308" s="1">
        <v>1.612774936E9</v>
      </c>
      <c r="D308" s="1">
        <v>4.0</v>
      </c>
      <c r="E308" s="1" t="b">
        <v>0</v>
      </c>
      <c r="F308" s="1" t="s">
        <v>14286</v>
      </c>
    </row>
    <row r="309">
      <c r="A309" s="1">
        <v>49813.0</v>
      </c>
      <c r="B309" s="1">
        <v>1990.0</v>
      </c>
      <c r="C309" s="1">
        <v>1.607158536E9</v>
      </c>
      <c r="D309" s="1">
        <v>4.0</v>
      </c>
      <c r="E309" s="1" t="b">
        <v>0</v>
      </c>
      <c r="F309" s="1" t="s">
        <v>14287</v>
      </c>
    </row>
    <row r="310">
      <c r="A310" s="1">
        <v>49813.0</v>
      </c>
      <c r="B310" s="1">
        <v>1378.0</v>
      </c>
      <c r="C310" s="1">
        <v>1.60532569E9</v>
      </c>
      <c r="D310" s="1">
        <v>4.0</v>
      </c>
      <c r="E310" s="1" t="b">
        <v>0</v>
      </c>
      <c r="F310" s="1" t="s">
        <v>14288</v>
      </c>
    </row>
    <row r="311">
      <c r="A311" s="1">
        <v>49813.0</v>
      </c>
      <c r="B311" s="1">
        <v>7264.0</v>
      </c>
      <c r="C311" s="1">
        <v>1.611896379E9</v>
      </c>
      <c r="D311" s="1">
        <v>4.0</v>
      </c>
      <c r="E311" s="1" t="b">
        <v>0</v>
      </c>
      <c r="F311" s="1" t="s">
        <v>14289</v>
      </c>
    </row>
    <row r="312">
      <c r="A312" s="1">
        <v>49813.0</v>
      </c>
      <c r="B312" s="1">
        <v>20430.0</v>
      </c>
      <c r="C312" s="1">
        <v>1.62435684E9</v>
      </c>
      <c r="D312" s="1">
        <v>4.0</v>
      </c>
      <c r="E312" s="1" t="b">
        <v>0</v>
      </c>
      <c r="F312" s="1" t="s">
        <v>14290</v>
      </c>
    </row>
    <row r="313">
      <c r="A313" s="1">
        <v>49813.0</v>
      </c>
      <c r="B313" s="1">
        <v>17199.0</v>
      </c>
      <c r="C313" s="1">
        <v>1.619190177E9</v>
      </c>
      <c r="D313" s="1">
        <v>4.0</v>
      </c>
      <c r="E313" s="1" t="b">
        <v>0</v>
      </c>
      <c r="F313" s="1" t="s">
        <v>14291</v>
      </c>
    </row>
    <row r="314">
      <c r="A314" s="1">
        <v>49813.0</v>
      </c>
      <c r="B314" s="1">
        <v>12853.0</v>
      </c>
      <c r="C314" s="1">
        <v>1.613104162E9</v>
      </c>
      <c r="D314" s="1">
        <v>4.0</v>
      </c>
      <c r="E314" s="1" t="b">
        <v>0</v>
      </c>
      <c r="F314" s="1" t="s">
        <v>14292</v>
      </c>
    </row>
    <row r="315">
      <c r="A315" s="1">
        <v>49813.0</v>
      </c>
      <c r="B315" s="1">
        <v>3939.0</v>
      </c>
      <c r="C315" s="1">
        <v>1.610890134E9</v>
      </c>
      <c r="D315" s="1">
        <v>4.0</v>
      </c>
      <c r="E315" s="1" t="b">
        <v>0</v>
      </c>
      <c r="F315" s="1" t="s">
        <v>14293</v>
      </c>
    </row>
    <row r="316">
      <c r="A316" s="1">
        <v>49813.0</v>
      </c>
      <c r="B316" s="1">
        <v>16991.0</v>
      </c>
      <c r="C316" s="1">
        <v>1.618811008E9</v>
      </c>
      <c r="D316" s="1">
        <v>4.0</v>
      </c>
      <c r="E316" s="1" t="b">
        <v>0</v>
      </c>
      <c r="F316" s="1" t="s">
        <v>14294</v>
      </c>
    </row>
    <row r="317">
      <c r="A317" s="1">
        <v>49813.0</v>
      </c>
      <c r="B317" s="1">
        <v>16797.0</v>
      </c>
      <c r="C317" s="1">
        <v>1.619438266E9</v>
      </c>
      <c r="D317" s="1">
        <v>4.0</v>
      </c>
      <c r="E317" s="1" t="b">
        <v>0</v>
      </c>
      <c r="F317" s="1" t="s">
        <v>14295</v>
      </c>
    </row>
    <row r="318">
      <c r="A318" s="1">
        <v>49813.0</v>
      </c>
      <c r="B318" s="1">
        <v>17914.0</v>
      </c>
      <c r="C318" s="1">
        <v>1.620904733E9</v>
      </c>
      <c r="D318" s="1">
        <v>4.0</v>
      </c>
      <c r="E318" s="1" t="b">
        <v>0</v>
      </c>
      <c r="F318" s="1" t="s">
        <v>14296</v>
      </c>
    </row>
    <row r="319">
      <c r="A319" s="1">
        <v>49813.0</v>
      </c>
      <c r="B319" s="1">
        <v>17268.0</v>
      </c>
      <c r="C319" s="1">
        <v>1.619335097E9</v>
      </c>
      <c r="D319" s="1">
        <v>4.0</v>
      </c>
      <c r="E319" s="1" t="b">
        <v>0</v>
      </c>
      <c r="F319" s="1" t="s">
        <v>14297</v>
      </c>
    </row>
    <row r="320">
      <c r="A320" s="1">
        <v>49813.0</v>
      </c>
      <c r="B320" s="1">
        <v>16293.0</v>
      </c>
      <c r="C320" s="1">
        <v>1.616077803E9</v>
      </c>
      <c r="D320" s="1">
        <v>4.0</v>
      </c>
      <c r="E320" s="1" t="b">
        <v>0</v>
      </c>
      <c r="F320" s="1" t="s">
        <v>14298</v>
      </c>
    </row>
    <row r="321">
      <c r="A321" s="1">
        <v>49813.0</v>
      </c>
      <c r="B321" s="1">
        <v>15957.0</v>
      </c>
      <c r="C321" s="1">
        <v>1.615213228E9</v>
      </c>
      <c r="D321" s="1">
        <v>4.0</v>
      </c>
      <c r="E321" s="1" t="b">
        <v>0</v>
      </c>
      <c r="F321" s="1" t="s">
        <v>14299</v>
      </c>
    </row>
    <row r="322">
      <c r="A322" s="1">
        <v>49813.0</v>
      </c>
      <c r="B322" s="1">
        <v>5024.0</v>
      </c>
      <c r="C322" s="1">
        <v>1.611299309E9</v>
      </c>
      <c r="D322" s="1">
        <v>4.0</v>
      </c>
      <c r="E322" s="1" t="b">
        <v>0</v>
      </c>
      <c r="F322" s="1" t="s">
        <v>14300</v>
      </c>
    </row>
    <row r="323">
      <c r="A323" s="1">
        <v>49813.0</v>
      </c>
      <c r="B323" s="1">
        <v>14912.0</v>
      </c>
      <c r="C323" s="1">
        <v>1.623072557E9</v>
      </c>
      <c r="D323" s="1">
        <v>4.0</v>
      </c>
      <c r="E323" s="1" t="b">
        <v>0</v>
      </c>
      <c r="F323" s="1" t="s">
        <v>14301</v>
      </c>
    </row>
    <row r="324">
      <c r="A324" s="1">
        <v>49813.0</v>
      </c>
      <c r="B324" s="1">
        <v>4881.0</v>
      </c>
      <c r="C324" s="1">
        <v>1.611255864E9</v>
      </c>
      <c r="D324" s="1">
        <v>4.0</v>
      </c>
      <c r="E324" s="1" t="b">
        <v>0</v>
      </c>
      <c r="F324" s="1" t="s">
        <v>14302</v>
      </c>
    </row>
    <row r="325">
      <c r="A325" s="1">
        <v>49813.0</v>
      </c>
      <c r="B325" s="1">
        <v>18536.0</v>
      </c>
      <c r="C325" s="1">
        <v>1.622974407E9</v>
      </c>
      <c r="D325" s="1">
        <v>4.0</v>
      </c>
      <c r="E325" s="1" t="b">
        <v>0</v>
      </c>
      <c r="F325" s="1" t="s">
        <v>14303</v>
      </c>
    </row>
    <row r="326">
      <c r="A326" s="1">
        <v>49813.0</v>
      </c>
      <c r="B326" s="1">
        <v>5052.0</v>
      </c>
      <c r="C326" s="1">
        <v>1.611303377E9</v>
      </c>
      <c r="D326" s="1">
        <v>4.0</v>
      </c>
      <c r="E326" s="1" t="b">
        <v>0</v>
      </c>
      <c r="F326" s="1" t="s">
        <v>14304</v>
      </c>
    </row>
    <row r="327">
      <c r="A327" s="1">
        <v>49813.0</v>
      </c>
      <c r="B327" s="1">
        <v>5290.0</v>
      </c>
      <c r="C327" s="1">
        <v>1.611387305E9</v>
      </c>
      <c r="D327" s="1">
        <v>4.0</v>
      </c>
      <c r="E327" s="1" t="b">
        <v>0</v>
      </c>
      <c r="F327" s="1" t="s">
        <v>14305</v>
      </c>
    </row>
    <row r="328">
      <c r="A328" s="1">
        <v>49813.0</v>
      </c>
      <c r="B328" s="1">
        <v>1453.0</v>
      </c>
      <c r="C328" s="1">
        <v>1.605891577E9</v>
      </c>
      <c r="D328" s="1">
        <v>4.0</v>
      </c>
      <c r="E328" s="1" t="b">
        <v>0</v>
      </c>
      <c r="F328" s="1" t="s">
        <v>14306</v>
      </c>
    </row>
    <row r="329">
      <c r="A329" s="1">
        <v>49813.0</v>
      </c>
      <c r="B329" s="1">
        <v>17874.0</v>
      </c>
      <c r="C329" s="1">
        <v>1.62114738E9</v>
      </c>
      <c r="D329" s="1">
        <v>4.0</v>
      </c>
      <c r="E329" s="1" t="b">
        <v>0</v>
      </c>
      <c r="F329" s="1" t="s">
        <v>14307</v>
      </c>
    </row>
    <row r="330">
      <c r="A330" s="1">
        <v>49813.0</v>
      </c>
      <c r="B330" s="1">
        <v>7912.0</v>
      </c>
      <c r="C330" s="1">
        <v>1.611918163E9</v>
      </c>
      <c r="D330" s="1">
        <v>4.0</v>
      </c>
      <c r="E330" s="1" t="b">
        <v>0</v>
      </c>
      <c r="F330" s="1" t="s">
        <v>14308</v>
      </c>
    </row>
    <row r="331">
      <c r="A331" s="1">
        <v>49813.0</v>
      </c>
      <c r="B331" s="1">
        <v>17748.0</v>
      </c>
      <c r="C331" s="1">
        <v>1.620492946E9</v>
      </c>
      <c r="D331" s="1">
        <v>4.0</v>
      </c>
      <c r="E331" s="1" t="b">
        <v>0</v>
      </c>
      <c r="F331" s="1" t="s">
        <v>14309</v>
      </c>
    </row>
    <row r="332">
      <c r="A332" s="1">
        <v>49813.0</v>
      </c>
      <c r="B332" s="1">
        <v>16892.0</v>
      </c>
      <c r="C332" s="1">
        <v>1.619018644E9</v>
      </c>
      <c r="D332" s="1">
        <v>4.0</v>
      </c>
      <c r="E332" s="1" t="b">
        <v>0</v>
      </c>
      <c r="F332" s="1" t="s">
        <v>14310</v>
      </c>
    </row>
    <row r="333">
      <c r="A333" s="1">
        <v>49833.0</v>
      </c>
      <c r="B333" s="1">
        <v>19822.0</v>
      </c>
      <c r="C333" s="1">
        <v>1.623340395E9</v>
      </c>
      <c r="D333" s="1">
        <v>4.0</v>
      </c>
      <c r="E333" s="1" t="b">
        <v>0</v>
      </c>
      <c r="F333" s="1" t="s">
        <v>14311</v>
      </c>
    </row>
    <row r="334">
      <c r="A334" s="1">
        <v>49833.0</v>
      </c>
      <c r="B334" s="1">
        <v>5493.0</v>
      </c>
      <c r="C334" s="1">
        <v>1.611423348E9</v>
      </c>
      <c r="D334" s="1">
        <v>4.0</v>
      </c>
      <c r="E334" s="1" t="b">
        <v>0</v>
      </c>
      <c r="F334" s="1" t="s">
        <v>14312</v>
      </c>
    </row>
    <row r="335">
      <c r="A335" s="1">
        <v>49833.0</v>
      </c>
      <c r="B335" s="1">
        <v>8233.0</v>
      </c>
      <c r="C335" s="1">
        <v>1.611999167E9</v>
      </c>
      <c r="D335" s="1">
        <v>4.0</v>
      </c>
      <c r="E335" s="1" t="b">
        <v>0</v>
      </c>
      <c r="F335" s="1" t="s">
        <v>14313</v>
      </c>
    </row>
    <row r="336">
      <c r="A336" s="1">
        <v>49833.0</v>
      </c>
      <c r="B336" s="1">
        <v>2770.0</v>
      </c>
      <c r="C336" s="1">
        <v>1.609294556E9</v>
      </c>
      <c r="D336" s="1">
        <v>4.0</v>
      </c>
      <c r="E336" s="1" t="b">
        <v>0</v>
      </c>
      <c r="F336" s="1" t="s">
        <v>14314</v>
      </c>
    </row>
    <row r="337">
      <c r="A337" s="1">
        <v>49833.0</v>
      </c>
      <c r="B337" s="1">
        <v>4648.0</v>
      </c>
      <c r="C337" s="1">
        <v>1.611206338E9</v>
      </c>
      <c r="D337" s="1">
        <v>4.0</v>
      </c>
      <c r="E337" s="1" t="b">
        <v>0</v>
      </c>
      <c r="F337" s="1" t="s">
        <v>14315</v>
      </c>
    </row>
    <row r="338">
      <c r="A338" s="1">
        <v>49833.0</v>
      </c>
      <c r="B338" s="1">
        <v>19821.0</v>
      </c>
      <c r="C338" s="1">
        <v>1.623340075E9</v>
      </c>
      <c r="D338" s="1">
        <v>4.0</v>
      </c>
      <c r="E338" s="1" t="b">
        <v>0</v>
      </c>
      <c r="F338" s="1" t="s">
        <v>14316</v>
      </c>
    </row>
    <row r="339">
      <c r="A339" s="1">
        <v>49833.0</v>
      </c>
      <c r="B339" s="1">
        <v>3917.0</v>
      </c>
      <c r="C339" s="1">
        <v>1.610881759E9</v>
      </c>
      <c r="D339" s="1">
        <v>4.0</v>
      </c>
      <c r="E339" s="1" t="b">
        <v>0</v>
      </c>
      <c r="F339" s="1" t="s">
        <v>14317</v>
      </c>
    </row>
    <row r="340">
      <c r="A340" s="1">
        <v>49833.0</v>
      </c>
      <c r="B340" s="1">
        <v>6453.0</v>
      </c>
      <c r="C340" s="1">
        <v>1.611686154E9</v>
      </c>
      <c r="D340" s="1">
        <v>4.0</v>
      </c>
      <c r="E340" s="1" t="b">
        <v>0</v>
      </c>
      <c r="F340" s="1" t="s">
        <v>14318</v>
      </c>
    </row>
    <row r="341">
      <c r="A341" s="1">
        <v>49833.0</v>
      </c>
      <c r="B341" s="1">
        <v>6410.0</v>
      </c>
      <c r="C341" s="1">
        <v>1.611686155E9</v>
      </c>
      <c r="D341" s="1">
        <v>4.0</v>
      </c>
      <c r="E341" s="1" t="b">
        <v>0</v>
      </c>
      <c r="F341" s="1" t="s">
        <v>14319</v>
      </c>
    </row>
    <row r="342">
      <c r="A342" s="1">
        <v>49833.0</v>
      </c>
      <c r="B342" s="1">
        <v>5084.0</v>
      </c>
      <c r="C342" s="1">
        <v>1.612766018E9</v>
      </c>
      <c r="D342" s="1">
        <v>4.0</v>
      </c>
      <c r="E342" s="1" t="b">
        <v>0</v>
      </c>
      <c r="F342" s="1" t="s">
        <v>14320</v>
      </c>
    </row>
    <row r="343">
      <c r="A343" s="1">
        <v>49833.0</v>
      </c>
      <c r="B343" s="1">
        <v>3782.0</v>
      </c>
      <c r="C343" s="1">
        <v>1.610800768E9</v>
      </c>
      <c r="D343" s="1">
        <v>4.0</v>
      </c>
      <c r="E343" s="1" t="b">
        <v>0</v>
      </c>
      <c r="F343" s="1" t="s">
        <v>14321</v>
      </c>
    </row>
    <row r="344">
      <c r="A344" s="1">
        <v>49833.0</v>
      </c>
      <c r="B344" s="1">
        <v>19436.0</v>
      </c>
      <c r="C344" s="1">
        <v>1.622715062E9</v>
      </c>
      <c r="D344" s="1">
        <v>4.0</v>
      </c>
      <c r="E344" s="1" t="b">
        <v>0</v>
      </c>
      <c r="F344" s="1" t="s">
        <v>14322</v>
      </c>
    </row>
    <row r="345">
      <c r="A345" s="1">
        <v>49833.0</v>
      </c>
      <c r="B345" s="1">
        <v>18893.0</v>
      </c>
      <c r="C345" s="1">
        <v>1.622108167E9</v>
      </c>
      <c r="D345" s="1">
        <v>4.0</v>
      </c>
      <c r="E345" s="1" t="b">
        <v>0</v>
      </c>
      <c r="F345" s="1" t="s">
        <v>14231</v>
      </c>
    </row>
    <row r="346">
      <c r="A346" s="1">
        <v>49833.0</v>
      </c>
      <c r="B346" s="1">
        <v>10990.0</v>
      </c>
      <c r="C346" s="1">
        <v>1.612640935E9</v>
      </c>
      <c r="D346" s="1">
        <v>4.0</v>
      </c>
      <c r="E346" s="1" t="b">
        <v>0</v>
      </c>
      <c r="F346" s="1" t="s">
        <v>14323</v>
      </c>
    </row>
    <row r="347">
      <c r="A347" s="1">
        <v>49833.0</v>
      </c>
      <c r="B347" s="1">
        <v>18605.0</v>
      </c>
      <c r="C347" s="1">
        <v>1.621765997E9</v>
      </c>
      <c r="D347" s="1">
        <v>4.0</v>
      </c>
      <c r="E347" s="1" t="b">
        <v>0</v>
      </c>
      <c r="F347" s="1" t="s">
        <v>14324</v>
      </c>
    </row>
    <row r="348">
      <c r="A348" s="1">
        <v>49833.0</v>
      </c>
      <c r="B348" s="1">
        <v>6525.0</v>
      </c>
      <c r="C348" s="1">
        <v>1.611686157E9</v>
      </c>
      <c r="D348" s="1">
        <v>4.0</v>
      </c>
      <c r="E348" s="1" t="b">
        <v>0</v>
      </c>
      <c r="F348" s="1" t="s">
        <v>14325</v>
      </c>
    </row>
    <row r="349">
      <c r="A349" s="1">
        <v>49833.0</v>
      </c>
      <c r="B349" s="1">
        <v>18593.0</v>
      </c>
      <c r="C349" s="1">
        <v>1.621760067E9</v>
      </c>
      <c r="D349" s="1">
        <v>4.0</v>
      </c>
      <c r="E349" s="1" t="b">
        <v>0</v>
      </c>
      <c r="F349" s="1" t="s">
        <v>14326</v>
      </c>
    </row>
    <row r="350">
      <c r="A350" s="1">
        <v>49833.0</v>
      </c>
      <c r="B350" s="1">
        <v>6338.0</v>
      </c>
      <c r="C350" s="1">
        <v>1.611686153E9</v>
      </c>
      <c r="D350" s="1">
        <v>4.0</v>
      </c>
      <c r="E350" s="1" t="b">
        <v>0</v>
      </c>
      <c r="F350" s="1" t="s">
        <v>14327</v>
      </c>
    </row>
    <row r="351">
      <c r="A351" s="1">
        <v>49833.0</v>
      </c>
      <c r="B351" s="1">
        <v>18598.0</v>
      </c>
      <c r="C351" s="1">
        <v>1.621757574E9</v>
      </c>
      <c r="D351" s="1">
        <v>4.0</v>
      </c>
      <c r="E351" s="1" t="b">
        <v>0</v>
      </c>
      <c r="F351" s="1" t="s">
        <v>14328</v>
      </c>
    </row>
    <row r="352">
      <c r="A352" s="1">
        <v>49833.0</v>
      </c>
      <c r="B352" s="1">
        <v>3084.0</v>
      </c>
      <c r="C352" s="1">
        <v>1.609861532E9</v>
      </c>
      <c r="D352" s="1">
        <v>4.0</v>
      </c>
      <c r="E352" s="1" t="b">
        <v>0</v>
      </c>
      <c r="F352" s="1" t="s">
        <v>14329</v>
      </c>
    </row>
    <row r="353">
      <c r="A353" s="1">
        <v>49833.0</v>
      </c>
      <c r="B353" s="1">
        <v>3103.0</v>
      </c>
      <c r="C353" s="1">
        <v>1.609861821E9</v>
      </c>
      <c r="D353" s="1">
        <v>4.0</v>
      </c>
      <c r="E353" s="1" t="b">
        <v>0</v>
      </c>
      <c r="F353" s="1" t="s">
        <v>14330</v>
      </c>
    </row>
    <row r="354">
      <c r="A354" s="1">
        <v>49833.0</v>
      </c>
      <c r="B354" s="1">
        <v>3108.0</v>
      </c>
      <c r="C354" s="1">
        <v>1.609861917E9</v>
      </c>
      <c r="D354" s="1">
        <v>4.0</v>
      </c>
      <c r="E354" s="1" t="b">
        <v>0</v>
      </c>
      <c r="F354" s="1" t="s">
        <v>14331</v>
      </c>
    </row>
    <row r="355">
      <c r="A355" s="1">
        <v>49833.0</v>
      </c>
      <c r="B355" s="1">
        <v>18585.0</v>
      </c>
      <c r="C355" s="1">
        <v>1.621748003E9</v>
      </c>
      <c r="D355" s="1">
        <v>4.0</v>
      </c>
      <c r="E355" s="1" t="b">
        <v>0</v>
      </c>
      <c r="F355" s="1" t="s">
        <v>14332</v>
      </c>
    </row>
    <row r="356">
      <c r="A356" s="1">
        <v>49833.0</v>
      </c>
      <c r="B356" s="1">
        <v>18575.0</v>
      </c>
      <c r="C356" s="1">
        <v>1.621740139E9</v>
      </c>
      <c r="D356" s="1">
        <v>4.0</v>
      </c>
      <c r="E356" s="1" t="b">
        <v>0</v>
      </c>
      <c r="F356" s="1" t="s">
        <v>14333</v>
      </c>
    </row>
    <row r="357">
      <c r="A357" s="1">
        <v>49833.0</v>
      </c>
      <c r="B357" s="1">
        <v>3123.0</v>
      </c>
      <c r="C357" s="1">
        <v>1.609864505E9</v>
      </c>
      <c r="D357" s="1">
        <v>4.0</v>
      </c>
      <c r="E357" s="1" t="b">
        <v>0</v>
      </c>
      <c r="F357" s="1" t="s">
        <v>14334</v>
      </c>
    </row>
    <row r="358">
      <c r="A358" s="1">
        <v>49833.0</v>
      </c>
      <c r="B358" s="1">
        <v>3095.0</v>
      </c>
      <c r="C358" s="1">
        <v>1.609861752E9</v>
      </c>
      <c r="D358" s="1">
        <v>4.0</v>
      </c>
      <c r="E358" s="1" t="b">
        <v>0</v>
      </c>
      <c r="F358" s="1" t="s">
        <v>14335</v>
      </c>
    </row>
    <row r="359">
      <c r="A359" s="1">
        <v>49833.0</v>
      </c>
      <c r="B359" s="1">
        <v>18552.0</v>
      </c>
      <c r="C359" s="1">
        <v>1.621700482E9</v>
      </c>
      <c r="D359" s="1">
        <v>4.0</v>
      </c>
      <c r="E359" s="1" t="b">
        <v>0</v>
      </c>
      <c r="F359" s="1" t="s">
        <v>14336</v>
      </c>
    </row>
    <row r="360">
      <c r="A360" s="1">
        <v>49833.0</v>
      </c>
      <c r="B360" s="1">
        <v>3357.0</v>
      </c>
      <c r="C360" s="1">
        <v>1.610386012E9</v>
      </c>
      <c r="D360" s="1">
        <v>4.0</v>
      </c>
      <c r="E360" s="1" t="b">
        <v>0</v>
      </c>
      <c r="F360" s="1" t="s">
        <v>14337</v>
      </c>
    </row>
    <row r="361">
      <c r="A361" s="1">
        <v>49833.0</v>
      </c>
      <c r="B361" s="1">
        <v>18540.0</v>
      </c>
      <c r="C361" s="1">
        <v>1.621690144E9</v>
      </c>
      <c r="D361" s="1">
        <v>4.0</v>
      </c>
      <c r="E361" s="1" t="b">
        <v>0</v>
      </c>
      <c r="F361" s="1" t="s">
        <v>14338</v>
      </c>
    </row>
    <row r="362">
      <c r="A362" s="1">
        <v>49833.0</v>
      </c>
      <c r="B362" s="1">
        <v>2356.0</v>
      </c>
      <c r="C362" s="1">
        <v>1.608050751E9</v>
      </c>
      <c r="D362" s="1">
        <v>4.0</v>
      </c>
      <c r="E362" s="1" t="b">
        <v>0</v>
      </c>
      <c r="F362" s="1" t="s">
        <v>14339</v>
      </c>
    </row>
    <row r="363">
      <c r="A363" s="1">
        <v>49833.0</v>
      </c>
      <c r="B363" s="1">
        <v>11977.0</v>
      </c>
      <c r="C363" s="1">
        <v>1.612888027E9</v>
      </c>
      <c r="D363" s="1">
        <v>4.0</v>
      </c>
      <c r="E363" s="1" t="b">
        <v>0</v>
      </c>
      <c r="F363" s="1" t="s">
        <v>14340</v>
      </c>
    </row>
    <row r="364">
      <c r="A364" s="1">
        <v>49833.0</v>
      </c>
      <c r="B364" s="1">
        <v>9489.0</v>
      </c>
      <c r="C364" s="1">
        <v>1.612165219E9</v>
      </c>
      <c r="D364" s="1">
        <v>4.0</v>
      </c>
      <c r="E364" s="1" t="b">
        <v>0</v>
      </c>
      <c r="F364" s="1" t="s">
        <v>14341</v>
      </c>
    </row>
    <row r="365">
      <c r="A365" s="1">
        <v>49833.0</v>
      </c>
      <c r="B365" s="1">
        <v>18486.0</v>
      </c>
      <c r="C365" s="1">
        <v>1.621665375E9</v>
      </c>
      <c r="D365" s="1">
        <v>4.0</v>
      </c>
      <c r="E365" s="1" t="b">
        <v>0</v>
      </c>
      <c r="F365" s="1" t="s">
        <v>14342</v>
      </c>
    </row>
    <row r="366">
      <c r="A366" s="1">
        <v>49833.0</v>
      </c>
      <c r="B366" s="1">
        <v>2773.0</v>
      </c>
      <c r="C366" s="1">
        <v>1.60929464E9</v>
      </c>
      <c r="D366" s="1">
        <v>4.0</v>
      </c>
      <c r="E366" s="1" t="b">
        <v>0</v>
      </c>
      <c r="F366" s="1" t="s">
        <v>14343</v>
      </c>
    </row>
    <row r="367">
      <c r="A367" s="1">
        <v>49833.0</v>
      </c>
      <c r="B367" s="1">
        <v>5932.0</v>
      </c>
      <c r="C367" s="1">
        <v>1.611555378E9</v>
      </c>
      <c r="D367" s="1">
        <v>4.0</v>
      </c>
      <c r="E367" s="1" t="b">
        <v>0</v>
      </c>
      <c r="F367" s="1" t="s">
        <v>14344</v>
      </c>
    </row>
    <row r="368">
      <c r="A368" s="1">
        <v>49833.0</v>
      </c>
      <c r="B368" s="1">
        <v>3891.0</v>
      </c>
      <c r="C368" s="1">
        <v>1.610869246E9</v>
      </c>
      <c r="D368" s="1">
        <v>4.0</v>
      </c>
      <c r="E368" s="1" t="b">
        <v>0</v>
      </c>
      <c r="F368" s="1" t="s">
        <v>14345</v>
      </c>
    </row>
    <row r="369">
      <c r="A369" s="1">
        <v>49833.0</v>
      </c>
      <c r="B369" s="1">
        <v>18991.0</v>
      </c>
      <c r="C369" s="1">
        <v>1.622219106E9</v>
      </c>
      <c r="D369" s="1">
        <v>4.0</v>
      </c>
      <c r="E369" s="1" t="b">
        <v>0</v>
      </c>
      <c r="F369" s="1" t="s">
        <v>14346</v>
      </c>
    </row>
    <row r="370">
      <c r="A370" s="1">
        <v>49833.0</v>
      </c>
      <c r="B370" s="1">
        <v>10656.0</v>
      </c>
      <c r="C370" s="1">
        <v>1.612538191E9</v>
      </c>
      <c r="D370" s="1">
        <v>4.0</v>
      </c>
      <c r="E370" s="1" t="b">
        <v>0</v>
      </c>
      <c r="F370" s="1" t="s">
        <v>14347</v>
      </c>
    </row>
    <row r="371">
      <c r="A371" s="1">
        <v>49833.0</v>
      </c>
      <c r="B371" s="1">
        <v>18890.0</v>
      </c>
      <c r="C371" s="1">
        <v>1.622101831E9</v>
      </c>
      <c r="D371" s="1">
        <v>4.0</v>
      </c>
      <c r="E371" s="1" t="b">
        <v>0</v>
      </c>
      <c r="F371" s="1" t="s">
        <v>14348</v>
      </c>
    </row>
    <row r="372">
      <c r="A372" s="1">
        <v>49833.0</v>
      </c>
      <c r="B372" s="1">
        <v>6224.0</v>
      </c>
      <c r="C372" s="1">
        <v>1.611597689E9</v>
      </c>
      <c r="D372" s="1">
        <v>4.0</v>
      </c>
      <c r="E372" s="1" t="b">
        <v>0</v>
      </c>
      <c r="F372" s="1" t="s">
        <v>14349</v>
      </c>
    </row>
    <row r="373">
      <c r="A373" s="1">
        <v>49833.0</v>
      </c>
      <c r="B373" s="1">
        <v>8150.0</v>
      </c>
      <c r="C373" s="1">
        <v>1.611942987E9</v>
      </c>
      <c r="D373" s="1">
        <v>4.0</v>
      </c>
      <c r="E373" s="1" t="b">
        <v>0</v>
      </c>
      <c r="F373" s="1" t="s">
        <v>14350</v>
      </c>
    </row>
    <row r="374">
      <c r="A374" s="1">
        <v>49833.0</v>
      </c>
      <c r="B374" s="1">
        <v>7346.0</v>
      </c>
      <c r="C374" s="1">
        <v>1.611834691E9</v>
      </c>
      <c r="D374" s="1">
        <v>4.0</v>
      </c>
      <c r="E374" s="1" t="b">
        <v>0</v>
      </c>
      <c r="F374" s="1" t="s">
        <v>14351</v>
      </c>
    </row>
    <row r="375">
      <c r="A375" s="1">
        <v>49833.0</v>
      </c>
      <c r="B375" s="1">
        <v>5812.0</v>
      </c>
      <c r="C375" s="1">
        <v>1.611502278E9</v>
      </c>
      <c r="D375" s="1">
        <v>4.0</v>
      </c>
      <c r="E375" s="1" t="b">
        <v>0</v>
      </c>
      <c r="F375" s="1" t="s">
        <v>14352</v>
      </c>
    </row>
    <row r="376">
      <c r="A376" s="1">
        <v>49833.0</v>
      </c>
      <c r="B376" s="1">
        <v>5855.0</v>
      </c>
      <c r="C376" s="1">
        <v>1.611502279E9</v>
      </c>
      <c r="D376" s="1">
        <v>4.0</v>
      </c>
      <c r="E376" s="1" t="b">
        <v>0</v>
      </c>
      <c r="F376" s="1" t="s">
        <v>14353</v>
      </c>
    </row>
    <row r="377">
      <c r="A377" s="1">
        <v>49833.0</v>
      </c>
      <c r="B377" s="1">
        <v>5613.0</v>
      </c>
      <c r="C377" s="1">
        <v>1.611502283E9</v>
      </c>
      <c r="D377" s="1">
        <v>4.0</v>
      </c>
      <c r="E377" s="1" t="b">
        <v>0</v>
      </c>
      <c r="F377" s="1" t="s">
        <v>14354</v>
      </c>
    </row>
    <row r="378">
      <c r="A378" s="1">
        <v>49833.0</v>
      </c>
      <c r="B378" s="1">
        <v>10991.0</v>
      </c>
      <c r="C378" s="1">
        <v>1.612640936E9</v>
      </c>
      <c r="D378" s="1">
        <v>4.0</v>
      </c>
      <c r="E378" s="1" t="b">
        <v>0</v>
      </c>
      <c r="F378" s="1" t="s">
        <v>14355</v>
      </c>
    </row>
    <row r="379">
      <c r="A379" s="1">
        <v>49833.0</v>
      </c>
      <c r="B379" s="1">
        <v>6196.0</v>
      </c>
      <c r="C379" s="1">
        <v>1.611598869E9</v>
      </c>
      <c r="D379" s="1">
        <v>4.0</v>
      </c>
      <c r="E379" s="1" t="b">
        <v>0</v>
      </c>
      <c r="F379" s="1" t="s">
        <v>14356</v>
      </c>
    </row>
    <row r="380">
      <c r="A380" s="1">
        <v>49833.0</v>
      </c>
      <c r="B380" s="1">
        <v>5913.0</v>
      </c>
      <c r="C380" s="1">
        <v>1.61155539E9</v>
      </c>
      <c r="D380" s="1">
        <v>4.0</v>
      </c>
      <c r="E380" s="1" t="b">
        <v>0</v>
      </c>
      <c r="F380" s="1" t="s">
        <v>14357</v>
      </c>
    </row>
    <row r="381">
      <c r="A381" s="1">
        <v>49833.0</v>
      </c>
      <c r="B381" s="1">
        <v>18480.0</v>
      </c>
      <c r="C381" s="1">
        <v>1.621657484E9</v>
      </c>
      <c r="D381" s="1">
        <v>4.0</v>
      </c>
      <c r="E381" s="1" t="b">
        <v>0</v>
      </c>
      <c r="F381" s="1" t="s">
        <v>14358</v>
      </c>
    </row>
    <row r="382">
      <c r="A382" s="1">
        <v>49833.0</v>
      </c>
      <c r="B382" s="1">
        <v>17329.0</v>
      </c>
      <c r="C382" s="1">
        <v>1.619779117E9</v>
      </c>
      <c r="D382" s="1">
        <v>4.0</v>
      </c>
      <c r="E382" s="1" t="b">
        <v>0</v>
      </c>
      <c r="F382" s="1" t="s">
        <v>14359</v>
      </c>
    </row>
    <row r="383">
      <c r="A383" s="1">
        <v>49833.0</v>
      </c>
      <c r="B383" s="1">
        <v>19606.0</v>
      </c>
      <c r="C383" s="1">
        <v>1.623059562E9</v>
      </c>
      <c r="D383" s="1">
        <v>4.0</v>
      </c>
      <c r="E383" s="1" t="b">
        <v>0</v>
      </c>
      <c r="F383" s="1" t="s">
        <v>14360</v>
      </c>
    </row>
    <row r="384">
      <c r="A384" s="1">
        <v>49833.0</v>
      </c>
      <c r="B384" s="1">
        <v>2774.0</v>
      </c>
      <c r="C384" s="1">
        <v>1.60929528E9</v>
      </c>
      <c r="D384" s="1">
        <v>4.0</v>
      </c>
      <c r="E384" s="1" t="b">
        <v>0</v>
      </c>
      <c r="F384" s="1" t="s">
        <v>14361</v>
      </c>
    </row>
    <row r="385">
      <c r="A385" s="1">
        <v>49833.0</v>
      </c>
      <c r="B385" s="1">
        <v>2786.0</v>
      </c>
      <c r="C385" s="1">
        <v>1.609298995E9</v>
      </c>
      <c r="D385" s="1">
        <v>4.0</v>
      </c>
      <c r="E385" s="1" t="b">
        <v>0</v>
      </c>
      <c r="F385" s="1" t="s">
        <v>14362</v>
      </c>
    </row>
    <row r="386">
      <c r="A386" s="1">
        <v>49833.0</v>
      </c>
      <c r="B386" s="1">
        <v>12578.0</v>
      </c>
      <c r="C386" s="1">
        <v>1.613031425E9</v>
      </c>
      <c r="D386" s="1">
        <v>4.0</v>
      </c>
      <c r="E386" s="1" t="b">
        <v>0</v>
      </c>
      <c r="F386" s="1" t="s">
        <v>14363</v>
      </c>
    </row>
    <row r="387">
      <c r="A387" s="1">
        <v>49833.0</v>
      </c>
      <c r="B387" s="1">
        <v>8112.0</v>
      </c>
      <c r="C387" s="1">
        <v>1.611942986E9</v>
      </c>
      <c r="D387" s="1">
        <v>4.0</v>
      </c>
      <c r="E387" s="1" t="b">
        <v>0</v>
      </c>
      <c r="F387" s="1" t="s">
        <v>14364</v>
      </c>
    </row>
    <row r="388">
      <c r="A388" s="1">
        <v>49833.0</v>
      </c>
      <c r="B388" s="1">
        <v>6340.0</v>
      </c>
      <c r="C388" s="1">
        <v>1.611686158E9</v>
      </c>
      <c r="D388" s="1">
        <v>4.0</v>
      </c>
      <c r="E388" s="1" t="b">
        <v>0</v>
      </c>
      <c r="F388" s="1" t="s">
        <v>14365</v>
      </c>
    </row>
    <row r="389">
      <c r="A389" s="1">
        <v>49833.0</v>
      </c>
      <c r="B389" s="1">
        <v>2858.0</v>
      </c>
      <c r="C389" s="1">
        <v>1.609446073E9</v>
      </c>
      <c r="D389" s="1">
        <v>4.0</v>
      </c>
      <c r="E389" s="1" t="b">
        <v>0</v>
      </c>
      <c r="F389" s="1" t="s">
        <v>14366</v>
      </c>
    </row>
    <row r="390">
      <c r="A390" s="1">
        <v>49833.0</v>
      </c>
      <c r="B390" s="1">
        <v>6528.0</v>
      </c>
      <c r="C390" s="1">
        <v>1.611686159E9</v>
      </c>
      <c r="D390" s="1">
        <v>4.0</v>
      </c>
      <c r="E390" s="1" t="b">
        <v>0</v>
      </c>
      <c r="F390" s="1" t="s">
        <v>14367</v>
      </c>
    </row>
    <row r="391">
      <c r="A391" s="1">
        <v>49833.0</v>
      </c>
      <c r="B391" s="1">
        <v>6948.0</v>
      </c>
      <c r="C391" s="1">
        <v>1.611764296E9</v>
      </c>
      <c r="D391" s="1">
        <v>4.0</v>
      </c>
      <c r="E391" s="1" t="b">
        <v>0</v>
      </c>
      <c r="F391" s="1" t="s">
        <v>14368</v>
      </c>
    </row>
    <row r="392">
      <c r="A392" s="1">
        <v>49833.0</v>
      </c>
      <c r="B392" s="1">
        <v>7021.0</v>
      </c>
      <c r="C392" s="1">
        <v>1.611765413E9</v>
      </c>
      <c r="D392" s="1">
        <v>4.0</v>
      </c>
      <c r="E392" s="1" t="b">
        <v>0</v>
      </c>
      <c r="F392" s="1" t="s">
        <v>14369</v>
      </c>
    </row>
    <row r="393">
      <c r="A393" s="1">
        <v>49833.0</v>
      </c>
      <c r="B393" s="1">
        <v>7083.0</v>
      </c>
      <c r="C393" s="1">
        <v>1.611834693E9</v>
      </c>
      <c r="D393" s="1">
        <v>4.0</v>
      </c>
      <c r="E393" s="1" t="b">
        <v>0</v>
      </c>
      <c r="F393" s="1" t="s">
        <v>14370</v>
      </c>
    </row>
    <row r="394">
      <c r="A394" s="1">
        <v>49833.0</v>
      </c>
      <c r="B394" s="1">
        <v>7164.0</v>
      </c>
      <c r="C394" s="1">
        <v>1.611834694E9</v>
      </c>
      <c r="D394" s="1">
        <v>4.0</v>
      </c>
      <c r="E394" s="1" t="b">
        <v>0</v>
      </c>
      <c r="F394" s="1" t="s">
        <v>14371</v>
      </c>
    </row>
    <row r="395">
      <c r="A395" s="1">
        <v>49833.0</v>
      </c>
      <c r="B395" s="1">
        <v>7185.0</v>
      </c>
      <c r="C395" s="1">
        <v>1.611834695E9</v>
      </c>
      <c r="D395" s="1">
        <v>4.0</v>
      </c>
      <c r="E395" s="1" t="b">
        <v>0</v>
      </c>
      <c r="F395" s="1" t="s">
        <v>14372</v>
      </c>
    </row>
    <row r="396">
      <c r="A396" s="1">
        <v>49833.0</v>
      </c>
      <c r="B396" s="1">
        <v>3919.0</v>
      </c>
      <c r="C396" s="1">
        <v>1.610881757E9</v>
      </c>
      <c r="D396" s="1">
        <v>4.0</v>
      </c>
      <c r="E396" s="1" t="b">
        <v>0</v>
      </c>
      <c r="F396" s="1" t="s">
        <v>14373</v>
      </c>
    </row>
    <row r="397">
      <c r="A397" s="1">
        <v>49833.0</v>
      </c>
      <c r="B397" s="1">
        <v>2775.0</v>
      </c>
      <c r="C397" s="1">
        <v>1.609296209E9</v>
      </c>
      <c r="D397" s="1">
        <v>4.0</v>
      </c>
      <c r="E397" s="1" t="b">
        <v>0</v>
      </c>
      <c r="F397" s="1" t="s">
        <v>14374</v>
      </c>
    </row>
    <row r="398">
      <c r="A398" s="1">
        <v>49833.0</v>
      </c>
      <c r="B398" s="1">
        <v>2800.0</v>
      </c>
      <c r="C398" s="1">
        <v>1.609314219E9</v>
      </c>
      <c r="D398" s="1">
        <v>4.0</v>
      </c>
      <c r="E398" s="1" t="b">
        <v>0</v>
      </c>
      <c r="F398" s="1" t="s">
        <v>14375</v>
      </c>
    </row>
    <row r="399">
      <c r="A399" s="1">
        <v>49833.0</v>
      </c>
      <c r="B399" s="1">
        <v>17330.0</v>
      </c>
      <c r="C399" s="1">
        <v>1.619779119E9</v>
      </c>
      <c r="D399" s="1">
        <v>4.0</v>
      </c>
      <c r="E399" s="1" t="b">
        <v>0</v>
      </c>
      <c r="F399" s="1" t="s">
        <v>14376</v>
      </c>
    </row>
    <row r="400">
      <c r="A400" s="1">
        <v>49833.0</v>
      </c>
      <c r="B400" s="1">
        <v>16736.0</v>
      </c>
      <c r="C400" s="1">
        <v>1.61786775E9</v>
      </c>
      <c r="D400" s="1">
        <v>4.0</v>
      </c>
      <c r="E400" s="1" t="b">
        <v>0</v>
      </c>
      <c r="F400" s="1" t="s">
        <v>14377</v>
      </c>
    </row>
    <row r="401">
      <c r="A401" s="1">
        <v>49833.0</v>
      </c>
      <c r="B401" s="1">
        <v>2084.0</v>
      </c>
      <c r="C401" s="1">
        <v>1.607350669E9</v>
      </c>
      <c r="D401" s="1">
        <v>4.0</v>
      </c>
      <c r="E401" s="1" t="b">
        <v>0</v>
      </c>
      <c r="F401" s="1" t="s">
        <v>14378</v>
      </c>
    </row>
    <row r="402">
      <c r="A402" s="1">
        <v>49833.0</v>
      </c>
      <c r="B402" s="1">
        <v>20373.0</v>
      </c>
      <c r="C402" s="1">
        <v>1.624252017E9</v>
      </c>
      <c r="D402" s="1">
        <v>4.0</v>
      </c>
      <c r="E402" s="1" t="b">
        <v>0</v>
      </c>
      <c r="F402" s="1" t="s">
        <v>14379</v>
      </c>
    </row>
    <row r="403">
      <c r="A403" s="1">
        <v>49833.0</v>
      </c>
      <c r="B403" s="1">
        <v>2258.0</v>
      </c>
      <c r="C403" s="1">
        <v>1.608984411E9</v>
      </c>
      <c r="D403" s="1">
        <v>4.0</v>
      </c>
      <c r="E403" s="1" t="b">
        <v>0</v>
      </c>
      <c r="F403" s="1" t="s">
        <v>14380</v>
      </c>
    </row>
    <row r="404">
      <c r="A404" s="1">
        <v>49833.0</v>
      </c>
      <c r="B404" s="1">
        <v>16410.0</v>
      </c>
      <c r="C404" s="1">
        <v>1.616570032E9</v>
      </c>
      <c r="D404" s="1">
        <v>4.0</v>
      </c>
      <c r="E404" s="1" t="b">
        <v>0</v>
      </c>
      <c r="F404" s="1" t="s">
        <v>14381</v>
      </c>
    </row>
    <row r="405">
      <c r="A405" s="1">
        <v>49833.0</v>
      </c>
      <c r="B405" s="1">
        <v>11672.0</v>
      </c>
      <c r="C405" s="1">
        <v>1.612807844E9</v>
      </c>
      <c r="D405" s="1">
        <v>4.0</v>
      </c>
      <c r="E405" s="1" t="b">
        <v>0</v>
      </c>
      <c r="F405" s="1" t="s">
        <v>14382</v>
      </c>
    </row>
    <row r="406">
      <c r="A406" s="1">
        <v>49833.0</v>
      </c>
      <c r="B406" s="1">
        <v>10014.0</v>
      </c>
      <c r="C406" s="1">
        <v>1.612324003E9</v>
      </c>
      <c r="D406" s="1">
        <v>4.0</v>
      </c>
      <c r="E406" s="1" t="b">
        <v>0</v>
      </c>
      <c r="F406" s="1" t="s">
        <v>14383</v>
      </c>
    </row>
    <row r="407">
      <c r="A407" s="1">
        <v>49833.0</v>
      </c>
      <c r="B407" s="1">
        <v>9889.0</v>
      </c>
      <c r="C407" s="1">
        <v>1.612325366E9</v>
      </c>
      <c r="D407" s="1">
        <v>4.0</v>
      </c>
      <c r="E407" s="1" t="b">
        <v>0</v>
      </c>
      <c r="F407" s="1" t="s">
        <v>14384</v>
      </c>
    </row>
    <row r="408">
      <c r="A408" s="1">
        <v>49833.0</v>
      </c>
      <c r="B408" s="1">
        <v>10437.0</v>
      </c>
      <c r="C408" s="1">
        <v>1.612468193E9</v>
      </c>
      <c r="D408" s="1">
        <v>4.0</v>
      </c>
      <c r="E408" s="1" t="b">
        <v>0</v>
      </c>
      <c r="F408" s="1" t="s">
        <v>14385</v>
      </c>
    </row>
    <row r="409">
      <c r="A409" s="1">
        <v>49833.0</v>
      </c>
      <c r="B409" s="1">
        <v>5168.0</v>
      </c>
      <c r="C409" s="1">
        <v>1.611332216E9</v>
      </c>
      <c r="D409" s="1">
        <v>4.0</v>
      </c>
      <c r="E409" s="1" t="b">
        <v>0</v>
      </c>
      <c r="F409" s="1" t="s">
        <v>14386</v>
      </c>
    </row>
    <row r="410">
      <c r="A410" s="1">
        <v>49833.0</v>
      </c>
      <c r="B410" s="1">
        <v>9888.0</v>
      </c>
      <c r="C410" s="1">
        <v>1.612325368E9</v>
      </c>
      <c r="D410" s="1">
        <v>4.0</v>
      </c>
      <c r="E410" s="1" t="b">
        <v>0</v>
      </c>
      <c r="F410" s="1" t="s">
        <v>14387</v>
      </c>
    </row>
    <row r="411">
      <c r="A411" s="1">
        <v>49833.0</v>
      </c>
      <c r="B411" s="1">
        <v>9913.0</v>
      </c>
      <c r="C411" s="1">
        <v>1.612325371E9</v>
      </c>
      <c r="D411" s="1">
        <v>4.0</v>
      </c>
      <c r="E411" s="1" t="b">
        <v>0</v>
      </c>
      <c r="F411" s="1" t="s">
        <v>14388</v>
      </c>
    </row>
    <row r="412">
      <c r="A412" s="1">
        <v>49833.0</v>
      </c>
      <c r="B412" s="1">
        <v>9188.0</v>
      </c>
      <c r="C412" s="1">
        <v>1.612325373E9</v>
      </c>
      <c r="D412" s="1">
        <v>4.0</v>
      </c>
      <c r="E412" s="1" t="b">
        <v>0</v>
      </c>
      <c r="F412" s="1" t="s">
        <v>14389</v>
      </c>
    </row>
    <row r="413">
      <c r="A413" s="1">
        <v>49833.0</v>
      </c>
      <c r="B413" s="1">
        <v>9928.0</v>
      </c>
      <c r="C413" s="1">
        <v>1.612325377E9</v>
      </c>
      <c r="D413" s="1">
        <v>4.0</v>
      </c>
      <c r="E413" s="1" t="b">
        <v>0</v>
      </c>
      <c r="F413" s="1" t="s">
        <v>14390</v>
      </c>
    </row>
    <row r="414">
      <c r="A414" s="1">
        <v>49833.0</v>
      </c>
      <c r="B414" s="1">
        <v>9933.0</v>
      </c>
      <c r="C414" s="1">
        <v>1.612325381E9</v>
      </c>
      <c r="D414" s="1">
        <v>4.0</v>
      </c>
      <c r="E414" s="1" t="b">
        <v>0</v>
      </c>
      <c r="F414" s="1" t="s">
        <v>14391</v>
      </c>
    </row>
    <row r="415">
      <c r="A415" s="1">
        <v>49833.0</v>
      </c>
      <c r="B415" s="1">
        <v>9920.0</v>
      </c>
      <c r="C415" s="1">
        <v>1.612325375E9</v>
      </c>
      <c r="D415" s="1">
        <v>4.0</v>
      </c>
      <c r="E415" s="1" t="b">
        <v>0</v>
      </c>
      <c r="F415" s="1" t="s">
        <v>14392</v>
      </c>
    </row>
    <row r="416">
      <c r="A416" s="1">
        <v>49833.0</v>
      </c>
      <c r="B416" s="1">
        <v>9892.0</v>
      </c>
      <c r="C416" s="1">
        <v>1.612325369E9</v>
      </c>
      <c r="D416" s="1">
        <v>4.0</v>
      </c>
      <c r="E416" s="1" t="b">
        <v>0</v>
      </c>
      <c r="F416" s="1" t="s">
        <v>14393</v>
      </c>
    </row>
    <row r="417">
      <c r="A417" s="1">
        <v>49833.0</v>
      </c>
      <c r="B417" s="1">
        <v>11592.0</v>
      </c>
      <c r="C417" s="1">
        <v>1.612792212E9</v>
      </c>
      <c r="D417" s="1">
        <v>4.0</v>
      </c>
      <c r="E417" s="1" t="b">
        <v>0</v>
      </c>
      <c r="F417" s="1" t="s">
        <v>14394</v>
      </c>
    </row>
    <row r="418">
      <c r="A418" s="1">
        <v>49833.0</v>
      </c>
      <c r="B418" s="1">
        <v>10103.0</v>
      </c>
      <c r="C418" s="1">
        <v>1.612369071E9</v>
      </c>
      <c r="D418" s="1">
        <v>4.0</v>
      </c>
      <c r="E418" s="1" t="b">
        <v>0</v>
      </c>
      <c r="F418" s="1" t="s">
        <v>14395</v>
      </c>
    </row>
    <row r="419">
      <c r="A419" s="1">
        <v>49833.0</v>
      </c>
      <c r="B419" s="1">
        <v>10391.0</v>
      </c>
      <c r="C419" s="1">
        <v>1.612441242E9</v>
      </c>
      <c r="D419" s="1">
        <v>4.0</v>
      </c>
      <c r="E419" s="1" t="b">
        <v>0</v>
      </c>
      <c r="F419" s="1" t="s">
        <v>14396</v>
      </c>
    </row>
    <row r="420">
      <c r="A420" s="1">
        <v>49833.0</v>
      </c>
      <c r="B420" s="1">
        <v>9380.0</v>
      </c>
      <c r="C420" s="1">
        <v>1.612160054E9</v>
      </c>
      <c r="D420" s="1">
        <v>4.0</v>
      </c>
      <c r="E420" s="1" t="b">
        <v>0</v>
      </c>
      <c r="F420" s="1" t="s">
        <v>14397</v>
      </c>
    </row>
    <row r="421">
      <c r="A421" s="1">
        <v>49833.0</v>
      </c>
      <c r="B421" s="1">
        <v>19525.0</v>
      </c>
      <c r="C421" s="1">
        <v>1.623055336E9</v>
      </c>
      <c r="D421" s="1">
        <v>4.0</v>
      </c>
      <c r="E421" s="1" t="b">
        <v>0</v>
      </c>
      <c r="F421" s="1" t="s">
        <v>14398</v>
      </c>
    </row>
    <row r="422">
      <c r="A422" s="1">
        <v>49833.0</v>
      </c>
      <c r="B422" s="1">
        <v>10495.0</v>
      </c>
      <c r="C422" s="1">
        <v>1.612468196E9</v>
      </c>
      <c r="D422" s="1">
        <v>4.0</v>
      </c>
      <c r="E422" s="1" t="b">
        <v>0</v>
      </c>
      <c r="F422" s="1" t="s">
        <v>14399</v>
      </c>
    </row>
    <row r="423">
      <c r="A423" s="1">
        <v>49833.0</v>
      </c>
      <c r="B423" s="1">
        <v>10317.0</v>
      </c>
      <c r="C423" s="1">
        <v>1.612418955E9</v>
      </c>
      <c r="D423" s="1">
        <v>4.0</v>
      </c>
      <c r="E423" s="1" t="b">
        <v>0</v>
      </c>
      <c r="F423" s="1" t="s">
        <v>14400</v>
      </c>
    </row>
    <row r="424">
      <c r="A424" s="1">
        <v>49833.0</v>
      </c>
      <c r="B424" s="1">
        <v>3482.0</v>
      </c>
      <c r="C424" s="1">
        <v>1.610554225E9</v>
      </c>
      <c r="D424" s="1">
        <v>4.0</v>
      </c>
      <c r="E424" s="1" t="b">
        <v>0</v>
      </c>
      <c r="F424" s="1" t="s">
        <v>14401</v>
      </c>
    </row>
    <row r="425">
      <c r="A425" s="1">
        <v>49833.0</v>
      </c>
      <c r="B425" s="1">
        <v>11791.0</v>
      </c>
      <c r="C425" s="1">
        <v>1.612855409E9</v>
      </c>
      <c r="D425" s="1">
        <v>4.0</v>
      </c>
      <c r="E425" s="1" t="b">
        <v>0</v>
      </c>
      <c r="F425" s="1" t="s">
        <v>14402</v>
      </c>
    </row>
    <row r="426">
      <c r="A426" s="1">
        <v>49833.0</v>
      </c>
      <c r="B426" s="1">
        <v>11633.0</v>
      </c>
      <c r="C426" s="1">
        <v>1.612799275E9</v>
      </c>
      <c r="D426" s="1">
        <v>4.0</v>
      </c>
      <c r="E426" s="1" t="b">
        <v>0</v>
      </c>
      <c r="F426" s="1" t="s">
        <v>14403</v>
      </c>
    </row>
    <row r="427">
      <c r="A427" s="1">
        <v>49833.0</v>
      </c>
      <c r="B427" s="1">
        <v>8144.0</v>
      </c>
      <c r="C427" s="1">
        <v>1.612781282E9</v>
      </c>
      <c r="D427" s="1">
        <v>4.0</v>
      </c>
      <c r="E427" s="1" t="b">
        <v>0</v>
      </c>
      <c r="F427" s="1" t="s">
        <v>14404</v>
      </c>
    </row>
    <row r="428">
      <c r="A428" s="1">
        <v>49833.0</v>
      </c>
      <c r="B428" s="1">
        <v>11362.0</v>
      </c>
      <c r="C428" s="1">
        <v>1.612731394E9</v>
      </c>
      <c r="D428" s="1">
        <v>4.0</v>
      </c>
      <c r="E428" s="1" t="b">
        <v>0</v>
      </c>
      <c r="F428" s="1" t="s">
        <v>14405</v>
      </c>
    </row>
    <row r="429">
      <c r="A429" s="1">
        <v>49833.0</v>
      </c>
      <c r="B429" s="1">
        <v>9965.0</v>
      </c>
      <c r="C429" s="1">
        <v>1.612325376E9</v>
      </c>
      <c r="D429" s="1">
        <v>4.0</v>
      </c>
      <c r="E429" s="1" t="b">
        <v>0</v>
      </c>
      <c r="F429" s="1" t="s">
        <v>14406</v>
      </c>
    </row>
    <row r="430">
      <c r="A430" s="1">
        <v>49833.0</v>
      </c>
      <c r="B430" s="1">
        <v>9974.0</v>
      </c>
      <c r="C430" s="1">
        <v>1.612325382E9</v>
      </c>
      <c r="D430" s="1">
        <v>4.0</v>
      </c>
      <c r="E430" s="1" t="b">
        <v>0</v>
      </c>
      <c r="F430" s="1" t="s">
        <v>14407</v>
      </c>
    </row>
    <row r="431">
      <c r="A431" s="1">
        <v>49833.0</v>
      </c>
      <c r="B431" s="1">
        <v>18835.0</v>
      </c>
      <c r="C431" s="1">
        <v>1.622022035E9</v>
      </c>
      <c r="D431" s="1">
        <v>4.0</v>
      </c>
      <c r="E431" s="1" t="b">
        <v>0</v>
      </c>
      <c r="F431" s="1" t="s">
        <v>14408</v>
      </c>
    </row>
    <row r="432">
      <c r="A432" s="1">
        <v>49833.0</v>
      </c>
      <c r="B432" s="1">
        <v>10498.0</v>
      </c>
      <c r="C432" s="1">
        <v>1.612468187E9</v>
      </c>
      <c r="D432" s="1">
        <v>4.0</v>
      </c>
      <c r="E432" s="1" t="b">
        <v>0</v>
      </c>
      <c r="F432" s="1" t="s">
        <v>14409</v>
      </c>
    </row>
    <row r="433">
      <c r="A433" s="1">
        <v>49833.0</v>
      </c>
      <c r="B433" s="1">
        <v>11679.0</v>
      </c>
      <c r="C433" s="1">
        <v>1.612807845E9</v>
      </c>
      <c r="D433" s="1">
        <v>4.0</v>
      </c>
      <c r="E433" s="1" t="b">
        <v>0</v>
      </c>
      <c r="F433" s="1" t="s">
        <v>14410</v>
      </c>
    </row>
    <row r="434">
      <c r="A434" s="1">
        <v>49833.0</v>
      </c>
      <c r="B434" s="1">
        <v>10326.0</v>
      </c>
      <c r="C434" s="1">
        <v>1.612417823E9</v>
      </c>
      <c r="D434" s="1">
        <v>4.0</v>
      </c>
      <c r="E434" s="1" t="b">
        <v>0</v>
      </c>
      <c r="F434" s="1" t="s">
        <v>14411</v>
      </c>
    </row>
    <row r="435">
      <c r="A435" s="1">
        <v>49833.0</v>
      </c>
      <c r="B435" s="1">
        <v>19572.0</v>
      </c>
      <c r="C435" s="1">
        <v>1.62299672E9</v>
      </c>
      <c r="D435" s="1">
        <v>4.0</v>
      </c>
      <c r="E435" s="1" t="b">
        <v>0</v>
      </c>
      <c r="F435" s="1" t="s">
        <v>14412</v>
      </c>
    </row>
    <row r="436">
      <c r="A436" s="1">
        <v>49833.0</v>
      </c>
      <c r="B436" s="1">
        <v>13015.0</v>
      </c>
      <c r="C436" s="1">
        <v>1.613139442E9</v>
      </c>
      <c r="D436" s="1">
        <v>4.0</v>
      </c>
      <c r="E436" s="1" t="b">
        <v>0</v>
      </c>
      <c r="F436" s="1" t="s">
        <v>14413</v>
      </c>
    </row>
    <row r="437">
      <c r="A437" s="1">
        <v>49833.0</v>
      </c>
      <c r="B437" s="1">
        <v>10706.0</v>
      </c>
      <c r="C437" s="1">
        <v>1.612582575E9</v>
      </c>
      <c r="D437" s="1">
        <v>4.0</v>
      </c>
      <c r="E437" s="1" t="b">
        <v>0</v>
      </c>
      <c r="F437" s="1" t="s">
        <v>14414</v>
      </c>
    </row>
    <row r="438">
      <c r="A438" s="1">
        <v>49833.0</v>
      </c>
      <c r="B438" s="1">
        <v>11530.0</v>
      </c>
      <c r="C438" s="1">
        <v>1.612781283E9</v>
      </c>
      <c r="D438" s="1">
        <v>4.0</v>
      </c>
      <c r="E438" s="1" t="b">
        <v>0</v>
      </c>
      <c r="F438" s="1" t="s">
        <v>14415</v>
      </c>
    </row>
    <row r="439">
      <c r="A439" s="1">
        <v>49833.0</v>
      </c>
      <c r="B439" s="1">
        <v>12999.0</v>
      </c>
      <c r="C439" s="1">
        <v>1.613132732E9</v>
      </c>
      <c r="D439" s="1">
        <v>4.0</v>
      </c>
      <c r="E439" s="1" t="b">
        <v>0</v>
      </c>
      <c r="F439" s="1" t="s">
        <v>14416</v>
      </c>
    </row>
    <row r="440">
      <c r="A440" s="1">
        <v>49833.0</v>
      </c>
      <c r="B440" s="1">
        <v>12931.0</v>
      </c>
      <c r="C440" s="1">
        <v>1.613115368E9</v>
      </c>
      <c r="D440" s="1">
        <v>4.0</v>
      </c>
      <c r="E440" s="1" t="b">
        <v>0</v>
      </c>
      <c r="F440" s="1" t="s">
        <v>14417</v>
      </c>
    </row>
    <row r="441">
      <c r="A441" s="1">
        <v>49833.0</v>
      </c>
      <c r="B441" s="1">
        <v>13843.0</v>
      </c>
      <c r="C441" s="1">
        <v>1.613405344E9</v>
      </c>
      <c r="D441" s="1">
        <v>4.0</v>
      </c>
      <c r="E441" s="1" t="b">
        <v>0</v>
      </c>
      <c r="F441" s="1" t="s">
        <v>14418</v>
      </c>
    </row>
    <row r="442">
      <c r="A442" s="1">
        <v>49833.0</v>
      </c>
      <c r="B442" s="1">
        <v>12479.0</v>
      </c>
      <c r="C442" s="1">
        <v>1.613013023E9</v>
      </c>
      <c r="D442" s="1">
        <v>4.0</v>
      </c>
      <c r="E442" s="1" t="b">
        <v>0</v>
      </c>
      <c r="F442" s="1" t="s">
        <v>14419</v>
      </c>
    </row>
    <row r="443">
      <c r="A443" s="1">
        <v>49833.0</v>
      </c>
      <c r="B443" s="1">
        <v>19678.0</v>
      </c>
      <c r="C443" s="1">
        <v>1.623143187E9</v>
      </c>
      <c r="D443" s="1">
        <v>4.0</v>
      </c>
      <c r="E443" s="1" t="b">
        <v>0</v>
      </c>
      <c r="F443" s="1" t="s">
        <v>14420</v>
      </c>
    </row>
    <row r="444">
      <c r="A444" s="1">
        <v>49833.0</v>
      </c>
      <c r="B444" s="1">
        <v>11616.0</v>
      </c>
      <c r="C444" s="1">
        <v>1.612795911E9</v>
      </c>
      <c r="D444" s="1">
        <v>4.0</v>
      </c>
      <c r="E444" s="1" t="b">
        <v>0</v>
      </c>
      <c r="F444" s="1" t="s">
        <v>14421</v>
      </c>
    </row>
    <row r="445">
      <c r="A445" s="1">
        <v>49833.0</v>
      </c>
      <c r="B445" s="1">
        <v>13549.0</v>
      </c>
      <c r="C445" s="1">
        <v>1.613308816E9</v>
      </c>
      <c r="D445" s="1">
        <v>4.0</v>
      </c>
      <c r="E445" s="1" t="b">
        <v>0</v>
      </c>
      <c r="F445" s="1" t="s">
        <v>14422</v>
      </c>
    </row>
    <row r="446">
      <c r="A446" s="1">
        <v>49833.0</v>
      </c>
      <c r="B446" s="1">
        <v>13399.0</v>
      </c>
      <c r="C446" s="1">
        <v>1.613286925E9</v>
      </c>
      <c r="D446" s="1">
        <v>4.0</v>
      </c>
      <c r="E446" s="1" t="b">
        <v>0</v>
      </c>
      <c r="F446" s="1" t="s">
        <v>14423</v>
      </c>
    </row>
    <row r="447">
      <c r="A447" s="1">
        <v>49833.0</v>
      </c>
      <c r="B447" s="1">
        <v>13494.0</v>
      </c>
      <c r="C447" s="1">
        <v>1.61328692E9</v>
      </c>
      <c r="D447" s="1">
        <v>4.0</v>
      </c>
      <c r="E447" s="1" t="b">
        <v>0</v>
      </c>
      <c r="F447" s="1" t="s">
        <v>14424</v>
      </c>
    </row>
    <row r="448">
      <c r="A448" s="1">
        <v>49833.0</v>
      </c>
      <c r="B448" s="1">
        <v>16682.0</v>
      </c>
      <c r="C448" s="1">
        <v>1.61769791E9</v>
      </c>
      <c r="D448" s="1">
        <v>4.0</v>
      </c>
      <c r="E448" s="1" t="b">
        <v>0</v>
      </c>
      <c r="F448" s="1" t="s">
        <v>14425</v>
      </c>
    </row>
    <row r="449">
      <c r="A449" s="1">
        <v>49833.0</v>
      </c>
      <c r="B449" s="1">
        <v>16718.0</v>
      </c>
      <c r="C449" s="1">
        <v>1.617783278E9</v>
      </c>
      <c r="D449" s="1">
        <v>4.0</v>
      </c>
      <c r="E449" s="1" t="b">
        <v>0</v>
      </c>
      <c r="F449" s="1" t="s">
        <v>14426</v>
      </c>
    </row>
    <row r="450">
      <c r="A450" s="1">
        <v>49833.0</v>
      </c>
      <c r="B450" s="1">
        <v>10554.0</v>
      </c>
      <c r="C450" s="1">
        <v>1.612500719E9</v>
      </c>
      <c r="D450" s="1">
        <v>4.0</v>
      </c>
      <c r="E450" s="1" t="b">
        <v>0</v>
      </c>
      <c r="F450" s="1" t="s">
        <v>14427</v>
      </c>
    </row>
    <row r="451">
      <c r="A451" s="1">
        <v>49833.0</v>
      </c>
      <c r="B451" s="1">
        <v>7725.0</v>
      </c>
      <c r="C451" s="1">
        <v>1.613286917E9</v>
      </c>
      <c r="D451" s="1">
        <v>4.0</v>
      </c>
      <c r="E451" s="1" t="b">
        <v>0</v>
      </c>
      <c r="F451" s="1" t="s">
        <v>14428</v>
      </c>
    </row>
    <row r="452">
      <c r="A452" s="1">
        <v>49833.0</v>
      </c>
      <c r="B452" s="1">
        <v>19087.0</v>
      </c>
      <c r="C452" s="1">
        <v>1.622367609E9</v>
      </c>
      <c r="D452" s="1">
        <v>4.0</v>
      </c>
      <c r="E452" s="1" t="b">
        <v>0</v>
      </c>
      <c r="F452" s="1" t="s">
        <v>14429</v>
      </c>
    </row>
    <row r="453">
      <c r="A453" s="1">
        <v>49833.0</v>
      </c>
      <c r="B453" s="1">
        <v>12375.0</v>
      </c>
      <c r="C453" s="1">
        <v>1.613115356E9</v>
      </c>
      <c r="D453" s="1">
        <v>4.0</v>
      </c>
      <c r="E453" s="1" t="b">
        <v>0</v>
      </c>
      <c r="F453" s="1" t="s">
        <v>14430</v>
      </c>
    </row>
    <row r="454">
      <c r="A454" s="1">
        <v>49833.0</v>
      </c>
      <c r="B454" s="1">
        <v>13074.0</v>
      </c>
      <c r="C454" s="1">
        <v>1.613151923E9</v>
      </c>
      <c r="D454" s="1">
        <v>4.0</v>
      </c>
      <c r="E454" s="1" t="b">
        <v>0</v>
      </c>
      <c r="F454" s="1" t="s">
        <v>14431</v>
      </c>
    </row>
    <row r="455">
      <c r="A455" s="1">
        <v>49833.0</v>
      </c>
      <c r="B455" s="1">
        <v>18839.0</v>
      </c>
      <c r="C455" s="1">
        <v>1.6220247E9</v>
      </c>
      <c r="D455" s="1">
        <v>4.0</v>
      </c>
      <c r="E455" s="1" t="b">
        <v>0</v>
      </c>
      <c r="F455" s="1" t="s">
        <v>14432</v>
      </c>
    </row>
    <row r="456">
      <c r="A456" s="1">
        <v>49833.0</v>
      </c>
      <c r="B456" s="1">
        <v>13571.0</v>
      </c>
      <c r="C456" s="1">
        <v>1.613308818E9</v>
      </c>
      <c r="D456" s="1">
        <v>4.0</v>
      </c>
      <c r="E456" s="1" t="b">
        <v>0</v>
      </c>
      <c r="F456" s="1" t="s">
        <v>14433</v>
      </c>
    </row>
    <row r="457">
      <c r="A457" s="1">
        <v>49833.0</v>
      </c>
      <c r="B457" s="1">
        <v>10622.0</v>
      </c>
      <c r="C457" s="1">
        <v>1.612527527E9</v>
      </c>
      <c r="D457" s="1">
        <v>4.0</v>
      </c>
      <c r="E457" s="1" t="b">
        <v>0</v>
      </c>
      <c r="F457" s="1" t="s">
        <v>14434</v>
      </c>
    </row>
    <row r="458">
      <c r="A458" s="1">
        <v>49833.0</v>
      </c>
      <c r="B458" s="1">
        <v>10620.0</v>
      </c>
      <c r="C458" s="1">
        <v>1.612527528E9</v>
      </c>
      <c r="D458" s="1">
        <v>4.0</v>
      </c>
      <c r="E458" s="1" t="b">
        <v>0</v>
      </c>
      <c r="F458" s="1" t="s">
        <v>14435</v>
      </c>
    </row>
    <row r="459">
      <c r="A459" s="1">
        <v>49833.0</v>
      </c>
      <c r="B459" s="1">
        <v>10937.0</v>
      </c>
      <c r="C459" s="1">
        <v>1.612633448E9</v>
      </c>
      <c r="D459" s="1">
        <v>4.0</v>
      </c>
      <c r="E459" s="1" t="b">
        <v>0</v>
      </c>
      <c r="F459" s="1" t="s">
        <v>14436</v>
      </c>
    </row>
    <row r="460">
      <c r="A460" s="1">
        <v>49833.0</v>
      </c>
      <c r="B460" s="1">
        <v>13471.0</v>
      </c>
      <c r="C460" s="1">
        <v>1.613286913E9</v>
      </c>
      <c r="D460" s="1">
        <v>4.0</v>
      </c>
      <c r="E460" s="1" t="b">
        <v>0</v>
      </c>
      <c r="F460" s="1" t="s">
        <v>14437</v>
      </c>
    </row>
    <row r="461">
      <c r="A461" s="1">
        <v>49833.0</v>
      </c>
      <c r="B461" s="1">
        <v>12662.0</v>
      </c>
      <c r="C461" s="1">
        <v>1.61304319E9</v>
      </c>
      <c r="D461" s="1">
        <v>4.0</v>
      </c>
      <c r="E461" s="1" t="b">
        <v>0</v>
      </c>
      <c r="F461" s="1" t="s">
        <v>14438</v>
      </c>
    </row>
    <row r="462">
      <c r="A462" s="1">
        <v>49833.0</v>
      </c>
      <c r="B462" s="1">
        <v>8160.0</v>
      </c>
      <c r="C462" s="1">
        <v>1.613291084E9</v>
      </c>
      <c r="D462" s="1">
        <v>4.0</v>
      </c>
      <c r="E462" s="1" t="b">
        <v>0</v>
      </c>
      <c r="F462" s="1" t="s">
        <v>14439</v>
      </c>
    </row>
    <row r="463">
      <c r="A463" s="1">
        <v>49833.0</v>
      </c>
      <c r="B463" s="1">
        <v>13488.0</v>
      </c>
      <c r="C463" s="1">
        <v>1.613286916E9</v>
      </c>
      <c r="D463" s="1">
        <v>4.0</v>
      </c>
      <c r="E463" s="1" t="b">
        <v>0</v>
      </c>
      <c r="F463" s="1" t="s">
        <v>14440</v>
      </c>
    </row>
    <row r="464">
      <c r="A464" s="1">
        <v>49833.0</v>
      </c>
      <c r="B464" s="1">
        <v>16711.0</v>
      </c>
      <c r="C464" s="1">
        <v>1.61778327E9</v>
      </c>
      <c r="D464" s="1">
        <v>4.0</v>
      </c>
      <c r="E464" s="1" t="b">
        <v>0</v>
      </c>
      <c r="F464" s="1" t="s">
        <v>14441</v>
      </c>
    </row>
    <row r="465">
      <c r="A465" s="1">
        <v>49833.0</v>
      </c>
      <c r="B465" s="1">
        <v>2599.0</v>
      </c>
      <c r="C465" s="1">
        <v>1.608652828E9</v>
      </c>
      <c r="D465" s="1">
        <v>4.0</v>
      </c>
      <c r="E465" s="1" t="b">
        <v>0</v>
      </c>
      <c r="F465" s="1" t="s">
        <v>14442</v>
      </c>
    </row>
    <row r="466">
      <c r="A466" s="1">
        <v>49833.0</v>
      </c>
      <c r="B466" s="1">
        <v>10600.0</v>
      </c>
      <c r="C466" s="1">
        <v>1.612513717E9</v>
      </c>
      <c r="D466" s="1">
        <v>4.0</v>
      </c>
      <c r="E466" s="1" t="b">
        <v>0</v>
      </c>
      <c r="F466" s="1" t="s">
        <v>14443</v>
      </c>
    </row>
    <row r="467">
      <c r="A467" s="1">
        <v>49833.0</v>
      </c>
      <c r="B467" s="1">
        <v>10588.0</v>
      </c>
      <c r="C467" s="1">
        <v>1.61251372E9</v>
      </c>
      <c r="D467" s="1">
        <v>4.0</v>
      </c>
      <c r="E467" s="1" t="b">
        <v>0</v>
      </c>
      <c r="F467" s="1" t="s">
        <v>14444</v>
      </c>
    </row>
    <row r="468">
      <c r="A468" s="1">
        <v>49833.0</v>
      </c>
      <c r="B468" s="1">
        <v>10612.0</v>
      </c>
      <c r="C468" s="1">
        <v>1.612517309E9</v>
      </c>
      <c r="D468" s="1">
        <v>4.0</v>
      </c>
      <c r="E468" s="1" t="b">
        <v>0</v>
      </c>
      <c r="F468" s="1" t="s">
        <v>14445</v>
      </c>
    </row>
    <row r="469">
      <c r="A469" s="1">
        <v>49833.0</v>
      </c>
      <c r="B469" s="1">
        <v>10608.0</v>
      </c>
      <c r="C469" s="1">
        <v>1.61251731E9</v>
      </c>
      <c r="D469" s="1">
        <v>4.0</v>
      </c>
      <c r="E469" s="1" t="b">
        <v>0</v>
      </c>
      <c r="F469" s="1" t="s">
        <v>14446</v>
      </c>
    </row>
    <row r="470">
      <c r="A470" s="1">
        <v>49833.0</v>
      </c>
      <c r="B470" s="1">
        <v>12826.0</v>
      </c>
      <c r="C470" s="1">
        <v>1.613099837E9</v>
      </c>
      <c r="D470" s="1">
        <v>4.0</v>
      </c>
      <c r="E470" s="1" t="b">
        <v>0</v>
      </c>
      <c r="F470" s="1" t="s">
        <v>14447</v>
      </c>
    </row>
    <row r="471">
      <c r="A471" s="1">
        <v>49833.0</v>
      </c>
      <c r="B471" s="1">
        <v>16717.0</v>
      </c>
      <c r="C471" s="1">
        <v>1.617783273E9</v>
      </c>
      <c r="D471" s="1">
        <v>4.0</v>
      </c>
      <c r="E471" s="1" t="b">
        <v>0</v>
      </c>
      <c r="F471" s="1" t="s">
        <v>14448</v>
      </c>
    </row>
    <row r="472">
      <c r="A472" s="1">
        <v>49833.0</v>
      </c>
      <c r="B472" s="1">
        <v>13707.0</v>
      </c>
      <c r="C472" s="1">
        <v>1.613716548E9</v>
      </c>
      <c r="D472" s="1">
        <v>4.0</v>
      </c>
      <c r="E472" s="1" t="b">
        <v>0</v>
      </c>
      <c r="F472" s="1" t="s">
        <v>14449</v>
      </c>
    </row>
    <row r="473">
      <c r="A473" s="1">
        <v>49833.0</v>
      </c>
      <c r="B473" s="1">
        <v>16709.0</v>
      </c>
      <c r="C473" s="1">
        <v>1.617783289E9</v>
      </c>
      <c r="D473" s="1">
        <v>4.0</v>
      </c>
      <c r="E473" s="1" t="b">
        <v>0</v>
      </c>
      <c r="F473" s="1" t="s">
        <v>14450</v>
      </c>
    </row>
    <row r="474">
      <c r="A474" s="1">
        <v>49833.0</v>
      </c>
      <c r="B474" s="1">
        <v>19722.0</v>
      </c>
      <c r="C474" s="1">
        <v>1.623218608E9</v>
      </c>
      <c r="D474" s="1">
        <v>4.0</v>
      </c>
      <c r="E474" s="1" t="b">
        <v>0</v>
      </c>
      <c r="F474" s="1" t="s">
        <v>14451</v>
      </c>
    </row>
    <row r="475">
      <c r="A475" s="1">
        <v>49833.0</v>
      </c>
      <c r="B475" s="1">
        <v>19143.0</v>
      </c>
      <c r="C475" s="1">
        <v>1.622437652E9</v>
      </c>
      <c r="D475" s="1">
        <v>4.0</v>
      </c>
      <c r="E475" s="1" t="b">
        <v>0</v>
      </c>
      <c r="F475" s="1" t="s">
        <v>14452</v>
      </c>
    </row>
    <row r="476">
      <c r="A476" s="1">
        <v>49833.0</v>
      </c>
      <c r="B476" s="1">
        <v>8715.0</v>
      </c>
      <c r="C476" s="1">
        <v>1.612029333E9</v>
      </c>
      <c r="D476" s="1">
        <v>4.0</v>
      </c>
      <c r="E476" s="1" t="b">
        <v>0</v>
      </c>
      <c r="F476" s="1" t="s">
        <v>14453</v>
      </c>
    </row>
    <row r="477">
      <c r="A477" s="1">
        <v>49833.0</v>
      </c>
      <c r="B477" s="1">
        <v>2790.0</v>
      </c>
      <c r="C477" s="1">
        <v>1.609300338E9</v>
      </c>
      <c r="D477" s="1">
        <v>4.0</v>
      </c>
      <c r="E477" s="1" t="b">
        <v>0</v>
      </c>
      <c r="F477" s="1" t="s">
        <v>14454</v>
      </c>
    </row>
    <row r="478">
      <c r="A478" s="1">
        <v>49833.0</v>
      </c>
      <c r="B478" s="1">
        <v>4134.0</v>
      </c>
      <c r="C478" s="1">
        <v>1.611000484E9</v>
      </c>
      <c r="D478" s="1">
        <v>4.0</v>
      </c>
      <c r="E478" s="1" t="b">
        <v>0</v>
      </c>
      <c r="F478" s="1" t="s">
        <v>14455</v>
      </c>
    </row>
    <row r="479">
      <c r="A479" s="1">
        <v>49833.0</v>
      </c>
      <c r="B479" s="1">
        <v>6436.0</v>
      </c>
      <c r="C479" s="1">
        <v>1.611682617E9</v>
      </c>
      <c r="D479" s="1">
        <v>4.0</v>
      </c>
      <c r="E479" s="1" t="b">
        <v>0</v>
      </c>
      <c r="F479" s="1" t="s">
        <v>14456</v>
      </c>
    </row>
    <row r="480">
      <c r="A480" s="1">
        <v>49833.0</v>
      </c>
      <c r="B480" s="1">
        <v>6582.0</v>
      </c>
      <c r="C480" s="1">
        <v>1.611764325E9</v>
      </c>
      <c r="D480" s="1">
        <v>4.0</v>
      </c>
      <c r="E480" s="1" t="b">
        <v>0</v>
      </c>
      <c r="F480" s="1" t="s">
        <v>14457</v>
      </c>
    </row>
    <row r="481">
      <c r="A481" s="1">
        <v>49833.0</v>
      </c>
      <c r="B481" s="1">
        <v>6210.0</v>
      </c>
      <c r="C481" s="1">
        <v>1.611597679E9</v>
      </c>
      <c r="D481" s="1">
        <v>4.0</v>
      </c>
      <c r="E481" s="1" t="b">
        <v>0</v>
      </c>
      <c r="F481" s="1" t="s">
        <v>14458</v>
      </c>
    </row>
    <row r="482">
      <c r="A482" s="1">
        <v>49833.0</v>
      </c>
      <c r="B482" s="1">
        <v>18859.0</v>
      </c>
      <c r="C482" s="1">
        <v>1.622074011E9</v>
      </c>
      <c r="D482" s="1">
        <v>4.0</v>
      </c>
      <c r="E482" s="1" t="b">
        <v>0</v>
      </c>
      <c r="F482" s="1" t="s">
        <v>14459</v>
      </c>
    </row>
    <row r="483">
      <c r="A483" s="1">
        <v>49833.0</v>
      </c>
      <c r="B483" s="1">
        <v>19445.0</v>
      </c>
      <c r="C483" s="1">
        <v>1.622721928E9</v>
      </c>
      <c r="D483" s="1">
        <v>9.0</v>
      </c>
      <c r="E483" s="1" t="b">
        <v>0</v>
      </c>
      <c r="F483" s="1" t="s">
        <v>14460</v>
      </c>
    </row>
    <row r="484">
      <c r="A484" s="1">
        <v>49833.0</v>
      </c>
      <c r="B484" s="1">
        <v>16583.0</v>
      </c>
      <c r="C484" s="1">
        <v>1.617363171E9</v>
      </c>
      <c r="D484" s="1">
        <v>4.0</v>
      </c>
      <c r="E484" s="1" t="b">
        <v>0</v>
      </c>
      <c r="F484" s="1" t="s">
        <v>14461</v>
      </c>
    </row>
    <row r="485">
      <c r="A485" s="1">
        <v>49833.0</v>
      </c>
      <c r="B485" s="1">
        <v>3887.0</v>
      </c>
      <c r="C485" s="1">
        <v>1.610869228E9</v>
      </c>
      <c r="D485" s="1">
        <v>4.0</v>
      </c>
      <c r="E485" s="1" t="b">
        <v>0</v>
      </c>
      <c r="F485" s="1" t="s">
        <v>14462</v>
      </c>
    </row>
    <row r="486">
      <c r="A486" s="1">
        <v>49833.0</v>
      </c>
      <c r="B486" s="1">
        <v>10637.0</v>
      </c>
      <c r="C486" s="1">
        <v>1.612527531E9</v>
      </c>
      <c r="D486" s="1">
        <v>4.0</v>
      </c>
      <c r="E486" s="1" t="b">
        <v>0</v>
      </c>
      <c r="F486" s="1" t="s">
        <v>14463</v>
      </c>
    </row>
    <row r="487">
      <c r="A487" s="1">
        <v>49833.0</v>
      </c>
      <c r="B487" s="1">
        <v>11251.0</v>
      </c>
      <c r="C487" s="1">
        <v>1.612731388E9</v>
      </c>
      <c r="D487" s="1">
        <v>4.0</v>
      </c>
      <c r="E487" s="1" t="b">
        <v>0</v>
      </c>
      <c r="F487" s="1" t="s">
        <v>14464</v>
      </c>
    </row>
    <row r="488">
      <c r="A488" s="1">
        <v>49833.0</v>
      </c>
      <c r="B488" s="1">
        <v>20377.0</v>
      </c>
      <c r="C488" s="1">
        <v>1.624257225E9</v>
      </c>
      <c r="D488" s="1">
        <v>4.0</v>
      </c>
      <c r="E488" s="1" t="b">
        <v>0</v>
      </c>
      <c r="F488" s="1" t="s">
        <v>14465</v>
      </c>
    </row>
    <row r="489">
      <c r="A489" s="1">
        <v>49833.0</v>
      </c>
      <c r="B489" s="1">
        <v>19869.0</v>
      </c>
      <c r="C489" s="1">
        <v>1.623413173E9</v>
      </c>
      <c r="D489" s="1">
        <v>4.0</v>
      </c>
      <c r="E489" s="1" t="b">
        <v>0</v>
      </c>
      <c r="F489" s="1" t="s">
        <v>14466</v>
      </c>
    </row>
    <row r="490">
      <c r="A490" s="1">
        <v>49833.0</v>
      </c>
      <c r="B490" s="1">
        <v>9187.0</v>
      </c>
      <c r="C490" s="1">
        <v>1.612160041E9</v>
      </c>
      <c r="D490" s="1">
        <v>4.0</v>
      </c>
      <c r="E490" s="1" t="b">
        <v>0</v>
      </c>
      <c r="F490" s="1" t="s">
        <v>14467</v>
      </c>
    </row>
    <row r="491">
      <c r="A491" s="1">
        <v>49833.0</v>
      </c>
      <c r="B491" s="1">
        <v>16710.0</v>
      </c>
      <c r="C491" s="1">
        <v>1.61778329E9</v>
      </c>
      <c r="D491" s="1">
        <v>4.0</v>
      </c>
      <c r="E491" s="1" t="b">
        <v>0</v>
      </c>
      <c r="F491" s="1" t="s">
        <v>14468</v>
      </c>
    </row>
    <row r="492">
      <c r="A492" s="1">
        <v>49833.0</v>
      </c>
      <c r="B492" s="1">
        <v>6427.0</v>
      </c>
      <c r="C492" s="1">
        <v>1.611682616E9</v>
      </c>
      <c r="D492" s="1">
        <v>4.0</v>
      </c>
      <c r="E492" s="1" t="b">
        <v>0</v>
      </c>
      <c r="F492" s="1" t="s">
        <v>14469</v>
      </c>
    </row>
    <row r="493">
      <c r="A493" s="1">
        <v>49833.0</v>
      </c>
      <c r="B493" s="1">
        <v>7360.0</v>
      </c>
      <c r="C493" s="1">
        <v>1.611834703E9</v>
      </c>
      <c r="D493" s="1">
        <v>4.0</v>
      </c>
      <c r="E493" s="1" t="b">
        <v>0</v>
      </c>
      <c r="F493" s="1" t="s">
        <v>14470</v>
      </c>
    </row>
    <row r="494">
      <c r="A494" s="1">
        <v>49833.0</v>
      </c>
      <c r="B494" s="1">
        <v>2777.0</v>
      </c>
      <c r="C494" s="1">
        <v>1.609297062E9</v>
      </c>
      <c r="D494" s="1">
        <v>4.0</v>
      </c>
      <c r="E494" s="1" t="b">
        <v>0</v>
      </c>
      <c r="F494" s="1" t="s">
        <v>14471</v>
      </c>
    </row>
    <row r="495">
      <c r="A495" s="1">
        <v>49833.0</v>
      </c>
      <c r="B495" s="1">
        <v>5486.0</v>
      </c>
      <c r="C495" s="1">
        <v>1.611423345E9</v>
      </c>
      <c r="D495" s="1">
        <v>4.0</v>
      </c>
      <c r="E495" s="1" t="b">
        <v>0</v>
      </c>
      <c r="F495" s="1" t="s">
        <v>14472</v>
      </c>
    </row>
    <row r="496">
      <c r="A496" s="1">
        <v>49833.0</v>
      </c>
      <c r="B496" s="1">
        <v>2763.0</v>
      </c>
      <c r="C496" s="1">
        <v>1.609289471E9</v>
      </c>
      <c r="D496" s="1">
        <v>4.0</v>
      </c>
      <c r="E496" s="1" t="b">
        <v>0</v>
      </c>
      <c r="F496" s="1" t="s">
        <v>14473</v>
      </c>
    </row>
    <row r="497">
      <c r="A497" s="1">
        <v>49833.0</v>
      </c>
      <c r="B497" s="1">
        <v>8673.0</v>
      </c>
      <c r="C497" s="1">
        <v>1.612029337E9</v>
      </c>
      <c r="D497" s="1">
        <v>4.0</v>
      </c>
      <c r="E497" s="1" t="b">
        <v>0</v>
      </c>
      <c r="F497" s="1" t="s">
        <v>14474</v>
      </c>
    </row>
    <row r="498">
      <c r="A498" s="1">
        <v>49833.0</v>
      </c>
      <c r="B498" s="1">
        <v>4136.0</v>
      </c>
      <c r="C498" s="1">
        <v>1.611000485E9</v>
      </c>
      <c r="D498" s="1">
        <v>4.0</v>
      </c>
      <c r="E498" s="1" t="b">
        <v>0</v>
      </c>
      <c r="F498" s="1" t="s">
        <v>14475</v>
      </c>
    </row>
    <row r="499">
      <c r="A499" s="1">
        <v>49833.0</v>
      </c>
      <c r="B499" s="1">
        <v>8125.0</v>
      </c>
      <c r="C499" s="1">
        <v>1.611942984E9</v>
      </c>
      <c r="D499" s="1">
        <v>4.0</v>
      </c>
      <c r="E499" s="1" t="b">
        <v>0</v>
      </c>
      <c r="F499" s="1" t="s">
        <v>14476</v>
      </c>
    </row>
    <row r="500">
      <c r="A500" s="1">
        <v>49833.0</v>
      </c>
      <c r="B500" s="1">
        <v>10959.0</v>
      </c>
      <c r="C500" s="1">
        <v>1.61263345E9</v>
      </c>
      <c r="D500" s="1">
        <v>4.0</v>
      </c>
      <c r="E500" s="1" t="b">
        <v>0</v>
      </c>
      <c r="F500" s="1" t="s">
        <v>14477</v>
      </c>
    </row>
    <row r="501">
      <c r="A501" s="1">
        <v>49833.0</v>
      </c>
      <c r="B501" s="1">
        <v>19870.0</v>
      </c>
      <c r="C501" s="1">
        <v>1.623413505E9</v>
      </c>
      <c r="D501" s="1">
        <v>4.0</v>
      </c>
      <c r="E501" s="1" t="b">
        <v>0</v>
      </c>
      <c r="F501" s="1" t="s">
        <v>14478</v>
      </c>
    </row>
    <row r="502">
      <c r="A502" s="1">
        <v>49833.0</v>
      </c>
      <c r="B502" s="1">
        <v>20161.0</v>
      </c>
      <c r="C502" s="1">
        <v>1.62385183E9</v>
      </c>
      <c r="D502" s="1">
        <v>4.0</v>
      </c>
      <c r="E502" s="1" t="b">
        <v>0</v>
      </c>
      <c r="F502" s="1" t="s">
        <v>14479</v>
      </c>
    </row>
    <row r="503">
      <c r="A503" s="1">
        <v>49833.0</v>
      </c>
      <c r="B503" s="1">
        <v>19736.0</v>
      </c>
      <c r="C503" s="1">
        <v>1.623232274E9</v>
      </c>
      <c r="D503" s="1">
        <v>4.0</v>
      </c>
      <c r="E503" s="1" t="b">
        <v>0</v>
      </c>
      <c r="F503" s="1" t="s">
        <v>14480</v>
      </c>
    </row>
    <row r="504">
      <c r="A504" s="1">
        <v>49833.0</v>
      </c>
      <c r="B504" s="1">
        <v>2788.0</v>
      </c>
      <c r="C504" s="1">
        <v>1.609299468E9</v>
      </c>
      <c r="D504" s="1">
        <v>4.0</v>
      </c>
      <c r="E504" s="1" t="b">
        <v>0</v>
      </c>
      <c r="F504" s="1" t="s">
        <v>14481</v>
      </c>
    </row>
    <row r="505">
      <c r="A505" s="1">
        <v>49833.0</v>
      </c>
      <c r="B505" s="1">
        <v>19988.0</v>
      </c>
      <c r="C505" s="1">
        <v>1.623598776E9</v>
      </c>
      <c r="D505" s="1">
        <v>4.0</v>
      </c>
      <c r="E505" s="1" t="b">
        <v>0</v>
      </c>
      <c r="F505" s="1" t="s">
        <v>14482</v>
      </c>
    </row>
    <row r="506">
      <c r="A506" s="1">
        <v>49833.0</v>
      </c>
      <c r="B506" s="1">
        <v>7210.0</v>
      </c>
      <c r="C506" s="1">
        <v>1.611835596E9</v>
      </c>
      <c r="D506" s="1">
        <v>4.0</v>
      </c>
      <c r="E506" s="1" t="b">
        <v>0</v>
      </c>
      <c r="F506" s="1" t="s">
        <v>14483</v>
      </c>
    </row>
    <row r="507">
      <c r="A507" s="1">
        <v>49833.0</v>
      </c>
      <c r="B507" s="1">
        <v>12220.0</v>
      </c>
      <c r="C507" s="1">
        <v>1.612933103E9</v>
      </c>
      <c r="D507" s="1">
        <v>4.0</v>
      </c>
      <c r="E507" s="1" t="b">
        <v>0</v>
      </c>
      <c r="F507" s="1" t="s">
        <v>14484</v>
      </c>
    </row>
    <row r="508">
      <c r="A508" s="1">
        <v>49833.0</v>
      </c>
      <c r="B508" s="1">
        <v>10950.0</v>
      </c>
      <c r="C508" s="1">
        <v>1.612633453E9</v>
      </c>
      <c r="D508" s="1">
        <v>4.0</v>
      </c>
      <c r="E508" s="1" t="b">
        <v>0</v>
      </c>
      <c r="F508" s="1" t="s">
        <v>14485</v>
      </c>
    </row>
    <row r="509">
      <c r="A509" s="1">
        <v>49833.0</v>
      </c>
      <c r="B509" s="1">
        <v>10857.0</v>
      </c>
      <c r="C509" s="1">
        <v>1.612611318E9</v>
      </c>
      <c r="D509" s="1">
        <v>4.0</v>
      </c>
      <c r="E509" s="1" t="b">
        <v>0</v>
      </c>
      <c r="F509" s="1" t="s">
        <v>14486</v>
      </c>
    </row>
    <row r="510">
      <c r="A510" s="1">
        <v>49833.0</v>
      </c>
      <c r="B510" s="1">
        <v>18168.0</v>
      </c>
      <c r="C510" s="1">
        <v>1.623849294E9</v>
      </c>
      <c r="D510" s="1">
        <v>4.0</v>
      </c>
      <c r="E510" s="1" t="b">
        <v>0</v>
      </c>
      <c r="F510" s="1" t="s">
        <v>14487</v>
      </c>
    </row>
    <row r="511">
      <c r="A511" s="1">
        <v>49833.0</v>
      </c>
      <c r="B511" s="1">
        <v>6511.0</v>
      </c>
      <c r="C511" s="1">
        <v>1.611682613E9</v>
      </c>
      <c r="D511" s="1">
        <v>4.0</v>
      </c>
      <c r="E511" s="1" t="b">
        <v>0</v>
      </c>
      <c r="F511" s="1" t="s">
        <v>14488</v>
      </c>
    </row>
    <row r="512">
      <c r="A512" s="1">
        <v>49833.0</v>
      </c>
      <c r="B512" s="1">
        <v>1920.0</v>
      </c>
      <c r="C512" s="1">
        <v>1.607263316E9</v>
      </c>
      <c r="D512" s="1">
        <v>4.0</v>
      </c>
      <c r="E512" s="1" t="b">
        <v>0</v>
      </c>
      <c r="F512" s="1" t="s">
        <v>14489</v>
      </c>
    </row>
    <row r="513">
      <c r="A513" s="1">
        <v>49833.0</v>
      </c>
      <c r="B513" s="1">
        <v>6931.0</v>
      </c>
      <c r="C513" s="1">
        <v>1.611764298E9</v>
      </c>
      <c r="D513" s="1">
        <v>4.0</v>
      </c>
      <c r="E513" s="1" t="b">
        <v>0</v>
      </c>
      <c r="F513" s="1" t="s">
        <v>14490</v>
      </c>
    </row>
    <row r="514">
      <c r="A514" s="1">
        <v>49833.0</v>
      </c>
      <c r="B514" s="1">
        <v>20010.0</v>
      </c>
      <c r="C514" s="1">
        <v>1.624344059E9</v>
      </c>
      <c r="D514" s="1">
        <v>4.0</v>
      </c>
      <c r="E514" s="1" t="b">
        <v>0</v>
      </c>
      <c r="F514" s="1" t="s">
        <v>14491</v>
      </c>
    </row>
    <row r="515">
      <c r="A515" s="1">
        <v>49833.0</v>
      </c>
      <c r="B515" s="1">
        <v>4516.0</v>
      </c>
      <c r="C515" s="1">
        <v>1.61114116E9</v>
      </c>
      <c r="D515" s="1">
        <v>4.0</v>
      </c>
      <c r="E515" s="1" t="b">
        <v>0</v>
      </c>
      <c r="F515" s="1" t="s">
        <v>14492</v>
      </c>
    </row>
    <row r="516">
      <c r="A516" s="1">
        <v>49833.0</v>
      </c>
      <c r="B516" s="1">
        <v>2765.0</v>
      </c>
      <c r="C516" s="1">
        <v>1.609292761E9</v>
      </c>
      <c r="D516" s="1">
        <v>9.0</v>
      </c>
      <c r="E516" s="1" t="b">
        <v>0</v>
      </c>
      <c r="F516" s="1" t="s">
        <v>14493</v>
      </c>
    </row>
    <row r="517">
      <c r="A517" s="1">
        <v>49833.0</v>
      </c>
      <c r="B517" s="1">
        <v>16477.0</v>
      </c>
      <c r="C517" s="1">
        <v>1.616852509E9</v>
      </c>
      <c r="D517" s="1">
        <v>4.0</v>
      </c>
      <c r="E517" s="1" t="b">
        <v>0</v>
      </c>
      <c r="F517" s="1" t="s">
        <v>14494</v>
      </c>
    </row>
    <row r="518">
      <c r="A518" s="1">
        <v>49833.0</v>
      </c>
      <c r="B518" s="1">
        <v>6160.0</v>
      </c>
      <c r="C518" s="1">
        <v>1.611598848E9</v>
      </c>
      <c r="D518" s="1">
        <v>4.0</v>
      </c>
      <c r="E518" s="1" t="b">
        <v>0</v>
      </c>
      <c r="F518" s="1" t="s">
        <v>14495</v>
      </c>
    </row>
    <row r="519">
      <c r="A519" s="1">
        <v>49833.0</v>
      </c>
      <c r="B519" s="1">
        <v>10848.0</v>
      </c>
      <c r="C519" s="1">
        <v>1.612611308E9</v>
      </c>
      <c r="D519" s="1">
        <v>4.0</v>
      </c>
      <c r="E519" s="1" t="b">
        <v>0</v>
      </c>
      <c r="F519" s="1" t="s">
        <v>14496</v>
      </c>
    </row>
    <row r="520">
      <c r="A520" s="1">
        <v>49833.0</v>
      </c>
      <c r="B520" s="1">
        <v>12409.0</v>
      </c>
      <c r="C520" s="1">
        <v>1.613013014E9</v>
      </c>
      <c r="D520" s="1">
        <v>4.0</v>
      </c>
      <c r="E520" s="1" t="b">
        <v>0</v>
      </c>
      <c r="F520" s="1" t="s">
        <v>14497</v>
      </c>
    </row>
    <row r="521">
      <c r="A521" s="1">
        <v>49833.0</v>
      </c>
      <c r="B521" s="1">
        <v>3772.0</v>
      </c>
      <c r="C521" s="1">
        <v>1.610795292E9</v>
      </c>
      <c r="D521" s="1">
        <v>4.0</v>
      </c>
      <c r="E521" s="1" t="b">
        <v>0</v>
      </c>
      <c r="F521" s="1" t="s">
        <v>14498</v>
      </c>
    </row>
    <row r="522">
      <c r="A522" s="1">
        <v>49833.0</v>
      </c>
      <c r="B522" s="1">
        <v>11407.0</v>
      </c>
      <c r="C522" s="1">
        <v>1.612766016E9</v>
      </c>
      <c r="D522" s="1">
        <v>4.0</v>
      </c>
      <c r="E522" s="1" t="b">
        <v>0</v>
      </c>
      <c r="F522" s="1" t="s">
        <v>14499</v>
      </c>
    </row>
    <row r="523">
      <c r="A523" s="1">
        <v>49833.0</v>
      </c>
      <c r="B523" s="1">
        <v>6512.0</v>
      </c>
      <c r="C523" s="1">
        <v>1.611682613E9</v>
      </c>
      <c r="D523" s="1">
        <v>4.0</v>
      </c>
      <c r="E523" s="1" t="b">
        <v>0</v>
      </c>
      <c r="F523" s="1" t="s">
        <v>14500</v>
      </c>
    </row>
    <row r="524">
      <c r="A524" s="1">
        <v>49833.0</v>
      </c>
      <c r="B524" s="1">
        <v>4137.0</v>
      </c>
      <c r="C524" s="1">
        <v>1.611021396E9</v>
      </c>
      <c r="D524" s="1">
        <v>4.0</v>
      </c>
      <c r="E524" s="1" t="b">
        <v>0</v>
      </c>
      <c r="F524" s="1" t="s">
        <v>14501</v>
      </c>
    </row>
    <row r="525">
      <c r="A525" s="1">
        <v>49833.0</v>
      </c>
      <c r="B525" s="1">
        <v>12772.0</v>
      </c>
      <c r="C525" s="1">
        <v>1.613057691E9</v>
      </c>
      <c r="D525" s="1">
        <v>4.0</v>
      </c>
      <c r="E525" s="1" t="b">
        <v>0</v>
      </c>
      <c r="F525" s="1" t="s">
        <v>14502</v>
      </c>
    </row>
    <row r="526">
      <c r="A526" s="1">
        <v>49833.0</v>
      </c>
      <c r="B526" s="1">
        <v>2019.0</v>
      </c>
      <c r="C526" s="1">
        <v>1.607194625E9</v>
      </c>
      <c r="D526" s="1">
        <v>4.0</v>
      </c>
      <c r="E526" s="1" t="b">
        <v>0</v>
      </c>
      <c r="F526" s="1" t="s">
        <v>14503</v>
      </c>
    </row>
    <row r="527">
      <c r="A527" s="1">
        <v>49833.0</v>
      </c>
      <c r="B527" s="1">
        <v>6602.0</v>
      </c>
      <c r="C527" s="1">
        <v>1.611686136E9</v>
      </c>
      <c r="D527" s="1">
        <v>4.0</v>
      </c>
      <c r="E527" s="1" t="b">
        <v>0</v>
      </c>
      <c r="F527" s="1" t="s">
        <v>14504</v>
      </c>
    </row>
    <row r="528">
      <c r="A528" s="1">
        <v>49833.0</v>
      </c>
      <c r="B528" s="1">
        <v>12884.0</v>
      </c>
      <c r="C528" s="1">
        <v>1.613108559E9</v>
      </c>
      <c r="D528" s="1">
        <v>4.0</v>
      </c>
      <c r="E528" s="1" t="b">
        <v>0</v>
      </c>
      <c r="F528" s="1" t="s">
        <v>14505</v>
      </c>
    </row>
    <row r="529">
      <c r="A529" s="1">
        <v>49833.0</v>
      </c>
      <c r="B529" s="1">
        <v>6237.0</v>
      </c>
      <c r="C529" s="1">
        <v>1.611597681E9</v>
      </c>
      <c r="D529" s="1">
        <v>4.0</v>
      </c>
      <c r="E529" s="1" t="b">
        <v>0</v>
      </c>
      <c r="F529" s="1" t="s">
        <v>14506</v>
      </c>
    </row>
    <row r="530">
      <c r="A530" s="1">
        <v>49833.0</v>
      </c>
      <c r="B530" s="1">
        <v>8606.0</v>
      </c>
      <c r="C530" s="1">
        <v>1.612029334E9</v>
      </c>
      <c r="D530" s="1">
        <v>4.0</v>
      </c>
      <c r="E530" s="1" t="b">
        <v>0</v>
      </c>
      <c r="F530" s="1" t="s">
        <v>14507</v>
      </c>
    </row>
    <row r="531">
      <c r="A531" s="1">
        <v>49833.0</v>
      </c>
      <c r="B531" s="1">
        <v>6431.0</v>
      </c>
      <c r="C531" s="1">
        <v>1.6116826E9</v>
      </c>
      <c r="D531" s="1">
        <v>4.0</v>
      </c>
      <c r="E531" s="1" t="b">
        <v>0</v>
      </c>
      <c r="F531" s="1" t="s">
        <v>14508</v>
      </c>
    </row>
    <row r="532">
      <c r="A532" s="1">
        <v>49833.0</v>
      </c>
      <c r="B532" s="1">
        <v>6379.0</v>
      </c>
      <c r="C532" s="1">
        <v>1.611682614E9</v>
      </c>
      <c r="D532" s="1">
        <v>4.0</v>
      </c>
      <c r="E532" s="1" t="b">
        <v>0</v>
      </c>
      <c r="F532" s="1" t="s">
        <v>14509</v>
      </c>
    </row>
    <row r="533">
      <c r="A533" s="1">
        <v>49833.0</v>
      </c>
      <c r="B533" s="1">
        <v>20362.0</v>
      </c>
      <c r="C533" s="1">
        <v>1.624207756E9</v>
      </c>
      <c r="D533" s="1">
        <v>4.0</v>
      </c>
      <c r="E533" s="1" t="b">
        <v>0</v>
      </c>
      <c r="F533" s="1" t="s">
        <v>14510</v>
      </c>
    </row>
    <row r="534">
      <c r="A534" s="1">
        <v>49833.0</v>
      </c>
      <c r="B534" s="1">
        <v>6405.0</v>
      </c>
      <c r="C534" s="1">
        <v>1.611682615E9</v>
      </c>
      <c r="D534" s="1">
        <v>4.0</v>
      </c>
      <c r="E534" s="1" t="b">
        <v>0</v>
      </c>
      <c r="F534" s="1" t="s">
        <v>14511</v>
      </c>
    </row>
    <row r="535">
      <c r="A535" s="1">
        <v>49833.0</v>
      </c>
      <c r="B535" s="1">
        <v>16479.0</v>
      </c>
      <c r="C535" s="1">
        <v>1.616852514E9</v>
      </c>
      <c r="D535" s="1">
        <v>4.0</v>
      </c>
      <c r="E535" s="1" t="b">
        <v>0</v>
      </c>
      <c r="F535" s="1" t="s">
        <v>14512</v>
      </c>
    </row>
    <row r="536">
      <c r="A536" s="1">
        <v>49833.0</v>
      </c>
      <c r="B536" s="1">
        <v>10779.0</v>
      </c>
      <c r="C536" s="1">
        <v>1.612586588E9</v>
      </c>
      <c r="D536" s="1">
        <v>4.0</v>
      </c>
      <c r="E536" s="1" t="b">
        <v>0</v>
      </c>
      <c r="F536" s="1" t="s">
        <v>14513</v>
      </c>
    </row>
    <row r="537">
      <c r="A537" s="1">
        <v>49833.0</v>
      </c>
      <c r="B537" s="1">
        <v>19260.0</v>
      </c>
      <c r="C537" s="1">
        <v>1.622715052E9</v>
      </c>
      <c r="D537" s="1">
        <v>4.0</v>
      </c>
      <c r="E537" s="1" t="b">
        <v>0</v>
      </c>
      <c r="F537" s="1" t="s">
        <v>14514</v>
      </c>
    </row>
    <row r="538">
      <c r="A538" s="1">
        <v>49833.0</v>
      </c>
      <c r="B538" s="1">
        <v>7795.0</v>
      </c>
      <c r="C538" s="1">
        <v>1.61190992E9</v>
      </c>
      <c r="D538" s="1">
        <v>4.0</v>
      </c>
      <c r="E538" s="1" t="b">
        <v>0</v>
      </c>
      <c r="F538" s="1" t="s">
        <v>14515</v>
      </c>
    </row>
    <row r="539">
      <c r="A539" s="1">
        <v>49833.0</v>
      </c>
      <c r="B539" s="1">
        <v>4518.0</v>
      </c>
      <c r="C539" s="1">
        <v>1.611141303E9</v>
      </c>
      <c r="D539" s="1">
        <v>4.0</v>
      </c>
      <c r="E539" s="1" t="b">
        <v>0</v>
      </c>
      <c r="F539" s="1" t="s">
        <v>14516</v>
      </c>
    </row>
    <row r="540">
      <c r="A540" s="1">
        <v>49833.0</v>
      </c>
      <c r="B540" s="1">
        <v>2766.0</v>
      </c>
      <c r="C540" s="1">
        <v>1.609293342E9</v>
      </c>
      <c r="D540" s="1">
        <v>4.0</v>
      </c>
      <c r="E540" s="1" t="b">
        <v>0</v>
      </c>
      <c r="F540" s="1" t="s">
        <v>14517</v>
      </c>
    </row>
    <row r="541">
      <c r="A541" s="1">
        <v>49833.0</v>
      </c>
      <c r="B541" s="1">
        <v>10855.0</v>
      </c>
      <c r="C541" s="1">
        <v>1.612731387E9</v>
      </c>
      <c r="D541" s="1">
        <v>4.0</v>
      </c>
      <c r="E541" s="1" t="b">
        <v>0</v>
      </c>
      <c r="F541" s="1" t="s">
        <v>14518</v>
      </c>
    </row>
    <row r="542">
      <c r="A542" s="1">
        <v>49833.0</v>
      </c>
      <c r="B542" s="1">
        <v>2780.0</v>
      </c>
      <c r="C542" s="1">
        <v>1.609297417E9</v>
      </c>
      <c r="D542" s="1">
        <v>4.0</v>
      </c>
      <c r="E542" s="1" t="b">
        <v>0</v>
      </c>
      <c r="F542" s="1" t="s">
        <v>14519</v>
      </c>
    </row>
    <row r="543">
      <c r="A543" s="1">
        <v>49833.0</v>
      </c>
      <c r="B543" s="1">
        <v>20346.0</v>
      </c>
      <c r="C543" s="1">
        <v>1.624177235E9</v>
      </c>
      <c r="D543" s="1">
        <v>4.0</v>
      </c>
      <c r="E543" s="1" t="b">
        <v>0</v>
      </c>
      <c r="F543" s="1" t="s">
        <v>14520</v>
      </c>
    </row>
    <row r="544">
      <c r="A544" s="1">
        <v>49833.0</v>
      </c>
      <c r="B544" s="1">
        <v>6423.0</v>
      </c>
      <c r="C544" s="1">
        <v>1.611682608E9</v>
      </c>
      <c r="D544" s="1">
        <v>4.0</v>
      </c>
      <c r="E544" s="1" t="b">
        <v>0</v>
      </c>
      <c r="F544" s="1" t="s">
        <v>14521</v>
      </c>
    </row>
    <row r="545">
      <c r="A545" s="1">
        <v>49833.0</v>
      </c>
      <c r="B545" s="1">
        <v>3074.0</v>
      </c>
      <c r="C545" s="1">
        <v>1.609851273E9</v>
      </c>
      <c r="D545" s="1">
        <v>4.0</v>
      </c>
      <c r="E545" s="1" t="b">
        <v>0</v>
      </c>
      <c r="F545" s="1" t="s">
        <v>14522</v>
      </c>
    </row>
    <row r="546">
      <c r="A546" s="1">
        <v>49833.0</v>
      </c>
      <c r="B546" s="1">
        <v>19150.0</v>
      </c>
      <c r="C546" s="1">
        <v>1.622445607E9</v>
      </c>
      <c r="D546" s="1">
        <v>4.0</v>
      </c>
      <c r="E546" s="1" t="b">
        <v>0</v>
      </c>
      <c r="F546" s="1" t="s">
        <v>14523</v>
      </c>
    </row>
    <row r="547">
      <c r="A547" s="1">
        <v>49833.0</v>
      </c>
      <c r="B547" s="1">
        <v>8225.0</v>
      </c>
      <c r="C547" s="1">
        <v>1.611999165E9</v>
      </c>
      <c r="D547" s="1">
        <v>4.0</v>
      </c>
      <c r="E547" s="1" t="b">
        <v>0</v>
      </c>
      <c r="F547" s="1" t="s">
        <v>14524</v>
      </c>
    </row>
    <row r="548">
      <c r="A548" s="1">
        <v>49833.0</v>
      </c>
      <c r="B548" s="1">
        <v>5899.0</v>
      </c>
      <c r="C548" s="1">
        <v>1.611505832E9</v>
      </c>
      <c r="D548" s="1">
        <v>4.0</v>
      </c>
      <c r="E548" s="1" t="b">
        <v>0</v>
      </c>
      <c r="F548" s="1" t="s">
        <v>14525</v>
      </c>
    </row>
    <row r="549">
      <c r="A549" s="1">
        <v>49833.0</v>
      </c>
      <c r="B549" s="1">
        <v>4138.0</v>
      </c>
      <c r="C549" s="1">
        <v>1.611021398E9</v>
      </c>
      <c r="D549" s="1">
        <v>4.0</v>
      </c>
      <c r="E549" s="1" t="b">
        <v>0</v>
      </c>
      <c r="F549" s="1" t="s">
        <v>14526</v>
      </c>
    </row>
    <row r="550">
      <c r="A550" s="1">
        <v>49833.0</v>
      </c>
      <c r="B550" s="1">
        <v>3931.0</v>
      </c>
      <c r="C550" s="1">
        <v>1.610888573E9</v>
      </c>
      <c r="D550" s="1">
        <v>4.0</v>
      </c>
      <c r="E550" s="1" t="b">
        <v>0</v>
      </c>
      <c r="F550" s="1" t="s">
        <v>14527</v>
      </c>
    </row>
    <row r="551">
      <c r="A551" s="1">
        <v>49833.0</v>
      </c>
      <c r="B551" s="1">
        <v>6414.0</v>
      </c>
      <c r="C551" s="1">
        <v>1.61172639E9</v>
      </c>
      <c r="D551" s="1">
        <v>4.0</v>
      </c>
      <c r="E551" s="1" t="b">
        <v>0</v>
      </c>
      <c r="F551" s="1" t="s">
        <v>14528</v>
      </c>
    </row>
    <row r="552">
      <c r="A552" s="1">
        <v>49833.0</v>
      </c>
      <c r="B552" s="1">
        <v>6444.0</v>
      </c>
      <c r="C552" s="1">
        <v>1.611682617E9</v>
      </c>
      <c r="D552" s="1">
        <v>4.0</v>
      </c>
      <c r="E552" s="1" t="b">
        <v>0</v>
      </c>
      <c r="F552" s="1" t="s">
        <v>14529</v>
      </c>
    </row>
    <row r="553">
      <c r="A553" s="1">
        <v>49833.0</v>
      </c>
      <c r="B553" s="1">
        <v>6381.0</v>
      </c>
      <c r="C553" s="1">
        <v>1.611682618E9</v>
      </c>
      <c r="D553" s="1">
        <v>4.0</v>
      </c>
      <c r="E553" s="1" t="b">
        <v>0</v>
      </c>
      <c r="F553" s="1" t="s">
        <v>14530</v>
      </c>
    </row>
    <row r="554">
      <c r="A554" s="1">
        <v>49833.0</v>
      </c>
      <c r="B554" s="1">
        <v>16491.0</v>
      </c>
      <c r="C554" s="1">
        <v>1.616852533E9</v>
      </c>
      <c r="D554" s="1">
        <v>4.0</v>
      </c>
      <c r="E554" s="1" t="b">
        <v>0</v>
      </c>
      <c r="F554" s="1" t="s">
        <v>14531</v>
      </c>
    </row>
    <row r="555">
      <c r="A555" s="1">
        <v>49833.0</v>
      </c>
      <c r="B555" s="1">
        <v>6330.0</v>
      </c>
      <c r="C555" s="1">
        <v>1.611682619E9</v>
      </c>
      <c r="D555" s="1">
        <v>4.0</v>
      </c>
      <c r="E555" s="1" t="b">
        <v>0</v>
      </c>
      <c r="F555" s="1" t="s">
        <v>14532</v>
      </c>
    </row>
    <row r="556">
      <c r="A556" s="1">
        <v>49833.0</v>
      </c>
      <c r="B556" s="1">
        <v>6406.0</v>
      </c>
      <c r="C556" s="1">
        <v>1.61168262E9</v>
      </c>
      <c r="D556" s="1">
        <v>4.0</v>
      </c>
      <c r="E556" s="1" t="b">
        <v>0</v>
      </c>
      <c r="F556" s="1" t="s">
        <v>14533</v>
      </c>
    </row>
    <row r="557">
      <c r="A557" s="1">
        <v>49833.0</v>
      </c>
      <c r="B557" s="1">
        <v>5925.0</v>
      </c>
      <c r="C557" s="1">
        <v>1.61155538E9</v>
      </c>
      <c r="D557" s="1">
        <v>4.0</v>
      </c>
      <c r="E557" s="1" t="b">
        <v>0</v>
      </c>
      <c r="F557" s="1" t="s">
        <v>14534</v>
      </c>
    </row>
    <row r="558">
      <c r="A558" s="1">
        <v>49833.0</v>
      </c>
      <c r="B558" s="1">
        <v>16522.0</v>
      </c>
      <c r="C558" s="1">
        <v>1.617221277E9</v>
      </c>
      <c r="D558" s="1">
        <v>4.0</v>
      </c>
      <c r="E558" s="1" t="b">
        <v>0</v>
      </c>
      <c r="F558" s="1" t="s">
        <v>14535</v>
      </c>
    </row>
    <row r="559">
      <c r="A559" s="1">
        <v>49833.0</v>
      </c>
      <c r="B559" s="1">
        <v>4517.0</v>
      </c>
      <c r="C559" s="1">
        <v>1.611141465E9</v>
      </c>
      <c r="D559" s="1">
        <v>4.0</v>
      </c>
      <c r="E559" s="1" t="b">
        <v>0</v>
      </c>
      <c r="F559" s="1" t="s">
        <v>14536</v>
      </c>
    </row>
    <row r="560">
      <c r="A560" s="1">
        <v>49833.0</v>
      </c>
      <c r="B560" s="1">
        <v>6613.0</v>
      </c>
      <c r="C560" s="1">
        <v>1.611750824E9</v>
      </c>
      <c r="D560" s="1">
        <v>4.0</v>
      </c>
      <c r="E560" s="1" t="b">
        <v>0</v>
      </c>
      <c r="F560" s="1" t="s">
        <v>14537</v>
      </c>
    </row>
    <row r="561">
      <c r="A561" s="1">
        <v>49833.0</v>
      </c>
      <c r="B561" s="1">
        <v>13763.0</v>
      </c>
      <c r="C561" s="1">
        <v>1.613369621E9</v>
      </c>
      <c r="D561" s="1">
        <v>4.0</v>
      </c>
      <c r="E561" s="1" t="b">
        <v>0</v>
      </c>
      <c r="F561" s="1" t="s">
        <v>14538</v>
      </c>
    </row>
    <row r="562">
      <c r="A562" s="1">
        <v>49833.0</v>
      </c>
      <c r="B562" s="1">
        <v>13108.0</v>
      </c>
      <c r="C562" s="1">
        <v>1.613160901E9</v>
      </c>
      <c r="D562" s="1">
        <v>4.0</v>
      </c>
      <c r="E562" s="1" t="b">
        <v>0</v>
      </c>
      <c r="F562" s="1" t="s">
        <v>14539</v>
      </c>
    </row>
    <row r="563">
      <c r="A563" s="1">
        <v>49833.0</v>
      </c>
      <c r="B563" s="1">
        <v>5900.0</v>
      </c>
      <c r="C563" s="1">
        <v>1.61150583E9</v>
      </c>
      <c r="D563" s="1">
        <v>4.0</v>
      </c>
      <c r="E563" s="1" t="b">
        <v>0</v>
      </c>
      <c r="F563" s="1" t="s">
        <v>14540</v>
      </c>
    </row>
    <row r="564">
      <c r="A564" s="1">
        <v>49833.0</v>
      </c>
      <c r="B564" s="1">
        <v>3915.0</v>
      </c>
      <c r="C564" s="1">
        <v>1.610880559E9</v>
      </c>
      <c r="D564" s="1">
        <v>4.0</v>
      </c>
      <c r="E564" s="1" t="b">
        <v>0</v>
      </c>
      <c r="F564" s="1" t="s">
        <v>14541</v>
      </c>
    </row>
    <row r="565">
      <c r="A565" s="1">
        <v>49833.0</v>
      </c>
      <c r="B565" s="1">
        <v>13553.0</v>
      </c>
      <c r="C565" s="1">
        <v>1.613308815E9</v>
      </c>
      <c r="D565" s="1">
        <v>4.0</v>
      </c>
      <c r="E565" s="1" t="b">
        <v>0</v>
      </c>
      <c r="F565" s="1" t="s">
        <v>14542</v>
      </c>
    </row>
    <row r="566">
      <c r="A566" s="1">
        <v>49833.0</v>
      </c>
      <c r="B566" s="1">
        <v>6443.0</v>
      </c>
      <c r="C566" s="1">
        <v>1.611686138E9</v>
      </c>
      <c r="D566" s="1">
        <v>4.0</v>
      </c>
      <c r="E566" s="1" t="b">
        <v>0</v>
      </c>
      <c r="F566" s="1" t="s">
        <v>14543</v>
      </c>
    </row>
    <row r="567">
      <c r="A567" s="1">
        <v>49833.0</v>
      </c>
      <c r="B567" s="1">
        <v>3953.0</v>
      </c>
      <c r="C567" s="1">
        <v>1.610897372E9</v>
      </c>
      <c r="D567" s="1">
        <v>4.0</v>
      </c>
      <c r="E567" s="1" t="b">
        <v>0</v>
      </c>
      <c r="F567" s="1" t="s">
        <v>14544</v>
      </c>
    </row>
    <row r="568">
      <c r="A568" s="1">
        <v>49833.0</v>
      </c>
      <c r="B568" s="1">
        <v>6245.0</v>
      </c>
      <c r="C568" s="1">
        <v>1.611597718E9</v>
      </c>
      <c r="D568" s="1">
        <v>4.0</v>
      </c>
      <c r="E568" s="1" t="b">
        <v>0</v>
      </c>
      <c r="F568" s="1" t="s">
        <v>14545</v>
      </c>
    </row>
    <row r="569">
      <c r="A569" s="1">
        <v>49833.0</v>
      </c>
      <c r="B569" s="1">
        <v>1898.0</v>
      </c>
      <c r="C569" s="1">
        <v>1.607007077E9</v>
      </c>
      <c r="D569" s="1">
        <v>4.0</v>
      </c>
      <c r="E569" s="1" t="b">
        <v>0</v>
      </c>
      <c r="F569" s="1" t="s">
        <v>14546</v>
      </c>
    </row>
    <row r="570">
      <c r="A570" s="1">
        <v>49833.0</v>
      </c>
      <c r="B570" s="1">
        <v>6950.0</v>
      </c>
      <c r="C570" s="1">
        <v>1.611764356E9</v>
      </c>
      <c r="D570" s="1">
        <v>4.0</v>
      </c>
      <c r="E570" s="1" t="b">
        <v>0</v>
      </c>
      <c r="F570" s="1" t="s">
        <v>14407</v>
      </c>
    </row>
    <row r="571">
      <c r="A571" s="1">
        <v>49833.0</v>
      </c>
      <c r="B571" s="1">
        <v>1067.0</v>
      </c>
      <c r="C571" s="1">
        <v>1.607019467E9</v>
      </c>
      <c r="D571" s="1">
        <v>4.0</v>
      </c>
      <c r="E571" s="1" t="b">
        <v>0</v>
      </c>
      <c r="F571" s="1" t="s">
        <v>14547</v>
      </c>
    </row>
    <row r="572">
      <c r="A572" s="1">
        <v>49833.0</v>
      </c>
      <c r="B572" s="1">
        <v>10592.0</v>
      </c>
      <c r="C572" s="1">
        <v>1.612731386E9</v>
      </c>
      <c r="D572" s="1">
        <v>4.0</v>
      </c>
      <c r="E572" s="1" t="b">
        <v>0</v>
      </c>
      <c r="F572" s="1" t="s">
        <v>14548</v>
      </c>
    </row>
    <row r="573">
      <c r="A573" s="1">
        <v>49833.0</v>
      </c>
      <c r="B573" s="1">
        <v>20343.0</v>
      </c>
      <c r="C573" s="1">
        <v>1.624174295E9</v>
      </c>
      <c r="D573" s="1">
        <v>4.0</v>
      </c>
      <c r="E573" s="1" t="b">
        <v>0</v>
      </c>
      <c r="F573" s="1" t="s">
        <v>14549</v>
      </c>
    </row>
    <row r="574">
      <c r="A574" s="1">
        <v>49833.0</v>
      </c>
      <c r="B574" s="1">
        <v>3759.0</v>
      </c>
      <c r="C574" s="1">
        <v>1.610788535E9</v>
      </c>
      <c r="D574" s="1">
        <v>4.0</v>
      </c>
      <c r="E574" s="1" t="b">
        <v>0</v>
      </c>
      <c r="F574" s="1" t="s">
        <v>14550</v>
      </c>
    </row>
    <row r="575">
      <c r="A575" s="1">
        <v>49833.0</v>
      </c>
      <c r="B575" s="1">
        <v>2159.0</v>
      </c>
      <c r="C575" s="1">
        <v>1.607500928E9</v>
      </c>
      <c r="D575" s="1">
        <v>4.0</v>
      </c>
      <c r="E575" s="1" t="b">
        <v>0</v>
      </c>
      <c r="F575" s="1" t="s">
        <v>14551</v>
      </c>
    </row>
    <row r="576">
      <c r="A576" s="1">
        <v>49833.0</v>
      </c>
      <c r="B576" s="1">
        <v>6203.0</v>
      </c>
      <c r="C576" s="1">
        <v>1.611597683E9</v>
      </c>
      <c r="D576" s="1">
        <v>4.0</v>
      </c>
      <c r="E576" s="1" t="b">
        <v>0</v>
      </c>
      <c r="F576" s="1" t="s">
        <v>14552</v>
      </c>
    </row>
    <row r="577">
      <c r="A577" s="1">
        <v>49833.0</v>
      </c>
      <c r="B577" s="1">
        <v>6213.0</v>
      </c>
      <c r="C577" s="1">
        <v>1.611597684E9</v>
      </c>
      <c r="D577" s="1">
        <v>4.0</v>
      </c>
      <c r="E577" s="1" t="b">
        <v>0</v>
      </c>
      <c r="F577" s="1" t="s">
        <v>14553</v>
      </c>
    </row>
    <row r="578">
      <c r="A578" s="1">
        <v>49833.0</v>
      </c>
      <c r="B578" s="1">
        <v>6235.0</v>
      </c>
      <c r="C578" s="1">
        <v>1.611597685E9</v>
      </c>
      <c r="D578" s="1">
        <v>4.0</v>
      </c>
      <c r="E578" s="1" t="b">
        <v>0</v>
      </c>
      <c r="F578" s="1" t="s">
        <v>14554</v>
      </c>
    </row>
    <row r="579">
      <c r="A579" s="1">
        <v>49833.0</v>
      </c>
      <c r="B579" s="1">
        <v>11194.0</v>
      </c>
      <c r="C579" s="1">
        <v>1.612702018E9</v>
      </c>
      <c r="D579" s="1">
        <v>4.0</v>
      </c>
      <c r="E579" s="1" t="b">
        <v>0</v>
      </c>
      <c r="F579" s="1" t="s">
        <v>14555</v>
      </c>
    </row>
    <row r="580">
      <c r="A580" s="1">
        <v>49833.0</v>
      </c>
      <c r="B580" s="1">
        <v>10646.0</v>
      </c>
      <c r="C580" s="1">
        <v>1.612530256E9</v>
      </c>
      <c r="D580" s="1">
        <v>4.0</v>
      </c>
      <c r="E580" s="1" t="b">
        <v>0</v>
      </c>
      <c r="F580" s="1" t="s">
        <v>14556</v>
      </c>
    </row>
    <row r="581">
      <c r="A581" s="1">
        <v>49833.0</v>
      </c>
      <c r="B581" s="1">
        <v>11713.0</v>
      </c>
      <c r="C581" s="1">
        <v>1.612855402E9</v>
      </c>
      <c r="D581" s="1">
        <v>4.0</v>
      </c>
      <c r="E581" s="1" t="b">
        <v>0</v>
      </c>
      <c r="F581" s="1" t="s">
        <v>14557</v>
      </c>
    </row>
    <row r="582">
      <c r="A582" s="1">
        <v>49833.0</v>
      </c>
      <c r="B582" s="1">
        <v>11728.0</v>
      </c>
      <c r="C582" s="1">
        <v>1.612855405E9</v>
      </c>
      <c r="D582" s="1">
        <v>4.0</v>
      </c>
      <c r="E582" s="1" t="b">
        <v>0</v>
      </c>
      <c r="F582" s="1" t="s">
        <v>14558</v>
      </c>
    </row>
    <row r="583">
      <c r="A583" s="1">
        <v>49833.0</v>
      </c>
      <c r="B583" s="1">
        <v>3760.0</v>
      </c>
      <c r="C583" s="1">
        <v>1.610788534E9</v>
      </c>
      <c r="D583" s="1">
        <v>4.0</v>
      </c>
      <c r="E583" s="1" t="b">
        <v>0</v>
      </c>
      <c r="F583" s="1" t="s">
        <v>14559</v>
      </c>
    </row>
    <row r="584">
      <c r="A584" s="1">
        <v>49833.0</v>
      </c>
      <c r="B584" s="1">
        <v>3933.0</v>
      </c>
      <c r="C584" s="1">
        <v>1.610892337E9</v>
      </c>
      <c r="D584" s="1">
        <v>4.0</v>
      </c>
      <c r="E584" s="1" t="b">
        <v>0</v>
      </c>
      <c r="F584" s="1" t="s">
        <v>14560</v>
      </c>
    </row>
    <row r="585">
      <c r="A585" s="1">
        <v>49833.0</v>
      </c>
      <c r="B585" s="1">
        <v>3952.0</v>
      </c>
      <c r="C585" s="1">
        <v>1.610897373E9</v>
      </c>
      <c r="D585" s="1">
        <v>4.0</v>
      </c>
      <c r="E585" s="1" t="b">
        <v>0</v>
      </c>
      <c r="F585" s="1" t="s">
        <v>14561</v>
      </c>
    </row>
    <row r="586">
      <c r="A586" s="1">
        <v>49833.0</v>
      </c>
      <c r="B586" s="1">
        <v>6521.0</v>
      </c>
      <c r="C586" s="1">
        <v>1.611686142E9</v>
      </c>
      <c r="D586" s="1">
        <v>4.0</v>
      </c>
      <c r="E586" s="1" t="b">
        <v>0</v>
      </c>
      <c r="F586" s="1" t="s">
        <v>14562</v>
      </c>
    </row>
    <row r="587">
      <c r="A587" s="1">
        <v>49833.0</v>
      </c>
      <c r="B587" s="1">
        <v>6445.0</v>
      </c>
      <c r="C587" s="1">
        <v>1.611686144E9</v>
      </c>
      <c r="D587" s="1">
        <v>4.0</v>
      </c>
      <c r="E587" s="1" t="b">
        <v>0</v>
      </c>
      <c r="F587" s="1" t="s">
        <v>14563</v>
      </c>
    </row>
    <row r="588">
      <c r="A588" s="1">
        <v>49833.0</v>
      </c>
      <c r="B588" s="1">
        <v>2063.0</v>
      </c>
      <c r="C588" s="1">
        <v>1.607328106E9</v>
      </c>
      <c r="D588" s="1">
        <v>4.0</v>
      </c>
      <c r="E588" s="1" t="b">
        <v>0</v>
      </c>
      <c r="F588" s="1" t="s">
        <v>14564</v>
      </c>
    </row>
    <row r="589">
      <c r="A589" s="1">
        <v>49833.0</v>
      </c>
      <c r="B589" s="1">
        <v>4034.0</v>
      </c>
      <c r="C589" s="1">
        <v>1.610970571E9</v>
      </c>
      <c r="D589" s="1">
        <v>4.0</v>
      </c>
      <c r="E589" s="1" t="b">
        <v>0</v>
      </c>
      <c r="F589" s="1" t="s">
        <v>14565</v>
      </c>
    </row>
    <row r="590">
      <c r="A590" s="1">
        <v>49833.0</v>
      </c>
      <c r="B590" s="1">
        <v>10849.0</v>
      </c>
      <c r="C590" s="1">
        <v>1.612611311E9</v>
      </c>
      <c r="D590" s="1">
        <v>4.0</v>
      </c>
      <c r="E590" s="1" t="b">
        <v>0</v>
      </c>
      <c r="F590" s="1" t="s">
        <v>14566</v>
      </c>
    </row>
    <row r="591">
      <c r="A591" s="1">
        <v>49833.0</v>
      </c>
      <c r="B591" s="1">
        <v>3455.0</v>
      </c>
      <c r="C591" s="1">
        <v>1.610539675E9</v>
      </c>
      <c r="D591" s="1">
        <v>4.0</v>
      </c>
      <c r="E591" s="1" t="b">
        <v>0</v>
      </c>
      <c r="F591" s="1" t="s">
        <v>14567</v>
      </c>
    </row>
    <row r="592">
      <c r="A592" s="1">
        <v>49833.0</v>
      </c>
      <c r="B592" s="1">
        <v>12232.0</v>
      </c>
      <c r="C592" s="1">
        <v>1.612934613E9</v>
      </c>
      <c r="D592" s="1">
        <v>4.0</v>
      </c>
      <c r="E592" s="1" t="b">
        <v>0</v>
      </c>
      <c r="F592" s="1" t="s">
        <v>14568</v>
      </c>
    </row>
    <row r="593">
      <c r="A593" s="1">
        <v>49833.0</v>
      </c>
      <c r="B593" s="1">
        <v>4045.0</v>
      </c>
      <c r="C593" s="1">
        <v>1.6109718E9</v>
      </c>
      <c r="D593" s="1">
        <v>4.0</v>
      </c>
      <c r="E593" s="1" t="b">
        <v>0</v>
      </c>
      <c r="F593" s="1" t="s">
        <v>14569</v>
      </c>
    </row>
    <row r="594">
      <c r="A594" s="1">
        <v>49833.0</v>
      </c>
      <c r="B594" s="1">
        <v>6439.0</v>
      </c>
      <c r="C594" s="1">
        <v>1.611686139E9</v>
      </c>
      <c r="D594" s="1">
        <v>4.0</v>
      </c>
      <c r="E594" s="1" t="b">
        <v>0</v>
      </c>
      <c r="F594" s="1" t="s">
        <v>14570</v>
      </c>
    </row>
    <row r="595">
      <c r="A595" s="1">
        <v>49833.0</v>
      </c>
      <c r="B595" s="1">
        <v>9422.0</v>
      </c>
      <c r="C595" s="1">
        <v>1.612160014E9</v>
      </c>
      <c r="D595" s="1">
        <v>4.0</v>
      </c>
      <c r="E595" s="1" t="b">
        <v>0</v>
      </c>
      <c r="F595" s="1" t="s">
        <v>14571</v>
      </c>
    </row>
    <row r="596">
      <c r="A596" s="1">
        <v>49833.0</v>
      </c>
      <c r="B596" s="1">
        <v>3951.0</v>
      </c>
      <c r="C596" s="1">
        <v>1.610897376E9</v>
      </c>
      <c r="D596" s="1">
        <v>4.0</v>
      </c>
      <c r="E596" s="1" t="b">
        <v>0</v>
      </c>
      <c r="F596" s="1" t="s">
        <v>14572</v>
      </c>
    </row>
    <row r="597">
      <c r="A597" s="1">
        <v>49833.0</v>
      </c>
      <c r="B597" s="1">
        <v>6333.0</v>
      </c>
      <c r="C597" s="1">
        <v>1.61168614E9</v>
      </c>
      <c r="D597" s="1">
        <v>4.0</v>
      </c>
      <c r="E597" s="1" t="b">
        <v>0</v>
      </c>
      <c r="F597" s="1" t="s">
        <v>14573</v>
      </c>
    </row>
    <row r="598">
      <c r="A598" s="1">
        <v>49833.0</v>
      </c>
      <c r="B598" s="1">
        <v>8614.0</v>
      </c>
      <c r="C598" s="1">
        <v>1.612029305E9</v>
      </c>
      <c r="D598" s="1">
        <v>4.0</v>
      </c>
      <c r="E598" s="1" t="b">
        <v>0</v>
      </c>
      <c r="F598" s="1" t="s">
        <v>14574</v>
      </c>
    </row>
    <row r="599">
      <c r="A599" s="1">
        <v>49833.0</v>
      </c>
      <c r="B599" s="1">
        <v>18780.0</v>
      </c>
      <c r="C599" s="1">
        <v>1.621950567E9</v>
      </c>
      <c r="D599" s="1">
        <v>4.0</v>
      </c>
      <c r="E599" s="1" t="b">
        <v>0</v>
      </c>
      <c r="F599" s="1" t="s">
        <v>14575</v>
      </c>
    </row>
    <row r="600">
      <c r="A600" s="1">
        <v>49833.0</v>
      </c>
      <c r="B600" s="1">
        <v>3773.0</v>
      </c>
      <c r="C600" s="1">
        <v>1.610795893E9</v>
      </c>
      <c r="D600" s="1">
        <v>4.0</v>
      </c>
      <c r="E600" s="1" t="b">
        <v>0</v>
      </c>
      <c r="F600" s="1" t="s">
        <v>14576</v>
      </c>
    </row>
    <row r="601">
      <c r="A601" s="1">
        <v>49833.0</v>
      </c>
      <c r="B601" s="1">
        <v>6887.0</v>
      </c>
      <c r="C601" s="1">
        <v>1.611750825E9</v>
      </c>
      <c r="D601" s="1">
        <v>4.0</v>
      </c>
      <c r="E601" s="1" t="b">
        <v>0</v>
      </c>
      <c r="F601" s="1" t="s">
        <v>14577</v>
      </c>
    </row>
    <row r="602">
      <c r="A602" s="1">
        <v>49833.0</v>
      </c>
      <c r="B602" s="1">
        <v>3791.0</v>
      </c>
      <c r="C602" s="1">
        <v>1.610803863E9</v>
      </c>
      <c r="D602" s="1">
        <v>4.0</v>
      </c>
      <c r="E602" s="1" t="b">
        <v>0</v>
      </c>
      <c r="F602" s="1" t="s">
        <v>14578</v>
      </c>
    </row>
    <row r="603">
      <c r="A603" s="1">
        <v>49833.0</v>
      </c>
      <c r="B603" s="1">
        <v>11198.0</v>
      </c>
      <c r="C603" s="1">
        <v>1.612699836E9</v>
      </c>
      <c r="D603" s="1">
        <v>4.0</v>
      </c>
      <c r="E603" s="1" t="b">
        <v>0</v>
      </c>
      <c r="F603" s="1" t="s">
        <v>14579</v>
      </c>
    </row>
    <row r="604">
      <c r="A604" s="1">
        <v>49833.0</v>
      </c>
      <c r="B604" s="1">
        <v>11655.0</v>
      </c>
      <c r="C604" s="1">
        <v>1.612807842E9</v>
      </c>
      <c r="D604" s="1">
        <v>4.0</v>
      </c>
      <c r="E604" s="1" t="b">
        <v>0</v>
      </c>
      <c r="F604" s="1" t="s">
        <v>14580</v>
      </c>
    </row>
    <row r="605">
      <c r="A605" s="1">
        <v>49833.0</v>
      </c>
      <c r="B605" s="1">
        <v>4036.0</v>
      </c>
      <c r="C605" s="1">
        <v>1.610970585E9</v>
      </c>
      <c r="D605" s="1">
        <v>4.0</v>
      </c>
      <c r="E605" s="1" t="b">
        <v>0</v>
      </c>
      <c r="F605" s="1" t="s">
        <v>14581</v>
      </c>
    </row>
    <row r="606">
      <c r="A606" s="1">
        <v>49833.0</v>
      </c>
      <c r="B606" s="1">
        <v>2767.0</v>
      </c>
      <c r="C606" s="1">
        <v>1.6092982E9</v>
      </c>
      <c r="D606" s="1">
        <v>4.0</v>
      </c>
      <c r="E606" s="1" t="b">
        <v>0</v>
      </c>
      <c r="F606" s="1" t="s">
        <v>14582</v>
      </c>
    </row>
    <row r="607">
      <c r="A607" s="1">
        <v>49833.0</v>
      </c>
      <c r="B607" s="1">
        <v>20341.0</v>
      </c>
      <c r="C607" s="1">
        <v>1.624173704E9</v>
      </c>
      <c r="D607" s="1">
        <v>4.0</v>
      </c>
      <c r="E607" s="1" t="b">
        <v>0</v>
      </c>
      <c r="F607" s="1" t="s">
        <v>14583</v>
      </c>
    </row>
    <row r="608">
      <c r="A608" s="1">
        <v>49833.0</v>
      </c>
      <c r="B608" s="1">
        <v>1976.0</v>
      </c>
      <c r="C608" s="1">
        <v>1.607116403E9</v>
      </c>
      <c r="D608" s="1">
        <v>4.0</v>
      </c>
      <c r="E608" s="1" t="b">
        <v>0</v>
      </c>
      <c r="F608" s="1" t="s">
        <v>14584</v>
      </c>
    </row>
    <row r="609">
      <c r="A609" s="1">
        <v>49833.0</v>
      </c>
      <c r="B609" s="1">
        <v>4053.0</v>
      </c>
      <c r="C609" s="1">
        <v>1.610976279E9</v>
      </c>
      <c r="D609" s="1">
        <v>4.0</v>
      </c>
      <c r="E609" s="1" t="b">
        <v>0</v>
      </c>
      <c r="F609" s="1" t="s">
        <v>14585</v>
      </c>
    </row>
    <row r="610">
      <c r="A610" s="1">
        <v>49833.0</v>
      </c>
      <c r="B610" s="1">
        <v>4059.0</v>
      </c>
      <c r="C610" s="1">
        <v>1.610983499E9</v>
      </c>
      <c r="D610" s="1">
        <v>4.0</v>
      </c>
      <c r="E610" s="1" t="b">
        <v>0</v>
      </c>
      <c r="F610" s="1" t="s">
        <v>14259</v>
      </c>
    </row>
    <row r="611">
      <c r="A611" s="1">
        <v>49833.0</v>
      </c>
      <c r="B611" s="1">
        <v>12903.0</v>
      </c>
      <c r="C611" s="1">
        <v>1.613109976E9</v>
      </c>
      <c r="D611" s="1">
        <v>4.0</v>
      </c>
      <c r="E611" s="1" t="b">
        <v>0</v>
      </c>
      <c r="F611" s="1" t="s">
        <v>14586</v>
      </c>
    </row>
    <row r="612">
      <c r="A612" s="1">
        <v>49833.0</v>
      </c>
      <c r="B612" s="1">
        <v>11217.0</v>
      </c>
      <c r="C612" s="1">
        <v>1.612731391E9</v>
      </c>
      <c r="D612" s="1">
        <v>4.0</v>
      </c>
      <c r="E612" s="1" t="b">
        <v>0</v>
      </c>
      <c r="F612" s="1" t="s">
        <v>14587</v>
      </c>
    </row>
    <row r="613">
      <c r="A613" s="1">
        <v>49833.0</v>
      </c>
      <c r="B613" s="1">
        <v>3881.0</v>
      </c>
      <c r="C613" s="1">
        <v>1.610869214E9</v>
      </c>
      <c r="D613" s="1">
        <v>4.0</v>
      </c>
      <c r="E613" s="1" t="b">
        <v>0</v>
      </c>
      <c r="F613" s="1" t="s">
        <v>14588</v>
      </c>
    </row>
    <row r="614">
      <c r="A614" s="1">
        <v>49833.0</v>
      </c>
      <c r="B614" s="1">
        <v>3911.0</v>
      </c>
      <c r="C614" s="1">
        <v>1.610880556E9</v>
      </c>
      <c r="D614" s="1">
        <v>4.0</v>
      </c>
      <c r="E614" s="1" t="b">
        <v>0</v>
      </c>
      <c r="F614" s="1" t="s">
        <v>14589</v>
      </c>
    </row>
    <row r="615">
      <c r="A615" s="1">
        <v>49833.0</v>
      </c>
      <c r="B615" s="1">
        <v>1927.0</v>
      </c>
      <c r="C615" s="1">
        <v>1.607079548E9</v>
      </c>
      <c r="D615" s="1">
        <v>4.0</v>
      </c>
      <c r="E615" s="1" t="b">
        <v>0</v>
      </c>
      <c r="F615" s="1" t="s">
        <v>14590</v>
      </c>
    </row>
    <row r="616">
      <c r="A616" s="1">
        <v>49833.0</v>
      </c>
      <c r="B616" s="1">
        <v>18748.0</v>
      </c>
      <c r="C616" s="1">
        <v>1.621922168E9</v>
      </c>
      <c r="D616" s="1">
        <v>4.0</v>
      </c>
      <c r="E616" s="1" t="b">
        <v>0</v>
      </c>
      <c r="F616" s="1" t="s">
        <v>14591</v>
      </c>
    </row>
    <row r="617">
      <c r="A617" s="1">
        <v>49833.0</v>
      </c>
      <c r="B617" s="1">
        <v>18747.0</v>
      </c>
      <c r="C617" s="1">
        <v>1.621920796E9</v>
      </c>
      <c r="D617" s="1">
        <v>4.0</v>
      </c>
      <c r="E617" s="1" t="b">
        <v>0</v>
      </c>
      <c r="F617" s="1" t="s">
        <v>14592</v>
      </c>
    </row>
    <row r="618">
      <c r="A618" s="1">
        <v>49833.0</v>
      </c>
      <c r="B618" s="1">
        <v>18744.0</v>
      </c>
      <c r="C618" s="1">
        <v>1.621917865E9</v>
      </c>
      <c r="D618" s="1">
        <v>4.0</v>
      </c>
      <c r="E618" s="1" t="b">
        <v>0</v>
      </c>
      <c r="F618" s="1" t="s">
        <v>14593</v>
      </c>
    </row>
    <row r="619">
      <c r="A619" s="1">
        <v>49833.0</v>
      </c>
      <c r="B619" s="1">
        <v>18741.0</v>
      </c>
      <c r="C619" s="1">
        <v>1.621916941E9</v>
      </c>
      <c r="D619" s="1">
        <v>4.0</v>
      </c>
      <c r="E619" s="1" t="b">
        <v>0</v>
      </c>
      <c r="F619" s="1" t="s">
        <v>14594</v>
      </c>
    </row>
    <row r="620">
      <c r="A620" s="1">
        <v>49833.0</v>
      </c>
      <c r="B620" s="1">
        <v>18738.0</v>
      </c>
      <c r="C620" s="1">
        <v>1.62191214E9</v>
      </c>
      <c r="D620" s="1">
        <v>4.0</v>
      </c>
      <c r="E620" s="1" t="b">
        <v>0</v>
      </c>
      <c r="F620" s="1" t="s">
        <v>14595</v>
      </c>
    </row>
    <row r="621">
      <c r="A621" s="1">
        <v>49833.0</v>
      </c>
      <c r="B621" s="1">
        <v>6408.0</v>
      </c>
      <c r="C621" s="1">
        <v>1.611686147E9</v>
      </c>
      <c r="D621" s="1">
        <v>4.0</v>
      </c>
      <c r="E621" s="1" t="b">
        <v>0</v>
      </c>
      <c r="F621" s="1" t="s">
        <v>14596</v>
      </c>
    </row>
    <row r="622">
      <c r="A622" s="1">
        <v>49833.0</v>
      </c>
      <c r="B622" s="1">
        <v>6386.0</v>
      </c>
      <c r="C622" s="1">
        <v>1.611750826E9</v>
      </c>
      <c r="D622" s="1">
        <v>4.0</v>
      </c>
      <c r="E622" s="1" t="b">
        <v>0</v>
      </c>
      <c r="F622" s="1" t="s">
        <v>14324</v>
      </c>
    </row>
    <row r="623">
      <c r="A623" s="1">
        <v>49833.0</v>
      </c>
      <c r="B623" s="1">
        <v>6619.0</v>
      </c>
      <c r="C623" s="1">
        <v>1.611750827E9</v>
      </c>
      <c r="D623" s="1">
        <v>4.0</v>
      </c>
      <c r="E623" s="1" t="b">
        <v>0</v>
      </c>
      <c r="F623" s="1" t="s">
        <v>14597</v>
      </c>
    </row>
    <row r="624">
      <c r="A624" s="1">
        <v>49833.0</v>
      </c>
      <c r="B624" s="1">
        <v>2768.0</v>
      </c>
      <c r="C624" s="1">
        <v>1.609293596E9</v>
      </c>
      <c r="D624" s="1">
        <v>4.0</v>
      </c>
      <c r="E624" s="1" t="b">
        <v>0</v>
      </c>
      <c r="F624" s="1" t="s">
        <v>14598</v>
      </c>
    </row>
    <row r="625">
      <c r="A625" s="1">
        <v>49833.0</v>
      </c>
      <c r="B625" s="1">
        <v>18781.0</v>
      </c>
      <c r="C625" s="1">
        <v>1.621951126E9</v>
      </c>
      <c r="D625" s="1">
        <v>4.0</v>
      </c>
      <c r="E625" s="1" t="b">
        <v>0</v>
      </c>
      <c r="F625" s="1" t="s">
        <v>14599</v>
      </c>
    </row>
    <row r="626">
      <c r="A626" s="1">
        <v>49833.0</v>
      </c>
      <c r="B626" s="1">
        <v>12691.0</v>
      </c>
      <c r="C626" s="1">
        <v>1.613043194E9</v>
      </c>
      <c r="D626" s="1">
        <v>4.0</v>
      </c>
      <c r="E626" s="1" t="b">
        <v>0</v>
      </c>
      <c r="F626" s="1" t="s">
        <v>14600</v>
      </c>
    </row>
    <row r="627">
      <c r="A627" s="1">
        <v>49833.0</v>
      </c>
      <c r="B627" s="1">
        <v>1903.0</v>
      </c>
      <c r="C627" s="1">
        <v>1.607016047E9</v>
      </c>
      <c r="D627" s="1">
        <v>4.0</v>
      </c>
      <c r="E627" s="1" t="b">
        <v>0</v>
      </c>
      <c r="F627" s="1" t="s">
        <v>14601</v>
      </c>
    </row>
    <row r="628">
      <c r="A628" s="1">
        <v>49833.0</v>
      </c>
      <c r="B628" s="1">
        <v>1930.0</v>
      </c>
      <c r="C628" s="1">
        <v>1.607063283E9</v>
      </c>
      <c r="D628" s="1">
        <v>4.0</v>
      </c>
      <c r="E628" s="1" t="b">
        <v>0</v>
      </c>
      <c r="F628" s="1" t="s">
        <v>14602</v>
      </c>
    </row>
    <row r="629">
      <c r="A629" s="1">
        <v>49833.0</v>
      </c>
      <c r="B629" s="1">
        <v>1940.0</v>
      </c>
      <c r="C629" s="1">
        <v>1.607077904E9</v>
      </c>
      <c r="D629" s="1">
        <v>4.0</v>
      </c>
      <c r="E629" s="1" t="b">
        <v>0</v>
      </c>
      <c r="F629" s="1" t="s">
        <v>14603</v>
      </c>
    </row>
    <row r="630">
      <c r="A630" s="1">
        <v>49833.0</v>
      </c>
      <c r="B630" s="1">
        <v>10472.0</v>
      </c>
      <c r="C630" s="1">
        <v>1.612468194E9</v>
      </c>
      <c r="D630" s="1">
        <v>4.0</v>
      </c>
      <c r="E630" s="1" t="b">
        <v>0</v>
      </c>
      <c r="F630" s="1" t="s">
        <v>14604</v>
      </c>
    </row>
    <row r="631">
      <c r="A631" s="1">
        <v>49833.0</v>
      </c>
      <c r="B631" s="1">
        <v>1977.0</v>
      </c>
      <c r="C631" s="1">
        <v>1.607122112E9</v>
      </c>
      <c r="D631" s="1">
        <v>9.0</v>
      </c>
      <c r="E631" s="1" t="b">
        <v>0</v>
      </c>
      <c r="F631" s="1" t="s">
        <v>14605</v>
      </c>
    </row>
    <row r="632">
      <c r="A632" s="1">
        <v>49833.0</v>
      </c>
      <c r="B632" s="1">
        <v>5892.0</v>
      </c>
      <c r="C632" s="1">
        <v>1.611505849E9</v>
      </c>
      <c r="D632" s="1">
        <v>4.0</v>
      </c>
      <c r="E632" s="1" t="b">
        <v>0</v>
      </c>
      <c r="F632" s="1" t="s">
        <v>14606</v>
      </c>
    </row>
    <row r="633">
      <c r="A633" s="1">
        <v>49833.0</v>
      </c>
      <c r="B633" s="1">
        <v>11492.0</v>
      </c>
      <c r="C633" s="1">
        <v>1.612772041E9</v>
      </c>
      <c r="D633" s="1">
        <v>4.0</v>
      </c>
      <c r="E633" s="1" t="b">
        <v>0</v>
      </c>
      <c r="F633" s="1" t="s">
        <v>14607</v>
      </c>
    </row>
    <row r="634">
      <c r="A634" s="1">
        <v>49833.0</v>
      </c>
      <c r="B634" s="1">
        <v>6693.0</v>
      </c>
      <c r="C634" s="1">
        <v>1.61175083E9</v>
      </c>
      <c r="D634" s="1">
        <v>4.0</v>
      </c>
      <c r="E634" s="1" t="b">
        <v>0</v>
      </c>
      <c r="F634" s="1" t="s">
        <v>14608</v>
      </c>
    </row>
    <row r="635">
      <c r="A635" s="1">
        <v>49833.0</v>
      </c>
      <c r="B635" s="1">
        <v>6446.0</v>
      </c>
      <c r="C635" s="1">
        <v>1.611686143E9</v>
      </c>
      <c r="D635" s="1">
        <v>4.0</v>
      </c>
      <c r="E635" s="1" t="b">
        <v>0</v>
      </c>
      <c r="F635" s="1" t="s">
        <v>14609</v>
      </c>
    </row>
    <row r="636">
      <c r="A636" s="1">
        <v>49833.0</v>
      </c>
      <c r="B636" s="1">
        <v>12041.0</v>
      </c>
      <c r="C636" s="1">
        <v>1.612888033E9</v>
      </c>
      <c r="D636" s="1">
        <v>4.0</v>
      </c>
      <c r="E636" s="1" t="b">
        <v>0</v>
      </c>
      <c r="F636" s="1" t="s">
        <v>14610</v>
      </c>
    </row>
    <row r="637">
      <c r="A637" s="1">
        <v>49833.0</v>
      </c>
      <c r="B637" s="1">
        <v>5559.0</v>
      </c>
      <c r="C637" s="1">
        <v>1.611502266E9</v>
      </c>
      <c r="D637" s="1">
        <v>4.0</v>
      </c>
      <c r="E637" s="1" t="b">
        <v>0</v>
      </c>
      <c r="F637" s="1" t="s">
        <v>14611</v>
      </c>
    </row>
    <row r="638">
      <c r="A638" s="1">
        <v>49833.0</v>
      </c>
      <c r="B638" s="1">
        <v>2784.0</v>
      </c>
      <c r="C638" s="1">
        <v>1.609298781E9</v>
      </c>
      <c r="D638" s="1">
        <v>4.0</v>
      </c>
      <c r="E638" s="1" t="b">
        <v>0</v>
      </c>
      <c r="F638" s="1" t="s">
        <v>14612</v>
      </c>
    </row>
    <row r="639">
      <c r="A639" s="1">
        <v>49833.0</v>
      </c>
      <c r="B639" s="1">
        <v>11070.0</v>
      </c>
      <c r="C639" s="1">
        <v>1.612690305E9</v>
      </c>
      <c r="D639" s="1">
        <v>4.0</v>
      </c>
      <c r="E639" s="1" t="b">
        <v>0</v>
      </c>
      <c r="F639" s="1" t="s">
        <v>14613</v>
      </c>
    </row>
    <row r="640">
      <c r="A640" s="1">
        <v>49833.0</v>
      </c>
      <c r="B640" s="1">
        <v>18733.0</v>
      </c>
      <c r="C640" s="1">
        <v>1.62188324E9</v>
      </c>
      <c r="D640" s="1">
        <v>4.0</v>
      </c>
      <c r="E640" s="1" t="b">
        <v>0</v>
      </c>
      <c r="F640" s="1" t="s">
        <v>14614</v>
      </c>
    </row>
    <row r="641">
      <c r="A641" s="1">
        <v>49833.0</v>
      </c>
      <c r="B641" s="1">
        <v>18728.0</v>
      </c>
      <c r="C641" s="1">
        <v>1.62187886E9</v>
      </c>
      <c r="D641" s="1">
        <v>4.0</v>
      </c>
      <c r="E641" s="1" t="b">
        <v>0</v>
      </c>
      <c r="F641" s="1" t="s">
        <v>14615</v>
      </c>
    </row>
    <row r="642">
      <c r="A642" s="1">
        <v>49833.0</v>
      </c>
      <c r="B642" s="1">
        <v>5895.0</v>
      </c>
      <c r="C642" s="1">
        <v>1.611505851E9</v>
      </c>
      <c r="D642" s="1">
        <v>4.0</v>
      </c>
      <c r="E642" s="1" t="b">
        <v>0</v>
      </c>
      <c r="F642" s="1" t="s">
        <v>14616</v>
      </c>
    </row>
    <row r="643">
      <c r="A643" s="1">
        <v>49833.0</v>
      </c>
      <c r="B643" s="1">
        <v>4141.0</v>
      </c>
      <c r="C643" s="1">
        <v>1.611021402E9</v>
      </c>
      <c r="D643" s="1">
        <v>4.0</v>
      </c>
      <c r="E643" s="1" t="b">
        <v>0</v>
      </c>
      <c r="F643" s="1" t="s">
        <v>14617</v>
      </c>
    </row>
    <row r="644">
      <c r="A644" s="1">
        <v>49833.0</v>
      </c>
      <c r="B644" s="1">
        <v>4519.0</v>
      </c>
      <c r="C644" s="1">
        <v>1.611143013E9</v>
      </c>
      <c r="D644" s="1">
        <v>4.0</v>
      </c>
      <c r="E644" s="1" t="b">
        <v>0</v>
      </c>
      <c r="F644" s="1" t="s">
        <v>14618</v>
      </c>
    </row>
    <row r="645">
      <c r="A645" s="1">
        <v>49833.0</v>
      </c>
      <c r="B645" s="1">
        <v>3889.0</v>
      </c>
      <c r="C645" s="1">
        <v>1.610869234E9</v>
      </c>
      <c r="D645" s="1">
        <v>4.0</v>
      </c>
      <c r="E645" s="1" t="b">
        <v>0</v>
      </c>
      <c r="F645" s="1" t="s">
        <v>14619</v>
      </c>
    </row>
    <row r="646">
      <c r="A646" s="1">
        <v>49833.0</v>
      </c>
      <c r="B646" s="1">
        <v>5490.0</v>
      </c>
      <c r="C646" s="1">
        <v>1.611423346E9</v>
      </c>
      <c r="D646" s="1">
        <v>4.0</v>
      </c>
      <c r="E646" s="1" t="b">
        <v>0</v>
      </c>
      <c r="F646" s="1" t="s">
        <v>14620</v>
      </c>
    </row>
    <row r="647">
      <c r="A647" s="1">
        <v>49833.0</v>
      </c>
      <c r="B647" s="1">
        <v>3964.0</v>
      </c>
      <c r="C647" s="1">
        <v>1.610900924E9</v>
      </c>
      <c r="D647" s="1">
        <v>4.0</v>
      </c>
      <c r="E647" s="1" t="b">
        <v>0</v>
      </c>
      <c r="F647" s="1" t="s">
        <v>14621</v>
      </c>
    </row>
    <row r="648">
      <c r="A648" s="1">
        <v>49833.0</v>
      </c>
      <c r="B648" s="1">
        <v>3959.0</v>
      </c>
      <c r="C648" s="1">
        <v>1.610897374E9</v>
      </c>
      <c r="D648" s="1">
        <v>4.0</v>
      </c>
      <c r="E648" s="1" t="b">
        <v>0</v>
      </c>
      <c r="F648" s="1" t="s">
        <v>14622</v>
      </c>
    </row>
    <row r="649">
      <c r="A649" s="1">
        <v>49833.0</v>
      </c>
      <c r="B649" s="1">
        <v>3767.0</v>
      </c>
      <c r="C649" s="1">
        <v>1.610795376E9</v>
      </c>
      <c r="D649" s="1">
        <v>4.0</v>
      </c>
      <c r="E649" s="1" t="b">
        <v>0</v>
      </c>
      <c r="F649" s="1" t="s">
        <v>14623</v>
      </c>
    </row>
    <row r="650">
      <c r="A650" s="1">
        <v>49833.0</v>
      </c>
      <c r="B650" s="1">
        <v>10410.0</v>
      </c>
      <c r="C650" s="1">
        <v>1.612441244E9</v>
      </c>
      <c r="D650" s="1">
        <v>4.0</v>
      </c>
      <c r="E650" s="1" t="b">
        <v>0</v>
      </c>
      <c r="F650" s="1" t="s">
        <v>14624</v>
      </c>
    </row>
    <row r="651">
      <c r="A651" s="1">
        <v>49833.0</v>
      </c>
      <c r="B651" s="1">
        <v>12338.0</v>
      </c>
      <c r="C651" s="1">
        <v>1.61295589E9</v>
      </c>
      <c r="D651" s="1">
        <v>4.0</v>
      </c>
      <c r="E651" s="1" t="b">
        <v>0</v>
      </c>
      <c r="F651" s="1" t="s">
        <v>14625</v>
      </c>
    </row>
    <row r="652">
      <c r="A652" s="1">
        <v>49833.0</v>
      </c>
      <c r="B652" s="1">
        <v>18737.0</v>
      </c>
      <c r="C652" s="1">
        <v>1.621910079E9</v>
      </c>
      <c r="D652" s="1">
        <v>4.0</v>
      </c>
      <c r="E652" s="1" t="b">
        <v>0</v>
      </c>
      <c r="F652" s="1" t="s">
        <v>14626</v>
      </c>
    </row>
    <row r="653">
      <c r="A653" s="1">
        <v>49833.0</v>
      </c>
      <c r="B653" s="1">
        <v>18696.0</v>
      </c>
      <c r="C653" s="1">
        <v>1.621857464E9</v>
      </c>
      <c r="D653" s="1">
        <v>4.0</v>
      </c>
      <c r="E653" s="1" t="b">
        <v>0</v>
      </c>
      <c r="F653" s="1" t="s">
        <v>14627</v>
      </c>
    </row>
    <row r="654">
      <c r="A654" s="1">
        <v>49833.0</v>
      </c>
      <c r="B654" s="1">
        <v>4054.0</v>
      </c>
      <c r="C654" s="1">
        <v>1.610976281E9</v>
      </c>
      <c r="D654" s="1">
        <v>4.0</v>
      </c>
      <c r="E654" s="1" t="b">
        <v>0</v>
      </c>
      <c r="F654" s="1" t="s">
        <v>14628</v>
      </c>
    </row>
    <row r="655">
      <c r="A655" s="1">
        <v>49833.0</v>
      </c>
      <c r="B655" s="1">
        <v>5694.0</v>
      </c>
      <c r="C655" s="1">
        <v>1.611502274E9</v>
      </c>
      <c r="D655" s="1">
        <v>4.0</v>
      </c>
      <c r="E655" s="1" t="b">
        <v>0</v>
      </c>
      <c r="F655" s="1" t="s">
        <v>14629</v>
      </c>
    </row>
    <row r="656">
      <c r="A656" s="1">
        <v>49833.0</v>
      </c>
      <c r="B656" s="1">
        <v>6448.0</v>
      </c>
      <c r="C656" s="1">
        <v>1.611686148E9</v>
      </c>
      <c r="D656" s="1">
        <v>4.0</v>
      </c>
      <c r="E656" s="1" t="b">
        <v>0</v>
      </c>
      <c r="F656" s="1" t="s">
        <v>14630</v>
      </c>
    </row>
    <row r="657">
      <c r="A657" s="1">
        <v>49833.0</v>
      </c>
      <c r="B657" s="1">
        <v>5652.0</v>
      </c>
      <c r="C657" s="1">
        <v>1.611502273E9</v>
      </c>
      <c r="D657" s="1">
        <v>4.0</v>
      </c>
      <c r="E657" s="1" t="b">
        <v>0</v>
      </c>
      <c r="F657" s="1" t="s">
        <v>14631</v>
      </c>
    </row>
    <row r="658">
      <c r="A658" s="1">
        <v>49833.0</v>
      </c>
      <c r="B658" s="1">
        <v>4199.0</v>
      </c>
      <c r="C658" s="1">
        <v>1.611053532E9</v>
      </c>
      <c r="D658" s="1">
        <v>4.0</v>
      </c>
      <c r="E658" s="1" t="b">
        <v>0</v>
      </c>
      <c r="F658" s="1" t="s">
        <v>14632</v>
      </c>
    </row>
    <row r="659">
      <c r="A659" s="1">
        <v>49833.0</v>
      </c>
      <c r="B659" s="1">
        <v>4242.0</v>
      </c>
      <c r="C659" s="1">
        <v>1.611053533E9</v>
      </c>
      <c r="D659" s="1">
        <v>4.0</v>
      </c>
      <c r="E659" s="1" t="b">
        <v>0</v>
      </c>
      <c r="F659" s="1" t="s">
        <v>14633</v>
      </c>
    </row>
    <row r="660">
      <c r="A660" s="1">
        <v>49833.0</v>
      </c>
      <c r="B660" s="1">
        <v>4227.0</v>
      </c>
      <c r="C660" s="1">
        <v>1.611053535E9</v>
      </c>
      <c r="D660" s="1">
        <v>4.0</v>
      </c>
      <c r="E660" s="1" t="b">
        <v>0</v>
      </c>
      <c r="F660" s="1" t="s">
        <v>14634</v>
      </c>
    </row>
    <row r="661">
      <c r="A661" s="1">
        <v>49833.0</v>
      </c>
      <c r="B661" s="1">
        <v>4234.0</v>
      </c>
      <c r="C661" s="1">
        <v>1.611053537E9</v>
      </c>
      <c r="D661" s="1">
        <v>4.0</v>
      </c>
      <c r="E661" s="1" t="b">
        <v>0</v>
      </c>
      <c r="F661" s="1" t="s">
        <v>14635</v>
      </c>
    </row>
    <row r="662">
      <c r="A662" s="1">
        <v>49833.0</v>
      </c>
      <c r="B662" s="1">
        <v>4247.0</v>
      </c>
      <c r="C662" s="1">
        <v>1.611054362E9</v>
      </c>
      <c r="D662" s="1">
        <v>4.0</v>
      </c>
      <c r="E662" s="1" t="b">
        <v>0</v>
      </c>
      <c r="F662" s="1" t="s">
        <v>14636</v>
      </c>
    </row>
    <row r="663">
      <c r="A663" s="1">
        <v>49833.0</v>
      </c>
      <c r="B663" s="1">
        <v>18754.0</v>
      </c>
      <c r="C663" s="1">
        <v>1.621927328E9</v>
      </c>
      <c r="D663" s="1">
        <v>4.0</v>
      </c>
      <c r="E663" s="1" t="b">
        <v>0</v>
      </c>
      <c r="F663" s="1" t="s">
        <v>14637</v>
      </c>
    </row>
    <row r="664">
      <c r="A664" s="1">
        <v>49833.0</v>
      </c>
      <c r="B664" s="1">
        <v>10823.0</v>
      </c>
      <c r="C664" s="1">
        <v>1.612596262E9</v>
      </c>
      <c r="D664" s="1">
        <v>4.0</v>
      </c>
      <c r="E664" s="1" t="b">
        <v>0</v>
      </c>
      <c r="F664" s="1" t="s">
        <v>14638</v>
      </c>
    </row>
    <row r="665">
      <c r="A665" s="1">
        <v>49833.0</v>
      </c>
      <c r="B665" s="1">
        <v>20311.0</v>
      </c>
      <c r="C665" s="1">
        <v>1.624099244E9</v>
      </c>
      <c r="D665" s="1">
        <v>4.0</v>
      </c>
      <c r="E665" s="1" t="b">
        <v>0</v>
      </c>
      <c r="F665" s="1" t="s">
        <v>14639</v>
      </c>
    </row>
    <row r="666">
      <c r="A666" s="1">
        <v>49833.0</v>
      </c>
      <c r="B666" s="1">
        <v>6754.0</v>
      </c>
      <c r="C666" s="1">
        <v>1.61175086E9</v>
      </c>
      <c r="D666" s="1">
        <v>4.0</v>
      </c>
      <c r="E666" s="1" t="b">
        <v>0</v>
      </c>
      <c r="F666" s="1" t="s">
        <v>14640</v>
      </c>
    </row>
    <row r="667">
      <c r="A667" s="1">
        <v>49833.0</v>
      </c>
      <c r="B667" s="1">
        <v>6812.0</v>
      </c>
      <c r="C667" s="1">
        <v>1.611750834E9</v>
      </c>
      <c r="D667" s="1">
        <v>4.0</v>
      </c>
      <c r="E667" s="1" t="b">
        <v>0</v>
      </c>
      <c r="F667" s="1" t="s">
        <v>14641</v>
      </c>
    </row>
    <row r="668">
      <c r="A668" s="1">
        <v>49833.0</v>
      </c>
      <c r="B668" s="1">
        <v>13773.0</v>
      </c>
      <c r="C668" s="1">
        <v>1.613405349E9</v>
      </c>
      <c r="D668" s="1">
        <v>4.0</v>
      </c>
      <c r="E668" s="1" t="b">
        <v>0</v>
      </c>
      <c r="F668" s="1" t="s">
        <v>14642</v>
      </c>
    </row>
    <row r="669">
      <c r="A669" s="1">
        <v>49833.0</v>
      </c>
      <c r="B669" s="1">
        <v>4265.0</v>
      </c>
      <c r="C669" s="1">
        <v>1.611060984E9</v>
      </c>
      <c r="D669" s="1">
        <v>4.0</v>
      </c>
      <c r="E669" s="1" t="b">
        <v>0</v>
      </c>
      <c r="F669" s="1" t="s">
        <v>14643</v>
      </c>
    </row>
    <row r="670">
      <c r="A670" s="1">
        <v>49833.0</v>
      </c>
      <c r="B670" s="1">
        <v>4270.0</v>
      </c>
      <c r="C670" s="1">
        <v>1.611062917E9</v>
      </c>
      <c r="D670" s="1">
        <v>4.0</v>
      </c>
      <c r="E670" s="1" t="b">
        <v>0</v>
      </c>
      <c r="F670" s="1" t="s">
        <v>14644</v>
      </c>
    </row>
    <row r="671">
      <c r="A671" s="1">
        <v>49833.0</v>
      </c>
      <c r="B671" s="1">
        <v>7415.0</v>
      </c>
      <c r="C671" s="1">
        <v>1.611837735E9</v>
      </c>
      <c r="D671" s="1">
        <v>4.0</v>
      </c>
      <c r="E671" s="1" t="b">
        <v>0</v>
      </c>
      <c r="F671" s="1" t="s">
        <v>14645</v>
      </c>
    </row>
    <row r="672">
      <c r="A672" s="1">
        <v>49833.0</v>
      </c>
      <c r="B672" s="1">
        <v>12340.0</v>
      </c>
      <c r="C672" s="1">
        <v>1.612955889E9</v>
      </c>
      <c r="D672" s="1">
        <v>4.0</v>
      </c>
      <c r="E672" s="1" t="b">
        <v>0</v>
      </c>
      <c r="F672" s="1" t="s">
        <v>14646</v>
      </c>
    </row>
    <row r="673">
      <c r="A673" s="1">
        <v>49833.0</v>
      </c>
      <c r="B673" s="1">
        <v>18690.0</v>
      </c>
      <c r="C673" s="1">
        <v>1.621851938E9</v>
      </c>
      <c r="D673" s="1">
        <v>4.0</v>
      </c>
      <c r="E673" s="1" t="b">
        <v>0</v>
      </c>
      <c r="F673" s="1" t="s">
        <v>14647</v>
      </c>
    </row>
    <row r="674">
      <c r="A674" s="1">
        <v>49833.0</v>
      </c>
      <c r="B674" s="1">
        <v>18680.0</v>
      </c>
      <c r="C674" s="1">
        <v>1.621840072E9</v>
      </c>
      <c r="D674" s="1">
        <v>4.0</v>
      </c>
      <c r="E674" s="1" t="b">
        <v>0</v>
      </c>
      <c r="F674" s="1" t="s">
        <v>14648</v>
      </c>
    </row>
    <row r="675">
      <c r="A675" s="1">
        <v>49833.0</v>
      </c>
      <c r="B675" s="1">
        <v>18679.0</v>
      </c>
      <c r="C675" s="1">
        <v>1.621839322E9</v>
      </c>
      <c r="D675" s="1">
        <v>4.0</v>
      </c>
      <c r="E675" s="1" t="b">
        <v>0</v>
      </c>
      <c r="F675" s="1" t="s">
        <v>14649</v>
      </c>
    </row>
    <row r="676">
      <c r="A676" s="1">
        <v>49833.0</v>
      </c>
      <c r="B676" s="1">
        <v>17571.0</v>
      </c>
      <c r="C676" s="1">
        <v>1.623545823E9</v>
      </c>
      <c r="D676" s="1">
        <v>4.0</v>
      </c>
      <c r="E676" s="1" t="b">
        <v>0</v>
      </c>
      <c r="F676" s="1" t="s">
        <v>14650</v>
      </c>
    </row>
    <row r="677">
      <c r="A677" s="1">
        <v>49833.0</v>
      </c>
      <c r="B677" s="1">
        <v>1908.0</v>
      </c>
      <c r="C677" s="1">
        <v>1.607144049E9</v>
      </c>
      <c r="D677" s="1">
        <v>4.0</v>
      </c>
      <c r="E677" s="1" t="b">
        <v>0</v>
      </c>
      <c r="F677" s="1" t="s">
        <v>14651</v>
      </c>
    </row>
    <row r="678">
      <c r="A678" s="1">
        <v>49833.0</v>
      </c>
      <c r="B678" s="1">
        <v>10653.0</v>
      </c>
      <c r="C678" s="1">
        <v>1.612530254E9</v>
      </c>
      <c r="D678" s="1">
        <v>4.0</v>
      </c>
      <c r="E678" s="1" t="b">
        <v>0</v>
      </c>
      <c r="F678" s="1" t="s">
        <v>14652</v>
      </c>
    </row>
    <row r="679">
      <c r="A679" s="1">
        <v>49833.0</v>
      </c>
      <c r="B679" s="1">
        <v>8228.0</v>
      </c>
      <c r="C679" s="1">
        <v>1.611999166E9</v>
      </c>
      <c r="D679" s="1">
        <v>4.0</v>
      </c>
      <c r="E679" s="1" t="b">
        <v>0</v>
      </c>
      <c r="F679" s="1" t="s">
        <v>14653</v>
      </c>
    </row>
    <row r="680">
      <c r="A680" s="1">
        <v>49833.0</v>
      </c>
      <c r="B680" s="1">
        <v>2769.0</v>
      </c>
      <c r="C680" s="1">
        <v>1.609293803E9</v>
      </c>
      <c r="D680" s="1">
        <v>4.0</v>
      </c>
      <c r="E680" s="1" t="b">
        <v>0</v>
      </c>
      <c r="F680" s="1" t="s">
        <v>14654</v>
      </c>
    </row>
    <row r="681">
      <c r="A681" s="1">
        <v>49833.0</v>
      </c>
      <c r="B681" s="1">
        <v>12060.0</v>
      </c>
      <c r="C681" s="1">
        <v>1.612904212E9</v>
      </c>
      <c r="D681" s="1">
        <v>4.0</v>
      </c>
      <c r="E681" s="1" t="b">
        <v>0</v>
      </c>
      <c r="F681" s="1" t="s">
        <v>14655</v>
      </c>
    </row>
    <row r="682">
      <c r="A682" s="1">
        <v>49833.0</v>
      </c>
      <c r="B682" s="1">
        <v>1924.0</v>
      </c>
      <c r="C682" s="1">
        <v>1.607077726E9</v>
      </c>
      <c r="D682" s="1">
        <v>4.0</v>
      </c>
      <c r="E682" s="1" t="b">
        <v>0</v>
      </c>
      <c r="F682" s="1" t="s">
        <v>14656</v>
      </c>
    </row>
    <row r="683">
      <c r="A683" s="1">
        <v>49833.0</v>
      </c>
      <c r="B683" s="1">
        <v>1959.0</v>
      </c>
      <c r="C683" s="1">
        <v>1.60709184E9</v>
      </c>
      <c r="D683" s="1">
        <v>4.0</v>
      </c>
      <c r="E683" s="1" t="b">
        <v>0</v>
      </c>
      <c r="F683" s="1" t="s">
        <v>14657</v>
      </c>
    </row>
    <row r="684">
      <c r="A684" s="1">
        <v>49833.0</v>
      </c>
      <c r="B684" s="1">
        <v>18656.0</v>
      </c>
      <c r="C684" s="1">
        <v>1.621826712E9</v>
      </c>
      <c r="D684" s="1">
        <v>4.0</v>
      </c>
      <c r="E684" s="1" t="b">
        <v>0</v>
      </c>
      <c r="F684" s="1" t="s">
        <v>14658</v>
      </c>
    </row>
    <row r="685">
      <c r="A685" s="1">
        <v>49833.0</v>
      </c>
      <c r="B685" s="1">
        <v>18660.0</v>
      </c>
      <c r="C685" s="1">
        <v>1.62182644E9</v>
      </c>
      <c r="D685" s="1">
        <v>4.0</v>
      </c>
      <c r="E685" s="1" t="b">
        <v>0</v>
      </c>
      <c r="F685" s="1" t="s">
        <v>14659</v>
      </c>
    </row>
    <row r="686">
      <c r="A686" s="1">
        <v>49833.0</v>
      </c>
      <c r="B686" s="1">
        <v>18661.0</v>
      </c>
      <c r="C686" s="1">
        <v>1.621826374E9</v>
      </c>
      <c r="D686" s="1">
        <v>9.0</v>
      </c>
      <c r="E686" s="1" t="b">
        <v>0</v>
      </c>
      <c r="F686" s="1" t="s">
        <v>14660</v>
      </c>
    </row>
    <row r="687">
      <c r="A687" s="1">
        <v>49833.0</v>
      </c>
      <c r="B687" s="1">
        <v>19894.0</v>
      </c>
      <c r="C687" s="1">
        <v>1.623430272E9</v>
      </c>
      <c r="D687" s="1">
        <v>4.0</v>
      </c>
      <c r="E687" s="1" t="b">
        <v>0</v>
      </c>
      <c r="F687" s="1" t="s">
        <v>14661</v>
      </c>
    </row>
    <row r="688">
      <c r="A688" s="1">
        <v>49833.0</v>
      </c>
      <c r="B688" s="1">
        <v>18644.0</v>
      </c>
      <c r="C688" s="1">
        <v>1.621795943E9</v>
      </c>
      <c r="D688" s="1">
        <v>4.0</v>
      </c>
      <c r="E688" s="1" t="b">
        <v>0</v>
      </c>
      <c r="F688" s="1" t="s">
        <v>14662</v>
      </c>
    </row>
    <row r="689">
      <c r="A689" s="1">
        <v>49833.0</v>
      </c>
      <c r="B689" s="1">
        <v>1974.0</v>
      </c>
      <c r="C689" s="1">
        <v>1.60734296E9</v>
      </c>
      <c r="D689" s="1">
        <v>4.0</v>
      </c>
      <c r="E689" s="1" t="b">
        <v>0</v>
      </c>
      <c r="F689" s="1" t="s">
        <v>14663</v>
      </c>
    </row>
    <row r="690">
      <c r="A690" s="1">
        <v>49833.0</v>
      </c>
      <c r="B690" s="1">
        <v>2096.0</v>
      </c>
      <c r="C690" s="1">
        <v>1.607407024E9</v>
      </c>
      <c r="D690" s="1">
        <v>4.0</v>
      </c>
      <c r="E690" s="1" t="b">
        <v>0</v>
      </c>
      <c r="F690" s="1" t="s">
        <v>14664</v>
      </c>
    </row>
    <row r="691">
      <c r="A691" s="1">
        <v>49833.0</v>
      </c>
      <c r="B691" s="1">
        <v>18632.0</v>
      </c>
      <c r="C691" s="1">
        <v>1.621784352E9</v>
      </c>
      <c r="D691" s="1">
        <v>4.0</v>
      </c>
      <c r="E691" s="1" t="b">
        <v>0</v>
      </c>
      <c r="F691" s="1" t="s">
        <v>14665</v>
      </c>
    </row>
    <row r="692">
      <c r="A692" s="1">
        <v>49833.0</v>
      </c>
      <c r="B692" s="1">
        <v>1973.0</v>
      </c>
      <c r="C692" s="1">
        <v>1.607101623E9</v>
      </c>
      <c r="D692" s="1">
        <v>4.0</v>
      </c>
      <c r="E692" s="1" t="b">
        <v>0</v>
      </c>
      <c r="F692" s="1" t="s">
        <v>14666</v>
      </c>
    </row>
    <row r="693">
      <c r="A693" s="1">
        <v>49833.0</v>
      </c>
      <c r="B693" s="1">
        <v>6449.0</v>
      </c>
      <c r="C693" s="1">
        <v>1.611686149E9</v>
      </c>
      <c r="D693" s="1">
        <v>4.0</v>
      </c>
      <c r="E693" s="1" t="b">
        <v>0</v>
      </c>
      <c r="F693" s="1" t="s">
        <v>14667</v>
      </c>
    </row>
    <row r="694">
      <c r="A694" s="1">
        <v>49833.0</v>
      </c>
      <c r="B694" s="1">
        <v>18894.0</v>
      </c>
      <c r="C694" s="1">
        <v>1.622110921E9</v>
      </c>
      <c r="D694" s="1">
        <v>4.0</v>
      </c>
      <c r="E694" s="1" t="b">
        <v>0</v>
      </c>
      <c r="F694" s="1" t="s">
        <v>14668</v>
      </c>
    </row>
    <row r="695">
      <c r="A695" s="1">
        <v>49833.0</v>
      </c>
      <c r="B695" s="1">
        <v>6409.0</v>
      </c>
      <c r="C695" s="1">
        <v>1.61168615E9</v>
      </c>
      <c r="D695" s="1">
        <v>4.0</v>
      </c>
      <c r="E695" s="1" t="b">
        <v>0</v>
      </c>
      <c r="F695" s="1" t="s">
        <v>14669</v>
      </c>
    </row>
    <row r="696">
      <c r="A696" s="1">
        <v>49833.0</v>
      </c>
      <c r="B696" s="1">
        <v>6823.0</v>
      </c>
      <c r="C696" s="1">
        <v>1.611750832E9</v>
      </c>
      <c r="D696" s="1">
        <v>4.0</v>
      </c>
      <c r="E696" s="1" t="b">
        <v>0</v>
      </c>
      <c r="F696" s="1" t="s">
        <v>14670</v>
      </c>
    </row>
    <row r="697">
      <c r="A697" s="1">
        <v>49833.0</v>
      </c>
      <c r="B697" s="1">
        <v>1942.0</v>
      </c>
      <c r="C697" s="1">
        <v>1.607080331E9</v>
      </c>
      <c r="D697" s="1">
        <v>4.0</v>
      </c>
      <c r="E697" s="1" t="b">
        <v>0</v>
      </c>
      <c r="F697" s="1" t="s">
        <v>14548</v>
      </c>
    </row>
    <row r="698">
      <c r="A698" s="1">
        <v>49833.0</v>
      </c>
      <c r="B698" s="1">
        <v>2001.0</v>
      </c>
      <c r="C698" s="1">
        <v>1.607185595E9</v>
      </c>
      <c r="D698" s="1">
        <v>4.0</v>
      </c>
      <c r="E698" s="1" t="b">
        <v>0</v>
      </c>
      <c r="F698" s="1" t="s">
        <v>14671</v>
      </c>
    </row>
    <row r="699">
      <c r="A699" s="1">
        <v>49833.0</v>
      </c>
      <c r="B699" s="1">
        <v>1975.0</v>
      </c>
      <c r="C699" s="1">
        <v>1.607112314E9</v>
      </c>
      <c r="D699" s="1">
        <v>4.0</v>
      </c>
      <c r="E699" s="1" t="b">
        <v>0</v>
      </c>
      <c r="F699" s="1" t="s">
        <v>14672</v>
      </c>
    </row>
    <row r="700">
      <c r="A700" s="1">
        <v>49833.0</v>
      </c>
      <c r="B700" s="1">
        <v>1907.0</v>
      </c>
      <c r="C700" s="1">
        <v>1.607061788E9</v>
      </c>
      <c r="D700" s="1">
        <v>4.0</v>
      </c>
      <c r="E700" s="1" t="b">
        <v>0</v>
      </c>
      <c r="F700" s="1" t="s">
        <v>14673</v>
      </c>
    </row>
    <row r="701">
      <c r="A701" s="1">
        <v>49833.0</v>
      </c>
      <c r="B701" s="1">
        <v>11420.0</v>
      </c>
      <c r="C701" s="1">
        <v>1.612766015E9</v>
      </c>
      <c r="D701" s="1">
        <v>4.0</v>
      </c>
      <c r="E701" s="1" t="b">
        <v>0</v>
      </c>
      <c r="F701" s="1" t="s">
        <v>14674</v>
      </c>
    </row>
    <row r="702">
      <c r="A702" s="1">
        <v>49833.0</v>
      </c>
      <c r="B702" s="1">
        <v>5697.0</v>
      </c>
      <c r="C702" s="1">
        <v>1.611502275E9</v>
      </c>
      <c r="D702" s="1">
        <v>4.0</v>
      </c>
      <c r="E702" s="1" t="b">
        <v>0</v>
      </c>
      <c r="F702" s="1" t="s">
        <v>14675</v>
      </c>
    </row>
    <row r="703">
      <c r="A703" s="1">
        <v>49833.0</v>
      </c>
      <c r="B703" s="1">
        <v>5730.0</v>
      </c>
      <c r="C703" s="1">
        <v>1.611504545E9</v>
      </c>
      <c r="D703" s="1">
        <v>4.0</v>
      </c>
      <c r="E703" s="1" t="b">
        <v>0</v>
      </c>
      <c r="F703" s="1" t="s">
        <v>14676</v>
      </c>
    </row>
    <row r="704">
      <c r="A704" s="1">
        <v>49833.0</v>
      </c>
      <c r="B704" s="1">
        <v>2169.0</v>
      </c>
      <c r="C704" s="1">
        <v>1.607523471E9</v>
      </c>
      <c r="D704" s="1">
        <v>4.0</v>
      </c>
      <c r="E704" s="1" t="b">
        <v>0</v>
      </c>
      <c r="F704" s="1" t="s">
        <v>14677</v>
      </c>
    </row>
    <row r="705">
      <c r="A705" s="1">
        <v>49833.0</v>
      </c>
      <c r="B705" s="1">
        <v>1956.0</v>
      </c>
      <c r="C705" s="1">
        <v>1.607088826E9</v>
      </c>
      <c r="D705" s="1">
        <v>4.0</v>
      </c>
      <c r="E705" s="1" t="b">
        <v>0</v>
      </c>
      <c r="F705" s="1" t="s">
        <v>14678</v>
      </c>
    </row>
    <row r="706">
      <c r="A706" s="1">
        <v>49833.0</v>
      </c>
      <c r="B706" s="1">
        <v>1899.0</v>
      </c>
      <c r="C706" s="1">
        <v>1.607068443E9</v>
      </c>
      <c r="D706" s="1">
        <v>4.0</v>
      </c>
      <c r="E706" s="1" t="b">
        <v>0</v>
      </c>
      <c r="F706" s="1" t="s">
        <v>14679</v>
      </c>
    </row>
    <row r="707">
      <c r="A707" s="1">
        <v>49833.0</v>
      </c>
      <c r="B707" s="1">
        <v>1948.0</v>
      </c>
      <c r="C707" s="1">
        <v>1.607084432E9</v>
      </c>
      <c r="D707" s="1">
        <v>4.0</v>
      </c>
      <c r="E707" s="1" t="b">
        <v>0</v>
      </c>
      <c r="F707" s="1" t="s">
        <v>14680</v>
      </c>
    </row>
    <row r="708">
      <c r="A708" s="1">
        <v>49833.0</v>
      </c>
      <c r="B708" s="1">
        <v>2185.0</v>
      </c>
      <c r="C708" s="1">
        <v>1.607587201E9</v>
      </c>
      <c r="D708" s="1">
        <v>4.0</v>
      </c>
      <c r="E708" s="1" t="b">
        <v>0</v>
      </c>
      <c r="F708" s="1" t="s">
        <v>14681</v>
      </c>
    </row>
    <row r="709">
      <c r="A709" s="1">
        <v>49833.0</v>
      </c>
      <c r="B709" s="1">
        <v>8281.0</v>
      </c>
      <c r="C709" s="1">
        <v>1.61199917E9</v>
      </c>
      <c r="D709" s="1">
        <v>4.0</v>
      </c>
      <c r="E709" s="1" t="b">
        <v>0</v>
      </c>
      <c r="F709" s="1" t="s">
        <v>14682</v>
      </c>
    </row>
    <row r="710">
      <c r="A710" s="1">
        <v>49833.0</v>
      </c>
      <c r="B710" s="1">
        <v>4145.0</v>
      </c>
      <c r="C710" s="1">
        <v>1.611021401E9</v>
      </c>
      <c r="D710" s="1">
        <v>4.0</v>
      </c>
      <c r="E710" s="1" t="b">
        <v>0</v>
      </c>
      <c r="F710" s="1" t="s">
        <v>14683</v>
      </c>
    </row>
    <row r="711">
      <c r="A711" s="1">
        <v>49833.0</v>
      </c>
      <c r="B711" s="1">
        <v>3761.0</v>
      </c>
      <c r="C711" s="1">
        <v>1.610790039E9</v>
      </c>
      <c r="D711" s="1">
        <v>4.0</v>
      </c>
      <c r="E711" s="1" t="b">
        <v>0</v>
      </c>
      <c r="F711" s="1" t="s">
        <v>14684</v>
      </c>
    </row>
    <row r="712">
      <c r="A712" s="1">
        <v>49833.0</v>
      </c>
      <c r="B712" s="1">
        <v>3449.0</v>
      </c>
      <c r="C712" s="1">
        <v>1.61053968E9</v>
      </c>
      <c r="D712" s="1">
        <v>4.0</v>
      </c>
      <c r="E712" s="1" t="b">
        <v>0</v>
      </c>
      <c r="F712" s="1" t="s">
        <v>14685</v>
      </c>
    </row>
    <row r="713">
      <c r="A713" s="1">
        <v>49833.0</v>
      </c>
      <c r="B713" s="1">
        <v>2771.0</v>
      </c>
      <c r="C713" s="1">
        <v>1.609294512E9</v>
      </c>
      <c r="D713" s="1">
        <v>4.0</v>
      </c>
      <c r="E713" s="1" t="b">
        <v>0</v>
      </c>
      <c r="F713" s="1" t="s">
        <v>14686</v>
      </c>
    </row>
    <row r="714">
      <c r="A714" s="1">
        <v>49833.0</v>
      </c>
      <c r="B714" s="1">
        <v>7187.0</v>
      </c>
      <c r="C714" s="1">
        <v>1.61183469E9</v>
      </c>
      <c r="D714" s="1">
        <v>4.0</v>
      </c>
      <c r="E714" s="1" t="b">
        <v>0</v>
      </c>
      <c r="F714" s="1" t="s">
        <v>14687</v>
      </c>
    </row>
    <row r="715">
      <c r="A715" s="1">
        <v>49833.0</v>
      </c>
      <c r="B715" s="1">
        <v>19903.0</v>
      </c>
      <c r="C715" s="1">
        <v>1.623462507E9</v>
      </c>
      <c r="D715" s="1">
        <v>4.0</v>
      </c>
      <c r="E715" s="1" t="b">
        <v>0</v>
      </c>
      <c r="F715" s="1" t="s">
        <v>14688</v>
      </c>
    </row>
    <row r="716">
      <c r="A716" s="1">
        <v>49833.0</v>
      </c>
      <c r="B716" s="1">
        <v>16351.0</v>
      </c>
      <c r="C716" s="1">
        <v>1.616405091E9</v>
      </c>
      <c r="D716" s="1">
        <v>4.0</v>
      </c>
      <c r="E716" s="1" t="b">
        <v>0</v>
      </c>
      <c r="F716" s="1" t="s">
        <v>14689</v>
      </c>
    </row>
    <row r="717">
      <c r="A717" s="1">
        <v>49833.0</v>
      </c>
      <c r="B717" s="1">
        <v>20352.0</v>
      </c>
      <c r="C717" s="1">
        <v>1.624192623E9</v>
      </c>
      <c r="D717" s="1">
        <v>4.0</v>
      </c>
      <c r="E717" s="1" t="b">
        <v>0</v>
      </c>
      <c r="F717" s="1" t="s">
        <v>14690</v>
      </c>
    </row>
    <row r="718">
      <c r="A718" s="1">
        <v>49833.0</v>
      </c>
      <c r="B718" s="1">
        <v>10989.0</v>
      </c>
      <c r="C718" s="1">
        <v>1.612640934E9</v>
      </c>
      <c r="D718" s="1">
        <v>4.0</v>
      </c>
      <c r="E718" s="1" t="b">
        <v>0</v>
      </c>
      <c r="F718" s="1" t="s">
        <v>14691</v>
      </c>
    </row>
    <row r="719">
      <c r="A719" s="1">
        <v>49833.0</v>
      </c>
      <c r="B719" s="1">
        <v>6211.0</v>
      </c>
      <c r="C719" s="1">
        <v>1.611597677E9</v>
      </c>
      <c r="D719" s="1">
        <v>4.0</v>
      </c>
      <c r="E719" s="1" t="b">
        <v>0</v>
      </c>
      <c r="F719" s="1" t="s">
        <v>14692</v>
      </c>
    </row>
    <row r="720">
      <c r="A720" s="1">
        <v>49833.0</v>
      </c>
      <c r="B720" s="1">
        <v>6939.0</v>
      </c>
      <c r="C720" s="1">
        <v>1.611756971E9</v>
      </c>
      <c r="D720" s="1">
        <v>4.0</v>
      </c>
      <c r="E720" s="1" t="b">
        <v>0</v>
      </c>
      <c r="F720" s="1" t="s">
        <v>14693</v>
      </c>
    </row>
    <row r="721">
      <c r="A721" s="1">
        <v>49833.0</v>
      </c>
      <c r="B721" s="1">
        <v>6450.0</v>
      </c>
      <c r="C721" s="1">
        <v>1.611686152E9</v>
      </c>
      <c r="D721" s="1">
        <v>4.0</v>
      </c>
      <c r="E721" s="1" t="b">
        <v>0</v>
      </c>
      <c r="F721" s="1" t="s">
        <v>14694</v>
      </c>
    </row>
    <row r="722">
      <c r="A722" s="1">
        <v>49833.0</v>
      </c>
      <c r="B722" s="1">
        <v>10650.0</v>
      </c>
      <c r="C722" s="1">
        <v>1.612530257E9</v>
      </c>
      <c r="D722" s="1">
        <v>4.0</v>
      </c>
      <c r="E722" s="1" t="b">
        <v>0</v>
      </c>
      <c r="F722" s="1" t="s">
        <v>14695</v>
      </c>
    </row>
    <row r="723">
      <c r="A723" s="1">
        <v>49833.0</v>
      </c>
      <c r="B723" s="1">
        <v>6209.0</v>
      </c>
      <c r="C723" s="1">
        <v>1.611597714E9</v>
      </c>
      <c r="D723" s="1">
        <v>4.0</v>
      </c>
      <c r="E723" s="1" t="b">
        <v>0</v>
      </c>
      <c r="F723" s="1" t="s">
        <v>14696</v>
      </c>
    </row>
    <row r="724">
      <c r="A724" s="1">
        <v>49833.0</v>
      </c>
      <c r="B724" s="1">
        <v>8610.0</v>
      </c>
      <c r="C724" s="1">
        <v>1.612029304E9</v>
      </c>
      <c r="D724" s="1">
        <v>4.0</v>
      </c>
      <c r="E724" s="1" t="b">
        <v>0</v>
      </c>
      <c r="F724" s="1" t="s">
        <v>14697</v>
      </c>
    </row>
    <row r="725">
      <c r="A725" s="1">
        <v>49833.0</v>
      </c>
      <c r="B725" s="1">
        <v>7038.0</v>
      </c>
      <c r="C725" s="1">
        <v>1.611766903E9</v>
      </c>
      <c r="D725" s="1">
        <v>4.0</v>
      </c>
      <c r="E725" s="1" t="b">
        <v>0</v>
      </c>
      <c r="F725" s="1" t="s">
        <v>14698</v>
      </c>
    </row>
    <row r="726">
      <c r="A726" s="1">
        <v>49833.0</v>
      </c>
      <c r="B726" s="1">
        <v>7055.0</v>
      </c>
      <c r="C726" s="1">
        <v>1.611834688E9</v>
      </c>
      <c r="D726" s="1">
        <v>4.0</v>
      </c>
      <c r="E726" s="1" t="b">
        <v>0</v>
      </c>
      <c r="F726" s="1" t="s">
        <v>14699</v>
      </c>
    </row>
    <row r="727">
      <c r="A727" s="1">
        <v>49833.0</v>
      </c>
      <c r="B727" s="1">
        <v>7137.0</v>
      </c>
      <c r="C727" s="1">
        <v>1.611834689E9</v>
      </c>
      <c r="D727" s="1">
        <v>4.0</v>
      </c>
      <c r="E727" s="1" t="b">
        <v>0</v>
      </c>
      <c r="F727" s="1" t="s">
        <v>14700</v>
      </c>
    </row>
    <row r="728">
      <c r="A728" s="1">
        <v>49833.0</v>
      </c>
      <c r="B728" s="1">
        <v>10470.0</v>
      </c>
      <c r="C728" s="1">
        <v>1.612468183E9</v>
      </c>
      <c r="D728" s="1">
        <v>4.0</v>
      </c>
      <c r="E728" s="1" t="b">
        <v>0</v>
      </c>
      <c r="F728" s="1" t="s">
        <v>14701</v>
      </c>
    </row>
    <row r="729">
      <c r="A729" s="1">
        <v>49833.0</v>
      </c>
      <c r="B729" s="1">
        <v>20374.0</v>
      </c>
      <c r="C729" s="1">
        <v>1.624344055E9</v>
      </c>
      <c r="D729" s="1">
        <v>4.0</v>
      </c>
      <c r="E729" s="1" t="b">
        <v>0</v>
      </c>
      <c r="F729" s="1" t="s">
        <v>14702</v>
      </c>
    </row>
    <row r="730">
      <c r="A730" s="1">
        <v>49833.0</v>
      </c>
      <c r="B730" s="1">
        <v>7429.0</v>
      </c>
      <c r="C730" s="1">
        <v>1.611839437E9</v>
      </c>
      <c r="D730" s="1">
        <v>4.0</v>
      </c>
      <c r="E730" s="1" t="b">
        <v>0</v>
      </c>
      <c r="F730" s="1" t="s">
        <v>14703</v>
      </c>
    </row>
    <row r="731">
      <c r="A731" s="1">
        <v>49833.0</v>
      </c>
      <c r="B731" s="1">
        <v>20184.0</v>
      </c>
      <c r="C731" s="1">
        <v>1.624344053E9</v>
      </c>
      <c r="D731" s="1">
        <v>4.0</v>
      </c>
      <c r="E731" s="1" t="b">
        <v>0</v>
      </c>
      <c r="F731" s="1" t="s">
        <v>14704</v>
      </c>
    </row>
    <row r="732">
      <c r="A732" s="1">
        <v>49833.0</v>
      </c>
      <c r="B732" s="1">
        <v>7480.0</v>
      </c>
      <c r="C732" s="1">
        <v>1.611855419E9</v>
      </c>
      <c r="D732" s="1">
        <v>4.0</v>
      </c>
      <c r="E732" s="1" t="b">
        <v>0</v>
      </c>
      <c r="F732" s="1" t="s">
        <v>14705</v>
      </c>
    </row>
    <row r="733">
      <c r="A733" s="1">
        <v>49833.0</v>
      </c>
      <c r="B733" s="1">
        <v>11762.0</v>
      </c>
      <c r="C733" s="1">
        <v>1.612855406E9</v>
      </c>
      <c r="D733" s="1">
        <v>4.0</v>
      </c>
      <c r="E733" s="1" t="b">
        <v>0</v>
      </c>
      <c r="F733" s="1" t="s">
        <v>14706</v>
      </c>
    </row>
    <row r="734">
      <c r="A734" s="1">
        <v>49833.0</v>
      </c>
      <c r="B734" s="1">
        <v>5405.0</v>
      </c>
      <c r="C734" s="1">
        <v>1.611404413E9</v>
      </c>
      <c r="D734" s="1">
        <v>4.0</v>
      </c>
      <c r="E734" s="1" t="b">
        <v>0</v>
      </c>
      <c r="F734" s="1" t="s">
        <v>14707</v>
      </c>
    </row>
    <row r="735">
      <c r="A735" s="1">
        <v>49833.0</v>
      </c>
      <c r="B735" s="1">
        <v>5608.0</v>
      </c>
      <c r="C735" s="1">
        <v>1.611502267E9</v>
      </c>
      <c r="D735" s="1">
        <v>4.0</v>
      </c>
      <c r="E735" s="1" t="b">
        <v>0</v>
      </c>
      <c r="F735" s="1" t="s">
        <v>14708</v>
      </c>
    </row>
    <row r="736">
      <c r="A736" s="1">
        <v>49833.0</v>
      </c>
      <c r="B736" s="1">
        <v>6099.0</v>
      </c>
      <c r="C736" s="1">
        <v>1.611565838E9</v>
      </c>
      <c r="D736" s="1">
        <v>4.0</v>
      </c>
      <c r="E736" s="1" t="b">
        <v>0</v>
      </c>
      <c r="F736" s="1" t="s">
        <v>14709</v>
      </c>
    </row>
    <row r="737">
      <c r="A737" s="1">
        <v>49833.0</v>
      </c>
      <c r="B737" s="1">
        <v>19061.0</v>
      </c>
      <c r="C737" s="1">
        <v>1.622347468E9</v>
      </c>
      <c r="D737" s="1">
        <v>4.0</v>
      </c>
      <c r="E737" s="1" t="b">
        <v>0</v>
      </c>
      <c r="F737" s="1" t="s">
        <v>14710</v>
      </c>
    </row>
    <row r="738">
      <c r="A738" s="1">
        <v>49833.0</v>
      </c>
      <c r="B738" s="1">
        <v>16503.0</v>
      </c>
      <c r="C738" s="1">
        <v>1.61685261E9</v>
      </c>
      <c r="D738" s="1">
        <v>4.0</v>
      </c>
      <c r="E738" s="1" t="b">
        <v>0</v>
      </c>
      <c r="F738" s="1" t="s">
        <v>14711</v>
      </c>
    </row>
    <row r="739">
      <c r="A739" s="1">
        <v>49833.0</v>
      </c>
      <c r="B739" s="1">
        <v>6100.0</v>
      </c>
      <c r="C739" s="1">
        <v>1.611565815E9</v>
      </c>
      <c r="D739" s="1">
        <v>4.0</v>
      </c>
      <c r="E739" s="1" t="b">
        <v>0</v>
      </c>
      <c r="F739" s="1" t="s">
        <v>14151</v>
      </c>
    </row>
    <row r="740">
      <c r="A740" s="1">
        <v>49833.0</v>
      </c>
      <c r="B740" s="1">
        <v>18805.0</v>
      </c>
      <c r="C740" s="1">
        <v>1.62199017E9</v>
      </c>
      <c r="D740" s="1">
        <v>9.0</v>
      </c>
      <c r="E740" s="1" t="b">
        <v>0</v>
      </c>
      <c r="F740" s="1" t="s">
        <v>14712</v>
      </c>
    </row>
    <row r="741">
      <c r="A741" s="1">
        <v>49833.0</v>
      </c>
      <c r="B741" s="1">
        <v>16481.0</v>
      </c>
      <c r="C741" s="1">
        <v>1.616852573E9</v>
      </c>
      <c r="D741" s="1">
        <v>4.0</v>
      </c>
      <c r="E741" s="1" t="b">
        <v>0</v>
      </c>
      <c r="F741" s="1" t="s">
        <v>14713</v>
      </c>
    </row>
    <row r="742">
      <c r="A742" s="1">
        <v>49833.0</v>
      </c>
      <c r="B742" s="1">
        <v>5719.0</v>
      </c>
      <c r="C742" s="1">
        <v>1.61150584E9</v>
      </c>
      <c r="D742" s="1">
        <v>4.0</v>
      </c>
      <c r="E742" s="1" t="b">
        <v>0</v>
      </c>
      <c r="F742" s="1" t="s">
        <v>14714</v>
      </c>
    </row>
    <row r="743">
      <c r="A743" s="1">
        <v>49833.0</v>
      </c>
      <c r="B743" s="1">
        <v>5845.0</v>
      </c>
      <c r="C743" s="1">
        <v>1.611505842E9</v>
      </c>
      <c r="D743" s="1">
        <v>4.0</v>
      </c>
      <c r="E743" s="1" t="b">
        <v>0</v>
      </c>
      <c r="F743" s="1" t="s">
        <v>14715</v>
      </c>
    </row>
    <row r="744">
      <c r="A744" s="1">
        <v>49833.0</v>
      </c>
      <c r="B744" s="1">
        <v>10026.0</v>
      </c>
      <c r="C744" s="1">
        <v>1.612323964E9</v>
      </c>
      <c r="D744" s="1">
        <v>4.0</v>
      </c>
      <c r="E744" s="1" t="b">
        <v>0</v>
      </c>
      <c r="F744" s="1" t="s">
        <v>14716</v>
      </c>
    </row>
    <row r="745">
      <c r="A745" s="1">
        <v>49833.0</v>
      </c>
      <c r="B745" s="1">
        <v>5475.0</v>
      </c>
      <c r="C745" s="1">
        <v>1.611423362E9</v>
      </c>
      <c r="D745" s="1">
        <v>4.0</v>
      </c>
      <c r="E745" s="1" t="b">
        <v>0</v>
      </c>
      <c r="F745" s="1" t="s">
        <v>14717</v>
      </c>
    </row>
    <row r="746">
      <c r="A746" s="1">
        <v>49833.0</v>
      </c>
      <c r="B746" s="1">
        <v>5610.0</v>
      </c>
      <c r="C746" s="1">
        <v>1.61150227E9</v>
      </c>
      <c r="D746" s="1">
        <v>4.0</v>
      </c>
      <c r="E746" s="1" t="b">
        <v>0</v>
      </c>
      <c r="F746" s="1" t="s">
        <v>14718</v>
      </c>
    </row>
    <row r="747">
      <c r="A747" s="1">
        <v>49833.0</v>
      </c>
      <c r="B747" s="1">
        <v>5626.0</v>
      </c>
      <c r="C747" s="1">
        <v>1.611504568E9</v>
      </c>
      <c r="D747" s="1">
        <v>4.0</v>
      </c>
      <c r="E747" s="1" t="b">
        <v>0</v>
      </c>
      <c r="F747" s="1" t="s">
        <v>14719</v>
      </c>
    </row>
    <row r="748">
      <c r="A748" s="1">
        <v>49833.0</v>
      </c>
      <c r="B748" s="1">
        <v>9343.0</v>
      </c>
      <c r="C748" s="1">
        <v>1.612160024E9</v>
      </c>
      <c r="D748" s="1">
        <v>4.0</v>
      </c>
      <c r="E748" s="1" t="b">
        <v>0</v>
      </c>
      <c r="F748" s="1" t="s">
        <v>14720</v>
      </c>
    </row>
    <row r="749">
      <c r="A749" s="1">
        <v>49833.0</v>
      </c>
      <c r="B749" s="1">
        <v>5985.0</v>
      </c>
      <c r="C749" s="1">
        <v>1.611555829E9</v>
      </c>
      <c r="D749" s="1">
        <v>4.0</v>
      </c>
      <c r="E749" s="1" t="b">
        <v>0</v>
      </c>
      <c r="F749" s="1" t="s">
        <v>14721</v>
      </c>
    </row>
    <row r="750">
      <c r="A750" s="1">
        <v>49833.0</v>
      </c>
      <c r="B750" s="1">
        <v>6041.0</v>
      </c>
      <c r="C750" s="1">
        <v>1.611555831E9</v>
      </c>
      <c r="D750" s="1">
        <v>4.0</v>
      </c>
      <c r="E750" s="1" t="b">
        <v>0</v>
      </c>
      <c r="F750" s="1" t="s">
        <v>14722</v>
      </c>
    </row>
    <row r="751">
      <c r="A751" s="1">
        <v>49833.0</v>
      </c>
      <c r="B751" s="1">
        <v>6117.0</v>
      </c>
      <c r="C751" s="1">
        <v>1.61156582E9</v>
      </c>
      <c r="D751" s="1">
        <v>4.0</v>
      </c>
      <c r="E751" s="1" t="b">
        <v>0</v>
      </c>
      <c r="F751" s="1" t="s">
        <v>14723</v>
      </c>
    </row>
    <row r="752">
      <c r="A752" s="1">
        <v>49833.0</v>
      </c>
      <c r="B752" s="1">
        <v>5971.0</v>
      </c>
      <c r="C752" s="1">
        <v>1.611555828E9</v>
      </c>
      <c r="D752" s="1">
        <v>4.0</v>
      </c>
      <c r="E752" s="1" t="b">
        <v>0</v>
      </c>
      <c r="F752" s="1" t="s">
        <v>14724</v>
      </c>
    </row>
    <row r="753">
      <c r="A753" s="1">
        <v>49833.0</v>
      </c>
      <c r="B753" s="1">
        <v>6073.0</v>
      </c>
      <c r="C753" s="1">
        <v>1.611559513E9</v>
      </c>
      <c r="D753" s="1">
        <v>4.0</v>
      </c>
      <c r="E753" s="1" t="b">
        <v>0</v>
      </c>
      <c r="F753" s="1" t="s">
        <v>14725</v>
      </c>
    </row>
    <row r="754">
      <c r="A754" s="1">
        <v>49833.0</v>
      </c>
      <c r="B754" s="1">
        <v>17250.0</v>
      </c>
      <c r="C754" s="1">
        <v>1.619428025E9</v>
      </c>
      <c r="D754" s="1">
        <v>4.0</v>
      </c>
      <c r="E754" s="1" t="b">
        <v>0</v>
      </c>
      <c r="F754" s="1" t="s">
        <v>14726</v>
      </c>
    </row>
    <row r="755">
      <c r="A755" s="1">
        <v>49833.0</v>
      </c>
      <c r="B755" s="1">
        <v>6104.0</v>
      </c>
      <c r="C755" s="1">
        <v>1.611565819E9</v>
      </c>
      <c r="D755" s="1">
        <v>4.0</v>
      </c>
      <c r="E755" s="1" t="b">
        <v>0</v>
      </c>
      <c r="F755" s="1" t="s">
        <v>14727</v>
      </c>
    </row>
    <row r="756">
      <c r="A756" s="1">
        <v>49833.0</v>
      </c>
      <c r="B756" s="1">
        <v>17296.0</v>
      </c>
      <c r="C756" s="1">
        <v>1.61942802E9</v>
      </c>
      <c r="D756" s="1">
        <v>4.0</v>
      </c>
      <c r="E756" s="1" t="b">
        <v>0</v>
      </c>
      <c r="F756" s="1" t="s">
        <v>14728</v>
      </c>
    </row>
    <row r="757">
      <c r="A757" s="1">
        <v>49833.0</v>
      </c>
      <c r="B757" s="1">
        <v>16732.0</v>
      </c>
      <c r="C757" s="1">
        <v>1.617867747E9</v>
      </c>
      <c r="D757" s="1">
        <v>4.0</v>
      </c>
      <c r="E757" s="1" t="b">
        <v>0</v>
      </c>
      <c r="F757" s="1" t="s">
        <v>14729</v>
      </c>
    </row>
    <row r="758">
      <c r="A758" s="1">
        <v>49833.0</v>
      </c>
      <c r="B758" s="1">
        <v>6086.0</v>
      </c>
      <c r="C758" s="1">
        <v>1.611565817E9</v>
      </c>
      <c r="D758" s="1">
        <v>4.0</v>
      </c>
      <c r="E758" s="1" t="b">
        <v>0</v>
      </c>
      <c r="F758" s="1" t="s">
        <v>14730</v>
      </c>
    </row>
    <row r="759">
      <c r="A759" s="1">
        <v>49833.0</v>
      </c>
      <c r="B759" s="1">
        <v>6218.0</v>
      </c>
      <c r="C759" s="1">
        <v>1.611597713E9</v>
      </c>
      <c r="D759" s="1">
        <v>4.0</v>
      </c>
      <c r="E759" s="1" t="b">
        <v>0</v>
      </c>
      <c r="F759" s="1" t="s">
        <v>14731</v>
      </c>
    </row>
    <row r="760">
      <c r="A760" s="1">
        <v>49833.0</v>
      </c>
      <c r="B760" s="1">
        <v>6191.0</v>
      </c>
      <c r="C760" s="1">
        <v>1.611597715E9</v>
      </c>
      <c r="D760" s="1">
        <v>4.0</v>
      </c>
      <c r="E760" s="1" t="b">
        <v>0</v>
      </c>
      <c r="F760" s="1" t="s">
        <v>14732</v>
      </c>
    </row>
    <row r="761">
      <c r="A761" s="1">
        <v>49833.0</v>
      </c>
      <c r="B761" s="1">
        <v>6244.0</v>
      </c>
      <c r="C761" s="1">
        <v>1.611597716E9</v>
      </c>
      <c r="D761" s="1">
        <v>4.0</v>
      </c>
      <c r="E761" s="1" t="b">
        <v>0</v>
      </c>
      <c r="F761" s="1" t="s">
        <v>14733</v>
      </c>
    </row>
    <row r="762">
      <c r="A762" s="1">
        <v>49833.0</v>
      </c>
      <c r="B762" s="1">
        <v>6151.0</v>
      </c>
      <c r="C762" s="1">
        <v>1.611597719E9</v>
      </c>
      <c r="D762" s="1">
        <v>4.0</v>
      </c>
      <c r="E762" s="1" t="b">
        <v>0</v>
      </c>
      <c r="F762" s="1" t="s">
        <v>14734</v>
      </c>
    </row>
    <row r="763">
      <c r="A763" s="1">
        <v>49833.0</v>
      </c>
      <c r="B763" s="1">
        <v>6166.0</v>
      </c>
      <c r="C763" s="1">
        <v>1.61159772E9</v>
      </c>
      <c r="D763" s="1">
        <v>4.0</v>
      </c>
      <c r="E763" s="1" t="b">
        <v>0</v>
      </c>
      <c r="F763" s="1" t="s">
        <v>14735</v>
      </c>
    </row>
    <row r="764">
      <c r="A764" s="1">
        <v>49833.0</v>
      </c>
      <c r="B764" s="1">
        <v>6351.0</v>
      </c>
      <c r="C764" s="1">
        <v>1.611764306E9</v>
      </c>
      <c r="D764" s="1">
        <v>4.0</v>
      </c>
      <c r="E764" s="1" t="b">
        <v>0</v>
      </c>
      <c r="F764" s="1" t="s">
        <v>14736</v>
      </c>
    </row>
    <row r="765">
      <c r="A765" s="1">
        <v>49833.0</v>
      </c>
      <c r="B765" s="1">
        <v>16707.0</v>
      </c>
      <c r="C765" s="1">
        <v>1.617783293E9</v>
      </c>
      <c r="D765" s="1">
        <v>4.0</v>
      </c>
      <c r="E765" s="1" t="b">
        <v>0</v>
      </c>
      <c r="F765" s="1" t="s">
        <v>14737</v>
      </c>
    </row>
    <row r="766">
      <c r="A766" s="1">
        <v>49833.0</v>
      </c>
      <c r="B766" s="1">
        <v>19511.0</v>
      </c>
      <c r="C766" s="1">
        <v>1.62289028E9</v>
      </c>
      <c r="D766" s="1">
        <v>4.0</v>
      </c>
      <c r="E766" s="1" t="b">
        <v>0</v>
      </c>
      <c r="F766" s="1" t="s">
        <v>14738</v>
      </c>
    </row>
    <row r="767">
      <c r="A767" s="1">
        <v>49833.0</v>
      </c>
      <c r="B767" s="1">
        <v>6247.0</v>
      </c>
      <c r="C767" s="1">
        <v>1.611597721E9</v>
      </c>
      <c r="D767" s="1">
        <v>4.0</v>
      </c>
      <c r="E767" s="1" t="b">
        <v>0</v>
      </c>
      <c r="F767" s="1" t="s">
        <v>14739</v>
      </c>
    </row>
    <row r="768">
      <c r="A768" s="1">
        <v>49833.0</v>
      </c>
      <c r="B768" s="1">
        <v>6176.0</v>
      </c>
      <c r="C768" s="1">
        <v>1.611597722E9</v>
      </c>
      <c r="D768" s="1">
        <v>4.0</v>
      </c>
      <c r="E768" s="1" t="b">
        <v>0</v>
      </c>
      <c r="F768" s="1" t="s">
        <v>14740</v>
      </c>
    </row>
    <row r="769">
      <c r="A769" s="1">
        <v>49833.0</v>
      </c>
      <c r="B769" s="1">
        <v>6249.0</v>
      </c>
      <c r="C769" s="1">
        <v>1.611597725E9</v>
      </c>
      <c r="D769" s="1">
        <v>4.0</v>
      </c>
      <c r="E769" s="1" t="b">
        <v>0</v>
      </c>
      <c r="F769" s="1" t="s">
        <v>14741</v>
      </c>
    </row>
    <row r="770">
      <c r="A770" s="1">
        <v>49833.0</v>
      </c>
      <c r="B770" s="1">
        <v>6256.0</v>
      </c>
      <c r="C770" s="1">
        <v>1.611597726E9</v>
      </c>
      <c r="D770" s="1">
        <v>4.0</v>
      </c>
      <c r="E770" s="1" t="b">
        <v>0</v>
      </c>
      <c r="F770" s="1" t="s">
        <v>14742</v>
      </c>
    </row>
    <row r="771">
      <c r="A771" s="1">
        <v>49833.0</v>
      </c>
      <c r="B771" s="1">
        <v>6258.0</v>
      </c>
      <c r="C771" s="1">
        <v>1.611597727E9</v>
      </c>
      <c r="D771" s="1">
        <v>4.0</v>
      </c>
      <c r="E771" s="1" t="b">
        <v>0</v>
      </c>
      <c r="F771" s="1" t="s">
        <v>14743</v>
      </c>
    </row>
    <row r="772">
      <c r="A772" s="1">
        <v>49833.0</v>
      </c>
      <c r="B772" s="1">
        <v>6259.0</v>
      </c>
      <c r="C772" s="1">
        <v>1.611597728E9</v>
      </c>
      <c r="D772" s="1">
        <v>4.0</v>
      </c>
      <c r="E772" s="1" t="b">
        <v>0</v>
      </c>
      <c r="F772" s="1" t="s">
        <v>14744</v>
      </c>
    </row>
    <row r="773">
      <c r="A773" s="1">
        <v>49833.0</v>
      </c>
      <c r="B773" s="1">
        <v>9683.0</v>
      </c>
      <c r="C773" s="1">
        <v>1.612323965E9</v>
      </c>
      <c r="D773" s="1">
        <v>4.0</v>
      </c>
      <c r="E773" s="1" t="b">
        <v>0</v>
      </c>
      <c r="F773" s="1" t="s">
        <v>14745</v>
      </c>
    </row>
    <row r="774">
      <c r="A774" s="1">
        <v>49833.0</v>
      </c>
      <c r="B774" s="1">
        <v>6127.0</v>
      </c>
      <c r="C774" s="1">
        <v>1.61159773E9</v>
      </c>
      <c r="D774" s="1">
        <v>4.0</v>
      </c>
      <c r="E774" s="1" t="b">
        <v>0</v>
      </c>
      <c r="F774" s="1" t="s">
        <v>14746</v>
      </c>
    </row>
    <row r="775">
      <c r="A775" s="1">
        <v>49833.0</v>
      </c>
      <c r="B775" s="1">
        <v>5818.0</v>
      </c>
      <c r="C775" s="1">
        <v>1.611505844E9</v>
      </c>
      <c r="D775" s="1">
        <v>4.0</v>
      </c>
      <c r="E775" s="1" t="b">
        <v>0</v>
      </c>
      <c r="F775" s="1" t="s">
        <v>14747</v>
      </c>
    </row>
    <row r="776">
      <c r="A776" s="1">
        <v>49833.0</v>
      </c>
      <c r="B776" s="1">
        <v>5883.0</v>
      </c>
      <c r="C776" s="1">
        <v>1.611505846E9</v>
      </c>
      <c r="D776" s="1">
        <v>4.0</v>
      </c>
      <c r="E776" s="1" t="b">
        <v>0</v>
      </c>
      <c r="F776" s="1" t="s">
        <v>14748</v>
      </c>
    </row>
    <row r="777">
      <c r="A777" s="1">
        <v>49833.0</v>
      </c>
      <c r="B777" s="1">
        <v>6142.0</v>
      </c>
      <c r="C777" s="1">
        <v>1.611597731E9</v>
      </c>
      <c r="D777" s="1">
        <v>4.0</v>
      </c>
      <c r="E777" s="1" t="b">
        <v>0</v>
      </c>
      <c r="F777" s="1" t="s">
        <v>14749</v>
      </c>
    </row>
    <row r="778">
      <c r="A778" s="1">
        <v>49833.0</v>
      </c>
      <c r="B778" s="1">
        <v>6731.0</v>
      </c>
      <c r="C778" s="1">
        <v>1.611764327E9</v>
      </c>
      <c r="D778" s="1">
        <v>4.0</v>
      </c>
      <c r="E778" s="1" t="b">
        <v>0</v>
      </c>
      <c r="F778" s="1" t="s">
        <v>14750</v>
      </c>
    </row>
    <row r="779">
      <c r="A779" s="1">
        <v>49833.0</v>
      </c>
      <c r="B779" s="1">
        <v>6153.0</v>
      </c>
      <c r="C779" s="1">
        <v>1.611597733E9</v>
      </c>
      <c r="D779" s="1">
        <v>4.0</v>
      </c>
      <c r="E779" s="1" t="b">
        <v>0</v>
      </c>
      <c r="F779" s="1" t="s">
        <v>14751</v>
      </c>
    </row>
    <row r="780">
      <c r="A780" s="1">
        <v>49833.0</v>
      </c>
      <c r="B780" s="1">
        <v>6192.0</v>
      </c>
      <c r="C780" s="1">
        <v>1.611598843E9</v>
      </c>
      <c r="D780" s="1">
        <v>4.0</v>
      </c>
      <c r="E780" s="1" t="b">
        <v>0</v>
      </c>
      <c r="F780" s="1" t="s">
        <v>14752</v>
      </c>
    </row>
    <row r="781">
      <c r="A781" s="1">
        <v>49833.0</v>
      </c>
      <c r="B781" s="1">
        <v>6177.0</v>
      </c>
      <c r="C781" s="1">
        <v>1.611598845E9</v>
      </c>
      <c r="D781" s="1">
        <v>4.0</v>
      </c>
      <c r="E781" s="1" t="b">
        <v>0</v>
      </c>
      <c r="F781" s="1" t="s">
        <v>14753</v>
      </c>
    </row>
    <row r="782">
      <c r="A782" s="1">
        <v>49833.0</v>
      </c>
      <c r="B782" s="1">
        <v>5922.0</v>
      </c>
      <c r="C782" s="1">
        <v>1.611555833E9</v>
      </c>
      <c r="D782" s="1">
        <v>4.0</v>
      </c>
      <c r="E782" s="1" t="b">
        <v>0</v>
      </c>
      <c r="F782" s="1" t="s">
        <v>14754</v>
      </c>
    </row>
    <row r="783">
      <c r="A783" s="1">
        <v>49833.0</v>
      </c>
      <c r="B783" s="1">
        <v>5836.0</v>
      </c>
      <c r="C783" s="1">
        <v>1.611504571E9</v>
      </c>
      <c r="D783" s="1">
        <v>4.0</v>
      </c>
      <c r="E783" s="1" t="b">
        <v>0</v>
      </c>
      <c r="F783" s="1" t="s">
        <v>14755</v>
      </c>
    </row>
    <row r="784">
      <c r="A784" s="1">
        <v>49833.0</v>
      </c>
      <c r="B784" s="1">
        <v>10703.0</v>
      </c>
      <c r="C784" s="1">
        <v>1.612582585E9</v>
      </c>
      <c r="D784" s="1">
        <v>4.0</v>
      </c>
      <c r="E784" s="1" t="b">
        <v>0</v>
      </c>
      <c r="F784" s="1" t="s">
        <v>14756</v>
      </c>
    </row>
    <row r="785">
      <c r="A785" s="1">
        <v>49833.0</v>
      </c>
      <c r="B785" s="1">
        <v>5930.0</v>
      </c>
      <c r="C785" s="1">
        <v>1.611555375E9</v>
      </c>
      <c r="D785" s="1">
        <v>4.0</v>
      </c>
      <c r="E785" s="1" t="b">
        <v>0</v>
      </c>
      <c r="F785" s="1" t="s">
        <v>14757</v>
      </c>
    </row>
    <row r="786">
      <c r="A786" s="1">
        <v>49833.0</v>
      </c>
      <c r="B786" s="1">
        <v>6028.0</v>
      </c>
      <c r="C786" s="1">
        <v>1.611555835E9</v>
      </c>
      <c r="D786" s="1">
        <v>4.0</v>
      </c>
      <c r="E786" s="1" t="b">
        <v>0</v>
      </c>
      <c r="F786" s="1" t="s">
        <v>14758</v>
      </c>
    </row>
    <row r="787">
      <c r="A787" s="1">
        <v>49833.0</v>
      </c>
      <c r="B787" s="1">
        <v>6054.0</v>
      </c>
      <c r="C787" s="1">
        <v>1.611556351E9</v>
      </c>
      <c r="D787" s="1">
        <v>4.0</v>
      </c>
      <c r="E787" s="1" t="b">
        <v>0</v>
      </c>
      <c r="F787" s="1" t="s">
        <v>14759</v>
      </c>
    </row>
    <row r="788">
      <c r="A788" s="1">
        <v>49833.0</v>
      </c>
      <c r="B788" s="1">
        <v>6012.0</v>
      </c>
      <c r="C788" s="1">
        <v>1.611555835E9</v>
      </c>
      <c r="D788" s="1">
        <v>4.0</v>
      </c>
      <c r="E788" s="1" t="b">
        <v>0</v>
      </c>
      <c r="F788" s="1" t="s">
        <v>14760</v>
      </c>
    </row>
    <row r="789">
      <c r="A789" s="1">
        <v>49833.0</v>
      </c>
      <c r="B789" s="1">
        <v>6114.0</v>
      </c>
      <c r="C789" s="1">
        <v>1.611565835E9</v>
      </c>
      <c r="D789" s="1">
        <v>4.0</v>
      </c>
      <c r="E789" s="1" t="b">
        <v>0</v>
      </c>
      <c r="F789" s="1" t="s">
        <v>14761</v>
      </c>
    </row>
    <row r="790">
      <c r="A790" s="1">
        <v>49833.0</v>
      </c>
      <c r="B790" s="1">
        <v>6107.0</v>
      </c>
      <c r="C790" s="1">
        <v>1.611565832E9</v>
      </c>
      <c r="D790" s="1">
        <v>4.0</v>
      </c>
      <c r="E790" s="1" t="b">
        <v>0</v>
      </c>
      <c r="F790" s="1" t="s">
        <v>14762</v>
      </c>
    </row>
    <row r="791">
      <c r="A791" s="1">
        <v>49833.0</v>
      </c>
      <c r="B791" s="1">
        <v>10705.0</v>
      </c>
      <c r="C791" s="1">
        <v>1.612582576E9</v>
      </c>
      <c r="D791" s="1">
        <v>4.0</v>
      </c>
      <c r="E791" s="1" t="b">
        <v>0</v>
      </c>
      <c r="F791" s="1" t="s">
        <v>14763</v>
      </c>
    </row>
    <row r="792">
      <c r="A792" s="1">
        <v>49833.0</v>
      </c>
      <c r="B792" s="1">
        <v>5463.0</v>
      </c>
      <c r="C792" s="1">
        <v>1.611423364E9</v>
      </c>
      <c r="D792" s="1">
        <v>4.0</v>
      </c>
      <c r="E792" s="1" t="b">
        <v>0</v>
      </c>
      <c r="F792" s="1" t="s">
        <v>14764</v>
      </c>
    </row>
    <row r="793">
      <c r="A793" s="1">
        <v>49833.0</v>
      </c>
      <c r="B793" s="1">
        <v>5815.0</v>
      </c>
      <c r="C793" s="1">
        <v>1.611505855E9</v>
      </c>
      <c r="D793" s="1">
        <v>4.0</v>
      </c>
      <c r="E793" s="1" t="b">
        <v>0</v>
      </c>
      <c r="F793" s="1" t="s">
        <v>14765</v>
      </c>
    </row>
    <row r="794">
      <c r="A794" s="1">
        <v>49833.0</v>
      </c>
      <c r="B794" s="1">
        <v>17418.0</v>
      </c>
      <c r="C794" s="1">
        <v>1.619779123E9</v>
      </c>
      <c r="D794" s="1">
        <v>4.0</v>
      </c>
      <c r="E794" s="1" t="b">
        <v>0</v>
      </c>
      <c r="F794" s="1" t="s">
        <v>14766</v>
      </c>
    </row>
    <row r="795">
      <c r="A795" s="1">
        <v>49833.0</v>
      </c>
      <c r="B795" s="1">
        <v>8668.0</v>
      </c>
      <c r="C795" s="1">
        <v>1.612029312E9</v>
      </c>
      <c r="D795" s="1">
        <v>4.0</v>
      </c>
      <c r="E795" s="1" t="b">
        <v>0</v>
      </c>
      <c r="F795" s="1" t="s">
        <v>14767</v>
      </c>
    </row>
    <row r="796">
      <c r="A796" s="1">
        <v>49833.0</v>
      </c>
      <c r="B796" s="1">
        <v>6003.0</v>
      </c>
      <c r="C796" s="1">
        <v>1.611541362E9</v>
      </c>
      <c r="D796" s="1">
        <v>9.0</v>
      </c>
      <c r="E796" s="1" t="b">
        <v>0</v>
      </c>
      <c r="F796" s="1" t="s">
        <v>14768</v>
      </c>
    </row>
    <row r="797">
      <c r="A797" s="1">
        <v>49833.0</v>
      </c>
      <c r="B797" s="1">
        <v>5651.0</v>
      </c>
      <c r="C797" s="1">
        <v>1.611502269E9</v>
      </c>
      <c r="D797" s="1">
        <v>4.0</v>
      </c>
      <c r="E797" s="1" t="b">
        <v>0</v>
      </c>
      <c r="F797" s="1" t="s">
        <v>14769</v>
      </c>
    </row>
    <row r="798">
      <c r="A798" s="1">
        <v>49833.0</v>
      </c>
      <c r="B798" s="1">
        <v>5666.0</v>
      </c>
      <c r="C798" s="1">
        <v>1.611504586E9</v>
      </c>
      <c r="D798" s="1">
        <v>4.0</v>
      </c>
      <c r="E798" s="1" t="b">
        <v>0</v>
      </c>
      <c r="F798" s="1" t="s">
        <v>14770</v>
      </c>
    </row>
    <row r="799">
      <c r="A799" s="1">
        <v>49833.0</v>
      </c>
      <c r="B799" s="1">
        <v>6032.0</v>
      </c>
      <c r="C799" s="1">
        <v>1.61155584E9</v>
      </c>
      <c r="D799" s="1">
        <v>4.0</v>
      </c>
      <c r="E799" s="1" t="b">
        <v>0</v>
      </c>
      <c r="F799" s="1" t="s">
        <v>14771</v>
      </c>
    </row>
    <row r="800">
      <c r="A800" s="1">
        <v>49833.0</v>
      </c>
      <c r="B800" s="1">
        <v>5921.0</v>
      </c>
      <c r="C800" s="1">
        <v>1.611555844E9</v>
      </c>
      <c r="D800" s="1">
        <v>4.0</v>
      </c>
      <c r="E800" s="1" t="b">
        <v>0</v>
      </c>
      <c r="F800" s="1" t="s">
        <v>14772</v>
      </c>
    </row>
    <row r="801">
      <c r="A801" s="1">
        <v>49833.0</v>
      </c>
      <c r="B801" s="1">
        <v>20075.0</v>
      </c>
      <c r="C801" s="1">
        <v>1.62374538E9</v>
      </c>
      <c r="D801" s="1">
        <v>4.0</v>
      </c>
      <c r="E801" s="1" t="b">
        <v>0</v>
      </c>
      <c r="F801" s="1" t="s">
        <v>14773</v>
      </c>
    </row>
    <row r="802">
      <c r="A802" s="1">
        <v>49833.0</v>
      </c>
      <c r="B802" s="1">
        <v>5723.0</v>
      </c>
      <c r="C802" s="1">
        <v>1.611505846E9</v>
      </c>
      <c r="D802" s="1">
        <v>4.0</v>
      </c>
      <c r="E802" s="1" t="b">
        <v>0</v>
      </c>
      <c r="F802" s="1" t="s">
        <v>14774</v>
      </c>
    </row>
    <row r="803">
      <c r="A803" s="1">
        <v>49833.0</v>
      </c>
      <c r="B803" s="1">
        <v>6730.0</v>
      </c>
      <c r="C803" s="1">
        <v>1.611764329E9</v>
      </c>
      <c r="D803" s="1">
        <v>4.0</v>
      </c>
      <c r="E803" s="1" t="b">
        <v>0</v>
      </c>
      <c r="F803" s="1" t="s">
        <v>14775</v>
      </c>
    </row>
    <row r="804">
      <c r="A804" s="1">
        <v>49833.0</v>
      </c>
      <c r="B804" s="1">
        <v>5961.0</v>
      </c>
      <c r="C804" s="1">
        <v>1.611555377E9</v>
      </c>
      <c r="D804" s="1">
        <v>4.0</v>
      </c>
      <c r="E804" s="1" t="b">
        <v>0</v>
      </c>
      <c r="F804" s="1" t="s">
        <v>14776</v>
      </c>
    </row>
    <row r="805">
      <c r="A805" s="1">
        <v>49833.0</v>
      </c>
      <c r="B805" s="1">
        <v>6079.0</v>
      </c>
      <c r="C805" s="1">
        <v>1.611559501E9</v>
      </c>
      <c r="D805" s="1">
        <v>4.0</v>
      </c>
      <c r="E805" s="1" t="b">
        <v>0</v>
      </c>
      <c r="F805" s="1" t="s">
        <v>14777</v>
      </c>
    </row>
    <row r="806">
      <c r="A806" s="1">
        <v>49833.0</v>
      </c>
      <c r="B806" s="1">
        <v>6093.0</v>
      </c>
      <c r="C806" s="1">
        <v>1.611565829E9</v>
      </c>
      <c r="D806" s="1">
        <v>4.0</v>
      </c>
      <c r="E806" s="1" t="b">
        <v>0</v>
      </c>
      <c r="F806" s="1" t="s">
        <v>14778</v>
      </c>
    </row>
    <row r="807">
      <c r="A807" s="1">
        <v>49833.0</v>
      </c>
      <c r="B807" s="1">
        <v>6121.0</v>
      </c>
      <c r="C807" s="1">
        <v>1.611565834E9</v>
      </c>
      <c r="D807" s="1">
        <v>4.0</v>
      </c>
      <c r="E807" s="1" t="b">
        <v>0</v>
      </c>
      <c r="F807" s="1" t="s">
        <v>14779</v>
      </c>
    </row>
    <row r="808">
      <c r="A808" s="1">
        <v>49833.0</v>
      </c>
      <c r="B808" s="1">
        <v>16708.0</v>
      </c>
      <c r="C808" s="1">
        <v>1.617783288E9</v>
      </c>
      <c r="D808" s="1">
        <v>4.0</v>
      </c>
      <c r="E808" s="1" t="b">
        <v>0</v>
      </c>
      <c r="F808" s="1" t="s">
        <v>14780</v>
      </c>
    </row>
    <row r="809">
      <c r="A809" s="1">
        <v>49833.0</v>
      </c>
      <c r="B809" s="1">
        <v>15028.0</v>
      </c>
      <c r="C809" s="1">
        <v>1.61425988E9</v>
      </c>
      <c r="D809" s="1">
        <v>4.0</v>
      </c>
      <c r="E809" s="1" t="b">
        <v>0</v>
      </c>
      <c r="F809" s="1" t="s">
        <v>14781</v>
      </c>
    </row>
    <row r="810">
      <c r="A810" s="1">
        <v>49833.0</v>
      </c>
      <c r="B810" s="1">
        <v>8883.0</v>
      </c>
      <c r="C810" s="1">
        <v>1.61209242E9</v>
      </c>
      <c r="D810" s="1">
        <v>4.0</v>
      </c>
      <c r="E810" s="1" t="b">
        <v>0</v>
      </c>
      <c r="F810" s="1" t="s">
        <v>14782</v>
      </c>
    </row>
    <row r="811">
      <c r="A811" s="1">
        <v>49833.0</v>
      </c>
      <c r="B811" s="1">
        <v>8775.0</v>
      </c>
      <c r="C811" s="1">
        <v>1.612029315E9</v>
      </c>
      <c r="D811" s="1">
        <v>4.0</v>
      </c>
      <c r="E811" s="1" t="b">
        <v>0</v>
      </c>
      <c r="F811" s="1" t="s">
        <v>14783</v>
      </c>
    </row>
    <row r="812">
      <c r="A812" s="1">
        <v>49833.0</v>
      </c>
      <c r="B812" s="1">
        <v>5760.0</v>
      </c>
      <c r="C812" s="1">
        <v>1.611505854E9</v>
      </c>
      <c r="D812" s="1">
        <v>4.0</v>
      </c>
      <c r="E812" s="1" t="b">
        <v>0</v>
      </c>
      <c r="F812" s="1" t="s">
        <v>14784</v>
      </c>
    </row>
    <row r="813">
      <c r="A813" s="1">
        <v>49833.0</v>
      </c>
      <c r="B813" s="1">
        <v>12284.0</v>
      </c>
      <c r="C813" s="1">
        <v>1.612943279E9</v>
      </c>
      <c r="D813" s="1">
        <v>4.0</v>
      </c>
      <c r="E813" s="1" t="b">
        <v>0</v>
      </c>
      <c r="F813" s="1" t="s">
        <v>14785</v>
      </c>
    </row>
    <row r="814">
      <c r="A814" s="1">
        <v>49833.0</v>
      </c>
      <c r="B814" s="1">
        <v>11475.0</v>
      </c>
      <c r="C814" s="1">
        <v>1.612770333E9</v>
      </c>
      <c r="D814" s="1">
        <v>4.0</v>
      </c>
      <c r="E814" s="1" t="b">
        <v>0</v>
      </c>
      <c r="F814" s="1" t="s">
        <v>14786</v>
      </c>
    </row>
    <row r="815">
      <c r="A815" s="1">
        <v>49833.0</v>
      </c>
      <c r="B815" s="1">
        <v>1896.0</v>
      </c>
      <c r="C815" s="1">
        <v>1.607003804E9</v>
      </c>
      <c r="D815" s="1">
        <v>4.0</v>
      </c>
      <c r="E815" s="1" t="b">
        <v>0</v>
      </c>
      <c r="F815" s="1" t="s">
        <v>14787</v>
      </c>
    </row>
    <row r="816">
      <c r="A816" s="1">
        <v>49833.0</v>
      </c>
      <c r="B816" s="1">
        <v>12380.0</v>
      </c>
      <c r="C816" s="1">
        <v>1.612961042E9</v>
      </c>
      <c r="D816" s="1">
        <v>4.0</v>
      </c>
      <c r="E816" s="1" t="b">
        <v>0</v>
      </c>
      <c r="F816" s="1" t="s">
        <v>14788</v>
      </c>
    </row>
    <row r="817">
      <c r="A817" s="1">
        <v>49833.0</v>
      </c>
      <c r="B817" s="1">
        <v>16743.0</v>
      </c>
      <c r="C817" s="1">
        <v>1.620984203E9</v>
      </c>
      <c r="D817" s="1">
        <v>4.0</v>
      </c>
      <c r="E817" s="1" t="b">
        <v>0</v>
      </c>
      <c r="F817" s="1" t="s">
        <v>13986</v>
      </c>
      <c r="G817" s="1" t="b">
        <v>1</v>
      </c>
    </row>
    <row r="818">
      <c r="A818" s="1">
        <v>49833.0</v>
      </c>
      <c r="B818" s="1">
        <v>8982.0</v>
      </c>
      <c r="C818" s="1">
        <v>1.612092401E9</v>
      </c>
      <c r="D818" s="1">
        <v>4.0</v>
      </c>
      <c r="E818" s="1" t="b">
        <v>0</v>
      </c>
      <c r="F818" s="1" t="s">
        <v>14789</v>
      </c>
    </row>
    <row r="819">
      <c r="A819" s="1">
        <v>49833.0</v>
      </c>
      <c r="B819" s="1">
        <v>8987.0</v>
      </c>
      <c r="C819" s="1">
        <v>1.612092408E9</v>
      </c>
      <c r="D819" s="1">
        <v>4.0</v>
      </c>
      <c r="E819" s="1" t="b">
        <v>0</v>
      </c>
      <c r="F819" s="1" t="s">
        <v>14790</v>
      </c>
    </row>
    <row r="820">
      <c r="A820" s="1">
        <v>49833.0</v>
      </c>
      <c r="B820" s="1">
        <v>9074.0</v>
      </c>
      <c r="C820" s="1">
        <v>1.612092413E9</v>
      </c>
      <c r="D820" s="1">
        <v>4.0</v>
      </c>
      <c r="E820" s="1" t="b">
        <v>0</v>
      </c>
      <c r="F820" s="1" t="s">
        <v>14791</v>
      </c>
    </row>
    <row r="821">
      <c r="A821" s="1">
        <v>49833.0</v>
      </c>
      <c r="B821" s="1">
        <v>9042.0</v>
      </c>
      <c r="C821" s="1">
        <v>1.612092415E9</v>
      </c>
      <c r="D821" s="1">
        <v>4.0</v>
      </c>
      <c r="E821" s="1" t="b">
        <v>0</v>
      </c>
      <c r="F821" s="1" t="s">
        <v>14792</v>
      </c>
    </row>
    <row r="822">
      <c r="A822" s="1">
        <v>49833.0</v>
      </c>
      <c r="B822" s="1">
        <v>9023.0</v>
      </c>
      <c r="C822" s="1">
        <v>1.612092418E9</v>
      </c>
      <c r="D822" s="1">
        <v>4.0</v>
      </c>
      <c r="E822" s="1" t="b">
        <v>0</v>
      </c>
      <c r="F822" s="1" t="s">
        <v>14793</v>
      </c>
    </row>
    <row r="823">
      <c r="A823" s="1">
        <v>49833.0</v>
      </c>
      <c r="B823" s="1">
        <v>12918.0</v>
      </c>
      <c r="C823" s="1">
        <v>1.613115366E9</v>
      </c>
      <c r="D823" s="1">
        <v>4.0</v>
      </c>
      <c r="E823" s="1" t="b">
        <v>0</v>
      </c>
      <c r="F823" s="1" t="s">
        <v>14794</v>
      </c>
    </row>
    <row r="824">
      <c r="A824" s="1">
        <v>49833.0</v>
      </c>
      <c r="B824" s="1">
        <v>13024.0</v>
      </c>
      <c r="C824" s="1">
        <v>1.613139443E9</v>
      </c>
      <c r="D824" s="1">
        <v>4.0</v>
      </c>
      <c r="E824" s="1" t="b">
        <v>0</v>
      </c>
      <c r="F824" s="1" t="s">
        <v>14795</v>
      </c>
    </row>
    <row r="825">
      <c r="A825" s="1">
        <v>49833.0</v>
      </c>
      <c r="B825" s="1">
        <v>3783.0</v>
      </c>
      <c r="C825" s="1">
        <v>1.610800767E9</v>
      </c>
      <c r="D825" s="1">
        <v>4.0</v>
      </c>
      <c r="E825" s="1" t="b">
        <v>0</v>
      </c>
      <c r="F825" s="1" t="s">
        <v>14796</v>
      </c>
    </row>
    <row r="826">
      <c r="A826" s="1">
        <v>49833.0</v>
      </c>
      <c r="B826" s="1">
        <v>13359.0</v>
      </c>
      <c r="C826" s="1">
        <v>1.613286923E9</v>
      </c>
      <c r="D826" s="1">
        <v>4.0</v>
      </c>
      <c r="E826" s="1" t="b">
        <v>0</v>
      </c>
      <c r="F826" s="1" t="s">
        <v>14797</v>
      </c>
    </row>
    <row r="827">
      <c r="A827" s="1">
        <v>49833.0</v>
      </c>
      <c r="B827" s="1">
        <v>8785.0</v>
      </c>
      <c r="C827" s="1">
        <v>1.612165221E9</v>
      </c>
      <c r="D827" s="1">
        <v>4.0</v>
      </c>
      <c r="E827" s="1" t="b">
        <v>0</v>
      </c>
      <c r="F827" s="1" t="s">
        <v>14798</v>
      </c>
    </row>
    <row r="828">
      <c r="A828" s="1">
        <v>49833.0</v>
      </c>
      <c r="B828" s="1">
        <v>13264.0</v>
      </c>
      <c r="C828" s="1">
        <v>1.613213119E9</v>
      </c>
      <c r="D828" s="1">
        <v>4.0</v>
      </c>
      <c r="E828" s="1" t="b">
        <v>0</v>
      </c>
      <c r="F828" s="1" t="s">
        <v>14799</v>
      </c>
    </row>
    <row r="829">
      <c r="A829" s="1">
        <v>49833.0</v>
      </c>
      <c r="B829" s="1">
        <v>13006.0</v>
      </c>
      <c r="C829" s="1">
        <v>1.613132731E9</v>
      </c>
      <c r="D829" s="1">
        <v>4.0</v>
      </c>
      <c r="E829" s="1" t="b">
        <v>0</v>
      </c>
      <c r="F829" s="1" t="s">
        <v>14800</v>
      </c>
    </row>
    <row r="830">
      <c r="A830" s="1">
        <v>49833.0</v>
      </c>
      <c r="B830" s="1">
        <v>6392.0</v>
      </c>
      <c r="C830" s="1">
        <v>1.611764335E9</v>
      </c>
      <c r="D830" s="1">
        <v>4.0</v>
      </c>
      <c r="E830" s="1" t="b">
        <v>0</v>
      </c>
      <c r="F830" s="1" t="s">
        <v>14801</v>
      </c>
    </row>
    <row r="831">
      <c r="A831" s="1">
        <v>49833.0</v>
      </c>
      <c r="B831" s="1">
        <v>6586.0</v>
      </c>
      <c r="C831" s="1">
        <v>1.611764336E9</v>
      </c>
      <c r="D831" s="1">
        <v>4.0</v>
      </c>
      <c r="E831" s="1" t="b">
        <v>0</v>
      </c>
      <c r="F831" s="1" t="s">
        <v>14802</v>
      </c>
    </row>
    <row r="832">
      <c r="A832" s="1">
        <v>49833.0</v>
      </c>
      <c r="B832" s="1">
        <v>6501.0</v>
      </c>
      <c r="C832" s="1">
        <v>1.611764352E9</v>
      </c>
      <c r="D832" s="1">
        <v>4.0</v>
      </c>
      <c r="E832" s="1" t="b">
        <v>0</v>
      </c>
      <c r="F832" s="1" t="s">
        <v>14803</v>
      </c>
    </row>
    <row r="833">
      <c r="A833" s="1">
        <v>49833.0</v>
      </c>
      <c r="B833" s="1">
        <v>3454.0</v>
      </c>
      <c r="C833" s="1">
        <v>1.610539673E9</v>
      </c>
      <c r="D833" s="1">
        <v>4.0</v>
      </c>
      <c r="E833" s="1" t="b">
        <v>0</v>
      </c>
      <c r="F833" s="1" t="s">
        <v>14804</v>
      </c>
    </row>
    <row r="834">
      <c r="A834" s="1">
        <v>49833.0</v>
      </c>
      <c r="B834" s="1">
        <v>9490.0</v>
      </c>
      <c r="C834" s="1">
        <v>1.612169251E9</v>
      </c>
      <c r="D834" s="1">
        <v>4.0</v>
      </c>
      <c r="E834" s="1" t="b">
        <v>0</v>
      </c>
      <c r="F834" s="1" t="s">
        <v>14805</v>
      </c>
    </row>
    <row r="835">
      <c r="A835" s="1">
        <v>49833.0</v>
      </c>
      <c r="B835" s="1">
        <v>5837.0</v>
      </c>
      <c r="C835" s="1">
        <v>1.611504578E9</v>
      </c>
      <c r="D835" s="1">
        <v>4.0</v>
      </c>
      <c r="E835" s="1" t="b">
        <v>0</v>
      </c>
      <c r="F835" s="1" t="s">
        <v>14806</v>
      </c>
    </row>
    <row r="836">
      <c r="A836" s="1">
        <v>49833.0</v>
      </c>
      <c r="B836" s="1">
        <v>8911.0</v>
      </c>
      <c r="C836" s="1">
        <v>1.612092419E9</v>
      </c>
      <c r="D836" s="1">
        <v>4.0</v>
      </c>
      <c r="E836" s="1" t="b">
        <v>0</v>
      </c>
      <c r="F836" s="1" t="s">
        <v>14807</v>
      </c>
    </row>
    <row r="837">
      <c r="A837" s="1">
        <v>49833.0</v>
      </c>
      <c r="B837" s="1">
        <v>13068.0</v>
      </c>
      <c r="C837" s="1">
        <v>1.613151921E9</v>
      </c>
      <c r="D837" s="1">
        <v>4.0</v>
      </c>
      <c r="E837" s="1" t="b">
        <v>0</v>
      </c>
      <c r="F837" s="1" t="s">
        <v>14808</v>
      </c>
    </row>
    <row r="838">
      <c r="A838" s="1">
        <v>49833.0</v>
      </c>
      <c r="B838" s="1">
        <v>13375.0</v>
      </c>
      <c r="C838" s="1">
        <v>1.613286914E9</v>
      </c>
      <c r="D838" s="1">
        <v>4.0</v>
      </c>
      <c r="E838" s="1" t="b">
        <v>0</v>
      </c>
      <c r="F838" s="1" t="s">
        <v>14809</v>
      </c>
    </row>
    <row r="839">
      <c r="A839" s="1">
        <v>49833.0</v>
      </c>
      <c r="B839" s="1">
        <v>6199.0</v>
      </c>
      <c r="C839" s="1">
        <v>1.611597682E9</v>
      </c>
      <c r="D839" s="1">
        <v>4.0</v>
      </c>
      <c r="E839" s="1" t="b">
        <v>0</v>
      </c>
      <c r="F839" s="1" t="s">
        <v>14810</v>
      </c>
    </row>
    <row r="840">
      <c r="A840" s="1">
        <v>49833.0</v>
      </c>
      <c r="B840" s="1">
        <v>6276.0</v>
      </c>
      <c r="C840" s="1">
        <v>1.611598857E9</v>
      </c>
      <c r="D840" s="1">
        <v>4.0</v>
      </c>
      <c r="E840" s="1" t="b">
        <v>0</v>
      </c>
      <c r="F840" s="1" t="s">
        <v>14811</v>
      </c>
    </row>
    <row r="841">
      <c r="A841" s="1">
        <v>49833.0</v>
      </c>
      <c r="B841" s="1">
        <v>10405.0</v>
      </c>
      <c r="C841" s="1">
        <v>1.612441247E9</v>
      </c>
      <c r="D841" s="1">
        <v>4.0</v>
      </c>
      <c r="E841" s="1" t="b">
        <v>0</v>
      </c>
      <c r="F841" s="1" t="s">
        <v>14812</v>
      </c>
    </row>
    <row r="842">
      <c r="A842" s="1">
        <v>49833.0</v>
      </c>
      <c r="B842" s="1">
        <v>6317.0</v>
      </c>
      <c r="C842" s="1">
        <v>1.611686174E9</v>
      </c>
      <c r="D842" s="1">
        <v>4.0</v>
      </c>
      <c r="E842" s="1" t="b">
        <v>0</v>
      </c>
      <c r="F842" s="1" t="s">
        <v>14813</v>
      </c>
    </row>
    <row r="843">
      <c r="A843" s="1">
        <v>49833.0</v>
      </c>
      <c r="B843" s="1">
        <v>6312.0</v>
      </c>
      <c r="C843" s="1">
        <v>1.61168618E9</v>
      </c>
      <c r="D843" s="1">
        <v>4.0</v>
      </c>
      <c r="E843" s="1" t="b">
        <v>0</v>
      </c>
      <c r="F843" s="1" t="s">
        <v>14814</v>
      </c>
    </row>
    <row r="844">
      <c r="A844" s="1">
        <v>49833.0</v>
      </c>
      <c r="B844" s="1">
        <v>6308.0</v>
      </c>
      <c r="C844" s="1">
        <v>1.611686182E9</v>
      </c>
      <c r="D844" s="1">
        <v>4.0</v>
      </c>
      <c r="E844" s="1" t="b">
        <v>0</v>
      </c>
      <c r="F844" s="1" t="s">
        <v>14815</v>
      </c>
    </row>
    <row r="845">
      <c r="A845" s="1">
        <v>49833.0</v>
      </c>
      <c r="B845" s="1">
        <v>6307.0</v>
      </c>
      <c r="C845" s="1">
        <v>1.611686183E9</v>
      </c>
      <c r="D845" s="1">
        <v>4.0</v>
      </c>
      <c r="E845" s="1" t="b">
        <v>0</v>
      </c>
      <c r="F845" s="1" t="s">
        <v>14816</v>
      </c>
    </row>
    <row r="846">
      <c r="A846" s="1">
        <v>49833.0</v>
      </c>
      <c r="B846" s="1">
        <v>6260.0</v>
      </c>
      <c r="C846" s="1">
        <v>1.611598868E9</v>
      </c>
      <c r="D846" s="1">
        <v>4.0</v>
      </c>
      <c r="E846" s="1" t="b">
        <v>0</v>
      </c>
      <c r="F846" s="1" t="s">
        <v>14817</v>
      </c>
    </row>
    <row r="847">
      <c r="A847" s="1">
        <v>49833.0</v>
      </c>
      <c r="B847" s="1">
        <v>6399.0</v>
      </c>
      <c r="C847" s="1">
        <v>1.611764338E9</v>
      </c>
      <c r="D847" s="1">
        <v>4.0</v>
      </c>
      <c r="E847" s="1" t="b">
        <v>0</v>
      </c>
      <c r="F847" s="1" t="s">
        <v>14818</v>
      </c>
    </row>
    <row r="848">
      <c r="A848" s="1">
        <v>49833.0</v>
      </c>
      <c r="B848" s="1">
        <v>6741.0</v>
      </c>
      <c r="C848" s="1">
        <v>1.611764339E9</v>
      </c>
      <c r="D848" s="1">
        <v>4.0</v>
      </c>
      <c r="E848" s="1" t="b">
        <v>0</v>
      </c>
      <c r="F848" s="1" t="s">
        <v>14819</v>
      </c>
    </row>
    <row r="849">
      <c r="A849" s="1">
        <v>49833.0</v>
      </c>
      <c r="B849" s="1">
        <v>6310.0</v>
      </c>
      <c r="C849" s="1">
        <v>1.611764341E9</v>
      </c>
      <c r="D849" s="1">
        <v>4.0</v>
      </c>
      <c r="E849" s="1" t="b">
        <v>0</v>
      </c>
      <c r="F849" s="1" t="s">
        <v>14820</v>
      </c>
    </row>
    <row r="850">
      <c r="A850" s="1">
        <v>49833.0</v>
      </c>
      <c r="B850" s="1">
        <v>5832.0</v>
      </c>
      <c r="C850" s="1">
        <v>1.611764342E9</v>
      </c>
      <c r="D850" s="1">
        <v>4.0</v>
      </c>
      <c r="E850" s="1" t="b">
        <v>0</v>
      </c>
      <c r="F850" s="1" t="s">
        <v>14821</v>
      </c>
    </row>
    <row r="851">
      <c r="A851" s="1">
        <v>49833.0</v>
      </c>
      <c r="B851" s="1">
        <v>6220.0</v>
      </c>
      <c r="C851" s="1">
        <v>1.611597678E9</v>
      </c>
      <c r="D851" s="1">
        <v>4.0</v>
      </c>
      <c r="E851" s="1" t="b">
        <v>0</v>
      </c>
      <c r="F851" s="1" t="s">
        <v>14299</v>
      </c>
    </row>
    <row r="852">
      <c r="A852" s="1">
        <v>49833.0</v>
      </c>
      <c r="B852" s="1">
        <v>6205.0</v>
      </c>
      <c r="C852" s="1">
        <v>1.611597687E9</v>
      </c>
      <c r="D852" s="1">
        <v>4.0</v>
      </c>
      <c r="E852" s="1" t="b">
        <v>0</v>
      </c>
      <c r="F852" s="1" t="s">
        <v>14822</v>
      </c>
    </row>
    <row r="853">
      <c r="A853" s="1">
        <v>49833.0</v>
      </c>
      <c r="B853" s="1">
        <v>6193.0</v>
      </c>
      <c r="C853" s="1">
        <v>1.611597688E9</v>
      </c>
      <c r="D853" s="1">
        <v>4.0</v>
      </c>
      <c r="E853" s="1" t="b">
        <v>0</v>
      </c>
      <c r="F853" s="1" t="s">
        <v>14823</v>
      </c>
    </row>
    <row r="854">
      <c r="A854" s="1">
        <v>49833.0</v>
      </c>
      <c r="B854" s="1">
        <v>5081.0</v>
      </c>
      <c r="C854" s="1">
        <v>1.611597705E9</v>
      </c>
      <c r="D854" s="1">
        <v>4.0</v>
      </c>
      <c r="E854" s="1" t="b">
        <v>0</v>
      </c>
      <c r="F854" s="1" t="s">
        <v>14824</v>
      </c>
    </row>
    <row r="855">
      <c r="A855" s="1">
        <v>49833.0</v>
      </c>
      <c r="B855" s="1">
        <v>8732.0</v>
      </c>
      <c r="C855" s="1">
        <v>1.612029316E9</v>
      </c>
      <c r="D855" s="1">
        <v>4.0</v>
      </c>
      <c r="E855" s="1" t="b">
        <v>0</v>
      </c>
      <c r="F855" s="1" t="s">
        <v>14825</v>
      </c>
    </row>
    <row r="856">
      <c r="A856" s="1">
        <v>49833.0</v>
      </c>
      <c r="B856" s="1">
        <v>6181.0</v>
      </c>
      <c r="C856" s="1">
        <v>1.611597724E9</v>
      </c>
      <c r="D856" s="1">
        <v>4.0</v>
      </c>
      <c r="E856" s="1" t="b">
        <v>0</v>
      </c>
      <c r="F856" s="1" t="s">
        <v>14826</v>
      </c>
    </row>
    <row r="857">
      <c r="A857" s="1">
        <v>49833.0</v>
      </c>
      <c r="B857" s="1">
        <v>10717.0</v>
      </c>
      <c r="C857" s="1">
        <v>1.612582581E9</v>
      </c>
      <c r="D857" s="1">
        <v>4.0</v>
      </c>
      <c r="E857" s="1" t="b">
        <v>0</v>
      </c>
      <c r="F857" s="1" t="s">
        <v>14827</v>
      </c>
    </row>
    <row r="858">
      <c r="A858" s="1">
        <v>49833.0</v>
      </c>
      <c r="B858" s="1">
        <v>16818.0</v>
      </c>
      <c r="C858" s="1">
        <v>1.618436007E9</v>
      </c>
      <c r="D858" s="1">
        <v>4.0</v>
      </c>
      <c r="E858" s="1" t="b">
        <v>0</v>
      </c>
      <c r="F858" s="1" t="s">
        <v>14828</v>
      </c>
    </row>
    <row r="859">
      <c r="A859" s="1">
        <v>49833.0</v>
      </c>
      <c r="B859" s="1">
        <v>16465.0</v>
      </c>
      <c r="C859" s="1">
        <v>1.618191735E9</v>
      </c>
      <c r="D859" s="1">
        <v>4.0</v>
      </c>
      <c r="E859" s="1" t="b">
        <v>0</v>
      </c>
      <c r="F859" s="1" t="s">
        <v>14829</v>
      </c>
    </row>
    <row r="860">
      <c r="A860" s="1">
        <v>49833.0</v>
      </c>
      <c r="B860" s="1">
        <v>6069.0</v>
      </c>
      <c r="C860" s="1">
        <v>1.611559499E9</v>
      </c>
      <c r="D860" s="1">
        <v>4.0</v>
      </c>
      <c r="E860" s="1" t="b">
        <v>0</v>
      </c>
      <c r="F860" s="1" t="s">
        <v>14253</v>
      </c>
    </row>
    <row r="861">
      <c r="A861" s="1">
        <v>49833.0</v>
      </c>
      <c r="B861" s="1">
        <v>16703.0</v>
      </c>
      <c r="C861" s="1">
        <v>1.617783285E9</v>
      </c>
      <c r="D861" s="1">
        <v>4.0</v>
      </c>
      <c r="E861" s="1" t="b">
        <v>0</v>
      </c>
      <c r="F861" s="1" t="s">
        <v>14830</v>
      </c>
    </row>
    <row r="862">
      <c r="A862" s="1">
        <v>49833.0</v>
      </c>
      <c r="B862" s="1">
        <v>6272.0</v>
      </c>
      <c r="C862" s="1">
        <v>1.611598854E9</v>
      </c>
      <c r="D862" s="1">
        <v>4.0</v>
      </c>
      <c r="E862" s="1" t="b">
        <v>0</v>
      </c>
      <c r="F862" s="1" t="s">
        <v>14831</v>
      </c>
    </row>
    <row r="863">
      <c r="A863" s="1">
        <v>49833.0</v>
      </c>
      <c r="B863" s="1">
        <v>6267.0</v>
      </c>
      <c r="C863" s="1">
        <v>1.611598854E9</v>
      </c>
      <c r="D863" s="1">
        <v>4.0</v>
      </c>
      <c r="E863" s="1" t="b">
        <v>0</v>
      </c>
      <c r="F863" s="1" t="s">
        <v>14832</v>
      </c>
    </row>
    <row r="864">
      <c r="A864" s="1">
        <v>49833.0</v>
      </c>
      <c r="B864" s="1">
        <v>6269.0</v>
      </c>
      <c r="C864" s="1">
        <v>1.611598857E9</v>
      </c>
      <c r="D864" s="1">
        <v>4.0</v>
      </c>
      <c r="E864" s="1" t="b">
        <v>0</v>
      </c>
      <c r="F864" s="1" t="s">
        <v>14833</v>
      </c>
    </row>
    <row r="865">
      <c r="A865" s="1">
        <v>49833.0</v>
      </c>
      <c r="B865" s="1">
        <v>6277.0</v>
      </c>
      <c r="C865" s="1">
        <v>1.611598859E9</v>
      </c>
      <c r="D865" s="1">
        <v>4.0</v>
      </c>
      <c r="E865" s="1" t="b">
        <v>0</v>
      </c>
      <c r="F865" s="1" t="s">
        <v>14834</v>
      </c>
    </row>
    <row r="866">
      <c r="A866" s="1">
        <v>49833.0</v>
      </c>
      <c r="B866" s="1">
        <v>6268.0</v>
      </c>
      <c r="C866" s="1">
        <v>1.611598863E9</v>
      </c>
      <c r="D866" s="1">
        <v>4.0</v>
      </c>
      <c r="E866" s="1" t="b">
        <v>0</v>
      </c>
      <c r="F866" s="1" t="s">
        <v>14835</v>
      </c>
    </row>
    <row r="867">
      <c r="A867" s="1">
        <v>49833.0</v>
      </c>
      <c r="B867" s="1">
        <v>6279.0</v>
      </c>
      <c r="C867" s="1">
        <v>1.611598865E9</v>
      </c>
      <c r="D867" s="1">
        <v>4.0</v>
      </c>
      <c r="E867" s="1" t="b">
        <v>0</v>
      </c>
      <c r="F867" s="1" t="s">
        <v>14836</v>
      </c>
    </row>
    <row r="868">
      <c r="A868" s="1">
        <v>49833.0</v>
      </c>
      <c r="B868" s="1">
        <v>6273.0</v>
      </c>
      <c r="C868" s="1">
        <v>1.611598867E9</v>
      </c>
      <c r="D868" s="1">
        <v>4.0</v>
      </c>
      <c r="E868" s="1" t="b">
        <v>0</v>
      </c>
      <c r="F868" s="1" t="s">
        <v>14837</v>
      </c>
    </row>
    <row r="869">
      <c r="A869" s="1">
        <v>49833.0</v>
      </c>
      <c r="B869" s="1">
        <v>17170.0</v>
      </c>
      <c r="C869" s="1">
        <v>1.619428016E9</v>
      </c>
      <c r="D869" s="1">
        <v>4.0</v>
      </c>
      <c r="E869" s="1" t="b">
        <v>0</v>
      </c>
      <c r="F869" s="1" t="s">
        <v>14838</v>
      </c>
    </row>
    <row r="870">
      <c r="A870" s="1">
        <v>49833.0</v>
      </c>
      <c r="B870" s="1">
        <v>17160.0</v>
      </c>
      <c r="C870" s="1">
        <v>1.619428013E9</v>
      </c>
      <c r="D870" s="1">
        <v>4.0</v>
      </c>
      <c r="E870" s="1" t="b">
        <v>0</v>
      </c>
      <c r="F870" s="1" t="s">
        <v>14839</v>
      </c>
    </row>
    <row r="871">
      <c r="A871" s="1">
        <v>49833.0</v>
      </c>
      <c r="B871" s="1">
        <v>6294.0</v>
      </c>
      <c r="C871" s="1">
        <v>1.611599341E9</v>
      </c>
      <c r="D871" s="1">
        <v>4.0</v>
      </c>
      <c r="E871" s="1" t="b">
        <v>0</v>
      </c>
      <c r="F871" s="1" t="s">
        <v>14840</v>
      </c>
    </row>
    <row r="872">
      <c r="A872" s="1">
        <v>49833.0</v>
      </c>
      <c r="B872" s="1">
        <v>6297.0</v>
      </c>
      <c r="C872" s="1">
        <v>1.611599343E9</v>
      </c>
      <c r="D872" s="1">
        <v>4.0</v>
      </c>
      <c r="E872" s="1" t="b">
        <v>0</v>
      </c>
      <c r="F872" s="1" t="s">
        <v>14841</v>
      </c>
    </row>
    <row r="873">
      <c r="A873" s="1">
        <v>49833.0</v>
      </c>
      <c r="B873" s="1">
        <v>6366.0</v>
      </c>
      <c r="C873" s="1">
        <v>1.611764322E9</v>
      </c>
      <c r="D873" s="1">
        <v>4.0</v>
      </c>
      <c r="E873" s="1" t="b">
        <v>0</v>
      </c>
      <c r="F873" s="1" t="s">
        <v>14842</v>
      </c>
    </row>
    <row r="874">
      <c r="A874" s="1">
        <v>49833.0</v>
      </c>
      <c r="B874" s="1">
        <v>16705.0</v>
      </c>
      <c r="C874" s="1">
        <v>1.617783286E9</v>
      </c>
      <c r="D874" s="1">
        <v>4.0</v>
      </c>
      <c r="E874" s="1" t="b">
        <v>0</v>
      </c>
      <c r="F874" s="1" t="s">
        <v>14843</v>
      </c>
    </row>
    <row r="875">
      <c r="A875" s="1">
        <v>49833.0</v>
      </c>
      <c r="B875" s="1">
        <v>7131.0</v>
      </c>
      <c r="C875" s="1">
        <v>1.611835581E9</v>
      </c>
      <c r="D875" s="1">
        <v>4.0</v>
      </c>
      <c r="E875" s="1" t="b">
        <v>0</v>
      </c>
      <c r="F875" s="1" t="s">
        <v>14844</v>
      </c>
    </row>
    <row r="876">
      <c r="A876" s="1">
        <v>49833.0</v>
      </c>
      <c r="B876" s="1">
        <v>18814.0</v>
      </c>
      <c r="C876" s="1">
        <v>1.622005443E9</v>
      </c>
      <c r="D876" s="1">
        <v>4.0</v>
      </c>
      <c r="E876" s="1" t="b">
        <v>0</v>
      </c>
      <c r="F876" s="1" t="s">
        <v>14845</v>
      </c>
    </row>
    <row r="877">
      <c r="A877" s="1">
        <v>49833.0</v>
      </c>
      <c r="B877" s="1">
        <v>17259.0</v>
      </c>
      <c r="C877" s="1">
        <v>1.619428012E9</v>
      </c>
      <c r="D877" s="1">
        <v>4.0</v>
      </c>
      <c r="E877" s="1" t="b">
        <v>0</v>
      </c>
      <c r="F877" s="1" t="s">
        <v>14846</v>
      </c>
    </row>
    <row r="878">
      <c r="A878" s="1">
        <v>49833.0</v>
      </c>
      <c r="B878" s="1">
        <v>7509.0</v>
      </c>
      <c r="C878" s="1">
        <v>1.611855433E9</v>
      </c>
      <c r="D878" s="1">
        <v>4.0</v>
      </c>
      <c r="E878" s="1" t="b">
        <v>0</v>
      </c>
      <c r="F878" s="1" t="s">
        <v>14847</v>
      </c>
    </row>
    <row r="879">
      <c r="A879" s="1">
        <v>49833.0</v>
      </c>
      <c r="B879" s="1">
        <v>7552.0</v>
      </c>
      <c r="C879" s="1">
        <v>1.611855425E9</v>
      </c>
      <c r="D879" s="1">
        <v>4.0</v>
      </c>
      <c r="E879" s="1" t="b">
        <v>0</v>
      </c>
      <c r="F879" s="1" t="s">
        <v>14848</v>
      </c>
    </row>
    <row r="880">
      <c r="A880" s="1">
        <v>49833.0</v>
      </c>
      <c r="B880" s="1">
        <v>6867.0</v>
      </c>
      <c r="C880" s="1">
        <v>1.611764343E9</v>
      </c>
      <c r="D880" s="1">
        <v>4.0</v>
      </c>
      <c r="E880" s="1" t="b">
        <v>0</v>
      </c>
      <c r="F880" s="1" t="s">
        <v>14849</v>
      </c>
    </row>
    <row r="881">
      <c r="A881" s="1">
        <v>49833.0</v>
      </c>
      <c r="B881" s="1">
        <v>10418.0</v>
      </c>
      <c r="C881" s="1">
        <v>1.612468185E9</v>
      </c>
      <c r="D881" s="1">
        <v>4.0</v>
      </c>
      <c r="E881" s="1" t="b">
        <v>0</v>
      </c>
      <c r="F881" s="1" t="s">
        <v>14850</v>
      </c>
    </row>
    <row r="882">
      <c r="A882" s="1">
        <v>49833.0</v>
      </c>
      <c r="B882" s="1">
        <v>6687.0</v>
      </c>
      <c r="C882" s="1">
        <v>1.611909897E9</v>
      </c>
      <c r="D882" s="1">
        <v>4.0</v>
      </c>
      <c r="E882" s="1" t="b">
        <v>0</v>
      </c>
      <c r="F882" s="1" t="s">
        <v>14851</v>
      </c>
    </row>
    <row r="883">
      <c r="A883" s="1">
        <v>49833.0</v>
      </c>
      <c r="B883" s="1">
        <v>7793.0</v>
      </c>
      <c r="C883" s="1">
        <v>1.611909913E9</v>
      </c>
      <c r="D883" s="1">
        <v>4.0</v>
      </c>
      <c r="E883" s="1" t="b">
        <v>0</v>
      </c>
      <c r="F883" s="1" t="s">
        <v>14852</v>
      </c>
    </row>
    <row r="884">
      <c r="A884" s="1">
        <v>49833.0</v>
      </c>
      <c r="B884" s="1">
        <v>7588.0</v>
      </c>
      <c r="C884" s="1">
        <v>1.611909914E9</v>
      </c>
      <c r="D884" s="1">
        <v>4.0</v>
      </c>
      <c r="E884" s="1" t="b">
        <v>0</v>
      </c>
      <c r="F884" s="1" t="s">
        <v>14853</v>
      </c>
    </row>
    <row r="885">
      <c r="A885" s="1">
        <v>49833.0</v>
      </c>
      <c r="B885" s="1">
        <v>7510.0</v>
      </c>
      <c r="C885" s="1">
        <v>1.611855423E9</v>
      </c>
      <c r="D885" s="1">
        <v>4.0</v>
      </c>
      <c r="E885" s="1" t="b">
        <v>0</v>
      </c>
      <c r="F885" s="1" t="s">
        <v>14854</v>
      </c>
    </row>
    <row r="886">
      <c r="A886" s="1">
        <v>49833.0</v>
      </c>
      <c r="B886" s="1">
        <v>7202.0</v>
      </c>
      <c r="C886" s="1">
        <v>1.611909915E9</v>
      </c>
      <c r="D886" s="1">
        <v>4.0</v>
      </c>
      <c r="E886" s="1" t="b">
        <v>0</v>
      </c>
      <c r="F886" s="1" t="s">
        <v>14855</v>
      </c>
    </row>
    <row r="887">
      <c r="A887" s="1">
        <v>49833.0</v>
      </c>
      <c r="B887" s="1">
        <v>7699.0</v>
      </c>
      <c r="C887" s="1">
        <v>1.611909921E9</v>
      </c>
      <c r="D887" s="1">
        <v>4.0</v>
      </c>
      <c r="E887" s="1" t="b">
        <v>0</v>
      </c>
      <c r="F887" s="1" t="s">
        <v>14856</v>
      </c>
    </row>
    <row r="888">
      <c r="A888" s="1">
        <v>49833.0</v>
      </c>
      <c r="B888" s="1">
        <v>7669.0</v>
      </c>
      <c r="C888" s="1">
        <v>1.611909928E9</v>
      </c>
      <c r="D888" s="1">
        <v>4.0</v>
      </c>
      <c r="E888" s="1" t="b">
        <v>0</v>
      </c>
      <c r="F888" s="1" t="s">
        <v>14857</v>
      </c>
    </row>
    <row r="889">
      <c r="A889" s="1">
        <v>49833.0</v>
      </c>
      <c r="B889" s="1">
        <v>7621.0</v>
      </c>
      <c r="C889" s="1">
        <v>1.611909997E9</v>
      </c>
      <c r="D889" s="1">
        <v>4.0</v>
      </c>
      <c r="E889" s="1" t="b">
        <v>0</v>
      </c>
      <c r="F889" s="1" t="s">
        <v>14858</v>
      </c>
    </row>
    <row r="890">
      <c r="A890" s="1">
        <v>49833.0</v>
      </c>
      <c r="B890" s="1">
        <v>1871.0</v>
      </c>
      <c r="C890" s="1">
        <v>1.607056789E9</v>
      </c>
      <c r="D890" s="1">
        <v>4.0</v>
      </c>
      <c r="E890" s="1" t="b">
        <v>0</v>
      </c>
      <c r="F890" s="1" t="s">
        <v>14859</v>
      </c>
    </row>
    <row r="891">
      <c r="A891" s="1">
        <v>49833.0</v>
      </c>
      <c r="B891" s="1">
        <v>7681.0</v>
      </c>
      <c r="C891" s="1">
        <v>1.611910002E9</v>
      </c>
      <c r="D891" s="1">
        <v>4.0</v>
      </c>
      <c r="E891" s="1" t="b">
        <v>0</v>
      </c>
      <c r="F891" s="1" t="s">
        <v>14860</v>
      </c>
    </row>
    <row r="892">
      <c r="A892" s="1">
        <v>49833.0</v>
      </c>
      <c r="B892" s="1">
        <v>19179.0</v>
      </c>
      <c r="C892" s="1">
        <v>1.622460964E9</v>
      </c>
      <c r="D892" s="1">
        <v>4.0</v>
      </c>
      <c r="E892" s="1" t="b">
        <v>0</v>
      </c>
      <c r="F892" s="1" t="s">
        <v>14861</v>
      </c>
    </row>
    <row r="893">
      <c r="A893" s="1">
        <v>49833.0</v>
      </c>
      <c r="B893" s="1">
        <v>16706.0</v>
      </c>
      <c r="C893" s="1">
        <v>1.617783283E9</v>
      </c>
      <c r="D893" s="1">
        <v>4.0</v>
      </c>
      <c r="E893" s="1" t="b">
        <v>0</v>
      </c>
      <c r="F893" s="1" t="s">
        <v>14862</v>
      </c>
    </row>
    <row r="894">
      <c r="A894" s="1">
        <v>49833.0</v>
      </c>
      <c r="B894" s="1">
        <v>16655.0</v>
      </c>
      <c r="C894" s="1">
        <v>1.617697924E9</v>
      </c>
      <c r="D894" s="1">
        <v>4.0</v>
      </c>
      <c r="E894" s="1" t="b">
        <v>0</v>
      </c>
      <c r="F894" s="1" t="s">
        <v>14863</v>
      </c>
    </row>
    <row r="895">
      <c r="A895" s="1">
        <v>49833.0</v>
      </c>
      <c r="B895" s="1">
        <v>11117.0</v>
      </c>
      <c r="C895" s="1">
        <v>1.6126903E9</v>
      </c>
      <c r="D895" s="1">
        <v>4.0</v>
      </c>
      <c r="E895" s="1" t="b">
        <v>0</v>
      </c>
      <c r="F895" s="1" t="s">
        <v>14864</v>
      </c>
    </row>
    <row r="896">
      <c r="A896" s="1">
        <v>49833.0</v>
      </c>
      <c r="B896" s="1">
        <v>18491.0</v>
      </c>
      <c r="C896" s="1">
        <v>1.621662513E9</v>
      </c>
      <c r="D896" s="1">
        <v>4.0</v>
      </c>
      <c r="E896" s="1" t="b">
        <v>0</v>
      </c>
      <c r="F896" s="1" t="s">
        <v>14865</v>
      </c>
    </row>
    <row r="897">
      <c r="A897" s="1">
        <v>49833.0</v>
      </c>
      <c r="B897" s="1">
        <v>7875.0</v>
      </c>
      <c r="C897" s="1">
        <v>1.611911857E9</v>
      </c>
      <c r="D897" s="1">
        <v>4.0</v>
      </c>
      <c r="E897" s="1" t="b">
        <v>0</v>
      </c>
      <c r="F897" s="1" t="s">
        <v>14866</v>
      </c>
    </row>
    <row r="898">
      <c r="A898" s="1">
        <v>49833.0</v>
      </c>
      <c r="B898" s="1">
        <v>7843.0</v>
      </c>
      <c r="C898" s="1">
        <v>1.61191188E9</v>
      </c>
      <c r="D898" s="1">
        <v>4.0</v>
      </c>
      <c r="E898" s="1" t="b">
        <v>0</v>
      </c>
      <c r="F898" s="1" t="s">
        <v>14867</v>
      </c>
    </row>
    <row r="899">
      <c r="A899" s="1">
        <v>49833.0</v>
      </c>
      <c r="B899" s="1">
        <v>7877.0</v>
      </c>
      <c r="C899" s="1">
        <v>1.611918734E9</v>
      </c>
      <c r="D899" s="1">
        <v>4.0</v>
      </c>
      <c r="E899" s="1" t="b">
        <v>0</v>
      </c>
      <c r="F899" s="1" t="s">
        <v>14868</v>
      </c>
    </row>
    <row r="900">
      <c r="A900" s="1">
        <v>49833.0</v>
      </c>
      <c r="B900" s="1">
        <v>6862.0</v>
      </c>
      <c r="C900" s="1">
        <v>1.611764353E9</v>
      </c>
      <c r="D900" s="1">
        <v>4.0</v>
      </c>
      <c r="E900" s="1" t="b">
        <v>0</v>
      </c>
      <c r="F900" s="1" t="s">
        <v>14869</v>
      </c>
    </row>
    <row r="901">
      <c r="A901" s="1">
        <v>49833.0</v>
      </c>
      <c r="B901" s="1">
        <v>6500.0</v>
      </c>
      <c r="C901" s="1">
        <v>1.611686176E9</v>
      </c>
      <c r="D901" s="1">
        <v>4.0</v>
      </c>
      <c r="E901" s="1" t="b">
        <v>0</v>
      </c>
      <c r="F901" s="1" t="s">
        <v>14870</v>
      </c>
    </row>
    <row r="902">
      <c r="A902" s="1">
        <v>49833.0</v>
      </c>
      <c r="B902" s="1">
        <v>10690.0</v>
      </c>
      <c r="C902" s="1">
        <v>1.612545499E9</v>
      </c>
      <c r="D902" s="1">
        <v>4.0</v>
      </c>
      <c r="E902" s="1" t="b">
        <v>0</v>
      </c>
      <c r="F902" s="1" t="s">
        <v>14871</v>
      </c>
    </row>
    <row r="903">
      <c r="A903" s="1">
        <v>49833.0</v>
      </c>
      <c r="B903" s="1">
        <v>17419.0</v>
      </c>
      <c r="C903" s="1">
        <v>1.619779125E9</v>
      </c>
      <c r="D903" s="1">
        <v>4.0</v>
      </c>
      <c r="E903" s="1" t="b">
        <v>0</v>
      </c>
      <c r="F903" s="1" t="s">
        <v>14872</v>
      </c>
    </row>
    <row r="904">
      <c r="A904" s="1">
        <v>49833.0</v>
      </c>
      <c r="B904" s="1">
        <v>7332.0</v>
      </c>
      <c r="C904" s="1">
        <v>1.611835583E9</v>
      </c>
      <c r="D904" s="1">
        <v>4.0</v>
      </c>
      <c r="E904" s="1" t="b">
        <v>0</v>
      </c>
      <c r="F904" s="1" t="s">
        <v>14873</v>
      </c>
    </row>
    <row r="905">
      <c r="A905" s="1">
        <v>49833.0</v>
      </c>
      <c r="B905" s="1">
        <v>6977.0</v>
      </c>
      <c r="C905" s="1">
        <v>1.611764348E9</v>
      </c>
      <c r="D905" s="1">
        <v>4.0</v>
      </c>
      <c r="E905" s="1" t="b">
        <v>0</v>
      </c>
      <c r="F905" s="1" t="s">
        <v>14874</v>
      </c>
    </row>
    <row r="906">
      <c r="A906" s="1">
        <v>49833.0</v>
      </c>
      <c r="B906" s="1">
        <v>6907.0</v>
      </c>
      <c r="C906" s="1">
        <v>1.611764352E9</v>
      </c>
      <c r="D906" s="1">
        <v>4.0</v>
      </c>
      <c r="E906" s="1" t="b">
        <v>0</v>
      </c>
      <c r="F906" s="1" t="s">
        <v>14875</v>
      </c>
    </row>
    <row r="907">
      <c r="A907" s="1">
        <v>49833.0</v>
      </c>
      <c r="B907" s="1">
        <v>7153.0</v>
      </c>
      <c r="C907" s="1">
        <v>1.611835586E9</v>
      </c>
      <c r="D907" s="1">
        <v>4.0</v>
      </c>
      <c r="E907" s="1" t="b">
        <v>0</v>
      </c>
      <c r="F907" s="1" t="s">
        <v>14876</v>
      </c>
    </row>
    <row r="908">
      <c r="A908" s="1">
        <v>49833.0</v>
      </c>
      <c r="B908" s="1">
        <v>7423.0</v>
      </c>
      <c r="C908" s="1">
        <v>1.611837873E9</v>
      </c>
      <c r="D908" s="1">
        <v>4.0</v>
      </c>
      <c r="E908" s="1" t="b">
        <v>0</v>
      </c>
      <c r="F908" s="1" t="s">
        <v>14877</v>
      </c>
    </row>
    <row r="909">
      <c r="A909" s="1">
        <v>49833.0</v>
      </c>
      <c r="B909" s="1">
        <v>16447.0</v>
      </c>
      <c r="C909" s="1">
        <v>1.616597354E9</v>
      </c>
      <c r="D909" s="1">
        <v>4.0</v>
      </c>
      <c r="E909" s="1" t="b">
        <v>0</v>
      </c>
      <c r="F909" s="1" t="s">
        <v>14878</v>
      </c>
    </row>
    <row r="910">
      <c r="A910" s="1">
        <v>49833.0</v>
      </c>
      <c r="B910" s="1">
        <v>6790.0</v>
      </c>
      <c r="C910" s="1">
        <v>1.611764344E9</v>
      </c>
      <c r="D910" s="1">
        <v>4.0</v>
      </c>
      <c r="E910" s="1" t="b">
        <v>0</v>
      </c>
      <c r="F910" s="1" t="s">
        <v>14879</v>
      </c>
    </row>
    <row r="911">
      <c r="A911" s="1">
        <v>49833.0</v>
      </c>
      <c r="B911" s="1">
        <v>10903.0</v>
      </c>
      <c r="C911" s="1">
        <v>1.612621841E9</v>
      </c>
      <c r="D911" s="1">
        <v>4.0</v>
      </c>
      <c r="E911" s="1" t="b">
        <v>0</v>
      </c>
      <c r="F911" s="1" t="s">
        <v>14880</v>
      </c>
    </row>
    <row r="912">
      <c r="A912" s="1">
        <v>49833.0</v>
      </c>
      <c r="B912" s="1">
        <v>7806.0</v>
      </c>
      <c r="C912" s="1">
        <v>1.6119099E9</v>
      </c>
      <c r="D912" s="1">
        <v>4.0</v>
      </c>
      <c r="E912" s="1" t="b">
        <v>0</v>
      </c>
      <c r="F912" s="1" t="s">
        <v>14881</v>
      </c>
    </row>
    <row r="913">
      <c r="A913" s="1">
        <v>49833.0</v>
      </c>
      <c r="B913" s="1">
        <v>7761.0</v>
      </c>
      <c r="C913" s="1">
        <v>1.611909923E9</v>
      </c>
      <c r="D913" s="1">
        <v>4.0</v>
      </c>
      <c r="E913" s="1" t="b">
        <v>0</v>
      </c>
      <c r="F913" s="1" t="s">
        <v>14882</v>
      </c>
    </row>
    <row r="914">
      <c r="A914" s="1">
        <v>49833.0</v>
      </c>
      <c r="B914" s="1">
        <v>16444.0</v>
      </c>
      <c r="C914" s="1">
        <v>1.616597345E9</v>
      </c>
      <c r="D914" s="1">
        <v>4.0</v>
      </c>
      <c r="E914" s="1" t="b">
        <v>0</v>
      </c>
      <c r="F914" s="1" t="s">
        <v>14883</v>
      </c>
    </row>
    <row r="915">
      <c r="A915" s="1">
        <v>49833.0</v>
      </c>
      <c r="B915" s="1">
        <v>4997.0</v>
      </c>
      <c r="C915" s="1">
        <v>1.611304208E9</v>
      </c>
      <c r="D915" s="1">
        <v>4.0</v>
      </c>
      <c r="E915" s="1" t="b">
        <v>0</v>
      </c>
      <c r="F915" s="1" t="s">
        <v>14884</v>
      </c>
    </row>
    <row r="916">
      <c r="A916" s="1">
        <v>49833.0</v>
      </c>
      <c r="B916" s="1">
        <v>7616.0</v>
      </c>
      <c r="C916" s="1">
        <v>1.611911863E9</v>
      </c>
      <c r="D916" s="1">
        <v>4.0</v>
      </c>
      <c r="E916" s="1" t="b">
        <v>0</v>
      </c>
      <c r="F916" s="1" t="s">
        <v>14885</v>
      </c>
    </row>
    <row r="917">
      <c r="A917" s="1">
        <v>49833.0</v>
      </c>
      <c r="B917" s="1">
        <v>7853.0</v>
      </c>
      <c r="C917" s="1">
        <v>1.611911858E9</v>
      </c>
      <c r="D917" s="1">
        <v>4.0</v>
      </c>
      <c r="E917" s="1" t="b">
        <v>0</v>
      </c>
      <c r="F917" s="1" t="s">
        <v>14886</v>
      </c>
    </row>
    <row r="918">
      <c r="A918" s="1">
        <v>49833.0</v>
      </c>
      <c r="B918" s="1">
        <v>7586.0</v>
      </c>
      <c r="C918" s="1">
        <v>1.61191186E9</v>
      </c>
      <c r="D918" s="1">
        <v>4.0</v>
      </c>
      <c r="E918" s="1" t="b">
        <v>0</v>
      </c>
      <c r="F918" s="1" t="s">
        <v>14887</v>
      </c>
    </row>
    <row r="919">
      <c r="A919" s="1">
        <v>49833.0</v>
      </c>
      <c r="B919" s="1">
        <v>7625.0</v>
      </c>
      <c r="C919" s="1">
        <v>1.611911864E9</v>
      </c>
      <c r="D919" s="1">
        <v>4.0</v>
      </c>
      <c r="E919" s="1" t="b">
        <v>0</v>
      </c>
      <c r="F919" s="1" t="s">
        <v>14888</v>
      </c>
    </row>
    <row r="920">
      <c r="A920" s="1">
        <v>49833.0</v>
      </c>
      <c r="B920" s="1">
        <v>7716.0</v>
      </c>
      <c r="C920" s="1">
        <v>1.611911866E9</v>
      </c>
      <c r="D920" s="1">
        <v>4.0</v>
      </c>
      <c r="E920" s="1" t="b">
        <v>0</v>
      </c>
      <c r="F920" s="1" t="s">
        <v>14889</v>
      </c>
    </row>
    <row r="921">
      <c r="A921" s="1">
        <v>49833.0</v>
      </c>
      <c r="B921" s="1">
        <v>7494.0</v>
      </c>
      <c r="C921" s="1">
        <v>1.611855426E9</v>
      </c>
      <c r="D921" s="1">
        <v>4.0</v>
      </c>
      <c r="E921" s="1" t="b">
        <v>0</v>
      </c>
      <c r="F921" s="1" t="s">
        <v>14890</v>
      </c>
    </row>
    <row r="922">
      <c r="A922" s="1">
        <v>49833.0</v>
      </c>
      <c r="B922" s="1">
        <v>16439.0</v>
      </c>
      <c r="C922" s="1">
        <v>1.616597338E9</v>
      </c>
      <c r="D922" s="1">
        <v>4.0</v>
      </c>
      <c r="E922" s="1" t="b">
        <v>0</v>
      </c>
      <c r="F922" s="1" t="s">
        <v>14891</v>
      </c>
    </row>
    <row r="923">
      <c r="A923" s="1">
        <v>49833.0</v>
      </c>
      <c r="B923" s="1">
        <v>12463.0</v>
      </c>
      <c r="C923" s="1">
        <v>1.613013019E9</v>
      </c>
      <c r="D923" s="1">
        <v>4.0</v>
      </c>
      <c r="E923" s="1" t="b">
        <v>0</v>
      </c>
      <c r="F923" s="1" t="s">
        <v>14892</v>
      </c>
    </row>
    <row r="924">
      <c r="A924" s="1">
        <v>49833.0</v>
      </c>
      <c r="B924" s="1">
        <v>7720.0</v>
      </c>
      <c r="C924" s="1">
        <v>1.611911867E9</v>
      </c>
      <c r="D924" s="1">
        <v>4.0</v>
      </c>
      <c r="E924" s="1" t="b">
        <v>0</v>
      </c>
      <c r="F924" s="1" t="s">
        <v>14893</v>
      </c>
    </row>
    <row r="925">
      <c r="A925" s="1">
        <v>49833.0</v>
      </c>
      <c r="B925" s="1">
        <v>7600.0</v>
      </c>
      <c r="C925" s="1">
        <v>1.611911873E9</v>
      </c>
      <c r="D925" s="1">
        <v>4.0</v>
      </c>
      <c r="E925" s="1" t="b">
        <v>0</v>
      </c>
      <c r="F925" s="1" t="s">
        <v>14894</v>
      </c>
    </row>
    <row r="926">
      <c r="A926" s="1">
        <v>49833.0</v>
      </c>
      <c r="B926" s="1">
        <v>4987.0</v>
      </c>
      <c r="C926" s="1">
        <v>1.611294955E9</v>
      </c>
      <c r="D926" s="1">
        <v>4.0</v>
      </c>
      <c r="E926" s="1" t="b">
        <v>0</v>
      </c>
      <c r="F926" s="1" t="s">
        <v>14895</v>
      </c>
    </row>
    <row r="927">
      <c r="A927" s="1">
        <v>49833.0</v>
      </c>
      <c r="B927" s="1">
        <v>7577.0</v>
      </c>
      <c r="C927" s="1">
        <v>1.611856227E9</v>
      </c>
      <c r="D927" s="1">
        <v>4.0</v>
      </c>
      <c r="E927" s="1" t="b">
        <v>0</v>
      </c>
      <c r="F927" s="1" t="s">
        <v>14896</v>
      </c>
    </row>
    <row r="928">
      <c r="A928" s="1">
        <v>49833.0</v>
      </c>
      <c r="B928" s="1">
        <v>7572.0</v>
      </c>
      <c r="C928" s="1">
        <v>1.61185623E9</v>
      </c>
      <c r="D928" s="1">
        <v>4.0</v>
      </c>
      <c r="E928" s="1" t="b">
        <v>0</v>
      </c>
      <c r="F928" s="1" t="s">
        <v>14897</v>
      </c>
    </row>
    <row r="929">
      <c r="A929" s="1">
        <v>49833.0</v>
      </c>
      <c r="B929" s="1">
        <v>16440.0</v>
      </c>
      <c r="C929" s="1">
        <v>1.61659733E9</v>
      </c>
      <c r="D929" s="1">
        <v>4.0</v>
      </c>
      <c r="E929" s="1" t="b">
        <v>0</v>
      </c>
      <c r="F929" s="1" t="s">
        <v>14898</v>
      </c>
    </row>
    <row r="930">
      <c r="A930" s="1">
        <v>49833.0</v>
      </c>
      <c r="B930" s="1">
        <v>16437.0</v>
      </c>
      <c r="C930" s="1">
        <v>1.61659732E9</v>
      </c>
      <c r="D930" s="1">
        <v>4.0</v>
      </c>
      <c r="E930" s="1" t="b">
        <v>0</v>
      </c>
      <c r="F930" s="1" t="s">
        <v>14899</v>
      </c>
    </row>
    <row r="931">
      <c r="A931" s="1">
        <v>49833.0</v>
      </c>
      <c r="B931" s="1">
        <v>16436.0</v>
      </c>
      <c r="C931" s="1">
        <v>1.616570058E9</v>
      </c>
      <c r="D931" s="1">
        <v>4.0</v>
      </c>
      <c r="E931" s="1" t="b">
        <v>0</v>
      </c>
      <c r="F931" s="1" t="s">
        <v>14900</v>
      </c>
    </row>
    <row r="932">
      <c r="A932" s="1">
        <v>49833.0</v>
      </c>
      <c r="B932" s="1">
        <v>18815.0</v>
      </c>
      <c r="C932" s="1">
        <v>1.622005495E9</v>
      </c>
      <c r="D932" s="1">
        <v>4.0</v>
      </c>
      <c r="E932" s="1" t="b">
        <v>0</v>
      </c>
      <c r="F932" s="1" t="s">
        <v>14901</v>
      </c>
    </row>
    <row r="933">
      <c r="A933" s="1">
        <v>49833.0</v>
      </c>
      <c r="B933" s="1">
        <v>6896.0</v>
      </c>
      <c r="C933" s="1">
        <v>1.611750841E9</v>
      </c>
      <c r="D933" s="1">
        <v>4.0</v>
      </c>
      <c r="E933" s="1" t="b">
        <v>0</v>
      </c>
      <c r="F933" s="1" t="s">
        <v>14902</v>
      </c>
    </row>
    <row r="934">
      <c r="A934" s="1">
        <v>49833.0</v>
      </c>
      <c r="B934" s="1">
        <v>7075.0</v>
      </c>
      <c r="C934" s="1">
        <v>1.611835585E9</v>
      </c>
      <c r="D934" s="1">
        <v>4.0</v>
      </c>
      <c r="E934" s="1" t="b">
        <v>0</v>
      </c>
      <c r="F934" s="1" t="s">
        <v>14696</v>
      </c>
    </row>
    <row r="935">
      <c r="A935" s="1">
        <v>49833.0</v>
      </c>
      <c r="B935" s="1">
        <v>5421.0</v>
      </c>
      <c r="C935" s="1">
        <v>1.611404407E9</v>
      </c>
      <c r="D935" s="1">
        <v>4.0</v>
      </c>
      <c r="E935" s="1" t="b">
        <v>0</v>
      </c>
      <c r="F935" s="1" t="s">
        <v>14903</v>
      </c>
    </row>
    <row r="936">
      <c r="A936" s="1">
        <v>49833.0</v>
      </c>
      <c r="B936" s="1">
        <v>16421.0</v>
      </c>
      <c r="C936" s="1">
        <v>1.616570045E9</v>
      </c>
      <c r="D936" s="1">
        <v>4.0</v>
      </c>
      <c r="E936" s="1" t="b">
        <v>0</v>
      </c>
      <c r="F936" s="1" t="s">
        <v>14904</v>
      </c>
    </row>
    <row r="937">
      <c r="A937" s="1">
        <v>49833.0</v>
      </c>
      <c r="B937" s="1">
        <v>13127.0</v>
      </c>
      <c r="C937" s="1">
        <v>1.613206211E9</v>
      </c>
      <c r="D937" s="1">
        <v>4.0</v>
      </c>
      <c r="E937" s="1" t="b">
        <v>0</v>
      </c>
      <c r="F937" s="1" t="s">
        <v>14905</v>
      </c>
    </row>
    <row r="938">
      <c r="A938" s="1">
        <v>49833.0</v>
      </c>
      <c r="B938" s="1">
        <v>20443.0</v>
      </c>
      <c r="C938" s="1">
        <v>1.624372527E9</v>
      </c>
      <c r="D938" s="1">
        <v>4.0</v>
      </c>
      <c r="E938" s="1" t="b">
        <v>0</v>
      </c>
      <c r="F938" s="1" t="s">
        <v>14906</v>
      </c>
    </row>
    <row r="939">
      <c r="A939" s="1">
        <v>49833.0</v>
      </c>
      <c r="B939" s="1">
        <v>7053.0</v>
      </c>
      <c r="C939" s="1">
        <v>1.611835587E9</v>
      </c>
      <c r="D939" s="1">
        <v>4.0</v>
      </c>
      <c r="E939" s="1" t="b">
        <v>0</v>
      </c>
      <c r="F939" s="1" t="s">
        <v>14907</v>
      </c>
    </row>
    <row r="940">
      <c r="A940" s="1">
        <v>49833.0</v>
      </c>
      <c r="B940" s="1">
        <v>6777.0</v>
      </c>
      <c r="C940" s="1">
        <v>1.611764331E9</v>
      </c>
      <c r="D940" s="1">
        <v>4.0</v>
      </c>
      <c r="E940" s="1" t="b">
        <v>0</v>
      </c>
      <c r="F940" s="1" t="s">
        <v>14908</v>
      </c>
    </row>
    <row r="941">
      <c r="A941" s="1">
        <v>49833.0</v>
      </c>
      <c r="B941" s="1">
        <v>6874.0</v>
      </c>
      <c r="C941" s="1">
        <v>1.61176435E9</v>
      </c>
      <c r="D941" s="1">
        <v>4.0</v>
      </c>
      <c r="E941" s="1" t="b">
        <v>0</v>
      </c>
      <c r="F941" s="1" t="s">
        <v>14909</v>
      </c>
    </row>
    <row r="942">
      <c r="A942" s="1">
        <v>49833.0</v>
      </c>
      <c r="B942" s="1">
        <v>16403.0</v>
      </c>
      <c r="C942" s="1">
        <v>1.616492634E9</v>
      </c>
      <c r="D942" s="1">
        <v>4.0</v>
      </c>
      <c r="E942" s="1" t="b">
        <v>0</v>
      </c>
      <c r="F942" s="1" t="s">
        <v>14910</v>
      </c>
    </row>
    <row r="943">
      <c r="A943" s="1">
        <v>49833.0</v>
      </c>
      <c r="B943" s="1">
        <v>16702.0</v>
      </c>
      <c r="C943" s="1">
        <v>1.617783281E9</v>
      </c>
      <c r="D943" s="1">
        <v>4.0</v>
      </c>
      <c r="E943" s="1" t="b">
        <v>0</v>
      </c>
      <c r="F943" s="1" t="s">
        <v>14911</v>
      </c>
    </row>
    <row r="944">
      <c r="A944" s="1">
        <v>49833.0</v>
      </c>
      <c r="B944" s="1">
        <v>1338.0</v>
      </c>
      <c r="C944" s="1">
        <v>1.606882458E9</v>
      </c>
      <c r="D944" s="1">
        <v>1.0</v>
      </c>
      <c r="E944" s="1" t="b">
        <v>1</v>
      </c>
      <c r="F944" s="1" t="s">
        <v>14912</v>
      </c>
    </row>
    <row r="945">
      <c r="A945" s="1">
        <v>49833.0</v>
      </c>
      <c r="B945" s="1">
        <v>16449.0</v>
      </c>
      <c r="C945" s="1">
        <v>1.616852603E9</v>
      </c>
      <c r="D945" s="1">
        <v>4.0</v>
      </c>
      <c r="E945" s="1" t="b">
        <v>0</v>
      </c>
      <c r="F945" s="1" t="s">
        <v>14913</v>
      </c>
    </row>
    <row r="946">
      <c r="A946" s="1">
        <v>49833.0</v>
      </c>
      <c r="B946" s="1">
        <v>7782.0</v>
      </c>
      <c r="C946" s="1">
        <v>1.611909964E9</v>
      </c>
      <c r="D946" s="1">
        <v>4.0</v>
      </c>
      <c r="E946" s="1" t="b">
        <v>0</v>
      </c>
      <c r="F946" s="1" t="s">
        <v>14914</v>
      </c>
    </row>
    <row r="947">
      <c r="A947" s="1">
        <v>49833.0</v>
      </c>
      <c r="B947" s="1">
        <v>8137.0</v>
      </c>
      <c r="C947" s="1">
        <v>1.611999186E9</v>
      </c>
      <c r="D947" s="1">
        <v>4.0</v>
      </c>
      <c r="E947" s="1" t="b">
        <v>0</v>
      </c>
      <c r="F947" s="1" t="s">
        <v>14915</v>
      </c>
    </row>
    <row r="948">
      <c r="A948" s="1">
        <v>49833.0</v>
      </c>
      <c r="B948" s="1">
        <v>16459.0</v>
      </c>
      <c r="C948" s="1">
        <v>1.616852601E9</v>
      </c>
      <c r="D948" s="1">
        <v>4.0</v>
      </c>
      <c r="E948" s="1" t="b">
        <v>0</v>
      </c>
      <c r="F948" s="1" t="s">
        <v>14916</v>
      </c>
    </row>
    <row r="949">
      <c r="A949" s="1">
        <v>49833.0</v>
      </c>
      <c r="B949" s="1">
        <v>2789.0</v>
      </c>
      <c r="C949" s="1">
        <v>1.609299528E9</v>
      </c>
      <c r="D949" s="1">
        <v>4.0</v>
      </c>
      <c r="E949" s="1" t="b">
        <v>0</v>
      </c>
      <c r="F949" s="1" t="s">
        <v>14917</v>
      </c>
    </row>
    <row r="950">
      <c r="A950" s="1">
        <v>49833.0</v>
      </c>
      <c r="B950" s="1">
        <v>7472.0</v>
      </c>
      <c r="C950" s="1">
        <v>1.61185543E9</v>
      </c>
      <c r="D950" s="1">
        <v>4.0</v>
      </c>
      <c r="E950" s="1" t="b">
        <v>0</v>
      </c>
      <c r="F950" s="1" t="s">
        <v>14918</v>
      </c>
    </row>
    <row r="951">
      <c r="A951" s="1">
        <v>49833.0</v>
      </c>
      <c r="B951" s="1">
        <v>5357.0</v>
      </c>
      <c r="C951" s="1">
        <v>1.611855432E9</v>
      </c>
      <c r="D951" s="1">
        <v>4.0</v>
      </c>
      <c r="E951" s="1" t="b">
        <v>0</v>
      </c>
      <c r="F951" s="1" t="s">
        <v>14554</v>
      </c>
    </row>
    <row r="952">
      <c r="A952" s="1">
        <v>49833.0</v>
      </c>
      <c r="B952" s="1">
        <v>7739.0</v>
      </c>
      <c r="C952" s="1">
        <v>1.61190991E9</v>
      </c>
      <c r="D952" s="1">
        <v>4.0</v>
      </c>
      <c r="E952" s="1" t="b">
        <v>0</v>
      </c>
      <c r="F952" s="1" t="s">
        <v>14919</v>
      </c>
    </row>
    <row r="953">
      <c r="A953" s="1">
        <v>49833.0</v>
      </c>
      <c r="B953" s="1">
        <v>16384.0</v>
      </c>
      <c r="C953" s="1">
        <v>1.616492582E9</v>
      </c>
      <c r="D953" s="1">
        <v>4.0</v>
      </c>
      <c r="E953" s="1" t="b">
        <v>0</v>
      </c>
      <c r="F953" s="1" t="s">
        <v>14920</v>
      </c>
    </row>
    <row r="954">
      <c r="A954" s="1">
        <v>49833.0</v>
      </c>
      <c r="B954" s="1">
        <v>16392.0</v>
      </c>
      <c r="C954" s="1">
        <v>1.616492614E9</v>
      </c>
      <c r="D954" s="1">
        <v>4.0</v>
      </c>
      <c r="E954" s="1" t="b">
        <v>0</v>
      </c>
      <c r="F954" s="1" t="s">
        <v>14921</v>
      </c>
    </row>
    <row r="955">
      <c r="A955" s="1">
        <v>49833.0</v>
      </c>
      <c r="B955" s="1">
        <v>7599.0</v>
      </c>
      <c r="C955" s="1">
        <v>1.611909925E9</v>
      </c>
      <c r="D955" s="1">
        <v>4.0</v>
      </c>
      <c r="E955" s="1" t="b">
        <v>0</v>
      </c>
      <c r="F955" s="1" t="s">
        <v>14922</v>
      </c>
    </row>
    <row r="956">
      <c r="A956" s="1">
        <v>49833.0</v>
      </c>
      <c r="B956" s="1">
        <v>7592.0</v>
      </c>
      <c r="C956" s="1">
        <v>1.611909928E9</v>
      </c>
      <c r="D956" s="1">
        <v>4.0</v>
      </c>
      <c r="E956" s="1" t="b">
        <v>0</v>
      </c>
      <c r="F956" s="1" t="s">
        <v>14923</v>
      </c>
    </row>
    <row r="957">
      <c r="A957" s="1">
        <v>49833.0</v>
      </c>
      <c r="B957" s="1">
        <v>7772.0</v>
      </c>
      <c r="C957" s="1">
        <v>1.611909943E9</v>
      </c>
      <c r="D957" s="1">
        <v>4.0</v>
      </c>
      <c r="E957" s="1" t="b">
        <v>0</v>
      </c>
      <c r="F957" s="1" t="s">
        <v>14924</v>
      </c>
    </row>
    <row r="958">
      <c r="A958" s="1">
        <v>49833.0</v>
      </c>
      <c r="B958" s="1">
        <v>16388.0</v>
      </c>
      <c r="C958" s="1">
        <v>1.616487049E9</v>
      </c>
      <c r="D958" s="1">
        <v>4.0</v>
      </c>
      <c r="E958" s="1" t="b">
        <v>0</v>
      </c>
      <c r="F958" s="1" t="s">
        <v>14925</v>
      </c>
    </row>
    <row r="959">
      <c r="A959" s="1">
        <v>49833.0</v>
      </c>
      <c r="B959" s="1">
        <v>16383.0</v>
      </c>
      <c r="C959" s="1">
        <v>1.616407286E9</v>
      </c>
      <c r="D959" s="1">
        <v>4.0</v>
      </c>
      <c r="E959" s="1" t="b">
        <v>0</v>
      </c>
      <c r="F959" s="1" t="s">
        <v>14926</v>
      </c>
    </row>
    <row r="960">
      <c r="A960" s="1">
        <v>49833.0</v>
      </c>
      <c r="B960" s="1">
        <v>16380.0</v>
      </c>
      <c r="C960" s="1">
        <v>1.616407278E9</v>
      </c>
      <c r="D960" s="1">
        <v>4.0</v>
      </c>
      <c r="E960" s="1" t="b">
        <v>0</v>
      </c>
      <c r="F960" s="1" t="s">
        <v>14927</v>
      </c>
    </row>
    <row r="961">
      <c r="A961" s="1">
        <v>49833.0</v>
      </c>
      <c r="B961" s="1">
        <v>16381.0</v>
      </c>
      <c r="C961" s="1">
        <v>1.616406228E9</v>
      </c>
      <c r="D961" s="1">
        <v>4.0</v>
      </c>
      <c r="E961" s="1" t="b">
        <v>0</v>
      </c>
      <c r="F961" s="1" t="s">
        <v>14928</v>
      </c>
    </row>
    <row r="962">
      <c r="A962" s="1">
        <v>49833.0</v>
      </c>
      <c r="B962" s="1">
        <v>16382.0</v>
      </c>
      <c r="C962" s="1">
        <v>1.616406209E9</v>
      </c>
      <c r="D962" s="1">
        <v>4.0</v>
      </c>
      <c r="E962" s="1" t="b">
        <v>0</v>
      </c>
      <c r="F962" s="1" t="s">
        <v>14929</v>
      </c>
    </row>
    <row r="963">
      <c r="A963" s="1">
        <v>49833.0</v>
      </c>
      <c r="B963" s="1">
        <v>16379.0</v>
      </c>
      <c r="C963" s="1">
        <v>1.616406206E9</v>
      </c>
      <c r="D963" s="1">
        <v>4.0</v>
      </c>
      <c r="E963" s="1" t="b">
        <v>0</v>
      </c>
      <c r="F963" s="1" t="s">
        <v>14916</v>
      </c>
    </row>
    <row r="964">
      <c r="A964" s="1">
        <v>49833.0</v>
      </c>
      <c r="B964" s="1">
        <v>7726.0</v>
      </c>
      <c r="C964" s="1">
        <v>1.611910018E9</v>
      </c>
      <c r="D964" s="1">
        <v>4.0</v>
      </c>
      <c r="E964" s="1" t="b">
        <v>0</v>
      </c>
      <c r="F964" s="1" t="s">
        <v>14930</v>
      </c>
    </row>
    <row r="965">
      <c r="A965" s="1">
        <v>49833.0</v>
      </c>
      <c r="B965" s="1">
        <v>3478.0</v>
      </c>
      <c r="C965" s="1">
        <v>1.610554205E9</v>
      </c>
      <c r="D965" s="1">
        <v>4.0</v>
      </c>
      <c r="E965" s="1" t="b">
        <v>0</v>
      </c>
      <c r="F965" s="1" t="s">
        <v>14562</v>
      </c>
    </row>
    <row r="966">
      <c r="A966" s="1">
        <v>49833.0</v>
      </c>
      <c r="B966" s="1">
        <v>7836.0</v>
      </c>
      <c r="C966" s="1">
        <v>1.611911856E9</v>
      </c>
      <c r="D966" s="1">
        <v>4.0</v>
      </c>
      <c r="E966" s="1" t="b">
        <v>0</v>
      </c>
      <c r="F966" s="1" t="s">
        <v>14931</v>
      </c>
    </row>
    <row r="967">
      <c r="A967" s="1">
        <v>49833.0</v>
      </c>
      <c r="B967" s="1">
        <v>7818.0</v>
      </c>
      <c r="C967" s="1">
        <v>1.611911869E9</v>
      </c>
      <c r="D967" s="1">
        <v>4.0</v>
      </c>
      <c r="E967" s="1" t="b">
        <v>0</v>
      </c>
      <c r="F967" s="1" t="s">
        <v>14932</v>
      </c>
    </row>
    <row r="968">
      <c r="A968" s="1">
        <v>49833.0</v>
      </c>
      <c r="B968" s="1">
        <v>7477.0</v>
      </c>
      <c r="C968" s="1">
        <v>1.611855422E9</v>
      </c>
      <c r="D968" s="1">
        <v>4.0</v>
      </c>
      <c r="E968" s="1" t="b">
        <v>0</v>
      </c>
      <c r="F968" s="1" t="s">
        <v>14933</v>
      </c>
    </row>
    <row r="969">
      <c r="A969" s="1">
        <v>49833.0</v>
      </c>
      <c r="B969" s="1">
        <v>7838.0</v>
      </c>
      <c r="C969" s="1">
        <v>1.61191187E9</v>
      </c>
      <c r="D969" s="1">
        <v>4.0</v>
      </c>
      <c r="E969" s="1" t="b">
        <v>0</v>
      </c>
      <c r="F969" s="1" t="s">
        <v>14934</v>
      </c>
    </row>
    <row r="970">
      <c r="A970" s="1">
        <v>49833.0</v>
      </c>
      <c r="B970" s="1">
        <v>7845.0</v>
      </c>
      <c r="C970" s="1">
        <v>1.611911872E9</v>
      </c>
      <c r="D970" s="1">
        <v>4.0</v>
      </c>
      <c r="E970" s="1" t="b">
        <v>0</v>
      </c>
      <c r="F970" s="1" t="s">
        <v>14935</v>
      </c>
    </row>
    <row r="971">
      <c r="A971" s="1">
        <v>49833.0</v>
      </c>
      <c r="B971" s="1">
        <v>7854.0</v>
      </c>
      <c r="C971" s="1">
        <v>1.611911874E9</v>
      </c>
      <c r="D971" s="1">
        <v>4.0</v>
      </c>
      <c r="E971" s="1" t="b">
        <v>0</v>
      </c>
      <c r="F971" s="1" t="s">
        <v>14936</v>
      </c>
    </row>
    <row r="972">
      <c r="A972" s="1">
        <v>49833.0</v>
      </c>
      <c r="B972" s="1">
        <v>7729.0</v>
      </c>
      <c r="C972" s="1">
        <v>1.611911876E9</v>
      </c>
      <c r="D972" s="1">
        <v>4.0</v>
      </c>
      <c r="E972" s="1" t="b">
        <v>0</v>
      </c>
      <c r="F972" s="1" t="s">
        <v>14937</v>
      </c>
    </row>
    <row r="973">
      <c r="A973" s="1">
        <v>49833.0</v>
      </c>
      <c r="B973" s="1">
        <v>7721.0</v>
      </c>
      <c r="C973" s="1">
        <v>1.611917401E9</v>
      </c>
      <c r="D973" s="1">
        <v>4.0</v>
      </c>
      <c r="E973" s="1" t="b">
        <v>0</v>
      </c>
      <c r="F973" s="1" t="s">
        <v>14938</v>
      </c>
    </row>
    <row r="974">
      <c r="A974" s="1">
        <v>49833.0</v>
      </c>
      <c r="B974" s="1">
        <v>7887.0</v>
      </c>
      <c r="C974" s="1">
        <v>1.611918727E9</v>
      </c>
      <c r="D974" s="1">
        <v>4.0</v>
      </c>
      <c r="E974" s="1" t="b">
        <v>0</v>
      </c>
      <c r="F974" s="1" t="s">
        <v>14939</v>
      </c>
    </row>
    <row r="975">
      <c r="A975" s="1">
        <v>49833.0</v>
      </c>
      <c r="B975" s="1">
        <v>17376.0</v>
      </c>
      <c r="C975" s="1">
        <v>1.619779128E9</v>
      </c>
      <c r="D975" s="1">
        <v>4.0</v>
      </c>
      <c r="E975" s="1" t="b">
        <v>0</v>
      </c>
      <c r="F975" s="1" t="s">
        <v>14940</v>
      </c>
    </row>
    <row r="976">
      <c r="A976" s="1">
        <v>49833.0</v>
      </c>
      <c r="B976" s="1">
        <v>16322.0</v>
      </c>
      <c r="C976" s="1">
        <v>1.61632939E9</v>
      </c>
      <c r="D976" s="1">
        <v>4.0</v>
      </c>
      <c r="E976" s="1" t="b">
        <v>0</v>
      </c>
      <c r="F976" s="1" t="s">
        <v>14941</v>
      </c>
    </row>
    <row r="977">
      <c r="A977" s="1">
        <v>49833.0</v>
      </c>
      <c r="B977" s="1">
        <v>19658.0</v>
      </c>
      <c r="C977" s="1">
        <v>1.62354582E9</v>
      </c>
      <c r="D977" s="1">
        <v>4.0</v>
      </c>
      <c r="E977" s="1" t="b">
        <v>0</v>
      </c>
      <c r="F977" s="1" t="s">
        <v>14942</v>
      </c>
    </row>
    <row r="978">
      <c r="A978" s="1">
        <v>49833.0</v>
      </c>
      <c r="B978" s="1">
        <v>16486.0</v>
      </c>
      <c r="C978" s="1">
        <v>1.616852579E9</v>
      </c>
      <c r="D978" s="1">
        <v>4.0</v>
      </c>
      <c r="E978" s="1" t="b">
        <v>0</v>
      </c>
      <c r="F978" s="1" t="s">
        <v>14943</v>
      </c>
    </row>
    <row r="979">
      <c r="A979" s="1">
        <v>49833.0</v>
      </c>
      <c r="B979" s="1">
        <v>6595.0</v>
      </c>
      <c r="C979" s="1">
        <v>1.611686179E9</v>
      </c>
      <c r="D979" s="1">
        <v>4.0</v>
      </c>
      <c r="E979" s="1" t="b">
        <v>0</v>
      </c>
      <c r="F979" s="1" t="s">
        <v>14944</v>
      </c>
    </row>
    <row r="980">
      <c r="A980" s="1">
        <v>49833.0</v>
      </c>
      <c r="B980" s="1">
        <v>16314.0</v>
      </c>
      <c r="C980" s="1">
        <v>1.616492597E9</v>
      </c>
      <c r="D980" s="1">
        <v>4.0</v>
      </c>
      <c r="E980" s="1" t="b">
        <v>0</v>
      </c>
      <c r="F980" s="1" t="s">
        <v>14415</v>
      </c>
    </row>
    <row r="981">
      <c r="A981" s="1">
        <v>49833.0</v>
      </c>
      <c r="B981" s="1">
        <v>10898.0</v>
      </c>
      <c r="C981" s="1">
        <v>1.61262184E9</v>
      </c>
      <c r="D981" s="1">
        <v>4.0</v>
      </c>
      <c r="E981" s="1" t="b">
        <v>0</v>
      </c>
      <c r="F981" s="1" t="s">
        <v>14945</v>
      </c>
    </row>
    <row r="982">
      <c r="A982" s="1">
        <v>49833.0</v>
      </c>
      <c r="B982" s="1">
        <v>16298.0</v>
      </c>
      <c r="C982" s="1">
        <v>1.616144454E9</v>
      </c>
      <c r="D982" s="1">
        <v>4.0</v>
      </c>
      <c r="E982" s="1" t="b">
        <v>0</v>
      </c>
      <c r="F982" s="1" t="s">
        <v>14946</v>
      </c>
    </row>
    <row r="983">
      <c r="A983" s="1">
        <v>49833.0</v>
      </c>
      <c r="B983" s="1">
        <v>6371.0</v>
      </c>
      <c r="C983" s="1">
        <v>1.611764332E9</v>
      </c>
      <c r="D983" s="1">
        <v>4.0</v>
      </c>
      <c r="E983" s="1" t="b">
        <v>0</v>
      </c>
      <c r="F983" s="1" t="s">
        <v>14947</v>
      </c>
    </row>
    <row r="984">
      <c r="A984" s="1">
        <v>49833.0</v>
      </c>
      <c r="B984" s="1">
        <v>16313.0</v>
      </c>
      <c r="C984" s="1">
        <v>1.616329389E9</v>
      </c>
      <c r="D984" s="1">
        <v>4.0</v>
      </c>
      <c r="E984" s="1" t="b">
        <v>0</v>
      </c>
      <c r="F984" s="1" t="s">
        <v>14948</v>
      </c>
    </row>
    <row r="985">
      <c r="A985" s="1">
        <v>49833.0</v>
      </c>
      <c r="B985" s="1">
        <v>16307.0</v>
      </c>
      <c r="C985" s="1">
        <v>1.616245659E9</v>
      </c>
      <c r="D985" s="1">
        <v>4.0</v>
      </c>
      <c r="E985" s="1" t="b">
        <v>0</v>
      </c>
      <c r="F985" s="1" t="s">
        <v>14949</v>
      </c>
    </row>
    <row r="986">
      <c r="A986" s="1">
        <v>49833.0</v>
      </c>
      <c r="B986" s="1">
        <v>17655.0</v>
      </c>
      <c r="C986" s="1">
        <v>1.620635369E9</v>
      </c>
      <c r="D986" s="1">
        <v>1.0</v>
      </c>
      <c r="E986" s="1" t="b">
        <v>0</v>
      </c>
      <c r="F986" s="1" t="s">
        <v>14950</v>
      </c>
      <c r="G986" s="1" t="b">
        <v>1</v>
      </c>
    </row>
    <row r="987">
      <c r="A987" s="1">
        <v>49833.0</v>
      </c>
      <c r="B987" s="1">
        <v>16311.0</v>
      </c>
      <c r="C987" s="1">
        <v>1.616329392E9</v>
      </c>
      <c r="D987" s="1">
        <v>4.0</v>
      </c>
      <c r="E987" s="1" t="b">
        <v>0</v>
      </c>
      <c r="F987" s="1" t="s">
        <v>14951</v>
      </c>
    </row>
    <row r="988">
      <c r="A988" s="1">
        <v>49833.0</v>
      </c>
      <c r="B988" s="1">
        <v>19701.0</v>
      </c>
      <c r="C988" s="1">
        <v>1.623172462E9</v>
      </c>
      <c r="D988" s="1">
        <v>4.0</v>
      </c>
      <c r="E988" s="1" t="b">
        <v>0</v>
      </c>
      <c r="F988" s="1" t="s">
        <v>14952</v>
      </c>
    </row>
    <row r="989">
      <c r="A989" s="1">
        <v>49833.0</v>
      </c>
      <c r="B989" s="1">
        <v>16288.0</v>
      </c>
      <c r="C989" s="1">
        <v>1.61614444E9</v>
      </c>
      <c r="D989" s="1">
        <v>4.0</v>
      </c>
      <c r="E989" s="1" t="b">
        <v>0</v>
      </c>
      <c r="F989" s="1" t="s">
        <v>14953</v>
      </c>
    </row>
    <row r="990">
      <c r="A990" s="1">
        <v>49833.0</v>
      </c>
      <c r="B990" s="1">
        <v>16285.0</v>
      </c>
      <c r="C990" s="1">
        <v>1.616144435E9</v>
      </c>
      <c r="D990" s="1">
        <v>4.0</v>
      </c>
      <c r="E990" s="1" t="b">
        <v>0</v>
      </c>
      <c r="F990" s="1" t="s">
        <v>14954</v>
      </c>
    </row>
    <row r="991">
      <c r="A991" s="1">
        <v>49833.0</v>
      </c>
      <c r="B991" s="1">
        <v>19009.0</v>
      </c>
      <c r="C991" s="1">
        <v>1.622266254E9</v>
      </c>
      <c r="D991" s="1">
        <v>4.0</v>
      </c>
      <c r="E991" s="1" t="b">
        <v>0</v>
      </c>
      <c r="F991" s="1" t="s">
        <v>14955</v>
      </c>
    </row>
    <row r="992">
      <c r="A992" s="1">
        <v>49833.0</v>
      </c>
      <c r="B992" s="1">
        <v>7094.0</v>
      </c>
      <c r="C992" s="1">
        <v>1.611835588E9</v>
      </c>
      <c r="D992" s="1">
        <v>4.0</v>
      </c>
      <c r="E992" s="1" t="b">
        <v>0</v>
      </c>
      <c r="F992" s="1" t="s">
        <v>14956</v>
      </c>
    </row>
    <row r="993">
      <c r="A993" s="1">
        <v>49833.0</v>
      </c>
      <c r="B993" s="1">
        <v>4363.0</v>
      </c>
      <c r="C993" s="1">
        <v>1.616055281E9</v>
      </c>
      <c r="D993" s="1">
        <v>4.0</v>
      </c>
      <c r="E993" s="1" t="b">
        <v>0</v>
      </c>
      <c r="F993" s="1" t="s">
        <v>14957</v>
      </c>
    </row>
    <row r="994">
      <c r="A994" s="1">
        <v>49833.0</v>
      </c>
      <c r="B994" s="1">
        <v>16275.0</v>
      </c>
      <c r="C994" s="1">
        <v>1.616055265E9</v>
      </c>
      <c r="D994" s="1">
        <v>4.0</v>
      </c>
      <c r="E994" s="1" t="b">
        <v>0</v>
      </c>
      <c r="F994" s="1" t="s">
        <v>14958</v>
      </c>
    </row>
    <row r="995">
      <c r="A995" s="1">
        <v>49833.0</v>
      </c>
      <c r="B995" s="1">
        <v>13724.0</v>
      </c>
      <c r="C995" s="1">
        <v>1.616055226E9</v>
      </c>
      <c r="D995" s="1">
        <v>4.0</v>
      </c>
      <c r="E995" s="1" t="b">
        <v>0</v>
      </c>
      <c r="F995" s="1" t="s">
        <v>14959</v>
      </c>
    </row>
    <row r="996">
      <c r="A996" s="1">
        <v>49833.0</v>
      </c>
      <c r="B996" s="1">
        <v>16266.0</v>
      </c>
      <c r="C996" s="1">
        <v>1.616055199E9</v>
      </c>
      <c r="D996" s="1">
        <v>4.0</v>
      </c>
      <c r="E996" s="1" t="b">
        <v>0</v>
      </c>
      <c r="F996" s="1" t="s">
        <v>14960</v>
      </c>
    </row>
    <row r="997">
      <c r="A997" s="1">
        <v>49833.0</v>
      </c>
      <c r="B997" s="1">
        <v>16644.0</v>
      </c>
      <c r="C997" s="1">
        <v>1.617697922E9</v>
      </c>
      <c r="D997" s="1">
        <v>4.0</v>
      </c>
      <c r="E997" s="1" t="b">
        <v>0</v>
      </c>
      <c r="F997" s="1" t="s">
        <v>14961</v>
      </c>
    </row>
    <row r="998">
      <c r="A998" s="1">
        <v>49833.0</v>
      </c>
      <c r="B998" s="1">
        <v>9533.0</v>
      </c>
      <c r="C998" s="1">
        <v>1.612323988E9</v>
      </c>
      <c r="D998" s="1">
        <v>4.0</v>
      </c>
      <c r="E998" s="1" t="b">
        <v>0</v>
      </c>
      <c r="F998" s="1" t="s">
        <v>14962</v>
      </c>
    </row>
    <row r="999">
      <c r="A999" s="1">
        <v>49833.0</v>
      </c>
      <c r="B999" s="1">
        <v>17205.0</v>
      </c>
      <c r="C999" s="1">
        <v>1.619428024E9</v>
      </c>
      <c r="D999" s="1">
        <v>4.0</v>
      </c>
      <c r="E999" s="1" t="b">
        <v>0</v>
      </c>
      <c r="F999" s="1" t="s">
        <v>14963</v>
      </c>
    </row>
    <row r="1000">
      <c r="A1000" s="1">
        <v>49833.0</v>
      </c>
      <c r="B1000" s="1">
        <v>16653.0</v>
      </c>
      <c r="C1000" s="1">
        <v>1.617697925E9</v>
      </c>
      <c r="D1000" s="1">
        <v>4.0</v>
      </c>
      <c r="E1000" s="1" t="b">
        <v>0</v>
      </c>
      <c r="F1000" s="1" t="s">
        <v>14964</v>
      </c>
    </row>
    <row r="1001">
      <c r="A1001" s="1">
        <v>49833.0</v>
      </c>
      <c r="B1001" s="1">
        <v>16603.0</v>
      </c>
      <c r="C1001" s="1">
        <v>1.617420556E9</v>
      </c>
      <c r="D1001" s="1">
        <v>4.0</v>
      </c>
      <c r="E1001" s="1" t="b">
        <v>0</v>
      </c>
      <c r="F1001" s="1" t="s">
        <v>14965</v>
      </c>
    </row>
    <row r="1002">
      <c r="A1002" s="1">
        <v>49833.0</v>
      </c>
      <c r="B1002" s="1">
        <v>16749.0</v>
      </c>
      <c r="C1002" s="1">
        <v>1.618004453E9</v>
      </c>
      <c r="D1002" s="1">
        <v>4.0</v>
      </c>
      <c r="E1002" s="1" t="b">
        <v>0</v>
      </c>
      <c r="F1002" s="1" t="s">
        <v>14966</v>
      </c>
    </row>
    <row r="1003">
      <c r="A1003" s="1">
        <v>49833.0</v>
      </c>
      <c r="B1003" s="1">
        <v>17386.0</v>
      </c>
      <c r="C1003" s="1">
        <v>1.61977913E9</v>
      </c>
      <c r="D1003" s="1">
        <v>4.0</v>
      </c>
      <c r="E1003" s="1" t="b">
        <v>0</v>
      </c>
      <c r="F1003" s="1" t="s">
        <v>14967</v>
      </c>
    </row>
    <row r="1004">
      <c r="A1004" s="1">
        <v>49833.0</v>
      </c>
      <c r="B1004" s="1">
        <v>20078.0</v>
      </c>
      <c r="C1004" s="1">
        <v>1.623746311E9</v>
      </c>
      <c r="D1004" s="1">
        <v>4.0</v>
      </c>
      <c r="E1004" s="1" t="b">
        <v>0</v>
      </c>
      <c r="F1004" s="1" t="s">
        <v>14968</v>
      </c>
    </row>
    <row r="1005">
      <c r="A1005" s="1">
        <v>49833.0</v>
      </c>
      <c r="B1005" s="1">
        <v>17421.0</v>
      </c>
      <c r="C1005" s="1">
        <v>1.619779131E9</v>
      </c>
      <c r="D1005" s="1">
        <v>4.0</v>
      </c>
      <c r="E1005" s="1" t="b">
        <v>0</v>
      </c>
      <c r="F1005" s="1" t="s">
        <v>14969</v>
      </c>
    </row>
    <row r="1006">
      <c r="A1006" s="1">
        <v>49833.0</v>
      </c>
      <c r="B1006" s="1">
        <v>18864.0</v>
      </c>
      <c r="C1006" s="1">
        <v>1.622074014E9</v>
      </c>
      <c r="D1006" s="1">
        <v>4.0</v>
      </c>
      <c r="E1006" s="1" t="b">
        <v>0</v>
      </c>
      <c r="F1006" s="1" t="s">
        <v>14970</v>
      </c>
    </row>
    <row r="1007">
      <c r="A1007" s="1">
        <v>49833.0</v>
      </c>
      <c r="B1007" s="1">
        <v>16586.0</v>
      </c>
      <c r="C1007" s="1">
        <v>1.617363172E9</v>
      </c>
      <c r="D1007" s="1">
        <v>4.0</v>
      </c>
      <c r="E1007" s="1" t="b">
        <v>0</v>
      </c>
      <c r="F1007" s="1" t="s">
        <v>14971</v>
      </c>
    </row>
    <row r="1008">
      <c r="A1008" s="1">
        <v>49833.0</v>
      </c>
      <c r="B1008" s="1">
        <v>6425.0</v>
      </c>
      <c r="C1008" s="1">
        <v>1.611682615E9</v>
      </c>
      <c r="D1008" s="1">
        <v>4.0</v>
      </c>
      <c r="E1008" s="1" t="b">
        <v>0</v>
      </c>
      <c r="F1008" s="1" t="s">
        <v>14972</v>
      </c>
    </row>
    <row r="1009">
      <c r="A1009" s="1">
        <v>49833.0</v>
      </c>
      <c r="B1009" s="1">
        <v>7337.0</v>
      </c>
      <c r="C1009" s="1">
        <v>1.611835589E9</v>
      </c>
      <c r="D1009" s="1">
        <v>4.0</v>
      </c>
      <c r="E1009" s="1" t="b">
        <v>0</v>
      </c>
      <c r="F1009" s="1" t="s">
        <v>14973</v>
      </c>
    </row>
    <row r="1010">
      <c r="A1010" s="1">
        <v>49833.0</v>
      </c>
      <c r="B1010" s="1">
        <v>7123.0</v>
      </c>
      <c r="C1010" s="1">
        <v>1.611835592E9</v>
      </c>
      <c r="D1010" s="1">
        <v>4.0</v>
      </c>
      <c r="E1010" s="1" t="b">
        <v>0</v>
      </c>
      <c r="F1010" s="1" t="s">
        <v>14974</v>
      </c>
    </row>
    <row r="1011">
      <c r="A1011" s="1">
        <v>49833.0</v>
      </c>
      <c r="B1011" s="1">
        <v>6949.0</v>
      </c>
      <c r="C1011" s="1">
        <v>1.611764357E9</v>
      </c>
      <c r="D1011" s="1">
        <v>4.0</v>
      </c>
      <c r="E1011" s="1" t="b">
        <v>0</v>
      </c>
      <c r="F1011" s="1" t="s">
        <v>14975</v>
      </c>
    </row>
    <row r="1012">
      <c r="A1012" s="1">
        <v>49833.0</v>
      </c>
      <c r="B1012" s="1">
        <v>7036.0</v>
      </c>
      <c r="C1012" s="1">
        <v>1.611766902E9</v>
      </c>
      <c r="D1012" s="1">
        <v>4.0</v>
      </c>
      <c r="E1012" s="1" t="b">
        <v>0</v>
      </c>
      <c r="F1012" s="1" t="s">
        <v>14976</v>
      </c>
    </row>
    <row r="1013">
      <c r="A1013" s="1">
        <v>49833.0</v>
      </c>
      <c r="B1013" s="1">
        <v>17050.0</v>
      </c>
      <c r="C1013" s="1">
        <v>1.619077071E9</v>
      </c>
      <c r="D1013" s="1">
        <v>4.0</v>
      </c>
      <c r="E1013" s="1" t="b">
        <v>0</v>
      </c>
      <c r="F1013" s="1" t="s">
        <v>14977</v>
      </c>
    </row>
    <row r="1014">
      <c r="A1014" s="1">
        <v>49833.0</v>
      </c>
      <c r="B1014" s="1">
        <v>5514.0</v>
      </c>
      <c r="C1014" s="1">
        <v>1.611424998E9</v>
      </c>
      <c r="D1014" s="1">
        <v>4.0</v>
      </c>
      <c r="E1014" s="1" t="b">
        <v>0</v>
      </c>
      <c r="F1014" s="1" t="s">
        <v>14978</v>
      </c>
    </row>
    <row r="1015">
      <c r="A1015" s="1">
        <v>49833.0</v>
      </c>
      <c r="B1015" s="1">
        <v>16249.0</v>
      </c>
      <c r="C1015" s="1">
        <v>1.615997585E9</v>
      </c>
      <c r="D1015" s="1">
        <v>4.0</v>
      </c>
      <c r="E1015" s="1" t="b">
        <v>0</v>
      </c>
      <c r="F1015" s="1" t="s">
        <v>14979</v>
      </c>
    </row>
    <row r="1016">
      <c r="A1016" s="1">
        <v>49833.0</v>
      </c>
      <c r="B1016" s="1">
        <v>16651.0</v>
      </c>
      <c r="C1016" s="1">
        <v>1.61769792E9</v>
      </c>
      <c r="D1016" s="1">
        <v>4.0</v>
      </c>
      <c r="E1016" s="1" t="b">
        <v>0</v>
      </c>
      <c r="F1016" s="1" t="s">
        <v>14980</v>
      </c>
    </row>
    <row r="1017">
      <c r="A1017" s="1">
        <v>49833.0</v>
      </c>
      <c r="B1017" s="1">
        <v>17505.0</v>
      </c>
      <c r="C1017" s="1">
        <v>1.624344057E9</v>
      </c>
      <c r="D1017" s="1">
        <v>4.0</v>
      </c>
      <c r="E1017" s="1" t="b">
        <v>0</v>
      </c>
      <c r="F1017" s="1" t="s">
        <v>14981</v>
      </c>
    </row>
    <row r="1018">
      <c r="A1018" s="1">
        <v>49833.0</v>
      </c>
      <c r="B1018" s="1">
        <v>16273.0</v>
      </c>
      <c r="C1018" s="1">
        <v>1.616055308E9</v>
      </c>
      <c r="D1018" s="1">
        <v>4.0</v>
      </c>
      <c r="E1018" s="1" t="b">
        <v>0</v>
      </c>
      <c r="F1018" s="1" t="s">
        <v>14982</v>
      </c>
    </row>
    <row r="1019">
      <c r="A1019" s="1">
        <v>49833.0</v>
      </c>
      <c r="B1019" s="1">
        <v>16272.0</v>
      </c>
      <c r="C1019" s="1">
        <v>1.616055236E9</v>
      </c>
      <c r="D1019" s="1">
        <v>4.0</v>
      </c>
      <c r="E1019" s="1" t="b">
        <v>0</v>
      </c>
      <c r="F1019" s="1" t="s">
        <v>14983</v>
      </c>
    </row>
    <row r="1020">
      <c r="A1020" s="1">
        <v>49833.0</v>
      </c>
      <c r="B1020" s="1">
        <v>16271.0</v>
      </c>
      <c r="C1020" s="1">
        <v>1.616055233E9</v>
      </c>
      <c r="D1020" s="1">
        <v>4.0</v>
      </c>
      <c r="E1020" s="1" t="b">
        <v>0</v>
      </c>
      <c r="F1020" s="1" t="s">
        <v>14984</v>
      </c>
    </row>
    <row r="1021">
      <c r="A1021" s="1">
        <v>49833.0</v>
      </c>
      <c r="B1021" s="1">
        <v>16268.0</v>
      </c>
      <c r="C1021" s="1">
        <v>1.616055215E9</v>
      </c>
      <c r="D1021" s="1">
        <v>4.0</v>
      </c>
      <c r="E1021" s="1" t="b">
        <v>0</v>
      </c>
      <c r="F1021" s="1" t="s">
        <v>14425</v>
      </c>
    </row>
    <row r="1022">
      <c r="A1022" s="1">
        <v>49833.0</v>
      </c>
      <c r="B1022" s="1">
        <v>16265.0</v>
      </c>
      <c r="C1022" s="1">
        <v>1.616055208E9</v>
      </c>
      <c r="D1022" s="1">
        <v>4.0</v>
      </c>
      <c r="E1022" s="1" t="b">
        <v>0</v>
      </c>
      <c r="F1022" s="1" t="s">
        <v>14985</v>
      </c>
    </row>
    <row r="1023">
      <c r="A1023" s="1">
        <v>49833.0</v>
      </c>
      <c r="B1023" s="1">
        <v>16814.0</v>
      </c>
      <c r="C1023" s="1">
        <v>1.618436008E9</v>
      </c>
      <c r="D1023" s="1">
        <v>4.0</v>
      </c>
      <c r="E1023" s="1" t="b">
        <v>0</v>
      </c>
      <c r="F1023" s="1" t="s">
        <v>14415</v>
      </c>
    </row>
    <row r="1024">
      <c r="A1024" s="1">
        <v>49833.0</v>
      </c>
      <c r="B1024" s="1">
        <v>16748.0</v>
      </c>
      <c r="C1024" s="1">
        <v>1.618004453E9</v>
      </c>
      <c r="D1024" s="1">
        <v>4.0</v>
      </c>
      <c r="E1024" s="1" t="b">
        <v>0</v>
      </c>
      <c r="F1024" s="1" t="s">
        <v>14986</v>
      </c>
    </row>
    <row r="1025">
      <c r="A1025" s="1">
        <v>49833.0</v>
      </c>
      <c r="B1025" s="1">
        <v>8021.0</v>
      </c>
      <c r="C1025" s="1">
        <v>1.611942993E9</v>
      </c>
      <c r="D1025" s="1">
        <v>4.0</v>
      </c>
      <c r="E1025" s="1" t="b">
        <v>0</v>
      </c>
      <c r="F1025" s="1" t="s">
        <v>14987</v>
      </c>
    </row>
    <row r="1026">
      <c r="A1026" s="1">
        <v>49833.0</v>
      </c>
      <c r="B1026" s="1">
        <v>9483.0</v>
      </c>
      <c r="C1026" s="1">
        <v>1.612165224E9</v>
      </c>
      <c r="D1026" s="1">
        <v>4.0</v>
      </c>
      <c r="E1026" s="1" t="b">
        <v>0</v>
      </c>
      <c r="F1026" s="1" t="s">
        <v>14988</v>
      </c>
    </row>
    <row r="1027">
      <c r="A1027" s="1">
        <v>49833.0</v>
      </c>
      <c r="B1027" s="1">
        <v>16248.0</v>
      </c>
      <c r="C1027" s="1">
        <v>1.615997512E9</v>
      </c>
      <c r="D1027" s="1">
        <v>4.0</v>
      </c>
      <c r="E1027" s="1" t="b">
        <v>0</v>
      </c>
      <c r="F1027" s="1" t="s">
        <v>14989</v>
      </c>
    </row>
    <row r="1028">
      <c r="A1028" s="1">
        <v>49833.0</v>
      </c>
      <c r="B1028" s="1">
        <v>9698.0</v>
      </c>
      <c r="C1028" s="1">
        <v>1.612323985E9</v>
      </c>
      <c r="D1028" s="1">
        <v>4.0</v>
      </c>
      <c r="E1028" s="1" t="b">
        <v>0</v>
      </c>
      <c r="F1028" s="1" t="s">
        <v>14990</v>
      </c>
    </row>
    <row r="1029">
      <c r="A1029" s="1">
        <v>49833.0</v>
      </c>
      <c r="B1029" s="1">
        <v>8734.0</v>
      </c>
      <c r="C1029" s="1">
        <v>1.612029319E9</v>
      </c>
      <c r="D1029" s="1">
        <v>4.0</v>
      </c>
      <c r="E1029" s="1" t="b">
        <v>0</v>
      </c>
      <c r="F1029" s="1" t="s">
        <v>14991</v>
      </c>
    </row>
    <row r="1030">
      <c r="A1030" s="1">
        <v>49833.0</v>
      </c>
      <c r="B1030" s="1">
        <v>8781.0</v>
      </c>
      <c r="C1030" s="1">
        <v>1.612029321E9</v>
      </c>
      <c r="D1030" s="1">
        <v>4.0</v>
      </c>
      <c r="E1030" s="1" t="b">
        <v>0</v>
      </c>
      <c r="F1030" s="1" t="s">
        <v>14992</v>
      </c>
    </row>
    <row r="1031">
      <c r="A1031" s="1">
        <v>49833.0</v>
      </c>
      <c r="B1031" s="1">
        <v>7895.0</v>
      </c>
      <c r="C1031" s="1">
        <v>1.611917373E9</v>
      </c>
      <c r="D1031" s="1">
        <v>4.0</v>
      </c>
      <c r="E1031" s="1" t="b">
        <v>0</v>
      </c>
      <c r="F1031" s="1" t="s">
        <v>14993</v>
      </c>
    </row>
    <row r="1032">
      <c r="A1032" s="1">
        <v>49833.0</v>
      </c>
      <c r="B1032" s="1">
        <v>16650.0</v>
      </c>
      <c r="C1032" s="1">
        <v>1.617697926E9</v>
      </c>
      <c r="D1032" s="1">
        <v>4.0</v>
      </c>
      <c r="E1032" s="1" t="b">
        <v>0</v>
      </c>
      <c r="F1032" s="1" t="s">
        <v>14994</v>
      </c>
    </row>
    <row r="1033">
      <c r="A1033" s="1">
        <v>49833.0</v>
      </c>
      <c r="B1033" s="1">
        <v>7896.0</v>
      </c>
      <c r="C1033" s="1">
        <v>1.61191873E9</v>
      </c>
      <c r="D1033" s="1">
        <v>4.0</v>
      </c>
      <c r="E1033" s="1" t="b">
        <v>0</v>
      </c>
      <c r="F1033" s="1" t="s">
        <v>14995</v>
      </c>
    </row>
    <row r="1034">
      <c r="A1034" s="1">
        <v>49833.0</v>
      </c>
      <c r="B1034" s="1">
        <v>7918.0</v>
      </c>
      <c r="C1034" s="1">
        <v>1.611918731E9</v>
      </c>
      <c r="D1034" s="1">
        <v>4.0</v>
      </c>
      <c r="E1034" s="1" t="b">
        <v>0</v>
      </c>
      <c r="F1034" s="1" t="s">
        <v>14996</v>
      </c>
    </row>
    <row r="1035">
      <c r="A1035" s="1">
        <v>49833.0</v>
      </c>
      <c r="B1035" s="1">
        <v>16987.0</v>
      </c>
      <c r="C1035" s="1">
        <v>1.61907707E9</v>
      </c>
      <c r="D1035" s="1">
        <v>4.0</v>
      </c>
      <c r="E1035" s="1" t="b">
        <v>0</v>
      </c>
      <c r="F1035" s="1" t="s">
        <v>14997</v>
      </c>
    </row>
    <row r="1036">
      <c r="A1036" s="1">
        <v>49833.0</v>
      </c>
      <c r="B1036" s="1">
        <v>11626.0</v>
      </c>
      <c r="C1036" s="1">
        <v>1.612797829E9</v>
      </c>
      <c r="D1036" s="1">
        <v>4.0</v>
      </c>
      <c r="E1036" s="1" t="b">
        <v>0</v>
      </c>
      <c r="F1036" s="1" t="s">
        <v>14998</v>
      </c>
    </row>
    <row r="1037">
      <c r="A1037" s="1">
        <v>49833.0</v>
      </c>
      <c r="B1037" s="1">
        <v>8996.0</v>
      </c>
      <c r="C1037" s="1">
        <v>1.612092457E9</v>
      </c>
      <c r="D1037" s="1">
        <v>4.0</v>
      </c>
      <c r="E1037" s="1" t="b">
        <v>0</v>
      </c>
      <c r="F1037" s="1" t="s">
        <v>14999</v>
      </c>
    </row>
    <row r="1038">
      <c r="A1038" s="1">
        <v>49833.0</v>
      </c>
      <c r="B1038" s="1">
        <v>12471.0</v>
      </c>
      <c r="C1038" s="1">
        <v>1.613013021E9</v>
      </c>
      <c r="D1038" s="1">
        <v>4.0</v>
      </c>
      <c r="E1038" s="1" t="b">
        <v>0</v>
      </c>
      <c r="F1038" s="1" t="s">
        <v>15000</v>
      </c>
    </row>
    <row r="1039">
      <c r="A1039" s="1">
        <v>49833.0</v>
      </c>
      <c r="B1039" s="1">
        <v>16649.0</v>
      </c>
      <c r="C1039" s="1">
        <v>1.617697919E9</v>
      </c>
      <c r="D1039" s="1">
        <v>4.0</v>
      </c>
      <c r="E1039" s="1" t="b">
        <v>0</v>
      </c>
      <c r="F1039" s="1" t="s">
        <v>15001</v>
      </c>
    </row>
    <row r="1040">
      <c r="A1040" s="1">
        <v>49833.0</v>
      </c>
      <c r="B1040" s="1">
        <v>16263.0</v>
      </c>
      <c r="C1040" s="1">
        <v>1.615997589E9</v>
      </c>
      <c r="D1040" s="1">
        <v>4.0</v>
      </c>
      <c r="E1040" s="1" t="b">
        <v>0</v>
      </c>
      <c r="F1040" s="1" t="s">
        <v>15002</v>
      </c>
    </row>
    <row r="1041">
      <c r="A1041" s="1">
        <v>49833.0</v>
      </c>
      <c r="B1041" s="1">
        <v>16246.0</v>
      </c>
      <c r="C1041" s="1">
        <v>1.615997142E9</v>
      </c>
      <c r="D1041" s="1">
        <v>4.0</v>
      </c>
      <c r="E1041" s="1" t="b">
        <v>0</v>
      </c>
      <c r="F1041" s="1" t="s">
        <v>15003</v>
      </c>
    </row>
    <row r="1042">
      <c r="A1042" s="1">
        <v>49833.0</v>
      </c>
      <c r="B1042" s="1">
        <v>20442.0</v>
      </c>
      <c r="C1042" s="1">
        <v>1.624370534E9</v>
      </c>
      <c r="D1042" s="1">
        <v>4.0</v>
      </c>
      <c r="E1042" s="1" t="b">
        <v>0</v>
      </c>
      <c r="F1042" s="1" t="s">
        <v>15004</v>
      </c>
    </row>
    <row r="1043">
      <c r="A1043" s="1">
        <v>49833.0</v>
      </c>
      <c r="B1043" s="1">
        <v>7956.0</v>
      </c>
      <c r="C1043" s="1">
        <v>1.611928369E9</v>
      </c>
      <c r="D1043" s="1">
        <v>4.0</v>
      </c>
      <c r="E1043" s="1" t="b">
        <v>0</v>
      </c>
      <c r="F1043" s="1" t="s">
        <v>15005</v>
      </c>
    </row>
    <row r="1044">
      <c r="A1044" s="1">
        <v>49833.0</v>
      </c>
      <c r="B1044" s="1">
        <v>7959.0</v>
      </c>
      <c r="C1044" s="1">
        <v>1.611928371E9</v>
      </c>
      <c r="D1044" s="1">
        <v>4.0</v>
      </c>
      <c r="E1044" s="1" t="b">
        <v>0</v>
      </c>
      <c r="F1044" s="1" t="s">
        <v>15006</v>
      </c>
    </row>
    <row r="1045">
      <c r="A1045" s="1">
        <v>49833.0</v>
      </c>
      <c r="B1045" s="1">
        <v>7947.0</v>
      </c>
      <c r="C1045" s="1">
        <v>1.611928368E9</v>
      </c>
      <c r="D1045" s="1">
        <v>4.0</v>
      </c>
      <c r="E1045" s="1" t="b">
        <v>0</v>
      </c>
      <c r="F1045" s="1" t="s">
        <v>15007</v>
      </c>
    </row>
    <row r="1046">
      <c r="A1046" s="1">
        <v>49833.0</v>
      </c>
      <c r="B1046" s="1">
        <v>7964.0</v>
      </c>
      <c r="C1046" s="1">
        <v>1.611928373E9</v>
      </c>
      <c r="D1046" s="1">
        <v>4.0</v>
      </c>
      <c r="E1046" s="1" t="b">
        <v>0</v>
      </c>
      <c r="F1046" s="1" t="s">
        <v>15008</v>
      </c>
    </row>
    <row r="1047">
      <c r="A1047" s="1">
        <v>49833.0</v>
      </c>
      <c r="B1047" s="1">
        <v>7991.0</v>
      </c>
      <c r="C1047" s="1">
        <v>1.611928374E9</v>
      </c>
      <c r="D1047" s="1">
        <v>4.0</v>
      </c>
      <c r="E1047" s="1" t="b">
        <v>0</v>
      </c>
      <c r="F1047" s="1" t="s">
        <v>15009</v>
      </c>
    </row>
    <row r="1048">
      <c r="A1048" s="1">
        <v>49833.0</v>
      </c>
      <c r="B1048" s="1">
        <v>6152.0</v>
      </c>
      <c r="C1048" s="1">
        <v>1.611928376E9</v>
      </c>
      <c r="D1048" s="1">
        <v>4.0</v>
      </c>
      <c r="E1048" s="1" t="b">
        <v>0</v>
      </c>
      <c r="F1048" s="1" t="s">
        <v>15010</v>
      </c>
    </row>
    <row r="1049">
      <c r="A1049" s="1">
        <v>49833.0</v>
      </c>
      <c r="B1049" s="1">
        <v>7999.0</v>
      </c>
      <c r="C1049" s="1">
        <v>1.61192838E9</v>
      </c>
      <c r="D1049" s="1">
        <v>4.0</v>
      </c>
      <c r="E1049" s="1" t="b">
        <v>0</v>
      </c>
      <c r="F1049" s="1" t="s">
        <v>15011</v>
      </c>
    </row>
    <row r="1050">
      <c r="A1050" s="1">
        <v>49833.0</v>
      </c>
      <c r="B1050" s="1">
        <v>8012.0</v>
      </c>
      <c r="C1050" s="1">
        <v>1.61192838E9</v>
      </c>
      <c r="D1050" s="1">
        <v>4.0</v>
      </c>
      <c r="E1050" s="1" t="b">
        <v>0</v>
      </c>
      <c r="F1050" s="1" t="s">
        <v>15012</v>
      </c>
    </row>
    <row r="1051">
      <c r="A1051" s="1">
        <v>49833.0</v>
      </c>
      <c r="B1051" s="1">
        <v>7840.0</v>
      </c>
      <c r="C1051" s="1">
        <v>1.611918728E9</v>
      </c>
      <c r="D1051" s="1">
        <v>4.0</v>
      </c>
      <c r="E1051" s="1" t="b">
        <v>0</v>
      </c>
      <c r="F1051" s="1" t="s">
        <v>15013</v>
      </c>
    </row>
    <row r="1052">
      <c r="A1052" s="1">
        <v>49833.0</v>
      </c>
      <c r="B1052" s="1">
        <v>10521.0</v>
      </c>
      <c r="C1052" s="1">
        <v>1.612471415E9</v>
      </c>
      <c r="D1052" s="1">
        <v>4.0</v>
      </c>
      <c r="E1052" s="1" t="b">
        <v>0</v>
      </c>
      <c r="F1052" s="1" t="s">
        <v>14324</v>
      </c>
    </row>
    <row r="1053">
      <c r="A1053" s="1">
        <v>49833.0</v>
      </c>
      <c r="B1053" s="1">
        <v>19674.0</v>
      </c>
      <c r="C1053" s="1">
        <v>1.623140678E9</v>
      </c>
      <c r="D1053" s="1">
        <v>4.0</v>
      </c>
      <c r="E1053" s="1" t="b">
        <v>0</v>
      </c>
      <c r="F1053" s="1" t="s">
        <v>15014</v>
      </c>
    </row>
    <row r="1054">
      <c r="A1054" s="1">
        <v>49833.0</v>
      </c>
      <c r="B1054" s="1">
        <v>9579.0</v>
      </c>
      <c r="C1054" s="1">
        <v>1.612323967E9</v>
      </c>
      <c r="D1054" s="1">
        <v>4.0</v>
      </c>
      <c r="E1054" s="1" t="b">
        <v>0</v>
      </c>
      <c r="F1054" s="1" t="s">
        <v>15015</v>
      </c>
    </row>
    <row r="1055">
      <c r="A1055" s="1">
        <v>49833.0</v>
      </c>
      <c r="B1055" s="1">
        <v>9571.0</v>
      </c>
      <c r="C1055" s="1">
        <v>1.612323969E9</v>
      </c>
      <c r="D1055" s="1">
        <v>4.0</v>
      </c>
      <c r="E1055" s="1" t="b">
        <v>0</v>
      </c>
      <c r="F1055" s="1" t="s">
        <v>15016</v>
      </c>
    </row>
    <row r="1056">
      <c r="A1056" s="1">
        <v>49833.0</v>
      </c>
      <c r="B1056" s="1">
        <v>19443.0</v>
      </c>
      <c r="C1056" s="1">
        <v>1.622720534E9</v>
      </c>
      <c r="D1056" s="1">
        <v>4.0</v>
      </c>
      <c r="E1056" s="1" t="b">
        <v>0</v>
      </c>
      <c r="F1056" s="1" t="s">
        <v>15017</v>
      </c>
    </row>
    <row r="1057">
      <c r="A1057" s="1">
        <v>49833.0</v>
      </c>
      <c r="B1057" s="1">
        <v>9513.0</v>
      </c>
      <c r="C1057" s="1">
        <v>1.612169254E9</v>
      </c>
      <c r="D1057" s="1">
        <v>4.0</v>
      </c>
      <c r="E1057" s="1" t="b">
        <v>0</v>
      </c>
      <c r="F1057" s="1" t="s">
        <v>15018</v>
      </c>
    </row>
    <row r="1058">
      <c r="A1058" s="1">
        <v>49833.0</v>
      </c>
      <c r="B1058" s="1">
        <v>9524.0</v>
      </c>
      <c r="C1058" s="1">
        <v>1.612169945E9</v>
      </c>
      <c r="D1058" s="1">
        <v>4.0</v>
      </c>
      <c r="E1058" s="1" t="b">
        <v>0</v>
      </c>
      <c r="F1058" s="1" t="s">
        <v>15019</v>
      </c>
    </row>
    <row r="1059">
      <c r="A1059" s="1">
        <v>49833.0</v>
      </c>
      <c r="B1059" s="1">
        <v>16812.0</v>
      </c>
      <c r="C1059" s="1">
        <v>1.618435999E9</v>
      </c>
      <c r="D1059" s="1">
        <v>4.0</v>
      </c>
      <c r="E1059" s="1" t="b">
        <v>0</v>
      </c>
      <c r="F1059" s="1" t="s">
        <v>15020</v>
      </c>
    </row>
    <row r="1060">
      <c r="A1060" s="1">
        <v>49833.0</v>
      </c>
      <c r="B1060" s="1">
        <v>9520.0</v>
      </c>
      <c r="C1060" s="1">
        <v>1.612169249E9</v>
      </c>
      <c r="D1060" s="1">
        <v>4.0</v>
      </c>
      <c r="E1060" s="1" t="b">
        <v>0</v>
      </c>
      <c r="F1060" s="1" t="s">
        <v>15021</v>
      </c>
    </row>
    <row r="1061">
      <c r="A1061" s="1">
        <v>49833.0</v>
      </c>
      <c r="B1061" s="1">
        <v>8409.0</v>
      </c>
      <c r="C1061" s="1">
        <v>1.611999179E9</v>
      </c>
      <c r="D1061" s="1">
        <v>4.0</v>
      </c>
      <c r="E1061" s="1" t="b">
        <v>0</v>
      </c>
      <c r="F1061" s="1" t="s">
        <v>15022</v>
      </c>
    </row>
    <row r="1062">
      <c r="A1062" s="1">
        <v>49833.0</v>
      </c>
      <c r="B1062" s="1">
        <v>8450.0</v>
      </c>
      <c r="C1062" s="1">
        <v>1.611999183E9</v>
      </c>
      <c r="D1062" s="1">
        <v>4.0</v>
      </c>
      <c r="E1062" s="1" t="b">
        <v>0</v>
      </c>
      <c r="F1062" s="1" t="s">
        <v>15023</v>
      </c>
    </row>
    <row r="1063">
      <c r="A1063" s="1">
        <v>49833.0</v>
      </c>
      <c r="B1063" s="1">
        <v>17436.0</v>
      </c>
      <c r="C1063" s="1">
        <v>1.619779127E9</v>
      </c>
      <c r="D1063" s="1">
        <v>4.0</v>
      </c>
      <c r="E1063" s="1" t="b">
        <v>0</v>
      </c>
      <c r="F1063" s="1" t="s">
        <v>15024</v>
      </c>
    </row>
    <row r="1064">
      <c r="A1064" s="1">
        <v>49833.0</v>
      </c>
      <c r="B1064" s="1">
        <v>13277.0</v>
      </c>
      <c r="C1064" s="1">
        <v>1.613216631E9</v>
      </c>
      <c r="D1064" s="1">
        <v>4.0</v>
      </c>
      <c r="E1064" s="1" t="b">
        <v>0</v>
      </c>
      <c r="F1064" s="1" t="s">
        <v>14174</v>
      </c>
    </row>
    <row r="1065">
      <c r="A1065" s="1">
        <v>49833.0</v>
      </c>
      <c r="B1065" s="1">
        <v>11485.0</v>
      </c>
      <c r="C1065" s="1">
        <v>1.612770334E9</v>
      </c>
      <c r="D1065" s="1">
        <v>4.0</v>
      </c>
      <c r="E1065" s="1" t="b">
        <v>0</v>
      </c>
      <c r="F1065" s="1" t="s">
        <v>15025</v>
      </c>
    </row>
    <row r="1066">
      <c r="A1066" s="1">
        <v>49833.0</v>
      </c>
      <c r="B1066" s="1">
        <v>9633.0</v>
      </c>
      <c r="C1066" s="1">
        <v>1.612182741E9</v>
      </c>
      <c r="D1066" s="1">
        <v>4.0</v>
      </c>
      <c r="E1066" s="1" t="b">
        <v>0</v>
      </c>
      <c r="F1066" s="1" t="s">
        <v>15026</v>
      </c>
    </row>
    <row r="1067">
      <c r="A1067" s="1">
        <v>49833.0</v>
      </c>
      <c r="B1067" s="1">
        <v>8455.0</v>
      </c>
      <c r="C1067" s="1">
        <v>1.611999184E9</v>
      </c>
      <c r="D1067" s="1">
        <v>4.0</v>
      </c>
      <c r="E1067" s="1" t="b">
        <v>0</v>
      </c>
      <c r="F1067" s="1" t="s">
        <v>15027</v>
      </c>
    </row>
    <row r="1068">
      <c r="A1068" s="1">
        <v>49833.0</v>
      </c>
      <c r="B1068" s="1">
        <v>8414.0</v>
      </c>
      <c r="C1068" s="1">
        <v>1.611999185E9</v>
      </c>
      <c r="D1068" s="1">
        <v>4.0</v>
      </c>
      <c r="E1068" s="1" t="b">
        <v>0</v>
      </c>
      <c r="F1068" s="1" t="s">
        <v>15028</v>
      </c>
    </row>
    <row r="1069">
      <c r="A1069" s="1">
        <v>49833.0</v>
      </c>
      <c r="B1069" s="1">
        <v>16861.0</v>
      </c>
      <c r="C1069" s="1">
        <v>1.618435998E9</v>
      </c>
      <c r="D1069" s="1">
        <v>4.0</v>
      </c>
      <c r="E1069" s="1" t="b">
        <v>0</v>
      </c>
      <c r="F1069" s="1" t="s">
        <v>15029</v>
      </c>
    </row>
    <row r="1070">
      <c r="A1070" s="1">
        <v>49833.0</v>
      </c>
      <c r="B1070" s="1">
        <v>9115.0</v>
      </c>
      <c r="C1070" s="1">
        <v>1.612157899E9</v>
      </c>
      <c r="D1070" s="1">
        <v>4.0</v>
      </c>
      <c r="E1070" s="1" t="b">
        <v>0</v>
      </c>
      <c r="F1070" s="1" t="s">
        <v>15030</v>
      </c>
    </row>
    <row r="1071">
      <c r="A1071" s="1">
        <v>49833.0</v>
      </c>
      <c r="B1071" s="1">
        <v>9070.0</v>
      </c>
      <c r="C1071" s="1">
        <v>1.612092415E9</v>
      </c>
      <c r="D1071" s="1">
        <v>4.0</v>
      </c>
      <c r="E1071" s="1" t="b">
        <v>0</v>
      </c>
      <c r="F1071" s="1" t="s">
        <v>15031</v>
      </c>
    </row>
    <row r="1072">
      <c r="A1072" s="1">
        <v>49833.0</v>
      </c>
      <c r="B1072" s="1">
        <v>8881.0</v>
      </c>
      <c r="C1072" s="1">
        <v>1.612092405E9</v>
      </c>
      <c r="D1072" s="1">
        <v>4.0</v>
      </c>
      <c r="E1072" s="1" t="b">
        <v>0</v>
      </c>
      <c r="F1072" s="1" t="s">
        <v>15032</v>
      </c>
    </row>
    <row r="1073">
      <c r="A1073" s="1">
        <v>49833.0</v>
      </c>
      <c r="B1073" s="1">
        <v>9102.0</v>
      </c>
      <c r="C1073" s="1">
        <v>1.612157911E9</v>
      </c>
      <c r="D1073" s="1">
        <v>4.0</v>
      </c>
      <c r="E1073" s="1" t="b">
        <v>0</v>
      </c>
      <c r="F1073" s="1" t="s">
        <v>15033</v>
      </c>
    </row>
    <row r="1074">
      <c r="A1074" s="1">
        <v>49833.0</v>
      </c>
      <c r="B1074" s="1">
        <v>9379.0</v>
      </c>
      <c r="C1074" s="1">
        <v>1.61216004E9</v>
      </c>
      <c r="D1074" s="1">
        <v>4.0</v>
      </c>
      <c r="E1074" s="1" t="b">
        <v>0</v>
      </c>
      <c r="F1074" s="1" t="s">
        <v>15034</v>
      </c>
    </row>
    <row r="1075">
      <c r="A1075" s="1">
        <v>49833.0</v>
      </c>
      <c r="B1075" s="1">
        <v>17299.0</v>
      </c>
      <c r="C1075" s="1">
        <v>1.61942803E9</v>
      </c>
      <c r="D1075" s="1">
        <v>4.0</v>
      </c>
      <c r="E1075" s="1" t="b">
        <v>0</v>
      </c>
      <c r="F1075" s="1" t="s">
        <v>15035</v>
      </c>
    </row>
    <row r="1076">
      <c r="A1076" s="1">
        <v>49833.0</v>
      </c>
      <c r="B1076" s="1">
        <v>10096.0</v>
      </c>
      <c r="C1076" s="1">
        <v>1.612369055E9</v>
      </c>
      <c r="D1076" s="1">
        <v>4.0</v>
      </c>
      <c r="E1076" s="1" t="b">
        <v>0</v>
      </c>
      <c r="F1076" s="1" t="s">
        <v>15036</v>
      </c>
    </row>
    <row r="1077">
      <c r="A1077" s="1">
        <v>49833.0</v>
      </c>
      <c r="B1077" s="1">
        <v>19523.0</v>
      </c>
      <c r="C1077" s="1">
        <v>1.622962344E9</v>
      </c>
      <c r="D1077" s="1">
        <v>4.0</v>
      </c>
      <c r="E1077" s="1" t="b">
        <v>0</v>
      </c>
      <c r="F1077" s="1" t="s">
        <v>15037</v>
      </c>
    </row>
    <row r="1078">
      <c r="A1078" s="1">
        <v>49833.0</v>
      </c>
      <c r="B1078" s="1">
        <v>10450.0</v>
      </c>
      <c r="C1078" s="1">
        <v>1.612468184E9</v>
      </c>
      <c r="D1078" s="1">
        <v>4.0</v>
      </c>
      <c r="E1078" s="1" t="b">
        <v>0</v>
      </c>
      <c r="F1078" s="1" t="s">
        <v>15038</v>
      </c>
    </row>
    <row r="1079">
      <c r="A1079" s="1">
        <v>49833.0</v>
      </c>
      <c r="B1079" s="1">
        <v>10520.0</v>
      </c>
      <c r="C1079" s="1">
        <v>1.612471416E9</v>
      </c>
      <c r="D1079" s="1">
        <v>4.0</v>
      </c>
      <c r="E1079" s="1" t="b">
        <v>0</v>
      </c>
      <c r="F1079" s="1" t="s">
        <v>15039</v>
      </c>
    </row>
    <row r="1080">
      <c r="A1080" s="1">
        <v>49833.0</v>
      </c>
      <c r="B1080" s="1">
        <v>9093.0</v>
      </c>
      <c r="C1080" s="1">
        <v>1.612157903E9</v>
      </c>
      <c r="D1080" s="1">
        <v>4.0</v>
      </c>
      <c r="E1080" s="1" t="b">
        <v>0</v>
      </c>
      <c r="F1080" s="1" t="s">
        <v>15040</v>
      </c>
    </row>
    <row r="1081">
      <c r="A1081" s="1">
        <v>49833.0</v>
      </c>
      <c r="B1081" s="1">
        <v>11487.0</v>
      </c>
      <c r="C1081" s="1">
        <v>1.612770336E9</v>
      </c>
      <c r="D1081" s="1">
        <v>4.0</v>
      </c>
      <c r="E1081" s="1" t="b">
        <v>0</v>
      </c>
      <c r="F1081" s="1" t="s">
        <v>15041</v>
      </c>
    </row>
    <row r="1082">
      <c r="A1082" s="1">
        <v>49833.0</v>
      </c>
      <c r="B1082" s="1">
        <v>19071.0</v>
      </c>
      <c r="C1082" s="1">
        <v>1.622361568E9</v>
      </c>
      <c r="D1082" s="1">
        <v>4.0</v>
      </c>
      <c r="E1082" s="1" t="b">
        <v>0</v>
      </c>
      <c r="F1082" s="1" t="s">
        <v>15042</v>
      </c>
    </row>
    <row r="1083">
      <c r="A1083" s="1">
        <v>49833.0</v>
      </c>
      <c r="B1083" s="1">
        <v>12806.0</v>
      </c>
      <c r="C1083" s="1">
        <v>1.613099834E9</v>
      </c>
      <c r="D1083" s="1">
        <v>4.0</v>
      </c>
      <c r="E1083" s="1" t="b">
        <v>0</v>
      </c>
      <c r="F1083" s="1" t="s">
        <v>15043</v>
      </c>
    </row>
    <row r="1084">
      <c r="A1084" s="1">
        <v>49833.0</v>
      </c>
      <c r="B1084" s="1">
        <v>8044.0</v>
      </c>
      <c r="C1084" s="1">
        <v>1.611942989E9</v>
      </c>
      <c r="D1084" s="1">
        <v>4.0</v>
      </c>
      <c r="E1084" s="1" t="b">
        <v>0</v>
      </c>
      <c r="F1084" s="1" t="s">
        <v>15044</v>
      </c>
    </row>
    <row r="1085">
      <c r="A1085" s="1">
        <v>49833.0</v>
      </c>
      <c r="B1085" s="1">
        <v>8035.0</v>
      </c>
      <c r="C1085" s="1">
        <v>1.611942992E9</v>
      </c>
      <c r="D1085" s="1">
        <v>4.0</v>
      </c>
      <c r="E1085" s="1" t="b">
        <v>0</v>
      </c>
      <c r="F1085" s="1" t="s">
        <v>15045</v>
      </c>
    </row>
    <row r="1086">
      <c r="A1086" s="1">
        <v>49833.0</v>
      </c>
      <c r="B1086" s="1">
        <v>8037.0</v>
      </c>
      <c r="C1086" s="1">
        <v>1.611943001E9</v>
      </c>
      <c r="D1086" s="1">
        <v>4.0</v>
      </c>
      <c r="E1086" s="1" t="b">
        <v>0</v>
      </c>
      <c r="F1086" s="1" t="s">
        <v>15046</v>
      </c>
    </row>
    <row r="1087">
      <c r="A1087" s="1">
        <v>49833.0</v>
      </c>
      <c r="B1087" s="1">
        <v>9004.0</v>
      </c>
      <c r="C1087" s="1">
        <v>1.612092415E9</v>
      </c>
      <c r="D1087" s="1">
        <v>4.0</v>
      </c>
      <c r="E1087" s="1" t="b">
        <v>0</v>
      </c>
      <c r="F1087" s="1" t="s">
        <v>15047</v>
      </c>
    </row>
    <row r="1088">
      <c r="A1088" s="1">
        <v>49833.0</v>
      </c>
      <c r="B1088" s="1">
        <v>16648.0</v>
      </c>
      <c r="C1088" s="1">
        <v>1.617697916E9</v>
      </c>
      <c r="D1088" s="1">
        <v>4.0</v>
      </c>
      <c r="E1088" s="1" t="b">
        <v>0</v>
      </c>
      <c r="F1088" s="1" t="s">
        <v>15048</v>
      </c>
    </row>
    <row r="1089">
      <c r="A1089" s="1">
        <v>49833.0</v>
      </c>
      <c r="B1089" s="1">
        <v>9000.0</v>
      </c>
      <c r="C1089" s="1">
        <v>1.612092409E9</v>
      </c>
      <c r="D1089" s="1">
        <v>4.0</v>
      </c>
      <c r="E1089" s="1" t="b">
        <v>0</v>
      </c>
      <c r="F1089" s="1" t="s">
        <v>15049</v>
      </c>
    </row>
    <row r="1090">
      <c r="A1090" s="1">
        <v>49833.0</v>
      </c>
      <c r="B1090" s="1">
        <v>8961.0</v>
      </c>
      <c r="C1090" s="1">
        <v>1.612092413E9</v>
      </c>
      <c r="D1090" s="1">
        <v>4.0</v>
      </c>
      <c r="E1090" s="1" t="b">
        <v>0</v>
      </c>
      <c r="F1090" s="1" t="s">
        <v>15050</v>
      </c>
    </row>
    <row r="1091">
      <c r="A1091" s="1">
        <v>49833.0</v>
      </c>
      <c r="B1091" s="1">
        <v>8833.0</v>
      </c>
      <c r="C1091" s="1">
        <v>1.612092417E9</v>
      </c>
      <c r="D1091" s="1">
        <v>4.0</v>
      </c>
      <c r="E1091" s="1" t="b">
        <v>0</v>
      </c>
      <c r="F1091" s="1" t="s">
        <v>15051</v>
      </c>
    </row>
    <row r="1092">
      <c r="A1092" s="1">
        <v>49833.0</v>
      </c>
      <c r="B1092" s="1">
        <v>8780.0</v>
      </c>
      <c r="C1092" s="1">
        <v>1.612092426E9</v>
      </c>
      <c r="D1092" s="1">
        <v>4.0</v>
      </c>
      <c r="E1092" s="1" t="b">
        <v>0</v>
      </c>
      <c r="F1092" s="1" t="s">
        <v>15052</v>
      </c>
    </row>
    <row r="1093">
      <c r="A1093" s="1">
        <v>49833.0</v>
      </c>
      <c r="B1093" s="1">
        <v>9041.0</v>
      </c>
      <c r="C1093" s="1">
        <v>1.612092436E9</v>
      </c>
      <c r="D1093" s="1">
        <v>4.0</v>
      </c>
      <c r="E1093" s="1" t="b">
        <v>0</v>
      </c>
      <c r="F1093" s="1" t="s">
        <v>15053</v>
      </c>
    </row>
    <row r="1094">
      <c r="A1094" s="1">
        <v>49833.0</v>
      </c>
      <c r="B1094" s="1">
        <v>8939.0</v>
      </c>
      <c r="C1094" s="1">
        <v>1.612092436E9</v>
      </c>
      <c r="D1094" s="1">
        <v>4.0</v>
      </c>
      <c r="E1094" s="1" t="b">
        <v>0</v>
      </c>
      <c r="F1094" s="1" t="s">
        <v>15054</v>
      </c>
    </row>
    <row r="1095">
      <c r="A1095" s="1">
        <v>49833.0</v>
      </c>
      <c r="B1095" s="1">
        <v>9081.0</v>
      </c>
      <c r="C1095" s="1">
        <v>1.61209244E9</v>
      </c>
      <c r="D1095" s="1">
        <v>4.0</v>
      </c>
      <c r="E1095" s="1" t="b">
        <v>0</v>
      </c>
      <c r="F1095" s="1" t="s">
        <v>15055</v>
      </c>
    </row>
    <row r="1096">
      <c r="A1096" s="1">
        <v>49833.0</v>
      </c>
      <c r="B1096" s="1">
        <v>8989.0</v>
      </c>
      <c r="C1096" s="1">
        <v>1.612092443E9</v>
      </c>
      <c r="D1096" s="1">
        <v>4.0</v>
      </c>
      <c r="E1096" s="1" t="b">
        <v>0</v>
      </c>
      <c r="F1096" s="1" t="s">
        <v>15056</v>
      </c>
    </row>
    <row r="1097">
      <c r="A1097" s="1">
        <v>49833.0</v>
      </c>
      <c r="B1097" s="1">
        <v>9018.0</v>
      </c>
      <c r="C1097" s="1">
        <v>1.612092445E9</v>
      </c>
      <c r="D1097" s="1">
        <v>4.0</v>
      </c>
      <c r="E1097" s="1" t="b">
        <v>0</v>
      </c>
      <c r="F1097" s="1" t="s">
        <v>15057</v>
      </c>
    </row>
    <row r="1098">
      <c r="A1098" s="1">
        <v>49833.0</v>
      </c>
      <c r="B1098" s="1">
        <v>8046.0</v>
      </c>
      <c r="C1098" s="1">
        <v>1.61194299E9</v>
      </c>
      <c r="D1098" s="1">
        <v>4.0</v>
      </c>
      <c r="E1098" s="1" t="b">
        <v>0</v>
      </c>
      <c r="F1098" s="1" t="s">
        <v>15058</v>
      </c>
    </row>
    <row r="1099">
      <c r="A1099" s="1">
        <v>49833.0</v>
      </c>
      <c r="B1099" s="1">
        <v>8063.0</v>
      </c>
      <c r="C1099" s="1">
        <v>1.611942995E9</v>
      </c>
      <c r="D1099" s="1">
        <v>4.0</v>
      </c>
      <c r="E1099" s="1" t="b">
        <v>0</v>
      </c>
      <c r="F1099" s="1" t="s">
        <v>15059</v>
      </c>
    </row>
    <row r="1100">
      <c r="A1100" s="1">
        <v>49833.0</v>
      </c>
      <c r="B1100" s="1">
        <v>8079.0</v>
      </c>
      <c r="C1100" s="1">
        <v>1.611942995E9</v>
      </c>
      <c r="D1100" s="1">
        <v>4.0</v>
      </c>
      <c r="E1100" s="1" t="b">
        <v>0</v>
      </c>
      <c r="F1100" s="1" t="s">
        <v>15060</v>
      </c>
    </row>
    <row r="1101">
      <c r="A1101" s="1">
        <v>49833.0</v>
      </c>
      <c r="B1101" s="1">
        <v>8094.0</v>
      </c>
      <c r="C1101" s="1">
        <v>1.611942997E9</v>
      </c>
      <c r="D1101" s="1">
        <v>4.0</v>
      </c>
      <c r="E1101" s="1" t="b">
        <v>0</v>
      </c>
      <c r="F1101" s="1" t="s">
        <v>15061</v>
      </c>
    </row>
    <row r="1102">
      <c r="A1102" s="1">
        <v>49833.0</v>
      </c>
      <c r="B1102" s="1">
        <v>8109.0</v>
      </c>
      <c r="C1102" s="1">
        <v>1.611943005E9</v>
      </c>
      <c r="D1102" s="1">
        <v>4.0</v>
      </c>
      <c r="E1102" s="1" t="b">
        <v>0</v>
      </c>
      <c r="F1102" s="1" t="s">
        <v>14413</v>
      </c>
    </row>
    <row r="1103">
      <c r="A1103" s="1">
        <v>49833.0</v>
      </c>
      <c r="B1103" s="1">
        <v>8057.0</v>
      </c>
      <c r="C1103" s="1">
        <v>1.611943007E9</v>
      </c>
      <c r="D1103" s="1">
        <v>4.0</v>
      </c>
      <c r="E1103" s="1" t="b">
        <v>0</v>
      </c>
      <c r="F1103" s="1" t="s">
        <v>15062</v>
      </c>
    </row>
    <row r="1104">
      <c r="A1104" s="1">
        <v>49833.0</v>
      </c>
      <c r="B1104" s="1">
        <v>3481.0</v>
      </c>
      <c r="C1104" s="1">
        <v>1.610554224E9</v>
      </c>
      <c r="D1104" s="1">
        <v>4.0</v>
      </c>
      <c r="E1104" s="1" t="b">
        <v>0</v>
      </c>
      <c r="F1104" s="1" t="s">
        <v>14437</v>
      </c>
    </row>
    <row r="1105">
      <c r="A1105" s="1">
        <v>49833.0</v>
      </c>
      <c r="B1105" s="1">
        <v>7583.0</v>
      </c>
      <c r="C1105" s="1">
        <v>1.611910014E9</v>
      </c>
      <c r="D1105" s="1">
        <v>4.0</v>
      </c>
      <c r="E1105" s="1" t="b">
        <v>0</v>
      </c>
      <c r="F1105" s="1" t="s">
        <v>15063</v>
      </c>
    </row>
    <row r="1106">
      <c r="A1106" s="1">
        <v>49833.0</v>
      </c>
      <c r="B1106" s="1">
        <v>8759.0</v>
      </c>
      <c r="C1106" s="1">
        <v>1.612029299E9</v>
      </c>
      <c r="D1106" s="1">
        <v>4.0</v>
      </c>
      <c r="E1106" s="1" t="b">
        <v>0</v>
      </c>
      <c r="F1106" s="1" t="s">
        <v>15064</v>
      </c>
    </row>
    <row r="1107">
      <c r="A1107" s="1">
        <v>49833.0</v>
      </c>
      <c r="B1107" s="1">
        <v>5801.0</v>
      </c>
      <c r="C1107" s="1">
        <v>1.612165224E9</v>
      </c>
      <c r="D1107" s="1">
        <v>4.0</v>
      </c>
      <c r="E1107" s="1" t="b">
        <v>0</v>
      </c>
      <c r="F1107" s="1" t="s">
        <v>15065</v>
      </c>
    </row>
    <row r="1108">
      <c r="A1108" s="1">
        <v>49833.0</v>
      </c>
      <c r="B1108" s="1">
        <v>6278.0</v>
      </c>
      <c r="C1108" s="1">
        <v>1.611598861E9</v>
      </c>
      <c r="D1108" s="1">
        <v>4.0</v>
      </c>
      <c r="E1108" s="1" t="b">
        <v>0</v>
      </c>
      <c r="F1108" s="1" t="s">
        <v>15066</v>
      </c>
    </row>
    <row r="1109">
      <c r="A1109" s="1">
        <v>49833.0</v>
      </c>
      <c r="B1109" s="1">
        <v>6585.0</v>
      </c>
      <c r="C1109" s="1">
        <v>1.611764328E9</v>
      </c>
      <c r="D1109" s="1">
        <v>4.0</v>
      </c>
      <c r="E1109" s="1" t="b">
        <v>0</v>
      </c>
      <c r="F1109" s="1" t="s">
        <v>15067</v>
      </c>
    </row>
    <row r="1110">
      <c r="A1110" s="1">
        <v>49833.0</v>
      </c>
      <c r="B1110" s="1">
        <v>10731.0</v>
      </c>
      <c r="C1110" s="1">
        <v>1.612582579E9</v>
      </c>
      <c r="D1110" s="1">
        <v>4.0</v>
      </c>
      <c r="E1110" s="1" t="b">
        <v>0</v>
      </c>
      <c r="F1110" s="1" t="s">
        <v>15068</v>
      </c>
    </row>
    <row r="1111">
      <c r="A1111" s="1">
        <v>49833.0</v>
      </c>
      <c r="B1111" s="1">
        <v>6225.0</v>
      </c>
      <c r="C1111" s="1">
        <v>1.611598851E9</v>
      </c>
      <c r="D1111" s="1">
        <v>4.0</v>
      </c>
      <c r="E1111" s="1" t="b">
        <v>0</v>
      </c>
      <c r="F1111" s="1" t="s">
        <v>15069</v>
      </c>
    </row>
    <row r="1112">
      <c r="A1112" s="1">
        <v>49833.0</v>
      </c>
      <c r="B1112" s="1">
        <v>16811.0</v>
      </c>
      <c r="C1112" s="1">
        <v>1.618436E9</v>
      </c>
      <c r="D1112" s="1">
        <v>4.0</v>
      </c>
      <c r="E1112" s="1" t="b">
        <v>0</v>
      </c>
      <c r="F1112" s="1" t="s">
        <v>15070</v>
      </c>
    </row>
    <row r="1113">
      <c r="A1113" s="1">
        <v>49833.0</v>
      </c>
      <c r="B1113" s="1">
        <v>16497.0</v>
      </c>
      <c r="C1113" s="1">
        <v>1.616852557E9</v>
      </c>
      <c r="D1113" s="1">
        <v>4.0</v>
      </c>
      <c r="E1113" s="1" t="b">
        <v>0</v>
      </c>
      <c r="F1113" s="1" t="s">
        <v>15071</v>
      </c>
    </row>
    <row r="1114">
      <c r="A1114" s="1">
        <v>49833.0</v>
      </c>
      <c r="B1114" s="1">
        <v>5546.0</v>
      </c>
      <c r="C1114" s="1">
        <v>1.611505843E9</v>
      </c>
      <c r="D1114" s="1">
        <v>4.0</v>
      </c>
      <c r="E1114" s="1" t="b">
        <v>0</v>
      </c>
      <c r="F1114" s="1" t="s">
        <v>15072</v>
      </c>
    </row>
    <row r="1115">
      <c r="A1115" s="1">
        <v>49833.0</v>
      </c>
      <c r="B1115" s="1">
        <v>6817.0</v>
      </c>
      <c r="C1115" s="1">
        <v>1.611943E9</v>
      </c>
      <c r="D1115" s="1">
        <v>4.0</v>
      </c>
      <c r="E1115" s="1" t="b">
        <v>0</v>
      </c>
      <c r="F1115" s="1" t="s">
        <v>15073</v>
      </c>
    </row>
    <row r="1116">
      <c r="A1116" s="1">
        <v>49833.0</v>
      </c>
      <c r="B1116" s="1">
        <v>12392.0</v>
      </c>
      <c r="C1116" s="1">
        <v>1.613013022E9</v>
      </c>
      <c r="D1116" s="1">
        <v>4.0</v>
      </c>
      <c r="E1116" s="1" t="b">
        <v>0</v>
      </c>
      <c r="F1116" s="1" t="s">
        <v>15074</v>
      </c>
    </row>
    <row r="1117">
      <c r="A1117" s="1">
        <v>49833.0</v>
      </c>
      <c r="B1117" s="1">
        <v>12954.0</v>
      </c>
      <c r="C1117" s="1">
        <v>1.613132739E9</v>
      </c>
      <c r="D1117" s="1">
        <v>4.0</v>
      </c>
      <c r="E1117" s="1" t="b">
        <v>0</v>
      </c>
      <c r="F1117" s="1" t="s">
        <v>15075</v>
      </c>
    </row>
    <row r="1118">
      <c r="A1118" s="1">
        <v>49833.0</v>
      </c>
      <c r="B1118" s="1">
        <v>8411.0</v>
      </c>
      <c r="C1118" s="1">
        <v>1.611999188E9</v>
      </c>
      <c r="D1118" s="1">
        <v>4.0</v>
      </c>
      <c r="E1118" s="1" t="b">
        <v>0</v>
      </c>
      <c r="F1118" s="1" t="s">
        <v>15076</v>
      </c>
    </row>
    <row r="1119">
      <c r="A1119" s="1">
        <v>49833.0</v>
      </c>
      <c r="B1119" s="1">
        <v>8407.0</v>
      </c>
      <c r="C1119" s="1">
        <v>1.611999189E9</v>
      </c>
      <c r="D1119" s="1">
        <v>4.0</v>
      </c>
      <c r="E1119" s="1" t="b">
        <v>0</v>
      </c>
      <c r="F1119" s="1" t="s">
        <v>15077</v>
      </c>
    </row>
    <row r="1120">
      <c r="A1120" s="1">
        <v>49833.0</v>
      </c>
      <c r="B1120" s="1">
        <v>8439.0</v>
      </c>
      <c r="C1120" s="1">
        <v>1.611999194E9</v>
      </c>
      <c r="D1120" s="1">
        <v>4.0</v>
      </c>
      <c r="E1120" s="1" t="b">
        <v>0</v>
      </c>
      <c r="F1120" s="1" t="s">
        <v>15078</v>
      </c>
    </row>
    <row r="1121">
      <c r="A1121" s="1">
        <v>49833.0</v>
      </c>
      <c r="B1121" s="1">
        <v>6986.0</v>
      </c>
      <c r="C1121" s="1">
        <v>1.612624612E9</v>
      </c>
      <c r="D1121" s="1">
        <v>4.0</v>
      </c>
      <c r="E1121" s="1" t="b">
        <v>0</v>
      </c>
      <c r="F1121" s="1" t="s">
        <v>15079</v>
      </c>
    </row>
    <row r="1122">
      <c r="A1122" s="1">
        <v>49833.0</v>
      </c>
      <c r="B1122" s="1">
        <v>9567.0</v>
      </c>
      <c r="C1122" s="1">
        <v>1.61232397E9</v>
      </c>
      <c r="D1122" s="1">
        <v>4.0</v>
      </c>
      <c r="E1122" s="1" t="b">
        <v>0</v>
      </c>
      <c r="F1122" s="1" t="s">
        <v>15080</v>
      </c>
    </row>
    <row r="1123">
      <c r="A1123" s="1">
        <v>49833.0</v>
      </c>
      <c r="B1123" s="1">
        <v>9741.0</v>
      </c>
      <c r="C1123" s="1">
        <v>1.612323972E9</v>
      </c>
      <c r="D1123" s="1">
        <v>4.0</v>
      </c>
      <c r="E1123" s="1" t="b">
        <v>0</v>
      </c>
      <c r="F1123" s="1" t="s">
        <v>15081</v>
      </c>
    </row>
    <row r="1124">
      <c r="A1124" s="1">
        <v>49833.0</v>
      </c>
      <c r="B1124" s="1">
        <v>9819.0</v>
      </c>
      <c r="C1124" s="1">
        <v>1.612323974E9</v>
      </c>
      <c r="D1124" s="1">
        <v>4.0</v>
      </c>
      <c r="E1124" s="1" t="b">
        <v>0</v>
      </c>
      <c r="F1124" s="1" t="s">
        <v>15082</v>
      </c>
    </row>
    <row r="1125">
      <c r="A1125" s="1">
        <v>49833.0</v>
      </c>
      <c r="B1125" s="1">
        <v>9775.0</v>
      </c>
      <c r="C1125" s="1">
        <v>1.612323975E9</v>
      </c>
      <c r="D1125" s="1">
        <v>4.0</v>
      </c>
      <c r="E1125" s="1" t="b">
        <v>0</v>
      </c>
      <c r="F1125" s="1" t="s">
        <v>15083</v>
      </c>
    </row>
    <row r="1126">
      <c r="A1126" s="1">
        <v>49833.0</v>
      </c>
      <c r="B1126" s="1">
        <v>9802.0</v>
      </c>
      <c r="C1126" s="1">
        <v>1.612323978E9</v>
      </c>
      <c r="D1126" s="1">
        <v>4.0</v>
      </c>
      <c r="E1126" s="1" t="b">
        <v>0</v>
      </c>
      <c r="F1126" s="1" t="s">
        <v>15084</v>
      </c>
    </row>
    <row r="1127">
      <c r="A1127" s="1">
        <v>49833.0</v>
      </c>
      <c r="B1127" s="1">
        <v>8554.0</v>
      </c>
      <c r="C1127" s="1">
        <v>1.612029324E9</v>
      </c>
      <c r="D1127" s="1">
        <v>4.0</v>
      </c>
      <c r="E1127" s="1" t="b">
        <v>0</v>
      </c>
      <c r="F1127" s="1" t="s">
        <v>15085</v>
      </c>
    </row>
    <row r="1128">
      <c r="A1128" s="1">
        <v>49833.0</v>
      </c>
      <c r="B1128" s="1">
        <v>6189.0</v>
      </c>
      <c r="C1128" s="1">
        <v>1.612671201E9</v>
      </c>
      <c r="D1128" s="1">
        <v>4.0</v>
      </c>
      <c r="E1128" s="1" t="b">
        <v>0</v>
      </c>
      <c r="F1128" s="1" t="s">
        <v>15086</v>
      </c>
    </row>
    <row r="1129">
      <c r="A1129" s="1">
        <v>49833.0</v>
      </c>
      <c r="B1129" s="1">
        <v>8547.0</v>
      </c>
      <c r="C1129" s="1">
        <v>1.612029322E9</v>
      </c>
      <c r="D1129" s="1">
        <v>4.0</v>
      </c>
      <c r="E1129" s="1" t="b">
        <v>0</v>
      </c>
      <c r="F1129" s="1" t="s">
        <v>15087</v>
      </c>
    </row>
    <row r="1130">
      <c r="A1130" s="1">
        <v>49833.0</v>
      </c>
      <c r="B1130" s="1">
        <v>16698.0</v>
      </c>
      <c r="C1130" s="1">
        <v>1.617783279E9</v>
      </c>
      <c r="D1130" s="1">
        <v>4.0</v>
      </c>
      <c r="E1130" s="1" t="b">
        <v>0</v>
      </c>
      <c r="F1130" s="1" t="s">
        <v>15088</v>
      </c>
    </row>
    <row r="1131">
      <c r="A1131" s="1">
        <v>49833.0</v>
      </c>
      <c r="B1131" s="1">
        <v>20157.0</v>
      </c>
      <c r="C1131" s="1">
        <v>1.623849289E9</v>
      </c>
      <c r="D1131" s="1">
        <v>4.0</v>
      </c>
      <c r="E1131" s="1" t="b">
        <v>0</v>
      </c>
      <c r="F1131" s="1" t="s">
        <v>15089</v>
      </c>
    </row>
    <row r="1132">
      <c r="A1132" s="1">
        <v>49833.0</v>
      </c>
      <c r="B1132" s="1">
        <v>19665.0</v>
      </c>
      <c r="C1132" s="1">
        <v>1.623136846E9</v>
      </c>
      <c r="D1132" s="1">
        <v>4.0</v>
      </c>
      <c r="E1132" s="1" t="b">
        <v>0</v>
      </c>
      <c r="F1132" s="1" t="s">
        <v>15090</v>
      </c>
    </row>
    <row r="1133">
      <c r="A1133" s="1">
        <v>49833.0</v>
      </c>
      <c r="B1133" s="1">
        <v>16696.0</v>
      </c>
      <c r="C1133" s="1">
        <v>1.617783292E9</v>
      </c>
      <c r="D1133" s="1">
        <v>4.0</v>
      </c>
      <c r="E1133" s="1" t="b">
        <v>0</v>
      </c>
      <c r="F1133" s="1" t="s">
        <v>15091</v>
      </c>
    </row>
    <row r="1134">
      <c r="A1134" s="1">
        <v>49833.0</v>
      </c>
      <c r="B1134" s="1">
        <v>1969.0</v>
      </c>
      <c r="C1134" s="1">
        <v>1.607096907E9</v>
      </c>
      <c r="D1134" s="1">
        <v>4.0</v>
      </c>
      <c r="E1134" s="1" t="b">
        <v>0</v>
      </c>
      <c r="F1134" s="1" t="s">
        <v>15092</v>
      </c>
    </row>
    <row r="1135">
      <c r="A1135" s="1">
        <v>49833.0</v>
      </c>
      <c r="B1135" s="1">
        <v>8504.0</v>
      </c>
      <c r="C1135" s="1">
        <v>1.612029325E9</v>
      </c>
      <c r="D1135" s="1">
        <v>4.0</v>
      </c>
      <c r="E1135" s="1" t="b">
        <v>0</v>
      </c>
      <c r="F1135" s="1" t="s">
        <v>15093</v>
      </c>
    </row>
    <row r="1136">
      <c r="A1136" s="1">
        <v>49833.0</v>
      </c>
      <c r="B1136" s="1">
        <v>8549.0</v>
      </c>
      <c r="C1136" s="1">
        <v>1.612029326E9</v>
      </c>
      <c r="D1136" s="1">
        <v>4.0</v>
      </c>
      <c r="E1136" s="1" t="b">
        <v>0</v>
      </c>
      <c r="F1136" s="1" t="s">
        <v>15055</v>
      </c>
    </row>
    <row r="1137">
      <c r="A1137" s="1">
        <v>49833.0</v>
      </c>
      <c r="B1137" s="1">
        <v>8528.0</v>
      </c>
      <c r="C1137" s="1">
        <v>1.612029328E9</v>
      </c>
      <c r="D1137" s="1">
        <v>4.0</v>
      </c>
      <c r="E1137" s="1" t="b">
        <v>0</v>
      </c>
      <c r="F1137" s="1" t="s">
        <v>15094</v>
      </c>
    </row>
    <row r="1138">
      <c r="A1138" s="1">
        <v>49833.0</v>
      </c>
      <c r="B1138" s="1">
        <v>4535.0</v>
      </c>
      <c r="C1138" s="1">
        <v>1.61115757E9</v>
      </c>
      <c r="D1138" s="1">
        <v>4.0</v>
      </c>
      <c r="E1138" s="1" t="b">
        <v>0</v>
      </c>
      <c r="F1138" s="1" t="s">
        <v>15095</v>
      </c>
    </row>
    <row r="1139">
      <c r="A1139" s="1">
        <v>49833.0</v>
      </c>
      <c r="B1139" s="1">
        <v>9005.0</v>
      </c>
      <c r="C1139" s="1">
        <v>1.622013419E9</v>
      </c>
      <c r="D1139" s="1">
        <v>4.0</v>
      </c>
      <c r="E1139" s="1" t="b">
        <v>0</v>
      </c>
      <c r="F1139" s="1" t="s">
        <v>15096</v>
      </c>
    </row>
    <row r="1140">
      <c r="A1140" s="1">
        <v>49833.0</v>
      </c>
      <c r="B1140" s="1">
        <v>11481.0</v>
      </c>
      <c r="C1140" s="1">
        <v>1.615118139E9</v>
      </c>
      <c r="D1140" s="1">
        <v>4.0</v>
      </c>
      <c r="E1140" s="1" t="b">
        <v>0</v>
      </c>
      <c r="F1140" s="1" t="s">
        <v>15097</v>
      </c>
    </row>
    <row r="1141">
      <c r="A1141" s="1">
        <v>49833.0</v>
      </c>
      <c r="B1141" s="1">
        <v>7779.0</v>
      </c>
      <c r="C1141" s="1">
        <v>1.611911878E9</v>
      </c>
      <c r="D1141" s="1">
        <v>4.0</v>
      </c>
      <c r="E1141" s="1" t="b">
        <v>0</v>
      </c>
      <c r="F1141" s="1" t="s">
        <v>15098</v>
      </c>
    </row>
    <row r="1142">
      <c r="A1142" s="1">
        <v>49833.0</v>
      </c>
      <c r="B1142" s="1">
        <v>6944.0</v>
      </c>
      <c r="C1142" s="1">
        <v>1.611764348E9</v>
      </c>
      <c r="D1142" s="1">
        <v>4.0</v>
      </c>
      <c r="E1142" s="1" t="b">
        <v>0</v>
      </c>
      <c r="F1142" s="1" t="s">
        <v>15099</v>
      </c>
    </row>
    <row r="1143">
      <c r="A1143" s="1">
        <v>49833.0</v>
      </c>
      <c r="B1143" s="1">
        <v>8221.0</v>
      </c>
      <c r="C1143" s="1">
        <v>1.611999164E9</v>
      </c>
      <c r="D1143" s="1">
        <v>4.0</v>
      </c>
      <c r="E1143" s="1" t="b">
        <v>0</v>
      </c>
      <c r="F1143" s="1" t="s">
        <v>15100</v>
      </c>
    </row>
    <row r="1144">
      <c r="A1144" s="1">
        <v>49833.0</v>
      </c>
      <c r="B1144" s="1">
        <v>8256.0</v>
      </c>
      <c r="C1144" s="1">
        <v>1.611999176E9</v>
      </c>
      <c r="D1144" s="1">
        <v>4.0</v>
      </c>
      <c r="E1144" s="1" t="b">
        <v>0</v>
      </c>
      <c r="F1144" s="1" t="s">
        <v>15101</v>
      </c>
    </row>
    <row r="1145">
      <c r="A1145" s="1">
        <v>49833.0</v>
      </c>
      <c r="B1145" s="1">
        <v>8475.0</v>
      </c>
      <c r="C1145" s="1">
        <v>1.61199919E9</v>
      </c>
      <c r="D1145" s="1">
        <v>4.0</v>
      </c>
      <c r="E1145" s="1" t="b">
        <v>0</v>
      </c>
      <c r="F1145" s="1" t="s">
        <v>15102</v>
      </c>
    </row>
    <row r="1146">
      <c r="A1146" s="1">
        <v>49833.0</v>
      </c>
      <c r="B1146" s="1">
        <v>8479.0</v>
      </c>
      <c r="C1146" s="1">
        <v>1.611999192E9</v>
      </c>
      <c r="D1146" s="1">
        <v>4.0</v>
      </c>
      <c r="E1146" s="1" t="b">
        <v>0</v>
      </c>
      <c r="F1146" s="1" t="s">
        <v>15023</v>
      </c>
    </row>
    <row r="1147">
      <c r="A1147" s="1">
        <v>49833.0</v>
      </c>
      <c r="B1147" s="1">
        <v>8476.0</v>
      </c>
      <c r="C1147" s="1">
        <v>1.611999193E9</v>
      </c>
      <c r="D1147" s="1">
        <v>4.0</v>
      </c>
      <c r="E1147" s="1" t="b">
        <v>0</v>
      </c>
      <c r="F1147" s="1" t="s">
        <v>15103</v>
      </c>
    </row>
    <row r="1148">
      <c r="A1148" s="1">
        <v>49833.0</v>
      </c>
      <c r="B1148" s="1">
        <v>12204.0</v>
      </c>
      <c r="C1148" s="1">
        <v>1.61311537E9</v>
      </c>
      <c r="D1148" s="1">
        <v>4.0</v>
      </c>
      <c r="E1148" s="1" t="b">
        <v>0</v>
      </c>
      <c r="F1148" s="1" t="s">
        <v>15104</v>
      </c>
    </row>
    <row r="1149">
      <c r="A1149" s="1">
        <v>49833.0</v>
      </c>
      <c r="B1149" s="1">
        <v>10806.0</v>
      </c>
      <c r="C1149" s="1">
        <v>1.612594207E9</v>
      </c>
      <c r="D1149" s="1">
        <v>4.0</v>
      </c>
      <c r="E1149" s="1" t="b">
        <v>0</v>
      </c>
      <c r="F1149" s="1" t="s">
        <v>15105</v>
      </c>
    </row>
    <row r="1150">
      <c r="A1150" s="1">
        <v>49833.0</v>
      </c>
      <c r="B1150" s="1">
        <v>19696.0</v>
      </c>
      <c r="C1150" s="1">
        <v>1.623172839E9</v>
      </c>
      <c r="D1150" s="1">
        <v>4.0</v>
      </c>
      <c r="E1150" s="1" t="b">
        <v>0</v>
      </c>
      <c r="F1150" s="1" t="s">
        <v>15106</v>
      </c>
    </row>
    <row r="1151">
      <c r="A1151" s="1">
        <v>49833.0</v>
      </c>
      <c r="B1151" s="1">
        <v>12031.0</v>
      </c>
      <c r="C1151" s="1">
        <v>1.612888032E9</v>
      </c>
      <c r="D1151" s="1">
        <v>4.0</v>
      </c>
      <c r="E1151" s="1" t="b">
        <v>0</v>
      </c>
      <c r="F1151" s="1" t="s">
        <v>15107</v>
      </c>
    </row>
    <row r="1152">
      <c r="A1152" s="1">
        <v>49833.0</v>
      </c>
      <c r="B1152" s="1">
        <v>7065.0</v>
      </c>
      <c r="C1152" s="1">
        <v>1.611834705E9</v>
      </c>
      <c r="D1152" s="1">
        <v>4.0</v>
      </c>
      <c r="E1152" s="1" t="b">
        <v>0</v>
      </c>
      <c r="F1152" s="1" t="s">
        <v>15108</v>
      </c>
    </row>
    <row r="1153">
      <c r="A1153" s="1">
        <v>49833.0</v>
      </c>
      <c r="B1153" s="1">
        <v>11739.0</v>
      </c>
      <c r="C1153" s="1">
        <v>1.612855408E9</v>
      </c>
      <c r="D1153" s="1">
        <v>4.0</v>
      </c>
      <c r="E1153" s="1" t="b">
        <v>0</v>
      </c>
      <c r="F1153" s="1" t="s">
        <v>15109</v>
      </c>
    </row>
    <row r="1154">
      <c r="A1154" s="1">
        <v>49833.0</v>
      </c>
      <c r="B1154" s="1">
        <v>8973.0</v>
      </c>
      <c r="C1154" s="1">
        <v>1.612092425E9</v>
      </c>
      <c r="D1154" s="1">
        <v>4.0</v>
      </c>
      <c r="E1154" s="1" t="b">
        <v>0</v>
      </c>
      <c r="F1154" s="1" t="s">
        <v>15110</v>
      </c>
    </row>
    <row r="1155">
      <c r="A1155" s="1">
        <v>49833.0</v>
      </c>
      <c r="B1155" s="1">
        <v>8618.0</v>
      </c>
      <c r="C1155" s="1">
        <v>1.612029302E9</v>
      </c>
      <c r="D1155" s="1">
        <v>4.0</v>
      </c>
      <c r="E1155" s="1" t="b">
        <v>0</v>
      </c>
      <c r="F1155" s="1" t="s">
        <v>15111</v>
      </c>
    </row>
    <row r="1156">
      <c r="A1156" s="1">
        <v>49833.0</v>
      </c>
      <c r="B1156" s="1">
        <v>8746.0</v>
      </c>
      <c r="C1156" s="1">
        <v>1.612029331E9</v>
      </c>
      <c r="D1156" s="1">
        <v>4.0</v>
      </c>
      <c r="E1156" s="1" t="b">
        <v>0</v>
      </c>
      <c r="F1156" s="1" t="s">
        <v>15112</v>
      </c>
    </row>
    <row r="1157">
      <c r="A1157" s="1">
        <v>49833.0</v>
      </c>
      <c r="B1157" s="1">
        <v>8569.0</v>
      </c>
      <c r="C1157" s="1">
        <v>1.612029335E9</v>
      </c>
      <c r="D1157" s="1">
        <v>4.0</v>
      </c>
      <c r="E1157" s="1" t="b">
        <v>0</v>
      </c>
      <c r="F1157" s="1" t="s">
        <v>15113</v>
      </c>
    </row>
    <row r="1158">
      <c r="A1158" s="1">
        <v>49833.0</v>
      </c>
      <c r="B1158" s="1">
        <v>8591.0</v>
      </c>
      <c r="C1158" s="1">
        <v>1.612029339E9</v>
      </c>
      <c r="D1158" s="1">
        <v>4.0</v>
      </c>
      <c r="E1158" s="1" t="b">
        <v>0</v>
      </c>
      <c r="F1158" s="1" t="s">
        <v>15114</v>
      </c>
    </row>
    <row r="1159">
      <c r="A1159" s="1">
        <v>49833.0</v>
      </c>
      <c r="B1159" s="1">
        <v>12153.0</v>
      </c>
      <c r="C1159" s="1">
        <v>1.612933102E9</v>
      </c>
      <c r="D1159" s="1">
        <v>4.0</v>
      </c>
      <c r="E1159" s="1" t="b">
        <v>0</v>
      </c>
      <c r="F1159" s="1" t="s">
        <v>15115</v>
      </c>
    </row>
    <row r="1160">
      <c r="A1160" s="1">
        <v>49833.0</v>
      </c>
      <c r="B1160" s="1">
        <v>3111.0</v>
      </c>
      <c r="C1160" s="1">
        <v>1.609861994E9</v>
      </c>
      <c r="D1160" s="1">
        <v>4.0</v>
      </c>
      <c r="E1160" s="1" t="b">
        <v>0</v>
      </c>
      <c r="F1160" s="1" t="s">
        <v>15116</v>
      </c>
    </row>
    <row r="1161">
      <c r="A1161" s="1">
        <v>49833.0</v>
      </c>
      <c r="B1161" s="1">
        <v>16645.0</v>
      </c>
      <c r="C1161" s="1">
        <v>1.617697917E9</v>
      </c>
      <c r="D1161" s="1">
        <v>4.0</v>
      </c>
      <c r="E1161" s="1" t="b">
        <v>0</v>
      </c>
      <c r="F1161" s="1" t="s">
        <v>15117</v>
      </c>
    </row>
    <row r="1162">
      <c r="A1162" s="1">
        <v>49833.0</v>
      </c>
      <c r="B1162" s="1">
        <v>5728.0</v>
      </c>
      <c r="C1162" s="1">
        <v>1.611502282E9</v>
      </c>
      <c r="D1162" s="1">
        <v>4.0</v>
      </c>
      <c r="E1162" s="1" t="b">
        <v>0</v>
      </c>
      <c r="F1162" s="1" t="s">
        <v>15118</v>
      </c>
    </row>
    <row r="1163">
      <c r="A1163" s="1">
        <v>49833.0</v>
      </c>
      <c r="B1163" s="1">
        <v>12736.0</v>
      </c>
      <c r="C1163" s="1">
        <v>1.613052368E9</v>
      </c>
      <c r="D1163" s="1">
        <v>4.0</v>
      </c>
      <c r="E1163" s="1" t="b">
        <v>0</v>
      </c>
      <c r="F1163" s="1" t="s">
        <v>14259</v>
      </c>
    </row>
    <row r="1164">
      <c r="A1164" s="1">
        <v>49833.0</v>
      </c>
      <c r="B1164" s="1">
        <v>17112.0</v>
      </c>
      <c r="C1164" s="1">
        <v>1.619077078E9</v>
      </c>
      <c r="D1164" s="1">
        <v>4.0</v>
      </c>
      <c r="E1164" s="1" t="b">
        <v>0</v>
      </c>
      <c r="F1164" s="1" t="s">
        <v>15119</v>
      </c>
    </row>
    <row r="1165">
      <c r="A1165" s="1">
        <v>49833.0</v>
      </c>
      <c r="B1165" s="1">
        <v>18898.0</v>
      </c>
      <c r="C1165" s="1">
        <v>1.622113988E9</v>
      </c>
      <c r="D1165" s="1">
        <v>4.0</v>
      </c>
      <c r="E1165" s="1" t="b">
        <v>0</v>
      </c>
      <c r="F1165" s="1" t="s">
        <v>15120</v>
      </c>
    </row>
    <row r="1166">
      <c r="A1166" s="1">
        <v>49833.0</v>
      </c>
      <c r="B1166" s="1">
        <v>17109.0</v>
      </c>
      <c r="C1166" s="1">
        <v>1.619077065E9</v>
      </c>
      <c r="D1166" s="1">
        <v>4.0</v>
      </c>
      <c r="E1166" s="1" t="b">
        <v>0</v>
      </c>
      <c r="F1166" s="1" t="s">
        <v>15121</v>
      </c>
    </row>
    <row r="1167">
      <c r="A1167" s="1">
        <v>49833.0</v>
      </c>
      <c r="B1167" s="1">
        <v>8967.0</v>
      </c>
      <c r="C1167" s="1">
        <v>1.612092422E9</v>
      </c>
      <c r="D1167" s="1">
        <v>4.0</v>
      </c>
      <c r="E1167" s="1" t="b">
        <v>0</v>
      </c>
      <c r="F1167" s="1" t="s">
        <v>15122</v>
      </c>
    </row>
    <row r="1168">
      <c r="A1168" s="1">
        <v>49833.0</v>
      </c>
      <c r="B1168" s="1">
        <v>12912.0</v>
      </c>
      <c r="C1168" s="1">
        <v>1.613115365E9</v>
      </c>
      <c r="D1168" s="1">
        <v>4.0</v>
      </c>
      <c r="E1168" s="1" t="b">
        <v>0</v>
      </c>
      <c r="F1168" s="1" t="s">
        <v>15123</v>
      </c>
    </row>
    <row r="1169">
      <c r="A1169" s="1">
        <v>49833.0</v>
      </c>
      <c r="B1169" s="1">
        <v>17101.0</v>
      </c>
      <c r="C1169" s="1">
        <v>1.619077064E9</v>
      </c>
      <c r="D1169" s="1">
        <v>4.0</v>
      </c>
      <c r="E1169" s="1" t="b">
        <v>0</v>
      </c>
      <c r="F1169" s="1" t="s">
        <v>15124</v>
      </c>
    </row>
    <row r="1170">
      <c r="A1170" s="1">
        <v>49833.0</v>
      </c>
      <c r="B1170" s="1">
        <v>17108.0</v>
      </c>
      <c r="C1170" s="1">
        <v>1.619077062E9</v>
      </c>
      <c r="D1170" s="1">
        <v>4.0</v>
      </c>
      <c r="E1170" s="1" t="b">
        <v>0</v>
      </c>
      <c r="F1170" s="1" t="s">
        <v>15125</v>
      </c>
    </row>
    <row r="1171">
      <c r="A1171" s="1">
        <v>49833.0</v>
      </c>
      <c r="B1171" s="1">
        <v>17107.0</v>
      </c>
      <c r="C1171" s="1">
        <v>1.619077061E9</v>
      </c>
      <c r="D1171" s="1">
        <v>4.0</v>
      </c>
      <c r="E1171" s="1" t="b">
        <v>0</v>
      </c>
      <c r="F1171" s="1" t="s">
        <v>15126</v>
      </c>
    </row>
    <row r="1172">
      <c r="A1172" s="1">
        <v>49833.0</v>
      </c>
      <c r="B1172" s="1">
        <v>17105.0</v>
      </c>
      <c r="C1172" s="1">
        <v>1.61907706E9</v>
      </c>
      <c r="D1172" s="1">
        <v>4.0</v>
      </c>
      <c r="E1172" s="1" t="b">
        <v>0</v>
      </c>
      <c r="F1172" s="1" t="s">
        <v>15127</v>
      </c>
    </row>
    <row r="1173">
      <c r="A1173" s="1">
        <v>49833.0</v>
      </c>
      <c r="B1173" s="1">
        <v>8804.0</v>
      </c>
      <c r="C1173" s="1">
        <v>1.61209241E9</v>
      </c>
      <c r="D1173" s="1">
        <v>4.0</v>
      </c>
      <c r="E1173" s="1" t="b">
        <v>0</v>
      </c>
      <c r="F1173" s="1" t="s">
        <v>15128</v>
      </c>
    </row>
    <row r="1174">
      <c r="A1174" s="1">
        <v>49833.0</v>
      </c>
      <c r="B1174" s="1">
        <v>8988.0</v>
      </c>
      <c r="C1174" s="1">
        <v>1.612092431E9</v>
      </c>
      <c r="D1174" s="1">
        <v>4.0</v>
      </c>
      <c r="E1174" s="1" t="b">
        <v>0</v>
      </c>
      <c r="F1174" s="1" t="s">
        <v>15129</v>
      </c>
    </row>
    <row r="1175">
      <c r="A1175" s="1">
        <v>49833.0</v>
      </c>
      <c r="B1175" s="1">
        <v>9001.0</v>
      </c>
      <c r="C1175" s="1">
        <v>1.612092434E9</v>
      </c>
      <c r="D1175" s="1">
        <v>4.0</v>
      </c>
      <c r="E1175" s="1" t="b">
        <v>0</v>
      </c>
      <c r="F1175" s="1" t="s">
        <v>14425</v>
      </c>
    </row>
    <row r="1176">
      <c r="A1176" s="1">
        <v>49833.0</v>
      </c>
      <c r="B1176" s="1">
        <v>8957.0</v>
      </c>
      <c r="C1176" s="1">
        <v>1.612092439E9</v>
      </c>
      <c r="D1176" s="1">
        <v>4.0</v>
      </c>
      <c r="E1176" s="1" t="b">
        <v>0</v>
      </c>
      <c r="F1176" s="1" t="s">
        <v>15130</v>
      </c>
    </row>
    <row r="1177">
      <c r="A1177" s="1">
        <v>49833.0</v>
      </c>
      <c r="B1177" s="1">
        <v>9088.0</v>
      </c>
      <c r="C1177" s="1">
        <v>1.612092452E9</v>
      </c>
      <c r="D1177" s="1">
        <v>4.0</v>
      </c>
      <c r="E1177" s="1" t="b">
        <v>0</v>
      </c>
      <c r="F1177" s="1" t="s">
        <v>15131</v>
      </c>
    </row>
    <row r="1178">
      <c r="A1178" s="1">
        <v>49833.0</v>
      </c>
      <c r="B1178" s="1">
        <v>9010.0</v>
      </c>
      <c r="C1178" s="1">
        <v>1.61209246E9</v>
      </c>
      <c r="D1178" s="1">
        <v>4.0</v>
      </c>
      <c r="E1178" s="1" t="b">
        <v>0</v>
      </c>
      <c r="F1178" s="1" t="s">
        <v>15132</v>
      </c>
    </row>
    <row r="1179">
      <c r="A1179" s="1">
        <v>49833.0</v>
      </c>
      <c r="B1179" s="1">
        <v>9122.0</v>
      </c>
      <c r="C1179" s="1">
        <v>1.6121579E9</v>
      </c>
      <c r="D1179" s="1">
        <v>4.0</v>
      </c>
      <c r="E1179" s="1" t="b">
        <v>0</v>
      </c>
      <c r="F1179" s="1" t="s">
        <v>15133</v>
      </c>
    </row>
    <row r="1180">
      <c r="A1180" s="1">
        <v>49833.0</v>
      </c>
      <c r="B1180" s="1">
        <v>17060.0</v>
      </c>
      <c r="C1180" s="1">
        <v>1.619077082E9</v>
      </c>
      <c r="D1180" s="1">
        <v>4.0</v>
      </c>
      <c r="E1180" s="1" t="b">
        <v>0</v>
      </c>
      <c r="F1180" s="1" t="s">
        <v>15134</v>
      </c>
    </row>
    <row r="1181">
      <c r="A1181" s="1">
        <v>49833.0</v>
      </c>
      <c r="B1181" s="1">
        <v>9133.0</v>
      </c>
      <c r="C1181" s="1">
        <v>1.612157904E9</v>
      </c>
      <c r="D1181" s="1">
        <v>4.0</v>
      </c>
      <c r="E1181" s="1" t="b">
        <v>0</v>
      </c>
      <c r="F1181" s="1" t="s">
        <v>15135</v>
      </c>
    </row>
    <row r="1182">
      <c r="A1182" s="1">
        <v>49833.0</v>
      </c>
      <c r="B1182" s="1">
        <v>9127.0</v>
      </c>
      <c r="C1182" s="1">
        <v>1.612157902E9</v>
      </c>
      <c r="D1182" s="1">
        <v>4.0</v>
      </c>
      <c r="E1182" s="1" t="b">
        <v>0</v>
      </c>
      <c r="F1182" s="1" t="s">
        <v>15136</v>
      </c>
    </row>
    <row r="1183">
      <c r="A1183" s="1">
        <v>49833.0</v>
      </c>
      <c r="B1183" s="1">
        <v>9628.0</v>
      </c>
      <c r="C1183" s="1">
        <v>1.61232398E9</v>
      </c>
      <c r="D1183" s="1">
        <v>4.0</v>
      </c>
      <c r="E1183" s="1" t="b">
        <v>0</v>
      </c>
      <c r="F1183" s="1" t="s">
        <v>15137</v>
      </c>
    </row>
    <row r="1184">
      <c r="A1184" s="1">
        <v>49833.0</v>
      </c>
      <c r="B1184" s="1">
        <v>9139.0</v>
      </c>
      <c r="C1184" s="1">
        <v>1.612157906E9</v>
      </c>
      <c r="D1184" s="1">
        <v>4.0</v>
      </c>
      <c r="E1184" s="1" t="b">
        <v>0</v>
      </c>
      <c r="F1184" s="1" t="s">
        <v>15138</v>
      </c>
    </row>
    <row r="1185">
      <c r="A1185" s="1">
        <v>49833.0</v>
      </c>
      <c r="B1185" s="1">
        <v>9141.0</v>
      </c>
      <c r="C1185" s="1">
        <v>1.612157907E9</v>
      </c>
      <c r="D1185" s="1">
        <v>4.0</v>
      </c>
      <c r="E1185" s="1" t="b">
        <v>0</v>
      </c>
      <c r="F1185" s="1" t="s">
        <v>14335</v>
      </c>
    </row>
    <row r="1186">
      <c r="A1186" s="1">
        <v>49833.0</v>
      </c>
      <c r="B1186" s="1">
        <v>9129.0</v>
      </c>
      <c r="C1186" s="1">
        <v>1.612157908E9</v>
      </c>
      <c r="D1186" s="1">
        <v>4.0</v>
      </c>
      <c r="E1186" s="1" t="b">
        <v>0</v>
      </c>
      <c r="F1186" s="1" t="s">
        <v>15139</v>
      </c>
    </row>
    <row r="1187">
      <c r="A1187" s="1">
        <v>49833.0</v>
      </c>
      <c r="B1187" s="1">
        <v>18858.0</v>
      </c>
      <c r="C1187" s="1">
        <v>1.622048663E9</v>
      </c>
      <c r="D1187" s="1">
        <v>4.0</v>
      </c>
      <c r="E1187" s="1" t="b">
        <v>0</v>
      </c>
      <c r="F1187" s="1" t="s">
        <v>15140</v>
      </c>
    </row>
    <row r="1188">
      <c r="A1188" s="1">
        <v>49833.0</v>
      </c>
      <c r="B1188" s="1">
        <v>9144.0</v>
      </c>
      <c r="C1188" s="1">
        <v>1.612157909E9</v>
      </c>
      <c r="D1188" s="1">
        <v>4.0</v>
      </c>
      <c r="E1188" s="1" t="b">
        <v>0</v>
      </c>
      <c r="F1188" s="1" t="s">
        <v>15141</v>
      </c>
    </row>
    <row r="1189">
      <c r="A1189" s="1">
        <v>49833.0</v>
      </c>
      <c r="B1189" s="1">
        <v>9148.0</v>
      </c>
      <c r="C1189" s="1">
        <v>1.612157914E9</v>
      </c>
      <c r="D1189" s="1">
        <v>4.0</v>
      </c>
      <c r="E1189" s="1" t="b">
        <v>0</v>
      </c>
      <c r="F1189" s="1" t="s">
        <v>15142</v>
      </c>
    </row>
    <row r="1190">
      <c r="A1190" s="1">
        <v>49833.0</v>
      </c>
      <c r="B1190" s="1">
        <v>16810.0</v>
      </c>
      <c r="C1190" s="1">
        <v>1.618436001E9</v>
      </c>
      <c r="D1190" s="1">
        <v>4.0</v>
      </c>
      <c r="E1190" s="1" t="b">
        <v>0</v>
      </c>
      <c r="F1190" s="1" t="s">
        <v>15143</v>
      </c>
    </row>
    <row r="1191">
      <c r="A1191" s="1">
        <v>49833.0</v>
      </c>
      <c r="B1191" s="1">
        <v>8980.0</v>
      </c>
      <c r="C1191" s="1">
        <v>1.612157916E9</v>
      </c>
      <c r="D1191" s="1">
        <v>4.0</v>
      </c>
      <c r="E1191" s="1" t="b">
        <v>0</v>
      </c>
      <c r="F1191" s="1" t="s">
        <v>15144</v>
      </c>
    </row>
    <row r="1192">
      <c r="A1192" s="1">
        <v>49833.0</v>
      </c>
      <c r="B1192" s="1">
        <v>9162.0</v>
      </c>
      <c r="C1192" s="1">
        <v>1.612157918E9</v>
      </c>
      <c r="D1192" s="1">
        <v>4.0</v>
      </c>
      <c r="E1192" s="1" t="b">
        <v>0</v>
      </c>
      <c r="F1192" s="1" t="s">
        <v>15145</v>
      </c>
    </row>
    <row r="1193">
      <c r="A1193" s="1">
        <v>49833.0</v>
      </c>
      <c r="B1193" s="1">
        <v>9146.0</v>
      </c>
      <c r="C1193" s="1">
        <v>1.612157918E9</v>
      </c>
      <c r="D1193" s="1">
        <v>4.0</v>
      </c>
      <c r="E1193" s="1" t="b">
        <v>0</v>
      </c>
      <c r="F1193" s="1" t="s">
        <v>15146</v>
      </c>
    </row>
    <row r="1194">
      <c r="A1194" s="1">
        <v>49833.0</v>
      </c>
      <c r="B1194" s="1">
        <v>9171.0</v>
      </c>
      <c r="C1194" s="1">
        <v>1.61215792E9</v>
      </c>
      <c r="D1194" s="1">
        <v>4.0</v>
      </c>
      <c r="E1194" s="1" t="b">
        <v>0</v>
      </c>
      <c r="F1194" s="1" t="s">
        <v>15147</v>
      </c>
    </row>
    <row r="1195">
      <c r="A1195" s="1">
        <v>49833.0</v>
      </c>
      <c r="B1195" s="1">
        <v>16533.0</v>
      </c>
      <c r="C1195" s="1">
        <v>1.623746309E9</v>
      </c>
      <c r="D1195" s="1">
        <v>4.0</v>
      </c>
      <c r="E1195" s="1" t="b">
        <v>0</v>
      </c>
      <c r="F1195" s="1" t="s">
        <v>15148</v>
      </c>
    </row>
    <row r="1196">
      <c r="A1196" s="1">
        <v>49833.0</v>
      </c>
      <c r="B1196" s="1">
        <v>8876.0</v>
      </c>
      <c r="C1196" s="1">
        <v>1.612092407E9</v>
      </c>
      <c r="D1196" s="1">
        <v>4.0</v>
      </c>
      <c r="E1196" s="1" t="b">
        <v>0</v>
      </c>
      <c r="F1196" s="1" t="s">
        <v>15149</v>
      </c>
    </row>
    <row r="1197">
      <c r="A1197" s="1">
        <v>49833.0</v>
      </c>
      <c r="B1197" s="1">
        <v>9244.0</v>
      </c>
      <c r="C1197" s="1">
        <v>1.612157919E9</v>
      </c>
      <c r="D1197" s="1">
        <v>4.0</v>
      </c>
      <c r="E1197" s="1" t="b">
        <v>0</v>
      </c>
      <c r="F1197" s="1" t="s">
        <v>15150</v>
      </c>
    </row>
    <row r="1198">
      <c r="A1198" s="1">
        <v>49833.0</v>
      </c>
      <c r="B1198" s="1">
        <v>9254.0</v>
      </c>
      <c r="C1198" s="1">
        <v>1.612157921E9</v>
      </c>
      <c r="D1198" s="1">
        <v>4.0</v>
      </c>
      <c r="E1198" s="1" t="b">
        <v>0</v>
      </c>
      <c r="F1198" s="1" t="s">
        <v>15151</v>
      </c>
    </row>
    <row r="1199">
      <c r="A1199" s="1">
        <v>49833.0</v>
      </c>
      <c r="B1199" s="1">
        <v>9235.0</v>
      </c>
      <c r="C1199" s="1">
        <v>1.612157924E9</v>
      </c>
      <c r="D1199" s="1">
        <v>4.0</v>
      </c>
      <c r="E1199" s="1" t="b">
        <v>0</v>
      </c>
      <c r="F1199" s="1" t="s">
        <v>15152</v>
      </c>
    </row>
    <row r="1200">
      <c r="A1200" s="1">
        <v>49833.0</v>
      </c>
      <c r="B1200" s="1">
        <v>9304.0</v>
      </c>
      <c r="C1200" s="1">
        <v>1.612157934E9</v>
      </c>
      <c r="D1200" s="1">
        <v>4.0</v>
      </c>
      <c r="E1200" s="1" t="b">
        <v>0</v>
      </c>
      <c r="F1200" s="1" t="s">
        <v>15153</v>
      </c>
    </row>
    <row r="1201">
      <c r="A1201" s="1">
        <v>49833.0</v>
      </c>
      <c r="B1201" s="1">
        <v>7781.0</v>
      </c>
      <c r="C1201" s="1">
        <v>1.61190995E9</v>
      </c>
      <c r="D1201" s="1">
        <v>4.0</v>
      </c>
      <c r="E1201" s="1" t="b">
        <v>0</v>
      </c>
      <c r="F1201" s="1" t="s">
        <v>15154</v>
      </c>
    </row>
    <row r="1202">
      <c r="A1202" s="1">
        <v>49833.0</v>
      </c>
      <c r="B1202" s="1">
        <v>9695.0</v>
      </c>
      <c r="C1202" s="1">
        <v>1.612323979E9</v>
      </c>
      <c r="D1202" s="1">
        <v>4.0</v>
      </c>
      <c r="E1202" s="1" t="b">
        <v>0</v>
      </c>
      <c r="F1202" s="1" t="s">
        <v>15155</v>
      </c>
    </row>
    <row r="1203">
      <c r="A1203" s="1">
        <v>49833.0</v>
      </c>
      <c r="B1203" s="1">
        <v>17351.0</v>
      </c>
      <c r="C1203" s="1">
        <v>1.619779126E9</v>
      </c>
      <c r="D1203" s="1">
        <v>4.0</v>
      </c>
      <c r="E1203" s="1" t="b">
        <v>0</v>
      </c>
      <c r="F1203" s="1" t="s">
        <v>15156</v>
      </c>
    </row>
    <row r="1204">
      <c r="A1204" s="1">
        <v>49833.0</v>
      </c>
      <c r="B1204" s="1">
        <v>9219.0</v>
      </c>
      <c r="C1204" s="1">
        <v>1.612160018E9</v>
      </c>
      <c r="D1204" s="1">
        <v>4.0</v>
      </c>
      <c r="E1204" s="1" t="b">
        <v>0</v>
      </c>
      <c r="F1204" s="1" t="s">
        <v>15157</v>
      </c>
    </row>
    <row r="1205">
      <c r="A1205" s="1">
        <v>49833.0</v>
      </c>
      <c r="B1205" s="1">
        <v>19521.0</v>
      </c>
      <c r="C1205" s="1">
        <v>1.623055332E9</v>
      </c>
      <c r="D1205" s="1">
        <v>4.0</v>
      </c>
      <c r="E1205" s="1" t="b">
        <v>0</v>
      </c>
      <c r="F1205" s="1" t="s">
        <v>15158</v>
      </c>
    </row>
    <row r="1206">
      <c r="A1206" s="1">
        <v>49833.0</v>
      </c>
      <c r="B1206" s="1">
        <v>11118.0</v>
      </c>
      <c r="C1206" s="1">
        <v>1.612690299E9</v>
      </c>
      <c r="D1206" s="1">
        <v>4.0</v>
      </c>
      <c r="E1206" s="1" t="b">
        <v>0</v>
      </c>
      <c r="F1206" s="1" t="s">
        <v>15159</v>
      </c>
    </row>
    <row r="1207">
      <c r="A1207" s="1">
        <v>49833.0</v>
      </c>
      <c r="B1207" s="1">
        <v>6326.0</v>
      </c>
      <c r="C1207" s="1">
        <v>1.611682622E9</v>
      </c>
      <c r="D1207" s="1">
        <v>4.0</v>
      </c>
      <c r="E1207" s="1" t="b">
        <v>0</v>
      </c>
      <c r="F1207" s="1" t="s">
        <v>15160</v>
      </c>
    </row>
    <row r="1208">
      <c r="A1208" s="1">
        <v>49833.0</v>
      </c>
      <c r="B1208" s="1">
        <v>16555.0</v>
      </c>
      <c r="C1208" s="1">
        <v>1.617221275E9</v>
      </c>
      <c r="D1208" s="1">
        <v>4.0</v>
      </c>
      <c r="E1208" s="1" t="b">
        <v>0</v>
      </c>
      <c r="F1208" s="1" t="s">
        <v>15161</v>
      </c>
    </row>
    <row r="1209">
      <c r="A1209" s="1">
        <v>49833.0</v>
      </c>
      <c r="B1209" s="1">
        <v>19589.0</v>
      </c>
      <c r="C1209" s="1">
        <v>1.623043451E9</v>
      </c>
      <c r="D1209" s="1">
        <v>4.0</v>
      </c>
      <c r="E1209" s="1" t="b">
        <v>0</v>
      </c>
      <c r="F1209" s="1" t="s">
        <v>15162</v>
      </c>
    </row>
    <row r="1210">
      <c r="A1210" s="1">
        <v>49833.0</v>
      </c>
      <c r="B1210" s="1">
        <v>11150.0</v>
      </c>
      <c r="C1210" s="1">
        <v>1.612690303E9</v>
      </c>
      <c r="D1210" s="1">
        <v>4.0</v>
      </c>
      <c r="E1210" s="1" t="b">
        <v>0</v>
      </c>
      <c r="F1210" s="1" t="s">
        <v>15163</v>
      </c>
    </row>
    <row r="1211">
      <c r="A1211" s="1">
        <v>49833.0</v>
      </c>
      <c r="B1211" s="1">
        <v>11305.0</v>
      </c>
      <c r="C1211" s="1">
        <v>1.612731396E9</v>
      </c>
      <c r="D1211" s="1">
        <v>4.0</v>
      </c>
      <c r="E1211" s="1" t="b">
        <v>0</v>
      </c>
      <c r="F1211" s="1" t="s">
        <v>15164</v>
      </c>
    </row>
    <row r="1212">
      <c r="A1212" s="1">
        <v>49833.0</v>
      </c>
      <c r="B1212" s="1">
        <v>16822.0</v>
      </c>
      <c r="C1212" s="1">
        <v>1.618436004E9</v>
      </c>
      <c r="D1212" s="1">
        <v>4.0</v>
      </c>
      <c r="E1212" s="1" t="b">
        <v>0</v>
      </c>
      <c r="F1212" s="1" t="s">
        <v>15165</v>
      </c>
    </row>
    <row r="1213">
      <c r="A1213" s="1">
        <v>49833.0</v>
      </c>
      <c r="B1213" s="1">
        <v>9818.0</v>
      </c>
      <c r="C1213" s="1">
        <v>1.612323982E9</v>
      </c>
      <c r="D1213" s="1">
        <v>4.0</v>
      </c>
      <c r="E1213" s="1" t="b">
        <v>0</v>
      </c>
      <c r="F1213" s="1" t="s">
        <v>15166</v>
      </c>
    </row>
    <row r="1214">
      <c r="A1214" s="1">
        <v>49833.0</v>
      </c>
      <c r="B1214" s="1">
        <v>10027.0</v>
      </c>
      <c r="C1214" s="1">
        <v>1.612323983E9</v>
      </c>
      <c r="D1214" s="1">
        <v>4.0</v>
      </c>
      <c r="E1214" s="1" t="b">
        <v>0</v>
      </c>
      <c r="F1214" s="1" t="s">
        <v>15167</v>
      </c>
    </row>
    <row r="1215">
      <c r="A1215" s="1">
        <v>49833.0</v>
      </c>
      <c r="B1215" s="1">
        <v>9551.0</v>
      </c>
      <c r="C1215" s="1">
        <v>1.612323986E9</v>
      </c>
      <c r="D1215" s="1">
        <v>4.0</v>
      </c>
      <c r="E1215" s="1" t="b">
        <v>0</v>
      </c>
      <c r="F1215" s="1" t="s">
        <v>15168</v>
      </c>
    </row>
    <row r="1216">
      <c r="A1216" s="1">
        <v>49833.0</v>
      </c>
      <c r="B1216" s="1">
        <v>9835.0</v>
      </c>
      <c r="C1216" s="1">
        <v>1.612323989E9</v>
      </c>
      <c r="D1216" s="1">
        <v>4.0</v>
      </c>
      <c r="E1216" s="1" t="b">
        <v>0</v>
      </c>
      <c r="F1216" s="1" t="s">
        <v>15169</v>
      </c>
    </row>
    <row r="1217">
      <c r="A1217" s="1">
        <v>49833.0</v>
      </c>
      <c r="B1217" s="1">
        <v>9531.0</v>
      </c>
      <c r="C1217" s="1">
        <v>1.612323993E9</v>
      </c>
      <c r="D1217" s="1">
        <v>4.0</v>
      </c>
      <c r="E1217" s="1" t="b">
        <v>0</v>
      </c>
      <c r="F1217" s="1" t="s">
        <v>15170</v>
      </c>
    </row>
    <row r="1218">
      <c r="A1218" s="1">
        <v>49833.0</v>
      </c>
      <c r="B1218" s="1">
        <v>10048.0</v>
      </c>
      <c r="C1218" s="1">
        <v>1.612325378E9</v>
      </c>
      <c r="D1218" s="1">
        <v>4.0</v>
      </c>
      <c r="E1218" s="1" t="b">
        <v>0</v>
      </c>
      <c r="F1218" s="1" t="s">
        <v>15171</v>
      </c>
    </row>
    <row r="1219">
      <c r="A1219" s="1">
        <v>49833.0</v>
      </c>
      <c r="B1219" s="1">
        <v>7546.0</v>
      </c>
      <c r="C1219" s="1">
        <v>1.611855428E9</v>
      </c>
      <c r="D1219" s="1">
        <v>4.0</v>
      </c>
      <c r="E1219" s="1" t="b">
        <v>0</v>
      </c>
      <c r="F1219" s="1" t="s">
        <v>14988</v>
      </c>
    </row>
    <row r="1220">
      <c r="A1220" s="1">
        <v>49833.0</v>
      </c>
      <c r="B1220" s="1">
        <v>4905.0</v>
      </c>
      <c r="C1220" s="1">
        <v>1.611287258E9</v>
      </c>
      <c r="D1220" s="1">
        <v>4.0</v>
      </c>
      <c r="E1220" s="1" t="b">
        <v>0</v>
      </c>
      <c r="F1220" s="1" t="s">
        <v>15172</v>
      </c>
    </row>
    <row r="1221">
      <c r="A1221" s="1">
        <v>49833.0</v>
      </c>
      <c r="B1221" s="1">
        <v>9421.0</v>
      </c>
      <c r="C1221" s="1">
        <v>1.612160023E9</v>
      </c>
      <c r="D1221" s="1">
        <v>4.0</v>
      </c>
      <c r="E1221" s="1" t="b">
        <v>0</v>
      </c>
      <c r="F1221" s="1" t="s">
        <v>15173</v>
      </c>
    </row>
    <row r="1222">
      <c r="A1222" s="1">
        <v>49833.0</v>
      </c>
      <c r="B1222" s="1">
        <v>9306.0</v>
      </c>
      <c r="C1222" s="1">
        <v>1.612157928E9</v>
      </c>
      <c r="D1222" s="1">
        <v>4.0</v>
      </c>
      <c r="E1222" s="1" t="b">
        <v>0</v>
      </c>
      <c r="F1222" s="1" t="s">
        <v>15174</v>
      </c>
    </row>
    <row r="1223">
      <c r="A1223" s="1">
        <v>49833.0</v>
      </c>
      <c r="B1223" s="1">
        <v>9327.0</v>
      </c>
      <c r="C1223" s="1">
        <v>1.612160022E9</v>
      </c>
      <c r="D1223" s="1">
        <v>4.0</v>
      </c>
      <c r="E1223" s="1" t="b">
        <v>0</v>
      </c>
      <c r="F1223" s="1" t="s">
        <v>15175</v>
      </c>
    </row>
    <row r="1224">
      <c r="A1224" s="1">
        <v>49833.0</v>
      </c>
      <c r="B1224" s="1">
        <v>9668.0</v>
      </c>
      <c r="C1224" s="1">
        <v>1.61232538E9</v>
      </c>
      <c r="D1224" s="1">
        <v>4.0</v>
      </c>
      <c r="E1224" s="1" t="b">
        <v>0</v>
      </c>
      <c r="F1224" s="1" t="s">
        <v>15176</v>
      </c>
    </row>
    <row r="1225">
      <c r="A1225" s="1">
        <v>49833.0</v>
      </c>
      <c r="B1225" s="1">
        <v>9354.0</v>
      </c>
      <c r="C1225" s="1">
        <v>1.612160026E9</v>
      </c>
      <c r="D1225" s="1">
        <v>4.0</v>
      </c>
      <c r="E1225" s="1" t="b">
        <v>0</v>
      </c>
      <c r="F1225" s="1" t="s">
        <v>15177</v>
      </c>
    </row>
    <row r="1226">
      <c r="A1226" s="1">
        <v>49833.0</v>
      </c>
      <c r="B1226" s="1">
        <v>9324.0</v>
      </c>
      <c r="C1226" s="1">
        <v>1.612160027E9</v>
      </c>
      <c r="D1226" s="1">
        <v>4.0</v>
      </c>
      <c r="E1226" s="1" t="b">
        <v>0</v>
      </c>
      <c r="F1226" s="1" t="s">
        <v>15178</v>
      </c>
    </row>
    <row r="1227">
      <c r="A1227" s="1">
        <v>49833.0</v>
      </c>
      <c r="B1227" s="1">
        <v>9377.0</v>
      </c>
      <c r="C1227" s="1">
        <v>1.61216003E9</v>
      </c>
      <c r="D1227" s="1">
        <v>4.0</v>
      </c>
      <c r="E1227" s="1" t="b">
        <v>0</v>
      </c>
      <c r="F1227" s="1" t="s">
        <v>15179</v>
      </c>
    </row>
    <row r="1228">
      <c r="A1228" s="1">
        <v>49833.0</v>
      </c>
      <c r="B1228" s="1">
        <v>9366.0</v>
      </c>
      <c r="C1228" s="1">
        <v>1.612160032E9</v>
      </c>
      <c r="D1228" s="1">
        <v>4.0</v>
      </c>
      <c r="E1228" s="1" t="b">
        <v>0</v>
      </c>
      <c r="F1228" s="1" t="s">
        <v>15180</v>
      </c>
    </row>
    <row r="1229">
      <c r="A1229" s="1">
        <v>49833.0</v>
      </c>
      <c r="B1229" s="1">
        <v>9401.0</v>
      </c>
      <c r="C1229" s="1">
        <v>1.612160034E9</v>
      </c>
      <c r="D1229" s="1">
        <v>4.0</v>
      </c>
      <c r="E1229" s="1" t="b">
        <v>0</v>
      </c>
      <c r="F1229" s="1" t="s">
        <v>15181</v>
      </c>
    </row>
    <row r="1230">
      <c r="A1230" s="1">
        <v>49833.0</v>
      </c>
      <c r="B1230" s="1">
        <v>9394.0</v>
      </c>
      <c r="C1230" s="1">
        <v>1.612160036E9</v>
      </c>
      <c r="D1230" s="1">
        <v>4.0</v>
      </c>
      <c r="E1230" s="1" t="b">
        <v>0</v>
      </c>
      <c r="F1230" s="1" t="s">
        <v>15182</v>
      </c>
    </row>
    <row r="1231">
      <c r="A1231" s="1">
        <v>49833.0</v>
      </c>
      <c r="B1231" s="1">
        <v>9403.0</v>
      </c>
      <c r="C1231" s="1">
        <v>1.612160037E9</v>
      </c>
      <c r="D1231" s="1">
        <v>4.0</v>
      </c>
      <c r="E1231" s="1" t="b">
        <v>0</v>
      </c>
      <c r="F1231" s="1" t="s">
        <v>15055</v>
      </c>
    </row>
    <row r="1232">
      <c r="A1232" s="1">
        <v>49833.0</v>
      </c>
      <c r="B1232" s="1">
        <v>9314.0</v>
      </c>
      <c r="C1232" s="1">
        <v>1.612160038E9</v>
      </c>
      <c r="D1232" s="1">
        <v>4.0</v>
      </c>
      <c r="E1232" s="1" t="b">
        <v>0</v>
      </c>
      <c r="F1232" s="1" t="s">
        <v>15183</v>
      </c>
    </row>
    <row r="1233">
      <c r="A1233" s="1">
        <v>49833.0</v>
      </c>
      <c r="B1233" s="1">
        <v>16673.0</v>
      </c>
      <c r="C1233" s="1">
        <v>1.617783277E9</v>
      </c>
      <c r="D1233" s="1">
        <v>4.0</v>
      </c>
      <c r="E1233" s="1" t="b">
        <v>0</v>
      </c>
      <c r="F1233" s="1" t="s">
        <v>15184</v>
      </c>
    </row>
    <row r="1234">
      <c r="A1234" s="1">
        <v>49833.0</v>
      </c>
      <c r="B1234" s="1">
        <v>9384.0</v>
      </c>
      <c r="C1234" s="1">
        <v>1.612160039E9</v>
      </c>
      <c r="D1234" s="1">
        <v>4.0</v>
      </c>
      <c r="E1234" s="1" t="b">
        <v>0</v>
      </c>
      <c r="F1234" s="1" t="s">
        <v>15185</v>
      </c>
    </row>
    <row r="1235">
      <c r="A1235" s="1">
        <v>49833.0</v>
      </c>
      <c r="B1235" s="1">
        <v>9404.0</v>
      </c>
      <c r="C1235" s="1">
        <v>1.612160045E9</v>
      </c>
      <c r="D1235" s="1">
        <v>4.0</v>
      </c>
      <c r="E1235" s="1" t="b">
        <v>0</v>
      </c>
      <c r="F1235" s="1" t="s">
        <v>15186</v>
      </c>
    </row>
    <row r="1236">
      <c r="A1236" s="1">
        <v>49833.0</v>
      </c>
      <c r="B1236" s="1">
        <v>9342.0</v>
      </c>
      <c r="C1236" s="1">
        <v>1.612160045E9</v>
      </c>
      <c r="D1236" s="1">
        <v>4.0</v>
      </c>
      <c r="E1236" s="1" t="b">
        <v>0</v>
      </c>
      <c r="F1236" s="1" t="s">
        <v>15187</v>
      </c>
    </row>
    <row r="1237">
      <c r="A1237" s="1">
        <v>49833.0</v>
      </c>
      <c r="B1237" s="1">
        <v>16490.0</v>
      </c>
      <c r="C1237" s="1">
        <v>1.622256943E9</v>
      </c>
      <c r="D1237" s="1">
        <v>4.0</v>
      </c>
      <c r="E1237" s="1" t="b">
        <v>0</v>
      </c>
      <c r="F1237" s="1" t="s">
        <v>15188</v>
      </c>
    </row>
    <row r="1238">
      <c r="A1238" s="1">
        <v>49833.0</v>
      </c>
      <c r="B1238" s="1">
        <v>16174.0</v>
      </c>
      <c r="C1238" s="1">
        <v>1.615658743E9</v>
      </c>
      <c r="D1238" s="1">
        <v>4.0</v>
      </c>
      <c r="E1238" s="1" t="b">
        <v>0</v>
      </c>
      <c r="F1238" s="1" t="s">
        <v>15189</v>
      </c>
    </row>
    <row r="1239">
      <c r="A1239" s="1">
        <v>49833.0</v>
      </c>
      <c r="B1239" s="1">
        <v>11907.0</v>
      </c>
      <c r="C1239" s="1">
        <v>1.612868487E9</v>
      </c>
      <c r="D1239" s="1">
        <v>4.0</v>
      </c>
      <c r="E1239" s="1" t="b">
        <v>0</v>
      </c>
      <c r="F1239" s="1" t="s">
        <v>14597</v>
      </c>
    </row>
    <row r="1240">
      <c r="A1240" s="1">
        <v>49833.0</v>
      </c>
      <c r="B1240" s="1">
        <v>19101.0</v>
      </c>
      <c r="C1240" s="1">
        <v>1.622381895E9</v>
      </c>
      <c r="D1240" s="1">
        <v>4.0</v>
      </c>
      <c r="E1240" s="1" t="b">
        <v>0</v>
      </c>
      <c r="F1240" s="1" t="s">
        <v>15190</v>
      </c>
    </row>
    <row r="1241">
      <c r="A1241" s="1">
        <v>49833.0</v>
      </c>
      <c r="B1241" s="1">
        <v>16641.0</v>
      </c>
      <c r="C1241" s="1">
        <v>1.61769792E9</v>
      </c>
      <c r="D1241" s="1">
        <v>4.0</v>
      </c>
      <c r="E1241" s="1" t="b">
        <v>0</v>
      </c>
      <c r="F1241" s="1" t="s">
        <v>15191</v>
      </c>
    </row>
    <row r="1242">
      <c r="A1242" s="1">
        <v>49833.0</v>
      </c>
      <c r="B1242" s="1">
        <v>18852.0</v>
      </c>
      <c r="C1242" s="1">
        <v>1.622045101E9</v>
      </c>
      <c r="D1242" s="1">
        <v>4.0</v>
      </c>
      <c r="E1242" s="1" t="b">
        <v>0</v>
      </c>
      <c r="F1242" s="1" t="s">
        <v>15192</v>
      </c>
    </row>
    <row r="1243">
      <c r="A1243" s="1">
        <v>49833.0</v>
      </c>
      <c r="B1243" s="1">
        <v>16617.0</v>
      </c>
      <c r="C1243" s="1">
        <v>1.617697912E9</v>
      </c>
      <c r="D1243" s="1">
        <v>4.0</v>
      </c>
      <c r="E1243" s="1" t="b">
        <v>0</v>
      </c>
      <c r="F1243" s="1" t="s">
        <v>15193</v>
      </c>
    </row>
    <row r="1244">
      <c r="A1244" s="1">
        <v>49833.0</v>
      </c>
      <c r="B1244" s="1">
        <v>19299.0</v>
      </c>
      <c r="C1244" s="1">
        <v>1.622568547E9</v>
      </c>
      <c r="D1244" s="1">
        <v>4.0</v>
      </c>
      <c r="E1244" s="1" t="b">
        <v>0</v>
      </c>
      <c r="F1244" s="1" t="s">
        <v>15194</v>
      </c>
    </row>
    <row r="1245">
      <c r="A1245" s="1">
        <v>49833.0</v>
      </c>
      <c r="B1245" s="1">
        <v>19396.0</v>
      </c>
      <c r="C1245" s="1">
        <v>1.622715055E9</v>
      </c>
      <c r="D1245" s="1">
        <v>4.0</v>
      </c>
      <c r="E1245" s="1" t="b">
        <v>0</v>
      </c>
      <c r="F1245" s="1" t="s">
        <v>15195</v>
      </c>
    </row>
    <row r="1246">
      <c r="A1246" s="1">
        <v>49833.0</v>
      </c>
      <c r="B1246" s="1">
        <v>11185.0</v>
      </c>
      <c r="C1246" s="1">
        <v>1.612698605E9</v>
      </c>
      <c r="D1246" s="1">
        <v>4.0</v>
      </c>
      <c r="E1246" s="1" t="b">
        <v>0</v>
      </c>
      <c r="F1246" s="1" t="s">
        <v>15196</v>
      </c>
    </row>
    <row r="1247">
      <c r="A1247" s="1">
        <v>49833.0</v>
      </c>
      <c r="B1247" s="1">
        <v>16685.0</v>
      </c>
      <c r="C1247" s="1">
        <v>1.617783271E9</v>
      </c>
      <c r="D1247" s="1">
        <v>4.0</v>
      </c>
      <c r="E1247" s="1" t="b">
        <v>0</v>
      </c>
      <c r="F1247" s="1" t="s">
        <v>15197</v>
      </c>
    </row>
    <row r="1248">
      <c r="A1248" s="1">
        <v>49833.0</v>
      </c>
      <c r="B1248" s="1">
        <v>19935.0</v>
      </c>
      <c r="C1248" s="1">
        <v>1.623513849E9</v>
      </c>
      <c r="D1248" s="1">
        <v>4.0</v>
      </c>
      <c r="E1248" s="1" t="b">
        <v>0</v>
      </c>
      <c r="F1248" s="1" t="s">
        <v>15198</v>
      </c>
    </row>
    <row r="1249">
      <c r="A1249" s="1">
        <v>49833.0</v>
      </c>
      <c r="B1249" s="1">
        <v>16770.0</v>
      </c>
      <c r="C1249" s="1">
        <v>1.618191736E9</v>
      </c>
      <c r="D1249" s="1">
        <v>4.0</v>
      </c>
      <c r="E1249" s="1" t="b">
        <v>0</v>
      </c>
      <c r="F1249" s="1" t="s">
        <v>15199</v>
      </c>
    </row>
    <row r="1250">
      <c r="A1250" s="1">
        <v>49833.0</v>
      </c>
      <c r="B1250" s="1">
        <v>8799.0</v>
      </c>
      <c r="C1250" s="1">
        <v>1.612092437E9</v>
      </c>
      <c r="D1250" s="1">
        <v>4.0</v>
      </c>
      <c r="E1250" s="1" t="b">
        <v>0</v>
      </c>
      <c r="F1250" s="1" t="s">
        <v>15200</v>
      </c>
    </row>
    <row r="1251">
      <c r="A1251" s="1">
        <v>49833.0</v>
      </c>
      <c r="B1251" s="1">
        <v>16642.0</v>
      </c>
      <c r="C1251" s="1">
        <v>1.617697913E9</v>
      </c>
      <c r="D1251" s="1">
        <v>4.0</v>
      </c>
      <c r="E1251" s="1" t="b">
        <v>0</v>
      </c>
      <c r="F1251" s="1" t="s">
        <v>15201</v>
      </c>
    </row>
    <row r="1252">
      <c r="A1252" s="1">
        <v>49833.0</v>
      </c>
      <c r="B1252" s="1">
        <v>13229.0</v>
      </c>
      <c r="C1252" s="1">
        <v>1.61320621E9</v>
      </c>
      <c r="D1252" s="1">
        <v>4.0</v>
      </c>
      <c r="E1252" s="1" t="b">
        <v>0</v>
      </c>
      <c r="F1252" s="1" t="s">
        <v>15202</v>
      </c>
    </row>
    <row r="1253">
      <c r="A1253" s="1">
        <v>49833.0</v>
      </c>
      <c r="B1253" s="1">
        <v>9415.0</v>
      </c>
      <c r="C1253" s="1">
        <v>1.612160044E9</v>
      </c>
      <c r="D1253" s="1">
        <v>4.0</v>
      </c>
      <c r="E1253" s="1" t="b">
        <v>0</v>
      </c>
      <c r="F1253" s="1" t="s">
        <v>15203</v>
      </c>
    </row>
    <row r="1254">
      <c r="A1254" s="1">
        <v>49833.0</v>
      </c>
      <c r="B1254" s="1">
        <v>9568.0</v>
      </c>
      <c r="C1254" s="1">
        <v>1.61232399E9</v>
      </c>
      <c r="D1254" s="1">
        <v>4.0</v>
      </c>
      <c r="E1254" s="1" t="b">
        <v>0</v>
      </c>
      <c r="F1254" s="1" t="s">
        <v>15204</v>
      </c>
    </row>
    <row r="1255">
      <c r="A1255" s="1">
        <v>49833.0</v>
      </c>
      <c r="B1255" s="1">
        <v>10057.0</v>
      </c>
      <c r="C1255" s="1">
        <v>1.612369051E9</v>
      </c>
      <c r="D1255" s="1">
        <v>4.0</v>
      </c>
      <c r="E1255" s="1" t="b">
        <v>0</v>
      </c>
      <c r="F1255" s="1" t="s">
        <v>15205</v>
      </c>
    </row>
    <row r="1256">
      <c r="A1256" s="1">
        <v>49833.0</v>
      </c>
      <c r="B1256" s="1">
        <v>7984.0</v>
      </c>
      <c r="C1256" s="1">
        <v>1.611943002E9</v>
      </c>
      <c r="D1256" s="1">
        <v>4.0</v>
      </c>
      <c r="E1256" s="1" t="b">
        <v>0</v>
      </c>
      <c r="F1256" s="1" t="s">
        <v>15206</v>
      </c>
    </row>
    <row r="1257">
      <c r="A1257" s="1">
        <v>49833.0</v>
      </c>
      <c r="B1257" s="1">
        <v>13280.0</v>
      </c>
      <c r="C1257" s="1">
        <v>1.613216632E9</v>
      </c>
      <c r="D1257" s="1">
        <v>4.0</v>
      </c>
      <c r="E1257" s="1" t="b">
        <v>0</v>
      </c>
      <c r="F1257" s="1" t="s">
        <v>15207</v>
      </c>
    </row>
    <row r="1258">
      <c r="A1258" s="1">
        <v>49833.0</v>
      </c>
      <c r="B1258" s="1">
        <v>9495.0</v>
      </c>
      <c r="C1258" s="1">
        <v>1.612169253E9</v>
      </c>
      <c r="D1258" s="1">
        <v>4.0</v>
      </c>
      <c r="E1258" s="1" t="b">
        <v>0</v>
      </c>
      <c r="F1258" s="1" t="s">
        <v>15208</v>
      </c>
    </row>
    <row r="1259">
      <c r="A1259" s="1">
        <v>49833.0</v>
      </c>
      <c r="B1259" s="1">
        <v>20054.0</v>
      </c>
      <c r="C1259" s="1">
        <v>1.623689646E9</v>
      </c>
      <c r="D1259" s="1">
        <v>4.0</v>
      </c>
      <c r="E1259" s="1" t="b">
        <v>0</v>
      </c>
      <c r="F1259" s="1" t="s">
        <v>15209</v>
      </c>
    </row>
    <row r="1260">
      <c r="A1260" s="1">
        <v>49833.0</v>
      </c>
      <c r="B1260" s="1">
        <v>16639.0</v>
      </c>
      <c r="C1260" s="1">
        <v>1.617697911E9</v>
      </c>
      <c r="D1260" s="1">
        <v>4.0</v>
      </c>
      <c r="E1260" s="1" t="b">
        <v>0</v>
      </c>
      <c r="F1260" s="1" t="s">
        <v>15210</v>
      </c>
    </row>
    <row r="1261">
      <c r="A1261" s="1">
        <v>49833.0</v>
      </c>
      <c r="B1261" s="1">
        <v>4223.0</v>
      </c>
      <c r="C1261" s="1">
        <v>1.611053538E9</v>
      </c>
      <c r="D1261" s="1">
        <v>4.0</v>
      </c>
      <c r="E1261" s="1" t="b">
        <v>0</v>
      </c>
      <c r="F1261" s="1" t="s">
        <v>15211</v>
      </c>
    </row>
    <row r="1262">
      <c r="A1262" s="1">
        <v>49833.0</v>
      </c>
      <c r="B1262" s="1">
        <v>19864.0</v>
      </c>
      <c r="C1262" s="1">
        <v>1.62340915E9</v>
      </c>
      <c r="D1262" s="1">
        <v>4.0</v>
      </c>
      <c r="E1262" s="1" t="b">
        <v>0</v>
      </c>
      <c r="F1262" s="1" t="s">
        <v>15212</v>
      </c>
    </row>
    <row r="1263">
      <c r="A1263" s="1">
        <v>49833.0</v>
      </c>
      <c r="B1263" s="1">
        <v>10496.0</v>
      </c>
      <c r="C1263" s="1">
        <v>1.612468191E9</v>
      </c>
      <c r="D1263" s="1">
        <v>4.0</v>
      </c>
      <c r="E1263" s="1" t="b">
        <v>0</v>
      </c>
      <c r="F1263" s="1" t="s">
        <v>15213</v>
      </c>
    </row>
    <row r="1264">
      <c r="A1264" s="1">
        <v>49833.0</v>
      </c>
      <c r="B1264" s="1">
        <v>19763.0</v>
      </c>
      <c r="C1264" s="1">
        <v>1.623262413E9</v>
      </c>
      <c r="D1264" s="1">
        <v>4.0</v>
      </c>
      <c r="E1264" s="1" t="b">
        <v>0</v>
      </c>
      <c r="F1264" s="1" t="s">
        <v>15214</v>
      </c>
    </row>
    <row r="1265">
      <c r="A1265" s="1">
        <v>49833.0</v>
      </c>
      <c r="B1265" s="1">
        <v>871.0</v>
      </c>
      <c r="C1265" s="1">
        <v>1.62201522E9</v>
      </c>
      <c r="D1265" s="1">
        <v>4.0</v>
      </c>
      <c r="E1265" s="1" t="b">
        <v>0</v>
      </c>
      <c r="F1265" s="1" t="s">
        <v>15215</v>
      </c>
    </row>
    <row r="1266">
      <c r="A1266" s="1">
        <v>49833.0</v>
      </c>
      <c r="B1266" s="1">
        <v>10143.0</v>
      </c>
      <c r="C1266" s="1">
        <v>1.612369047E9</v>
      </c>
      <c r="D1266" s="1">
        <v>4.0</v>
      </c>
      <c r="E1266" s="1" t="b">
        <v>0</v>
      </c>
      <c r="F1266" s="1" t="s">
        <v>15216</v>
      </c>
    </row>
    <row r="1267">
      <c r="A1267" s="1">
        <v>49833.0</v>
      </c>
      <c r="B1267" s="1">
        <v>19079.0</v>
      </c>
      <c r="C1267" s="1">
        <v>1.62236157E9</v>
      </c>
      <c r="D1267" s="1">
        <v>4.0</v>
      </c>
      <c r="E1267" s="1" t="b">
        <v>0</v>
      </c>
      <c r="F1267" s="1" t="s">
        <v>15217</v>
      </c>
    </row>
    <row r="1268">
      <c r="A1268" s="1">
        <v>49833.0</v>
      </c>
      <c r="B1268" s="1">
        <v>10281.0</v>
      </c>
      <c r="C1268" s="1">
        <v>1.61241045E9</v>
      </c>
      <c r="D1268" s="1">
        <v>4.0</v>
      </c>
      <c r="E1268" s="1" t="b">
        <v>0</v>
      </c>
      <c r="F1268" s="1" t="s">
        <v>15218</v>
      </c>
    </row>
    <row r="1269">
      <c r="A1269" s="1">
        <v>49833.0</v>
      </c>
      <c r="B1269" s="1">
        <v>10290.0</v>
      </c>
      <c r="C1269" s="1">
        <v>1.612410454E9</v>
      </c>
      <c r="D1269" s="1">
        <v>4.0</v>
      </c>
      <c r="E1269" s="1" t="b">
        <v>0</v>
      </c>
      <c r="F1269" s="1" t="s">
        <v>15219</v>
      </c>
    </row>
    <row r="1270">
      <c r="A1270" s="1">
        <v>49833.0</v>
      </c>
      <c r="B1270" s="1">
        <v>10756.0</v>
      </c>
      <c r="C1270" s="1">
        <v>1.612582594E9</v>
      </c>
      <c r="D1270" s="1">
        <v>4.0</v>
      </c>
      <c r="E1270" s="1" t="b">
        <v>0</v>
      </c>
      <c r="F1270" s="1" t="s">
        <v>15220</v>
      </c>
    </row>
    <row r="1271">
      <c r="A1271" s="1">
        <v>49833.0</v>
      </c>
      <c r="B1271" s="1">
        <v>11418.0</v>
      </c>
      <c r="C1271" s="1">
        <v>1.61276602E9</v>
      </c>
      <c r="D1271" s="1">
        <v>4.0</v>
      </c>
      <c r="E1271" s="1" t="b">
        <v>0</v>
      </c>
      <c r="F1271" s="1" t="s">
        <v>15221</v>
      </c>
    </row>
    <row r="1272">
      <c r="A1272" s="1">
        <v>49833.0</v>
      </c>
      <c r="B1272" s="1">
        <v>10501.0</v>
      </c>
      <c r="C1272" s="1">
        <v>1.61246819E9</v>
      </c>
      <c r="D1272" s="1">
        <v>4.0</v>
      </c>
      <c r="E1272" s="1" t="b">
        <v>0</v>
      </c>
      <c r="F1272" s="1" t="s">
        <v>15222</v>
      </c>
    </row>
    <row r="1273">
      <c r="A1273" s="1">
        <v>49833.0</v>
      </c>
      <c r="B1273" s="1">
        <v>16619.0</v>
      </c>
      <c r="C1273" s="1">
        <v>1.617697915E9</v>
      </c>
      <c r="D1273" s="1">
        <v>4.0</v>
      </c>
      <c r="E1273" s="1" t="b">
        <v>0</v>
      </c>
      <c r="F1273" s="1" t="s">
        <v>15223</v>
      </c>
    </row>
    <row r="1274">
      <c r="A1274" s="1">
        <v>49833.0</v>
      </c>
      <c r="B1274" s="1">
        <v>19398.0</v>
      </c>
      <c r="C1274" s="1">
        <v>1.622671908E9</v>
      </c>
      <c r="D1274" s="1">
        <v>4.0</v>
      </c>
      <c r="E1274" s="1" t="b">
        <v>0</v>
      </c>
      <c r="F1274" s="1" t="s">
        <v>15224</v>
      </c>
    </row>
    <row r="1275">
      <c r="A1275" s="1">
        <v>49833.0</v>
      </c>
      <c r="B1275" s="1">
        <v>16378.0</v>
      </c>
      <c r="C1275" s="1">
        <v>1.616406208E9</v>
      </c>
      <c r="D1275" s="1">
        <v>4.0</v>
      </c>
      <c r="E1275" s="1" t="b">
        <v>0</v>
      </c>
      <c r="F1275" s="1" t="s">
        <v>15225</v>
      </c>
    </row>
    <row r="1276">
      <c r="A1276" s="1">
        <v>49833.0</v>
      </c>
      <c r="B1276" s="1">
        <v>5689.0</v>
      </c>
      <c r="C1276" s="1">
        <v>1.611505838E9</v>
      </c>
      <c r="D1276" s="1">
        <v>4.0</v>
      </c>
      <c r="E1276" s="1" t="b">
        <v>0</v>
      </c>
      <c r="F1276" s="1" t="s">
        <v>15226</v>
      </c>
    </row>
    <row r="1277">
      <c r="A1277" s="1">
        <v>49833.0</v>
      </c>
      <c r="B1277" s="1">
        <v>14693.0</v>
      </c>
      <c r="C1277" s="1">
        <v>1.613939525E9</v>
      </c>
      <c r="D1277" s="1">
        <v>4.0</v>
      </c>
      <c r="E1277" s="1" t="b">
        <v>0</v>
      </c>
      <c r="F1277" s="1" t="s">
        <v>15227</v>
      </c>
    </row>
    <row r="1278">
      <c r="A1278" s="1">
        <v>49833.0</v>
      </c>
      <c r="B1278" s="1">
        <v>9656.0</v>
      </c>
      <c r="C1278" s="1">
        <v>1.612189422E9</v>
      </c>
      <c r="D1278" s="1">
        <v>4.0</v>
      </c>
      <c r="E1278" s="1" t="b">
        <v>0</v>
      </c>
      <c r="F1278" s="1" t="s">
        <v>15228</v>
      </c>
    </row>
    <row r="1279">
      <c r="A1279" s="1">
        <v>49833.0</v>
      </c>
      <c r="B1279" s="1">
        <v>7534.0</v>
      </c>
      <c r="C1279" s="1">
        <v>1.611855424E9</v>
      </c>
      <c r="D1279" s="1">
        <v>4.0</v>
      </c>
      <c r="E1279" s="1" t="b">
        <v>0</v>
      </c>
      <c r="F1279" s="1" t="s">
        <v>15229</v>
      </c>
    </row>
    <row r="1280">
      <c r="A1280" s="1">
        <v>49833.0</v>
      </c>
      <c r="B1280" s="1">
        <v>17186.0</v>
      </c>
      <c r="C1280" s="1">
        <v>1.619428021E9</v>
      </c>
      <c r="D1280" s="1">
        <v>4.0</v>
      </c>
      <c r="E1280" s="1" t="b">
        <v>0</v>
      </c>
      <c r="F1280" s="1" t="s">
        <v>15230</v>
      </c>
    </row>
    <row r="1281">
      <c r="A1281" s="1">
        <v>49833.0</v>
      </c>
      <c r="B1281" s="1">
        <v>18996.0</v>
      </c>
      <c r="C1281" s="1">
        <v>1.622222029E9</v>
      </c>
      <c r="D1281" s="1">
        <v>4.0</v>
      </c>
      <c r="E1281" s="1" t="b">
        <v>0</v>
      </c>
      <c r="F1281" s="1" t="s">
        <v>15231</v>
      </c>
    </row>
    <row r="1282">
      <c r="A1282" s="1">
        <v>49833.0</v>
      </c>
      <c r="B1282" s="1">
        <v>16176.0</v>
      </c>
      <c r="C1282" s="1">
        <v>1.615658742E9</v>
      </c>
      <c r="D1282" s="1">
        <v>4.0</v>
      </c>
      <c r="E1282" s="1" t="b">
        <v>0</v>
      </c>
      <c r="F1282" s="1" t="s">
        <v>15232</v>
      </c>
    </row>
    <row r="1283">
      <c r="A1283" s="1">
        <v>49833.0</v>
      </c>
      <c r="B1283" s="1">
        <v>19921.0</v>
      </c>
      <c r="C1283" s="1">
        <v>1.623495876E9</v>
      </c>
      <c r="D1283" s="1">
        <v>4.0</v>
      </c>
      <c r="E1283" s="1" t="b">
        <v>0</v>
      </c>
      <c r="F1283" s="1" t="s">
        <v>15233</v>
      </c>
    </row>
    <row r="1284">
      <c r="A1284" s="1">
        <v>49833.0</v>
      </c>
      <c r="B1284" s="1">
        <v>10360.0</v>
      </c>
      <c r="C1284" s="1">
        <v>1.612426884E9</v>
      </c>
      <c r="D1284" s="1">
        <v>4.0</v>
      </c>
      <c r="E1284" s="1" t="b">
        <v>0</v>
      </c>
      <c r="F1284" s="1" t="s">
        <v>15234</v>
      </c>
    </row>
    <row r="1285">
      <c r="A1285" s="1">
        <v>49833.0</v>
      </c>
      <c r="B1285" s="1">
        <v>9753.0</v>
      </c>
      <c r="C1285" s="1">
        <v>1.612323992E9</v>
      </c>
      <c r="D1285" s="1">
        <v>4.0</v>
      </c>
      <c r="E1285" s="1" t="b">
        <v>0</v>
      </c>
      <c r="F1285" s="1" t="s">
        <v>15235</v>
      </c>
    </row>
    <row r="1286">
      <c r="A1286" s="1">
        <v>49833.0</v>
      </c>
      <c r="B1286" s="1">
        <v>1894.0</v>
      </c>
      <c r="C1286" s="1">
        <v>1.613894697E9</v>
      </c>
      <c r="D1286" s="1">
        <v>4.0</v>
      </c>
      <c r="E1286" s="1" t="b">
        <v>0</v>
      </c>
      <c r="F1286" s="1" t="s">
        <v>15236</v>
      </c>
    </row>
    <row r="1287">
      <c r="A1287" s="1">
        <v>49833.0</v>
      </c>
      <c r="B1287" s="1">
        <v>9917.0</v>
      </c>
      <c r="C1287" s="1">
        <v>1.612325372E9</v>
      </c>
      <c r="D1287" s="1">
        <v>4.0</v>
      </c>
      <c r="E1287" s="1" t="b">
        <v>0</v>
      </c>
      <c r="F1287" s="1" t="s">
        <v>15237</v>
      </c>
    </row>
    <row r="1288">
      <c r="A1288" s="1">
        <v>49833.0</v>
      </c>
      <c r="B1288" s="1">
        <v>9901.0</v>
      </c>
      <c r="C1288" s="1">
        <v>1.612369049E9</v>
      </c>
      <c r="D1288" s="1">
        <v>4.0</v>
      </c>
      <c r="E1288" s="1" t="b">
        <v>0</v>
      </c>
      <c r="F1288" s="1" t="s">
        <v>15238</v>
      </c>
    </row>
    <row r="1289">
      <c r="A1289" s="1">
        <v>49833.0</v>
      </c>
      <c r="B1289" s="1">
        <v>10188.0</v>
      </c>
      <c r="C1289" s="1">
        <v>1.61236905E9</v>
      </c>
      <c r="D1289" s="1">
        <v>4.0</v>
      </c>
      <c r="E1289" s="1" t="b">
        <v>0</v>
      </c>
      <c r="F1289" s="1" t="s">
        <v>15183</v>
      </c>
    </row>
    <row r="1290">
      <c r="A1290" s="1">
        <v>49833.0</v>
      </c>
      <c r="B1290" s="1">
        <v>10062.0</v>
      </c>
      <c r="C1290" s="1">
        <v>1.612426885E9</v>
      </c>
      <c r="D1290" s="1">
        <v>4.0</v>
      </c>
      <c r="E1290" s="1" t="b">
        <v>0</v>
      </c>
      <c r="F1290" s="1" t="s">
        <v>15239</v>
      </c>
    </row>
    <row r="1291">
      <c r="A1291" s="1">
        <v>49833.0</v>
      </c>
      <c r="B1291" s="1">
        <v>19098.0</v>
      </c>
      <c r="C1291" s="1">
        <v>1.622373395E9</v>
      </c>
      <c r="D1291" s="1">
        <v>4.0</v>
      </c>
      <c r="E1291" s="1" t="b">
        <v>0</v>
      </c>
      <c r="F1291" s="1" t="s">
        <v>15240</v>
      </c>
    </row>
    <row r="1292">
      <c r="A1292" s="1">
        <v>49833.0</v>
      </c>
      <c r="B1292" s="1">
        <v>11269.0</v>
      </c>
      <c r="C1292" s="1">
        <v>1.61273139E9</v>
      </c>
      <c r="D1292" s="1">
        <v>4.0</v>
      </c>
      <c r="E1292" s="1" t="b">
        <v>0</v>
      </c>
      <c r="F1292" s="1" t="s">
        <v>15241</v>
      </c>
    </row>
    <row r="1293">
      <c r="A1293" s="1">
        <v>49833.0</v>
      </c>
      <c r="B1293" s="1">
        <v>18995.0</v>
      </c>
      <c r="C1293" s="1">
        <v>1.62222192E9</v>
      </c>
      <c r="D1293" s="1">
        <v>4.0</v>
      </c>
      <c r="E1293" s="1" t="b">
        <v>0</v>
      </c>
      <c r="F1293" s="1" t="s">
        <v>15242</v>
      </c>
    </row>
    <row r="1294">
      <c r="A1294" s="1">
        <v>49833.0</v>
      </c>
      <c r="B1294" s="1">
        <v>18994.0</v>
      </c>
      <c r="C1294" s="1">
        <v>1.622220858E9</v>
      </c>
      <c r="D1294" s="1">
        <v>4.0</v>
      </c>
      <c r="E1294" s="1" t="b">
        <v>0</v>
      </c>
      <c r="F1294" s="1" t="s">
        <v>15243</v>
      </c>
    </row>
    <row r="1295">
      <c r="A1295" s="1">
        <v>49833.0</v>
      </c>
      <c r="B1295" s="1">
        <v>9778.0</v>
      </c>
      <c r="C1295" s="1">
        <v>1.612323995E9</v>
      </c>
      <c r="D1295" s="1">
        <v>4.0</v>
      </c>
      <c r="E1295" s="1" t="b">
        <v>0</v>
      </c>
      <c r="F1295" s="1" t="s">
        <v>15244</v>
      </c>
    </row>
    <row r="1296">
      <c r="A1296" s="1">
        <v>49833.0</v>
      </c>
      <c r="B1296" s="1">
        <v>9652.0</v>
      </c>
      <c r="C1296" s="1">
        <v>1.612323996E9</v>
      </c>
      <c r="D1296" s="1">
        <v>4.0</v>
      </c>
      <c r="E1296" s="1" t="b">
        <v>0</v>
      </c>
      <c r="F1296" s="1" t="s">
        <v>15245</v>
      </c>
    </row>
    <row r="1297">
      <c r="A1297" s="1">
        <v>49833.0</v>
      </c>
      <c r="B1297" s="1">
        <v>9798.0</v>
      </c>
      <c r="C1297" s="1">
        <v>1.612323998E9</v>
      </c>
      <c r="D1297" s="1">
        <v>4.0</v>
      </c>
      <c r="E1297" s="1" t="b">
        <v>0</v>
      </c>
      <c r="F1297" s="1" t="s">
        <v>15246</v>
      </c>
    </row>
    <row r="1298">
      <c r="A1298" s="1">
        <v>49833.0</v>
      </c>
      <c r="B1298" s="1">
        <v>9817.0</v>
      </c>
      <c r="C1298" s="1">
        <v>1.612323999E9</v>
      </c>
      <c r="D1298" s="1">
        <v>4.0</v>
      </c>
      <c r="E1298" s="1" t="b">
        <v>0</v>
      </c>
      <c r="F1298" s="1" t="s">
        <v>14425</v>
      </c>
    </row>
    <row r="1299">
      <c r="A1299" s="1">
        <v>49833.0</v>
      </c>
      <c r="B1299" s="1">
        <v>9828.0</v>
      </c>
      <c r="C1299" s="1">
        <v>1.612325367E9</v>
      </c>
      <c r="D1299" s="1">
        <v>4.0</v>
      </c>
      <c r="E1299" s="1" t="b">
        <v>0</v>
      </c>
      <c r="F1299" s="1" t="s">
        <v>15247</v>
      </c>
    </row>
    <row r="1300">
      <c r="A1300" s="1">
        <v>49833.0</v>
      </c>
      <c r="B1300" s="1">
        <v>13909.0</v>
      </c>
      <c r="C1300" s="1">
        <v>1.61340536E9</v>
      </c>
      <c r="D1300" s="1">
        <v>4.0</v>
      </c>
      <c r="E1300" s="1" t="b">
        <v>0</v>
      </c>
      <c r="F1300" s="1" t="s">
        <v>15248</v>
      </c>
    </row>
    <row r="1301">
      <c r="A1301" s="1">
        <v>49833.0</v>
      </c>
      <c r="B1301" s="1">
        <v>13807.0</v>
      </c>
      <c r="C1301" s="1">
        <v>1.613405356E9</v>
      </c>
      <c r="D1301" s="1">
        <v>4.0</v>
      </c>
      <c r="E1301" s="1" t="b">
        <v>0</v>
      </c>
      <c r="F1301" s="1" t="s">
        <v>15249</v>
      </c>
    </row>
    <row r="1302">
      <c r="A1302" s="1">
        <v>49833.0</v>
      </c>
      <c r="B1302" s="1">
        <v>13917.0</v>
      </c>
      <c r="C1302" s="1">
        <v>1.61340535E9</v>
      </c>
      <c r="D1302" s="1">
        <v>4.0</v>
      </c>
      <c r="E1302" s="1" t="b">
        <v>0</v>
      </c>
      <c r="F1302" s="1" t="s">
        <v>15250</v>
      </c>
    </row>
    <row r="1303">
      <c r="A1303" s="1">
        <v>49833.0</v>
      </c>
      <c r="B1303" s="1">
        <v>13831.0</v>
      </c>
      <c r="C1303" s="1">
        <v>1.613405341E9</v>
      </c>
      <c r="D1303" s="1">
        <v>4.0</v>
      </c>
      <c r="E1303" s="1" t="b">
        <v>0</v>
      </c>
      <c r="F1303" s="1" t="s">
        <v>15251</v>
      </c>
    </row>
    <row r="1304">
      <c r="A1304" s="1">
        <v>49833.0</v>
      </c>
      <c r="B1304" s="1">
        <v>16593.0</v>
      </c>
      <c r="C1304" s="1">
        <v>1.617363174E9</v>
      </c>
      <c r="D1304" s="1">
        <v>4.0</v>
      </c>
      <c r="E1304" s="1" t="b">
        <v>0</v>
      </c>
      <c r="F1304" s="1" t="s">
        <v>15252</v>
      </c>
    </row>
    <row r="1305">
      <c r="A1305" s="1">
        <v>49833.0</v>
      </c>
      <c r="B1305" s="1">
        <v>11471.0</v>
      </c>
      <c r="C1305" s="1">
        <v>1.612772042E9</v>
      </c>
      <c r="D1305" s="1">
        <v>4.0</v>
      </c>
      <c r="E1305" s="1" t="b">
        <v>0</v>
      </c>
      <c r="F1305" s="1" t="s">
        <v>15253</v>
      </c>
    </row>
    <row r="1306">
      <c r="A1306" s="1">
        <v>49833.0</v>
      </c>
      <c r="B1306" s="1">
        <v>13759.0</v>
      </c>
      <c r="C1306" s="1">
        <v>1.613369859E9</v>
      </c>
      <c r="D1306" s="1">
        <v>4.0</v>
      </c>
      <c r="E1306" s="1" t="b">
        <v>0</v>
      </c>
      <c r="F1306" s="1" t="s">
        <v>15254</v>
      </c>
    </row>
    <row r="1307">
      <c r="A1307" s="1">
        <v>49833.0</v>
      </c>
      <c r="B1307" s="1">
        <v>10073.0</v>
      </c>
      <c r="C1307" s="1">
        <v>1.612369046E9</v>
      </c>
      <c r="D1307" s="1">
        <v>4.0</v>
      </c>
      <c r="E1307" s="1" t="b">
        <v>0</v>
      </c>
      <c r="F1307" s="1" t="s">
        <v>15255</v>
      </c>
    </row>
    <row r="1308">
      <c r="A1308" s="1">
        <v>49833.0</v>
      </c>
      <c r="B1308" s="1">
        <v>10191.0</v>
      </c>
      <c r="C1308" s="1">
        <v>1.612369053E9</v>
      </c>
      <c r="D1308" s="1">
        <v>4.0</v>
      </c>
      <c r="E1308" s="1" t="b">
        <v>0</v>
      </c>
      <c r="F1308" s="1" t="s">
        <v>15256</v>
      </c>
    </row>
    <row r="1309">
      <c r="A1309" s="1">
        <v>49833.0</v>
      </c>
      <c r="B1309" s="1">
        <v>10139.0</v>
      </c>
      <c r="C1309" s="1">
        <v>1.612369054E9</v>
      </c>
      <c r="D1309" s="1">
        <v>4.0</v>
      </c>
      <c r="E1309" s="1" t="b">
        <v>0</v>
      </c>
      <c r="F1309" s="1" t="s">
        <v>15257</v>
      </c>
    </row>
    <row r="1310">
      <c r="A1310" s="1">
        <v>49833.0</v>
      </c>
      <c r="B1310" s="1">
        <v>13513.0</v>
      </c>
      <c r="C1310" s="1">
        <v>1.613369856E9</v>
      </c>
      <c r="D1310" s="1">
        <v>4.0</v>
      </c>
      <c r="E1310" s="1" t="b">
        <v>0</v>
      </c>
      <c r="F1310" s="1" t="s">
        <v>15258</v>
      </c>
    </row>
    <row r="1311">
      <c r="A1311" s="1">
        <v>49833.0</v>
      </c>
      <c r="B1311" s="1">
        <v>10284.0</v>
      </c>
      <c r="C1311" s="1">
        <v>1.612410449E9</v>
      </c>
      <c r="D1311" s="1">
        <v>4.0</v>
      </c>
      <c r="E1311" s="1" t="b">
        <v>0</v>
      </c>
      <c r="F1311" s="1" t="s">
        <v>15259</v>
      </c>
    </row>
    <row r="1312">
      <c r="A1312" s="1">
        <v>49833.0</v>
      </c>
      <c r="B1312" s="1">
        <v>13749.0</v>
      </c>
      <c r="C1312" s="1">
        <v>1.613369853E9</v>
      </c>
      <c r="D1312" s="1">
        <v>4.0</v>
      </c>
      <c r="E1312" s="1" t="b">
        <v>0</v>
      </c>
      <c r="F1312" s="1" t="s">
        <v>15260</v>
      </c>
    </row>
    <row r="1313">
      <c r="A1313" s="1">
        <v>49833.0</v>
      </c>
      <c r="B1313" s="1">
        <v>13045.0</v>
      </c>
      <c r="C1313" s="1">
        <v>1.613151937E9</v>
      </c>
      <c r="D1313" s="1">
        <v>4.0</v>
      </c>
      <c r="E1313" s="1" t="b">
        <v>0</v>
      </c>
      <c r="F1313" s="1" t="s">
        <v>14425</v>
      </c>
    </row>
    <row r="1314">
      <c r="A1314" s="1">
        <v>49833.0</v>
      </c>
      <c r="B1314" s="1">
        <v>10343.0</v>
      </c>
      <c r="C1314" s="1">
        <v>1.612426882E9</v>
      </c>
      <c r="D1314" s="1">
        <v>4.0</v>
      </c>
      <c r="E1314" s="1" t="b">
        <v>0</v>
      </c>
      <c r="F1314" s="1" t="s">
        <v>15261</v>
      </c>
    </row>
    <row r="1315">
      <c r="A1315" s="1">
        <v>49833.0</v>
      </c>
      <c r="B1315" s="1">
        <v>13728.0</v>
      </c>
      <c r="C1315" s="1">
        <v>1.613369852E9</v>
      </c>
      <c r="D1315" s="1">
        <v>4.0</v>
      </c>
      <c r="E1315" s="1" t="b">
        <v>0</v>
      </c>
      <c r="F1315" s="1" t="s">
        <v>15262</v>
      </c>
    </row>
    <row r="1316">
      <c r="A1316" s="1">
        <v>49833.0</v>
      </c>
      <c r="B1316" s="1">
        <v>10332.0</v>
      </c>
      <c r="C1316" s="1">
        <v>1.612423546E9</v>
      </c>
      <c r="D1316" s="1">
        <v>4.0</v>
      </c>
      <c r="E1316" s="1" t="b">
        <v>0</v>
      </c>
      <c r="F1316" s="1" t="s">
        <v>15263</v>
      </c>
    </row>
    <row r="1317">
      <c r="A1317" s="1">
        <v>49833.0</v>
      </c>
      <c r="B1317" s="1">
        <v>2762.0</v>
      </c>
      <c r="C1317" s="1">
        <v>1.609289015E9</v>
      </c>
      <c r="D1317" s="1">
        <v>4.0</v>
      </c>
      <c r="E1317" s="1" t="b">
        <v>0</v>
      </c>
      <c r="F1317" s="1" t="s">
        <v>15264</v>
      </c>
    </row>
    <row r="1318">
      <c r="A1318" s="1">
        <v>49833.0</v>
      </c>
      <c r="B1318" s="1">
        <v>10012.0</v>
      </c>
      <c r="C1318" s="1">
        <v>1.612324001E9</v>
      </c>
      <c r="D1318" s="1">
        <v>4.0</v>
      </c>
      <c r="E1318" s="1" t="b">
        <v>0</v>
      </c>
      <c r="F1318" s="1" t="s">
        <v>15265</v>
      </c>
    </row>
    <row r="1319">
      <c r="A1319" s="1">
        <v>49833.0</v>
      </c>
      <c r="B1319" s="1">
        <v>13751.0</v>
      </c>
      <c r="C1319" s="1">
        <v>1.613369618E9</v>
      </c>
      <c r="D1319" s="1">
        <v>4.0</v>
      </c>
      <c r="E1319" s="1" t="b">
        <v>0</v>
      </c>
      <c r="F1319" s="1" t="s">
        <v>15266</v>
      </c>
    </row>
    <row r="1320">
      <c r="A1320" s="1">
        <v>49833.0</v>
      </c>
      <c r="B1320" s="1">
        <v>13688.0</v>
      </c>
      <c r="C1320" s="1">
        <v>1.613369858E9</v>
      </c>
      <c r="D1320" s="1">
        <v>4.0</v>
      </c>
      <c r="E1320" s="1" t="b">
        <v>0</v>
      </c>
      <c r="F1320" s="1" t="s">
        <v>15267</v>
      </c>
    </row>
    <row r="1321">
      <c r="A1321" s="1">
        <v>49833.0</v>
      </c>
      <c r="B1321" s="1">
        <v>13645.0</v>
      </c>
      <c r="C1321" s="1">
        <v>1.613369855E9</v>
      </c>
      <c r="D1321" s="1">
        <v>4.0</v>
      </c>
      <c r="E1321" s="1" t="b">
        <v>0</v>
      </c>
      <c r="F1321" s="1" t="s">
        <v>15268</v>
      </c>
    </row>
    <row r="1322">
      <c r="A1322" s="1">
        <v>49833.0</v>
      </c>
      <c r="B1322" s="1">
        <v>13702.0</v>
      </c>
      <c r="C1322" s="1">
        <v>1.61336985E9</v>
      </c>
      <c r="D1322" s="1">
        <v>4.0</v>
      </c>
      <c r="E1322" s="1" t="b">
        <v>0</v>
      </c>
      <c r="F1322" s="1" t="s">
        <v>15269</v>
      </c>
    </row>
    <row r="1323">
      <c r="A1323" s="1">
        <v>49833.0</v>
      </c>
      <c r="B1323" s="1">
        <v>13617.0</v>
      </c>
      <c r="C1323" s="1">
        <v>1.613369609E9</v>
      </c>
      <c r="D1323" s="1">
        <v>4.0</v>
      </c>
      <c r="E1323" s="1" t="b">
        <v>0</v>
      </c>
      <c r="F1323" s="1" t="s">
        <v>15270</v>
      </c>
    </row>
    <row r="1324">
      <c r="A1324" s="1">
        <v>49833.0</v>
      </c>
      <c r="B1324" s="1">
        <v>11583.0</v>
      </c>
      <c r="C1324" s="1">
        <v>1.612792214E9</v>
      </c>
      <c r="D1324" s="1">
        <v>4.0</v>
      </c>
      <c r="E1324" s="1" t="b">
        <v>0</v>
      </c>
      <c r="F1324" s="1" t="s">
        <v>15271</v>
      </c>
    </row>
    <row r="1325">
      <c r="A1325" s="1">
        <v>49833.0</v>
      </c>
      <c r="B1325" s="1">
        <v>13628.0</v>
      </c>
      <c r="C1325" s="1">
        <v>1.613369608E9</v>
      </c>
      <c r="D1325" s="1">
        <v>4.0</v>
      </c>
      <c r="E1325" s="1" t="b">
        <v>0</v>
      </c>
      <c r="F1325" s="1" t="s">
        <v>15272</v>
      </c>
    </row>
    <row r="1326">
      <c r="A1326" s="1">
        <v>49833.0</v>
      </c>
      <c r="B1326" s="1">
        <v>13671.0</v>
      </c>
      <c r="C1326" s="1">
        <v>1.613369605E9</v>
      </c>
      <c r="D1326" s="1">
        <v>4.0</v>
      </c>
      <c r="E1326" s="1" t="b">
        <v>0</v>
      </c>
      <c r="F1326" s="1" t="s">
        <v>15273</v>
      </c>
    </row>
    <row r="1327">
      <c r="A1327" s="1">
        <v>49833.0</v>
      </c>
      <c r="B1327" s="1">
        <v>13793.0</v>
      </c>
      <c r="C1327" s="1">
        <v>1.613405342E9</v>
      </c>
      <c r="D1327" s="1">
        <v>4.0</v>
      </c>
      <c r="E1327" s="1" t="b">
        <v>0</v>
      </c>
      <c r="F1327" s="1" t="s">
        <v>15274</v>
      </c>
    </row>
    <row r="1328">
      <c r="A1328" s="1">
        <v>49833.0</v>
      </c>
      <c r="B1328" s="1">
        <v>13904.0</v>
      </c>
      <c r="C1328" s="1">
        <v>1.613405343E9</v>
      </c>
      <c r="D1328" s="1">
        <v>4.0</v>
      </c>
      <c r="E1328" s="1" t="b">
        <v>0</v>
      </c>
      <c r="F1328" s="1" t="s">
        <v>15275</v>
      </c>
    </row>
    <row r="1329">
      <c r="A1329" s="1">
        <v>49833.0</v>
      </c>
      <c r="B1329" s="1">
        <v>17061.0</v>
      </c>
      <c r="C1329" s="1">
        <v>1.619077068E9</v>
      </c>
      <c r="D1329" s="1">
        <v>4.0</v>
      </c>
      <c r="E1329" s="1" t="b">
        <v>0</v>
      </c>
      <c r="F1329" s="1" t="s">
        <v>15276</v>
      </c>
    </row>
    <row r="1330">
      <c r="A1330" s="1">
        <v>49833.0</v>
      </c>
      <c r="B1330" s="1">
        <v>13932.0</v>
      </c>
      <c r="C1330" s="1">
        <v>1.613405358E9</v>
      </c>
      <c r="D1330" s="1">
        <v>4.0</v>
      </c>
      <c r="E1330" s="1" t="b">
        <v>0</v>
      </c>
      <c r="F1330" s="1" t="s">
        <v>15277</v>
      </c>
    </row>
    <row r="1331">
      <c r="A1331" s="1">
        <v>49833.0</v>
      </c>
      <c r="B1331" s="1">
        <v>10081.0</v>
      </c>
      <c r="C1331" s="1">
        <v>1.612369057E9</v>
      </c>
      <c r="D1331" s="1">
        <v>4.0</v>
      </c>
      <c r="E1331" s="1" t="b">
        <v>0</v>
      </c>
      <c r="F1331" s="1" t="s">
        <v>15278</v>
      </c>
    </row>
    <row r="1332">
      <c r="A1332" s="1">
        <v>49833.0</v>
      </c>
      <c r="B1332" s="1">
        <v>10194.0</v>
      </c>
      <c r="C1332" s="1">
        <v>1.612369062E9</v>
      </c>
      <c r="D1332" s="1">
        <v>4.0</v>
      </c>
      <c r="E1332" s="1" t="b">
        <v>0</v>
      </c>
      <c r="F1332" s="1" t="s">
        <v>15279</v>
      </c>
    </row>
    <row r="1333">
      <c r="A1333" s="1">
        <v>49833.0</v>
      </c>
      <c r="B1333" s="1">
        <v>10070.0</v>
      </c>
      <c r="C1333" s="1">
        <v>1.612369072E9</v>
      </c>
      <c r="D1333" s="1">
        <v>4.0</v>
      </c>
      <c r="E1333" s="1" t="b">
        <v>0</v>
      </c>
      <c r="F1333" s="1" t="s">
        <v>15055</v>
      </c>
    </row>
    <row r="1334">
      <c r="A1334" s="1">
        <v>49833.0</v>
      </c>
      <c r="B1334" s="1">
        <v>9405.0</v>
      </c>
      <c r="C1334" s="1">
        <v>1.612160042E9</v>
      </c>
      <c r="D1334" s="1">
        <v>4.0</v>
      </c>
      <c r="E1334" s="1" t="b">
        <v>0</v>
      </c>
      <c r="F1334" s="1" t="s">
        <v>15280</v>
      </c>
    </row>
    <row r="1335">
      <c r="A1335" s="1">
        <v>49833.0</v>
      </c>
      <c r="B1335" s="1">
        <v>10339.0</v>
      </c>
      <c r="C1335" s="1">
        <v>1.61242355E9</v>
      </c>
      <c r="D1335" s="1">
        <v>4.0</v>
      </c>
      <c r="E1335" s="1" t="b">
        <v>0</v>
      </c>
      <c r="F1335" s="1" t="s">
        <v>15281</v>
      </c>
    </row>
    <row r="1336">
      <c r="A1336" s="1">
        <v>49833.0</v>
      </c>
      <c r="B1336" s="1">
        <v>11046.0</v>
      </c>
      <c r="C1336" s="1">
        <v>1.612671199E9</v>
      </c>
      <c r="D1336" s="1">
        <v>4.0</v>
      </c>
      <c r="E1336" s="1" t="b">
        <v>0</v>
      </c>
      <c r="F1336" s="1" t="s">
        <v>15282</v>
      </c>
    </row>
    <row r="1337">
      <c r="A1337" s="1">
        <v>49833.0</v>
      </c>
      <c r="B1337" s="1">
        <v>11125.0</v>
      </c>
      <c r="C1337" s="1">
        <v>1.612690302E9</v>
      </c>
      <c r="D1337" s="1">
        <v>4.0</v>
      </c>
      <c r="E1337" s="1" t="b">
        <v>0</v>
      </c>
      <c r="F1337" s="1" t="s">
        <v>14325</v>
      </c>
    </row>
    <row r="1338">
      <c r="A1338" s="1">
        <v>49833.0</v>
      </c>
      <c r="B1338" s="1">
        <v>10013.0</v>
      </c>
      <c r="C1338" s="1">
        <v>1.612324002E9</v>
      </c>
      <c r="D1338" s="1">
        <v>4.0</v>
      </c>
      <c r="E1338" s="1" t="b">
        <v>0</v>
      </c>
      <c r="F1338" s="1" t="s">
        <v>15283</v>
      </c>
    </row>
    <row r="1339">
      <c r="A1339" s="1">
        <v>49833.0</v>
      </c>
      <c r="B1339" s="1">
        <v>10395.0</v>
      </c>
      <c r="C1339" s="1">
        <v>1.612441243E9</v>
      </c>
      <c r="D1339" s="1">
        <v>4.0</v>
      </c>
      <c r="E1339" s="1" t="b">
        <v>0</v>
      </c>
      <c r="F1339" s="1" t="s">
        <v>15284</v>
      </c>
    </row>
    <row r="1340">
      <c r="A1340" s="1">
        <v>49833.0</v>
      </c>
      <c r="B1340" s="1">
        <v>13927.0</v>
      </c>
      <c r="C1340" s="1">
        <v>1.613405345E9</v>
      </c>
      <c r="D1340" s="1">
        <v>4.0</v>
      </c>
      <c r="E1340" s="1" t="b">
        <v>0</v>
      </c>
      <c r="F1340" s="1" t="s">
        <v>15285</v>
      </c>
    </row>
    <row r="1341">
      <c r="A1341" s="1">
        <v>49833.0</v>
      </c>
      <c r="B1341" s="1">
        <v>12759.0</v>
      </c>
      <c r="C1341" s="1">
        <v>1.613057689E9</v>
      </c>
      <c r="D1341" s="1">
        <v>4.0</v>
      </c>
      <c r="E1341" s="1" t="b">
        <v>0</v>
      </c>
      <c r="F1341" s="1" t="s">
        <v>15286</v>
      </c>
    </row>
    <row r="1342">
      <c r="A1342" s="1">
        <v>49833.0</v>
      </c>
      <c r="B1342" s="1">
        <v>13406.0</v>
      </c>
      <c r="C1342" s="1">
        <v>1.613286924E9</v>
      </c>
      <c r="D1342" s="1">
        <v>4.0</v>
      </c>
      <c r="E1342" s="1" t="b">
        <v>0</v>
      </c>
      <c r="F1342" s="1" t="s">
        <v>15287</v>
      </c>
    </row>
    <row r="1343">
      <c r="A1343" s="1">
        <v>49833.0</v>
      </c>
      <c r="B1343" s="1">
        <v>13292.0</v>
      </c>
      <c r="C1343" s="1">
        <v>1.613286921E9</v>
      </c>
      <c r="D1343" s="1">
        <v>4.0</v>
      </c>
      <c r="E1343" s="1" t="b">
        <v>0</v>
      </c>
      <c r="F1343" s="1" t="s">
        <v>15288</v>
      </c>
    </row>
    <row r="1344">
      <c r="A1344" s="1">
        <v>49833.0</v>
      </c>
      <c r="B1344" s="1">
        <v>13059.0</v>
      </c>
      <c r="C1344" s="1">
        <v>1.613151934E9</v>
      </c>
      <c r="D1344" s="1">
        <v>4.0</v>
      </c>
      <c r="E1344" s="1" t="b">
        <v>0</v>
      </c>
      <c r="F1344" s="1" t="s">
        <v>15289</v>
      </c>
    </row>
    <row r="1345">
      <c r="A1345" s="1">
        <v>49833.0</v>
      </c>
      <c r="B1345" s="1">
        <v>17238.0</v>
      </c>
      <c r="C1345" s="1">
        <v>1.619428017E9</v>
      </c>
      <c r="D1345" s="1">
        <v>4.0</v>
      </c>
      <c r="E1345" s="1" t="b">
        <v>0</v>
      </c>
      <c r="F1345" s="1" t="s">
        <v>15290</v>
      </c>
    </row>
    <row r="1346">
      <c r="A1346" s="1">
        <v>49833.0</v>
      </c>
      <c r="B1346" s="1">
        <v>13585.0</v>
      </c>
      <c r="C1346" s="1">
        <v>1.613308817E9</v>
      </c>
      <c r="D1346" s="1">
        <v>4.0</v>
      </c>
      <c r="E1346" s="1" t="b">
        <v>0</v>
      </c>
      <c r="F1346" s="1" t="s">
        <v>15291</v>
      </c>
    </row>
    <row r="1347">
      <c r="A1347" s="1">
        <v>49833.0</v>
      </c>
      <c r="B1347" s="1">
        <v>13520.0</v>
      </c>
      <c r="C1347" s="1">
        <v>1.613291083E9</v>
      </c>
      <c r="D1347" s="1">
        <v>4.0</v>
      </c>
      <c r="E1347" s="1" t="b">
        <v>0</v>
      </c>
      <c r="F1347" s="1" t="s">
        <v>15292</v>
      </c>
    </row>
    <row r="1348">
      <c r="A1348" s="1">
        <v>49833.0</v>
      </c>
      <c r="B1348" s="1">
        <v>12747.0</v>
      </c>
      <c r="C1348" s="1">
        <v>1.613052367E9</v>
      </c>
      <c r="D1348" s="1">
        <v>4.0</v>
      </c>
      <c r="E1348" s="1" t="b">
        <v>0</v>
      </c>
      <c r="F1348" s="1" t="s">
        <v>15293</v>
      </c>
    </row>
    <row r="1349">
      <c r="A1349" s="1">
        <v>49833.0</v>
      </c>
      <c r="B1349" s="1">
        <v>10762.0</v>
      </c>
      <c r="C1349" s="1">
        <v>1.612582597E9</v>
      </c>
      <c r="D1349" s="1">
        <v>4.0</v>
      </c>
      <c r="E1349" s="1" t="b">
        <v>0</v>
      </c>
      <c r="F1349" s="1" t="s">
        <v>15294</v>
      </c>
    </row>
    <row r="1350">
      <c r="A1350" s="1">
        <v>49833.0</v>
      </c>
      <c r="B1350" s="1">
        <v>13474.0</v>
      </c>
      <c r="C1350" s="1">
        <v>1.613286928E9</v>
      </c>
      <c r="D1350" s="1">
        <v>4.0</v>
      </c>
      <c r="E1350" s="1" t="b">
        <v>0</v>
      </c>
      <c r="F1350" s="1" t="s">
        <v>15295</v>
      </c>
    </row>
    <row r="1351">
      <c r="A1351" s="1">
        <v>49833.0</v>
      </c>
      <c r="B1351" s="1">
        <v>12926.0</v>
      </c>
      <c r="C1351" s="1">
        <v>1.613115364E9</v>
      </c>
      <c r="D1351" s="1">
        <v>4.0</v>
      </c>
      <c r="E1351" s="1" t="b">
        <v>0</v>
      </c>
      <c r="F1351" s="1" t="s">
        <v>15296</v>
      </c>
    </row>
    <row r="1352">
      <c r="A1352" s="1">
        <v>49833.0</v>
      </c>
      <c r="B1352" s="1">
        <v>7342.0</v>
      </c>
      <c r="C1352" s="1">
        <v>1.611834687E9</v>
      </c>
      <c r="D1352" s="1">
        <v>4.0</v>
      </c>
      <c r="E1352" s="1" t="b">
        <v>0</v>
      </c>
      <c r="F1352" s="1" t="s">
        <v>14141</v>
      </c>
    </row>
    <row r="1353">
      <c r="A1353" s="1">
        <v>49833.0</v>
      </c>
      <c r="B1353" s="1">
        <v>12963.0</v>
      </c>
      <c r="C1353" s="1">
        <v>1.613132734E9</v>
      </c>
      <c r="D1353" s="1">
        <v>4.0</v>
      </c>
      <c r="E1353" s="1" t="b">
        <v>0</v>
      </c>
      <c r="F1353" s="1" t="s">
        <v>15297</v>
      </c>
    </row>
    <row r="1354">
      <c r="A1354" s="1">
        <v>49833.0</v>
      </c>
      <c r="B1354" s="1">
        <v>13610.0</v>
      </c>
      <c r="C1354" s="1">
        <v>1.613309581E9</v>
      </c>
      <c r="D1354" s="1">
        <v>4.0</v>
      </c>
      <c r="E1354" s="1" t="b">
        <v>0</v>
      </c>
      <c r="F1354" s="1" t="s">
        <v>14709</v>
      </c>
    </row>
    <row r="1355">
      <c r="A1355" s="1">
        <v>49833.0</v>
      </c>
      <c r="B1355" s="1">
        <v>8312.0</v>
      </c>
      <c r="C1355" s="1">
        <v>1.612410457E9</v>
      </c>
      <c r="D1355" s="1">
        <v>4.0</v>
      </c>
      <c r="E1355" s="1" t="b">
        <v>0</v>
      </c>
      <c r="F1355" s="1" t="s">
        <v>15298</v>
      </c>
    </row>
    <row r="1356">
      <c r="A1356" s="1">
        <v>49833.0</v>
      </c>
      <c r="B1356" s="1">
        <v>10153.0</v>
      </c>
      <c r="C1356" s="1">
        <v>1.61236906E9</v>
      </c>
      <c r="D1356" s="1">
        <v>4.0</v>
      </c>
      <c r="E1356" s="1" t="b">
        <v>0</v>
      </c>
      <c r="F1356" s="1" t="s">
        <v>15299</v>
      </c>
    </row>
    <row r="1357">
      <c r="A1357" s="1">
        <v>49833.0</v>
      </c>
      <c r="B1357" s="1">
        <v>10183.0</v>
      </c>
      <c r="C1357" s="1">
        <v>1.612369065E9</v>
      </c>
      <c r="D1357" s="1">
        <v>4.0</v>
      </c>
      <c r="E1357" s="1" t="b">
        <v>0</v>
      </c>
      <c r="F1357" s="1" t="s">
        <v>15300</v>
      </c>
    </row>
    <row r="1358">
      <c r="A1358" s="1">
        <v>49833.0</v>
      </c>
      <c r="B1358" s="1">
        <v>10177.0</v>
      </c>
      <c r="C1358" s="1">
        <v>1.61236907E9</v>
      </c>
      <c r="D1358" s="1">
        <v>4.0</v>
      </c>
      <c r="E1358" s="1" t="b">
        <v>0</v>
      </c>
      <c r="F1358" s="1" t="s">
        <v>15301</v>
      </c>
    </row>
    <row r="1359">
      <c r="A1359" s="1">
        <v>49833.0</v>
      </c>
      <c r="B1359" s="1">
        <v>10164.0</v>
      </c>
      <c r="C1359" s="1">
        <v>1.612369064E9</v>
      </c>
      <c r="D1359" s="1">
        <v>4.0</v>
      </c>
      <c r="E1359" s="1" t="b">
        <v>0</v>
      </c>
      <c r="F1359" s="1" t="s">
        <v>15302</v>
      </c>
    </row>
    <row r="1360">
      <c r="A1360" s="1">
        <v>49833.0</v>
      </c>
      <c r="B1360" s="1">
        <v>10138.0</v>
      </c>
      <c r="C1360" s="1">
        <v>1.612369059E9</v>
      </c>
      <c r="D1360" s="1">
        <v>4.0</v>
      </c>
      <c r="E1360" s="1" t="b">
        <v>0</v>
      </c>
      <c r="F1360" s="1" t="s">
        <v>15303</v>
      </c>
    </row>
    <row r="1361">
      <c r="A1361" s="1">
        <v>49833.0</v>
      </c>
      <c r="B1361" s="1">
        <v>12899.0</v>
      </c>
      <c r="C1361" s="1">
        <v>1.613115359E9</v>
      </c>
      <c r="D1361" s="1">
        <v>4.0</v>
      </c>
      <c r="E1361" s="1" t="b">
        <v>0</v>
      </c>
      <c r="F1361" s="1" t="s">
        <v>15304</v>
      </c>
    </row>
    <row r="1362">
      <c r="A1362" s="1">
        <v>49833.0</v>
      </c>
      <c r="B1362" s="1">
        <v>13168.0</v>
      </c>
      <c r="C1362" s="1">
        <v>1.613206209E9</v>
      </c>
      <c r="D1362" s="1">
        <v>4.0</v>
      </c>
      <c r="E1362" s="1" t="b">
        <v>0</v>
      </c>
      <c r="F1362" s="1" t="s">
        <v>15305</v>
      </c>
    </row>
    <row r="1363">
      <c r="A1363" s="1">
        <v>49833.0</v>
      </c>
      <c r="B1363" s="1">
        <v>12768.0</v>
      </c>
      <c r="C1363" s="1">
        <v>1.613057688E9</v>
      </c>
      <c r="D1363" s="1">
        <v>4.0</v>
      </c>
      <c r="E1363" s="1" t="b">
        <v>0</v>
      </c>
      <c r="F1363" s="1" t="s">
        <v>15306</v>
      </c>
    </row>
    <row r="1364">
      <c r="A1364" s="1">
        <v>49833.0</v>
      </c>
      <c r="B1364" s="1">
        <v>12840.0</v>
      </c>
      <c r="C1364" s="1">
        <v>1.613099843E9</v>
      </c>
      <c r="D1364" s="1">
        <v>4.0</v>
      </c>
      <c r="E1364" s="1" t="b">
        <v>0</v>
      </c>
      <c r="F1364" s="1" t="s">
        <v>15307</v>
      </c>
    </row>
    <row r="1365">
      <c r="A1365" s="1">
        <v>49833.0</v>
      </c>
      <c r="B1365" s="1">
        <v>13368.0</v>
      </c>
      <c r="C1365" s="1">
        <v>1.613286918E9</v>
      </c>
      <c r="D1365" s="1">
        <v>4.0</v>
      </c>
      <c r="E1365" s="1" t="b">
        <v>0</v>
      </c>
      <c r="F1365" s="1" t="s">
        <v>15308</v>
      </c>
    </row>
    <row r="1366">
      <c r="A1366" s="1">
        <v>49833.0</v>
      </c>
      <c r="B1366" s="1">
        <v>10389.0</v>
      </c>
      <c r="C1366" s="1">
        <v>1.612441246E9</v>
      </c>
      <c r="D1366" s="1">
        <v>4.0</v>
      </c>
      <c r="E1366" s="1" t="b">
        <v>0</v>
      </c>
      <c r="F1366" s="1" t="s">
        <v>15309</v>
      </c>
    </row>
    <row r="1367">
      <c r="A1367" s="1">
        <v>49833.0</v>
      </c>
      <c r="B1367" s="1">
        <v>13056.0</v>
      </c>
      <c r="C1367" s="1">
        <v>1.613151916E9</v>
      </c>
      <c r="D1367" s="1">
        <v>4.0</v>
      </c>
      <c r="E1367" s="1" t="b">
        <v>0</v>
      </c>
      <c r="F1367" s="1" t="s">
        <v>15310</v>
      </c>
    </row>
    <row r="1368">
      <c r="A1368" s="1">
        <v>49833.0</v>
      </c>
      <c r="B1368" s="1">
        <v>12896.0</v>
      </c>
      <c r="C1368" s="1">
        <v>1.613108558E9</v>
      </c>
      <c r="D1368" s="1">
        <v>4.0</v>
      </c>
      <c r="E1368" s="1" t="b">
        <v>0</v>
      </c>
      <c r="F1368" s="1" t="s">
        <v>15311</v>
      </c>
    </row>
    <row r="1369">
      <c r="A1369" s="1">
        <v>49833.0</v>
      </c>
      <c r="B1369" s="1">
        <v>12989.0</v>
      </c>
      <c r="C1369" s="1">
        <v>1.613132736E9</v>
      </c>
      <c r="D1369" s="1">
        <v>4.0</v>
      </c>
      <c r="E1369" s="1" t="b">
        <v>0</v>
      </c>
      <c r="F1369" s="1" t="s">
        <v>15312</v>
      </c>
    </row>
    <row r="1370">
      <c r="A1370" s="1">
        <v>49833.0</v>
      </c>
      <c r="B1370" s="1">
        <v>18844.0</v>
      </c>
      <c r="C1370" s="1">
        <v>1.622030858E9</v>
      </c>
      <c r="D1370" s="1">
        <v>4.0</v>
      </c>
      <c r="E1370" s="1" t="b">
        <v>0</v>
      </c>
      <c r="F1370" s="1" t="s">
        <v>14261</v>
      </c>
    </row>
    <row r="1371">
      <c r="A1371" s="1">
        <v>49833.0</v>
      </c>
      <c r="B1371" s="1">
        <v>12833.0</v>
      </c>
      <c r="C1371" s="1">
        <v>1.61309984E9</v>
      </c>
      <c r="D1371" s="1">
        <v>4.0</v>
      </c>
      <c r="E1371" s="1" t="b">
        <v>0</v>
      </c>
      <c r="F1371" s="1" t="s">
        <v>15313</v>
      </c>
    </row>
    <row r="1372">
      <c r="A1372" s="1">
        <v>49833.0</v>
      </c>
      <c r="B1372" s="1">
        <v>3869.0</v>
      </c>
      <c r="C1372" s="1">
        <v>1.610858309E9</v>
      </c>
      <c r="D1372" s="1">
        <v>4.0</v>
      </c>
      <c r="E1372" s="1" t="b">
        <v>0</v>
      </c>
      <c r="F1372" s="1" t="s">
        <v>15314</v>
      </c>
    </row>
    <row r="1373">
      <c r="A1373" s="1">
        <v>49833.0</v>
      </c>
      <c r="B1373" s="1">
        <v>10761.0</v>
      </c>
      <c r="C1373" s="1">
        <v>1.612582586E9</v>
      </c>
      <c r="D1373" s="1">
        <v>4.0</v>
      </c>
      <c r="E1373" s="1" t="b">
        <v>0</v>
      </c>
      <c r="F1373" s="1" t="s">
        <v>15315</v>
      </c>
    </row>
    <row r="1374">
      <c r="A1374" s="1">
        <v>49833.0</v>
      </c>
      <c r="B1374" s="1">
        <v>10029.0</v>
      </c>
      <c r="C1374" s="1">
        <v>1.612323961E9</v>
      </c>
      <c r="D1374" s="1">
        <v>4.0</v>
      </c>
      <c r="E1374" s="1" t="b">
        <v>0</v>
      </c>
      <c r="F1374" s="1" t="s">
        <v>15316</v>
      </c>
    </row>
    <row r="1375">
      <c r="A1375" s="1">
        <v>49833.0</v>
      </c>
      <c r="B1375" s="1">
        <v>10120.0</v>
      </c>
      <c r="C1375" s="1">
        <v>1.612369066E9</v>
      </c>
      <c r="D1375" s="1">
        <v>4.0</v>
      </c>
      <c r="E1375" s="1" t="b">
        <v>0</v>
      </c>
      <c r="F1375" s="1" t="s">
        <v>15317</v>
      </c>
    </row>
    <row r="1376">
      <c r="A1376" s="1">
        <v>49833.0</v>
      </c>
      <c r="B1376" s="1">
        <v>9279.0</v>
      </c>
      <c r="C1376" s="1">
        <v>1.612369068E9</v>
      </c>
      <c r="D1376" s="1">
        <v>4.0</v>
      </c>
      <c r="E1376" s="1" t="b">
        <v>0</v>
      </c>
      <c r="F1376" s="1" t="s">
        <v>14167</v>
      </c>
    </row>
    <row r="1377">
      <c r="A1377" s="1">
        <v>49833.0</v>
      </c>
      <c r="B1377" s="1">
        <v>10196.0</v>
      </c>
      <c r="C1377" s="1">
        <v>1.612369069E9</v>
      </c>
      <c r="D1377" s="1">
        <v>4.0</v>
      </c>
      <c r="E1377" s="1" t="b">
        <v>0</v>
      </c>
      <c r="F1377" s="1" t="s">
        <v>15318</v>
      </c>
    </row>
    <row r="1378">
      <c r="A1378" s="1">
        <v>49833.0</v>
      </c>
      <c r="B1378" s="1">
        <v>9830.0</v>
      </c>
      <c r="C1378" s="1">
        <v>1.612371442E9</v>
      </c>
      <c r="D1378" s="1">
        <v>4.0</v>
      </c>
      <c r="E1378" s="1" t="b">
        <v>0</v>
      </c>
      <c r="F1378" s="1" t="s">
        <v>15319</v>
      </c>
    </row>
    <row r="1379">
      <c r="A1379" s="1">
        <v>49833.0</v>
      </c>
      <c r="B1379" s="1">
        <v>16716.0</v>
      </c>
      <c r="C1379" s="1">
        <v>1.617783275E9</v>
      </c>
      <c r="D1379" s="1">
        <v>4.0</v>
      </c>
      <c r="E1379" s="1" t="b">
        <v>0</v>
      </c>
      <c r="F1379" s="1" t="s">
        <v>15320</v>
      </c>
    </row>
    <row r="1380">
      <c r="A1380" s="1">
        <v>49833.0</v>
      </c>
      <c r="B1380" s="1">
        <v>19600.0</v>
      </c>
      <c r="C1380" s="1">
        <v>1.62305533E9</v>
      </c>
      <c r="D1380" s="1">
        <v>4.0</v>
      </c>
      <c r="E1380" s="1" t="b">
        <v>0</v>
      </c>
      <c r="F1380" s="1" t="s">
        <v>15321</v>
      </c>
    </row>
    <row r="1381">
      <c r="A1381" s="1">
        <v>49833.0</v>
      </c>
      <c r="B1381" s="1">
        <v>10353.0</v>
      </c>
      <c r="C1381" s="1">
        <v>1.612426886E9</v>
      </c>
      <c r="D1381" s="1">
        <v>4.0</v>
      </c>
      <c r="E1381" s="1" t="b">
        <v>0</v>
      </c>
      <c r="F1381" s="1" t="s">
        <v>15322</v>
      </c>
    </row>
    <row r="1382">
      <c r="A1382" s="1">
        <v>49833.0</v>
      </c>
      <c r="B1382" s="1">
        <v>10763.0</v>
      </c>
      <c r="C1382" s="1">
        <v>1.612582588E9</v>
      </c>
      <c r="D1382" s="1">
        <v>4.0</v>
      </c>
      <c r="E1382" s="1" t="b">
        <v>0</v>
      </c>
      <c r="F1382" s="1" t="s">
        <v>15323</v>
      </c>
    </row>
    <row r="1383">
      <c r="A1383" s="1">
        <v>49833.0</v>
      </c>
      <c r="B1383" s="1">
        <v>10530.0</v>
      </c>
      <c r="C1383" s="1">
        <v>1.61250072E9</v>
      </c>
      <c r="D1383" s="1">
        <v>4.0</v>
      </c>
      <c r="E1383" s="1" t="b">
        <v>0</v>
      </c>
      <c r="F1383" s="1" t="s">
        <v>15324</v>
      </c>
    </row>
    <row r="1384">
      <c r="A1384" s="1">
        <v>49833.0</v>
      </c>
      <c r="B1384" s="1">
        <v>17337.0</v>
      </c>
      <c r="C1384" s="1">
        <v>1.61977912E9</v>
      </c>
      <c r="D1384" s="1">
        <v>4.0</v>
      </c>
      <c r="E1384" s="1" t="b">
        <v>0</v>
      </c>
      <c r="F1384" s="1" t="s">
        <v>15325</v>
      </c>
    </row>
    <row r="1385">
      <c r="A1385" s="1">
        <v>49833.0</v>
      </c>
      <c r="B1385" s="1">
        <v>8366.0</v>
      </c>
      <c r="C1385" s="1">
        <v>1.611999168E9</v>
      </c>
      <c r="D1385" s="1">
        <v>4.0</v>
      </c>
      <c r="E1385" s="1" t="b">
        <v>0</v>
      </c>
      <c r="F1385" s="1" t="s">
        <v>15326</v>
      </c>
    </row>
    <row r="1386">
      <c r="A1386" s="1">
        <v>49833.0</v>
      </c>
      <c r="B1386" s="1">
        <v>2738.0</v>
      </c>
      <c r="C1386" s="1">
        <v>1.609212972E9</v>
      </c>
      <c r="D1386" s="1">
        <v>4.0</v>
      </c>
      <c r="E1386" s="1" t="b">
        <v>0</v>
      </c>
      <c r="F1386" s="1" t="s">
        <v>15327</v>
      </c>
    </row>
    <row r="1387">
      <c r="A1387" s="1">
        <v>49833.0</v>
      </c>
      <c r="B1387" s="1">
        <v>16390.0</v>
      </c>
      <c r="C1387" s="1">
        <v>1.617697908E9</v>
      </c>
      <c r="D1387" s="1">
        <v>4.0</v>
      </c>
      <c r="E1387" s="1" t="b">
        <v>0</v>
      </c>
      <c r="F1387" s="1" t="s">
        <v>15328</v>
      </c>
    </row>
    <row r="1388">
      <c r="A1388" s="1">
        <v>49833.0</v>
      </c>
      <c r="B1388" s="1">
        <v>3474.0</v>
      </c>
      <c r="C1388" s="1">
        <v>1.610554221E9</v>
      </c>
      <c r="D1388" s="1">
        <v>4.0</v>
      </c>
      <c r="E1388" s="1" t="b">
        <v>0</v>
      </c>
      <c r="F1388" s="1" t="s">
        <v>15329</v>
      </c>
    </row>
    <row r="1389">
      <c r="A1389" s="1">
        <v>49833.0</v>
      </c>
      <c r="B1389" s="1">
        <v>2845.0</v>
      </c>
      <c r="C1389" s="1">
        <v>1.609421639E9</v>
      </c>
      <c r="D1389" s="1">
        <v>4.0</v>
      </c>
      <c r="E1389" s="1" t="b">
        <v>0</v>
      </c>
      <c r="F1389" s="1" t="s">
        <v>15330</v>
      </c>
    </row>
    <row r="1390">
      <c r="A1390" s="1">
        <v>49833.0</v>
      </c>
      <c r="B1390" s="1">
        <v>2846.0</v>
      </c>
      <c r="C1390" s="1">
        <v>1.609422069E9</v>
      </c>
      <c r="D1390" s="1">
        <v>4.0</v>
      </c>
      <c r="E1390" s="1" t="b">
        <v>0</v>
      </c>
      <c r="F1390" s="1" t="s">
        <v>15331</v>
      </c>
    </row>
    <row r="1391">
      <c r="A1391" s="1">
        <v>49833.0</v>
      </c>
      <c r="B1391" s="1">
        <v>2847.0</v>
      </c>
      <c r="C1391" s="1">
        <v>1.60942368E9</v>
      </c>
      <c r="D1391" s="1">
        <v>4.0</v>
      </c>
      <c r="E1391" s="1" t="b">
        <v>0</v>
      </c>
      <c r="F1391" s="1" t="s">
        <v>15332</v>
      </c>
    </row>
    <row r="1392">
      <c r="A1392" s="1">
        <v>49833.0</v>
      </c>
      <c r="B1392" s="1">
        <v>6411.0</v>
      </c>
      <c r="C1392" s="1">
        <v>1.611686161E9</v>
      </c>
      <c r="D1392" s="1">
        <v>4.0</v>
      </c>
      <c r="E1392" s="1" t="b">
        <v>0</v>
      </c>
      <c r="F1392" s="1" t="s">
        <v>15333</v>
      </c>
    </row>
    <row r="1393">
      <c r="A1393" s="1">
        <v>49833.0</v>
      </c>
      <c r="B1393" s="1">
        <v>6527.0</v>
      </c>
      <c r="C1393" s="1">
        <v>1.611686162E9</v>
      </c>
      <c r="D1393" s="1">
        <v>4.0</v>
      </c>
      <c r="E1393" s="1" t="b">
        <v>0</v>
      </c>
      <c r="F1393" s="1" t="s">
        <v>15334</v>
      </c>
    </row>
    <row r="1394">
      <c r="A1394" s="1">
        <v>49833.0</v>
      </c>
      <c r="B1394" s="1">
        <v>2785.0</v>
      </c>
      <c r="C1394" s="1">
        <v>1.609422861E9</v>
      </c>
      <c r="D1394" s="1">
        <v>4.0</v>
      </c>
      <c r="E1394" s="1" t="b">
        <v>0</v>
      </c>
      <c r="F1394" s="1" t="s">
        <v>15335</v>
      </c>
    </row>
    <row r="1395">
      <c r="A1395" s="1">
        <v>49833.0</v>
      </c>
      <c r="B1395" s="1">
        <v>9458.0</v>
      </c>
      <c r="C1395" s="1">
        <v>1.612165217E9</v>
      </c>
      <c r="D1395" s="1">
        <v>4.0</v>
      </c>
      <c r="E1395" s="1" t="b">
        <v>0</v>
      </c>
      <c r="F1395" s="1" t="s">
        <v>15336</v>
      </c>
    </row>
    <row r="1396">
      <c r="A1396" s="1">
        <v>49833.0</v>
      </c>
      <c r="B1396" s="1">
        <v>2779.0</v>
      </c>
      <c r="C1396" s="1">
        <v>1.609297078E9</v>
      </c>
      <c r="D1396" s="1">
        <v>4.0</v>
      </c>
      <c r="E1396" s="1" t="b">
        <v>0</v>
      </c>
      <c r="F1396" s="1" t="s">
        <v>15337</v>
      </c>
    </row>
    <row r="1397">
      <c r="A1397" s="1">
        <v>49833.0</v>
      </c>
      <c r="B1397" s="1">
        <v>8420.0</v>
      </c>
      <c r="C1397" s="1">
        <v>1.611999171E9</v>
      </c>
      <c r="D1397" s="1">
        <v>4.0</v>
      </c>
      <c r="E1397" s="1" t="b">
        <v>0</v>
      </c>
      <c r="F1397" s="1" t="s">
        <v>15338</v>
      </c>
    </row>
    <row r="1398">
      <c r="A1398" s="1">
        <v>49833.0</v>
      </c>
      <c r="B1398" s="1">
        <v>8430.0</v>
      </c>
      <c r="C1398" s="1">
        <v>1.611999173E9</v>
      </c>
      <c r="D1398" s="1">
        <v>4.0</v>
      </c>
      <c r="E1398" s="1" t="b">
        <v>0</v>
      </c>
      <c r="F1398" s="1" t="s">
        <v>14956</v>
      </c>
    </row>
    <row r="1399">
      <c r="A1399" s="1">
        <v>49833.0</v>
      </c>
      <c r="B1399" s="1">
        <v>8426.0</v>
      </c>
      <c r="C1399" s="1">
        <v>1.611999174E9</v>
      </c>
      <c r="D1399" s="1">
        <v>4.0</v>
      </c>
      <c r="E1399" s="1" t="b">
        <v>0</v>
      </c>
      <c r="F1399" s="1" t="s">
        <v>15339</v>
      </c>
    </row>
    <row r="1400">
      <c r="A1400" s="1">
        <v>49833.0</v>
      </c>
      <c r="B1400" s="1">
        <v>8451.0</v>
      </c>
      <c r="C1400" s="1">
        <v>1.611999175E9</v>
      </c>
      <c r="D1400" s="1">
        <v>4.0</v>
      </c>
      <c r="E1400" s="1" t="b">
        <v>0</v>
      </c>
      <c r="F1400" s="1" t="s">
        <v>15340</v>
      </c>
    </row>
    <row r="1401">
      <c r="A1401" s="1">
        <v>49833.0</v>
      </c>
      <c r="B1401" s="1">
        <v>2869.0</v>
      </c>
      <c r="C1401" s="1">
        <v>1.609505793E9</v>
      </c>
      <c r="D1401" s="1">
        <v>4.0</v>
      </c>
      <c r="E1401" s="1" t="b">
        <v>0</v>
      </c>
      <c r="F1401" s="1" t="s">
        <v>15341</v>
      </c>
    </row>
    <row r="1402">
      <c r="A1402" s="1">
        <v>49833.0</v>
      </c>
      <c r="B1402" s="1">
        <v>2231.0</v>
      </c>
      <c r="C1402" s="1">
        <v>1.607691935E9</v>
      </c>
      <c r="D1402" s="1">
        <v>4.0</v>
      </c>
      <c r="E1402" s="1" t="b">
        <v>0</v>
      </c>
      <c r="F1402" s="1" t="s">
        <v>15342</v>
      </c>
    </row>
    <row r="1403">
      <c r="A1403" s="1">
        <v>49833.0</v>
      </c>
      <c r="B1403" s="1">
        <v>2859.0</v>
      </c>
      <c r="C1403" s="1">
        <v>1.609445327E9</v>
      </c>
      <c r="D1403" s="1">
        <v>4.0</v>
      </c>
      <c r="E1403" s="1" t="b">
        <v>0</v>
      </c>
      <c r="F1403" s="1" t="s">
        <v>15343</v>
      </c>
    </row>
    <row r="1404">
      <c r="A1404" s="1">
        <v>49833.0</v>
      </c>
      <c r="B1404" s="1">
        <v>2849.0</v>
      </c>
      <c r="C1404" s="1">
        <v>1.609442292E9</v>
      </c>
      <c r="D1404" s="1">
        <v>4.0</v>
      </c>
      <c r="E1404" s="1" t="b">
        <v>0</v>
      </c>
      <c r="F1404" s="1" t="s">
        <v>15344</v>
      </c>
    </row>
    <row r="1405">
      <c r="A1405" s="1">
        <v>49833.0</v>
      </c>
      <c r="B1405" s="1">
        <v>10808.0</v>
      </c>
      <c r="C1405" s="1">
        <v>1.612594208E9</v>
      </c>
      <c r="D1405" s="1">
        <v>4.0</v>
      </c>
      <c r="E1405" s="1" t="b">
        <v>0</v>
      </c>
      <c r="F1405" s="1" t="s">
        <v>15345</v>
      </c>
    </row>
    <row r="1406">
      <c r="A1406" s="1">
        <v>49833.0</v>
      </c>
      <c r="B1406" s="1">
        <v>2850.0</v>
      </c>
      <c r="C1406" s="1">
        <v>1.6094243E9</v>
      </c>
      <c r="D1406" s="1">
        <v>4.0</v>
      </c>
      <c r="E1406" s="1" t="b">
        <v>0</v>
      </c>
      <c r="F1406" s="1" t="s">
        <v>15346</v>
      </c>
    </row>
    <row r="1407">
      <c r="A1407" s="1">
        <v>49833.0</v>
      </c>
      <c r="B1407" s="1">
        <v>3870.0</v>
      </c>
      <c r="C1407" s="1">
        <v>1.610858329E9</v>
      </c>
      <c r="D1407" s="1">
        <v>4.0</v>
      </c>
      <c r="E1407" s="1" t="b">
        <v>0</v>
      </c>
      <c r="F1407" s="1" t="s">
        <v>15347</v>
      </c>
    </row>
    <row r="1408">
      <c r="A1408" s="1">
        <v>49833.0</v>
      </c>
      <c r="B1408" s="1">
        <v>2871.0</v>
      </c>
      <c r="C1408" s="1">
        <v>1.609506084E9</v>
      </c>
      <c r="D1408" s="1">
        <v>4.0</v>
      </c>
      <c r="E1408" s="1" t="b">
        <v>0</v>
      </c>
      <c r="F1408" s="1" t="s">
        <v>15348</v>
      </c>
    </row>
    <row r="1409">
      <c r="A1409" s="1">
        <v>49833.0</v>
      </c>
      <c r="B1409" s="1">
        <v>5935.0</v>
      </c>
      <c r="C1409" s="1">
        <v>1.611555848E9</v>
      </c>
      <c r="D1409" s="1">
        <v>4.0</v>
      </c>
      <c r="E1409" s="1" t="b">
        <v>0</v>
      </c>
      <c r="F1409" s="1" t="s">
        <v>15349</v>
      </c>
    </row>
    <row r="1410">
      <c r="A1410" s="1">
        <v>49833.0</v>
      </c>
      <c r="B1410" s="1">
        <v>2867.0</v>
      </c>
      <c r="C1410" s="1">
        <v>1.609502587E9</v>
      </c>
      <c r="D1410" s="1">
        <v>4.0</v>
      </c>
      <c r="E1410" s="1" t="b">
        <v>0</v>
      </c>
      <c r="F1410" s="1" t="s">
        <v>15350</v>
      </c>
    </row>
    <row r="1411">
      <c r="A1411" s="1">
        <v>49833.0</v>
      </c>
      <c r="B1411" s="1">
        <v>2870.0</v>
      </c>
      <c r="C1411" s="1">
        <v>1.609505812E9</v>
      </c>
      <c r="D1411" s="1">
        <v>4.0</v>
      </c>
      <c r="E1411" s="1" t="b">
        <v>0</v>
      </c>
      <c r="F1411" s="1" t="s">
        <v>15351</v>
      </c>
    </row>
    <row r="1412">
      <c r="A1412" s="1">
        <v>49833.0</v>
      </c>
      <c r="B1412" s="1">
        <v>6461.0</v>
      </c>
      <c r="C1412" s="1">
        <v>1.611686163E9</v>
      </c>
      <c r="D1412" s="1">
        <v>4.0</v>
      </c>
      <c r="E1412" s="1" t="b">
        <v>0</v>
      </c>
      <c r="F1412" s="1" t="s">
        <v>15352</v>
      </c>
    </row>
    <row r="1413">
      <c r="A1413" s="1">
        <v>49833.0</v>
      </c>
      <c r="B1413" s="1">
        <v>2874.0</v>
      </c>
      <c r="C1413" s="1">
        <v>1.609507381E9</v>
      </c>
      <c r="D1413" s="1">
        <v>4.0</v>
      </c>
      <c r="E1413" s="1" t="b">
        <v>0</v>
      </c>
      <c r="F1413" s="1" t="s">
        <v>15353</v>
      </c>
    </row>
    <row r="1414">
      <c r="A1414" s="1">
        <v>49833.0</v>
      </c>
      <c r="B1414" s="1">
        <v>2892.0</v>
      </c>
      <c r="C1414" s="1">
        <v>1.609515748E9</v>
      </c>
      <c r="D1414" s="1">
        <v>9.0</v>
      </c>
      <c r="E1414" s="1" t="b">
        <v>0</v>
      </c>
      <c r="F1414" s="1" t="s">
        <v>15354</v>
      </c>
    </row>
    <row r="1415">
      <c r="A1415" s="1">
        <v>49833.0</v>
      </c>
      <c r="B1415" s="1">
        <v>2893.0</v>
      </c>
      <c r="C1415" s="1">
        <v>1.609517911E9</v>
      </c>
      <c r="D1415" s="1">
        <v>4.0</v>
      </c>
      <c r="E1415" s="1" t="b">
        <v>0</v>
      </c>
      <c r="F1415" s="1" t="s">
        <v>15355</v>
      </c>
    </row>
    <row r="1416">
      <c r="A1416" s="1">
        <v>49833.0</v>
      </c>
      <c r="B1416" s="1">
        <v>2895.0</v>
      </c>
      <c r="C1416" s="1">
        <v>1.609517975E9</v>
      </c>
      <c r="D1416" s="1">
        <v>4.0</v>
      </c>
      <c r="E1416" s="1" t="b">
        <v>0</v>
      </c>
      <c r="F1416" s="1" t="s">
        <v>15356</v>
      </c>
    </row>
    <row r="1417">
      <c r="A1417" s="1">
        <v>49833.0</v>
      </c>
      <c r="B1417" s="1">
        <v>2879.0</v>
      </c>
      <c r="C1417" s="1">
        <v>1.609517984E9</v>
      </c>
      <c r="D1417" s="1">
        <v>4.0</v>
      </c>
      <c r="E1417" s="1" t="b">
        <v>0</v>
      </c>
      <c r="F1417" s="1" t="s">
        <v>15357</v>
      </c>
    </row>
    <row r="1418">
      <c r="A1418" s="1">
        <v>49833.0</v>
      </c>
      <c r="B1418" s="1">
        <v>2891.0</v>
      </c>
      <c r="C1418" s="1">
        <v>1.609517989E9</v>
      </c>
      <c r="D1418" s="1">
        <v>4.0</v>
      </c>
      <c r="E1418" s="1" t="b">
        <v>0</v>
      </c>
      <c r="F1418" s="1" t="s">
        <v>15055</v>
      </c>
    </row>
    <row r="1419">
      <c r="A1419" s="1">
        <v>49833.0</v>
      </c>
      <c r="B1419" s="1">
        <v>2898.0</v>
      </c>
      <c r="C1419" s="1">
        <v>1.60951799E9</v>
      </c>
      <c r="D1419" s="1">
        <v>4.0</v>
      </c>
      <c r="E1419" s="1" t="b">
        <v>0</v>
      </c>
      <c r="F1419" s="1" t="s">
        <v>15358</v>
      </c>
    </row>
    <row r="1420">
      <c r="A1420" s="1">
        <v>49833.0</v>
      </c>
      <c r="B1420" s="1">
        <v>2902.0</v>
      </c>
      <c r="C1420" s="1">
        <v>1.60951871E9</v>
      </c>
      <c r="D1420" s="1">
        <v>4.0</v>
      </c>
      <c r="E1420" s="1" t="b">
        <v>0</v>
      </c>
      <c r="F1420" s="1" t="s">
        <v>15359</v>
      </c>
    </row>
    <row r="1421">
      <c r="A1421" s="1">
        <v>49833.0</v>
      </c>
      <c r="B1421" s="1">
        <v>2904.0</v>
      </c>
      <c r="C1421" s="1">
        <v>1.609520719E9</v>
      </c>
      <c r="D1421" s="1">
        <v>4.0</v>
      </c>
      <c r="E1421" s="1" t="b">
        <v>0</v>
      </c>
      <c r="F1421" s="1" t="s">
        <v>15360</v>
      </c>
    </row>
    <row r="1422">
      <c r="A1422" s="1">
        <v>49833.0</v>
      </c>
      <c r="B1422" s="1">
        <v>2913.0</v>
      </c>
      <c r="C1422" s="1">
        <v>1.609558786E9</v>
      </c>
      <c r="D1422" s="1">
        <v>4.0</v>
      </c>
      <c r="E1422" s="1" t="b">
        <v>0</v>
      </c>
      <c r="F1422" s="1" t="s">
        <v>15361</v>
      </c>
    </row>
    <row r="1423">
      <c r="A1423" s="1">
        <v>49833.0</v>
      </c>
      <c r="B1423" s="1">
        <v>2919.0</v>
      </c>
      <c r="C1423" s="1">
        <v>1.609575911E9</v>
      </c>
      <c r="D1423" s="1">
        <v>4.0</v>
      </c>
      <c r="E1423" s="1" t="b">
        <v>0</v>
      </c>
      <c r="F1423" s="1" t="s">
        <v>15362</v>
      </c>
    </row>
    <row r="1424">
      <c r="A1424" s="1">
        <v>49833.0</v>
      </c>
      <c r="B1424" s="1">
        <v>2882.0</v>
      </c>
      <c r="C1424" s="1">
        <v>1.609517992E9</v>
      </c>
      <c r="D1424" s="1">
        <v>4.0</v>
      </c>
      <c r="E1424" s="1" t="b">
        <v>0</v>
      </c>
      <c r="F1424" s="1" t="s">
        <v>15363</v>
      </c>
    </row>
    <row r="1425">
      <c r="A1425" s="1">
        <v>49833.0</v>
      </c>
      <c r="B1425" s="1">
        <v>2886.0</v>
      </c>
      <c r="C1425" s="1">
        <v>1.609517986E9</v>
      </c>
      <c r="D1425" s="1">
        <v>4.0</v>
      </c>
      <c r="E1425" s="1" t="b">
        <v>0</v>
      </c>
      <c r="F1425" s="1" t="s">
        <v>15364</v>
      </c>
    </row>
    <row r="1426">
      <c r="A1426" s="1">
        <v>49833.0</v>
      </c>
      <c r="B1426" s="1">
        <v>2924.0</v>
      </c>
      <c r="C1426" s="1">
        <v>1.609587256E9</v>
      </c>
      <c r="D1426" s="1">
        <v>4.0</v>
      </c>
      <c r="E1426" s="1" t="b">
        <v>0</v>
      </c>
      <c r="F1426" s="1" t="s">
        <v>15365</v>
      </c>
    </row>
    <row r="1427">
      <c r="A1427" s="1">
        <v>49833.0</v>
      </c>
      <c r="B1427" s="1">
        <v>2883.0</v>
      </c>
      <c r="C1427" s="1">
        <v>1.609517993E9</v>
      </c>
      <c r="D1427" s="1">
        <v>4.0</v>
      </c>
      <c r="E1427" s="1" t="b">
        <v>0</v>
      </c>
      <c r="F1427" s="1" t="s">
        <v>15366</v>
      </c>
    </row>
    <row r="1428">
      <c r="A1428" s="1">
        <v>49833.0</v>
      </c>
      <c r="B1428" s="1">
        <v>2781.0</v>
      </c>
      <c r="C1428" s="1">
        <v>1.60929741E9</v>
      </c>
      <c r="D1428" s="1">
        <v>4.0</v>
      </c>
      <c r="E1428" s="1" t="b">
        <v>0</v>
      </c>
      <c r="F1428" s="1" t="s">
        <v>15367</v>
      </c>
    </row>
    <row r="1429">
      <c r="A1429" s="1">
        <v>49833.0</v>
      </c>
      <c r="B1429" s="1">
        <v>8161.0</v>
      </c>
      <c r="C1429" s="1">
        <v>1.611943952E9</v>
      </c>
      <c r="D1429" s="1">
        <v>4.0</v>
      </c>
      <c r="E1429" s="1" t="b">
        <v>0</v>
      </c>
      <c r="F1429" s="1" t="s">
        <v>15368</v>
      </c>
    </row>
    <row r="1430">
      <c r="A1430" s="1">
        <v>49833.0</v>
      </c>
      <c r="B1430" s="1">
        <v>3079.0</v>
      </c>
      <c r="C1430" s="1">
        <v>1.609852399E9</v>
      </c>
      <c r="D1430" s="1">
        <v>4.0</v>
      </c>
      <c r="E1430" s="1" t="b">
        <v>0</v>
      </c>
      <c r="F1430" s="1" t="s">
        <v>15369</v>
      </c>
    </row>
    <row r="1431">
      <c r="A1431" s="1">
        <v>49833.0</v>
      </c>
      <c r="B1431" s="1">
        <v>3222.0</v>
      </c>
      <c r="C1431" s="1">
        <v>1.610088573E9</v>
      </c>
      <c r="D1431" s="1">
        <v>4.0</v>
      </c>
      <c r="E1431" s="1" t="b">
        <v>0</v>
      </c>
      <c r="F1431" s="1" t="s">
        <v>14530</v>
      </c>
    </row>
    <row r="1432">
      <c r="A1432" s="1">
        <v>49833.0</v>
      </c>
      <c r="B1432" s="1">
        <v>3233.0</v>
      </c>
      <c r="C1432" s="1">
        <v>1.610104449E9</v>
      </c>
      <c r="D1432" s="1">
        <v>4.0</v>
      </c>
      <c r="E1432" s="1" t="b">
        <v>0</v>
      </c>
      <c r="F1432" s="1" t="s">
        <v>15370</v>
      </c>
    </row>
    <row r="1433">
      <c r="A1433" s="1">
        <v>49833.0</v>
      </c>
      <c r="B1433" s="1">
        <v>5502.0</v>
      </c>
      <c r="C1433" s="1">
        <v>1.611423349E9</v>
      </c>
      <c r="D1433" s="1">
        <v>4.0</v>
      </c>
      <c r="E1433" s="1" t="b">
        <v>0</v>
      </c>
      <c r="F1433" s="1" t="s">
        <v>15371</v>
      </c>
    </row>
    <row r="1434">
      <c r="A1434" s="1">
        <v>49833.0</v>
      </c>
      <c r="B1434" s="1">
        <v>3130.0</v>
      </c>
      <c r="C1434" s="1">
        <v>1.609869093E9</v>
      </c>
      <c r="D1434" s="1">
        <v>4.0</v>
      </c>
      <c r="E1434" s="1" t="b">
        <v>0</v>
      </c>
      <c r="F1434" s="1" t="s">
        <v>15372</v>
      </c>
    </row>
    <row r="1435">
      <c r="A1435" s="1">
        <v>49833.0</v>
      </c>
      <c r="B1435" s="1">
        <v>3089.0</v>
      </c>
      <c r="C1435" s="1">
        <v>1.609862406E9</v>
      </c>
      <c r="D1435" s="1">
        <v>4.0</v>
      </c>
      <c r="E1435" s="1" t="b">
        <v>0</v>
      </c>
      <c r="F1435" s="1" t="s">
        <v>15373</v>
      </c>
    </row>
    <row r="1436">
      <c r="A1436" s="1">
        <v>49833.0</v>
      </c>
      <c r="B1436" s="1">
        <v>3092.0</v>
      </c>
      <c r="C1436" s="1">
        <v>1.609862484E9</v>
      </c>
      <c r="D1436" s="1">
        <v>4.0</v>
      </c>
      <c r="E1436" s="1" t="b">
        <v>0</v>
      </c>
      <c r="F1436" s="1" t="s">
        <v>15374</v>
      </c>
    </row>
    <row r="1437">
      <c r="A1437" s="1">
        <v>49833.0</v>
      </c>
      <c r="B1437" s="1">
        <v>3100.0</v>
      </c>
      <c r="C1437" s="1">
        <v>1.609862618E9</v>
      </c>
      <c r="D1437" s="1">
        <v>4.0</v>
      </c>
      <c r="E1437" s="1" t="b">
        <v>0</v>
      </c>
      <c r="F1437" s="1" t="s">
        <v>15375</v>
      </c>
    </row>
    <row r="1438">
      <c r="A1438" s="1">
        <v>49833.0</v>
      </c>
      <c r="B1438" s="1">
        <v>3101.0</v>
      </c>
      <c r="C1438" s="1">
        <v>1.609862708E9</v>
      </c>
      <c r="D1438" s="1">
        <v>4.0</v>
      </c>
      <c r="E1438" s="1" t="b">
        <v>0</v>
      </c>
      <c r="F1438" s="1" t="s">
        <v>15376</v>
      </c>
    </row>
    <row r="1439">
      <c r="A1439" s="1">
        <v>49833.0</v>
      </c>
      <c r="B1439" s="1">
        <v>3109.0</v>
      </c>
      <c r="C1439" s="1">
        <v>1.609862771E9</v>
      </c>
      <c r="D1439" s="1">
        <v>4.0</v>
      </c>
      <c r="E1439" s="1" t="b">
        <v>0</v>
      </c>
      <c r="F1439" s="1" t="s">
        <v>15377</v>
      </c>
    </row>
    <row r="1440">
      <c r="A1440" s="1">
        <v>49833.0</v>
      </c>
      <c r="B1440" s="1">
        <v>3110.0</v>
      </c>
      <c r="C1440" s="1">
        <v>1.609862857E9</v>
      </c>
      <c r="D1440" s="1">
        <v>4.0</v>
      </c>
      <c r="E1440" s="1" t="b">
        <v>0</v>
      </c>
      <c r="F1440" s="1" t="s">
        <v>15378</v>
      </c>
    </row>
    <row r="1441">
      <c r="A1441" s="1">
        <v>49833.0</v>
      </c>
      <c r="B1441" s="1">
        <v>3118.0</v>
      </c>
      <c r="C1441" s="1">
        <v>1.60986293E9</v>
      </c>
      <c r="D1441" s="1">
        <v>4.0</v>
      </c>
      <c r="E1441" s="1" t="b">
        <v>0</v>
      </c>
      <c r="F1441" s="1" t="s">
        <v>15379</v>
      </c>
    </row>
    <row r="1442">
      <c r="A1442" s="1">
        <v>49833.0</v>
      </c>
      <c r="B1442" s="1">
        <v>3096.0</v>
      </c>
      <c r="C1442" s="1">
        <v>1.609862539E9</v>
      </c>
      <c r="D1442" s="1">
        <v>4.0</v>
      </c>
      <c r="E1442" s="1" t="b">
        <v>0</v>
      </c>
      <c r="F1442" s="1" t="s">
        <v>15380</v>
      </c>
    </row>
    <row r="1443">
      <c r="A1443" s="1">
        <v>49833.0</v>
      </c>
      <c r="B1443" s="1">
        <v>3121.0</v>
      </c>
      <c r="C1443" s="1">
        <v>1.609864083E9</v>
      </c>
      <c r="D1443" s="1">
        <v>4.0</v>
      </c>
      <c r="E1443" s="1" t="b">
        <v>0</v>
      </c>
      <c r="F1443" s="1" t="s">
        <v>15381</v>
      </c>
    </row>
    <row r="1444">
      <c r="A1444" s="1">
        <v>49833.0</v>
      </c>
      <c r="B1444" s="1">
        <v>3132.0</v>
      </c>
      <c r="C1444" s="1">
        <v>1.609872433E9</v>
      </c>
      <c r="D1444" s="1">
        <v>4.0</v>
      </c>
      <c r="E1444" s="1" t="b">
        <v>0</v>
      </c>
      <c r="F1444" s="1" t="s">
        <v>15382</v>
      </c>
    </row>
    <row r="1445">
      <c r="A1445" s="1">
        <v>49833.0</v>
      </c>
      <c r="B1445" s="1">
        <v>3072.0</v>
      </c>
      <c r="C1445" s="1">
        <v>1.609851294E9</v>
      </c>
      <c r="D1445" s="1">
        <v>4.0</v>
      </c>
      <c r="E1445" s="1" t="b">
        <v>0</v>
      </c>
      <c r="F1445" s="1" t="s">
        <v>15383</v>
      </c>
    </row>
    <row r="1446">
      <c r="A1446" s="1">
        <v>49833.0</v>
      </c>
      <c r="B1446" s="1">
        <v>5657.0</v>
      </c>
      <c r="C1446" s="1">
        <v>1.611504546E9</v>
      </c>
      <c r="D1446" s="1">
        <v>4.0</v>
      </c>
      <c r="E1446" s="1" t="b">
        <v>0</v>
      </c>
      <c r="F1446" s="1" t="s">
        <v>15384</v>
      </c>
    </row>
    <row r="1447">
      <c r="A1447" s="1">
        <v>49833.0</v>
      </c>
      <c r="B1447" s="1">
        <v>3135.0</v>
      </c>
      <c r="C1447" s="1">
        <v>1.609875181E9</v>
      </c>
      <c r="D1447" s="1">
        <v>4.0</v>
      </c>
      <c r="E1447" s="1" t="b">
        <v>0</v>
      </c>
      <c r="F1447" s="1" t="s">
        <v>15385</v>
      </c>
    </row>
    <row r="1448">
      <c r="A1448" s="1">
        <v>49833.0</v>
      </c>
      <c r="B1448" s="1">
        <v>3136.0</v>
      </c>
      <c r="C1448" s="1">
        <v>1.609875185E9</v>
      </c>
      <c r="D1448" s="1">
        <v>4.0</v>
      </c>
      <c r="E1448" s="1" t="b">
        <v>0</v>
      </c>
      <c r="F1448" s="1" t="s">
        <v>15386</v>
      </c>
    </row>
    <row r="1449">
      <c r="A1449" s="1">
        <v>49833.0</v>
      </c>
      <c r="B1449" s="1">
        <v>3139.0</v>
      </c>
      <c r="C1449" s="1">
        <v>1.609876449E9</v>
      </c>
      <c r="D1449" s="1">
        <v>4.0</v>
      </c>
      <c r="E1449" s="1" t="b">
        <v>0</v>
      </c>
      <c r="F1449" s="1" t="s">
        <v>15387</v>
      </c>
    </row>
    <row r="1450">
      <c r="A1450" s="1">
        <v>49833.0</v>
      </c>
      <c r="B1450" s="1">
        <v>16660.0</v>
      </c>
      <c r="C1450" s="1">
        <v>1.617697927E9</v>
      </c>
      <c r="D1450" s="1">
        <v>4.0</v>
      </c>
      <c r="E1450" s="1" t="b">
        <v>0</v>
      </c>
      <c r="F1450" s="1" t="s">
        <v>15388</v>
      </c>
    </row>
    <row r="1451">
      <c r="A1451" s="1">
        <v>49833.0</v>
      </c>
      <c r="B1451" s="1">
        <v>3145.0</v>
      </c>
      <c r="C1451" s="1">
        <v>1.60990628E9</v>
      </c>
      <c r="D1451" s="1">
        <v>4.0</v>
      </c>
      <c r="E1451" s="1" t="b">
        <v>0</v>
      </c>
      <c r="F1451" s="1" t="s">
        <v>15389</v>
      </c>
    </row>
    <row r="1452">
      <c r="A1452" s="1">
        <v>49833.0</v>
      </c>
      <c r="B1452" s="1">
        <v>3149.0</v>
      </c>
      <c r="C1452" s="1">
        <v>1.609906373E9</v>
      </c>
      <c r="D1452" s="1">
        <v>4.0</v>
      </c>
      <c r="E1452" s="1" t="b">
        <v>0</v>
      </c>
      <c r="F1452" s="1" t="s">
        <v>15390</v>
      </c>
    </row>
    <row r="1453">
      <c r="A1453" s="1">
        <v>49833.0</v>
      </c>
      <c r="B1453" s="1">
        <v>3151.0</v>
      </c>
      <c r="C1453" s="1">
        <v>1.609906748E9</v>
      </c>
      <c r="D1453" s="1">
        <v>4.0</v>
      </c>
      <c r="E1453" s="1" t="b">
        <v>0</v>
      </c>
      <c r="F1453" s="1" t="s">
        <v>15391</v>
      </c>
    </row>
    <row r="1454">
      <c r="A1454" s="1">
        <v>49833.0</v>
      </c>
      <c r="B1454" s="1">
        <v>3143.0</v>
      </c>
      <c r="C1454" s="1">
        <v>1.609906279E9</v>
      </c>
      <c r="D1454" s="1">
        <v>4.0</v>
      </c>
      <c r="E1454" s="1" t="b">
        <v>0</v>
      </c>
      <c r="F1454" s="1" t="s">
        <v>15392</v>
      </c>
    </row>
    <row r="1455">
      <c r="A1455" s="1">
        <v>49833.0</v>
      </c>
      <c r="B1455" s="1">
        <v>3148.0</v>
      </c>
      <c r="C1455" s="1">
        <v>1.609906371E9</v>
      </c>
      <c r="D1455" s="1">
        <v>4.0</v>
      </c>
      <c r="E1455" s="1" t="b">
        <v>0</v>
      </c>
      <c r="F1455" s="1" t="s">
        <v>15393</v>
      </c>
    </row>
    <row r="1456">
      <c r="A1456" s="1">
        <v>49833.0</v>
      </c>
      <c r="B1456" s="1">
        <v>3306.0</v>
      </c>
      <c r="C1456" s="1">
        <v>1.610363606E9</v>
      </c>
      <c r="D1456" s="1">
        <v>4.0</v>
      </c>
      <c r="E1456" s="1" t="b">
        <v>0</v>
      </c>
      <c r="F1456" s="1" t="s">
        <v>15055</v>
      </c>
    </row>
    <row r="1457">
      <c r="A1457" s="1">
        <v>49833.0</v>
      </c>
      <c r="B1457" s="1">
        <v>3307.0</v>
      </c>
      <c r="C1457" s="1">
        <v>1.610363607E9</v>
      </c>
      <c r="D1457" s="1">
        <v>4.0</v>
      </c>
      <c r="E1457" s="1" t="b">
        <v>0</v>
      </c>
      <c r="F1457" s="1" t="s">
        <v>15394</v>
      </c>
    </row>
    <row r="1458">
      <c r="A1458" s="1">
        <v>49833.0</v>
      </c>
      <c r="B1458" s="1">
        <v>3300.0</v>
      </c>
      <c r="C1458" s="1">
        <v>1.610363619E9</v>
      </c>
      <c r="D1458" s="1">
        <v>4.0</v>
      </c>
      <c r="E1458" s="1" t="b">
        <v>0</v>
      </c>
      <c r="F1458" s="1" t="s">
        <v>15395</v>
      </c>
    </row>
    <row r="1459">
      <c r="A1459" s="1">
        <v>49833.0</v>
      </c>
      <c r="B1459" s="1">
        <v>11988.0</v>
      </c>
      <c r="C1459" s="1">
        <v>1.612888026E9</v>
      </c>
      <c r="D1459" s="1">
        <v>4.0</v>
      </c>
      <c r="E1459" s="1" t="b">
        <v>0</v>
      </c>
      <c r="F1459" s="1" t="s">
        <v>15396</v>
      </c>
    </row>
    <row r="1460">
      <c r="A1460" s="1">
        <v>49833.0</v>
      </c>
      <c r="B1460" s="1">
        <v>3077.0</v>
      </c>
      <c r="C1460" s="1">
        <v>1.609852508E9</v>
      </c>
      <c r="D1460" s="1">
        <v>4.0</v>
      </c>
      <c r="E1460" s="1" t="b">
        <v>0</v>
      </c>
      <c r="F1460" s="1" t="s">
        <v>15397</v>
      </c>
    </row>
    <row r="1461">
      <c r="A1461" s="1">
        <v>49833.0</v>
      </c>
      <c r="B1461" s="1">
        <v>10819.0</v>
      </c>
      <c r="C1461" s="1">
        <v>1.61259593E9</v>
      </c>
      <c r="D1461" s="1">
        <v>4.0</v>
      </c>
      <c r="E1461" s="1" t="b">
        <v>0</v>
      </c>
      <c r="F1461" s="1" t="s">
        <v>15398</v>
      </c>
    </row>
    <row r="1462">
      <c r="A1462" s="1">
        <v>49833.0</v>
      </c>
      <c r="B1462" s="1">
        <v>3088.0</v>
      </c>
      <c r="C1462" s="1">
        <v>1.609863046E9</v>
      </c>
      <c r="D1462" s="1">
        <v>4.0</v>
      </c>
      <c r="E1462" s="1" t="b">
        <v>0</v>
      </c>
      <c r="F1462" s="1" t="s">
        <v>15399</v>
      </c>
    </row>
    <row r="1463">
      <c r="A1463" s="1">
        <v>49833.0</v>
      </c>
      <c r="B1463" s="1">
        <v>3093.0</v>
      </c>
      <c r="C1463" s="1">
        <v>1.609863247E9</v>
      </c>
      <c r="D1463" s="1">
        <v>4.0</v>
      </c>
      <c r="E1463" s="1" t="b">
        <v>0</v>
      </c>
      <c r="F1463" s="1" t="s">
        <v>15400</v>
      </c>
    </row>
    <row r="1464">
      <c r="A1464" s="1">
        <v>49833.0</v>
      </c>
      <c r="B1464" s="1">
        <v>5501.0</v>
      </c>
      <c r="C1464" s="1">
        <v>1.611423351E9</v>
      </c>
      <c r="D1464" s="1">
        <v>4.0</v>
      </c>
      <c r="E1464" s="1" t="b">
        <v>0</v>
      </c>
      <c r="F1464" s="1" t="s">
        <v>15401</v>
      </c>
    </row>
    <row r="1465">
      <c r="A1465" s="1">
        <v>49833.0</v>
      </c>
      <c r="B1465" s="1">
        <v>3237.0</v>
      </c>
      <c r="C1465" s="1">
        <v>1.610110443E9</v>
      </c>
      <c r="D1465" s="1">
        <v>4.0</v>
      </c>
      <c r="E1465" s="1" t="b">
        <v>0</v>
      </c>
      <c r="F1465" s="1" t="s">
        <v>15402</v>
      </c>
    </row>
    <row r="1466">
      <c r="A1466" s="1">
        <v>49833.0</v>
      </c>
      <c r="B1466" s="1">
        <v>7765.0</v>
      </c>
      <c r="C1466" s="1">
        <v>1.611909904E9</v>
      </c>
      <c r="D1466" s="1">
        <v>4.0</v>
      </c>
      <c r="E1466" s="1" t="b">
        <v>0</v>
      </c>
      <c r="F1466" s="1" t="s">
        <v>15403</v>
      </c>
    </row>
    <row r="1467">
      <c r="A1467" s="1">
        <v>49833.0</v>
      </c>
      <c r="B1467" s="1">
        <v>3097.0</v>
      </c>
      <c r="C1467" s="1">
        <v>1.609864894E9</v>
      </c>
      <c r="D1467" s="1">
        <v>4.0</v>
      </c>
      <c r="E1467" s="1" t="b">
        <v>0</v>
      </c>
      <c r="F1467" s="1" t="s">
        <v>15404</v>
      </c>
    </row>
    <row r="1468">
      <c r="A1468" s="1">
        <v>49833.0</v>
      </c>
      <c r="B1468" s="1">
        <v>3104.0</v>
      </c>
      <c r="C1468" s="1">
        <v>1.609868855E9</v>
      </c>
      <c r="D1468" s="1">
        <v>4.0</v>
      </c>
      <c r="E1468" s="1" t="b">
        <v>0</v>
      </c>
      <c r="F1468" s="1" t="s">
        <v>15405</v>
      </c>
    </row>
    <row r="1469">
      <c r="A1469" s="1">
        <v>49833.0</v>
      </c>
      <c r="B1469" s="1">
        <v>2887.0</v>
      </c>
      <c r="C1469" s="1">
        <v>1.609517988E9</v>
      </c>
      <c r="D1469" s="1">
        <v>4.0</v>
      </c>
      <c r="E1469" s="1" t="b">
        <v>0</v>
      </c>
      <c r="F1469" s="1" t="s">
        <v>15406</v>
      </c>
    </row>
    <row r="1470">
      <c r="A1470" s="1">
        <v>49833.0</v>
      </c>
      <c r="B1470" s="1">
        <v>3112.0</v>
      </c>
      <c r="C1470" s="1">
        <v>1.609869151E9</v>
      </c>
      <c r="D1470" s="1">
        <v>4.0</v>
      </c>
      <c r="E1470" s="1" t="b">
        <v>0</v>
      </c>
      <c r="F1470" s="1" t="s">
        <v>15407</v>
      </c>
    </row>
    <row r="1471">
      <c r="A1471" s="1">
        <v>49833.0</v>
      </c>
      <c r="B1471" s="1">
        <v>3116.0</v>
      </c>
      <c r="C1471" s="1">
        <v>1.609869152E9</v>
      </c>
      <c r="D1471" s="1">
        <v>4.0</v>
      </c>
      <c r="E1471" s="1" t="b">
        <v>0</v>
      </c>
      <c r="F1471" s="1" t="s">
        <v>15408</v>
      </c>
    </row>
    <row r="1472">
      <c r="A1472" s="1">
        <v>49833.0</v>
      </c>
      <c r="B1472" s="1">
        <v>3119.0</v>
      </c>
      <c r="C1472" s="1">
        <v>1.609869154E9</v>
      </c>
      <c r="D1472" s="1">
        <v>4.0</v>
      </c>
      <c r="E1472" s="1" t="b">
        <v>0</v>
      </c>
      <c r="F1472" s="1" t="s">
        <v>15409</v>
      </c>
    </row>
    <row r="1473">
      <c r="A1473" s="1">
        <v>49833.0</v>
      </c>
      <c r="B1473" s="1">
        <v>3122.0</v>
      </c>
      <c r="C1473" s="1">
        <v>1.609869275E9</v>
      </c>
      <c r="D1473" s="1">
        <v>4.0</v>
      </c>
      <c r="E1473" s="1" t="b">
        <v>0</v>
      </c>
      <c r="F1473" s="1" t="s">
        <v>15410</v>
      </c>
    </row>
    <row r="1474">
      <c r="A1474" s="1">
        <v>49833.0</v>
      </c>
      <c r="B1474" s="1">
        <v>3125.0</v>
      </c>
      <c r="C1474" s="1">
        <v>1.609869275E9</v>
      </c>
      <c r="D1474" s="1">
        <v>4.0</v>
      </c>
      <c r="E1474" s="1" t="b">
        <v>0</v>
      </c>
      <c r="F1474" s="1" t="s">
        <v>15411</v>
      </c>
    </row>
    <row r="1475">
      <c r="A1475" s="1">
        <v>49833.0</v>
      </c>
      <c r="B1475" s="1">
        <v>6463.0</v>
      </c>
      <c r="C1475" s="1">
        <v>1.611686165E9</v>
      </c>
      <c r="D1475" s="1">
        <v>4.0</v>
      </c>
      <c r="E1475" s="1" t="b">
        <v>0</v>
      </c>
      <c r="F1475" s="1" t="s">
        <v>15412</v>
      </c>
    </row>
    <row r="1476">
      <c r="A1476" s="1">
        <v>49833.0</v>
      </c>
      <c r="B1476" s="1">
        <v>3129.0</v>
      </c>
      <c r="C1476" s="1">
        <v>1.609869499E9</v>
      </c>
      <c r="D1476" s="1">
        <v>4.0</v>
      </c>
      <c r="E1476" s="1" t="b">
        <v>0</v>
      </c>
      <c r="F1476" s="1" t="s">
        <v>15413</v>
      </c>
    </row>
    <row r="1477">
      <c r="A1477" s="1">
        <v>49833.0</v>
      </c>
      <c r="B1477" s="1">
        <v>3134.0</v>
      </c>
      <c r="C1477" s="1">
        <v>1.609872442E9</v>
      </c>
      <c r="D1477" s="1">
        <v>4.0</v>
      </c>
      <c r="E1477" s="1" t="b">
        <v>0</v>
      </c>
      <c r="F1477" s="1" t="s">
        <v>15414</v>
      </c>
    </row>
    <row r="1478">
      <c r="A1478" s="1">
        <v>49833.0</v>
      </c>
      <c r="B1478" s="1">
        <v>3137.0</v>
      </c>
      <c r="C1478" s="1">
        <v>1.609875187E9</v>
      </c>
      <c r="D1478" s="1">
        <v>4.0</v>
      </c>
      <c r="E1478" s="1" t="b">
        <v>0</v>
      </c>
      <c r="F1478" s="1" t="s">
        <v>15415</v>
      </c>
    </row>
    <row r="1479">
      <c r="A1479" s="1">
        <v>49833.0</v>
      </c>
      <c r="B1479" s="1">
        <v>3115.0</v>
      </c>
      <c r="C1479" s="1">
        <v>1.609862165E9</v>
      </c>
      <c r="D1479" s="1">
        <v>4.0</v>
      </c>
      <c r="E1479" s="1" t="b">
        <v>0</v>
      </c>
      <c r="F1479" s="1" t="s">
        <v>15416</v>
      </c>
    </row>
    <row r="1480">
      <c r="A1480" s="1">
        <v>49833.0</v>
      </c>
      <c r="B1480" s="1">
        <v>10877.0</v>
      </c>
      <c r="C1480" s="1">
        <v>1.612617202E9</v>
      </c>
      <c r="D1480" s="1">
        <v>4.0</v>
      </c>
      <c r="E1480" s="1" t="b">
        <v>0</v>
      </c>
      <c r="F1480" s="1" t="s">
        <v>15417</v>
      </c>
    </row>
    <row r="1481">
      <c r="A1481" s="1">
        <v>49833.0</v>
      </c>
      <c r="B1481" s="1">
        <v>3076.0</v>
      </c>
      <c r="C1481" s="1">
        <v>1.609851316E9</v>
      </c>
      <c r="D1481" s="1">
        <v>4.0</v>
      </c>
      <c r="E1481" s="1" t="b">
        <v>0</v>
      </c>
      <c r="F1481" s="1" t="s">
        <v>15418</v>
      </c>
    </row>
    <row r="1482">
      <c r="A1482" s="1">
        <v>49833.0</v>
      </c>
      <c r="B1482" s="1">
        <v>5618.0</v>
      </c>
      <c r="C1482" s="1">
        <v>1.611503699E9</v>
      </c>
      <c r="D1482" s="1">
        <v>4.0</v>
      </c>
      <c r="E1482" s="1" t="b">
        <v>0</v>
      </c>
      <c r="F1482" s="1" t="s">
        <v>15419</v>
      </c>
    </row>
    <row r="1483">
      <c r="A1483" s="1">
        <v>49833.0</v>
      </c>
      <c r="B1483" s="1">
        <v>3142.0</v>
      </c>
      <c r="C1483" s="1">
        <v>1.60990675E9</v>
      </c>
      <c r="D1483" s="1">
        <v>4.0</v>
      </c>
      <c r="E1483" s="1" t="b">
        <v>0</v>
      </c>
      <c r="F1483" s="1" t="s">
        <v>15420</v>
      </c>
    </row>
    <row r="1484">
      <c r="A1484" s="1">
        <v>49833.0</v>
      </c>
      <c r="B1484" s="1">
        <v>3144.0</v>
      </c>
      <c r="C1484" s="1">
        <v>1.609906931E9</v>
      </c>
      <c r="D1484" s="1">
        <v>4.0</v>
      </c>
      <c r="E1484" s="1" t="b">
        <v>0</v>
      </c>
      <c r="F1484" s="1" t="s">
        <v>15421</v>
      </c>
    </row>
    <row r="1485">
      <c r="A1485" s="1">
        <v>49833.0</v>
      </c>
      <c r="B1485" s="1">
        <v>12786.0</v>
      </c>
      <c r="C1485" s="1">
        <v>1.613099832E9</v>
      </c>
      <c r="D1485" s="1">
        <v>4.0</v>
      </c>
      <c r="E1485" s="1" t="b">
        <v>0</v>
      </c>
      <c r="F1485" s="1" t="s">
        <v>15422</v>
      </c>
    </row>
    <row r="1486">
      <c r="A1486" s="1">
        <v>49833.0</v>
      </c>
      <c r="B1486" s="1">
        <v>3147.0</v>
      </c>
      <c r="C1486" s="1">
        <v>1.609906932E9</v>
      </c>
      <c r="D1486" s="1">
        <v>4.0</v>
      </c>
      <c r="E1486" s="1" t="b">
        <v>0</v>
      </c>
      <c r="F1486" s="1" t="s">
        <v>15423</v>
      </c>
    </row>
    <row r="1487">
      <c r="A1487" s="1">
        <v>49833.0</v>
      </c>
      <c r="B1487" s="1">
        <v>3120.0</v>
      </c>
      <c r="C1487" s="1">
        <v>1.609863438E9</v>
      </c>
      <c r="D1487" s="1">
        <v>4.0</v>
      </c>
      <c r="E1487" s="1" t="b">
        <v>0</v>
      </c>
      <c r="F1487" s="1" t="s">
        <v>15424</v>
      </c>
    </row>
    <row r="1488">
      <c r="A1488" s="1">
        <v>49833.0</v>
      </c>
      <c r="B1488" s="1">
        <v>3171.0</v>
      </c>
      <c r="C1488" s="1">
        <v>1.609934822E9</v>
      </c>
      <c r="D1488" s="1">
        <v>4.0</v>
      </c>
      <c r="E1488" s="1" t="b">
        <v>0</v>
      </c>
      <c r="F1488" s="1" t="s">
        <v>15425</v>
      </c>
    </row>
    <row r="1489">
      <c r="A1489" s="1">
        <v>49833.0</v>
      </c>
      <c r="B1489" s="1">
        <v>3302.0</v>
      </c>
      <c r="C1489" s="1">
        <v>1.610363608E9</v>
      </c>
      <c r="D1489" s="1">
        <v>4.0</v>
      </c>
      <c r="E1489" s="1" t="b">
        <v>0</v>
      </c>
      <c r="F1489" s="1" t="s">
        <v>15426</v>
      </c>
    </row>
    <row r="1490">
      <c r="A1490" s="1">
        <v>49833.0</v>
      </c>
      <c r="B1490" s="1">
        <v>3305.0</v>
      </c>
      <c r="C1490" s="1">
        <v>1.610363616E9</v>
      </c>
      <c r="D1490" s="1">
        <v>4.0</v>
      </c>
      <c r="E1490" s="1" t="b">
        <v>0</v>
      </c>
      <c r="F1490" s="1" t="s">
        <v>15427</v>
      </c>
    </row>
    <row r="1491">
      <c r="A1491" s="1">
        <v>49833.0</v>
      </c>
      <c r="B1491" s="1">
        <v>3308.0</v>
      </c>
      <c r="C1491" s="1">
        <v>1.610363617E9</v>
      </c>
      <c r="D1491" s="1">
        <v>4.0</v>
      </c>
      <c r="E1491" s="1" t="b">
        <v>0</v>
      </c>
      <c r="F1491" s="1" t="s">
        <v>15428</v>
      </c>
    </row>
    <row r="1492">
      <c r="A1492" s="1">
        <v>49833.0</v>
      </c>
      <c r="B1492" s="1">
        <v>3763.0</v>
      </c>
      <c r="C1492" s="1">
        <v>1.610795341E9</v>
      </c>
      <c r="D1492" s="1">
        <v>4.0</v>
      </c>
      <c r="E1492" s="1" t="b">
        <v>0</v>
      </c>
      <c r="F1492" s="1" t="s">
        <v>15142</v>
      </c>
    </row>
    <row r="1493">
      <c r="A1493" s="1">
        <v>49833.0</v>
      </c>
      <c r="B1493" s="1">
        <v>19278.0</v>
      </c>
      <c r="C1493" s="1">
        <v>1.622553118E9</v>
      </c>
      <c r="D1493" s="1">
        <v>4.0</v>
      </c>
      <c r="E1493" s="1" t="b">
        <v>0</v>
      </c>
      <c r="F1493" s="1" t="s">
        <v>15429</v>
      </c>
    </row>
    <row r="1494">
      <c r="A1494" s="1">
        <v>49833.0</v>
      </c>
      <c r="B1494" s="1">
        <v>6712.0</v>
      </c>
      <c r="C1494" s="1">
        <v>1.611750838E9</v>
      </c>
      <c r="D1494" s="1">
        <v>4.0</v>
      </c>
      <c r="E1494" s="1" t="b">
        <v>0</v>
      </c>
      <c r="F1494" s="1" t="s">
        <v>15430</v>
      </c>
    </row>
    <row r="1495">
      <c r="A1495" s="1">
        <v>49833.0</v>
      </c>
      <c r="B1495" s="1">
        <v>5897.0</v>
      </c>
      <c r="C1495" s="1">
        <v>1.611506539E9</v>
      </c>
      <c r="D1495" s="1">
        <v>4.0</v>
      </c>
      <c r="E1495" s="1" t="b">
        <v>0</v>
      </c>
      <c r="F1495" s="1" t="s">
        <v>15431</v>
      </c>
    </row>
    <row r="1496">
      <c r="A1496" s="1">
        <v>49833.0</v>
      </c>
      <c r="B1496" s="1">
        <v>5407.0</v>
      </c>
      <c r="C1496" s="1">
        <v>1.611404404E9</v>
      </c>
      <c r="D1496" s="1">
        <v>4.0</v>
      </c>
      <c r="E1496" s="1" t="b">
        <v>0</v>
      </c>
      <c r="F1496" s="1" t="s">
        <v>15432</v>
      </c>
    </row>
    <row r="1497">
      <c r="A1497" s="1">
        <v>49833.0</v>
      </c>
      <c r="B1497" s="1">
        <v>6769.0</v>
      </c>
      <c r="C1497" s="1">
        <v>1.611750842E9</v>
      </c>
      <c r="D1497" s="1">
        <v>4.0</v>
      </c>
      <c r="E1497" s="1" t="b">
        <v>0</v>
      </c>
      <c r="F1497" s="1" t="s">
        <v>15433</v>
      </c>
    </row>
    <row r="1498">
      <c r="A1498" s="1">
        <v>49833.0</v>
      </c>
      <c r="B1498" s="1">
        <v>5408.0</v>
      </c>
      <c r="C1498" s="1">
        <v>1.611404405E9</v>
      </c>
      <c r="D1498" s="1">
        <v>4.0</v>
      </c>
      <c r="E1498" s="1" t="b">
        <v>0</v>
      </c>
      <c r="F1498" s="1" t="s">
        <v>15434</v>
      </c>
    </row>
    <row r="1499">
      <c r="A1499" s="1">
        <v>49833.0</v>
      </c>
      <c r="B1499" s="1">
        <v>6468.0</v>
      </c>
      <c r="C1499" s="1">
        <v>1.611686167E9</v>
      </c>
      <c r="D1499" s="1">
        <v>4.0</v>
      </c>
      <c r="E1499" s="1" t="b">
        <v>0</v>
      </c>
      <c r="F1499" s="1" t="s">
        <v>15435</v>
      </c>
    </row>
    <row r="1500">
      <c r="A1500" s="1">
        <v>49833.0</v>
      </c>
      <c r="B1500" s="1">
        <v>20447.0</v>
      </c>
      <c r="C1500" s="1">
        <v>1.624375444E9</v>
      </c>
      <c r="D1500" s="1">
        <v>4.0</v>
      </c>
      <c r="E1500" s="1" t="b">
        <v>0</v>
      </c>
      <c r="F1500" s="1" t="s">
        <v>15436</v>
      </c>
    </row>
    <row r="1501">
      <c r="A1501" s="1">
        <v>49833.0</v>
      </c>
      <c r="B1501" s="1">
        <v>7143.0</v>
      </c>
      <c r="C1501" s="1">
        <v>1.611834696E9</v>
      </c>
      <c r="D1501" s="1">
        <v>4.0</v>
      </c>
      <c r="E1501" s="1" t="b">
        <v>0</v>
      </c>
      <c r="F1501" s="1" t="s">
        <v>15437</v>
      </c>
    </row>
    <row r="1502">
      <c r="A1502" s="1">
        <v>49833.0</v>
      </c>
      <c r="B1502" s="1">
        <v>3082.0</v>
      </c>
      <c r="C1502" s="1">
        <v>1.609854798E9</v>
      </c>
      <c r="D1502" s="1">
        <v>4.0</v>
      </c>
      <c r="E1502" s="1" t="b">
        <v>0</v>
      </c>
      <c r="F1502" s="1" t="s">
        <v>14771</v>
      </c>
    </row>
    <row r="1503">
      <c r="A1503" s="1">
        <v>49833.0</v>
      </c>
      <c r="B1503" s="1">
        <v>5453.0</v>
      </c>
      <c r="C1503" s="1">
        <v>1.611423352E9</v>
      </c>
      <c r="D1503" s="1">
        <v>4.0</v>
      </c>
      <c r="E1503" s="1" t="b">
        <v>0</v>
      </c>
      <c r="F1503" s="1" t="s">
        <v>15438</v>
      </c>
    </row>
    <row r="1504">
      <c r="A1504" s="1">
        <v>49833.0</v>
      </c>
      <c r="B1504" s="1">
        <v>3875.0</v>
      </c>
      <c r="C1504" s="1">
        <v>1.610860635E9</v>
      </c>
      <c r="D1504" s="1">
        <v>4.0</v>
      </c>
      <c r="E1504" s="1" t="b">
        <v>0</v>
      </c>
      <c r="F1504" s="1" t="s">
        <v>15439</v>
      </c>
    </row>
    <row r="1505">
      <c r="A1505" s="1">
        <v>49833.0</v>
      </c>
      <c r="B1505" s="1">
        <v>5458.0</v>
      </c>
      <c r="C1505" s="1">
        <v>1.611423353E9</v>
      </c>
      <c r="D1505" s="1">
        <v>4.0</v>
      </c>
      <c r="E1505" s="1" t="b">
        <v>0</v>
      </c>
      <c r="F1505" s="1" t="s">
        <v>15440</v>
      </c>
    </row>
    <row r="1506">
      <c r="A1506" s="1">
        <v>49833.0</v>
      </c>
      <c r="B1506" s="1">
        <v>3091.0</v>
      </c>
      <c r="C1506" s="1">
        <v>1.609869277E9</v>
      </c>
      <c r="D1506" s="1">
        <v>4.0</v>
      </c>
      <c r="E1506" s="1" t="b">
        <v>0</v>
      </c>
      <c r="F1506" s="1" t="s">
        <v>15441</v>
      </c>
    </row>
    <row r="1507">
      <c r="A1507" s="1">
        <v>49833.0</v>
      </c>
      <c r="B1507" s="1">
        <v>3094.0</v>
      </c>
      <c r="C1507" s="1">
        <v>1.609869278E9</v>
      </c>
      <c r="D1507" s="1">
        <v>4.0</v>
      </c>
      <c r="E1507" s="1" t="b">
        <v>0</v>
      </c>
      <c r="F1507" s="1" t="s">
        <v>15442</v>
      </c>
    </row>
    <row r="1508">
      <c r="A1508" s="1">
        <v>49833.0</v>
      </c>
      <c r="B1508" s="1">
        <v>3099.0</v>
      </c>
      <c r="C1508" s="1">
        <v>1.60986928E9</v>
      </c>
      <c r="D1508" s="1">
        <v>4.0</v>
      </c>
      <c r="E1508" s="1" t="b">
        <v>0</v>
      </c>
      <c r="F1508" s="1" t="s">
        <v>15443</v>
      </c>
    </row>
    <row r="1509">
      <c r="A1509" s="1">
        <v>49833.0</v>
      </c>
      <c r="B1509" s="1">
        <v>3102.0</v>
      </c>
      <c r="C1509" s="1">
        <v>1.609869281E9</v>
      </c>
      <c r="D1509" s="1">
        <v>4.0</v>
      </c>
      <c r="E1509" s="1" t="b">
        <v>0</v>
      </c>
      <c r="F1509" s="1" t="s">
        <v>15444</v>
      </c>
    </row>
    <row r="1510">
      <c r="A1510" s="1">
        <v>49833.0</v>
      </c>
      <c r="B1510" s="1">
        <v>7024.0</v>
      </c>
      <c r="C1510" s="1">
        <v>1.611765409E9</v>
      </c>
      <c r="D1510" s="1">
        <v>4.0</v>
      </c>
      <c r="E1510" s="1" t="b">
        <v>0</v>
      </c>
      <c r="F1510" s="1" t="s">
        <v>15445</v>
      </c>
    </row>
    <row r="1511">
      <c r="A1511" s="1">
        <v>49833.0</v>
      </c>
      <c r="B1511" s="1">
        <v>3310.0</v>
      </c>
      <c r="C1511" s="1">
        <v>1.610363611E9</v>
      </c>
      <c r="D1511" s="1">
        <v>4.0</v>
      </c>
      <c r="E1511" s="1" t="b">
        <v>0</v>
      </c>
      <c r="F1511" s="1" t="s">
        <v>15276</v>
      </c>
    </row>
    <row r="1512">
      <c r="A1512" s="1">
        <v>49833.0</v>
      </c>
      <c r="B1512" s="1">
        <v>3465.0</v>
      </c>
      <c r="C1512" s="1">
        <v>1.610542139E9</v>
      </c>
      <c r="D1512" s="1">
        <v>4.0</v>
      </c>
      <c r="E1512" s="1" t="b">
        <v>0</v>
      </c>
      <c r="F1512" s="1" t="s">
        <v>15446</v>
      </c>
    </row>
    <row r="1513">
      <c r="A1513" s="1">
        <v>49833.0</v>
      </c>
      <c r="B1513" s="1">
        <v>3764.0</v>
      </c>
      <c r="C1513" s="1">
        <v>1.610795368E9</v>
      </c>
      <c r="D1513" s="1">
        <v>4.0</v>
      </c>
      <c r="E1513" s="1" t="b">
        <v>0</v>
      </c>
      <c r="F1513" s="1" t="s">
        <v>15447</v>
      </c>
    </row>
    <row r="1514">
      <c r="A1514" s="1">
        <v>49833.0</v>
      </c>
      <c r="B1514" s="1">
        <v>3315.0</v>
      </c>
      <c r="C1514" s="1">
        <v>1.610364325E9</v>
      </c>
      <c r="D1514" s="1">
        <v>4.0</v>
      </c>
      <c r="E1514" s="1" t="b">
        <v>0</v>
      </c>
      <c r="F1514" s="1" t="s">
        <v>14841</v>
      </c>
    </row>
    <row r="1515">
      <c r="A1515" s="1">
        <v>49833.0</v>
      </c>
      <c r="B1515" s="1">
        <v>3313.0</v>
      </c>
      <c r="C1515" s="1">
        <v>1.610364326E9</v>
      </c>
      <c r="D1515" s="1">
        <v>4.0</v>
      </c>
      <c r="E1515" s="1" t="b">
        <v>0</v>
      </c>
      <c r="F1515" s="1" t="s">
        <v>15448</v>
      </c>
    </row>
    <row r="1516">
      <c r="A1516" s="1">
        <v>49833.0</v>
      </c>
      <c r="B1516" s="1">
        <v>8170.0</v>
      </c>
      <c r="C1516" s="1">
        <v>1.611943951E9</v>
      </c>
      <c r="D1516" s="1">
        <v>4.0</v>
      </c>
      <c r="E1516" s="1" t="b">
        <v>0</v>
      </c>
      <c r="F1516" s="1" t="s">
        <v>15449</v>
      </c>
    </row>
    <row r="1517">
      <c r="A1517" s="1">
        <v>49833.0</v>
      </c>
      <c r="B1517" s="1">
        <v>3316.0</v>
      </c>
      <c r="C1517" s="1">
        <v>1.610366554E9</v>
      </c>
      <c r="D1517" s="1">
        <v>4.0</v>
      </c>
      <c r="E1517" s="1" t="b">
        <v>0</v>
      </c>
      <c r="F1517" s="1" t="s">
        <v>15450</v>
      </c>
    </row>
    <row r="1518">
      <c r="A1518" s="1">
        <v>49833.0</v>
      </c>
      <c r="B1518" s="1">
        <v>3317.0</v>
      </c>
      <c r="C1518" s="1">
        <v>1.610366555E9</v>
      </c>
      <c r="D1518" s="1">
        <v>4.0</v>
      </c>
      <c r="E1518" s="1" t="b">
        <v>0</v>
      </c>
      <c r="F1518" s="1" t="s">
        <v>14417</v>
      </c>
    </row>
    <row r="1519">
      <c r="A1519" s="1">
        <v>49833.0</v>
      </c>
      <c r="B1519" s="1">
        <v>11870.0</v>
      </c>
      <c r="C1519" s="1">
        <v>1.612868489E9</v>
      </c>
      <c r="D1519" s="1">
        <v>4.0</v>
      </c>
      <c r="E1519" s="1" t="b">
        <v>0</v>
      </c>
      <c r="F1519" s="1" t="s">
        <v>15451</v>
      </c>
    </row>
    <row r="1520">
      <c r="A1520" s="1">
        <v>49833.0</v>
      </c>
      <c r="B1520" s="1">
        <v>5510.0</v>
      </c>
      <c r="C1520" s="1">
        <v>1.611423354E9</v>
      </c>
      <c r="D1520" s="1">
        <v>4.0</v>
      </c>
      <c r="E1520" s="1" t="b">
        <v>0</v>
      </c>
      <c r="F1520" s="1" t="s">
        <v>15452</v>
      </c>
    </row>
    <row r="1521">
      <c r="A1521" s="1">
        <v>49833.0</v>
      </c>
      <c r="B1521" s="1">
        <v>3318.0</v>
      </c>
      <c r="C1521" s="1">
        <v>1.61036861E9</v>
      </c>
      <c r="D1521" s="1">
        <v>4.0</v>
      </c>
      <c r="E1521" s="1" t="b">
        <v>0</v>
      </c>
      <c r="F1521" s="1" t="s">
        <v>15453</v>
      </c>
    </row>
    <row r="1522">
      <c r="A1522" s="1">
        <v>49833.0</v>
      </c>
      <c r="B1522" s="1">
        <v>3320.0</v>
      </c>
      <c r="C1522" s="1">
        <v>1.610368611E9</v>
      </c>
      <c r="D1522" s="1">
        <v>4.0</v>
      </c>
      <c r="E1522" s="1" t="b">
        <v>0</v>
      </c>
      <c r="F1522" s="1" t="s">
        <v>15454</v>
      </c>
    </row>
    <row r="1523">
      <c r="A1523" s="1">
        <v>49833.0</v>
      </c>
      <c r="B1523" s="1">
        <v>3321.0</v>
      </c>
      <c r="C1523" s="1">
        <v>1.610368613E9</v>
      </c>
      <c r="D1523" s="1">
        <v>4.0</v>
      </c>
      <c r="E1523" s="1" t="b">
        <v>0</v>
      </c>
      <c r="F1523" s="1" t="s">
        <v>15455</v>
      </c>
    </row>
    <row r="1524">
      <c r="A1524" s="1">
        <v>49833.0</v>
      </c>
      <c r="B1524" s="1">
        <v>6541.0</v>
      </c>
      <c r="C1524" s="1">
        <v>1.611686168E9</v>
      </c>
      <c r="D1524" s="1">
        <v>4.0</v>
      </c>
      <c r="E1524" s="1" t="b">
        <v>0</v>
      </c>
      <c r="F1524" s="1" t="s">
        <v>15456</v>
      </c>
    </row>
    <row r="1525">
      <c r="A1525" s="1">
        <v>49833.0</v>
      </c>
      <c r="B1525" s="1">
        <v>8639.0</v>
      </c>
      <c r="C1525" s="1">
        <v>1.612029311E9</v>
      </c>
      <c r="D1525" s="1">
        <v>4.0</v>
      </c>
      <c r="E1525" s="1" t="b">
        <v>0</v>
      </c>
      <c r="F1525" s="1" t="s">
        <v>15457</v>
      </c>
    </row>
    <row r="1526">
      <c r="A1526" s="1">
        <v>49833.0</v>
      </c>
      <c r="B1526" s="1">
        <v>3323.0</v>
      </c>
      <c r="C1526" s="1">
        <v>1.610372137E9</v>
      </c>
      <c r="D1526" s="1">
        <v>4.0</v>
      </c>
      <c r="E1526" s="1" t="b">
        <v>0</v>
      </c>
      <c r="F1526" s="1" t="s">
        <v>15458</v>
      </c>
    </row>
    <row r="1527">
      <c r="A1527" s="1">
        <v>49833.0</v>
      </c>
      <c r="B1527" s="1">
        <v>3324.0</v>
      </c>
      <c r="C1527" s="1">
        <v>1.610372142E9</v>
      </c>
      <c r="D1527" s="1">
        <v>4.0</v>
      </c>
      <c r="E1527" s="1" t="b">
        <v>0</v>
      </c>
      <c r="F1527" s="1" t="s">
        <v>15459</v>
      </c>
    </row>
    <row r="1528">
      <c r="A1528" s="1">
        <v>49833.0</v>
      </c>
      <c r="B1528" s="1">
        <v>3328.0</v>
      </c>
      <c r="C1528" s="1">
        <v>1.610372144E9</v>
      </c>
      <c r="D1528" s="1">
        <v>4.0</v>
      </c>
      <c r="E1528" s="1" t="b">
        <v>0</v>
      </c>
      <c r="F1528" s="1" t="s">
        <v>15460</v>
      </c>
    </row>
    <row r="1529">
      <c r="A1529" s="1">
        <v>49833.0</v>
      </c>
      <c r="B1529" s="1">
        <v>3332.0</v>
      </c>
      <c r="C1529" s="1">
        <v>1.610373303E9</v>
      </c>
      <c r="D1529" s="1">
        <v>4.0</v>
      </c>
      <c r="E1529" s="1" t="b">
        <v>0</v>
      </c>
      <c r="F1529" s="1" t="s">
        <v>15461</v>
      </c>
    </row>
    <row r="1530">
      <c r="A1530" s="1">
        <v>49833.0</v>
      </c>
      <c r="B1530" s="1">
        <v>3314.0</v>
      </c>
      <c r="C1530" s="1">
        <v>1.610373304E9</v>
      </c>
      <c r="D1530" s="1">
        <v>4.0</v>
      </c>
      <c r="E1530" s="1" t="b">
        <v>0</v>
      </c>
      <c r="F1530" s="1" t="s">
        <v>15462</v>
      </c>
    </row>
    <row r="1531">
      <c r="A1531" s="1">
        <v>49833.0</v>
      </c>
      <c r="B1531" s="1">
        <v>3322.0</v>
      </c>
      <c r="C1531" s="1">
        <v>1.610372135E9</v>
      </c>
      <c r="D1531" s="1">
        <v>4.0</v>
      </c>
      <c r="E1531" s="1" t="b">
        <v>0</v>
      </c>
      <c r="F1531" s="1" t="s">
        <v>15463</v>
      </c>
    </row>
    <row r="1532">
      <c r="A1532" s="1">
        <v>49833.0</v>
      </c>
      <c r="B1532" s="1">
        <v>11455.0</v>
      </c>
      <c r="C1532" s="1">
        <v>1.612766019E9</v>
      </c>
      <c r="D1532" s="1">
        <v>4.0</v>
      </c>
      <c r="E1532" s="1" t="b">
        <v>0</v>
      </c>
      <c r="F1532" s="1" t="s">
        <v>15356</v>
      </c>
    </row>
    <row r="1533">
      <c r="A1533" s="1">
        <v>49833.0</v>
      </c>
      <c r="B1533" s="1">
        <v>17887.0</v>
      </c>
      <c r="C1533" s="1">
        <v>1.620628842E9</v>
      </c>
      <c r="D1533" s="1">
        <v>4.0</v>
      </c>
      <c r="E1533" s="1" t="b">
        <v>0</v>
      </c>
      <c r="F1533" s="1" t="s">
        <v>15464</v>
      </c>
    </row>
    <row r="1534">
      <c r="A1534" s="1">
        <v>49833.0</v>
      </c>
      <c r="B1534" s="1">
        <v>11559.0</v>
      </c>
      <c r="C1534" s="1">
        <v>1.612784021E9</v>
      </c>
      <c r="D1534" s="1">
        <v>4.0</v>
      </c>
      <c r="E1534" s="1" t="b">
        <v>0</v>
      </c>
      <c r="F1534" s="1" t="s">
        <v>15465</v>
      </c>
    </row>
    <row r="1535">
      <c r="A1535" s="1">
        <v>49833.0</v>
      </c>
      <c r="B1535" s="1">
        <v>16713.0</v>
      </c>
      <c r="C1535" s="1">
        <v>1.617783277E9</v>
      </c>
      <c r="D1535" s="1">
        <v>4.0</v>
      </c>
      <c r="E1535" s="1" t="b">
        <v>0</v>
      </c>
      <c r="F1535" s="1" t="s">
        <v>15466</v>
      </c>
    </row>
    <row r="1536">
      <c r="A1536" s="1">
        <v>49833.0</v>
      </c>
      <c r="B1536" s="1">
        <v>3335.0</v>
      </c>
      <c r="C1536" s="1">
        <v>1.610386006E9</v>
      </c>
      <c r="D1536" s="1">
        <v>4.0</v>
      </c>
      <c r="E1536" s="1" t="b">
        <v>0</v>
      </c>
      <c r="F1536" s="1" t="s">
        <v>15467</v>
      </c>
    </row>
    <row r="1537">
      <c r="A1537" s="1">
        <v>49833.0</v>
      </c>
      <c r="B1537" s="1">
        <v>3345.0</v>
      </c>
      <c r="C1537" s="1">
        <v>1.610386007E9</v>
      </c>
      <c r="D1537" s="1">
        <v>4.0</v>
      </c>
      <c r="E1537" s="1" t="b">
        <v>0</v>
      </c>
      <c r="F1537" s="1" t="s">
        <v>15468</v>
      </c>
    </row>
    <row r="1538">
      <c r="A1538" s="1">
        <v>49833.0</v>
      </c>
      <c r="B1538" s="1">
        <v>3361.0</v>
      </c>
      <c r="C1538" s="1">
        <v>1.610386009E9</v>
      </c>
      <c r="D1538" s="1">
        <v>4.0</v>
      </c>
      <c r="E1538" s="1" t="b">
        <v>0</v>
      </c>
      <c r="F1538" s="1" t="s">
        <v>15469</v>
      </c>
    </row>
    <row r="1539">
      <c r="A1539" s="1">
        <v>49833.0</v>
      </c>
      <c r="B1539" s="1">
        <v>3362.0</v>
      </c>
      <c r="C1539" s="1">
        <v>1.610386011E9</v>
      </c>
      <c r="D1539" s="1">
        <v>4.0</v>
      </c>
      <c r="E1539" s="1" t="b">
        <v>0</v>
      </c>
      <c r="F1539" s="1" t="s">
        <v>15470</v>
      </c>
    </row>
    <row r="1540">
      <c r="A1540" s="1">
        <v>49833.0</v>
      </c>
      <c r="B1540" s="1">
        <v>3358.0</v>
      </c>
      <c r="C1540" s="1">
        <v>1.610386012E9</v>
      </c>
      <c r="D1540" s="1">
        <v>4.0</v>
      </c>
      <c r="E1540" s="1" t="b">
        <v>0</v>
      </c>
      <c r="F1540" s="1" t="s">
        <v>15471</v>
      </c>
    </row>
    <row r="1541">
      <c r="A1541" s="1">
        <v>49833.0</v>
      </c>
      <c r="B1541" s="1">
        <v>3348.0</v>
      </c>
      <c r="C1541" s="1">
        <v>1.610386015E9</v>
      </c>
      <c r="D1541" s="1">
        <v>4.0</v>
      </c>
      <c r="E1541" s="1" t="b">
        <v>0</v>
      </c>
      <c r="F1541" s="1" t="s">
        <v>15472</v>
      </c>
    </row>
    <row r="1542">
      <c r="A1542" s="1">
        <v>49833.0</v>
      </c>
      <c r="B1542" s="1">
        <v>3333.0</v>
      </c>
      <c r="C1542" s="1">
        <v>1.610386018E9</v>
      </c>
      <c r="D1542" s="1">
        <v>4.0</v>
      </c>
      <c r="E1542" s="1" t="b">
        <v>0</v>
      </c>
      <c r="F1542" s="1" t="s">
        <v>14407</v>
      </c>
    </row>
    <row r="1543">
      <c r="A1543" s="1">
        <v>49833.0</v>
      </c>
      <c r="B1543" s="1">
        <v>3432.0</v>
      </c>
      <c r="C1543" s="1">
        <v>1.61052813E9</v>
      </c>
      <c r="D1543" s="1">
        <v>4.0</v>
      </c>
      <c r="E1543" s="1" t="b">
        <v>0</v>
      </c>
      <c r="F1543" s="1" t="s">
        <v>15473</v>
      </c>
    </row>
    <row r="1544">
      <c r="A1544" s="1">
        <v>49833.0</v>
      </c>
      <c r="B1544" s="1">
        <v>3435.0</v>
      </c>
      <c r="C1544" s="1">
        <v>1.610530517E9</v>
      </c>
      <c r="D1544" s="1">
        <v>4.0</v>
      </c>
      <c r="E1544" s="1" t="b">
        <v>0</v>
      </c>
      <c r="F1544" s="1" t="s">
        <v>15474</v>
      </c>
    </row>
    <row r="1545">
      <c r="A1545" s="1">
        <v>49833.0</v>
      </c>
      <c r="B1545" s="1">
        <v>3442.0</v>
      </c>
      <c r="C1545" s="1">
        <v>1.610539678E9</v>
      </c>
      <c r="D1545" s="1">
        <v>4.0</v>
      </c>
      <c r="E1545" s="1" t="b">
        <v>0</v>
      </c>
      <c r="F1545" s="1" t="s">
        <v>15475</v>
      </c>
    </row>
    <row r="1546">
      <c r="A1546" s="1">
        <v>49833.0</v>
      </c>
      <c r="B1546" s="1">
        <v>3447.0</v>
      </c>
      <c r="C1546" s="1">
        <v>1.610539679E9</v>
      </c>
      <c r="D1546" s="1">
        <v>4.0</v>
      </c>
      <c r="E1546" s="1" t="b">
        <v>0</v>
      </c>
      <c r="F1546" s="1" t="s">
        <v>15476</v>
      </c>
    </row>
    <row r="1547">
      <c r="A1547" s="1">
        <v>49833.0</v>
      </c>
      <c r="B1547" s="1">
        <v>12085.0</v>
      </c>
      <c r="C1547" s="1">
        <v>1.612904215E9</v>
      </c>
      <c r="D1547" s="1">
        <v>4.0</v>
      </c>
      <c r="E1547" s="1" t="b">
        <v>0</v>
      </c>
      <c r="F1547" s="1" t="s">
        <v>15477</v>
      </c>
    </row>
    <row r="1548">
      <c r="A1548" s="1">
        <v>49833.0</v>
      </c>
      <c r="B1548" s="1">
        <v>3363.0</v>
      </c>
      <c r="C1548" s="1">
        <v>1.610436322E9</v>
      </c>
      <c r="D1548" s="1">
        <v>4.0</v>
      </c>
      <c r="E1548" s="1" t="b">
        <v>0</v>
      </c>
      <c r="F1548" s="1" t="s">
        <v>15478</v>
      </c>
    </row>
    <row r="1549">
      <c r="A1549" s="1">
        <v>49833.0</v>
      </c>
      <c r="B1549" s="1">
        <v>3437.0</v>
      </c>
      <c r="C1549" s="1">
        <v>1.610539677E9</v>
      </c>
      <c r="D1549" s="1">
        <v>4.0</v>
      </c>
      <c r="E1549" s="1" t="b">
        <v>0</v>
      </c>
      <c r="F1549" s="1" t="s">
        <v>15479</v>
      </c>
    </row>
    <row r="1550">
      <c r="A1550" s="1">
        <v>49833.0</v>
      </c>
      <c r="B1550" s="1">
        <v>6352.0</v>
      </c>
      <c r="C1550" s="1">
        <v>1.611686169E9</v>
      </c>
      <c r="D1550" s="1">
        <v>4.0</v>
      </c>
      <c r="E1550" s="1" t="b">
        <v>0</v>
      </c>
      <c r="F1550" s="1" t="s">
        <v>15480</v>
      </c>
    </row>
    <row r="1551">
      <c r="A1551" s="1">
        <v>49833.0</v>
      </c>
      <c r="B1551" s="1">
        <v>3479.0</v>
      </c>
      <c r="C1551" s="1">
        <v>1.610554219E9</v>
      </c>
      <c r="D1551" s="1">
        <v>4.0</v>
      </c>
      <c r="E1551" s="1" t="b">
        <v>0</v>
      </c>
      <c r="F1551" s="1" t="s">
        <v>15481</v>
      </c>
    </row>
    <row r="1552">
      <c r="A1552" s="1">
        <v>49833.0</v>
      </c>
      <c r="B1552" s="1">
        <v>3476.0</v>
      </c>
      <c r="C1552" s="1">
        <v>1.61055422E9</v>
      </c>
      <c r="D1552" s="1">
        <v>4.0</v>
      </c>
      <c r="E1552" s="1" t="b">
        <v>0</v>
      </c>
      <c r="F1552" s="1" t="s">
        <v>15482</v>
      </c>
    </row>
    <row r="1553">
      <c r="A1553" s="1">
        <v>49833.0</v>
      </c>
      <c r="B1553" s="1">
        <v>3483.0</v>
      </c>
      <c r="C1553" s="1">
        <v>1.610554223E9</v>
      </c>
      <c r="D1553" s="1">
        <v>4.0</v>
      </c>
      <c r="E1553" s="1" t="b">
        <v>0</v>
      </c>
      <c r="F1553" s="1" t="s">
        <v>15483</v>
      </c>
    </row>
    <row r="1554">
      <c r="A1554" s="1">
        <v>49833.0</v>
      </c>
      <c r="B1554" s="1">
        <v>3487.0</v>
      </c>
      <c r="C1554" s="1">
        <v>1.610554227E9</v>
      </c>
      <c r="D1554" s="1">
        <v>4.0</v>
      </c>
      <c r="E1554" s="1" t="b">
        <v>0</v>
      </c>
      <c r="F1554" s="1" t="s">
        <v>15484</v>
      </c>
    </row>
    <row r="1555">
      <c r="A1555" s="1">
        <v>49833.0</v>
      </c>
      <c r="B1555" s="1">
        <v>3488.0</v>
      </c>
      <c r="C1555" s="1">
        <v>1.610554237E9</v>
      </c>
      <c r="D1555" s="1">
        <v>4.0</v>
      </c>
      <c r="E1555" s="1" t="b">
        <v>0</v>
      </c>
      <c r="F1555" s="1" t="s">
        <v>15485</v>
      </c>
    </row>
    <row r="1556">
      <c r="A1556" s="1">
        <v>49833.0</v>
      </c>
      <c r="B1556" s="1">
        <v>3496.0</v>
      </c>
      <c r="C1556" s="1">
        <v>1.610554238E9</v>
      </c>
      <c r="D1556" s="1">
        <v>4.0</v>
      </c>
      <c r="E1556" s="1" t="b">
        <v>0</v>
      </c>
      <c r="F1556" s="1" t="s">
        <v>15486</v>
      </c>
    </row>
    <row r="1557">
      <c r="A1557" s="1">
        <v>49833.0</v>
      </c>
      <c r="B1557" s="1">
        <v>7828.0</v>
      </c>
      <c r="C1557" s="1">
        <v>1.611911877E9</v>
      </c>
      <c r="D1557" s="1">
        <v>4.0</v>
      </c>
      <c r="E1557" s="1" t="b">
        <v>0</v>
      </c>
      <c r="F1557" s="1" t="s">
        <v>15487</v>
      </c>
    </row>
    <row r="1558">
      <c r="A1558" s="1">
        <v>49833.0</v>
      </c>
      <c r="B1558" s="1">
        <v>19334.0</v>
      </c>
      <c r="C1558" s="1">
        <v>1.622615215E9</v>
      </c>
      <c r="D1558" s="1">
        <v>4.0</v>
      </c>
      <c r="E1558" s="1" t="b">
        <v>0</v>
      </c>
      <c r="F1558" s="1" t="s">
        <v>15488</v>
      </c>
    </row>
    <row r="1559">
      <c r="A1559" s="1">
        <v>49833.0</v>
      </c>
      <c r="B1559" s="1">
        <v>12910.0</v>
      </c>
      <c r="C1559" s="1">
        <v>1.613115367E9</v>
      </c>
      <c r="D1559" s="1">
        <v>4.0</v>
      </c>
      <c r="E1559" s="1" t="b">
        <v>0</v>
      </c>
      <c r="F1559" s="1" t="s">
        <v>15489</v>
      </c>
    </row>
    <row r="1560">
      <c r="A1560" s="1">
        <v>49833.0</v>
      </c>
      <c r="B1560" s="1">
        <v>3499.0</v>
      </c>
      <c r="C1560" s="1">
        <v>1.610556865E9</v>
      </c>
      <c r="D1560" s="1">
        <v>4.0</v>
      </c>
      <c r="E1560" s="1" t="b">
        <v>0</v>
      </c>
      <c r="F1560" s="1" t="s">
        <v>15490</v>
      </c>
    </row>
    <row r="1561">
      <c r="A1561" s="1">
        <v>49833.0</v>
      </c>
      <c r="B1561" s="1">
        <v>3503.0</v>
      </c>
      <c r="C1561" s="1">
        <v>1.610556866E9</v>
      </c>
      <c r="D1561" s="1">
        <v>4.0</v>
      </c>
      <c r="E1561" s="1" t="b">
        <v>0</v>
      </c>
      <c r="F1561" s="1" t="s">
        <v>15491</v>
      </c>
    </row>
    <row r="1562">
      <c r="A1562" s="1">
        <v>49833.0</v>
      </c>
      <c r="B1562" s="1">
        <v>3440.0</v>
      </c>
      <c r="C1562" s="1">
        <v>1.610539675E9</v>
      </c>
      <c r="D1562" s="1">
        <v>4.0</v>
      </c>
      <c r="E1562" s="1" t="b">
        <v>0</v>
      </c>
      <c r="F1562" s="1" t="s">
        <v>15492</v>
      </c>
    </row>
    <row r="1563">
      <c r="A1563" s="1">
        <v>49833.0</v>
      </c>
      <c r="B1563" s="1">
        <v>19924.0</v>
      </c>
      <c r="C1563" s="1">
        <v>1.623503779E9</v>
      </c>
      <c r="D1563" s="1">
        <v>4.0</v>
      </c>
      <c r="E1563" s="1" t="b">
        <v>0</v>
      </c>
      <c r="F1563" s="1" t="s">
        <v>15493</v>
      </c>
    </row>
    <row r="1564">
      <c r="A1564" s="1">
        <v>49833.0</v>
      </c>
      <c r="B1564" s="1">
        <v>19235.0</v>
      </c>
      <c r="C1564" s="1">
        <v>1.622517919E9</v>
      </c>
      <c r="D1564" s="1">
        <v>4.0</v>
      </c>
      <c r="E1564" s="1" t="b">
        <v>0</v>
      </c>
      <c r="F1564" s="1" t="s">
        <v>15494</v>
      </c>
    </row>
    <row r="1565">
      <c r="A1565" s="1">
        <v>49833.0</v>
      </c>
      <c r="B1565" s="1">
        <v>8829.0</v>
      </c>
      <c r="C1565" s="1">
        <v>1.619779137E9</v>
      </c>
      <c r="D1565" s="1">
        <v>4.0</v>
      </c>
      <c r="E1565" s="1" t="b">
        <v>0</v>
      </c>
      <c r="F1565" s="1" t="s">
        <v>15495</v>
      </c>
    </row>
    <row r="1566">
      <c r="A1566" s="1">
        <v>49833.0</v>
      </c>
      <c r="B1566" s="1">
        <v>17453.0</v>
      </c>
      <c r="C1566" s="1">
        <v>1.619779135E9</v>
      </c>
      <c r="D1566" s="1">
        <v>4.0</v>
      </c>
      <c r="E1566" s="1" t="b">
        <v>0</v>
      </c>
      <c r="F1566" s="1" t="s">
        <v>15496</v>
      </c>
    </row>
    <row r="1567">
      <c r="A1567" s="1">
        <v>49833.0</v>
      </c>
      <c r="B1567" s="1">
        <v>3463.0</v>
      </c>
      <c r="C1567" s="1">
        <v>1.610566342E9</v>
      </c>
      <c r="D1567" s="1">
        <v>4.0</v>
      </c>
      <c r="E1567" s="1" t="b">
        <v>0</v>
      </c>
      <c r="F1567" s="1" t="s">
        <v>15497</v>
      </c>
    </row>
    <row r="1568">
      <c r="A1568" s="1">
        <v>49833.0</v>
      </c>
      <c r="B1568" s="1">
        <v>5515.0</v>
      </c>
      <c r="C1568" s="1">
        <v>1.611425E9</v>
      </c>
      <c r="D1568" s="1">
        <v>4.0</v>
      </c>
      <c r="E1568" s="1" t="b">
        <v>0</v>
      </c>
      <c r="F1568" s="1" t="s">
        <v>15498</v>
      </c>
    </row>
    <row r="1569">
      <c r="A1569" s="1">
        <v>49833.0</v>
      </c>
      <c r="B1569" s="1">
        <v>3945.0</v>
      </c>
      <c r="C1569" s="1">
        <v>1.610892336E9</v>
      </c>
      <c r="D1569" s="1">
        <v>4.0</v>
      </c>
      <c r="E1569" s="1" t="b">
        <v>0</v>
      </c>
      <c r="F1569" s="1" t="s">
        <v>15499</v>
      </c>
    </row>
    <row r="1570">
      <c r="A1570" s="1">
        <v>49833.0</v>
      </c>
      <c r="B1570" s="1">
        <v>3877.0</v>
      </c>
      <c r="C1570" s="1">
        <v>1.61086064E9</v>
      </c>
      <c r="D1570" s="1">
        <v>4.0</v>
      </c>
      <c r="E1570" s="1" t="b">
        <v>0</v>
      </c>
      <c r="F1570" s="1" t="s">
        <v>15500</v>
      </c>
    </row>
    <row r="1571">
      <c r="A1571" s="1">
        <v>49833.0</v>
      </c>
      <c r="B1571" s="1">
        <v>12698.0</v>
      </c>
      <c r="C1571" s="1">
        <v>1.613043193E9</v>
      </c>
      <c r="D1571" s="1">
        <v>4.0</v>
      </c>
      <c r="E1571" s="1" t="b">
        <v>0</v>
      </c>
      <c r="F1571" s="1" t="s">
        <v>15501</v>
      </c>
    </row>
    <row r="1572">
      <c r="A1572" s="1">
        <v>49833.0</v>
      </c>
      <c r="B1572" s="1">
        <v>6469.0</v>
      </c>
      <c r="C1572" s="1">
        <v>1.61168617E9</v>
      </c>
      <c r="D1572" s="1">
        <v>4.0</v>
      </c>
      <c r="E1572" s="1" t="b">
        <v>0</v>
      </c>
      <c r="F1572" s="1" t="s">
        <v>15502</v>
      </c>
    </row>
    <row r="1573">
      <c r="A1573" s="1">
        <v>49833.0</v>
      </c>
      <c r="B1573" s="1">
        <v>7044.0</v>
      </c>
      <c r="C1573" s="1">
        <v>1.611834697E9</v>
      </c>
      <c r="D1573" s="1">
        <v>4.0</v>
      </c>
      <c r="E1573" s="1" t="b">
        <v>0</v>
      </c>
      <c r="F1573" s="1" t="s">
        <v>15503</v>
      </c>
    </row>
    <row r="1574">
      <c r="A1574" s="1">
        <v>49833.0</v>
      </c>
      <c r="B1574" s="1">
        <v>7086.0</v>
      </c>
      <c r="C1574" s="1">
        <v>1.611834699E9</v>
      </c>
      <c r="D1574" s="1">
        <v>4.0</v>
      </c>
      <c r="E1574" s="1" t="b">
        <v>0</v>
      </c>
      <c r="F1574" s="1" t="s">
        <v>15504</v>
      </c>
    </row>
    <row r="1575">
      <c r="A1575" s="1">
        <v>49833.0</v>
      </c>
      <c r="B1575" s="1">
        <v>7167.0</v>
      </c>
      <c r="C1575" s="1">
        <v>1.611834701E9</v>
      </c>
      <c r="D1575" s="1">
        <v>4.0</v>
      </c>
      <c r="E1575" s="1" t="b">
        <v>0</v>
      </c>
      <c r="F1575" s="1" t="s">
        <v>15505</v>
      </c>
    </row>
    <row r="1576">
      <c r="A1576" s="1">
        <v>49833.0</v>
      </c>
      <c r="B1576" s="1">
        <v>12788.0</v>
      </c>
      <c r="C1576" s="1">
        <v>1.61309983E9</v>
      </c>
      <c r="D1576" s="1">
        <v>4.0</v>
      </c>
      <c r="E1576" s="1" t="b">
        <v>0</v>
      </c>
      <c r="F1576" s="1" t="s">
        <v>15506</v>
      </c>
    </row>
    <row r="1577">
      <c r="A1577" s="1">
        <v>49833.0</v>
      </c>
      <c r="B1577" s="1">
        <v>3774.0</v>
      </c>
      <c r="C1577" s="1">
        <v>1.610795901E9</v>
      </c>
      <c r="D1577" s="1">
        <v>4.0</v>
      </c>
      <c r="E1577" s="1" t="b">
        <v>0</v>
      </c>
      <c r="F1577" s="1" t="s">
        <v>15507</v>
      </c>
    </row>
    <row r="1578">
      <c r="A1578" s="1">
        <v>49833.0</v>
      </c>
      <c r="B1578" s="1">
        <v>5578.0</v>
      </c>
      <c r="C1578" s="1">
        <v>1.611502286E9</v>
      </c>
      <c r="D1578" s="1">
        <v>4.0</v>
      </c>
      <c r="E1578" s="1" t="b">
        <v>0</v>
      </c>
      <c r="F1578" s="1" t="s">
        <v>15276</v>
      </c>
    </row>
    <row r="1579">
      <c r="A1579" s="1">
        <v>49833.0</v>
      </c>
      <c r="B1579" s="1">
        <v>5701.0</v>
      </c>
      <c r="C1579" s="1">
        <v>1.611502287E9</v>
      </c>
      <c r="D1579" s="1">
        <v>4.0</v>
      </c>
      <c r="E1579" s="1" t="b">
        <v>0</v>
      </c>
      <c r="F1579" s="1" t="s">
        <v>15508</v>
      </c>
    </row>
    <row r="1580">
      <c r="A1580" s="1">
        <v>49833.0</v>
      </c>
      <c r="B1580" s="1">
        <v>7438.0</v>
      </c>
      <c r="C1580" s="1">
        <v>1.611839436E9</v>
      </c>
      <c r="D1580" s="1">
        <v>4.0</v>
      </c>
      <c r="E1580" s="1" t="b">
        <v>0</v>
      </c>
      <c r="F1580" s="1" t="s">
        <v>15509</v>
      </c>
    </row>
    <row r="1581">
      <c r="A1581" s="1">
        <v>49833.0</v>
      </c>
      <c r="B1581" s="1">
        <v>3924.0</v>
      </c>
      <c r="C1581" s="1">
        <v>1.610885806E9</v>
      </c>
      <c r="D1581" s="1">
        <v>4.0</v>
      </c>
      <c r="E1581" s="1" t="b">
        <v>0</v>
      </c>
      <c r="F1581" s="1" t="s">
        <v>15510</v>
      </c>
    </row>
    <row r="1582">
      <c r="A1582" s="1">
        <v>49833.0</v>
      </c>
      <c r="B1582" s="1">
        <v>5516.0</v>
      </c>
      <c r="C1582" s="1">
        <v>1.611425002E9</v>
      </c>
      <c r="D1582" s="1">
        <v>4.0</v>
      </c>
      <c r="E1582" s="1" t="b">
        <v>0</v>
      </c>
      <c r="F1582" s="1" t="s">
        <v>15511</v>
      </c>
    </row>
    <row r="1583">
      <c r="A1583" s="1">
        <v>49833.0</v>
      </c>
      <c r="B1583" s="1">
        <v>11989.0</v>
      </c>
      <c r="C1583" s="1">
        <v>1.612888029E9</v>
      </c>
      <c r="D1583" s="1">
        <v>4.0</v>
      </c>
      <c r="E1583" s="1" t="b">
        <v>0</v>
      </c>
      <c r="F1583" s="1" t="s">
        <v>15512</v>
      </c>
    </row>
    <row r="1584">
      <c r="A1584" s="1">
        <v>49833.0</v>
      </c>
      <c r="B1584" s="1">
        <v>8171.0</v>
      </c>
      <c r="C1584" s="1">
        <v>1.611944041E9</v>
      </c>
      <c r="D1584" s="1">
        <v>4.0</v>
      </c>
      <c r="E1584" s="1" t="b">
        <v>0</v>
      </c>
      <c r="F1584" s="1" t="s">
        <v>15513</v>
      </c>
    </row>
    <row r="1585">
      <c r="A1585" s="1">
        <v>49833.0</v>
      </c>
      <c r="B1585" s="1">
        <v>6476.0</v>
      </c>
      <c r="C1585" s="1">
        <v>1.611686171E9</v>
      </c>
      <c r="D1585" s="1">
        <v>4.0</v>
      </c>
      <c r="E1585" s="1" t="b">
        <v>0</v>
      </c>
      <c r="F1585" s="1" t="s">
        <v>15514</v>
      </c>
    </row>
    <row r="1586">
      <c r="A1586" s="1">
        <v>49833.0</v>
      </c>
      <c r="B1586" s="1">
        <v>5576.0</v>
      </c>
      <c r="C1586" s="1">
        <v>1.611503697E9</v>
      </c>
      <c r="D1586" s="1">
        <v>4.0</v>
      </c>
      <c r="E1586" s="1" t="b">
        <v>0</v>
      </c>
      <c r="F1586" s="1" t="s">
        <v>15515</v>
      </c>
    </row>
    <row r="1587">
      <c r="A1587" s="1">
        <v>49833.0</v>
      </c>
      <c r="B1587" s="1">
        <v>6841.0</v>
      </c>
      <c r="C1587" s="1">
        <v>1.611750844E9</v>
      </c>
      <c r="D1587" s="1">
        <v>4.0</v>
      </c>
      <c r="E1587" s="1" t="b">
        <v>0</v>
      </c>
      <c r="F1587" s="1" t="s">
        <v>15516</v>
      </c>
    </row>
    <row r="1588">
      <c r="A1588" s="1">
        <v>49833.0</v>
      </c>
      <c r="B1588" s="1">
        <v>5794.0</v>
      </c>
      <c r="C1588" s="1">
        <v>1.611503698E9</v>
      </c>
      <c r="D1588" s="1">
        <v>4.0</v>
      </c>
      <c r="E1588" s="1" t="b">
        <v>0</v>
      </c>
      <c r="F1588" s="1" t="s">
        <v>15517</v>
      </c>
    </row>
    <row r="1589">
      <c r="A1589" s="1">
        <v>49833.0</v>
      </c>
      <c r="B1589" s="1">
        <v>5823.0</v>
      </c>
      <c r="C1589" s="1">
        <v>1.611503702E9</v>
      </c>
      <c r="D1589" s="1">
        <v>4.0</v>
      </c>
      <c r="E1589" s="1" t="b">
        <v>0</v>
      </c>
      <c r="F1589" s="1" t="s">
        <v>15518</v>
      </c>
    </row>
    <row r="1590">
      <c r="A1590" s="1">
        <v>49833.0</v>
      </c>
      <c r="B1590" s="1">
        <v>5736.0</v>
      </c>
      <c r="C1590" s="1">
        <v>1.611503702E9</v>
      </c>
      <c r="D1590" s="1">
        <v>4.0</v>
      </c>
      <c r="E1590" s="1" t="b">
        <v>0</v>
      </c>
      <c r="F1590" s="1" t="s">
        <v>15519</v>
      </c>
    </row>
    <row r="1591">
      <c r="A1591" s="1">
        <v>49833.0</v>
      </c>
      <c r="B1591" s="1">
        <v>5852.0</v>
      </c>
      <c r="C1591" s="1">
        <v>1.611503703E9</v>
      </c>
      <c r="D1591" s="1">
        <v>4.0</v>
      </c>
      <c r="E1591" s="1" t="b">
        <v>0</v>
      </c>
      <c r="F1591" s="1" t="s">
        <v>15520</v>
      </c>
    </row>
    <row r="1592">
      <c r="A1592" s="1">
        <v>49833.0</v>
      </c>
      <c r="B1592" s="1">
        <v>5884.0</v>
      </c>
      <c r="C1592" s="1">
        <v>1.611503704E9</v>
      </c>
      <c r="D1592" s="1">
        <v>4.0</v>
      </c>
      <c r="E1592" s="1" t="b">
        <v>0</v>
      </c>
      <c r="F1592" s="1" t="s">
        <v>15521</v>
      </c>
    </row>
    <row r="1593">
      <c r="A1593" s="1">
        <v>49833.0</v>
      </c>
      <c r="B1593" s="1">
        <v>5906.0</v>
      </c>
      <c r="C1593" s="1">
        <v>1.61155538E9</v>
      </c>
      <c r="D1593" s="1">
        <v>4.0</v>
      </c>
      <c r="E1593" s="1" t="b">
        <v>0</v>
      </c>
      <c r="F1593" s="1" t="s">
        <v>15522</v>
      </c>
    </row>
    <row r="1594">
      <c r="A1594" s="1">
        <v>49833.0</v>
      </c>
      <c r="B1594" s="1">
        <v>5977.0</v>
      </c>
      <c r="C1594" s="1">
        <v>1.611555383E9</v>
      </c>
      <c r="D1594" s="1">
        <v>4.0</v>
      </c>
      <c r="E1594" s="1" t="b">
        <v>0</v>
      </c>
      <c r="F1594" s="1" t="s">
        <v>15523</v>
      </c>
    </row>
    <row r="1595">
      <c r="A1595" s="1">
        <v>49833.0</v>
      </c>
      <c r="B1595" s="1">
        <v>6050.0</v>
      </c>
      <c r="C1595" s="1">
        <v>1.611555825E9</v>
      </c>
      <c r="D1595" s="1">
        <v>4.0</v>
      </c>
      <c r="E1595" s="1" t="b">
        <v>0</v>
      </c>
      <c r="F1595" s="1" t="s">
        <v>15524</v>
      </c>
    </row>
    <row r="1596">
      <c r="A1596" s="1">
        <v>49833.0</v>
      </c>
      <c r="B1596" s="1">
        <v>6775.0</v>
      </c>
      <c r="C1596" s="1">
        <v>1.611750849E9</v>
      </c>
      <c r="D1596" s="1">
        <v>4.0</v>
      </c>
      <c r="E1596" s="1" t="b">
        <v>0</v>
      </c>
      <c r="F1596" s="1" t="s">
        <v>15525</v>
      </c>
    </row>
    <row r="1597">
      <c r="A1597" s="1">
        <v>49833.0</v>
      </c>
      <c r="B1597" s="1">
        <v>19406.0</v>
      </c>
      <c r="C1597" s="1">
        <v>1.622692372E9</v>
      </c>
      <c r="D1597" s="1">
        <v>4.0</v>
      </c>
      <c r="E1597" s="1" t="b">
        <v>0</v>
      </c>
      <c r="F1597" s="1" t="s">
        <v>15526</v>
      </c>
    </row>
    <row r="1598">
      <c r="A1598" s="1">
        <v>49833.0</v>
      </c>
      <c r="B1598" s="1">
        <v>7191.0</v>
      </c>
      <c r="C1598" s="1">
        <v>1.611834704E9</v>
      </c>
      <c r="D1598" s="1">
        <v>4.0</v>
      </c>
      <c r="E1598" s="1" t="b">
        <v>0</v>
      </c>
      <c r="F1598" s="1" t="s">
        <v>15527</v>
      </c>
    </row>
    <row r="1599">
      <c r="A1599" s="1">
        <v>49833.0</v>
      </c>
      <c r="B1599" s="1">
        <v>7170.0</v>
      </c>
      <c r="C1599" s="1">
        <v>1.611834709E9</v>
      </c>
      <c r="D1599" s="1">
        <v>4.0</v>
      </c>
      <c r="E1599" s="1" t="b">
        <v>0</v>
      </c>
      <c r="F1599" s="1" t="s">
        <v>15528</v>
      </c>
    </row>
    <row r="1600">
      <c r="A1600" s="1">
        <v>49833.0</v>
      </c>
      <c r="B1600" s="1">
        <v>14072.0</v>
      </c>
      <c r="C1600" s="1">
        <v>1.61349772E9</v>
      </c>
      <c r="D1600" s="1">
        <v>4.0</v>
      </c>
      <c r="E1600" s="1" t="b">
        <v>0</v>
      </c>
      <c r="F1600" s="1" t="s">
        <v>15529</v>
      </c>
    </row>
    <row r="1601">
      <c r="A1601" s="1">
        <v>49833.0</v>
      </c>
      <c r="B1601" s="1">
        <v>17831.0</v>
      </c>
      <c r="C1601" s="1">
        <v>1.620566459E9</v>
      </c>
      <c r="D1601" s="1">
        <v>4.0</v>
      </c>
      <c r="E1601" s="1" t="b">
        <v>0</v>
      </c>
      <c r="F1601" s="1" t="s">
        <v>15530</v>
      </c>
    </row>
    <row r="1602">
      <c r="A1602" s="1">
        <v>49833.0</v>
      </c>
      <c r="B1602" s="1">
        <v>12702.0</v>
      </c>
      <c r="C1602" s="1">
        <v>1.613043192E9</v>
      </c>
      <c r="D1602" s="1">
        <v>4.0</v>
      </c>
      <c r="E1602" s="1" t="b">
        <v>0</v>
      </c>
      <c r="F1602" s="1" t="s">
        <v>15531</v>
      </c>
    </row>
    <row r="1603">
      <c r="A1603" s="1">
        <v>49833.0</v>
      </c>
      <c r="B1603" s="1">
        <v>7019.0</v>
      </c>
      <c r="C1603" s="1">
        <v>1.611764299E9</v>
      </c>
      <c r="D1603" s="1">
        <v>4.0</v>
      </c>
      <c r="E1603" s="1" t="b">
        <v>0</v>
      </c>
      <c r="F1603" s="1" t="s">
        <v>15532</v>
      </c>
    </row>
    <row r="1604">
      <c r="A1604" s="1">
        <v>49833.0</v>
      </c>
      <c r="B1604" s="1">
        <v>10775.0</v>
      </c>
      <c r="C1604" s="1">
        <v>1.612584861E9</v>
      </c>
      <c r="D1604" s="1">
        <v>4.0</v>
      </c>
      <c r="E1604" s="1" t="b">
        <v>0</v>
      </c>
      <c r="F1604" s="1" t="s">
        <v>15533</v>
      </c>
    </row>
    <row r="1605">
      <c r="A1605" s="1">
        <v>49833.0</v>
      </c>
      <c r="B1605" s="1">
        <v>7073.0</v>
      </c>
      <c r="C1605" s="1">
        <v>1.611835593E9</v>
      </c>
      <c r="D1605" s="1">
        <v>4.0</v>
      </c>
      <c r="E1605" s="1" t="b">
        <v>0</v>
      </c>
      <c r="F1605" s="1" t="s">
        <v>15534</v>
      </c>
    </row>
    <row r="1606">
      <c r="A1606" s="1">
        <v>49833.0</v>
      </c>
      <c r="B1606" s="1">
        <v>5960.0</v>
      </c>
      <c r="C1606" s="1">
        <v>1.611555382E9</v>
      </c>
      <c r="D1606" s="1">
        <v>4.0</v>
      </c>
      <c r="E1606" s="1" t="b">
        <v>0</v>
      </c>
      <c r="F1606" s="1" t="s">
        <v>15535</v>
      </c>
    </row>
    <row r="1607">
      <c r="A1607" s="1">
        <v>49833.0</v>
      </c>
      <c r="B1607" s="1">
        <v>7539.0</v>
      </c>
      <c r="C1607" s="1">
        <v>1.61185542E9</v>
      </c>
      <c r="D1607" s="1">
        <v>4.0</v>
      </c>
      <c r="E1607" s="1" t="b">
        <v>0</v>
      </c>
      <c r="F1607" s="1" t="s">
        <v>14653</v>
      </c>
    </row>
    <row r="1608">
      <c r="A1608" s="1">
        <v>49833.0</v>
      </c>
      <c r="B1608" s="1">
        <v>7531.0</v>
      </c>
      <c r="C1608" s="1">
        <v>1.611855429E9</v>
      </c>
      <c r="D1608" s="1">
        <v>4.0</v>
      </c>
      <c r="E1608" s="1" t="b">
        <v>0</v>
      </c>
      <c r="F1608" s="1" t="s">
        <v>15536</v>
      </c>
    </row>
    <row r="1609">
      <c r="A1609" s="1">
        <v>49833.0</v>
      </c>
      <c r="B1609" s="1">
        <v>7455.0</v>
      </c>
      <c r="C1609" s="1">
        <v>1.611855436E9</v>
      </c>
      <c r="D1609" s="1">
        <v>4.0</v>
      </c>
      <c r="E1609" s="1" t="b">
        <v>0</v>
      </c>
      <c r="F1609" s="1" t="s">
        <v>15537</v>
      </c>
    </row>
    <row r="1610">
      <c r="A1610" s="1">
        <v>49833.0</v>
      </c>
      <c r="B1610" s="1">
        <v>5795.0</v>
      </c>
      <c r="C1610" s="1">
        <v>1.611504547E9</v>
      </c>
      <c r="D1610" s="1">
        <v>4.0</v>
      </c>
      <c r="E1610" s="1" t="b">
        <v>0</v>
      </c>
      <c r="F1610" s="1" t="s">
        <v>15538</v>
      </c>
    </row>
    <row r="1611">
      <c r="A1611" s="1">
        <v>49833.0</v>
      </c>
      <c r="B1611" s="1">
        <v>5477.0</v>
      </c>
      <c r="C1611" s="1">
        <v>1.611423344E9</v>
      </c>
      <c r="D1611" s="1">
        <v>4.0</v>
      </c>
      <c r="E1611" s="1" t="b">
        <v>0</v>
      </c>
      <c r="F1611" s="1" t="s">
        <v>15539</v>
      </c>
    </row>
    <row r="1612">
      <c r="A1612" s="1">
        <v>49833.0</v>
      </c>
      <c r="B1612" s="1">
        <v>6020.0</v>
      </c>
      <c r="C1612" s="1">
        <v>1.611555387E9</v>
      </c>
      <c r="D1612" s="1">
        <v>4.0</v>
      </c>
      <c r="E1612" s="1" t="b">
        <v>0</v>
      </c>
      <c r="F1612" s="1" t="s">
        <v>15540</v>
      </c>
    </row>
    <row r="1613">
      <c r="A1613" s="1">
        <v>49833.0</v>
      </c>
      <c r="B1613" s="1">
        <v>6128.0</v>
      </c>
      <c r="C1613" s="1">
        <v>1.611598846E9</v>
      </c>
      <c r="D1613" s="1">
        <v>4.0</v>
      </c>
      <c r="E1613" s="1" t="b">
        <v>0</v>
      </c>
      <c r="F1613" s="1" t="s">
        <v>15541</v>
      </c>
    </row>
    <row r="1614">
      <c r="A1614" s="1">
        <v>49833.0</v>
      </c>
      <c r="B1614" s="1">
        <v>10596.0</v>
      </c>
      <c r="C1614" s="1">
        <v>1.61253819E9</v>
      </c>
      <c r="D1614" s="1">
        <v>4.0</v>
      </c>
      <c r="E1614" s="1" t="b">
        <v>0</v>
      </c>
      <c r="F1614" s="1" t="s">
        <v>15542</v>
      </c>
    </row>
    <row r="1615">
      <c r="A1615" s="1">
        <v>49833.0</v>
      </c>
      <c r="B1615" s="1">
        <v>5620.0</v>
      </c>
      <c r="C1615" s="1">
        <v>1.611503708E9</v>
      </c>
      <c r="D1615" s="1">
        <v>4.0</v>
      </c>
      <c r="E1615" s="1" t="b">
        <v>0</v>
      </c>
      <c r="F1615" s="1" t="s">
        <v>15543</v>
      </c>
    </row>
    <row r="1616">
      <c r="A1616" s="1">
        <v>49833.0</v>
      </c>
      <c r="B1616" s="1">
        <v>5690.0</v>
      </c>
      <c r="C1616" s="1">
        <v>1.611503709E9</v>
      </c>
      <c r="D1616" s="1">
        <v>4.0</v>
      </c>
      <c r="E1616" s="1" t="b">
        <v>0</v>
      </c>
      <c r="F1616" s="1" t="s">
        <v>15544</v>
      </c>
    </row>
    <row r="1617">
      <c r="A1617" s="1">
        <v>49833.0</v>
      </c>
      <c r="B1617" s="1">
        <v>5825.0</v>
      </c>
      <c r="C1617" s="1">
        <v>1.611503711E9</v>
      </c>
      <c r="D1617" s="1">
        <v>4.0</v>
      </c>
      <c r="E1617" s="1" t="b">
        <v>0</v>
      </c>
      <c r="F1617" s="1" t="s">
        <v>15545</v>
      </c>
    </row>
    <row r="1618">
      <c r="A1618" s="1">
        <v>49833.0</v>
      </c>
      <c r="B1618" s="1">
        <v>5872.0</v>
      </c>
      <c r="C1618" s="1">
        <v>1.611503712E9</v>
      </c>
      <c r="D1618" s="1">
        <v>4.0</v>
      </c>
      <c r="E1618" s="1" t="b">
        <v>0</v>
      </c>
      <c r="F1618" s="1" t="s">
        <v>15546</v>
      </c>
    </row>
    <row r="1619">
      <c r="A1619" s="1">
        <v>49833.0</v>
      </c>
      <c r="B1619" s="1">
        <v>7308.0</v>
      </c>
      <c r="C1619" s="1">
        <v>1.611834705E9</v>
      </c>
      <c r="D1619" s="1">
        <v>4.0</v>
      </c>
      <c r="E1619" s="1" t="b">
        <v>0</v>
      </c>
      <c r="F1619" s="1" t="s">
        <v>15547</v>
      </c>
    </row>
    <row r="1620">
      <c r="A1620" s="1">
        <v>49833.0</v>
      </c>
      <c r="B1620" s="1">
        <v>7049.0</v>
      </c>
      <c r="C1620" s="1">
        <v>1.611834706E9</v>
      </c>
      <c r="D1620" s="1">
        <v>4.0</v>
      </c>
      <c r="E1620" s="1" t="b">
        <v>0</v>
      </c>
      <c r="F1620" s="1" t="s">
        <v>15548</v>
      </c>
    </row>
    <row r="1621">
      <c r="A1621" s="1">
        <v>49833.0</v>
      </c>
      <c r="B1621" s="1">
        <v>5583.0</v>
      </c>
      <c r="C1621" s="1">
        <v>1.611503707E9</v>
      </c>
      <c r="D1621" s="1">
        <v>4.0</v>
      </c>
      <c r="E1621" s="1" t="b">
        <v>0</v>
      </c>
      <c r="F1621" s="1" t="s">
        <v>15549</v>
      </c>
    </row>
    <row r="1622">
      <c r="A1622" s="1">
        <v>49833.0</v>
      </c>
      <c r="B1622" s="1">
        <v>5908.0</v>
      </c>
      <c r="C1622" s="1">
        <v>1.611555384E9</v>
      </c>
      <c r="D1622" s="1">
        <v>4.0</v>
      </c>
      <c r="E1622" s="1" t="b">
        <v>0</v>
      </c>
      <c r="F1622" s="1" t="s">
        <v>15550</v>
      </c>
    </row>
    <row r="1623">
      <c r="A1623" s="1">
        <v>49833.0</v>
      </c>
      <c r="B1623" s="1">
        <v>7018.0</v>
      </c>
      <c r="C1623" s="1">
        <v>1.6117643E9</v>
      </c>
      <c r="D1623" s="1">
        <v>4.0</v>
      </c>
      <c r="E1623" s="1" t="b">
        <v>0</v>
      </c>
      <c r="F1623" s="1" t="s">
        <v>15551</v>
      </c>
    </row>
    <row r="1624">
      <c r="A1624" s="1">
        <v>49833.0</v>
      </c>
      <c r="B1624" s="1">
        <v>6063.0</v>
      </c>
      <c r="C1624" s="1">
        <v>1.611559498E9</v>
      </c>
      <c r="D1624" s="1">
        <v>4.0</v>
      </c>
      <c r="E1624" s="1" t="b">
        <v>0</v>
      </c>
      <c r="F1624" s="1" t="s">
        <v>15552</v>
      </c>
    </row>
    <row r="1625">
      <c r="A1625" s="1">
        <v>49833.0</v>
      </c>
      <c r="B1625" s="1">
        <v>7945.0</v>
      </c>
      <c r="C1625" s="1">
        <v>1.611928367E9</v>
      </c>
      <c r="D1625" s="1">
        <v>4.0</v>
      </c>
      <c r="E1625" s="1" t="b">
        <v>0</v>
      </c>
      <c r="F1625" s="1" t="s">
        <v>15384</v>
      </c>
    </row>
    <row r="1626">
      <c r="A1626" s="1">
        <v>49833.0</v>
      </c>
      <c r="B1626" s="1">
        <v>18791.0</v>
      </c>
      <c r="C1626" s="1">
        <v>1.621965521E9</v>
      </c>
      <c r="D1626" s="1">
        <v>4.0</v>
      </c>
      <c r="E1626" s="1" t="b">
        <v>0</v>
      </c>
      <c r="F1626" s="1" t="s">
        <v>15553</v>
      </c>
    </row>
    <row r="1627">
      <c r="A1627" s="1">
        <v>49833.0</v>
      </c>
      <c r="B1627" s="1">
        <v>3906.0</v>
      </c>
      <c r="C1627" s="1">
        <v>1.61088056E9</v>
      </c>
      <c r="D1627" s="1">
        <v>4.0</v>
      </c>
      <c r="E1627" s="1" t="b">
        <v>0</v>
      </c>
      <c r="F1627" s="1" t="s">
        <v>15554</v>
      </c>
    </row>
    <row r="1628">
      <c r="A1628" s="1">
        <v>49833.0</v>
      </c>
      <c r="B1628" s="1">
        <v>3769.0</v>
      </c>
      <c r="C1628" s="1">
        <v>1.610795388E9</v>
      </c>
      <c r="D1628" s="1">
        <v>4.0</v>
      </c>
      <c r="E1628" s="1" t="b">
        <v>0</v>
      </c>
      <c r="F1628" s="1" t="s">
        <v>15555</v>
      </c>
    </row>
    <row r="1629">
      <c r="A1629" s="1">
        <v>49833.0</v>
      </c>
      <c r="B1629" s="1">
        <v>3777.0</v>
      </c>
      <c r="C1629" s="1">
        <v>1.610797521E9</v>
      </c>
      <c r="D1629" s="1">
        <v>4.0</v>
      </c>
      <c r="E1629" s="1" t="b">
        <v>0</v>
      </c>
      <c r="F1629" s="1" t="s">
        <v>15556</v>
      </c>
    </row>
    <row r="1630">
      <c r="A1630" s="1">
        <v>49833.0</v>
      </c>
      <c r="B1630" s="1">
        <v>19727.0</v>
      </c>
      <c r="C1630" s="1">
        <v>1.623222954E9</v>
      </c>
      <c r="D1630" s="1">
        <v>4.0</v>
      </c>
      <c r="E1630" s="1" t="b">
        <v>0</v>
      </c>
      <c r="F1630" s="1" t="s">
        <v>15557</v>
      </c>
    </row>
    <row r="1631">
      <c r="A1631" s="1">
        <v>49833.0</v>
      </c>
      <c r="B1631" s="1">
        <v>12529.0</v>
      </c>
      <c r="C1631" s="1">
        <v>1.613013015E9</v>
      </c>
      <c r="D1631" s="1">
        <v>4.0</v>
      </c>
      <c r="E1631" s="1" t="b">
        <v>0</v>
      </c>
      <c r="F1631" s="1" t="s">
        <v>15558</v>
      </c>
    </row>
    <row r="1632">
      <c r="A1632" s="1">
        <v>49833.0</v>
      </c>
      <c r="B1632" s="1">
        <v>4133.0</v>
      </c>
      <c r="C1632" s="1">
        <v>1.61100048E9</v>
      </c>
      <c r="D1632" s="1">
        <v>4.0</v>
      </c>
      <c r="E1632" s="1" t="b">
        <v>0</v>
      </c>
      <c r="F1632" s="1" t="s">
        <v>15559</v>
      </c>
    </row>
    <row r="1633">
      <c r="A1633" s="1">
        <v>49833.0</v>
      </c>
      <c r="B1633" s="1">
        <v>3925.0</v>
      </c>
      <c r="C1633" s="1">
        <v>1.610885805E9</v>
      </c>
      <c r="D1633" s="1">
        <v>4.0</v>
      </c>
      <c r="E1633" s="1" t="b">
        <v>0</v>
      </c>
      <c r="F1633" s="1" t="s">
        <v>15560</v>
      </c>
    </row>
    <row r="1634">
      <c r="A1634" s="1">
        <v>49833.0</v>
      </c>
      <c r="B1634" s="1">
        <v>3950.0</v>
      </c>
      <c r="C1634" s="1">
        <v>1.61089737E9</v>
      </c>
      <c r="D1634" s="1">
        <v>4.0</v>
      </c>
      <c r="E1634" s="1" t="b">
        <v>0</v>
      </c>
      <c r="F1634" s="1" t="s">
        <v>15561</v>
      </c>
    </row>
    <row r="1635">
      <c r="A1635" s="1">
        <v>49833.0</v>
      </c>
      <c r="B1635" s="1">
        <v>6080.0</v>
      </c>
      <c r="C1635" s="1">
        <v>1.611565827E9</v>
      </c>
      <c r="D1635" s="1">
        <v>4.0</v>
      </c>
      <c r="E1635" s="1" t="b">
        <v>0</v>
      </c>
      <c r="F1635" s="1" t="s">
        <v>15562</v>
      </c>
    </row>
    <row r="1636">
      <c r="A1636" s="1">
        <v>49833.0</v>
      </c>
      <c r="B1636" s="1">
        <v>4808.0</v>
      </c>
      <c r="C1636" s="1">
        <v>1.611233484E9</v>
      </c>
      <c r="D1636" s="1">
        <v>4.0</v>
      </c>
      <c r="E1636" s="1" t="b">
        <v>0</v>
      </c>
      <c r="F1636" s="1" t="s">
        <v>15563</v>
      </c>
    </row>
    <row r="1637">
      <c r="A1637" s="1">
        <v>49833.0</v>
      </c>
      <c r="B1637" s="1">
        <v>9580.0</v>
      </c>
      <c r="C1637" s="1">
        <v>1.612323976E9</v>
      </c>
      <c r="D1637" s="1">
        <v>4.0</v>
      </c>
      <c r="E1637" s="1" t="b">
        <v>0</v>
      </c>
      <c r="F1637" s="1" t="s">
        <v>15564</v>
      </c>
    </row>
    <row r="1638">
      <c r="A1638" s="1">
        <v>49833.0</v>
      </c>
      <c r="B1638" s="1">
        <v>3880.0</v>
      </c>
      <c r="C1638" s="1">
        <v>1.610861735E9</v>
      </c>
      <c r="D1638" s="1">
        <v>4.0</v>
      </c>
      <c r="E1638" s="1" t="b">
        <v>0</v>
      </c>
      <c r="F1638" s="1" t="s">
        <v>15565</v>
      </c>
    </row>
    <row r="1639">
      <c r="A1639" s="1">
        <v>49833.0</v>
      </c>
      <c r="B1639" s="1">
        <v>4089.0</v>
      </c>
      <c r="C1639" s="1">
        <v>1.611035761E9</v>
      </c>
      <c r="D1639" s="1">
        <v>4.0</v>
      </c>
      <c r="E1639" s="1" t="b">
        <v>0</v>
      </c>
      <c r="F1639" s="1" t="s">
        <v>15566</v>
      </c>
    </row>
    <row r="1640">
      <c r="A1640" s="1">
        <v>49833.0</v>
      </c>
      <c r="B1640" s="1">
        <v>4179.0</v>
      </c>
      <c r="C1640" s="1">
        <v>1.611035759E9</v>
      </c>
      <c r="D1640" s="1">
        <v>4.0</v>
      </c>
      <c r="E1640" s="1" t="b">
        <v>0</v>
      </c>
      <c r="F1640" s="1" t="s">
        <v>15567</v>
      </c>
    </row>
    <row r="1641">
      <c r="A1641" s="1">
        <v>49833.0</v>
      </c>
      <c r="B1641" s="1">
        <v>3923.0</v>
      </c>
      <c r="C1641" s="1">
        <v>1.610885808E9</v>
      </c>
      <c r="D1641" s="1">
        <v>4.0</v>
      </c>
      <c r="E1641" s="1" t="b">
        <v>0</v>
      </c>
      <c r="F1641" s="1" t="s">
        <v>15568</v>
      </c>
    </row>
    <row r="1642">
      <c r="A1642" s="1">
        <v>49833.0</v>
      </c>
      <c r="B1642" s="1">
        <v>3960.0</v>
      </c>
      <c r="C1642" s="1">
        <v>1.610898233E9</v>
      </c>
      <c r="D1642" s="1">
        <v>4.0</v>
      </c>
      <c r="E1642" s="1" t="b">
        <v>0</v>
      </c>
      <c r="F1642" s="1" t="s">
        <v>15569</v>
      </c>
    </row>
    <row r="1643">
      <c r="A1643" s="1">
        <v>49833.0</v>
      </c>
      <c r="B1643" s="1">
        <v>6477.0</v>
      </c>
      <c r="C1643" s="1">
        <v>1.611750853E9</v>
      </c>
      <c r="D1643" s="1">
        <v>4.0</v>
      </c>
      <c r="E1643" s="1" t="b">
        <v>0</v>
      </c>
      <c r="F1643" s="1" t="s">
        <v>14912</v>
      </c>
    </row>
    <row r="1644">
      <c r="A1644" s="1">
        <v>49833.0</v>
      </c>
      <c r="B1644" s="1">
        <v>6547.0</v>
      </c>
      <c r="C1644" s="1">
        <v>1.611750854E9</v>
      </c>
      <c r="D1644" s="1">
        <v>4.0</v>
      </c>
      <c r="E1644" s="1" t="b">
        <v>0</v>
      </c>
      <c r="F1644" s="1" t="s">
        <v>15570</v>
      </c>
    </row>
    <row r="1645">
      <c r="A1645" s="1">
        <v>49833.0</v>
      </c>
      <c r="B1645" s="1">
        <v>12093.0</v>
      </c>
      <c r="C1645" s="1">
        <v>1.612904214E9</v>
      </c>
      <c r="D1645" s="1">
        <v>4.0</v>
      </c>
      <c r="E1645" s="1" t="b">
        <v>0</v>
      </c>
      <c r="F1645" s="1" t="s">
        <v>15571</v>
      </c>
    </row>
    <row r="1646">
      <c r="A1646" s="1">
        <v>49833.0</v>
      </c>
      <c r="B1646" s="1">
        <v>6814.0</v>
      </c>
      <c r="C1646" s="1">
        <v>1.611750833E9</v>
      </c>
      <c r="D1646" s="1">
        <v>4.0</v>
      </c>
      <c r="E1646" s="1" t="b">
        <v>0</v>
      </c>
      <c r="F1646" s="1" t="s">
        <v>15572</v>
      </c>
    </row>
    <row r="1647">
      <c r="A1647" s="1">
        <v>49833.0</v>
      </c>
      <c r="B1647" s="1">
        <v>8272.0</v>
      </c>
      <c r="C1647" s="1">
        <v>1.611999195E9</v>
      </c>
      <c r="D1647" s="1">
        <v>4.0</v>
      </c>
      <c r="E1647" s="1" t="b">
        <v>0</v>
      </c>
      <c r="F1647" s="1" t="s">
        <v>15573</v>
      </c>
    </row>
    <row r="1648">
      <c r="A1648" s="1">
        <v>49833.0</v>
      </c>
      <c r="B1648" s="1">
        <v>8649.0</v>
      </c>
      <c r="C1648" s="1">
        <v>1.61202931E9</v>
      </c>
      <c r="D1648" s="1">
        <v>4.0</v>
      </c>
      <c r="E1648" s="1" t="b">
        <v>0</v>
      </c>
      <c r="F1648" s="1" t="s">
        <v>15574</v>
      </c>
    </row>
    <row r="1649">
      <c r="A1649" s="1">
        <v>49833.0</v>
      </c>
      <c r="B1649" s="1">
        <v>5518.0</v>
      </c>
      <c r="C1649" s="1">
        <v>1.611503713E9</v>
      </c>
      <c r="D1649" s="1">
        <v>4.0</v>
      </c>
      <c r="E1649" s="1" t="b">
        <v>0</v>
      </c>
      <c r="F1649" s="1" t="s">
        <v>15575</v>
      </c>
    </row>
    <row r="1650">
      <c r="A1650" s="1">
        <v>49833.0</v>
      </c>
      <c r="B1650" s="1">
        <v>7151.0</v>
      </c>
      <c r="C1650" s="1">
        <v>1.611834711E9</v>
      </c>
      <c r="D1650" s="1">
        <v>4.0</v>
      </c>
      <c r="E1650" s="1" t="b">
        <v>0</v>
      </c>
      <c r="F1650" s="1" t="s">
        <v>15576</v>
      </c>
    </row>
    <row r="1651">
      <c r="A1651" s="1">
        <v>49833.0</v>
      </c>
      <c r="B1651" s="1">
        <v>6818.0</v>
      </c>
      <c r="C1651" s="1">
        <v>1.611750829E9</v>
      </c>
      <c r="D1651" s="1">
        <v>4.0</v>
      </c>
      <c r="E1651" s="1" t="b">
        <v>0</v>
      </c>
      <c r="F1651" s="1" t="s">
        <v>15577</v>
      </c>
    </row>
    <row r="1652">
      <c r="A1652" s="1">
        <v>49833.0</v>
      </c>
      <c r="B1652" s="1">
        <v>6355.0</v>
      </c>
      <c r="C1652" s="1">
        <v>1.611686172E9</v>
      </c>
      <c r="D1652" s="1">
        <v>4.0</v>
      </c>
      <c r="E1652" s="1" t="b">
        <v>0</v>
      </c>
      <c r="F1652" s="1" t="s">
        <v>15578</v>
      </c>
    </row>
    <row r="1653">
      <c r="A1653" s="1">
        <v>49833.0</v>
      </c>
      <c r="B1653" s="1">
        <v>6248.0</v>
      </c>
      <c r="C1653" s="1">
        <v>1.622096373E9</v>
      </c>
      <c r="D1653" s="1">
        <v>4.0</v>
      </c>
      <c r="E1653" s="1" t="b">
        <v>0</v>
      </c>
      <c r="F1653" s="1" t="s">
        <v>15579</v>
      </c>
    </row>
    <row r="1654">
      <c r="A1654" s="1">
        <v>49833.0</v>
      </c>
      <c r="B1654" s="1">
        <v>10682.0</v>
      </c>
      <c r="C1654" s="1">
        <v>1.612539645E9</v>
      </c>
      <c r="D1654" s="1">
        <v>4.0</v>
      </c>
      <c r="E1654" s="1" t="b">
        <v>0</v>
      </c>
      <c r="F1654" s="1" t="s">
        <v>15580</v>
      </c>
    </row>
    <row r="1655">
      <c r="A1655" s="1">
        <v>49833.0</v>
      </c>
      <c r="B1655" s="1">
        <v>7419.0</v>
      </c>
      <c r="C1655" s="1">
        <v>1.611837734E9</v>
      </c>
      <c r="D1655" s="1">
        <v>4.0</v>
      </c>
      <c r="E1655" s="1" t="b">
        <v>0</v>
      </c>
      <c r="F1655" s="1" t="s">
        <v>15581</v>
      </c>
    </row>
    <row r="1656">
      <c r="A1656" s="1">
        <v>49833.0</v>
      </c>
      <c r="B1656" s="1">
        <v>6058.0</v>
      </c>
      <c r="C1656" s="1">
        <v>1.611597695E9</v>
      </c>
      <c r="D1656" s="1">
        <v>4.0</v>
      </c>
      <c r="E1656" s="1" t="b">
        <v>0</v>
      </c>
      <c r="F1656" s="1" t="s">
        <v>15582</v>
      </c>
    </row>
    <row r="1657">
      <c r="A1657" s="1">
        <v>49833.0</v>
      </c>
      <c r="B1657" s="1">
        <v>3780.0</v>
      </c>
      <c r="C1657" s="1">
        <v>1.610798622E9</v>
      </c>
      <c r="D1657" s="1">
        <v>4.0</v>
      </c>
      <c r="E1657" s="1" t="b">
        <v>0</v>
      </c>
      <c r="F1657" s="1" t="s">
        <v>15583</v>
      </c>
    </row>
    <row r="1658">
      <c r="A1658" s="1">
        <v>49833.0</v>
      </c>
      <c r="B1658" s="1">
        <v>3785.0</v>
      </c>
      <c r="C1658" s="1">
        <v>1.61080149E9</v>
      </c>
      <c r="D1658" s="1">
        <v>4.0</v>
      </c>
      <c r="E1658" s="1" t="b">
        <v>0</v>
      </c>
      <c r="F1658" s="1" t="s">
        <v>15584</v>
      </c>
    </row>
    <row r="1659">
      <c r="A1659" s="1">
        <v>49833.0</v>
      </c>
      <c r="B1659" s="1">
        <v>4039.0</v>
      </c>
      <c r="C1659" s="1">
        <v>1.610970662E9</v>
      </c>
      <c r="D1659" s="1">
        <v>4.0</v>
      </c>
      <c r="E1659" s="1" t="b">
        <v>0</v>
      </c>
      <c r="F1659" s="1" t="s">
        <v>15585</v>
      </c>
    </row>
    <row r="1660">
      <c r="A1660" s="1">
        <v>49833.0</v>
      </c>
      <c r="B1660" s="1">
        <v>4230.0</v>
      </c>
      <c r="C1660" s="1">
        <v>1.611053544E9</v>
      </c>
      <c r="D1660" s="1">
        <v>4.0</v>
      </c>
      <c r="E1660" s="1" t="b">
        <v>0</v>
      </c>
      <c r="F1660" s="1" t="s">
        <v>15586</v>
      </c>
    </row>
    <row r="1661">
      <c r="A1661" s="1">
        <v>49833.0</v>
      </c>
      <c r="B1661" s="1">
        <v>4126.0</v>
      </c>
      <c r="C1661" s="1">
        <v>1.610993771E9</v>
      </c>
      <c r="D1661" s="1">
        <v>4.0</v>
      </c>
      <c r="E1661" s="1" t="b">
        <v>0</v>
      </c>
      <c r="F1661" s="1" t="s">
        <v>15587</v>
      </c>
    </row>
    <row r="1662">
      <c r="A1662" s="1">
        <v>49833.0</v>
      </c>
      <c r="B1662" s="1">
        <v>4260.0</v>
      </c>
      <c r="C1662" s="1">
        <v>1.611059113E9</v>
      </c>
      <c r="D1662" s="1">
        <v>4.0</v>
      </c>
      <c r="E1662" s="1" t="b">
        <v>0</v>
      </c>
      <c r="F1662" s="1" t="s">
        <v>15588</v>
      </c>
    </row>
    <row r="1663">
      <c r="A1663" s="1">
        <v>49833.0</v>
      </c>
      <c r="B1663" s="1">
        <v>19653.0</v>
      </c>
      <c r="C1663" s="1">
        <v>1.623107226E9</v>
      </c>
      <c r="D1663" s="1">
        <v>4.0</v>
      </c>
      <c r="E1663" s="1" t="b">
        <v>0</v>
      </c>
      <c r="F1663" s="1" t="s">
        <v>15589</v>
      </c>
    </row>
    <row r="1664">
      <c r="A1664" s="1">
        <v>49833.0</v>
      </c>
      <c r="B1664" s="1">
        <v>4248.0</v>
      </c>
      <c r="C1664" s="1">
        <v>1.611054363E9</v>
      </c>
      <c r="D1664" s="1">
        <v>4.0</v>
      </c>
      <c r="E1664" s="1" t="b">
        <v>0</v>
      </c>
      <c r="F1664" s="1" t="s">
        <v>15590</v>
      </c>
    </row>
    <row r="1665">
      <c r="A1665" s="1">
        <v>49833.0</v>
      </c>
      <c r="B1665" s="1">
        <v>3908.0</v>
      </c>
      <c r="C1665" s="1">
        <v>1.610880563E9</v>
      </c>
      <c r="D1665" s="1">
        <v>4.0</v>
      </c>
      <c r="E1665" s="1" t="b">
        <v>0</v>
      </c>
      <c r="F1665" s="1" t="s">
        <v>15591</v>
      </c>
    </row>
    <row r="1666">
      <c r="A1666" s="1">
        <v>49833.0</v>
      </c>
      <c r="B1666" s="1">
        <v>3937.0</v>
      </c>
      <c r="C1666" s="1">
        <v>1.610892335E9</v>
      </c>
      <c r="D1666" s="1">
        <v>4.0</v>
      </c>
      <c r="E1666" s="1" t="b">
        <v>0</v>
      </c>
      <c r="F1666" s="1" t="s">
        <v>15592</v>
      </c>
    </row>
    <row r="1667">
      <c r="A1667" s="1">
        <v>49833.0</v>
      </c>
      <c r="B1667" s="1">
        <v>4244.0</v>
      </c>
      <c r="C1667" s="1">
        <v>1.611053546E9</v>
      </c>
      <c r="D1667" s="1">
        <v>4.0</v>
      </c>
      <c r="E1667" s="1" t="b">
        <v>0</v>
      </c>
      <c r="F1667" s="1" t="s">
        <v>15593</v>
      </c>
    </row>
    <row r="1668">
      <c r="A1668" s="1">
        <v>49833.0</v>
      </c>
      <c r="B1668" s="1">
        <v>6492.0</v>
      </c>
      <c r="C1668" s="1">
        <v>1.611764317E9</v>
      </c>
      <c r="D1668" s="1">
        <v>4.0</v>
      </c>
      <c r="E1668" s="1" t="b">
        <v>0</v>
      </c>
      <c r="F1668" s="1" t="s">
        <v>15594</v>
      </c>
    </row>
    <row r="1669">
      <c r="A1669" s="1">
        <v>49833.0</v>
      </c>
      <c r="B1669" s="1">
        <v>12852.0</v>
      </c>
      <c r="C1669" s="1">
        <v>1.613099833E9</v>
      </c>
      <c r="D1669" s="1">
        <v>4.0</v>
      </c>
      <c r="E1669" s="1" t="b">
        <v>0</v>
      </c>
      <c r="F1669" s="1" t="s">
        <v>15595</v>
      </c>
    </row>
    <row r="1670">
      <c r="A1670" s="1">
        <v>49833.0</v>
      </c>
      <c r="B1670" s="1">
        <v>12913.0</v>
      </c>
      <c r="C1670" s="1">
        <v>1.613115358E9</v>
      </c>
      <c r="D1670" s="1">
        <v>4.0</v>
      </c>
      <c r="E1670" s="1" t="b">
        <v>0</v>
      </c>
      <c r="F1670" s="1" t="s">
        <v>15596</v>
      </c>
    </row>
    <row r="1671">
      <c r="A1671" s="1">
        <v>49833.0</v>
      </c>
      <c r="B1671" s="1">
        <v>4063.0</v>
      </c>
      <c r="C1671" s="1">
        <v>1.610983501E9</v>
      </c>
      <c r="D1671" s="1">
        <v>4.0</v>
      </c>
      <c r="E1671" s="1" t="b">
        <v>0</v>
      </c>
      <c r="F1671" s="1" t="s">
        <v>15597</v>
      </c>
    </row>
    <row r="1672">
      <c r="A1672" s="1">
        <v>49833.0</v>
      </c>
      <c r="B1672" s="1">
        <v>5669.0</v>
      </c>
      <c r="C1672" s="1">
        <v>1.611469744E9</v>
      </c>
      <c r="D1672" s="1">
        <v>4.0</v>
      </c>
      <c r="E1672" s="1" t="b">
        <v>0</v>
      </c>
      <c r="F1672" s="1" t="s">
        <v>15598</v>
      </c>
    </row>
    <row r="1673">
      <c r="A1673" s="1">
        <v>49833.0</v>
      </c>
      <c r="B1673" s="1">
        <v>12531.0</v>
      </c>
      <c r="C1673" s="1">
        <v>1.613013017E9</v>
      </c>
      <c r="D1673" s="1">
        <v>4.0</v>
      </c>
      <c r="E1673" s="1" t="b">
        <v>0</v>
      </c>
      <c r="F1673" s="1" t="s">
        <v>15599</v>
      </c>
    </row>
    <row r="1674">
      <c r="A1674" s="1">
        <v>49833.0</v>
      </c>
      <c r="B1674" s="1">
        <v>5581.0</v>
      </c>
      <c r="C1674" s="1">
        <v>1.611503714E9</v>
      </c>
      <c r="D1674" s="1">
        <v>4.0</v>
      </c>
      <c r="E1674" s="1" t="b">
        <v>0</v>
      </c>
      <c r="F1674" s="1" t="s">
        <v>15600</v>
      </c>
    </row>
    <row r="1675">
      <c r="A1675" s="1">
        <v>49833.0</v>
      </c>
      <c r="B1675" s="1">
        <v>16719.0</v>
      </c>
      <c r="C1675" s="1">
        <v>1.617867748E9</v>
      </c>
      <c r="D1675" s="1">
        <v>4.0</v>
      </c>
      <c r="E1675" s="1" t="b">
        <v>0</v>
      </c>
      <c r="F1675" s="1" t="s">
        <v>15601</v>
      </c>
    </row>
    <row r="1676">
      <c r="A1676" s="1">
        <v>49833.0</v>
      </c>
      <c r="B1676" s="1">
        <v>5622.0</v>
      </c>
      <c r="C1676" s="1">
        <v>1.611503717E9</v>
      </c>
      <c r="D1676" s="1">
        <v>4.0</v>
      </c>
      <c r="E1676" s="1" t="b">
        <v>0</v>
      </c>
      <c r="F1676" s="1" t="s">
        <v>15602</v>
      </c>
    </row>
    <row r="1677">
      <c r="A1677" s="1">
        <v>49833.0</v>
      </c>
      <c r="B1677" s="1">
        <v>6830.0</v>
      </c>
      <c r="C1677" s="1">
        <v>1.611750835E9</v>
      </c>
      <c r="D1677" s="1">
        <v>4.0</v>
      </c>
      <c r="E1677" s="1" t="b">
        <v>0</v>
      </c>
      <c r="F1677" s="1" t="s">
        <v>15603</v>
      </c>
    </row>
    <row r="1678">
      <c r="A1678" s="1">
        <v>49833.0</v>
      </c>
      <c r="B1678" s="1">
        <v>4255.0</v>
      </c>
      <c r="C1678" s="1">
        <v>1.611057118E9</v>
      </c>
      <c r="D1678" s="1">
        <v>4.0</v>
      </c>
      <c r="E1678" s="1" t="b">
        <v>0</v>
      </c>
      <c r="F1678" s="1" t="s">
        <v>15604</v>
      </c>
    </row>
    <row r="1679">
      <c r="A1679" s="1">
        <v>49833.0</v>
      </c>
      <c r="B1679" s="1">
        <v>6478.0</v>
      </c>
      <c r="C1679" s="1">
        <v>1.611750856E9</v>
      </c>
      <c r="D1679" s="1">
        <v>4.0</v>
      </c>
      <c r="E1679" s="1" t="b">
        <v>0</v>
      </c>
      <c r="F1679" s="1" t="s">
        <v>15605</v>
      </c>
    </row>
    <row r="1680">
      <c r="A1680" s="1">
        <v>49833.0</v>
      </c>
      <c r="B1680" s="1">
        <v>6548.0</v>
      </c>
      <c r="C1680" s="1">
        <v>1.611750857E9</v>
      </c>
      <c r="D1680" s="1">
        <v>4.0</v>
      </c>
      <c r="E1680" s="1" t="b">
        <v>0</v>
      </c>
      <c r="F1680" s="1" t="s">
        <v>15606</v>
      </c>
    </row>
    <row r="1681">
      <c r="A1681" s="1">
        <v>49833.0</v>
      </c>
      <c r="B1681" s="1">
        <v>4239.0</v>
      </c>
      <c r="C1681" s="1">
        <v>1.611053541E9</v>
      </c>
      <c r="D1681" s="1">
        <v>4.0</v>
      </c>
      <c r="E1681" s="1" t="b">
        <v>0</v>
      </c>
      <c r="F1681" s="1" t="s">
        <v>15607</v>
      </c>
    </row>
    <row r="1682">
      <c r="A1682" s="1">
        <v>49833.0</v>
      </c>
      <c r="B1682" s="1">
        <v>4333.0</v>
      </c>
      <c r="C1682" s="1">
        <v>1.611074274E9</v>
      </c>
      <c r="D1682" s="1">
        <v>4.0</v>
      </c>
      <c r="E1682" s="1" t="b">
        <v>0</v>
      </c>
      <c r="F1682" s="1" t="s">
        <v>15608</v>
      </c>
    </row>
    <row r="1683">
      <c r="A1683" s="1">
        <v>49833.0</v>
      </c>
      <c r="B1683" s="1">
        <v>4359.0</v>
      </c>
      <c r="C1683" s="1">
        <v>1.611117517E9</v>
      </c>
      <c r="D1683" s="1">
        <v>4.0</v>
      </c>
      <c r="E1683" s="1" t="b">
        <v>0</v>
      </c>
      <c r="F1683" s="1" t="s">
        <v>15609</v>
      </c>
    </row>
    <row r="1684">
      <c r="A1684" s="1">
        <v>49833.0</v>
      </c>
      <c r="B1684" s="1">
        <v>6758.0</v>
      </c>
      <c r="C1684" s="1">
        <v>1.611750837E9</v>
      </c>
      <c r="D1684" s="1">
        <v>4.0</v>
      </c>
      <c r="E1684" s="1" t="b">
        <v>0</v>
      </c>
      <c r="F1684" s="1" t="s">
        <v>15610</v>
      </c>
    </row>
    <row r="1685">
      <c r="A1685" s="1">
        <v>49833.0</v>
      </c>
      <c r="B1685" s="1">
        <v>8402.0</v>
      </c>
      <c r="C1685" s="1">
        <v>1.611999181E9</v>
      </c>
      <c r="D1685" s="1">
        <v>4.0</v>
      </c>
      <c r="E1685" s="1" t="b">
        <v>0</v>
      </c>
      <c r="F1685" s="1" t="s">
        <v>15611</v>
      </c>
    </row>
    <row r="1686">
      <c r="A1686" s="1">
        <v>49833.0</v>
      </c>
      <c r="B1686" s="1">
        <v>6606.0</v>
      </c>
      <c r="C1686" s="1">
        <v>1.611764318E9</v>
      </c>
      <c r="D1686" s="1">
        <v>4.0</v>
      </c>
      <c r="E1686" s="1" t="b">
        <v>0</v>
      </c>
      <c r="F1686" s="1" t="s">
        <v>15612</v>
      </c>
    </row>
    <row r="1687">
      <c r="A1687" s="1">
        <v>49833.0</v>
      </c>
      <c r="B1687" s="1">
        <v>6965.0</v>
      </c>
      <c r="C1687" s="1">
        <v>1.611764334E9</v>
      </c>
      <c r="D1687" s="1">
        <v>4.0</v>
      </c>
      <c r="E1687" s="1" t="b">
        <v>0</v>
      </c>
      <c r="F1687" s="1" t="s">
        <v>15613</v>
      </c>
    </row>
    <row r="1688">
      <c r="A1688" s="1">
        <v>49833.0</v>
      </c>
      <c r="B1688" s="1">
        <v>7314.0</v>
      </c>
      <c r="C1688" s="1">
        <v>1.611835576E9</v>
      </c>
      <c r="D1688" s="1">
        <v>4.0</v>
      </c>
      <c r="E1688" s="1" t="b">
        <v>0</v>
      </c>
      <c r="F1688" s="1" t="s">
        <v>15614</v>
      </c>
    </row>
    <row r="1689">
      <c r="A1689" s="1">
        <v>49833.0</v>
      </c>
      <c r="B1689" s="1">
        <v>4170.0</v>
      </c>
      <c r="C1689" s="1">
        <v>1.611035727E9</v>
      </c>
      <c r="D1689" s="1">
        <v>4.0</v>
      </c>
      <c r="E1689" s="1" t="b">
        <v>0</v>
      </c>
      <c r="F1689" s="1" t="s">
        <v>15615</v>
      </c>
    </row>
    <row r="1690">
      <c r="A1690" s="1">
        <v>49833.0</v>
      </c>
      <c r="B1690" s="1">
        <v>4155.0</v>
      </c>
      <c r="C1690" s="1">
        <v>1.611035723E9</v>
      </c>
      <c r="D1690" s="1">
        <v>4.0</v>
      </c>
      <c r="E1690" s="1" t="b">
        <v>0</v>
      </c>
      <c r="F1690" s="1" t="s">
        <v>15350</v>
      </c>
    </row>
    <row r="1691">
      <c r="A1691" s="1">
        <v>49833.0</v>
      </c>
      <c r="B1691" s="1">
        <v>4251.0</v>
      </c>
      <c r="C1691" s="1">
        <v>1.61105513E9</v>
      </c>
      <c r="D1691" s="1">
        <v>4.0</v>
      </c>
      <c r="E1691" s="1" t="b">
        <v>0</v>
      </c>
      <c r="F1691" s="1" t="s">
        <v>15616</v>
      </c>
    </row>
    <row r="1692">
      <c r="A1692" s="1">
        <v>49833.0</v>
      </c>
      <c r="B1692" s="1">
        <v>7439.0</v>
      </c>
      <c r="C1692" s="1">
        <v>1.611839434E9</v>
      </c>
      <c r="D1692" s="1">
        <v>4.0</v>
      </c>
      <c r="E1692" s="1" t="b">
        <v>0</v>
      </c>
      <c r="F1692" s="1" t="s">
        <v>15617</v>
      </c>
    </row>
    <row r="1693">
      <c r="A1693" s="1">
        <v>49833.0</v>
      </c>
      <c r="B1693" s="1">
        <v>11238.0</v>
      </c>
      <c r="C1693" s="1">
        <v>1.612731393E9</v>
      </c>
      <c r="D1693" s="1">
        <v>4.0</v>
      </c>
      <c r="E1693" s="1" t="b">
        <v>0</v>
      </c>
      <c r="F1693" s="1" t="s">
        <v>15618</v>
      </c>
    </row>
    <row r="1694">
      <c r="A1694" s="1">
        <v>49833.0</v>
      </c>
      <c r="B1694" s="1">
        <v>12260.0</v>
      </c>
      <c r="C1694" s="1">
        <v>1.612943278E9</v>
      </c>
      <c r="D1694" s="1">
        <v>4.0</v>
      </c>
      <c r="E1694" s="1" t="b">
        <v>0</v>
      </c>
      <c r="F1694" s="1" t="s">
        <v>15619</v>
      </c>
    </row>
    <row r="1695">
      <c r="A1695" s="1">
        <v>49833.0</v>
      </c>
      <c r="B1695" s="1">
        <v>4204.0</v>
      </c>
      <c r="C1695" s="1">
        <v>1.611053547E9</v>
      </c>
      <c r="D1695" s="1">
        <v>4.0</v>
      </c>
      <c r="E1695" s="1" t="b">
        <v>0</v>
      </c>
      <c r="F1695" s="1" t="s">
        <v>15620</v>
      </c>
    </row>
    <row r="1696">
      <c r="A1696" s="1">
        <v>49833.0</v>
      </c>
      <c r="B1696" s="1">
        <v>3770.0</v>
      </c>
      <c r="C1696" s="1">
        <v>1.610795385E9</v>
      </c>
      <c r="D1696" s="1">
        <v>4.0</v>
      </c>
      <c r="E1696" s="1" t="b">
        <v>0</v>
      </c>
      <c r="F1696" s="1" t="s">
        <v>15621</v>
      </c>
    </row>
    <row r="1697">
      <c r="A1697" s="1">
        <v>49833.0</v>
      </c>
      <c r="B1697" s="1">
        <v>8733.0</v>
      </c>
      <c r="C1697" s="1">
        <v>1.612029318E9</v>
      </c>
      <c r="D1697" s="1">
        <v>4.0</v>
      </c>
      <c r="E1697" s="1" t="b">
        <v>0</v>
      </c>
      <c r="F1697" s="1" t="s">
        <v>15622</v>
      </c>
    </row>
    <row r="1698">
      <c r="A1698" s="1">
        <v>49833.0</v>
      </c>
      <c r="B1698" s="1">
        <v>12804.0</v>
      </c>
      <c r="C1698" s="1">
        <v>1.613099838E9</v>
      </c>
      <c r="D1698" s="1">
        <v>4.0</v>
      </c>
      <c r="E1698" s="1" t="b">
        <v>0</v>
      </c>
      <c r="F1698" s="1" t="s">
        <v>15623</v>
      </c>
    </row>
    <row r="1699">
      <c r="A1699" s="1">
        <v>49833.0</v>
      </c>
      <c r="B1699" s="1">
        <v>4256.0</v>
      </c>
      <c r="C1699" s="1">
        <v>1.61105712E9</v>
      </c>
      <c r="D1699" s="1">
        <v>4.0</v>
      </c>
      <c r="E1699" s="1" t="b">
        <v>0</v>
      </c>
      <c r="F1699" s="1" t="s">
        <v>15624</v>
      </c>
    </row>
    <row r="1700">
      <c r="A1700" s="1">
        <v>49833.0</v>
      </c>
      <c r="B1700" s="1">
        <v>12522.0</v>
      </c>
      <c r="C1700" s="1">
        <v>1.613013018E9</v>
      </c>
      <c r="D1700" s="1">
        <v>4.0</v>
      </c>
      <c r="E1700" s="1" t="b">
        <v>0</v>
      </c>
      <c r="F1700" s="1" t="s">
        <v>15625</v>
      </c>
    </row>
    <row r="1701">
      <c r="A1701" s="1">
        <v>49833.0</v>
      </c>
      <c r="B1701" s="1">
        <v>4132.0</v>
      </c>
      <c r="C1701" s="1">
        <v>1.611000482E9</v>
      </c>
      <c r="D1701" s="1">
        <v>4.0</v>
      </c>
      <c r="E1701" s="1" t="b">
        <v>0</v>
      </c>
      <c r="F1701" s="1" t="s">
        <v>15626</v>
      </c>
    </row>
    <row r="1702">
      <c r="A1702" s="1">
        <v>49833.0</v>
      </c>
      <c r="B1702" s="1">
        <v>4075.0</v>
      </c>
      <c r="C1702" s="1">
        <v>1.610993646E9</v>
      </c>
      <c r="D1702" s="1">
        <v>4.0</v>
      </c>
      <c r="E1702" s="1" t="b">
        <v>0</v>
      </c>
      <c r="F1702" s="1" t="s">
        <v>15627</v>
      </c>
    </row>
    <row r="1703">
      <c r="A1703" s="1">
        <v>49833.0</v>
      </c>
      <c r="B1703" s="1">
        <v>12789.0</v>
      </c>
      <c r="C1703" s="1">
        <v>1.613099839E9</v>
      </c>
      <c r="D1703" s="1">
        <v>4.0</v>
      </c>
      <c r="E1703" s="1" t="b">
        <v>0</v>
      </c>
      <c r="F1703" s="1" t="s">
        <v>15628</v>
      </c>
    </row>
    <row r="1704">
      <c r="A1704" s="1">
        <v>49833.0</v>
      </c>
      <c r="B1704" s="1">
        <v>8953.0</v>
      </c>
      <c r="C1704" s="1">
        <v>1.612092426E9</v>
      </c>
      <c r="D1704" s="1">
        <v>4.0</v>
      </c>
      <c r="E1704" s="1" t="b">
        <v>0</v>
      </c>
      <c r="F1704" s="1" t="s">
        <v>14141</v>
      </c>
    </row>
    <row r="1705">
      <c r="A1705" s="1">
        <v>49833.0</v>
      </c>
      <c r="B1705" s="1">
        <v>4233.0</v>
      </c>
      <c r="C1705" s="1">
        <v>1.611053551E9</v>
      </c>
      <c r="D1705" s="1">
        <v>4.0</v>
      </c>
      <c r="E1705" s="1" t="b">
        <v>0</v>
      </c>
      <c r="F1705" s="1" t="s">
        <v>15629</v>
      </c>
    </row>
    <row r="1706">
      <c r="A1706" s="1">
        <v>49833.0</v>
      </c>
      <c r="B1706" s="1">
        <v>4322.0</v>
      </c>
      <c r="C1706" s="1">
        <v>1.611073132E9</v>
      </c>
      <c r="D1706" s="1">
        <v>4.0</v>
      </c>
      <c r="E1706" s="1" t="b">
        <v>0</v>
      </c>
      <c r="F1706" s="1" t="s">
        <v>15630</v>
      </c>
    </row>
    <row r="1707">
      <c r="A1707" s="1">
        <v>49833.0</v>
      </c>
      <c r="B1707" s="1">
        <v>4645.0</v>
      </c>
      <c r="C1707" s="1">
        <v>1.611206333E9</v>
      </c>
      <c r="D1707" s="1">
        <v>4.0</v>
      </c>
      <c r="E1707" s="1" t="b">
        <v>0</v>
      </c>
      <c r="F1707" s="1" t="s">
        <v>15631</v>
      </c>
    </row>
    <row r="1708">
      <c r="A1708" s="1">
        <v>49833.0</v>
      </c>
      <c r="B1708" s="1">
        <v>4511.0</v>
      </c>
      <c r="C1708" s="1">
        <v>1.611139415E9</v>
      </c>
      <c r="D1708" s="1">
        <v>4.0</v>
      </c>
      <c r="E1708" s="1" t="b">
        <v>0</v>
      </c>
      <c r="F1708" s="1" t="s">
        <v>15632</v>
      </c>
    </row>
    <row r="1709">
      <c r="A1709" s="1">
        <v>49833.0</v>
      </c>
      <c r="B1709" s="1">
        <v>6433.0</v>
      </c>
      <c r="C1709" s="1">
        <v>1.611750822E9</v>
      </c>
      <c r="D1709" s="1">
        <v>4.0</v>
      </c>
      <c r="E1709" s="1" t="b">
        <v>0</v>
      </c>
      <c r="F1709" s="1" t="s">
        <v>15633</v>
      </c>
    </row>
    <row r="1710">
      <c r="A1710" s="1">
        <v>49833.0</v>
      </c>
      <c r="B1710" s="1">
        <v>3309.0</v>
      </c>
      <c r="C1710" s="1">
        <v>1.61036361E9</v>
      </c>
      <c r="D1710" s="1">
        <v>4.0</v>
      </c>
      <c r="E1710" s="1" t="b">
        <v>0</v>
      </c>
      <c r="F1710" s="1" t="s">
        <v>15634</v>
      </c>
    </row>
    <row r="1711">
      <c r="A1711" s="1">
        <v>49833.0</v>
      </c>
      <c r="B1711" s="1">
        <v>9223.0</v>
      </c>
      <c r="C1711" s="1">
        <v>1.612160017E9</v>
      </c>
      <c r="D1711" s="1">
        <v>4.0</v>
      </c>
      <c r="E1711" s="1" t="b">
        <v>0</v>
      </c>
      <c r="F1711" s="1" t="s">
        <v>15635</v>
      </c>
    </row>
    <row r="1712">
      <c r="A1712" s="1">
        <v>49833.0</v>
      </c>
      <c r="B1712" s="1">
        <v>11884.0</v>
      </c>
      <c r="C1712" s="1">
        <v>1.612868488E9</v>
      </c>
      <c r="D1712" s="1">
        <v>4.0</v>
      </c>
      <c r="E1712" s="1" t="b">
        <v>0</v>
      </c>
      <c r="F1712" s="1" t="s">
        <v>15636</v>
      </c>
    </row>
    <row r="1713">
      <c r="A1713" s="1">
        <v>49833.0</v>
      </c>
      <c r="B1713" s="1">
        <v>4544.0</v>
      </c>
      <c r="C1713" s="1">
        <v>1.611157574E9</v>
      </c>
      <c r="D1713" s="1">
        <v>4.0</v>
      </c>
      <c r="E1713" s="1" t="b">
        <v>0</v>
      </c>
      <c r="F1713" s="1" t="s">
        <v>15637</v>
      </c>
    </row>
    <row r="1714">
      <c r="A1714" s="1">
        <v>49833.0</v>
      </c>
      <c r="B1714" s="1">
        <v>4557.0</v>
      </c>
      <c r="C1714" s="1">
        <v>1.611157579E9</v>
      </c>
      <c r="D1714" s="1">
        <v>4.0</v>
      </c>
      <c r="E1714" s="1" t="b">
        <v>0</v>
      </c>
      <c r="F1714" s="1" t="s">
        <v>15638</v>
      </c>
    </row>
    <row r="1715">
      <c r="A1715" s="1">
        <v>49833.0</v>
      </c>
      <c r="B1715" s="1">
        <v>4566.0</v>
      </c>
      <c r="C1715" s="1">
        <v>1.611158767E9</v>
      </c>
      <c r="D1715" s="1">
        <v>4.0</v>
      </c>
      <c r="E1715" s="1" t="b">
        <v>0</v>
      </c>
      <c r="F1715" s="1" t="s">
        <v>15639</v>
      </c>
    </row>
    <row r="1716">
      <c r="A1716" s="1">
        <v>49833.0</v>
      </c>
      <c r="B1716" s="1">
        <v>6378.0</v>
      </c>
      <c r="C1716" s="1">
        <v>1.611682599E9</v>
      </c>
      <c r="D1716" s="1">
        <v>4.0</v>
      </c>
      <c r="E1716" s="1" t="b">
        <v>0</v>
      </c>
      <c r="F1716" s="1" t="s">
        <v>15640</v>
      </c>
    </row>
    <row r="1717">
      <c r="A1717" s="1">
        <v>49833.0</v>
      </c>
      <c r="B1717" s="1">
        <v>4577.0</v>
      </c>
      <c r="C1717" s="1">
        <v>1.611164337E9</v>
      </c>
      <c r="D1717" s="1">
        <v>4.0</v>
      </c>
      <c r="E1717" s="1" t="b">
        <v>0</v>
      </c>
      <c r="F1717" s="1" t="s">
        <v>15641</v>
      </c>
    </row>
    <row r="1718">
      <c r="A1718" s="1">
        <v>49833.0</v>
      </c>
      <c r="B1718" s="1">
        <v>4580.0</v>
      </c>
      <c r="C1718" s="1">
        <v>1.611164338E9</v>
      </c>
      <c r="D1718" s="1">
        <v>4.0</v>
      </c>
      <c r="E1718" s="1" t="b">
        <v>0</v>
      </c>
      <c r="F1718" s="1" t="s">
        <v>15642</v>
      </c>
    </row>
    <row r="1719">
      <c r="A1719" s="1">
        <v>49833.0</v>
      </c>
      <c r="B1719" s="1">
        <v>5909.0</v>
      </c>
      <c r="C1719" s="1">
        <v>1.611555386E9</v>
      </c>
      <c r="D1719" s="1">
        <v>4.0</v>
      </c>
      <c r="E1719" s="1" t="b">
        <v>0</v>
      </c>
      <c r="F1719" s="1" t="s">
        <v>15643</v>
      </c>
    </row>
    <row r="1720">
      <c r="A1720" s="1">
        <v>49833.0</v>
      </c>
      <c r="B1720" s="1">
        <v>5939.0</v>
      </c>
      <c r="C1720" s="1">
        <v>1.611555389E9</v>
      </c>
      <c r="D1720" s="1">
        <v>4.0</v>
      </c>
      <c r="E1720" s="1" t="b">
        <v>0</v>
      </c>
      <c r="F1720" s="1" t="s">
        <v>15644</v>
      </c>
    </row>
    <row r="1721">
      <c r="A1721" s="1">
        <v>49833.0</v>
      </c>
      <c r="B1721" s="1">
        <v>6432.0</v>
      </c>
      <c r="C1721" s="1">
        <v>1.611750861E9</v>
      </c>
      <c r="D1721" s="1">
        <v>4.0</v>
      </c>
      <c r="E1721" s="1" t="b">
        <v>0</v>
      </c>
      <c r="F1721" s="1" t="s">
        <v>15645</v>
      </c>
    </row>
    <row r="1722">
      <c r="A1722" s="1">
        <v>49833.0</v>
      </c>
      <c r="B1722" s="1">
        <v>6840.0</v>
      </c>
      <c r="C1722" s="1">
        <v>1.611750863E9</v>
      </c>
      <c r="D1722" s="1">
        <v>4.0</v>
      </c>
      <c r="E1722" s="1" t="b">
        <v>0</v>
      </c>
      <c r="F1722" s="1" t="s">
        <v>15646</v>
      </c>
    </row>
    <row r="1723">
      <c r="A1723" s="1">
        <v>49833.0</v>
      </c>
      <c r="B1723" s="1">
        <v>6481.0</v>
      </c>
      <c r="C1723" s="1">
        <v>1.611750864E9</v>
      </c>
      <c r="D1723" s="1">
        <v>4.0</v>
      </c>
      <c r="E1723" s="1" t="b">
        <v>0</v>
      </c>
      <c r="F1723" s="1" t="s">
        <v>15647</v>
      </c>
    </row>
    <row r="1724">
      <c r="A1724" s="1">
        <v>49833.0</v>
      </c>
      <c r="B1724" s="1">
        <v>5523.0</v>
      </c>
      <c r="C1724" s="1">
        <v>1.611503716E9</v>
      </c>
      <c r="D1724" s="1">
        <v>4.0</v>
      </c>
      <c r="E1724" s="1" t="b">
        <v>0</v>
      </c>
      <c r="F1724" s="1" t="s">
        <v>15648</v>
      </c>
    </row>
    <row r="1725">
      <c r="A1725" s="1">
        <v>49833.0</v>
      </c>
      <c r="B1725" s="1">
        <v>5582.0</v>
      </c>
      <c r="C1725" s="1">
        <v>1.611503719E9</v>
      </c>
      <c r="D1725" s="1">
        <v>4.0</v>
      </c>
      <c r="E1725" s="1" t="b">
        <v>0</v>
      </c>
      <c r="F1725" s="1" t="s">
        <v>15649</v>
      </c>
    </row>
    <row r="1726">
      <c r="A1726" s="1">
        <v>49833.0</v>
      </c>
      <c r="B1726" s="1">
        <v>5703.0</v>
      </c>
      <c r="C1726" s="1">
        <v>1.611503719E9</v>
      </c>
      <c r="D1726" s="1">
        <v>4.0</v>
      </c>
      <c r="E1726" s="1" t="b">
        <v>0</v>
      </c>
      <c r="F1726" s="1" t="s">
        <v>15650</v>
      </c>
    </row>
    <row r="1727">
      <c r="A1727" s="1">
        <v>49833.0</v>
      </c>
      <c r="B1727" s="1">
        <v>5733.0</v>
      </c>
      <c r="C1727" s="1">
        <v>1.61150372E9</v>
      </c>
      <c r="D1727" s="1">
        <v>4.0</v>
      </c>
      <c r="E1727" s="1" t="b">
        <v>0</v>
      </c>
      <c r="F1727" s="1" t="s">
        <v>15651</v>
      </c>
    </row>
    <row r="1728">
      <c r="A1728" s="1">
        <v>49833.0</v>
      </c>
      <c r="B1728" s="1">
        <v>5748.0</v>
      </c>
      <c r="C1728" s="1">
        <v>1.611503721E9</v>
      </c>
      <c r="D1728" s="1">
        <v>4.0</v>
      </c>
      <c r="E1728" s="1" t="b">
        <v>0</v>
      </c>
      <c r="F1728" s="1" t="s">
        <v>15652</v>
      </c>
    </row>
    <row r="1729">
      <c r="A1729" s="1">
        <v>49833.0</v>
      </c>
      <c r="B1729" s="1">
        <v>5859.0</v>
      </c>
      <c r="C1729" s="1">
        <v>1.611503722E9</v>
      </c>
      <c r="D1729" s="1">
        <v>4.0</v>
      </c>
      <c r="E1729" s="1" t="b">
        <v>0</v>
      </c>
      <c r="F1729" s="1" t="s">
        <v>15653</v>
      </c>
    </row>
    <row r="1730">
      <c r="A1730" s="1">
        <v>49833.0</v>
      </c>
      <c r="B1730" s="1">
        <v>6782.0</v>
      </c>
      <c r="C1730" s="1">
        <v>1.611750865E9</v>
      </c>
      <c r="D1730" s="1">
        <v>4.0</v>
      </c>
      <c r="E1730" s="1" t="b">
        <v>0</v>
      </c>
      <c r="F1730" s="1" t="s">
        <v>15654</v>
      </c>
    </row>
    <row r="1731">
      <c r="A1731" s="1">
        <v>49833.0</v>
      </c>
      <c r="B1731" s="1">
        <v>12361.0</v>
      </c>
      <c r="C1731" s="1">
        <v>1.612961041E9</v>
      </c>
      <c r="D1731" s="1">
        <v>4.0</v>
      </c>
      <c r="E1731" s="1" t="b">
        <v>0</v>
      </c>
      <c r="F1731" s="1" t="s">
        <v>15655</v>
      </c>
    </row>
    <row r="1732">
      <c r="A1732" s="1">
        <v>49833.0</v>
      </c>
      <c r="B1732" s="1">
        <v>10003.0</v>
      </c>
      <c r="C1732" s="1">
        <v>1.613099842E9</v>
      </c>
      <c r="D1732" s="1">
        <v>4.0</v>
      </c>
      <c r="E1732" s="1" t="b">
        <v>0</v>
      </c>
      <c r="F1732" s="1" t="s">
        <v>15656</v>
      </c>
    </row>
    <row r="1733">
      <c r="A1733" s="1">
        <v>49833.0</v>
      </c>
      <c r="B1733" s="1">
        <v>4614.0</v>
      </c>
      <c r="C1733" s="1">
        <v>1.61120633E9</v>
      </c>
      <c r="D1733" s="1">
        <v>4.0</v>
      </c>
      <c r="E1733" s="1" t="b">
        <v>0</v>
      </c>
      <c r="F1733" s="1" t="s">
        <v>15657</v>
      </c>
    </row>
    <row r="1734">
      <c r="A1734" s="1">
        <v>49833.0</v>
      </c>
      <c r="B1734" s="1">
        <v>4641.0</v>
      </c>
      <c r="C1734" s="1">
        <v>1.611206331E9</v>
      </c>
      <c r="D1734" s="1">
        <v>4.0</v>
      </c>
      <c r="E1734" s="1" t="b">
        <v>0</v>
      </c>
      <c r="F1734" s="1" t="s">
        <v>15658</v>
      </c>
    </row>
    <row r="1735">
      <c r="A1735" s="1">
        <v>49833.0</v>
      </c>
      <c r="B1735" s="1">
        <v>2884.0</v>
      </c>
      <c r="C1735" s="1">
        <v>1.611206334E9</v>
      </c>
      <c r="D1735" s="1">
        <v>4.0</v>
      </c>
      <c r="E1735" s="1" t="b">
        <v>0</v>
      </c>
      <c r="F1735" s="1" t="s">
        <v>15659</v>
      </c>
    </row>
    <row r="1736">
      <c r="A1736" s="1">
        <v>49833.0</v>
      </c>
      <c r="B1736" s="1">
        <v>4657.0</v>
      </c>
      <c r="C1736" s="1">
        <v>1.611206337E9</v>
      </c>
      <c r="D1736" s="1">
        <v>4.0</v>
      </c>
      <c r="E1736" s="1" t="b">
        <v>0</v>
      </c>
      <c r="F1736" s="1" t="s">
        <v>15660</v>
      </c>
    </row>
    <row r="1737">
      <c r="A1737" s="1">
        <v>49833.0</v>
      </c>
      <c r="B1737" s="1">
        <v>4647.0</v>
      </c>
      <c r="C1737" s="1">
        <v>1.611206341E9</v>
      </c>
      <c r="D1737" s="1">
        <v>4.0</v>
      </c>
      <c r="E1737" s="1" t="b">
        <v>0</v>
      </c>
      <c r="F1737" s="1" t="s">
        <v>15661</v>
      </c>
    </row>
    <row r="1738">
      <c r="A1738" s="1">
        <v>49833.0</v>
      </c>
      <c r="B1738" s="1">
        <v>4699.0</v>
      </c>
      <c r="C1738" s="1">
        <v>1.61121469E9</v>
      </c>
      <c r="D1738" s="1">
        <v>4.0</v>
      </c>
      <c r="E1738" s="1" t="b">
        <v>0</v>
      </c>
      <c r="F1738" s="1" t="s">
        <v>15662</v>
      </c>
    </row>
    <row r="1739">
      <c r="A1739" s="1">
        <v>49833.0</v>
      </c>
      <c r="B1739" s="1">
        <v>4701.0</v>
      </c>
      <c r="C1739" s="1">
        <v>1.611214693E9</v>
      </c>
      <c r="D1739" s="1">
        <v>4.0</v>
      </c>
      <c r="E1739" s="1" t="b">
        <v>0</v>
      </c>
      <c r="F1739" s="1" t="s">
        <v>14429</v>
      </c>
    </row>
    <row r="1740">
      <c r="A1740" s="1">
        <v>49833.0</v>
      </c>
      <c r="B1740" s="1">
        <v>4716.0</v>
      </c>
      <c r="C1740" s="1">
        <v>1.61121932E9</v>
      </c>
      <c r="D1740" s="1">
        <v>4.0</v>
      </c>
      <c r="E1740" s="1" t="b">
        <v>0</v>
      </c>
      <c r="F1740" s="1" t="s">
        <v>15663</v>
      </c>
    </row>
    <row r="1741">
      <c r="A1741" s="1">
        <v>49833.0</v>
      </c>
      <c r="B1741" s="1">
        <v>4719.0</v>
      </c>
      <c r="C1741" s="1">
        <v>1.611214693E9</v>
      </c>
      <c r="D1741" s="1">
        <v>4.0</v>
      </c>
      <c r="E1741" s="1" t="b">
        <v>0</v>
      </c>
      <c r="F1741" s="1" t="s">
        <v>14415</v>
      </c>
    </row>
    <row r="1742">
      <c r="A1742" s="1">
        <v>49833.0</v>
      </c>
      <c r="B1742" s="1">
        <v>4724.0</v>
      </c>
      <c r="C1742" s="1">
        <v>1.611219319E9</v>
      </c>
      <c r="D1742" s="1">
        <v>4.0</v>
      </c>
      <c r="E1742" s="1" t="b">
        <v>0</v>
      </c>
      <c r="F1742" s="1" t="s">
        <v>15664</v>
      </c>
    </row>
    <row r="1743">
      <c r="A1743" s="1">
        <v>49833.0</v>
      </c>
      <c r="B1743" s="1">
        <v>4710.0</v>
      </c>
      <c r="C1743" s="1">
        <v>1.611219321E9</v>
      </c>
      <c r="D1743" s="1">
        <v>4.0</v>
      </c>
      <c r="E1743" s="1" t="b">
        <v>0</v>
      </c>
      <c r="F1743" s="1" t="s">
        <v>15665</v>
      </c>
    </row>
    <row r="1744">
      <c r="A1744" s="1">
        <v>49833.0</v>
      </c>
      <c r="B1744" s="1">
        <v>4738.0</v>
      </c>
      <c r="C1744" s="1">
        <v>1.611219322E9</v>
      </c>
      <c r="D1744" s="1">
        <v>4.0</v>
      </c>
      <c r="E1744" s="1" t="b">
        <v>0</v>
      </c>
      <c r="F1744" s="1" t="s">
        <v>15666</v>
      </c>
    </row>
    <row r="1745">
      <c r="A1745" s="1">
        <v>49833.0</v>
      </c>
      <c r="B1745" s="1">
        <v>9428.0</v>
      </c>
      <c r="C1745" s="1">
        <v>1.612160019E9</v>
      </c>
      <c r="D1745" s="1">
        <v>4.0</v>
      </c>
      <c r="E1745" s="1" t="b">
        <v>0</v>
      </c>
      <c r="F1745" s="1" t="s">
        <v>15667</v>
      </c>
    </row>
    <row r="1746">
      <c r="A1746" s="1">
        <v>49833.0</v>
      </c>
      <c r="B1746" s="1">
        <v>18932.0</v>
      </c>
      <c r="C1746" s="1">
        <v>1.622171722E9</v>
      </c>
      <c r="D1746" s="1">
        <v>4.0</v>
      </c>
      <c r="E1746" s="1" t="b">
        <v>0</v>
      </c>
      <c r="F1746" s="1" t="s">
        <v>15668</v>
      </c>
    </row>
    <row r="1747">
      <c r="A1747" s="1">
        <v>49833.0</v>
      </c>
      <c r="B1747" s="1">
        <v>6658.0</v>
      </c>
      <c r="C1747" s="1">
        <v>1.611750866E9</v>
      </c>
      <c r="D1747" s="1">
        <v>4.0</v>
      </c>
      <c r="E1747" s="1" t="b">
        <v>0</v>
      </c>
      <c r="F1747" s="1" t="s">
        <v>15669</v>
      </c>
    </row>
    <row r="1748">
      <c r="A1748" s="1">
        <v>49833.0</v>
      </c>
      <c r="B1748" s="1">
        <v>4514.0</v>
      </c>
      <c r="C1748" s="1">
        <v>1.611140064E9</v>
      </c>
      <c r="D1748" s="1">
        <v>4.0</v>
      </c>
      <c r="E1748" s="1" t="b">
        <v>0</v>
      </c>
      <c r="F1748" s="1" t="s">
        <v>15670</v>
      </c>
    </row>
    <row r="1749">
      <c r="A1749" s="1">
        <v>49833.0</v>
      </c>
      <c r="B1749" s="1">
        <v>5773.0</v>
      </c>
      <c r="C1749" s="1">
        <v>1.611505828E9</v>
      </c>
      <c r="D1749" s="1">
        <v>4.0</v>
      </c>
      <c r="E1749" s="1" t="b">
        <v>0</v>
      </c>
      <c r="F1749" s="1" t="s">
        <v>15671</v>
      </c>
    </row>
    <row r="1750">
      <c r="A1750" s="1">
        <v>49833.0</v>
      </c>
      <c r="B1750" s="1">
        <v>4320.0</v>
      </c>
      <c r="C1750" s="1">
        <v>1.611073131E9</v>
      </c>
      <c r="D1750" s="1">
        <v>4.0</v>
      </c>
      <c r="E1750" s="1" t="b">
        <v>0</v>
      </c>
      <c r="F1750" s="1" t="s">
        <v>15672</v>
      </c>
    </row>
    <row r="1751">
      <c r="A1751" s="1">
        <v>49833.0</v>
      </c>
      <c r="B1751" s="1">
        <v>4551.0</v>
      </c>
      <c r="C1751" s="1">
        <v>1.611157581E9</v>
      </c>
      <c r="D1751" s="1">
        <v>4.0</v>
      </c>
      <c r="E1751" s="1" t="b">
        <v>0</v>
      </c>
      <c r="F1751" s="1" t="s">
        <v>15673</v>
      </c>
    </row>
    <row r="1752">
      <c r="A1752" s="1">
        <v>49833.0</v>
      </c>
      <c r="B1752" s="1">
        <v>6783.0</v>
      </c>
      <c r="C1752" s="1">
        <v>1.611750868E9</v>
      </c>
      <c r="D1752" s="1">
        <v>4.0</v>
      </c>
      <c r="E1752" s="1" t="b">
        <v>0</v>
      </c>
      <c r="F1752" s="1" t="s">
        <v>15674</v>
      </c>
    </row>
    <row r="1753">
      <c r="A1753" s="1">
        <v>49833.0</v>
      </c>
      <c r="B1753" s="1">
        <v>10691.0</v>
      </c>
      <c r="C1753" s="1">
        <v>1.612545501E9</v>
      </c>
      <c r="D1753" s="1">
        <v>4.0</v>
      </c>
      <c r="E1753" s="1" t="b">
        <v>0</v>
      </c>
      <c r="F1753" s="1" t="s">
        <v>15675</v>
      </c>
    </row>
    <row r="1754">
      <c r="A1754" s="1">
        <v>49833.0</v>
      </c>
      <c r="B1754" s="1">
        <v>5524.0</v>
      </c>
      <c r="C1754" s="1">
        <v>1.611503724E9</v>
      </c>
      <c r="D1754" s="1">
        <v>4.0</v>
      </c>
      <c r="E1754" s="1" t="b">
        <v>0</v>
      </c>
      <c r="F1754" s="1" t="s">
        <v>15676</v>
      </c>
    </row>
    <row r="1755">
      <c r="A1755" s="1">
        <v>49833.0</v>
      </c>
      <c r="B1755" s="1">
        <v>5589.0</v>
      </c>
      <c r="C1755" s="1">
        <v>1.611503725E9</v>
      </c>
      <c r="D1755" s="1">
        <v>4.0</v>
      </c>
      <c r="E1755" s="1" t="b">
        <v>0</v>
      </c>
      <c r="F1755" s="1" t="s">
        <v>15677</v>
      </c>
    </row>
    <row r="1756">
      <c r="A1756" s="1">
        <v>49833.0</v>
      </c>
      <c r="B1756" s="1">
        <v>5627.0</v>
      </c>
      <c r="C1756" s="1">
        <v>1.611504548E9</v>
      </c>
      <c r="D1756" s="1">
        <v>4.0</v>
      </c>
      <c r="E1756" s="1" t="b">
        <v>0</v>
      </c>
      <c r="F1756" s="1" t="s">
        <v>15678</v>
      </c>
    </row>
    <row r="1757">
      <c r="A1757" s="1">
        <v>49833.0</v>
      </c>
      <c r="B1757" s="1">
        <v>5738.0</v>
      </c>
      <c r="C1757" s="1">
        <v>1.611504549E9</v>
      </c>
      <c r="D1757" s="1">
        <v>4.0</v>
      </c>
      <c r="E1757" s="1" t="b">
        <v>0</v>
      </c>
      <c r="F1757" s="1" t="s">
        <v>15679</v>
      </c>
    </row>
    <row r="1758">
      <c r="A1758" s="1">
        <v>49833.0</v>
      </c>
      <c r="B1758" s="1">
        <v>12101.0</v>
      </c>
      <c r="C1758" s="1">
        <v>1.612904216E9</v>
      </c>
      <c r="D1758" s="1">
        <v>4.0</v>
      </c>
      <c r="E1758" s="1" t="b">
        <v>0</v>
      </c>
      <c r="F1758" s="1" t="s">
        <v>15680</v>
      </c>
    </row>
    <row r="1759">
      <c r="A1759" s="1">
        <v>49833.0</v>
      </c>
      <c r="B1759" s="1">
        <v>6940.0</v>
      </c>
      <c r="C1759" s="1">
        <v>1.611764302E9</v>
      </c>
      <c r="D1759" s="1">
        <v>4.0</v>
      </c>
      <c r="E1759" s="1" t="b">
        <v>0</v>
      </c>
      <c r="F1759" s="1" t="s">
        <v>15681</v>
      </c>
    </row>
    <row r="1760">
      <c r="A1760" s="1">
        <v>49833.0</v>
      </c>
      <c r="B1760" s="1">
        <v>6974.0</v>
      </c>
      <c r="C1760" s="1">
        <v>1.611764303E9</v>
      </c>
      <c r="D1760" s="1">
        <v>4.0</v>
      </c>
      <c r="E1760" s="1" t="b">
        <v>0</v>
      </c>
      <c r="F1760" s="1" t="s">
        <v>15682</v>
      </c>
    </row>
    <row r="1761">
      <c r="A1761" s="1">
        <v>49833.0</v>
      </c>
      <c r="B1761" s="1">
        <v>7369.0</v>
      </c>
      <c r="C1761" s="1">
        <v>1.61183558E9</v>
      </c>
      <c r="D1761" s="1">
        <v>4.0</v>
      </c>
      <c r="E1761" s="1" t="b">
        <v>0</v>
      </c>
      <c r="F1761" s="1" t="s">
        <v>15683</v>
      </c>
    </row>
    <row r="1762">
      <c r="A1762" s="1">
        <v>49833.0</v>
      </c>
      <c r="B1762" s="1">
        <v>4321.0</v>
      </c>
      <c r="C1762" s="1">
        <v>1.61107313E9</v>
      </c>
      <c r="D1762" s="1">
        <v>4.0</v>
      </c>
      <c r="E1762" s="1" t="b">
        <v>0</v>
      </c>
      <c r="F1762" s="1" t="s">
        <v>15684</v>
      </c>
    </row>
    <row r="1763">
      <c r="A1763" s="1">
        <v>49833.0</v>
      </c>
      <c r="B1763" s="1">
        <v>4362.0</v>
      </c>
      <c r="C1763" s="1">
        <v>1.611117519E9</v>
      </c>
      <c r="D1763" s="1">
        <v>4.0</v>
      </c>
      <c r="E1763" s="1" t="b">
        <v>0</v>
      </c>
      <c r="F1763" s="1" t="s">
        <v>15685</v>
      </c>
    </row>
    <row r="1764">
      <c r="A1764" s="1">
        <v>49833.0</v>
      </c>
      <c r="B1764" s="1">
        <v>4369.0</v>
      </c>
      <c r="C1764" s="1">
        <v>1.611117521E9</v>
      </c>
      <c r="D1764" s="1">
        <v>4.0</v>
      </c>
      <c r="E1764" s="1" t="b">
        <v>0</v>
      </c>
      <c r="F1764" s="1" t="s">
        <v>15686</v>
      </c>
    </row>
    <row r="1765">
      <c r="A1765" s="1">
        <v>49833.0</v>
      </c>
      <c r="B1765" s="1">
        <v>4370.0</v>
      </c>
      <c r="C1765" s="1">
        <v>1.611117522E9</v>
      </c>
      <c r="D1765" s="1">
        <v>4.0</v>
      </c>
      <c r="E1765" s="1" t="b">
        <v>0</v>
      </c>
      <c r="F1765" s="1" t="s">
        <v>14413</v>
      </c>
    </row>
    <row r="1766">
      <c r="A1766" s="1">
        <v>49833.0</v>
      </c>
      <c r="B1766" s="1">
        <v>4374.0</v>
      </c>
      <c r="C1766" s="1">
        <v>1.611117524E9</v>
      </c>
      <c r="D1766" s="1">
        <v>4.0</v>
      </c>
      <c r="E1766" s="1" t="b">
        <v>0</v>
      </c>
      <c r="F1766" s="1" t="s">
        <v>15687</v>
      </c>
    </row>
    <row r="1767">
      <c r="A1767" s="1">
        <v>49833.0</v>
      </c>
      <c r="B1767" s="1">
        <v>4379.0</v>
      </c>
      <c r="C1767" s="1">
        <v>1.611117524E9</v>
      </c>
      <c r="D1767" s="1">
        <v>4.0</v>
      </c>
      <c r="E1767" s="1" t="b">
        <v>0</v>
      </c>
      <c r="F1767" s="1" t="s">
        <v>15688</v>
      </c>
    </row>
    <row r="1768">
      <c r="A1768" s="1">
        <v>49833.0</v>
      </c>
      <c r="B1768" s="1">
        <v>4391.0</v>
      </c>
      <c r="C1768" s="1">
        <v>1.611117526E9</v>
      </c>
      <c r="D1768" s="1">
        <v>4.0</v>
      </c>
      <c r="E1768" s="1" t="b">
        <v>0</v>
      </c>
      <c r="F1768" s="1" t="s">
        <v>15689</v>
      </c>
    </row>
    <row r="1769">
      <c r="A1769" s="1">
        <v>49833.0</v>
      </c>
      <c r="B1769" s="1">
        <v>4396.0</v>
      </c>
      <c r="C1769" s="1">
        <v>1.611117527E9</v>
      </c>
      <c r="D1769" s="1">
        <v>4.0</v>
      </c>
      <c r="E1769" s="1" t="b">
        <v>0</v>
      </c>
      <c r="F1769" s="1" t="s">
        <v>15690</v>
      </c>
    </row>
    <row r="1770">
      <c r="A1770" s="1">
        <v>49833.0</v>
      </c>
      <c r="B1770" s="1">
        <v>4386.0</v>
      </c>
      <c r="C1770" s="1">
        <v>1.611117529E9</v>
      </c>
      <c r="D1770" s="1">
        <v>4.0</v>
      </c>
      <c r="E1770" s="1" t="b">
        <v>0</v>
      </c>
      <c r="F1770" s="1" t="s">
        <v>15691</v>
      </c>
    </row>
    <row r="1771">
      <c r="A1771" s="1">
        <v>49833.0</v>
      </c>
      <c r="B1771" s="1">
        <v>4392.0</v>
      </c>
      <c r="C1771" s="1">
        <v>1.61111753E9</v>
      </c>
      <c r="D1771" s="1">
        <v>4.0</v>
      </c>
      <c r="E1771" s="1" t="b">
        <v>0</v>
      </c>
      <c r="F1771" s="1" t="s">
        <v>15692</v>
      </c>
    </row>
    <row r="1772">
      <c r="A1772" s="1">
        <v>49833.0</v>
      </c>
      <c r="B1772" s="1">
        <v>4402.0</v>
      </c>
      <c r="C1772" s="1">
        <v>1.611117534E9</v>
      </c>
      <c r="D1772" s="1">
        <v>4.0</v>
      </c>
      <c r="E1772" s="1" t="b">
        <v>0</v>
      </c>
      <c r="F1772" s="1" t="s">
        <v>15693</v>
      </c>
    </row>
    <row r="1773">
      <c r="A1773" s="1">
        <v>49833.0</v>
      </c>
      <c r="B1773" s="1">
        <v>4414.0</v>
      </c>
      <c r="C1773" s="1">
        <v>1.611117537E9</v>
      </c>
      <c r="D1773" s="1">
        <v>4.0</v>
      </c>
      <c r="E1773" s="1" t="b">
        <v>0</v>
      </c>
      <c r="F1773" s="1" t="s">
        <v>15694</v>
      </c>
    </row>
    <row r="1774">
      <c r="A1774" s="1">
        <v>49833.0</v>
      </c>
      <c r="B1774" s="1">
        <v>4435.0</v>
      </c>
      <c r="C1774" s="1">
        <v>1.611125399E9</v>
      </c>
      <c r="D1774" s="1">
        <v>4.0</v>
      </c>
      <c r="E1774" s="1" t="b">
        <v>0</v>
      </c>
      <c r="F1774" s="1" t="s">
        <v>15695</v>
      </c>
    </row>
    <row r="1775">
      <c r="A1775" s="1">
        <v>49833.0</v>
      </c>
      <c r="B1775" s="1">
        <v>4450.0</v>
      </c>
      <c r="C1775" s="1">
        <v>1.611125402E9</v>
      </c>
      <c r="D1775" s="1">
        <v>4.0</v>
      </c>
      <c r="E1775" s="1" t="b">
        <v>0</v>
      </c>
      <c r="F1775" s="1" t="s">
        <v>15696</v>
      </c>
    </row>
    <row r="1776">
      <c r="A1776" s="1">
        <v>49833.0</v>
      </c>
      <c r="B1776" s="1">
        <v>4408.0</v>
      </c>
      <c r="C1776" s="1">
        <v>1.611125403E9</v>
      </c>
      <c r="D1776" s="1">
        <v>4.0</v>
      </c>
      <c r="E1776" s="1" t="b">
        <v>0</v>
      </c>
      <c r="F1776" s="1" t="s">
        <v>15697</v>
      </c>
    </row>
    <row r="1777">
      <c r="A1777" s="1">
        <v>49833.0</v>
      </c>
      <c r="B1777" s="1">
        <v>4462.0</v>
      </c>
      <c r="C1777" s="1">
        <v>1.611126094E9</v>
      </c>
      <c r="D1777" s="1">
        <v>4.0</v>
      </c>
      <c r="E1777" s="1" t="b">
        <v>0</v>
      </c>
      <c r="F1777" s="1" t="s">
        <v>15698</v>
      </c>
    </row>
    <row r="1778">
      <c r="A1778" s="1">
        <v>49833.0</v>
      </c>
      <c r="B1778" s="1">
        <v>4463.0</v>
      </c>
      <c r="C1778" s="1">
        <v>1.611129778E9</v>
      </c>
      <c r="D1778" s="1">
        <v>4.0</v>
      </c>
      <c r="E1778" s="1" t="b">
        <v>0</v>
      </c>
      <c r="F1778" s="1" t="s">
        <v>15699</v>
      </c>
    </row>
    <row r="1779">
      <c r="A1779" s="1">
        <v>49833.0</v>
      </c>
      <c r="B1779" s="1">
        <v>4464.0</v>
      </c>
      <c r="C1779" s="1">
        <v>1.611129779E9</v>
      </c>
      <c r="D1779" s="1">
        <v>4.0</v>
      </c>
      <c r="E1779" s="1" t="b">
        <v>0</v>
      </c>
      <c r="F1779" s="1" t="s">
        <v>15700</v>
      </c>
    </row>
    <row r="1780">
      <c r="A1780" s="1">
        <v>49833.0</v>
      </c>
      <c r="B1780" s="1">
        <v>5725.0</v>
      </c>
      <c r="C1780" s="1">
        <v>1.611505832E9</v>
      </c>
      <c r="D1780" s="1">
        <v>4.0</v>
      </c>
      <c r="E1780" s="1" t="b">
        <v>0</v>
      </c>
      <c r="F1780" s="1" t="s">
        <v>15701</v>
      </c>
    </row>
    <row r="1781">
      <c r="A1781" s="1">
        <v>49833.0</v>
      </c>
      <c r="B1781" s="1">
        <v>5803.0</v>
      </c>
      <c r="C1781" s="1">
        <v>1.611505833E9</v>
      </c>
      <c r="D1781" s="1">
        <v>4.0</v>
      </c>
      <c r="E1781" s="1" t="b">
        <v>0</v>
      </c>
      <c r="F1781" s="1" t="s">
        <v>15702</v>
      </c>
    </row>
    <row r="1782">
      <c r="A1782" s="1">
        <v>49833.0</v>
      </c>
      <c r="B1782" s="1">
        <v>4521.0</v>
      </c>
      <c r="C1782" s="1">
        <v>1.611143015E9</v>
      </c>
      <c r="D1782" s="1">
        <v>4.0</v>
      </c>
      <c r="E1782" s="1" t="b">
        <v>0</v>
      </c>
      <c r="F1782" s="1" t="s">
        <v>15703</v>
      </c>
    </row>
    <row r="1783">
      <c r="A1783" s="1">
        <v>49833.0</v>
      </c>
      <c r="B1783" s="1">
        <v>4478.0</v>
      </c>
      <c r="C1783" s="1">
        <v>1.611129781E9</v>
      </c>
      <c r="D1783" s="1">
        <v>4.0</v>
      </c>
      <c r="E1783" s="1" t="b">
        <v>0</v>
      </c>
      <c r="F1783" s="1" t="s">
        <v>15704</v>
      </c>
    </row>
    <row r="1784">
      <c r="A1784" s="1">
        <v>49833.0</v>
      </c>
      <c r="B1784" s="1">
        <v>4479.0</v>
      </c>
      <c r="C1784" s="1">
        <v>1.611130064E9</v>
      </c>
      <c r="D1784" s="1">
        <v>4.0</v>
      </c>
      <c r="E1784" s="1" t="b">
        <v>0</v>
      </c>
      <c r="F1784" s="1" t="s">
        <v>15705</v>
      </c>
    </row>
    <row r="1785">
      <c r="A1785" s="1">
        <v>49833.0</v>
      </c>
      <c r="B1785" s="1">
        <v>9425.0</v>
      </c>
      <c r="C1785" s="1">
        <v>1.612160021E9</v>
      </c>
      <c r="D1785" s="1">
        <v>4.0</v>
      </c>
      <c r="E1785" s="1" t="b">
        <v>0</v>
      </c>
      <c r="F1785" s="1" t="s">
        <v>15706</v>
      </c>
    </row>
    <row r="1786">
      <c r="A1786" s="1">
        <v>49833.0</v>
      </c>
      <c r="B1786" s="1">
        <v>4515.0</v>
      </c>
      <c r="C1786" s="1">
        <v>1.611141161E9</v>
      </c>
      <c r="D1786" s="1">
        <v>4.0</v>
      </c>
      <c r="E1786" s="1" t="b">
        <v>0</v>
      </c>
      <c r="F1786" s="1" t="s">
        <v>15707</v>
      </c>
    </row>
    <row r="1787">
      <c r="A1787" s="1">
        <v>49833.0</v>
      </c>
      <c r="B1787" s="1">
        <v>5710.0</v>
      </c>
      <c r="C1787" s="1">
        <v>1.611505852E9</v>
      </c>
      <c r="D1787" s="1">
        <v>4.0</v>
      </c>
      <c r="E1787" s="1" t="b">
        <v>0</v>
      </c>
      <c r="F1787" s="1" t="s">
        <v>15708</v>
      </c>
    </row>
    <row r="1788">
      <c r="A1788" s="1">
        <v>49833.0</v>
      </c>
      <c r="B1788" s="1">
        <v>5420.0</v>
      </c>
      <c r="C1788" s="1">
        <v>1.611404412E9</v>
      </c>
      <c r="D1788" s="1">
        <v>4.0</v>
      </c>
      <c r="E1788" s="1" t="b">
        <v>0</v>
      </c>
      <c r="F1788" s="1" t="s">
        <v>15709</v>
      </c>
    </row>
    <row r="1789">
      <c r="A1789" s="1">
        <v>49833.0</v>
      </c>
      <c r="B1789" s="1">
        <v>4572.0</v>
      </c>
      <c r="C1789" s="1">
        <v>1.611161671E9</v>
      </c>
      <c r="D1789" s="1">
        <v>4.0</v>
      </c>
      <c r="E1789" s="1" t="b">
        <v>0</v>
      </c>
      <c r="F1789" s="1" t="s">
        <v>15710</v>
      </c>
    </row>
    <row r="1790">
      <c r="A1790" s="1">
        <v>49833.0</v>
      </c>
      <c r="B1790" s="1">
        <v>4475.0</v>
      </c>
      <c r="C1790" s="1">
        <v>1.61112978E9</v>
      </c>
      <c r="D1790" s="1">
        <v>4.0</v>
      </c>
      <c r="E1790" s="1" t="b">
        <v>0</v>
      </c>
      <c r="F1790" s="1" t="s">
        <v>15711</v>
      </c>
    </row>
    <row r="1791">
      <c r="A1791" s="1">
        <v>49833.0</v>
      </c>
      <c r="B1791" s="1">
        <v>4441.0</v>
      </c>
      <c r="C1791" s="1">
        <v>1.6111254E9</v>
      </c>
      <c r="D1791" s="1">
        <v>4.0</v>
      </c>
      <c r="E1791" s="1" t="b">
        <v>0</v>
      </c>
      <c r="F1791" s="1" t="s">
        <v>15712</v>
      </c>
    </row>
    <row r="1792">
      <c r="A1792" s="1">
        <v>49833.0</v>
      </c>
      <c r="B1792" s="1">
        <v>4480.0</v>
      </c>
      <c r="C1792" s="1">
        <v>1.61113411E9</v>
      </c>
      <c r="D1792" s="1">
        <v>4.0</v>
      </c>
      <c r="E1792" s="1" t="b">
        <v>0</v>
      </c>
      <c r="F1792" s="1" t="s">
        <v>15713</v>
      </c>
    </row>
    <row r="1793">
      <c r="A1793" s="1">
        <v>49833.0</v>
      </c>
      <c r="B1793" s="1">
        <v>4485.0</v>
      </c>
      <c r="C1793" s="1">
        <v>1.611134112E9</v>
      </c>
      <c r="D1793" s="1">
        <v>4.0</v>
      </c>
      <c r="E1793" s="1" t="b">
        <v>0</v>
      </c>
      <c r="F1793" s="1" t="s">
        <v>15714</v>
      </c>
    </row>
    <row r="1794">
      <c r="A1794" s="1">
        <v>49833.0</v>
      </c>
      <c r="B1794" s="1">
        <v>4487.0</v>
      </c>
      <c r="C1794" s="1">
        <v>1.611134113E9</v>
      </c>
      <c r="D1794" s="1">
        <v>4.0</v>
      </c>
      <c r="E1794" s="1" t="b">
        <v>0</v>
      </c>
      <c r="F1794" s="1" t="s">
        <v>15715</v>
      </c>
    </row>
    <row r="1795">
      <c r="A1795" s="1">
        <v>49833.0</v>
      </c>
      <c r="B1795" s="1">
        <v>4489.0</v>
      </c>
      <c r="C1795" s="1">
        <v>1.611134114E9</v>
      </c>
      <c r="D1795" s="1">
        <v>4.0</v>
      </c>
      <c r="E1795" s="1" t="b">
        <v>0</v>
      </c>
      <c r="F1795" s="1" t="s">
        <v>15716</v>
      </c>
    </row>
    <row r="1796">
      <c r="A1796" s="1">
        <v>49833.0</v>
      </c>
      <c r="B1796" s="1">
        <v>4491.0</v>
      </c>
      <c r="C1796" s="1">
        <v>1.611134116E9</v>
      </c>
      <c r="D1796" s="1">
        <v>4.0</v>
      </c>
      <c r="E1796" s="1" t="b">
        <v>0</v>
      </c>
      <c r="F1796" s="1" t="s">
        <v>15717</v>
      </c>
    </row>
    <row r="1797">
      <c r="A1797" s="1">
        <v>49833.0</v>
      </c>
      <c r="B1797" s="1">
        <v>6400.0</v>
      </c>
      <c r="C1797" s="1">
        <v>1.611682602E9</v>
      </c>
      <c r="D1797" s="1">
        <v>4.0</v>
      </c>
      <c r="E1797" s="1" t="b">
        <v>0</v>
      </c>
      <c r="F1797" s="1" t="s">
        <v>15718</v>
      </c>
    </row>
    <row r="1798">
      <c r="A1798" s="1">
        <v>49833.0</v>
      </c>
      <c r="B1798" s="1">
        <v>6558.0</v>
      </c>
      <c r="C1798" s="1">
        <v>1.611764304E9</v>
      </c>
      <c r="D1798" s="1">
        <v>4.0</v>
      </c>
      <c r="E1798" s="1" t="b">
        <v>0</v>
      </c>
      <c r="F1798" s="1" t="s">
        <v>15719</v>
      </c>
    </row>
    <row r="1799">
      <c r="A1799" s="1">
        <v>49833.0</v>
      </c>
      <c r="B1799" s="1">
        <v>12535.0</v>
      </c>
      <c r="C1799" s="1">
        <v>1.613031424E9</v>
      </c>
      <c r="D1799" s="1">
        <v>4.0</v>
      </c>
      <c r="E1799" s="1" t="b">
        <v>0</v>
      </c>
      <c r="F1799" s="1" t="s">
        <v>15720</v>
      </c>
    </row>
    <row r="1800">
      <c r="A1800" s="1">
        <v>49833.0</v>
      </c>
      <c r="B1800" s="1">
        <v>9858.0</v>
      </c>
      <c r="C1800" s="1">
        <v>1.612545502E9</v>
      </c>
      <c r="D1800" s="1">
        <v>4.0</v>
      </c>
      <c r="E1800" s="1" t="b">
        <v>0</v>
      </c>
      <c r="F1800" s="1" t="s">
        <v>15721</v>
      </c>
    </row>
    <row r="1801">
      <c r="A1801" s="1">
        <v>49833.0</v>
      </c>
      <c r="B1801" s="1">
        <v>4598.0</v>
      </c>
      <c r="C1801" s="1">
        <v>1.611168956E9</v>
      </c>
      <c r="D1801" s="1">
        <v>4.0</v>
      </c>
      <c r="E1801" s="1" t="b">
        <v>0</v>
      </c>
      <c r="F1801" s="1" t="s">
        <v>15722</v>
      </c>
    </row>
    <row r="1802">
      <c r="A1802" s="1">
        <v>49833.0</v>
      </c>
      <c r="B1802" s="1">
        <v>5826.0</v>
      </c>
      <c r="C1802" s="1">
        <v>1.611504554E9</v>
      </c>
      <c r="D1802" s="1">
        <v>4.0</v>
      </c>
      <c r="E1802" s="1" t="b">
        <v>0</v>
      </c>
      <c r="F1802" s="1" t="s">
        <v>15723</v>
      </c>
    </row>
    <row r="1803">
      <c r="A1803" s="1">
        <v>49833.0</v>
      </c>
      <c r="B1803" s="1">
        <v>4589.0</v>
      </c>
      <c r="C1803" s="1">
        <v>1.611174208E9</v>
      </c>
      <c r="D1803" s="1">
        <v>4.0</v>
      </c>
      <c r="E1803" s="1" t="b">
        <v>0</v>
      </c>
      <c r="F1803" s="1" t="s">
        <v>15724</v>
      </c>
    </row>
    <row r="1804">
      <c r="A1804" s="1">
        <v>49833.0</v>
      </c>
      <c r="B1804" s="1">
        <v>16701.0</v>
      </c>
      <c r="C1804" s="1">
        <v>1.61778328E9</v>
      </c>
      <c r="D1804" s="1">
        <v>4.0</v>
      </c>
      <c r="E1804" s="1" t="b">
        <v>0</v>
      </c>
      <c r="F1804" s="1" t="s">
        <v>15725</v>
      </c>
    </row>
    <row r="1805">
      <c r="A1805" s="1">
        <v>49833.0</v>
      </c>
      <c r="B1805" s="1">
        <v>4624.0</v>
      </c>
      <c r="C1805" s="1">
        <v>1.611206335E9</v>
      </c>
      <c r="D1805" s="1">
        <v>4.0</v>
      </c>
      <c r="E1805" s="1" t="b">
        <v>0</v>
      </c>
      <c r="F1805" s="1" t="s">
        <v>15726</v>
      </c>
    </row>
    <row r="1806">
      <c r="A1806" s="1">
        <v>49833.0</v>
      </c>
      <c r="B1806" s="1">
        <v>4661.0</v>
      </c>
      <c r="C1806" s="1">
        <v>1.611206339E9</v>
      </c>
      <c r="D1806" s="1">
        <v>4.0</v>
      </c>
      <c r="E1806" s="1" t="b">
        <v>0</v>
      </c>
      <c r="F1806" s="1" t="s">
        <v>15727</v>
      </c>
    </row>
    <row r="1807">
      <c r="A1807" s="1">
        <v>49833.0</v>
      </c>
      <c r="B1807" s="1">
        <v>4673.0</v>
      </c>
      <c r="C1807" s="1">
        <v>1.611206342E9</v>
      </c>
      <c r="D1807" s="1">
        <v>4.0</v>
      </c>
      <c r="E1807" s="1" t="b">
        <v>0</v>
      </c>
      <c r="F1807" s="1" t="s">
        <v>15728</v>
      </c>
    </row>
    <row r="1808">
      <c r="A1808" s="1">
        <v>49833.0</v>
      </c>
      <c r="B1808" s="1">
        <v>4704.0</v>
      </c>
      <c r="C1808" s="1">
        <v>1.611214697E9</v>
      </c>
      <c r="D1808" s="1">
        <v>4.0</v>
      </c>
      <c r="E1808" s="1" t="b">
        <v>0</v>
      </c>
      <c r="F1808" s="1" t="s">
        <v>15729</v>
      </c>
    </row>
    <row r="1809">
      <c r="A1809" s="1">
        <v>49833.0</v>
      </c>
      <c r="B1809" s="1">
        <v>4725.0</v>
      </c>
      <c r="C1809" s="1">
        <v>1.611219324E9</v>
      </c>
      <c r="D1809" s="1">
        <v>4.0</v>
      </c>
      <c r="E1809" s="1" t="b">
        <v>0</v>
      </c>
      <c r="F1809" s="1" t="s">
        <v>15730</v>
      </c>
    </row>
    <row r="1810">
      <c r="A1810" s="1">
        <v>49833.0</v>
      </c>
      <c r="B1810" s="1">
        <v>4735.0</v>
      </c>
      <c r="C1810" s="1">
        <v>1.611219325E9</v>
      </c>
      <c r="D1810" s="1">
        <v>4.0</v>
      </c>
      <c r="E1810" s="1" t="b">
        <v>0</v>
      </c>
      <c r="F1810" s="1" t="s">
        <v>15731</v>
      </c>
    </row>
    <row r="1811">
      <c r="A1811" s="1">
        <v>49833.0</v>
      </c>
      <c r="B1811" s="1">
        <v>4782.0</v>
      </c>
      <c r="C1811" s="1">
        <v>1.611233486E9</v>
      </c>
      <c r="D1811" s="1">
        <v>4.0</v>
      </c>
      <c r="E1811" s="1" t="b">
        <v>0</v>
      </c>
      <c r="F1811" s="1" t="s">
        <v>15732</v>
      </c>
    </row>
    <row r="1812">
      <c r="A1812" s="1">
        <v>49833.0</v>
      </c>
      <c r="B1812" s="1">
        <v>4747.0</v>
      </c>
      <c r="C1812" s="1">
        <v>1.611220513E9</v>
      </c>
      <c r="D1812" s="1">
        <v>4.0</v>
      </c>
      <c r="E1812" s="1" t="b">
        <v>0</v>
      </c>
      <c r="F1812" s="1" t="s">
        <v>15733</v>
      </c>
    </row>
    <row r="1813">
      <c r="A1813" s="1">
        <v>49833.0</v>
      </c>
      <c r="B1813" s="1">
        <v>5411.0</v>
      </c>
      <c r="C1813" s="1">
        <v>1.611404408E9</v>
      </c>
      <c r="D1813" s="1">
        <v>4.0</v>
      </c>
      <c r="E1813" s="1" t="b">
        <v>0</v>
      </c>
      <c r="F1813" s="1" t="s">
        <v>15734</v>
      </c>
    </row>
    <row r="1814">
      <c r="A1814" s="1">
        <v>49833.0</v>
      </c>
      <c r="B1814" s="1">
        <v>5403.0</v>
      </c>
      <c r="C1814" s="1">
        <v>1.611404414E9</v>
      </c>
      <c r="D1814" s="1">
        <v>4.0</v>
      </c>
      <c r="E1814" s="1" t="b">
        <v>0</v>
      </c>
      <c r="F1814" s="1" t="s">
        <v>15735</v>
      </c>
    </row>
    <row r="1815">
      <c r="A1815" s="1">
        <v>49833.0</v>
      </c>
      <c r="B1815" s="1">
        <v>3371.0</v>
      </c>
      <c r="C1815" s="1">
        <v>1.61042238E9</v>
      </c>
      <c r="D1815" s="1">
        <v>4.0</v>
      </c>
      <c r="E1815" s="1" t="b">
        <v>0</v>
      </c>
      <c r="F1815" s="1" t="s">
        <v>14175</v>
      </c>
    </row>
    <row r="1816">
      <c r="A1816" s="1">
        <v>49833.0</v>
      </c>
      <c r="B1816" s="1">
        <v>17314.0</v>
      </c>
      <c r="C1816" s="1">
        <v>1.619779122E9</v>
      </c>
      <c r="D1816" s="1">
        <v>4.0</v>
      </c>
      <c r="E1816" s="1" t="b">
        <v>0</v>
      </c>
      <c r="F1816" s="1" t="s">
        <v>14335</v>
      </c>
    </row>
    <row r="1817">
      <c r="A1817" s="1">
        <v>49833.0</v>
      </c>
      <c r="B1817" s="1">
        <v>5094.0</v>
      </c>
      <c r="C1817" s="1">
        <v>1.611312407E9</v>
      </c>
      <c r="D1817" s="1">
        <v>4.0</v>
      </c>
      <c r="E1817" s="1" t="b">
        <v>0</v>
      </c>
      <c r="F1817" s="1" t="s">
        <v>15736</v>
      </c>
    </row>
    <row r="1818">
      <c r="A1818" s="1">
        <v>49833.0</v>
      </c>
      <c r="B1818" s="1">
        <v>4752.0</v>
      </c>
      <c r="C1818" s="1">
        <v>1.611224349E9</v>
      </c>
      <c r="D1818" s="1">
        <v>4.0</v>
      </c>
      <c r="E1818" s="1" t="b">
        <v>0</v>
      </c>
      <c r="F1818" s="1" t="s">
        <v>15737</v>
      </c>
    </row>
    <row r="1819">
      <c r="A1819" s="1">
        <v>49833.0</v>
      </c>
      <c r="B1819" s="1">
        <v>4753.0</v>
      </c>
      <c r="C1819" s="1">
        <v>1.61122435E9</v>
      </c>
      <c r="D1819" s="1">
        <v>4.0</v>
      </c>
      <c r="E1819" s="1" t="b">
        <v>0</v>
      </c>
      <c r="F1819" s="1" t="s">
        <v>15738</v>
      </c>
    </row>
    <row r="1820">
      <c r="A1820" s="1">
        <v>49833.0</v>
      </c>
      <c r="B1820" s="1">
        <v>4768.0</v>
      </c>
      <c r="C1820" s="1">
        <v>1.611224353E9</v>
      </c>
      <c r="D1820" s="1">
        <v>4.0</v>
      </c>
      <c r="E1820" s="1" t="b">
        <v>0</v>
      </c>
      <c r="F1820" s="1" t="s">
        <v>15739</v>
      </c>
    </row>
    <row r="1821">
      <c r="A1821" s="1">
        <v>49833.0</v>
      </c>
      <c r="B1821" s="1">
        <v>4754.0</v>
      </c>
      <c r="C1821" s="1">
        <v>1.611224352E9</v>
      </c>
      <c r="D1821" s="1">
        <v>4.0</v>
      </c>
      <c r="E1821" s="1" t="b">
        <v>0</v>
      </c>
      <c r="F1821" s="1" t="s">
        <v>15740</v>
      </c>
    </row>
    <row r="1822">
      <c r="A1822" s="1">
        <v>49833.0</v>
      </c>
      <c r="B1822" s="1">
        <v>4695.0</v>
      </c>
      <c r="C1822" s="1">
        <v>1.611214696E9</v>
      </c>
      <c r="D1822" s="1">
        <v>4.0</v>
      </c>
      <c r="E1822" s="1" t="b">
        <v>0</v>
      </c>
      <c r="F1822" s="1" t="s">
        <v>15741</v>
      </c>
    </row>
    <row r="1823">
      <c r="A1823" s="1">
        <v>49833.0</v>
      </c>
      <c r="B1823" s="1">
        <v>6212.0</v>
      </c>
      <c r="C1823" s="1">
        <v>1.611597691E9</v>
      </c>
      <c r="D1823" s="1">
        <v>4.0</v>
      </c>
      <c r="E1823" s="1" t="b">
        <v>0</v>
      </c>
      <c r="F1823" s="1" t="s">
        <v>15742</v>
      </c>
    </row>
    <row r="1824">
      <c r="A1824" s="1">
        <v>49833.0</v>
      </c>
      <c r="B1824" s="1">
        <v>4546.0</v>
      </c>
      <c r="C1824" s="1">
        <v>1.611239221E9</v>
      </c>
      <c r="D1824" s="1">
        <v>4.0</v>
      </c>
      <c r="E1824" s="1" t="b">
        <v>0</v>
      </c>
      <c r="F1824" s="1" t="s">
        <v>15743</v>
      </c>
    </row>
    <row r="1825">
      <c r="A1825" s="1">
        <v>49833.0</v>
      </c>
      <c r="B1825" s="1">
        <v>19331.0</v>
      </c>
      <c r="C1825" s="1">
        <v>1.622715057E9</v>
      </c>
      <c r="D1825" s="1">
        <v>4.0</v>
      </c>
      <c r="E1825" s="1" t="b">
        <v>0</v>
      </c>
      <c r="F1825" s="1" t="s">
        <v>15744</v>
      </c>
    </row>
    <row r="1826">
      <c r="A1826" s="1">
        <v>49833.0</v>
      </c>
      <c r="B1826" s="1">
        <v>4816.0</v>
      </c>
      <c r="C1826" s="1">
        <v>1.611243351E9</v>
      </c>
      <c r="D1826" s="1">
        <v>4.0</v>
      </c>
      <c r="E1826" s="1" t="b">
        <v>0</v>
      </c>
      <c r="F1826" s="1" t="s">
        <v>15745</v>
      </c>
    </row>
    <row r="1827">
      <c r="A1827" s="1">
        <v>49833.0</v>
      </c>
      <c r="B1827" s="1">
        <v>4821.0</v>
      </c>
      <c r="C1827" s="1">
        <v>1.611243353E9</v>
      </c>
      <c r="D1827" s="1">
        <v>4.0</v>
      </c>
      <c r="E1827" s="1" t="b">
        <v>0</v>
      </c>
      <c r="F1827" s="1" t="s">
        <v>15746</v>
      </c>
    </row>
    <row r="1828">
      <c r="A1828" s="1">
        <v>49833.0</v>
      </c>
      <c r="B1828" s="1">
        <v>4827.0</v>
      </c>
      <c r="C1828" s="1">
        <v>1.611243355E9</v>
      </c>
      <c r="D1828" s="1">
        <v>4.0</v>
      </c>
      <c r="E1828" s="1" t="b">
        <v>0</v>
      </c>
      <c r="F1828" s="1" t="s">
        <v>14338</v>
      </c>
    </row>
    <row r="1829">
      <c r="A1829" s="1">
        <v>49833.0</v>
      </c>
      <c r="B1829" s="1">
        <v>3238.0</v>
      </c>
      <c r="C1829" s="1">
        <v>1.611504556E9</v>
      </c>
      <c r="D1829" s="1">
        <v>4.0</v>
      </c>
      <c r="E1829" s="1" t="b">
        <v>0</v>
      </c>
      <c r="F1829" s="1" t="s">
        <v>15747</v>
      </c>
    </row>
    <row r="1830">
      <c r="A1830" s="1">
        <v>49833.0</v>
      </c>
      <c r="B1830" s="1">
        <v>4817.0</v>
      </c>
      <c r="C1830" s="1">
        <v>1.611237393E9</v>
      </c>
      <c r="D1830" s="1">
        <v>4.0</v>
      </c>
      <c r="E1830" s="1" t="b">
        <v>0</v>
      </c>
      <c r="F1830" s="1" t="s">
        <v>15748</v>
      </c>
    </row>
    <row r="1831">
      <c r="A1831" s="1">
        <v>49833.0</v>
      </c>
      <c r="B1831" s="1">
        <v>4844.0</v>
      </c>
      <c r="C1831" s="1">
        <v>1.611248024E9</v>
      </c>
      <c r="D1831" s="1">
        <v>4.0</v>
      </c>
      <c r="E1831" s="1" t="b">
        <v>0</v>
      </c>
      <c r="F1831" s="1" t="s">
        <v>15749</v>
      </c>
    </row>
    <row r="1832">
      <c r="A1832" s="1">
        <v>49833.0</v>
      </c>
      <c r="B1832" s="1">
        <v>4847.0</v>
      </c>
      <c r="C1832" s="1">
        <v>1.611248981E9</v>
      </c>
      <c r="D1832" s="1">
        <v>4.0</v>
      </c>
      <c r="E1832" s="1" t="b">
        <v>0</v>
      </c>
      <c r="F1832" s="1" t="s">
        <v>15750</v>
      </c>
    </row>
    <row r="1833">
      <c r="A1833" s="1">
        <v>49833.0</v>
      </c>
      <c r="B1833" s="1">
        <v>19230.0</v>
      </c>
      <c r="C1833" s="1">
        <v>1.622516568E9</v>
      </c>
      <c r="D1833" s="1">
        <v>4.0</v>
      </c>
      <c r="E1833" s="1" t="b">
        <v>0</v>
      </c>
      <c r="F1833" s="1" t="s">
        <v>15751</v>
      </c>
    </row>
    <row r="1834">
      <c r="A1834" s="1">
        <v>49833.0</v>
      </c>
      <c r="B1834" s="1">
        <v>4854.0</v>
      </c>
      <c r="C1834" s="1">
        <v>1.611287233E9</v>
      </c>
      <c r="D1834" s="1">
        <v>4.0</v>
      </c>
      <c r="E1834" s="1" t="b">
        <v>0</v>
      </c>
      <c r="F1834" s="1" t="s">
        <v>15752</v>
      </c>
    </row>
    <row r="1835">
      <c r="A1835" s="1">
        <v>49833.0</v>
      </c>
      <c r="B1835" s="1">
        <v>10508.0</v>
      </c>
      <c r="C1835" s="1">
        <v>1.61246818E9</v>
      </c>
      <c r="D1835" s="1">
        <v>4.0</v>
      </c>
      <c r="E1835" s="1" t="b">
        <v>0</v>
      </c>
      <c r="F1835" s="1" t="s">
        <v>15753</v>
      </c>
    </row>
    <row r="1836">
      <c r="A1836" s="1">
        <v>49833.0</v>
      </c>
      <c r="B1836" s="1">
        <v>5889.0</v>
      </c>
      <c r="C1836" s="1">
        <v>1.611504564E9</v>
      </c>
      <c r="D1836" s="1">
        <v>4.0</v>
      </c>
      <c r="E1836" s="1" t="b">
        <v>0</v>
      </c>
      <c r="F1836" s="1" t="s">
        <v>15754</v>
      </c>
    </row>
    <row r="1837">
      <c r="A1837" s="1">
        <v>49833.0</v>
      </c>
      <c r="B1837" s="1">
        <v>5437.0</v>
      </c>
      <c r="C1837" s="1">
        <v>1.611404974E9</v>
      </c>
      <c r="D1837" s="1">
        <v>4.0</v>
      </c>
      <c r="E1837" s="1" t="b">
        <v>0</v>
      </c>
      <c r="F1837" s="1" t="s">
        <v>15755</v>
      </c>
    </row>
    <row r="1838">
      <c r="A1838" s="1">
        <v>49833.0</v>
      </c>
      <c r="B1838" s="1">
        <v>5777.0</v>
      </c>
      <c r="C1838" s="1">
        <v>1.611504558E9</v>
      </c>
      <c r="D1838" s="1">
        <v>4.0</v>
      </c>
      <c r="E1838" s="1" t="b">
        <v>0</v>
      </c>
      <c r="F1838" s="1" t="s">
        <v>15756</v>
      </c>
    </row>
    <row r="1839">
      <c r="A1839" s="1">
        <v>49833.0</v>
      </c>
      <c r="B1839" s="1">
        <v>12539.0</v>
      </c>
      <c r="C1839" s="1">
        <v>1.613031423E9</v>
      </c>
      <c r="D1839" s="1">
        <v>4.0</v>
      </c>
      <c r="E1839" s="1" t="b">
        <v>0</v>
      </c>
      <c r="F1839" s="1" t="s">
        <v>15757</v>
      </c>
    </row>
    <row r="1840">
      <c r="A1840" s="1">
        <v>49833.0</v>
      </c>
      <c r="B1840" s="1">
        <v>17398.0</v>
      </c>
      <c r="C1840" s="1">
        <v>1.619779133E9</v>
      </c>
      <c r="D1840" s="1">
        <v>4.0</v>
      </c>
      <c r="E1840" s="1" t="b">
        <v>0</v>
      </c>
      <c r="F1840" s="1" t="s">
        <v>15525</v>
      </c>
    </row>
    <row r="1841">
      <c r="A1841" s="1">
        <v>49833.0</v>
      </c>
      <c r="B1841" s="1">
        <v>5902.0</v>
      </c>
      <c r="C1841" s="1">
        <v>1.611506242E9</v>
      </c>
      <c r="D1841" s="1">
        <v>4.0</v>
      </c>
      <c r="E1841" s="1" t="b">
        <v>0</v>
      </c>
      <c r="F1841" s="1" t="s">
        <v>14677</v>
      </c>
    </row>
    <row r="1842">
      <c r="A1842" s="1">
        <v>49833.0</v>
      </c>
      <c r="B1842" s="1">
        <v>7270.0</v>
      </c>
      <c r="C1842" s="1">
        <v>1.611835577E9</v>
      </c>
      <c r="D1842" s="1">
        <v>4.0</v>
      </c>
      <c r="E1842" s="1" t="b">
        <v>0</v>
      </c>
      <c r="F1842" s="1" t="s">
        <v>15758</v>
      </c>
    </row>
    <row r="1843">
      <c r="A1843" s="1">
        <v>49833.0</v>
      </c>
      <c r="B1843" s="1">
        <v>5355.0</v>
      </c>
      <c r="C1843" s="1">
        <v>1.611504558E9</v>
      </c>
      <c r="D1843" s="1">
        <v>4.0</v>
      </c>
      <c r="E1843" s="1" t="b">
        <v>0</v>
      </c>
      <c r="F1843" s="1" t="s">
        <v>15759</v>
      </c>
    </row>
    <row r="1844">
      <c r="A1844" s="1">
        <v>49833.0</v>
      </c>
      <c r="B1844" s="1">
        <v>5676.0</v>
      </c>
      <c r="C1844" s="1">
        <v>1.61150456E9</v>
      </c>
      <c r="D1844" s="1">
        <v>4.0</v>
      </c>
      <c r="E1844" s="1" t="b">
        <v>0</v>
      </c>
      <c r="F1844" s="1" t="s">
        <v>15760</v>
      </c>
    </row>
    <row r="1845">
      <c r="A1845" s="1">
        <v>49833.0</v>
      </c>
      <c r="B1845" s="1">
        <v>5834.0</v>
      </c>
      <c r="C1845" s="1">
        <v>1.611504561E9</v>
      </c>
      <c r="D1845" s="1">
        <v>4.0</v>
      </c>
      <c r="E1845" s="1" t="b">
        <v>0</v>
      </c>
      <c r="F1845" s="1" t="s">
        <v>15761</v>
      </c>
    </row>
    <row r="1846">
      <c r="A1846" s="1">
        <v>49833.0</v>
      </c>
      <c r="B1846" s="1">
        <v>5860.0</v>
      </c>
      <c r="C1846" s="1">
        <v>1.611504562E9</v>
      </c>
      <c r="D1846" s="1">
        <v>4.0</v>
      </c>
      <c r="E1846" s="1" t="b">
        <v>0</v>
      </c>
      <c r="F1846" s="1" t="s">
        <v>15762</v>
      </c>
    </row>
    <row r="1847">
      <c r="A1847" s="1">
        <v>49833.0</v>
      </c>
      <c r="B1847" s="1">
        <v>6358.0</v>
      </c>
      <c r="C1847" s="1">
        <v>1.611764307E9</v>
      </c>
      <c r="D1847" s="1">
        <v>4.0</v>
      </c>
      <c r="E1847" s="1" t="b">
        <v>0</v>
      </c>
      <c r="F1847" s="1" t="s">
        <v>15763</v>
      </c>
    </row>
    <row r="1848">
      <c r="A1848" s="1">
        <v>49833.0</v>
      </c>
      <c r="B1848" s="1">
        <v>6903.0</v>
      </c>
      <c r="C1848" s="1">
        <v>1.611764308E9</v>
      </c>
      <c r="D1848" s="1">
        <v>4.0</v>
      </c>
      <c r="E1848" s="1" t="b">
        <v>0</v>
      </c>
      <c r="F1848" s="1" t="s">
        <v>15764</v>
      </c>
    </row>
    <row r="1849">
      <c r="A1849" s="1">
        <v>49833.0</v>
      </c>
      <c r="B1849" s="1">
        <v>6785.0</v>
      </c>
      <c r="C1849" s="1">
        <v>1.611764311E9</v>
      </c>
      <c r="D1849" s="1">
        <v>4.0</v>
      </c>
      <c r="E1849" s="1" t="b">
        <v>0</v>
      </c>
      <c r="F1849" s="1" t="s">
        <v>15045</v>
      </c>
    </row>
    <row r="1850">
      <c r="A1850" s="1">
        <v>49833.0</v>
      </c>
      <c r="B1850" s="1">
        <v>6725.0</v>
      </c>
      <c r="C1850" s="1">
        <v>1.611764312E9</v>
      </c>
      <c r="D1850" s="1">
        <v>4.0</v>
      </c>
      <c r="E1850" s="1" t="b">
        <v>0</v>
      </c>
      <c r="F1850" s="1" t="s">
        <v>15765</v>
      </c>
    </row>
    <row r="1851">
      <c r="A1851" s="1">
        <v>49833.0</v>
      </c>
      <c r="B1851" s="1">
        <v>2035.0</v>
      </c>
      <c r="C1851" s="1">
        <v>1.607270707E9</v>
      </c>
      <c r="D1851" s="1">
        <v>4.0</v>
      </c>
      <c r="E1851" s="1" t="b">
        <v>0</v>
      </c>
      <c r="F1851" s="1" t="s">
        <v>15766</v>
      </c>
    </row>
    <row r="1852">
      <c r="A1852" s="1">
        <v>49833.0</v>
      </c>
      <c r="B1852" s="1">
        <v>12707.0</v>
      </c>
      <c r="C1852" s="1">
        <v>1.613048205E9</v>
      </c>
      <c r="D1852" s="1">
        <v>4.0</v>
      </c>
      <c r="E1852" s="1" t="b">
        <v>0</v>
      </c>
      <c r="F1852" s="1" t="s">
        <v>15767</v>
      </c>
    </row>
    <row r="1853">
      <c r="A1853" s="1">
        <v>49833.0</v>
      </c>
      <c r="B1853" s="1">
        <v>4908.0</v>
      </c>
      <c r="C1853" s="1">
        <v>1.611263452E9</v>
      </c>
      <c r="D1853" s="1">
        <v>9.0</v>
      </c>
      <c r="E1853" s="1" t="b">
        <v>0</v>
      </c>
      <c r="F1853" s="1" t="s">
        <v>15768</v>
      </c>
    </row>
    <row r="1854">
      <c r="A1854" s="1">
        <v>49833.0</v>
      </c>
      <c r="B1854" s="1">
        <v>4867.0</v>
      </c>
      <c r="C1854" s="1">
        <v>1.611287236E9</v>
      </c>
      <c r="D1854" s="1">
        <v>4.0</v>
      </c>
      <c r="E1854" s="1" t="b">
        <v>0</v>
      </c>
      <c r="F1854" s="1" t="s">
        <v>14843</v>
      </c>
    </row>
    <row r="1855">
      <c r="A1855" s="1">
        <v>49833.0</v>
      </c>
      <c r="B1855" s="1">
        <v>4869.0</v>
      </c>
      <c r="C1855" s="1">
        <v>1.611287237E9</v>
      </c>
      <c r="D1855" s="1">
        <v>4.0</v>
      </c>
      <c r="E1855" s="1" t="b">
        <v>0</v>
      </c>
      <c r="F1855" s="1" t="s">
        <v>15769</v>
      </c>
    </row>
    <row r="1856">
      <c r="A1856" s="1">
        <v>49833.0</v>
      </c>
      <c r="B1856" s="1">
        <v>4879.0</v>
      </c>
      <c r="C1856" s="1">
        <v>1.611287238E9</v>
      </c>
      <c r="D1856" s="1">
        <v>4.0</v>
      </c>
      <c r="E1856" s="1" t="b">
        <v>0</v>
      </c>
      <c r="F1856" s="1" t="s">
        <v>15770</v>
      </c>
    </row>
    <row r="1857">
      <c r="A1857" s="1">
        <v>49833.0</v>
      </c>
      <c r="B1857" s="1">
        <v>4883.0</v>
      </c>
      <c r="C1857" s="1">
        <v>1.61128724E9</v>
      </c>
      <c r="D1857" s="1">
        <v>4.0</v>
      </c>
      <c r="E1857" s="1" t="b">
        <v>0</v>
      </c>
      <c r="F1857" s="1" t="s">
        <v>15771</v>
      </c>
    </row>
    <row r="1858">
      <c r="A1858" s="1">
        <v>49833.0</v>
      </c>
      <c r="B1858" s="1">
        <v>4887.0</v>
      </c>
      <c r="C1858" s="1">
        <v>1.611287256E9</v>
      </c>
      <c r="D1858" s="1">
        <v>4.0</v>
      </c>
      <c r="E1858" s="1" t="b">
        <v>0</v>
      </c>
      <c r="F1858" s="1" t="s">
        <v>15772</v>
      </c>
    </row>
    <row r="1859">
      <c r="A1859" s="1">
        <v>49833.0</v>
      </c>
      <c r="B1859" s="1">
        <v>6417.0</v>
      </c>
      <c r="C1859" s="1">
        <v>1.611764355E9</v>
      </c>
      <c r="D1859" s="1">
        <v>4.0</v>
      </c>
      <c r="E1859" s="1" t="b">
        <v>0</v>
      </c>
      <c r="F1859" s="1" t="s">
        <v>15773</v>
      </c>
    </row>
    <row r="1860">
      <c r="A1860" s="1">
        <v>49833.0</v>
      </c>
      <c r="B1860" s="1">
        <v>4931.0</v>
      </c>
      <c r="C1860" s="1">
        <v>1.611287261E9</v>
      </c>
      <c r="D1860" s="1">
        <v>4.0</v>
      </c>
      <c r="E1860" s="1" t="b">
        <v>0</v>
      </c>
      <c r="F1860" s="1" t="s">
        <v>15774</v>
      </c>
    </row>
    <row r="1861">
      <c r="A1861" s="1">
        <v>49833.0</v>
      </c>
      <c r="B1861" s="1">
        <v>10512.0</v>
      </c>
      <c r="C1861" s="1">
        <v>1.612468182E9</v>
      </c>
      <c r="D1861" s="1">
        <v>4.0</v>
      </c>
      <c r="E1861" s="1" t="b">
        <v>0</v>
      </c>
      <c r="F1861" s="1" t="s">
        <v>15775</v>
      </c>
    </row>
    <row r="1862">
      <c r="A1862" s="1">
        <v>49833.0</v>
      </c>
      <c r="B1862" s="1">
        <v>5446.0</v>
      </c>
      <c r="C1862" s="1">
        <v>1.611423356E9</v>
      </c>
      <c r="D1862" s="1">
        <v>4.0</v>
      </c>
      <c r="E1862" s="1" t="b">
        <v>0</v>
      </c>
      <c r="F1862" s="1" t="s">
        <v>15776</v>
      </c>
    </row>
    <row r="1863">
      <c r="A1863" s="1">
        <v>49833.0</v>
      </c>
      <c r="B1863" s="1">
        <v>5047.0</v>
      </c>
      <c r="C1863" s="1">
        <v>1.611304228E9</v>
      </c>
      <c r="D1863" s="1">
        <v>4.0</v>
      </c>
      <c r="E1863" s="1" t="b">
        <v>0</v>
      </c>
      <c r="F1863" s="1" t="s">
        <v>15777</v>
      </c>
    </row>
    <row r="1864">
      <c r="A1864" s="1">
        <v>49833.0</v>
      </c>
      <c r="B1864" s="1">
        <v>8188.0</v>
      </c>
      <c r="C1864" s="1">
        <v>1.61199918E9</v>
      </c>
      <c r="D1864" s="1">
        <v>4.0</v>
      </c>
      <c r="E1864" s="1" t="b">
        <v>0</v>
      </c>
      <c r="F1864" s="1" t="s">
        <v>15778</v>
      </c>
    </row>
    <row r="1865">
      <c r="A1865" s="1">
        <v>49833.0</v>
      </c>
      <c r="B1865" s="1">
        <v>7785.0</v>
      </c>
      <c r="C1865" s="1">
        <v>1.611909958E9</v>
      </c>
      <c r="D1865" s="1">
        <v>4.0</v>
      </c>
      <c r="E1865" s="1" t="b">
        <v>0</v>
      </c>
      <c r="F1865" s="1" t="s">
        <v>15779</v>
      </c>
    </row>
    <row r="1866">
      <c r="A1866" s="1">
        <v>49833.0</v>
      </c>
      <c r="B1866" s="1">
        <v>9442.0</v>
      </c>
      <c r="C1866" s="1">
        <v>1.612165221E9</v>
      </c>
      <c r="D1866" s="1">
        <v>4.0</v>
      </c>
      <c r="E1866" s="1" t="b">
        <v>0</v>
      </c>
      <c r="F1866" s="1" t="s">
        <v>15780</v>
      </c>
    </row>
    <row r="1867">
      <c r="A1867" s="1">
        <v>49833.0</v>
      </c>
      <c r="B1867" s="1">
        <v>18880.0</v>
      </c>
      <c r="C1867" s="1">
        <v>1.622092641E9</v>
      </c>
      <c r="D1867" s="1">
        <v>4.0</v>
      </c>
      <c r="E1867" s="1" t="b">
        <v>0</v>
      </c>
      <c r="F1867" s="1" t="s">
        <v>15781</v>
      </c>
    </row>
    <row r="1868">
      <c r="A1868" s="1">
        <v>49833.0</v>
      </c>
      <c r="B1868" s="1">
        <v>4912.0</v>
      </c>
      <c r="C1868" s="1">
        <v>1.611287259E9</v>
      </c>
      <c r="D1868" s="1">
        <v>4.0</v>
      </c>
      <c r="E1868" s="1" t="b">
        <v>0</v>
      </c>
      <c r="F1868" s="1" t="s">
        <v>15782</v>
      </c>
    </row>
    <row r="1869">
      <c r="A1869" s="1">
        <v>49833.0</v>
      </c>
      <c r="B1869" s="1">
        <v>4970.0</v>
      </c>
      <c r="C1869" s="1">
        <v>1.611294954E9</v>
      </c>
      <c r="D1869" s="1">
        <v>4.0</v>
      </c>
      <c r="E1869" s="1" t="b">
        <v>0</v>
      </c>
      <c r="F1869" s="1" t="s">
        <v>15783</v>
      </c>
    </row>
    <row r="1870">
      <c r="A1870" s="1">
        <v>49833.0</v>
      </c>
      <c r="B1870" s="1">
        <v>5678.0</v>
      </c>
      <c r="C1870" s="1">
        <v>1.611504565E9</v>
      </c>
      <c r="D1870" s="1">
        <v>4.0</v>
      </c>
      <c r="E1870" s="1" t="b">
        <v>0</v>
      </c>
      <c r="F1870" s="1" t="s">
        <v>15784</v>
      </c>
    </row>
    <row r="1871">
      <c r="A1871" s="1">
        <v>49833.0</v>
      </c>
      <c r="B1871" s="1">
        <v>5743.0</v>
      </c>
      <c r="C1871" s="1">
        <v>1.611504566E9</v>
      </c>
      <c r="D1871" s="1">
        <v>4.0</v>
      </c>
      <c r="E1871" s="1" t="b">
        <v>0</v>
      </c>
      <c r="F1871" s="1" t="s">
        <v>15785</v>
      </c>
    </row>
    <row r="1872">
      <c r="A1872" s="1">
        <v>49833.0</v>
      </c>
      <c r="B1872" s="1">
        <v>5779.0</v>
      </c>
      <c r="C1872" s="1">
        <v>1.611504567E9</v>
      </c>
      <c r="D1872" s="1">
        <v>4.0</v>
      </c>
      <c r="E1872" s="1" t="b">
        <v>0</v>
      </c>
      <c r="F1872" s="1" t="s">
        <v>15786</v>
      </c>
    </row>
    <row r="1873">
      <c r="A1873" s="1">
        <v>49833.0</v>
      </c>
      <c r="B1873" s="1">
        <v>6570.0</v>
      </c>
      <c r="C1873" s="1">
        <v>1.611764313E9</v>
      </c>
      <c r="D1873" s="1">
        <v>4.0</v>
      </c>
      <c r="E1873" s="1" t="b">
        <v>0</v>
      </c>
      <c r="F1873" s="1" t="s">
        <v>15787</v>
      </c>
    </row>
    <row r="1874">
      <c r="A1874" s="1">
        <v>49833.0</v>
      </c>
      <c r="B1874" s="1">
        <v>6786.0</v>
      </c>
      <c r="C1874" s="1">
        <v>1.611764315E9</v>
      </c>
      <c r="D1874" s="1">
        <v>4.0</v>
      </c>
      <c r="E1874" s="1" t="b">
        <v>0</v>
      </c>
      <c r="F1874" s="1" t="s">
        <v>15788</v>
      </c>
    </row>
    <row r="1875">
      <c r="A1875" s="1">
        <v>49833.0</v>
      </c>
      <c r="B1875" s="1">
        <v>17131.0</v>
      </c>
      <c r="C1875" s="1">
        <v>1.619077471E9</v>
      </c>
      <c r="D1875" s="1">
        <v>4.0</v>
      </c>
      <c r="E1875" s="1" t="b">
        <v>0</v>
      </c>
      <c r="F1875" s="1" t="s">
        <v>15789</v>
      </c>
    </row>
    <row r="1876">
      <c r="A1876" s="1">
        <v>49833.0</v>
      </c>
      <c r="B1876" s="1">
        <v>17120.0</v>
      </c>
      <c r="C1876" s="1">
        <v>1.619077084E9</v>
      </c>
      <c r="D1876" s="1">
        <v>4.0</v>
      </c>
      <c r="E1876" s="1" t="b">
        <v>0</v>
      </c>
      <c r="F1876" s="1" t="s">
        <v>15790</v>
      </c>
    </row>
    <row r="1877">
      <c r="A1877" s="1">
        <v>49833.0</v>
      </c>
      <c r="B1877" s="1">
        <v>5014.0</v>
      </c>
      <c r="C1877" s="1">
        <v>1.611304212E9</v>
      </c>
      <c r="D1877" s="1">
        <v>4.0</v>
      </c>
      <c r="E1877" s="1" t="b">
        <v>0</v>
      </c>
      <c r="F1877" s="1" t="s">
        <v>15791</v>
      </c>
    </row>
    <row r="1878">
      <c r="A1878" s="1">
        <v>49833.0</v>
      </c>
      <c r="B1878" s="1">
        <v>5021.0</v>
      </c>
      <c r="C1878" s="1">
        <v>1.611304213E9</v>
      </c>
      <c r="D1878" s="1">
        <v>4.0</v>
      </c>
      <c r="E1878" s="1" t="b">
        <v>0</v>
      </c>
      <c r="F1878" s="1" t="s">
        <v>15792</v>
      </c>
    </row>
    <row r="1879">
      <c r="A1879" s="1">
        <v>49833.0</v>
      </c>
      <c r="B1879" s="1">
        <v>5027.0</v>
      </c>
      <c r="C1879" s="1">
        <v>1.611304216E9</v>
      </c>
      <c r="D1879" s="1">
        <v>4.0</v>
      </c>
      <c r="E1879" s="1" t="b">
        <v>0</v>
      </c>
      <c r="F1879" s="1" t="s">
        <v>15793</v>
      </c>
    </row>
    <row r="1880">
      <c r="A1880" s="1">
        <v>49833.0</v>
      </c>
      <c r="B1880" s="1">
        <v>5032.0</v>
      </c>
      <c r="C1880" s="1">
        <v>1.611304217E9</v>
      </c>
      <c r="D1880" s="1">
        <v>4.0</v>
      </c>
      <c r="E1880" s="1" t="b">
        <v>0</v>
      </c>
      <c r="F1880" s="1" t="s">
        <v>15794</v>
      </c>
    </row>
    <row r="1881">
      <c r="A1881" s="1">
        <v>49833.0</v>
      </c>
      <c r="B1881" s="1">
        <v>5028.0</v>
      </c>
      <c r="C1881" s="1">
        <v>1.611304218E9</v>
      </c>
      <c r="D1881" s="1">
        <v>4.0</v>
      </c>
      <c r="E1881" s="1" t="b">
        <v>0</v>
      </c>
      <c r="F1881" s="1" t="s">
        <v>15795</v>
      </c>
    </row>
    <row r="1882">
      <c r="A1882" s="1">
        <v>49833.0</v>
      </c>
      <c r="B1882" s="1">
        <v>5022.0</v>
      </c>
      <c r="C1882" s="1">
        <v>1.611304219E9</v>
      </c>
      <c r="D1882" s="1">
        <v>4.0</v>
      </c>
      <c r="E1882" s="1" t="b">
        <v>0</v>
      </c>
      <c r="F1882" s="1" t="s">
        <v>15796</v>
      </c>
    </row>
    <row r="1883">
      <c r="A1883" s="1">
        <v>49833.0</v>
      </c>
      <c r="B1883" s="1">
        <v>5035.0</v>
      </c>
      <c r="C1883" s="1">
        <v>1.61130422E9</v>
      </c>
      <c r="D1883" s="1">
        <v>4.0</v>
      </c>
      <c r="E1883" s="1" t="b">
        <v>0</v>
      </c>
      <c r="F1883" s="1" t="s">
        <v>15797</v>
      </c>
    </row>
    <row r="1884">
      <c r="A1884" s="1">
        <v>49833.0</v>
      </c>
      <c r="B1884" s="1">
        <v>5039.0</v>
      </c>
      <c r="C1884" s="1">
        <v>1.611304222E9</v>
      </c>
      <c r="D1884" s="1">
        <v>4.0</v>
      </c>
      <c r="E1884" s="1" t="b">
        <v>0</v>
      </c>
      <c r="F1884" s="1" t="s">
        <v>15798</v>
      </c>
    </row>
    <row r="1885">
      <c r="A1885" s="1">
        <v>49833.0</v>
      </c>
      <c r="B1885" s="1">
        <v>5041.0</v>
      </c>
      <c r="C1885" s="1">
        <v>1.611304223E9</v>
      </c>
      <c r="D1885" s="1">
        <v>4.0</v>
      </c>
      <c r="E1885" s="1" t="b">
        <v>0</v>
      </c>
      <c r="F1885" s="1" t="s">
        <v>15799</v>
      </c>
    </row>
    <row r="1886">
      <c r="A1886" s="1">
        <v>49833.0</v>
      </c>
      <c r="B1886" s="1">
        <v>5000.0</v>
      </c>
      <c r="C1886" s="1">
        <v>1.611304225E9</v>
      </c>
      <c r="D1886" s="1">
        <v>4.0</v>
      </c>
      <c r="E1886" s="1" t="b">
        <v>0</v>
      </c>
      <c r="F1886" s="1" t="s">
        <v>15800</v>
      </c>
    </row>
    <row r="1887">
      <c r="A1887" s="1">
        <v>49833.0</v>
      </c>
      <c r="B1887" s="1">
        <v>5018.0</v>
      </c>
      <c r="C1887" s="1">
        <v>1.611304226E9</v>
      </c>
      <c r="D1887" s="1">
        <v>4.0</v>
      </c>
      <c r="E1887" s="1" t="b">
        <v>0</v>
      </c>
      <c r="F1887" s="1" t="s">
        <v>15801</v>
      </c>
    </row>
    <row r="1888">
      <c r="A1888" s="1">
        <v>49833.0</v>
      </c>
      <c r="B1888" s="1">
        <v>5023.0</v>
      </c>
      <c r="C1888" s="1">
        <v>1.611304227E9</v>
      </c>
      <c r="D1888" s="1">
        <v>4.0</v>
      </c>
      <c r="E1888" s="1" t="b">
        <v>0</v>
      </c>
      <c r="F1888" s="1" t="s">
        <v>15802</v>
      </c>
    </row>
    <row r="1889">
      <c r="A1889" s="1">
        <v>49833.0</v>
      </c>
      <c r="B1889" s="1">
        <v>5049.0</v>
      </c>
      <c r="C1889" s="1">
        <v>1.61130423E9</v>
      </c>
      <c r="D1889" s="1">
        <v>4.0</v>
      </c>
      <c r="E1889" s="1" t="b">
        <v>0</v>
      </c>
      <c r="F1889" s="1" t="s">
        <v>15803</v>
      </c>
    </row>
    <row r="1890">
      <c r="A1890" s="1">
        <v>49833.0</v>
      </c>
      <c r="B1890" s="1">
        <v>5059.0</v>
      </c>
      <c r="C1890" s="1">
        <v>1.611305313E9</v>
      </c>
      <c r="D1890" s="1">
        <v>4.0</v>
      </c>
      <c r="E1890" s="1" t="b">
        <v>0</v>
      </c>
      <c r="F1890" s="1" t="s">
        <v>15804</v>
      </c>
    </row>
    <row r="1891">
      <c r="A1891" s="1">
        <v>49833.0</v>
      </c>
      <c r="B1891" s="1">
        <v>5053.0</v>
      </c>
      <c r="C1891" s="1">
        <v>1.611305314E9</v>
      </c>
      <c r="D1891" s="1">
        <v>4.0</v>
      </c>
      <c r="E1891" s="1" t="b">
        <v>0</v>
      </c>
      <c r="F1891" s="1" t="s">
        <v>15805</v>
      </c>
    </row>
    <row r="1892">
      <c r="A1892" s="1">
        <v>49833.0</v>
      </c>
      <c r="B1892" s="1">
        <v>4815.0</v>
      </c>
      <c r="C1892" s="1">
        <v>1.611305315E9</v>
      </c>
      <c r="D1892" s="1">
        <v>4.0</v>
      </c>
      <c r="E1892" s="1" t="b">
        <v>0</v>
      </c>
      <c r="F1892" s="1" t="s">
        <v>15806</v>
      </c>
    </row>
    <row r="1893">
      <c r="A1893" s="1">
        <v>49833.0</v>
      </c>
      <c r="B1893" s="1">
        <v>5061.0</v>
      </c>
      <c r="C1893" s="1">
        <v>1.611306251E9</v>
      </c>
      <c r="D1893" s="1">
        <v>4.0</v>
      </c>
      <c r="E1893" s="1" t="b">
        <v>0</v>
      </c>
      <c r="F1893" s="1" t="s">
        <v>15807</v>
      </c>
    </row>
    <row r="1894">
      <c r="A1894" s="1">
        <v>49833.0</v>
      </c>
      <c r="B1894" s="1">
        <v>5070.0</v>
      </c>
      <c r="C1894" s="1">
        <v>1.611312401E9</v>
      </c>
      <c r="D1894" s="1">
        <v>4.0</v>
      </c>
      <c r="E1894" s="1" t="b">
        <v>0</v>
      </c>
      <c r="F1894" s="1" t="s">
        <v>14335</v>
      </c>
    </row>
    <row r="1895">
      <c r="A1895" s="1">
        <v>49833.0</v>
      </c>
      <c r="B1895" s="1">
        <v>5085.0</v>
      </c>
      <c r="C1895" s="1">
        <v>1.611312404E9</v>
      </c>
      <c r="D1895" s="1">
        <v>4.0</v>
      </c>
      <c r="E1895" s="1" t="b">
        <v>0</v>
      </c>
      <c r="F1895" s="1" t="s">
        <v>15808</v>
      </c>
    </row>
    <row r="1896">
      <c r="A1896" s="1">
        <v>49833.0</v>
      </c>
      <c r="B1896" s="1">
        <v>5096.0</v>
      </c>
      <c r="C1896" s="1">
        <v>1.611312409E9</v>
      </c>
      <c r="D1896" s="1">
        <v>4.0</v>
      </c>
      <c r="E1896" s="1" t="b">
        <v>0</v>
      </c>
      <c r="F1896" s="1" t="s">
        <v>15719</v>
      </c>
    </row>
    <row r="1897">
      <c r="A1897" s="1">
        <v>49833.0</v>
      </c>
      <c r="B1897" s="1">
        <v>5104.0</v>
      </c>
      <c r="C1897" s="1">
        <v>1.61131241E9</v>
      </c>
      <c r="D1897" s="1">
        <v>4.0</v>
      </c>
      <c r="E1897" s="1" t="b">
        <v>0</v>
      </c>
      <c r="F1897" s="1" t="s">
        <v>15809</v>
      </c>
    </row>
    <row r="1898">
      <c r="A1898" s="1">
        <v>49833.0</v>
      </c>
      <c r="B1898" s="1">
        <v>5074.0</v>
      </c>
      <c r="C1898" s="1">
        <v>1.611312402E9</v>
      </c>
      <c r="D1898" s="1">
        <v>4.0</v>
      </c>
      <c r="E1898" s="1" t="b">
        <v>0</v>
      </c>
      <c r="F1898" s="1" t="s">
        <v>15810</v>
      </c>
    </row>
    <row r="1899">
      <c r="A1899" s="1">
        <v>49833.0</v>
      </c>
      <c r="B1899" s="1">
        <v>5106.0</v>
      </c>
      <c r="C1899" s="1">
        <v>1.611312479E9</v>
      </c>
      <c r="D1899" s="1">
        <v>4.0</v>
      </c>
      <c r="E1899" s="1" t="b">
        <v>0</v>
      </c>
      <c r="F1899" s="1" t="s">
        <v>15811</v>
      </c>
    </row>
    <row r="1900">
      <c r="A1900" s="1">
        <v>49833.0</v>
      </c>
      <c r="B1900" s="1">
        <v>17114.0</v>
      </c>
      <c r="C1900" s="1">
        <v>1.61907708E9</v>
      </c>
      <c r="D1900" s="1">
        <v>4.0</v>
      </c>
      <c r="E1900" s="1" t="b">
        <v>0</v>
      </c>
      <c r="F1900" s="1" t="s">
        <v>15812</v>
      </c>
    </row>
    <row r="1901">
      <c r="A1901" s="1">
        <v>49833.0</v>
      </c>
      <c r="B1901" s="1">
        <v>17121.0</v>
      </c>
      <c r="C1901" s="1">
        <v>1.619077076E9</v>
      </c>
      <c r="D1901" s="1">
        <v>4.0</v>
      </c>
      <c r="E1901" s="1" t="b">
        <v>0</v>
      </c>
      <c r="F1901" s="1" t="s">
        <v>15437</v>
      </c>
    </row>
    <row r="1902">
      <c r="A1902" s="1">
        <v>49833.0</v>
      </c>
      <c r="B1902" s="1">
        <v>17119.0</v>
      </c>
      <c r="C1902" s="1">
        <v>1.619077074E9</v>
      </c>
      <c r="D1902" s="1">
        <v>4.0</v>
      </c>
      <c r="E1902" s="1" t="b">
        <v>0</v>
      </c>
      <c r="F1902" s="1" t="s">
        <v>15813</v>
      </c>
    </row>
    <row r="1903">
      <c r="A1903" s="1">
        <v>49833.0</v>
      </c>
      <c r="B1903" s="1">
        <v>19378.0</v>
      </c>
      <c r="C1903" s="1">
        <v>1.622644332E9</v>
      </c>
      <c r="D1903" s="1">
        <v>4.0</v>
      </c>
      <c r="E1903" s="1" t="b">
        <v>0</v>
      </c>
      <c r="F1903" s="1" t="s">
        <v>15814</v>
      </c>
    </row>
    <row r="1904">
      <c r="A1904" s="1">
        <v>49833.0</v>
      </c>
      <c r="B1904" s="1">
        <v>17116.0</v>
      </c>
      <c r="C1904" s="1">
        <v>1.619077072E9</v>
      </c>
      <c r="D1904" s="1">
        <v>4.0</v>
      </c>
      <c r="E1904" s="1" t="b">
        <v>0</v>
      </c>
      <c r="F1904" s="1" t="s">
        <v>15815</v>
      </c>
    </row>
    <row r="1905">
      <c r="A1905" s="1">
        <v>49833.0</v>
      </c>
      <c r="B1905" s="1">
        <v>5102.0</v>
      </c>
      <c r="C1905" s="1">
        <v>1.611318186E9</v>
      </c>
      <c r="D1905" s="1">
        <v>4.0</v>
      </c>
      <c r="E1905" s="1" t="b">
        <v>0</v>
      </c>
      <c r="F1905" s="1" t="s">
        <v>15816</v>
      </c>
    </row>
    <row r="1906">
      <c r="A1906" s="1">
        <v>49833.0</v>
      </c>
      <c r="B1906" s="1">
        <v>5442.0</v>
      </c>
      <c r="C1906" s="1">
        <v>1.611423357E9</v>
      </c>
      <c r="D1906" s="1">
        <v>4.0</v>
      </c>
      <c r="E1906" s="1" t="b">
        <v>0</v>
      </c>
      <c r="F1906" s="1" t="s">
        <v>15258</v>
      </c>
    </row>
    <row r="1907">
      <c r="A1907" s="1">
        <v>49833.0</v>
      </c>
      <c r="B1907" s="1">
        <v>10483.0</v>
      </c>
      <c r="C1907" s="1">
        <v>1.612468188E9</v>
      </c>
      <c r="D1907" s="1">
        <v>4.0</v>
      </c>
      <c r="E1907" s="1" t="b">
        <v>0</v>
      </c>
      <c r="F1907" s="1" t="s">
        <v>15817</v>
      </c>
    </row>
    <row r="1908">
      <c r="A1908" s="1">
        <v>49833.0</v>
      </c>
      <c r="B1908" s="1">
        <v>6490.0</v>
      </c>
      <c r="C1908" s="1">
        <v>1.611764316E9</v>
      </c>
      <c r="D1908" s="1">
        <v>4.0</v>
      </c>
      <c r="E1908" s="1" t="b">
        <v>0</v>
      </c>
      <c r="F1908" s="1" t="s">
        <v>15818</v>
      </c>
    </row>
    <row r="1909">
      <c r="A1909" s="1">
        <v>49833.0</v>
      </c>
      <c r="B1909" s="1">
        <v>5418.0</v>
      </c>
      <c r="C1909" s="1">
        <v>1.611404409E9</v>
      </c>
      <c r="D1909" s="1">
        <v>4.0</v>
      </c>
      <c r="E1909" s="1" t="b">
        <v>0</v>
      </c>
      <c r="F1909" s="1" t="s">
        <v>15819</v>
      </c>
    </row>
    <row r="1910">
      <c r="A1910" s="1">
        <v>49833.0</v>
      </c>
      <c r="B1910" s="1">
        <v>5428.0</v>
      </c>
      <c r="C1910" s="1">
        <v>1.61140441E9</v>
      </c>
      <c r="D1910" s="1">
        <v>4.0</v>
      </c>
      <c r="E1910" s="1" t="b">
        <v>0</v>
      </c>
      <c r="F1910" s="1" t="s">
        <v>15820</v>
      </c>
    </row>
    <row r="1911">
      <c r="A1911" s="1">
        <v>49833.0</v>
      </c>
      <c r="B1911" s="1">
        <v>5451.0</v>
      </c>
      <c r="C1911" s="1">
        <v>1.611423366E9</v>
      </c>
      <c r="D1911" s="1">
        <v>4.0</v>
      </c>
      <c r="E1911" s="1" t="b">
        <v>0</v>
      </c>
      <c r="F1911" s="1" t="s">
        <v>15612</v>
      </c>
    </row>
    <row r="1912">
      <c r="A1912" s="1">
        <v>49833.0</v>
      </c>
      <c r="B1912" s="1">
        <v>12916.0</v>
      </c>
      <c r="C1912" s="1">
        <v>1.613115362E9</v>
      </c>
      <c r="D1912" s="1">
        <v>4.0</v>
      </c>
      <c r="E1912" s="1" t="b">
        <v>0</v>
      </c>
      <c r="F1912" s="1" t="s">
        <v>15821</v>
      </c>
    </row>
    <row r="1913">
      <c r="A1913" s="1">
        <v>49833.0</v>
      </c>
      <c r="B1913" s="1">
        <v>6788.0</v>
      </c>
      <c r="C1913" s="1">
        <v>1.611764319E9</v>
      </c>
      <c r="D1913" s="1">
        <v>4.0</v>
      </c>
      <c r="E1913" s="1" t="b">
        <v>0</v>
      </c>
      <c r="F1913" s="1" t="s">
        <v>15822</v>
      </c>
    </row>
    <row r="1914">
      <c r="A1914" s="1">
        <v>49833.0</v>
      </c>
      <c r="B1914" s="1">
        <v>5175.0</v>
      </c>
      <c r="C1914" s="1">
        <v>1.611332217E9</v>
      </c>
      <c r="D1914" s="1">
        <v>4.0</v>
      </c>
      <c r="E1914" s="1" t="b">
        <v>0</v>
      </c>
      <c r="F1914" s="1" t="s">
        <v>15823</v>
      </c>
    </row>
    <row r="1915">
      <c r="A1915" s="1">
        <v>49833.0</v>
      </c>
      <c r="B1915" s="1">
        <v>7278.0</v>
      </c>
      <c r="C1915" s="1">
        <v>1.611835584E9</v>
      </c>
      <c r="D1915" s="1">
        <v>4.0</v>
      </c>
      <c r="E1915" s="1" t="b">
        <v>0</v>
      </c>
      <c r="F1915" s="1" t="s">
        <v>15824</v>
      </c>
    </row>
    <row r="1916">
      <c r="A1916" s="1">
        <v>49833.0</v>
      </c>
      <c r="B1916" s="1">
        <v>7211.0</v>
      </c>
      <c r="C1916" s="1">
        <v>1.611835594E9</v>
      </c>
      <c r="D1916" s="1">
        <v>4.0</v>
      </c>
      <c r="E1916" s="1" t="b">
        <v>0</v>
      </c>
      <c r="F1916" s="1" t="s">
        <v>15825</v>
      </c>
    </row>
    <row r="1917">
      <c r="A1917" s="1">
        <v>49833.0</v>
      </c>
      <c r="B1917" s="1">
        <v>17135.0</v>
      </c>
      <c r="C1917" s="1">
        <v>1.619428033E9</v>
      </c>
      <c r="D1917" s="1">
        <v>4.0</v>
      </c>
      <c r="E1917" s="1" t="b">
        <v>0</v>
      </c>
      <c r="F1917" s="1" t="s">
        <v>15826</v>
      </c>
    </row>
    <row r="1918">
      <c r="A1918" s="1">
        <v>49833.0</v>
      </c>
      <c r="B1918" s="1">
        <v>5741.0</v>
      </c>
      <c r="C1918" s="1">
        <v>1.61150457E9</v>
      </c>
      <c r="D1918" s="1">
        <v>4.0</v>
      </c>
      <c r="E1918" s="1" t="b">
        <v>0</v>
      </c>
      <c r="F1918" s="1" t="s">
        <v>15827</v>
      </c>
    </row>
    <row r="1919">
      <c r="A1919" s="1">
        <v>49833.0</v>
      </c>
      <c r="B1919" s="1">
        <v>5879.0</v>
      </c>
      <c r="C1919" s="1">
        <v>1.611504572E9</v>
      </c>
      <c r="D1919" s="1">
        <v>4.0</v>
      </c>
      <c r="E1919" s="1" t="b">
        <v>0</v>
      </c>
      <c r="F1919" s="1" t="s">
        <v>15828</v>
      </c>
    </row>
    <row r="1920">
      <c r="A1920" s="1">
        <v>49833.0</v>
      </c>
      <c r="B1920" s="1">
        <v>17134.0</v>
      </c>
      <c r="C1920" s="1">
        <v>1.619428028E9</v>
      </c>
      <c r="D1920" s="1">
        <v>4.0</v>
      </c>
      <c r="E1920" s="1" t="b">
        <v>0</v>
      </c>
      <c r="F1920" s="1" t="s">
        <v>15829</v>
      </c>
    </row>
    <row r="1921">
      <c r="A1921" s="1">
        <v>49833.0</v>
      </c>
      <c r="B1921" s="1">
        <v>5156.0</v>
      </c>
      <c r="C1921" s="1">
        <v>1.611332207E9</v>
      </c>
      <c r="D1921" s="1">
        <v>4.0</v>
      </c>
      <c r="E1921" s="1" t="b">
        <v>0</v>
      </c>
      <c r="F1921" s="1" t="s">
        <v>15830</v>
      </c>
    </row>
    <row r="1922">
      <c r="A1922" s="1">
        <v>49833.0</v>
      </c>
      <c r="B1922" s="1">
        <v>5167.0</v>
      </c>
      <c r="C1922" s="1">
        <v>1.611332208E9</v>
      </c>
      <c r="D1922" s="1">
        <v>4.0</v>
      </c>
      <c r="E1922" s="1" t="b">
        <v>0</v>
      </c>
      <c r="F1922" s="1" t="s">
        <v>15831</v>
      </c>
    </row>
    <row r="1923">
      <c r="A1923" s="1">
        <v>49833.0</v>
      </c>
      <c r="B1923" s="1">
        <v>5163.0</v>
      </c>
      <c r="C1923" s="1">
        <v>1.611332211E9</v>
      </c>
      <c r="D1923" s="1">
        <v>4.0</v>
      </c>
      <c r="E1923" s="1" t="b">
        <v>0</v>
      </c>
      <c r="F1923" s="1" t="s">
        <v>15832</v>
      </c>
    </row>
    <row r="1924">
      <c r="A1924" s="1">
        <v>49833.0</v>
      </c>
      <c r="B1924" s="1">
        <v>5159.0</v>
      </c>
      <c r="C1924" s="1">
        <v>1.611332212E9</v>
      </c>
      <c r="D1924" s="1">
        <v>4.0</v>
      </c>
      <c r="E1924" s="1" t="b">
        <v>0</v>
      </c>
      <c r="F1924" s="1" t="s">
        <v>15833</v>
      </c>
    </row>
    <row r="1925">
      <c r="A1925" s="1">
        <v>49833.0</v>
      </c>
      <c r="B1925" s="1">
        <v>5137.0</v>
      </c>
      <c r="C1925" s="1">
        <v>1.611332213E9</v>
      </c>
      <c r="D1925" s="1">
        <v>4.0</v>
      </c>
      <c r="E1925" s="1" t="b">
        <v>0</v>
      </c>
      <c r="F1925" s="1" t="s">
        <v>15834</v>
      </c>
    </row>
    <row r="1926">
      <c r="A1926" s="1">
        <v>49833.0</v>
      </c>
      <c r="B1926" s="1">
        <v>5134.0</v>
      </c>
      <c r="C1926" s="1">
        <v>1.611332214E9</v>
      </c>
      <c r="D1926" s="1">
        <v>4.0</v>
      </c>
      <c r="E1926" s="1" t="b">
        <v>0</v>
      </c>
      <c r="F1926" s="1" t="s">
        <v>15835</v>
      </c>
    </row>
    <row r="1927">
      <c r="A1927" s="1">
        <v>49833.0</v>
      </c>
      <c r="B1927" s="1">
        <v>5196.0</v>
      </c>
      <c r="C1927" s="1">
        <v>1.611333571E9</v>
      </c>
      <c r="D1927" s="1">
        <v>4.0</v>
      </c>
      <c r="E1927" s="1" t="b">
        <v>0</v>
      </c>
      <c r="F1927" s="1" t="s">
        <v>15836</v>
      </c>
    </row>
    <row r="1928">
      <c r="A1928" s="1">
        <v>49833.0</v>
      </c>
      <c r="B1928" s="1">
        <v>5122.0</v>
      </c>
      <c r="C1928" s="1">
        <v>1.611318187E9</v>
      </c>
      <c r="D1928" s="1">
        <v>4.0</v>
      </c>
      <c r="E1928" s="1" t="b">
        <v>0</v>
      </c>
      <c r="F1928" s="1" t="s">
        <v>15837</v>
      </c>
    </row>
    <row r="1929">
      <c r="A1929" s="1">
        <v>49833.0</v>
      </c>
      <c r="B1929" s="1">
        <v>5197.0</v>
      </c>
      <c r="C1929" s="1">
        <v>1.611336261E9</v>
      </c>
      <c r="D1929" s="1">
        <v>4.0</v>
      </c>
      <c r="E1929" s="1" t="b">
        <v>0</v>
      </c>
      <c r="F1929" s="1" t="s">
        <v>15838</v>
      </c>
    </row>
    <row r="1930">
      <c r="A1930" s="1">
        <v>49833.0</v>
      </c>
      <c r="B1930" s="1">
        <v>5200.0</v>
      </c>
      <c r="C1930" s="1">
        <v>1.611336262E9</v>
      </c>
      <c r="D1930" s="1">
        <v>4.0</v>
      </c>
      <c r="E1930" s="1" t="b">
        <v>0</v>
      </c>
      <c r="F1930" s="1" t="s">
        <v>15839</v>
      </c>
    </row>
    <row r="1931">
      <c r="A1931" s="1">
        <v>49833.0</v>
      </c>
      <c r="B1931" s="1">
        <v>5201.0</v>
      </c>
      <c r="C1931" s="1">
        <v>1.611336264E9</v>
      </c>
      <c r="D1931" s="1">
        <v>4.0</v>
      </c>
      <c r="E1931" s="1" t="b">
        <v>0</v>
      </c>
      <c r="F1931" s="1" t="s">
        <v>15840</v>
      </c>
    </row>
    <row r="1932">
      <c r="A1932" s="1">
        <v>49833.0</v>
      </c>
      <c r="B1932" s="1">
        <v>5140.0</v>
      </c>
      <c r="C1932" s="1">
        <v>1.611336265E9</v>
      </c>
      <c r="D1932" s="1">
        <v>4.0</v>
      </c>
      <c r="E1932" s="1" t="b">
        <v>0</v>
      </c>
      <c r="F1932" s="1" t="s">
        <v>15841</v>
      </c>
    </row>
    <row r="1933">
      <c r="A1933" s="1">
        <v>49833.0</v>
      </c>
      <c r="B1933" s="1">
        <v>5207.0</v>
      </c>
      <c r="C1933" s="1">
        <v>1.611336267E9</v>
      </c>
      <c r="D1933" s="1">
        <v>4.0</v>
      </c>
      <c r="E1933" s="1" t="b">
        <v>0</v>
      </c>
      <c r="F1933" s="1" t="s">
        <v>15842</v>
      </c>
    </row>
    <row r="1934">
      <c r="A1934" s="1">
        <v>49833.0</v>
      </c>
      <c r="B1934" s="1">
        <v>5212.0</v>
      </c>
      <c r="C1934" s="1">
        <v>1.611337937E9</v>
      </c>
      <c r="D1934" s="1">
        <v>4.0</v>
      </c>
      <c r="E1934" s="1" t="b">
        <v>0</v>
      </c>
      <c r="F1934" s="1" t="s">
        <v>15843</v>
      </c>
    </row>
    <row r="1935">
      <c r="A1935" s="1">
        <v>49833.0</v>
      </c>
      <c r="B1935" s="1">
        <v>5214.0</v>
      </c>
      <c r="C1935" s="1">
        <v>1.611338577E9</v>
      </c>
      <c r="D1935" s="1">
        <v>4.0</v>
      </c>
      <c r="E1935" s="1" t="b">
        <v>0</v>
      </c>
      <c r="F1935" s="1" t="s">
        <v>15844</v>
      </c>
    </row>
    <row r="1936">
      <c r="A1936" s="1">
        <v>49833.0</v>
      </c>
      <c r="B1936" s="1">
        <v>4541.0</v>
      </c>
      <c r="C1936" s="1">
        <v>1.611157571E9</v>
      </c>
      <c r="D1936" s="1">
        <v>4.0</v>
      </c>
      <c r="E1936" s="1" t="b">
        <v>0</v>
      </c>
      <c r="F1936" s="1" t="s">
        <v>15845</v>
      </c>
    </row>
    <row r="1937">
      <c r="A1937" s="1">
        <v>49833.0</v>
      </c>
      <c r="B1937" s="1">
        <v>10698.0</v>
      </c>
      <c r="C1937" s="1">
        <v>1.612545503E9</v>
      </c>
      <c r="D1937" s="1">
        <v>4.0</v>
      </c>
      <c r="E1937" s="1" t="b">
        <v>0</v>
      </c>
      <c r="F1937" s="1" t="s">
        <v>15846</v>
      </c>
    </row>
    <row r="1938">
      <c r="A1938" s="1">
        <v>49833.0</v>
      </c>
      <c r="B1938" s="1">
        <v>5166.0</v>
      </c>
      <c r="C1938" s="1">
        <v>1.623057332E9</v>
      </c>
      <c r="D1938" s="1">
        <v>4.0</v>
      </c>
      <c r="E1938" s="1" t="b">
        <v>0</v>
      </c>
      <c r="F1938" s="1" t="s">
        <v>15847</v>
      </c>
    </row>
    <row r="1939">
      <c r="A1939" s="1">
        <v>49833.0</v>
      </c>
      <c r="B1939" s="1">
        <v>4866.0</v>
      </c>
      <c r="C1939" s="1">
        <v>1.611287234E9</v>
      </c>
      <c r="D1939" s="1">
        <v>4.0</v>
      </c>
      <c r="E1939" s="1" t="b">
        <v>0</v>
      </c>
      <c r="F1939" s="1" t="s">
        <v>15848</v>
      </c>
    </row>
    <row r="1940">
      <c r="A1940" s="1">
        <v>49833.0</v>
      </c>
      <c r="B1940" s="1">
        <v>5487.0</v>
      </c>
      <c r="C1940" s="1">
        <v>1.611423342E9</v>
      </c>
      <c r="D1940" s="1">
        <v>4.0</v>
      </c>
      <c r="E1940" s="1" t="b">
        <v>0</v>
      </c>
      <c r="F1940" s="1" t="s">
        <v>15849</v>
      </c>
    </row>
    <row r="1941">
      <c r="A1941" s="1">
        <v>49833.0</v>
      </c>
      <c r="B1941" s="1">
        <v>11369.0</v>
      </c>
      <c r="C1941" s="1">
        <v>1.612766022E9</v>
      </c>
      <c r="D1941" s="1">
        <v>4.0</v>
      </c>
      <c r="E1941" s="1" t="b">
        <v>0</v>
      </c>
      <c r="F1941" s="1" t="s">
        <v>15850</v>
      </c>
    </row>
    <row r="1942">
      <c r="A1942" s="1">
        <v>49833.0</v>
      </c>
      <c r="B1942" s="1">
        <v>6534.0</v>
      </c>
      <c r="C1942" s="1">
        <v>1.611686164E9</v>
      </c>
      <c r="D1942" s="1">
        <v>4.0</v>
      </c>
      <c r="E1942" s="1" t="b">
        <v>0</v>
      </c>
      <c r="F1942" s="1" t="s">
        <v>15851</v>
      </c>
    </row>
    <row r="1943">
      <c r="A1943" s="1">
        <v>49833.0</v>
      </c>
      <c r="B1943" s="1">
        <v>5609.0</v>
      </c>
      <c r="C1943" s="1">
        <v>1.611502265E9</v>
      </c>
      <c r="D1943" s="1">
        <v>4.0</v>
      </c>
      <c r="E1943" s="1" t="b">
        <v>0</v>
      </c>
      <c r="F1943" s="1" t="s">
        <v>15852</v>
      </c>
    </row>
    <row r="1944">
      <c r="A1944" s="1">
        <v>49833.0</v>
      </c>
      <c r="B1944" s="1">
        <v>5887.0</v>
      </c>
      <c r="C1944" s="1">
        <v>1.611503925E9</v>
      </c>
      <c r="D1944" s="1">
        <v>4.0</v>
      </c>
      <c r="E1944" s="1" t="b">
        <v>0</v>
      </c>
      <c r="F1944" s="1" t="s">
        <v>14185</v>
      </c>
    </row>
    <row r="1945">
      <c r="A1945" s="1">
        <v>49833.0</v>
      </c>
      <c r="B1945" s="1">
        <v>5533.0</v>
      </c>
      <c r="C1945" s="1">
        <v>1.611504573E9</v>
      </c>
      <c r="D1945" s="1">
        <v>4.0</v>
      </c>
      <c r="E1945" s="1" t="b">
        <v>0</v>
      </c>
      <c r="F1945" s="1" t="s">
        <v>15853</v>
      </c>
    </row>
    <row r="1946">
      <c r="A1946" s="1">
        <v>49833.0</v>
      </c>
      <c r="B1946" s="1">
        <v>5633.0</v>
      </c>
      <c r="C1946" s="1">
        <v>1.611504575E9</v>
      </c>
      <c r="D1946" s="1">
        <v>4.0</v>
      </c>
      <c r="E1946" s="1" t="b">
        <v>0</v>
      </c>
      <c r="F1946" s="1" t="s">
        <v>15854</v>
      </c>
    </row>
    <row r="1947">
      <c r="A1947" s="1">
        <v>49833.0</v>
      </c>
      <c r="B1947" s="1">
        <v>5746.0</v>
      </c>
      <c r="C1947" s="1">
        <v>1.611504576E9</v>
      </c>
      <c r="D1947" s="1">
        <v>4.0</v>
      </c>
      <c r="E1947" s="1" t="b">
        <v>0</v>
      </c>
      <c r="F1947" s="1" t="s">
        <v>15855</v>
      </c>
    </row>
    <row r="1948">
      <c r="A1948" s="1">
        <v>49833.0</v>
      </c>
      <c r="B1948" s="1">
        <v>5780.0</v>
      </c>
      <c r="C1948" s="1">
        <v>1.611504577E9</v>
      </c>
      <c r="D1948" s="1">
        <v>4.0</v>
      </c>
      <c r="E1948" s="1" t="b">
        <v>0</v>
      </c>
      <c r="F1948" s="1" t="s">
        <v>14386</v>
      </c>
    </row>
    <row r="1949">
      <c r="A1949" s="1">
        <v>49833.0</v>
      </c>
      <c r="B1949" s="1">
        <v>5865.0</v>
      </c>
      <c r="C1949" s="1">
        <v>1.611504579E9</v>
      </c>
      <c r="D1949" s="1">
        <v>4.0</v>
      </c>
      <c r="E1949" s="1" t="b">
        <v>0</v>
      </c>
      <c r="F1949" s="1" t="s">
        <v>15856</v>
      </c>
    </row>
    <row r="1950">
      <c r="A1950" s="1">
        <v>49833.0</v>
      </c>
      <c r="B1950" s="1">
        <v>17444.0</v>
      </c>
      <c r="C1950" s="1">
        <v>1.619779134E9</v>
      </c>
      <c r="D1950" s="1">
        <v>4.0</v>
      </c>
      <c r="E1950" s="1" t="b">
        <v>0</v>
      </c>
      <c r="F1950" s="1" t="s">
        <v>15857</v>
      </c>
    </row>
    <row r="1951">
      <c r="A1951" s="1">
        <v>49833.0</v>
      </c>
      <c r="B1951" s="1">
        <v>17992.0</v>
      </c>
      <c r="C1951" s="1">
        <v>1.620811143E9</v>
      </c>
      <c r="D1951" s="1">
        <v>4.0</v>
      </c>
      <c r="E1951" s="1" t="b">
        <v>0</v>
      </c>
      <c r="F1951" s="1" t="s">
        <v>15858</v>
      </c>
    </row>
    <row r="1952">
      <c r="A1952" s="1">
        <v>49833.0</v>
      </c>
      <c r="B1952" s="1">
        <v>5217.0</v>
      </c>
      <c r="C1952" s="1">
        <v>1.611380384E9</v>
      </c>
      <c r="D1952" s="1">
        <v>4.0</v>
      </c>
      <c r="E1952" s="1" t="b">
        <v>0</v>
      </c>
      <c r="F1952" s="1" t="s">
        <v>15859</v>
      </c>
    </row>
    <row r="1953">
      <c r="A1953" s="1">
        <v>49833.0</v>
      </c>
      <c r="B1953" s="1">
        <v>5243.0</v>
      </c>
      <c r="C1953" s="1">
        <v>1.611380387E9</v>
      </c>
      <c r="D1953" s="1">
        <v>4.0</v>
      </c>
      <c r="E1953" s="1" t="b">
        <v>0</v>
      </c>
      <c r="F1953" s="1" t="s">
        <v>15860</v>
      </c>
    </row>
    <row r="1954">
      <c r="A1954" s="1">
        <v>49833.0</v>
      </c>
      <c r="B1954" s="1">
        <v>5251.0</v>
      </c>
      <c r="C1954" s="1">
        <v>1.611380388E9</v>
      </c>
      <c r="D1954" s="1">
        <v>4.0</v>
      </c>
      <c r="E1954" s="1" t="b">
        <v>0</v>
      </c>
      <c r="F1954" s="1" t="s">
        <v>15861</v>
      </c>
    </row>
    <row r="1955">
      <c r="A1955" s="1">
        <v>49833.0</v>
      </c>
      <c r="B1955" s="1">
        <v>5253.0</v>
      </c>
      <c r="C1955" s="1">
        <v>1.611380392E9</v>
      </c>
      <c r="D1955" s="1">
        <v>4.0</v>
      </c>
      <c r="E1955" s="1" t="b">
        <v>0</v>
      </c>
      <c r="F1955" s="1" t="s">
        <v>15862</v>
      </c>
    </row>
    <row r="1956">
      <c r="A1956" s="1">
        <v>49833.0</v>
      </c>
      <c r="B1956" s="1">
        <v>5241.0</v>
      </c>
      <c r="C1956" s="1">
        <v>1.611380393E9</v>
      </c>
      <c r="D1956" s="1">
        <v>4.0</v>
      </c>
      <c r="E1956" s="1" t="b">
        <v>0</v>
      </c>
      <c r="F1956" s="1" t="s">
        <v>15863</v>
      </c>
    </row>
    <row r="1957">
      <c r="A1957" s="1">
        <v>49833.0</v>
      </c>
      <c r="B1957" s="1">
        <v>5297.0</v>
      </c>
      <c r="C1957" s="1">
        <v>1.611380396E9</v>
      </c>
      <c r="D1957" s="1">
        <v>4.0</v>
      </c>
      <c r="E1957" s="1" t="b">
        <v>0</v>
      </c>
      <c r="F1957" s="1" t="s">
        <v>15864</v>
      </c>
    </row>
    <row r="1958">
      <c r="A1958" s="1">
        <v>49833.0</v>
      </c>
      <c r="B1958" s="1">
        <v>5302.0</v>
      </c>
      <c r="C1958" s="1">
        <v>1.6113804E9</v>
      </c>
      <c r="D1958" s="1">
        <v>4.0</v>
      </c>
      <c r="E1958" s="1" t="b">
        <v>0</v>
      </c>
      <c r="F1958" s="1" t="s">
        <v>15865</v>
      </c>
    </row>
    <row r="1959">
      <c r="A1959" s="1">
        <v>49833.0</v>
      </c>
      <c r="B1959" s="1">
        <v>5301.0</v>
      </c>
      <c r="C1959" s="1">
        <v>1.611380402E9</v>
      </c>
      <c r="D1959" s="1">
        <v>4.0</v>
      </c>
      <c r="E1959" s="1" t="b">
        <v>0</v>
      </c>
      <c r="F1959" s="1" t="s">
        <v>15866</v>
      </c>
    </row>
    <row r="1960">
      <c r="A1960" s="1">
        <v>49833.0</v>
      </c>
      <c r="B1960" s="1">
        <v>5315.0</v>
      </c>
      <c r="C1960" s="1">
        <v>1.611380407E9</v>
      </c>
      <c r="D1960" s="1">
        <v>4.0</v>
      </c>
      <c r="E1960" s="1" t="b">
        <v>0</v>
      </c>
      <c r="F1960" s="1" t="s">
        <v>15867</v>
      </c>
    </row>
    <row r="1961">
      <c r="A1961" s="1">
        <v>49833.0</v>
      </c>
      <c r="B1961" s="1">
        <v>5307.0</v>
      </c>
      <c r="C1961" s="1">
        <v>1.611380414E9</v>
      </c>
      <c r="D1961" s="1">
        <v>4.0</v>
      </c>
      <c r="E1961" s="1" t="b">
        <v>0</v>
      </c>
      <c r="F1961" s="1" t="s">
        <v>15868</v>
      </c>
    </row>
    <row r="1962">
      <c r="A1962" s="1">
        <v>49833.0</v>
      </c>
      <c r="B1962" s="1">
        <v>5256.0</v>
      </c>
      <c r="C1962" s="1">
        <v>1.611380391E9</v>
      </c>
      <c r="D1962" s="1">
        <v>4.0</v>
      </c>
      <c r="E1962" s="1" t="b">
        <v>0</v>
      </c>
      <c r="F1962" s="1" t="s">
        <v>15869</v>
      </c>
    </row>
    <row r="1963">
      <c r="A1963" s="1">
        <v>49833.0</v>
      </c>
      <c r="B1963" s="1">
        <v>5364.0</v>
      </c>
      <c r="C1963" s="1">
        <v>1.611391954E9</v>
      </c>
      <c r="D1963" s="1">
        <v>4.0</v>
      </c>
      <c r="E1963" s="1" t="b">
        <v>0</v>
      </c>
      <c r="F1963" s="1" t="s">
        <v>15507</v>
      </c>
    </row>
    <row r="1964">
      <c r="A1964" s="1">
        <v>49833.0</v>
      </c>
      <c r="B1964" s="1">
        <v>5221.0</v>
      </c>
      <c r="C1964" s="1">
        <v>1.611380385E9</v>
      </c>
      <c r="D1964" s="1">
        <v>4.0</v>
      </c>
      <c r="E1964" s="1" t="b">
        <v>0</v>
      </c>
      <c r="F1964" s="1" t="s">
        <v>15870</v>
      </c>
    </row>
    <row r="1965">
      <c r="A1965" s="1">
        <v>49833.0</v>
      </c>
      <c r="B1965" s="1">
        <v>5371.0</v>
      </c>
      <c r="C1965" s="1">
        <v>1.611391962E9</v>
      </c>
      <c r="D1965" s="1">
        <v>4.0</v>
      </c>
      <c r="E1965" s="1" t="b">
        <v>0</v>
      </c>
      <c r="F1965" s="1" t="s">
        <v>15871</v>
      </c>
    </row>
    <row r="1966">
      <c r="A1966" s="1">
        <v>49833.0</v>
      </c>
      <c r="B1966" s="1">
        <v>5373.0</v>
      </c>
      <c r="C1966" s="1">
        <v>1.611391964E9</v>
      </c>
      <c r="D1966" s="1">
        <v>4.0</v>
      </c>
      <c r="E1966" s="1" t="b">
        <v>0</v>
      </c>
      <c r="F1966" s="1" t="s">
        <v>15872</v>
      </c>
    </row>
    <row r="1967">
      <c r="A1967" s="1">
        <v>49833.0</v>
      </c>
      <c r="B1967" s="1">
        <v>5294.0</v>
      </c>
      <c r="C1967" s="1">
        <v>1.611380401E9</v>
      </c>
      <c r="D1967" s="1">
        <v>4.0</v>
      </c>
      <c r="E1967" s="1" t="b">
        <v>0</v>
      </c>
      <c r="F1967" s="1" t="s">
        <v>15749</v>
      </c>
    </row>
    <row r="1968">
      <c r="A1968" s="1">
        <v>49833.0</v>
      </c>
      <c r="B1968" s="1">
        <v>5431.0</v>
      </c>
      <c r="C1968" s="1">
        <v>1.611404417E9</v>
      </c>
      <c r="D1968" s="1">
        <v>4.0</v>
      </c>
      <c r="E1968" s="1" t="b">
        <v>0</v>
      </c>
      <c r="F1968" s="1" t="s">
        <v>15873</v>
      </c>
    </row>
    <row r="1969">
      <c r="A1969" s="1">
        <v>49833.0</v>
      </c>
      <c r="B1969" s="1">
        <v>5385.0</v>
      </c>
      <c r="C1969" s="1">
        <v>1.611404418E9</v>
      </c>
      <c r="D1969" s="1">
        <v>4.0</v>
      </c>
      <c r="E1969" s="1" t="b">
        <v>0</v>
      </c>
      <c r="F1969" s="1" t="s">
        <v>15874</v>
      </c>
    </row>
    <row r="1970">
      <c r="A1970" s="1">
        <v>49833.0</v>
      </c>
      <c r="B1970" s="1">
        <v>5394.0</v>
      </c>
      <c r="C1970" s="1">
        <v>1.611404422E9</v>
      </c>
      <c r="D1970" s="1">
        <v>4.0</v>
      </c>
      <c r="E1970" s="1" t="b">
        <v>0</v>
      </c>
      <c r="F1970" s="1" t="s">
        <v>15875</v>
      </c>
    </row>
    <row r="1971">
      <c r="A1971" s="1">
        <v>49833.0</v>
      </c>
      <c r="B1971" s="1">
        <v>5366.0</v>
      </c>
      <c r="C1971" s="1">
        <v>1.611404423E9</v>
      </c>
      <c r="D1971" s="1">
        <v>4.0</v>
      </c>
      <c r="E1971" s="1" t="b">
        <v>0</v>
      </c>
      <c r="F1971" s="1" t="s">
        <v>15876</v>
      </c>
    </row>
    <row r="1972">
      <c r="A1972" s="1">
        <v>49833.0</v>
      </c>
      <c r="B1972" s="1">
        <v>5388.0</v>
      </c>
      <c r="C1972" s="1">
        <v>1.611404425E9</v>
      </c>
      <c r="D1972" s="1">
        <v>4.0</v>
      </c>
      <c r="E1972" s="1" t="b">
        <v>0</v>
      </c>
      <c r="F1972" s="1" t="s">
        <v>15877</v>
      </c>
    </row>
    <row r="1973">
      <c r="A1973" s="1">
        <v>49833.0</v>
      </c>
      <c r="B1973" s="1">
        <v>5329.0</v>
      </c>
      <c r="C1973" s="1">
        <v>1.611391945E9</v>
      </c>
      <c r="D1973" s="1">
        <v>4.0</v>
      </c>
      <c r="E1973" s="1" t="b">
        <v>0</v>
      </c>
      <c r="F1973" s="1" t="s">
        <v>15878</v>
      </c>
    </row>
    <row r="1974">
      <c r="A1974" s="1">
        <v>49833.0</v>
      </c>
      <c r="B1974" s="1">
        <v>5338.0</v>
      </c>
      <c r="C1974" s="1">
        <v>1.611391948E9</v>
      </c>
      <c r="D1974" s="1">
        <v>4.0</v>
      </c>
      <c r="E1974" s="1" t="b">
        <v>0</v>
      </c>
      <c r="F1974" s="1" t="s">
        <v>15879</v>
      </c>
    </row>
    <row r="1975">
      <c r="A1975" s="1">
        <v>49833.0</v>
      </c>
      <c r="B1975" s="1">
        <v>5440.0</v>
      </c>
      <c r="C1975" s="1">
        <v>1.61142336E9</v>
      </c>
      <c r="D1975" s="1">
        <v>4.0</v>
      </c>
      <c r="E1975" s="1" t="b">
        <v>0</v>
      </c>
      <c r="F1975" s="1" t="s">
        <v>14336</v>
      </c>
    </row>
    <row r="1976">
      <c r="A1976" s="1">
        <v>49833.0</v>
      </c>
      <c r="B1976" s="1">
        <v>5464.0</v>
      </c>
      <c r="C1976" s="1">
        <v>1.611423361E9</v>
      </c>
      <c r="D1976" s="1">
        <v>4.0</v>
      </c>
      <c r="E1976" s="1" t="b">
        <v>0</v>
      </c>
      <c r="F1976" s="1" t="s">
        <v>15880</v>
      </c>
    </row>
    <row r="1977">
      <c r="A1977" s="1">
        <v>49833.0</v>
      </c>
      <c r="B1977" s="1">
        <v>5332.0</v>
      </c>
      <c r="C1977" s="1">
        <v>1.611391946E9</v>
      </c>
      <c r="D1977" s="1">
        <v>4.0</v>
      </c>
      <c r="E1977" s="1" t="b">
        <v>0</v>
      </c>
      <c r="F1977" s="1" t="s">
        <v>15881</v>
      </c>
    </row>
    <row r="1978">
      <c r="A1978" s="1">
        <v>49833.0</v>
      </c>
      <c r="B1978" s="1">
        <v>5386.0</v>
      </c>
      <c r="C1978" s="1">
        <v>1.611404419E9</v>
      </c>
      <c r="D1978" s="1">
        <v>4.0</v>
      </c>
      <c r="E1978" s="1" t="b">
        <v>0</v>
      </c>
      <c r="F1978" s="1" t="s">
        <v>15882</v>
      </c>
    </row>
    <row r="1979">
      <c r="A1979" s="1">
        <v>49833.0</v>
      </c>
      <c r="B1979" s="1">
        <v>5713.0</v>
      </c>
      <c r="C1979" s="1">
        <v>1.61150458E9</v>
      </c>
      <c r="D1979" s="1">
        <v>4.0</v>
      </c>
      <c r="E1979" s="1" t="b">
        <v>0</v>
      </c>
      <c r="F1979" s="1" t="s">
        <v>15883</v>
      </c>
    </row>
    <row r="1980">
      <c r="A1980" s="1">
        <v>49833.0</v>
      </c>
      <c r="B1980" s="1">
        <v>5341.0</v>
      </c>
      <c r="C1980" s="1">
        <v>1.611391948E9</v>
      </c>
      <c r="D1980" s="1">
        <v>4.0</v>
      </c>
      <c r="E1980" s="1" t="b">
        <v>0</v>
      </c>
      <c r="F1980" s="1" t="s">
        <v>15884</v>
      </c>
    </row>
    <row r="1981">
      <c r="A1981" s="1">
        <v>49833.0</v>
      </c>
      <c r="B1981" s="1">
        <v>5344.0</v>
      </c>
      <c r="C1981" s="1">
        <v>1.61139195E9</v>
      </c>
      <c r="D1981" s="1">
        <v>4.0</v>
      </c>
      <c r="E1981" s="1" t="b">
        <v>0</v>
      </c>
      <c r="F1981" s="1" t="s">
        <v>15885</v>
      </c>
    </row>
    <row r="1982">
      <c r="A1982" s="1">
        <v>49833.0</v>
      </c>
      <c r="B1982" s="1">
        <v>5351.0</v>
      </c>
      <c r="C1982" s="1">
        <v>1.611391951E9</v>
      </c>
      <c r="D1982" s="1">
        <v>4.0</v>
      </c>
      <c r="E1982" s="1" t="b">
        <v>0</v>
      </c>
      <c r="F1982" s="1" t="s">
        <v>15886</v>
      </c>
    </row>
    <row r="1983">
      <c r="A1983" s="1">
        <v>49833.0</v>
      </c>
      <c r="B1983" s="1">
        <v>5363.0</v>
      </c>
      <c r="C1983" s="1">
        <v>1.611391953E9</v>
      </c>
      <c r="D1983" s="1">
        <v>4.0</v>
      </c>
      <c r="E1983" s="1" t="b">
        <v>0</v>
      </c>
      <c r="F1983" s="1" t="s">
        <v>15887</v>
      </c>
    </row>
    <row r="1984">
      <c r="A1984" s="1">
        <v>49833.0</v>
      </c>
      <c r="B1984" s="1">
        <v>5359.0</v>
      </c>
      <c r="C1984" s="1">
        <v>1.611391953E9</v>
      </c>
      <c r="D1984" s="1">
        <v>4.0</v>
      </c>
      <c r="E1984" s="1" t="b">
        <v>0</v>
      </c>
      <c r="F1984" s="1" t="s">
        <v>15888</v>
      </c>
    </row>
    <row r="1985">
      <c r="A1985" s="1">
        <v>49833.0</v>
      </c>
      <c r="B1985" s="1">
        <v>5367.0</v>
      </c>
      <c r="C1985" s="1">
        <v>1.611391955E9</v>
      </c>
      <c r="D1985" s="1">
        <v>4.0</v>
      </c>
      <c r="E1985" s="1" t="b">
        <v>0</v>
      </c>
      <c r="F1985" s="1" t="s">
        <v>15889</v>
      </c>
    </row>
    <row r="1986">
      <c r="A1986" s="1">
        <v>49833.0</v>
      </c>
      <c r="B1986" s="1">
        <v>5368.0</v>
      </c>
      <c r="C1986" s="1">
        <v>1.611391956E9</v>
      </c>
      <c r="D1986" s="1">
        <v>4.0</v>
      </c>
      <c r="E1986" s="1" t="b">
        <v>0</v>
      </c>
      <c r="F1986" s="1" t="s">
        <v>15890</v>
      </c>
    </row>
    <row r="1987">
      <c r="A1987" s="1">
        <v>49833.0</v>
      </c>
      <c r="B1987" s="1">
        <v>5369.0</v>
      </c>
      <c r="C1987" s="1">
        <v>1.611391958E9</v>
      </c>
      <c r="D1987" s="1">
        <v>4.0</v>
      </c>
      <c r="E1987" s="1" t="b">
        <v>0</v>
      </c>
      <c r="F1987" s="1" t="s">
        <v>15891</v>
      </c>
    </row>
    <row r="1988">
      <c r="A1988" s="1">
        <v>49833.0</v>
      </c>
      <c r="B1988" s="1">
        <v>5372.0</v>
      </c>
      <c r="C1988" s="1">
        <v>1.611391963E9</v>
      </c>
      <c r="D1988" s="1">
        <v>4.0</v>
      </c>
      <c r="E1988" s="1" t="b">
        <v>0</v>
      </c>
      <c r="F1988" s="1" t="s">
        <v>15892</v>
      </c>
    </row>
    <row r="1989">
      <c r="A1989" s="1">
        <v>49833.0</v>
      </c>
      <c r="B1989" s="1">
        <v>5374.0</v>
      </c>
      <c r="C1989" s="1">
        <v>1.611391966E9</v>
      </c>
      <c r="D1989" s="1">
        <v>4.0</v>
      </c>
      <c r="E1989" s="1" t="b">
        <v>0</v>
      </c>
      <c r="F1989" s="1" t="s">
        <v>15893</v>
      </c>
    </row>
    <row r="1990">
      <c r="A1990" s="1">
        <v>49833.0</v>
      </c>
      <c r="B1990" s="1">
        <v>5377.0</v>
      </c>
      <c r="C1990" s="1">
        <v>1.611391967E9</v>
      </c>
      <c r="D1990" s="1">
        <v>4.0</v>
      </c>
      <c r="E1990" s="1" t="b">
        <v>0</v>
      </c>
      <c r="F1990" s="1" t="s">
        <v>15894</v>
      </c>
    </row>
    <row r="1991">
      <c r="A1991" s="1">
        <v>49833.0</v>
      </c>
      <c r="B1991" s="1">
        <v>5356.0</v>
      </c>
      <c r="C1991" s="1">
        <v>1.611391944E9</v>
      </c>
      <c r="D1991" s="1">
        <v>4.0</v>
      </c>
      <c r="E1991" s="1" t="b">
        <v>0</v>
      </c>
      <c r="F1991" s="1" t="s">
        <v>15895</v>
      </c>
    </row>
    <row r="1992">
      <c r="A1992" s="1">
        <v>49833.0</v>
      </c>
      <c r="B1992" s="1">
        <v>6122.0</v>
      </c>
      <c r="C1992" s="1">
        <v>1.611565812E9</v>
      </c>
      <c r="D1992" s="1">
        <v>4.0</v>
      </c>
      <c r="E1992" s="1" t="b">
        <v>0</v>
      </c>
      <c r="F1992" s="1" t="s">
        <v>14796</v>
      </c>
    </row>
    <row r="1993">
      <c r="A1993" s="1">
        <v>49833.0</v>
      </c>
      <c r="B1993" s="1">
        <v>5890.0</v>
      </c>
      <c r="C1993" s="1">
        <v>1.611504581E9</v>
      </c>
      <c r="D1993" s="1">
        <v>4.0</v>
      </c>
      <c r="E1993" s="1" t="b">
        <v>0</v>
      </c>
      <c r="F1993" s="1" t="s">
        <v>15896</v>
      </c>
    </row>
    <row r="1994">
      <c r="A1994" s="1">
        <v>49833.0</v>
      </c>
      <c r="B1994" s="1">
        <v>5747.0</v>
      </c>
      <c r="C1994" s="1">
        <v>1.611504583E9</v>
      </c>
      <c r="D1994" s="1">
        <v>4.0</v>
      </c>
      <c r="E1994" s="1" t="b">
        <v>0</v>
      </c>
      <c r="F1994" s="1" t="s">
        <v>15897</v>
      </c>
    </row>
    <row r="1995">
      <c r="A1995" s="1">
        <v>49833.0</v>
      </c>
      <c r="B1995" s="1">
        <v>5770.0</v>
      </c>
      <c r="C1995" s="1">
        <v>1.611504584E9</v>
      </c>
      <c r="D1995" s="1">
        <v>4.0</v>
      </c>
      <c r="E1995" s="1" t="b">
        <v>0</v>
      </c>
      <c r="F1995" s="1" t="s">
        <v>15898</v>
      </c>
    </row>
    <row r="1996">
      <c r="A1996" s="1">
        <v>49833.0</v>
      </c>
      <c r="B1996" s="1">
        <v>11812.0</v>
      </c>
      <c r="C1996" s="1">
        <v>1.612855404E9</v>
      </c>
      <c r="D1996" s="1">
        <v>4.0</v>
      </c>
      <c r="E1996" s="1" t="b">
        <v>0</v>
      </c>
      <c r="F1996" s="1" t="s">
        <v>15899</v>
      </c>
    </row>
    <row r="1997">
      <c r="A1997" s="1">
        <v>49833.0</v>
      </c>
      <c r="B1997" s="1">
        <v>16690.0</v>
      </c>
      <c r="C1997" s="1">
        <v>1.619428026E9</v>
      </c>
      <c r="D1997" s="1">
        <v>4.0</v>
      </c>
      <c r="E1997" s="1" t="b">
        <v>0</v>
      </c>
      <c r="F1997" s="1" t="s">
        <v>15900</v>
      </c>
    </row>
    <row r="1998">
      <c r="A1998" s="1">
        <v>49833.0</v>
      </c>
      <c r="B1998" s="1">
        <v>5997.0</v>
      </c>
      <c r="C1998" s="1">
        <v>1.611555392E9</v>
      </c>
      <c r="D1998" s="1">
        <v>4.0</v>
      </c>
      <c r="E1998" s="1" t="b">
        <v>0</v>
      </c>
      <c r="F1998" s="1" t="s">
        <v>15901</v>
      </c>
    </row>
    <row r="1999">
      <c r="A1999" s="1">
        <v>49833.0</v>
      </c>
      <c r="B1999" s="1">
        <v>5912.0</v>
      </c>
      <c r="C1999" s="1">
        <v>1.611555819E9</v>
      </c>
      <c r="D1999" s="1">
        <v>4.0</v>
      </c>
      <c r="E1999" s="1" t="b">
        <v>0</v>
      </c>
      <c r="F1999" s="1" t="s">
        <v>15902</v>
      </c>
    </row>
    <row r="2000">
      <c r="A2000" s="1">
        <v>49833.0</v>
      </c>
      <c r="B2000" s="1">
        <v>8719.0</v>
      </c>
      <c r="C2000" s="1">
        <v>1.612029314E9</v>
      </c>
      <c r="D2000" s="1">
        <v>4.0</v>
      </c>
      <c r="E2000" s="1" t="b">
        <v>0</v>
      </c>
      <c r="F2000" s="1" t="s">
        <v>15903</v>
      </c>
    </row>
    <row r="2001">
      <c r="A2001" s="1">
        <v>49833.0</v>
      </c>
      <c r="B2001" s="1">
        <v>6163.0</v>
      </c>
      <c r="C2001" s="1">
        <v>1.611597696E9</v>
      </c>
      <c r="D2001" s="1">
        <v>4.0</v>
      </c>
      <c r="E2001" s="1" t="b">
        <v>0</v>
      </c>
      <c r="F2001" s="1" t="s">
        <v>15904</v>
      </c>
    </row>
    <row r="2002">
      <c r="A2002" s="1">
        <v>49833.0</v>
      </c>
      <c r="B2002" s="1">
        <v>6168.0</v>
      </c>
      <c r="C2002" s="1">
        <v>1.611597697E9</v>
      </c>
      <c r="D2002" s="1">
        <v>4.0</v>
      </c>
      <c r="E2002" s="1" t="b">
        <v>0</v>
      </c>
      <c r="F2002" s="1" t="s">
        <v>15905</v>
      </c>
    </row>
    <row r="2003">
      <c r="A2003" s="1">
        <v>49833.0</v>
      </c>
      <c r="B2003" s="1">
        <v>6185.0</v>
      </c>
      <c r="C2003" s="1">
        <v>1.611597699E9</v>
      </c>
      <c r="D2003" s="1">
        <v>4.0</v>
      </c>
      <c r="E2003" s="1" t="b">
        <v>0</v>
      </c>
      <c r="F2003" s="1" t="s">
        <v>15906</v>
      </c>
    </row>
    <row r="2004">
      <c r="A2004" s="1">
        <v>49833.0</v>
      </c>
      <c r="B2004" s="1">
        <v>5611.0</v>
      </c>
      <c r="C2004" s="1">
        <v>1.611502274E9</v>
      </c>
      <c r="D2004" s="1">
        <v>4.0</v>
      </c>
      <c r="E2004" s="1" t="b">
        <v>0</v>
      </c>
      <c r="F2004" s="1" t="s">
        <v>15907</v>
      </c>
    </row>
    <row r="2005">
      <c r="A2005" s="1">
        <v>49833.0</v>
      </c>
      <c r="B2005" s="1">
        <v>6148.0</v>
      </c>
      <c r="C2005" s="1">
        <v>1.611597733E9</v>
      </c>
      <c r="D2005" s="1">
        <v>4.0</v>
      </c>
      <c r="E2005" s="1" t="b">
        <v>0</v>
      </c>
      <c r="F2005" s="1" t="s">
        <v>15908</v>
      </c>
    </row>
    <row r="2006">
      <c r="A2006" s="1">
        <v>49833.0</v>
      </c>
      <c r="B2006" s="1">
        <v>6132.0</v>
      </c>
      <c r="C2006" s="1">
        <v>1.611597694E9</v>
      </c>
      <c r="D2006" s="1">
        <v>4.0</v>
      </c>
      <c r="E2006" s="1" t="b">
        <v>0</v>
      </c>
      <c r="F2006" s="1" t="s">
        <v>15909</v>
      </c>
    </row>
    <row r="2007">
      <c r="A2007" s="1">
        <v>49833.0</v>
      </c>
      <c r="B2007" s="1">
        <v>17157.0</v>
      </c>
      <c r="C2007" s="1">
        <v>1.619428035E9</v>
      </c>
      <c r="D2007" s="1">
        <v>4.0</v>
      </c>
      <c r="E2007" s="1" t="b">
        <v>0</v>
      </c>
      <c r="F2007" s="1" t="s">
        <v>15910</v>
      </c>
    </row>
    <row r="2008">
      <c r="A2008" s="1">
        <v>49833.0</v>
      </c>
      <c r="B2008" s="1">
        <v>6083.0</v>
      </c>
      <c r="C2008" s="1">
        <v>1.611565806E9</v>
      </c>
      <c r="D2008" s="1">
        <v>4.0</v>
      </c>
      <c r="E2008" s="1" t="b">
        <v>0</v>
      </c>
      <c r="F2008" s="1" t="s">
        <v>15911</v>
      </c>
    </row>
    <row r="2009">
      <c r="A2009" s="1">
        <v>49833.0</v>
      </c>
      <c r="B2009" s="1">
        <v>6109.0</v>
      </c>
      <c r="C2009" s="1">
        <v>1.611565807E9</v>
      </c>
      <c r="D2009" s="1">
        <v>4.0</v>
      </c>
      <c r="E2009" s="1" t="b">
        <v>0</v>
      </c>
      <c r="F2009" s="1" t="s">
        <v>15912</v>
      </c>
    </row>
    <row r="2010">
      <c r="A2010" s="1">
        <v>49833.0</v>
      </c>
      <c r="B2010" s="1">
        <v>6673.0</v>
      </c>
      <c r="C2010" s="1">
        <v>1.61176432E9</v>
      </c>
      <c r="D2010" s="1">
        <v>4.0</v>
      </c>
      <c r="E2010" s="1" t="b">
        <v>0</v>
      </c>
      <c r="F2010" s="1" t="s">
        <v>15913</v>
      </c>
    </row>
    <row r="2011">
      <c r="A2011" s="1">
        <v>49833.0</v>
      </c>
      <c r="B2011" s="1">
        <v>5538.0</v>
      </c>
      <c r="C2011" s="1">
        <v>1.611504582E9</v>
      </c>
      <c r="D2011" s="1">
        <v>4.0</v>
      </c>
      <c r="E2011" s="1" t="b">
        <v>0</v>
      </c>
      <c r="F2011" s="1" t="s">
        <v>15914</v>
      </c>
    </row>
    <row r="2012">
      <c r="A2012" s="1">
        <v>49833.0</v>
      </c>
      <c r="B2012" s="1">
        <v>7205.0</v>
      </c>
      <c r="C2012" s="1">
        <v>1.611835597E9</v>
      </c>
      <c r="D2012" s="1">
        <v>4.0</v>
      </c>
      <c r="E2012" s="1" t="b">
        <v>0</v>
      </c>
      <c r="F2012" s="1" t="s">
        <v>15915</v>
      </c>
    </row>
    <row r="2013">
      <c r="A2013" s="1">
        <v>49833.0</v>
      </c>
      <c r="B2013" s="1">
        <v>7403.0</v>
      </c>
      <c r="C2013" s="1">
        <v>1.611837733E9</v>
      </c>
      <c r="D2013" s="1">
        <v>4.0</v>
      </c>
      <c r="E2013" s="1" t="b">
        <v>0</v>
      </c>
      <c r="F2013" s="1" t="s">
        <v>15916</v>
      </c>
    </row>
    <row r="2014">
      <c r="A2014" s="1">
        <v>49833.0</v>
      </c>
      <c r="B2014" s="1">
        <v>6023.0</v>
      </c>
      <c r="C2014" s="1">
        <v>1.611555393E9</v>
      </c>
      <c r="D2014" s="1">
        <v>4.0</v>
      </c>
      <c r="E2014" s="1" t="b">
        <v>0</v>
      </c>
      <c r="F2014" s="1" t="s">
        <v>15909</v>
      </c>
    </row>
    <row r="2015">
      <c r="A2015" s="1">
        <v>49833.0</v>
      </c>
      <c r="B2015" s="1">
        <v>6208.0</v>
      </c>
      <c r="C2015" s="1">
        <v>1.611597703E9</v>
      </c>
      <c r="D2015" s="1">
        <v>4.0</v>
      </c>
      <c r="E2015" s="1" t="b">
        <v>0</v>
      </c>
      <c r="F2015" s="1" t="s">
        <v>15917</v>
      </c>
    </row>
    <row r="2016">
      <c r="A2016" s="1">
        <v>49833.0</v>
      </c>
      <c r="B2016" s="1">
        <v>3153.0</v>
      </c>
      <c r="C2016" s="1">
        <v>1.609906934E9</v>
      </c>
      <c r="D2016" s="1">
        <v>4.0</v>
      </c>
      <c r="E2016" s="1" t="b">
        <v>0</v>
      </c>
      <c r="F2016" s="1" t="s">
        <v>15918</v>
      </c>
    </row>
    <row r="2017">
      <c r="A2017" s="1">
        <v>49833.0</v>
      </c>
      <c r="B2017" s="1">
        <v>17224.0</v>
      </c>
      <c r="C2017" s="1">
        <v>1.619428031E9</v>
      </c>
      <c r="D2017" s="1">
        <v>4.0</v>
      </c>
      <c r="E2017" s="1" t="b">
        <v>0</v>
      </c>
      <c r="F2017" s="1" t="s">
        <v>15919</v>
      </c>
    </row>
    <row r="2018">
      <c r="A2018" s="1">
        <v>49833.0</v>
      </c>
      <c r="B2018" s="1">
        <v>12034.0</v>
      </c>
      <c r="C2018" s="1">
        <v>1.612888028E9</v>
      </c>
      <c r="D2018" s="1">
        <v>4.0</v>
      </c>
      <c r="E2018" s="1" t="b">
        <v>0</v>
      </c>
      <c r="F2018" s="1" t="s">
        <v>15920</v>
      </c>
    </row>
    <row r="2019">
      <c r="A2019" s="1">
        <v>49833.0</v>
      </c>
      <c r="B2019" s="1">
        <v>2227.0</v>
      </c>
      <c r="C2019" s="1">
        <v>1.619428022E9</v>
      </c>
      <c r="D2019" s="1">
        <v>4.0</v>
      </c>
      <c r="E2019" s="1" t="b">
        <v>0</v>
      </c>
      <c r="F2019" s="1" t="s">
        <v>15921</v>
      </c>
    </row>
    <row r="2020">
      <c r="A2020" s="1">
        <v>49833.0</v>
      </c>
      <c r="B2020" s="1">
        <v>17102.0</v>
      </c>
      <c r="C2020" s="1">
        <v>1.619077081E9</v>
      </c>
      <c r="D2020" s="1">
        <v>4.0</v>
      </c>
      <c r="E2020" s="1" t="b">
        <v>0</v>
      </c>
      <c r="F2020" s="1" t="s">
        <v>15922</v>
      </c>
    </row>
    <row r="2021">
      <c r="A2021" s="1">
        <v>49833.0</v>
      </c>
      <c r="B2021" s="1">
        <v>10001.0</v>
      </c>
      <c r="C2021" s="1">
        <v>1.61232396E9</v>
      </c>
      <c r="D2021" s="1">
        <v>4.0</v>
      </c>
      <c r="E2021" s="1" t="b">
        <v>0</v>
      </c>
      <c r="F2021" s="1" t="s">
        <v>15923</v>
      </c>
    </row>
    <row r="2022">
      <c r="A2022" s="1">
        <v>49833.0</v>
      </c>
      <c r="B2022" s="1">
        <v>13828.0</v>
      </c>
      <c r="C2022" s="1">
        <v>1.613405347E9</v>
      </c>
      <c r="D2022" s="1">
        <v>4.0</v>
      </c>
      <c r="E2022" s="1" t="b">
        <v>0</v>
      </c>
      <c r="F2022" s="1" t="s">
        <v>15924</v>
      </c>
    </row>
    <row r="2023">
      <c r="A2023" s="1">
        <v>49833.0</v>
      </c>
      <c r="B2023" s="1">
        <v>17099.0</v>
      </c>
      <c r="C2023" s="1">
        <v>1.619077069E9</v>
      </c>
      <c r="D2023" s="1">
        <v>4.0</v>
      </c>
      <c r="E2023" s="1" t="b">
        <v>0</v>
      </c>
      <c r="F2023" s="1" t="s">
        <v>15925</v>
      </c>
    </row>
    <row r="2024">
      <c r="A2024" s="1">
        <v>49833.0</v>
      </c>
      <c r="B2024" s="1">
        <v>17100.0</v>
      </c>
      <c r="C2024" s="1">
        <v>1.619077068E9</v>
      </c>
      <c r="D2024" s="1">
        <v>4.0</v>
      </c>
      <c r="E2024" s="1" t="b">
        <v>0</v>
      </c>
      <c r="F2024" s="1" t="s">
        <v>15926</v>
      </c>
    </row>
    <row r="2025">
      <c r="A2025" s="1">
        <v>49833.0</v>
      </c>
      <c r="B2025" s="1">
        <v>5842.0</v>
      </c>
      <c r="C2025" s="1">
        <v>1.611505835E9</v>
      </c>
      <c r="D2025" s="1">
        <v>4.0</v>
      </c>
      <c r="E2025" s="1" t="b">
        <v>0</v>
      </c>
      <c r="F2025" s="1" t="s">
        <v>15927</v>
      </c>
    </row>
    <row r="2026">
      <c r="A2026" s="1">
        <v>49833.0</v>
      </c>
      <c r="B2026" s="1">
        <v>5893.0</v>
      </c>
      <c r="C2026" s="1">
        <v>1.611505836E9</v>
      </c>
      <c r="D2026" s="1">
        <v>4.0</v>
      </c>
      <c r="E2026" s="1" t="b">
        <v>0</v>
      </c>
      <c r="F2026" s="1" t="s">
        <v>15928</v>
      </c>
    </row>
    <row r="2027">
      <c r="A2027" s="1">
        <v>49833.0</v>
      </c>
      <c r="B2027" s="1">
        <v>6025.0</v>
      </c>
      <c r="C2027" s="1">
        <v>1.611555822E9</v>
      </c>
      <c r="D2027" s="1">
        <v>4.0</v>
      </c>
      <c r="E2027" s="1" t="b">
        <v>0</v>
      </c>
      <c r="F2027" s="1" t="s">
        <v>15929</v>
      </c>
    </row>
    <row r="2028">
      <c r="A2028" s="1">
        <v>49833.0</v>
      </c>
      <c r="B2028" s="1">
        <v>10851.0</v>
      </c>
      <c r="C2028" s="1">
        <v>1.612611309E9</v>
      </c>
      <c r="D2028" s="1">
        <v>4.0</v>
      </c>
      <c r="E2028" s="1" t="b">
        <v>0</v>
      </c>
      <c r="F2028" s="1" t="s">
        <v>15507</v>
      </c>
    </row>
    <row r="2029">
      <c r="A2029" s="1">
        <v>49833.0</v>
      </c>
      <c r="B2029" s="1">
        <v>6138.0</v>
      </c>
      <c r="C2029" s="1">
        <v>1.611597702E9</v>
      </c>
      <c r="D2029" s="1">
        <v>4.0</v>
      </c>
      <c r="E2029" s="1" t="b">
        <v>0</v>
      </c>
      <c r="F2029" s="1" t="s">
        <v>15930</v>
      </c>
    </row>
    <row r="2030">
      <c r="A2030" s="1">
        <v>49833.0</v>
      </c>
      <c r="B2030" s="1">
        <v>6162.0</v>
      </c>
      <c r="C2030" s="1">
        <v>1.611597706E9</v>
      </c>
      <c r="D2030" s="1">
        <v>4.0</v>
      </c>
      <c r="E2030" s="1" t="b">
        <v>0</v>
      </c>
      <c r="F2030" s="1" t="s">
        <v>15931</v>
      </c>
    </row>
    <row r="2031">
      <c r="A2031" s="1">
        <v>49833.0</v>
      </c>
      <c r="B2031" s="1">
        <v>6188.0</v>
      </c>
      <c r="C2031" s="1">
        <v>1.611597707E9</v>
      </c>
      <c r="D2031" s="1">
        <v>4.0</v>
      </c>
      <c r="E2031" s="1" t="b">
        <v>0</v>
      </c>
      <c r="F2031" s="1" t="s">
        <v>15932</v>
      </c>
    </row>
    <row r="2032">
      <c r="A2032" s="1">
        <v>49833.0</v>
      </c>
      <c r="B2032" s="1">
        <v>6437.0</v>
      </c>
      <c r="C2032" s="1">
        <v>1.611682603E9</v>
      </c>
      <c r="D2032" s="1">
        <v>4.0</v>
      </c>
      <c r="E2032" s="1" t="b">
        <v>0</v>
      </c>
      <c r="F2032" s="1" t="s">
        <v>15933</v>
      </c>
    </row>
    <row r="2033">
      <c r="A2033" s="1">
        <v>49833.0</v>
      </c>
      <c r="B2033" s="1">
        <v>7326.0</v>
      </c>
      <c r="C2033" s="1">
        <v>1.611835579E9</v>
      </c>
      <c r="D2033" s="1">
        <v>4.0</v>
      </c>
      <c r="E2033" s="1" t="b">
        <v>0</v>
      </c>
      <c r="F2033" s="1" t="s">
        <v>15934</v>
      </c>
    </row>
    <row r="2034">
      <c r="A2034" s="1">
        <v>49833.0</v>
      </c>
      <c r="B2034" s="1">
        <v>17289.0</v>
      </c>
      <c r="C2034" s="1">
        <v>1.619428014E9</v>
      </c>
      <c r="D2034" s="1">
        <v>4.0</v>
      </c>
      <c r="E2034" s="1" t="b">
        <v>0</v>
      </c>
      <c r="F2034" s="1" t="s">
        <v>15935</v>
      </c>
    </row>
    <row r="2035">
      <c r="A2035" s="1">
        <v>49833.0</v>
      </c>
      <c r="B2035" s="1">
        <v>5687.0</v>
      </c>
      <c r="C2035" s="1">
        <v>1.611502278E9</v>
      </c>
      <c r="D2035" s="1">
        <v>4.0</v>
      </c>
      <c r="E2035" s="1" t="b">
        <v>0</v>
      </c>
      <c r="F2035" s="1" t="s">
        <v>15936</v>
      </c>
    </row>
    <row r="2036">
      <c r="A2036" s="1">
        <v>49833.0</v>
      </c>
      <c r="B2036" s="1">
        <v>5783.0</v>
      </c>
      <c r="C2036" s="1">
        <v>1.611504588E9</v>
      </c>
      <c r="D2036" s="1">
        <v>4.0</v>
      </c>
      <c r="E2036" s="1" t="b">
        <v>0</v>
      </c>
      <c r="F2036" s="1" t="s">
        <v>15937</v>
      </c>
    </row>
    <row r="2037">
      <c r="A2037" s="1">
        <v>49833.0</v>
      </c>
      <c r="B2037" s="1">
        <v>5541.0</v>
      </c>
      <c r="C2037" s="1">
        <v>1.611504588E9</v>
      </c>
      <c r="D2037" s="1">
        <v>4.0</v>
      </c>
      <c r="E2037" s="1" t="b">
        <v>0</v>
      </c>
      <c r="F2037" s="1" t="s">
        <v>15938</v>
      </c>
    </row>
    <row r="2038">
      <c r="A2038" s="1">
        <v>49833.0</v>
      </c>
      <c r="B2038" s="1">
        <v>6498.0</v>
      </c>
      <c r="C2038" s="1">
        <v>1.611764323E9</v>
      </c>
      <c r="D2038" s="1">
        <v>4.0</v>
      </c>
      <c r="E2038" s="1" t="b">
        <v>0</v>
      </c>
      <c r="F2038" s="1" t="s">
        <v>15939</v>
      </c>
    </row>
    <row r="2039">
      <c r="A2039" s="1">
        <v>49833.0</v>
      </c>
      <c r="B2039" s="1">
        <v>10725.0</v>
      </c>
      <c r="C2039" s="1">
        <v>1.612582583E9</v>
      </c>
      <c r="D2039" s="1">
        <v>4.0</v>
      </c>
      <c r="E2039" s="1" t="b">
        <v>0</v>
      </c>
      <c r="F2039" s="1" t="s">
        <v>15940</v>
      </c>
    </row>
    <row r="2040">
      <c r="A2040" s="1">
        <v>49833.0</v>
      </c>
      <c r="B2040" s="1">
        <v>6000.0</v>
      </c>
      <c r="C2040" s="1">
        <v>1.61155584E9</v>
      </c>
      <c r="D2040" s="1">
        <v>4.0</v>
      </c>
      <c r="E2040" s="1" t="b">
        <v>0</v>
      </c>
      <c r="F2040" s="1" t="s">
        <v>15941</v>
      </c>
    </row>
    <row r="2041">
      <c r="A2041" s="1">
        <v>49833.0</v>
      </c>
      <c r="B2041" s="1">
        <v>4688.0</v>
      </c>
      <c r="C2041" s="1">
        <v>1.611214694E9</v>
      </c>
      <c r="D2041" s="1">
        <v>4.0</v>
      </c>
      <c r="E2041" s="1" t="b">
        <v>0</v>
      </c>
      <c r="F2041" s="1" t="s">
        <v>15942</v>
      </c>
    </row>
    <row r="2042">
      <c r="A2042" s="1">
        <v>49833.0</v>
      </c>
      <c r="B2042" s="1">
        <v>5969.0</v>
      </c>
      <c r="C2042" s="1">
        <v>1.611555838E9</v>
      </c>
      <c r="D2042" s="1">
        <v>4.0</v>
      </c>
      <c r="E2042" s="1" t="b">
        <v>0</v>
      </c>
      <c r="F2042" s="1" t="s">
        <v>15943</v>
      </c>
    </row>
    <row r="2043">
      <c r="A2043" s="1">
        <v>49833.0</v>
      </c>
      <c r="B2043" s="1">
        <v>16813.0</v>
      </c>
      <c r="C2043" s="1">
        <v>1.618436005E9</v>
      </c>
      <c r="D2043" s="1">
        <v>4.0</v>
      </c>
      <c r="E2043" s="1" t="b">
        <v>0</v>
      </c>
      <c r="F2043" s="1" t="s">
        <v>15944</v>
      </c>
    </row>
    <row r="2044">
      <c r="A2044" s="1">
        <v>49833.0</v>
      </c>
      <c r="B2044" s="1">
        <v>6008.0</v>
      </c>
      <c r="C2044" s="1">
        <v>1.611555821E9</v>
      </c>
      <c r="D2044" s="1">
        <v>4.0</v>
      </c>
      <c r="E2044" s="1" t="b">
        <v>0</v>
      </c>
      <c r="F2044" s="1" t="s">
        <v>15945</v>
      </c>
    </row>
    <row r="2045">
      <c r="A2045" s="1">
        <v>49833.0</v>
      </c>
      <c r="B2045" s="1">
        <v>6098.0</v>
      </c>
      <c r="C2045" s="1">
        <v>1.611565813E9</v>
      </c>
      <c r="D2045" s="1">
        <v>4.0</v>
      </c>
      <c r="E2045" s="1" t="b">
        <v>0</v>
      </c>
      <c r="F2045" s="1" t="s">
        <v>14407</v>
      </c>
    </row>
    <row r="2046">
      <c r="A2046" s="1">
        <v>49833.0</v>
      </c>
      <c r="B2046" s="1">
        <v>6115.0</v>
      </c>
      <c r="C2046" s="1">
        <v>1.611565813E9</v>
      </c>
      <c r="D2046" s="1">
        <v>4.0</v>
      </c>
      <c r="E2046" s="1" t="b">
        <v>0</v>
      </c>
      <c r="F2046" s="1" t="s">
        <v>15946</v>
      </c>
    </row>
    <row r="2047">
      <c r="A2047" s="1">
        <v>49833.0</v>
      </c>
      <c r="B2047" s="1">
        <v>6509.0</v>
      </c>
      <c r="C2047" s="1">
        <v>1.611682604E9</v>
      </c>
      <c r="D2047" s="1">
        <v>4.0</v>
      </c>
      <c r="E2047" s="1" t="b">
        <v>0</v>
      </c>
      <c r="F2047" s="1" t="s">
        <v>15947</v>
      </c>
    </row>
    <row r="2048">
      <c r="A2048" s="1">
        <v>49833.0</v>
      </c>
      <c r="B2048" s="1">
        <v>19660.0</v>
      </c>
      <c r="C2048" s="1">
        <v>1.623130537E9</v>
      </c>
      <c r="D2048" s="1">
        <v>4.0</v>
      </c>
      <c r="E2048" s="1" t="b">
        <v>0</v>
      </c>
      <c r="F2048" s="1" t="s">
        <v>15948</v>
      </c>
    </row>
    <row r="2049">
      <c r="A2049" s="1">
        <v>49833.0</v>
      </c>
      <c r="B2049" s="1">
        <v>3163.0</v>
      </c>
      <c r="C2049" s="1">
        <v>1.611312977E9</v>
      </c>
      <c r="D2049" s="1">
        <v>4.0</v>
      </c>
      <c r="E2049" s="1" t="b">
        <v>0</v>
      </c>
      <c r="F2049" s="1" t="s">
        <v>15949</v>
      </c>
    </row>
    <row r="2050">
      <c r="A2050" s="1">
        <v>49833.0</v>
      </c>
      <c r="B2050" s="1">
        <v>6419.0</v>
      </c>
      <c r="C2050" s="1">
        <v>1.611682616E9</v>
      </c>
      <c r="D2050" s="1">
        <v>4.0</v>
      </c>
      <c r="E2050" s="1" t="b">
        <v>0</v>
      </c>
      <c r="F2050" s="1" t="s">
        <v>15950</v>
      </c>
    </row>
    <row r="2051">
      <c r="A2051" s="1">
        <v>49833.0</v>
      </c>
      <c r="B2051" s="1">
        <v>13802.0</v>
      </c>
      <c r="C2051" s="1">
        <v>1.613405352E9</v>
      </c>
      <c r="D2051" s="1">
        <v>4.0</v>
      </c>
      <c r="E2051" s="1" t="b">
        <v>0</v>
      </c>
      <c r="F2051" s="1" t="s">
        <v>15951</v>
      </c>
    </row>
    <row r="2052">
      <c r="A2052" s="1">
        <v>49833.0</v>
      </c>
      <c r="B2052" s="1">
        <v>6597.0</v>
      </c>
      <c r="C2052" s="1">
        <v>1.611686135E9</v>
      </c>
      <c r="D2052" s="1">
        <v>4.0</v>
      </c>
      <c r="E2052" s="1" t="b">
        <v>0</v>
      </c>
      <c r="F2052" s="1" t="s">
        <v>15952</v>
      </c>
    </row>
    <row r="2053">
      <c r="A2053" s="1">
        <v>49833.0</v>
      </c>
      <c r="B2053" s="1">
        <v>5675.0</v>
      </c>
      <c r="C2053" s="1">
        <v>1.611504555E9</v>
      </c>
      <c r="D2053" s="1">
        <v>4.0</v>
      </c>
      <c r="E2053" s="1" t="b">
        <v>0</v>
      </c>
      <c r="F2053" s="1" t="s">
        <v>15953</v>
      </c>
    </row>
    <row r="2054">
      <c r="A2054" s="1">
        <v>49833.0</v>
      </c>
      <c r="B2054" s="1">
        <v>5751.0</v>
      </c>
      <c r="C2054" s="1">
        <v>1.611505839E9</v>
      </c>
      <c r="D2054" s="1">
        <v>4.0</v>
      </c>
      <c r="E2054" s="1" t="b">
        <v>0</v>
      </c>
      <c r="F2054" s="1" t="s">
        <v>15954</v>
      </c>
    </row>
    <row r="2055">
      <c r="A2055" s="1">
        <v>49833.0</v>
      </c>
      <c r="B2055" s="1">
        <v>9995.0</v>
      </c>
      <c r="C2055" s="1">
        <v>1.612323962E9</v>
      </c>
      <c r="D2055" s="1">
        <v>4.0</v>
      </c>
      <c r="E2055" s="1" t="b">
        <v>0</v>
      </c>
      <c r="F2055" s="1" t="s">
        <v>15955</v>
      </c>
    </row>
    <row r="2056">
      <c r="A2056" s="1">
        <v>49833.0</v>
      </c>
      <c r="B2056" s="1">
        <v>6157.0</v>
      </c>
      <c r="C2056" s="1">
        <v>1.611597708E9</v>
      </c>
      <c r="D2056" s="1">
        <v>4.0</v>
      </c>
      <c r="E2056" s="1" t="b">
        <v>0</v>
      </c>
      <c r="F2056" s="1" t="s">
        <v>15956</v>
      </c>
    </row>
    <row r="2057">
      <c r="A2057" s="1">
        <v>49833.0</v>
      </c>
      <c r="B2057" s="1">
        <v>6161.0</v>
      </c>
      <c r="C2057" s="1">
        <v>1.611597709E9</v>
      </c>
      <c r="D2057" s="1">
        <v>4.0</v>
      </c>
      <c r="E2057" s="1" t="b">
        <v>0</v>
      </c>
      <c r="F2057" s="1" t="s">
        <v>15957</v>
      </c>
    </row>
    <row r="2058">
      <c r="A2058" s="1">
        <v>49833.0</v>
      </c>
      <c r="B2058" s="1">
        <v>6174.0</v>
      </c>
      <c r="C2058" s="1">
        <v>1.611597711E9</v>
      </c>
      <c r="D2058" s="1">
        <v>4.0</v>
      </c>
      <c r="E2058" s="1" t="b">
        <v>0</v>
      </c>
      <c r="F2058" s="1" t="s">
        <v>15958</v>
      </c>
    </row>
    <row r="2059">
      <c r="A2059" s="1">
        <v>49833.0</v>
      </c>
      <c r="B2059" s="1">
        <v>6580.0</v>
      </c>
      <c r="C2059" s="1">
        <v>1.611764324E9</v>
      </c>
      <c r="D2059" s="1">
        <v>4.0</v>
      </c>
      <c r="E2059" s="1" t="b">
        <v>0</v>
      </c>
      <c r="F2059" s="1" t="s">
        <v>15282</v>
      </c>
    </row>
    <row r="2060">
      <c r="A2060" s="1">
        <v>49833.0</v>
      </c>
      <c r="B2060" s="1">
        <v>19223.0</v>
      </c>
      <c r="C2060" s="1">
        <v>1.622489424E9</v>
      </c>
      <c r="D2060" s="1">
        <v>4.0</v>
      </c>
      <c r="E2060" s="1" t="b">
        <v>0</v>
      </c>
      <c r="F2060" s="1" t="s">
        <v>15959</v>
      </c>
    </row>
    <row r="2061">
      <c r="A2061" s="1">
        <v>49833.0</v>
      </c>
      <c r="B2061" s="1">
        <v>5614.0</v>
      </c>
      <c r="C2061" s="1">
        <v>1.611502284E9</v>
      </c>
      <c r="D2061" s="1">
        <v>4.0</v>
      </c>
      <c r="E2061" s="1" t="b">
        <v>0</v>
      </c>
      <c r="F2061" s="1" t="s">
        <v>15960</v>
      </c>
    </row>
    <row r="2062">
      <c r="A2062" s="1">
        <v>49833.0</v>
      </c>
      <c r="B2062" s="1">
        <v>17727.0</v>
      </c>
      <c r="C2062" s="1">
        <v>1.620474733E9</v>
      </c>
      <c r="D2062" s="1">
        <v>4.0</v>
      </c>
      <c r="E2062" s="1" t="b">
        <v>0</v>
      </c>
      <c r="F2062" s="1" t="s">
        <v>15961</v>
      </c>
    </row>
    <row r="2063">
      <c r="A2063" s="1">
        <v>49833.0</v>
      </c>
      <c r="B2063" s="1">
        <v>5970.0</v>
      </c>
      <c r="C2063" s="1">
        <v>1.611555823E9</v>
      </c>
      <c r="D2063" s="1">
        <v>4.0</v>
      </c>
      <c r="E2063" s="1" t="b">
        <v>0</v>
      </c>
      <c r="F2063" s="1" t="s">
        <v>15962</v>
      </c>
    </row>
    <row r="2064">
      <c r="A2064" s="1">
        <v>49833.0</v>
      </c>
      <c r="B2064" s="1">
        <v>5984.0</v>
      </c>
      <c r="C2064" s="1">
        <v>1.611555825E9</v>
      </c>
      <c r="D2064" s="1">
        <v>4.0</v>
      </c>
      <c r="E2064" s="1" t="b">
        <v>0</v>
      </c>
      <c r="F2064" s="1" t="s">
        <v>15963</v>
      </c>
    </row>
    <row r="2065">
      <c r="A2065" s="1">
        <v>49833.0</v>
      </c>
      <c r="B2065" s="1">
        <v>6011.0</v>
      </c>
      <c r="C2065" s="1">
        <v>1.611555826E9</v>
      </c>
      <c r="D2065" s="1">
        <v>4.0</v>
      </c>
      <c r="E2065" s="1" t="b">
        <v>0</v>
      </c>
      <c r="F2065" s="1" t="s">
        <v>14224</v>
      </c>
    </row>
    <row r="2066">
      <c r="A2066" s="1">
        <v>49833.0</v>
      </c>
      <c r="B2066" s="1">
        <v>6027.0</v>
      </c>
      <c r="C2066" s="1">
        <v>1.611555827E9</v>
      </c>
      <c r="D2066" s="1">
        <v>4.0</v>
      </c>
      <c r="E2066" s="1" t="b">
        <v>0</v>
      </c>
      <c r="F2066" s="1" t="s">
        <v>15964</v>
      </c>
    </row>
    <row r="2067">
      <c r="A2067" s="1">
        <v>49833.0</v>
      </c>
      <c r="B2067" s="1">
        <v>6053.0</v>
      </c>
      <c r="C2067" s="1">
        <v>1.611556349E9</v>
      </c>
      <c r="D2067" s="1">
        <v>4.0</v>
      </c>
      <c r="E2067" s="1" t="b">
        <v>0</v>
      </c>
      <c r="F2067" s="1" t="s">
        <v>15965</v>
      </c>
    </row>
    <row r="2068">
      <c r="A2068" s="1">
        <v>49833.0</v>
      </c>
      <c r="B2068" s="1">
        <v>5721.0</v>
      </c>
      <c r="C2068" s="1">
        <v>1.611505839E9</v>
      </c>
      <c r="D2068" s="1">
        <v>4.0</v>
      </c>
      <c r="E2068" s="1" t="b">
        <v>0</v>
      </c>
      <c r="F2068" s="1" t="s">
        <v>15966</v>
      </c>
    </row>
    <row r="2069">
      <c r="A2069" s="1">
        <v>49833.0</v>
      </c>
      <c r="B2069" s="1">
        <v>4245.0</v>
      </c>
      <c r="C2069" s="1">
        <v>1.612029308E9</v>
      </c>
      <c r="D2069" s="1">
        <v>4.0</v>
      </c>
      <c r="E2069" s="1" t="b">
        <v>0</v>
      </c>
      <c r="F2069" s="1" t="s">
        <v>15967</v>
      </c>
    </row>
    <row r="2070">
      <c r="A2070" s="1">
        <v>49835.0</v>
      </c>
      <c r="B2070" s="1">
        <v>8018.0</v>
      </c>
      <c r="C2070" s="1">
        <v>1.612552092E9</v>
      </c>
      <c r="D2070" s="1">
        <v>4.0</v>
      </c>
      <c r="E2070" s="1" t="b">
        <v>0</v>
      </c>
      <c r="F2070" s="1" t="s">
        <v>15968</v>
      </c>
    </row>
    <row r="2071">
      <c r="A2071" s="1">
        <v>49835.0</v>
      </c>
      <c r="B2071" s="1">
        <v>6799.0</v>
      </c>
      <c r="C2071" s="1">
        <v>1.611739478E9</v>
      </c>
      <c r="D2071" s="1">
        <v>4.0</v>
      </c>
      <c r="E2071" s="1" t="b">
        <v>0</v>
      </c>
      <c r="F2071" s="1" t="s">
        <v>15969</v>
      </c>
    </row>
    <row r="2072">
      <c r="A2072" s="1">
        <v>49835.0</v>
      </c>
      <c r="B2072" s="1">
        <v>7715.0</v>
      </c>
      <c r="C2072" s="1">
        <v>1.611894818E9</v>
      </c>
      <c r="D2072" s="1">
        <v>4.0</v>
      </c>
      <c r="E2072" s="1" t="b">
        <v>0</v>
      </c>
      <c r="F2072" s="1" t="s">
        <v>15970</v>
      </c>
    </row>
    <row r="2073">
      <c r="A2073" s="1">
        <v>49835.0</v>
      </c>
      <c r="B2073" s="1">
        <v>6891.0</v>
      </c>
      <c r="C2073" s="1">
        <v>1.611749928E9</v>
      </c>
      <c r="D2073" s="1">
        <v>4.0</v>
      </c>
      <c r="E2073" s="1" t="b">
        <v>0</v>
      </c>
      <c r="F2073" s="1" t="s">
        <v>15971</v>
      </c>
    </row>
    <row r="2074">
      <c r="A2074" s="1">
        <v>49835.0</v>
      </c>
      <c r="B2074" s="1">
        <v>7689.0</v>
      </c>
      <c r="C2074" s="1">
        <v>1.61189082E9</v>
      </c>
      <c r="D2074" s="1">
        <v>4.0</v>
      </c>
      <c r="E2074" s="1" t="b">
        <v>0</v>
      </c>
      <c r="F2074" s="1" t="s">
        <v>15972</v>
      </c>
    </row>
    <row r="2075">
      <c r="A2075" s="1">
        <v>49835.0</v>
      </c>
      <c r="B2075" s="1">
        <v>7671.0</v>
      </c>
      <c r="C2075" s="1">
        <v>1.611888791E9</v>
      </c>
      <c r="D2075" s="1">
        <v>4.0</v>
      </c>
      <c r="E2075" s="1" t="b">
        <v>0</v>
      </c>
      <c r="F2075" s="1" t="s">
        <v>15973</v>
      </c>
    </row>
    <row r="2076">
      <c r="A2076" s="1">
        <v>49835.0</v>
      </c>
      <c r="B2076" s="1">
        <v>7652.0</v>
      </c>
      <c r="C2076" s="1">
        <v>1.611882274E9</v>
      </c>
      <c r="D2076" s="1">
        <v>4.0</v>
      </c>
      <c r="E2076" s="1" t="b">
        <v>0</v>
      </c>
      <c r="F2076" s="1" t="s">
        <v>15974</v>
      </c>
    </row>
    <row r="2077">
      <c r="A2077" s="1">
        <v>49835.0</v>
      </c>
      <c r="B2077" s="1">
        <v>7639.0</v>
      </c>
      <c r="C2077" s="1">
        <v>1.611882135E9</v>
      </c>
      <c r="D2077" s="1">
        <v>4.0</v>
      </c>
      <c r="E2077" s="1" t="b">
        <v>0</v>
      </c>
      <c r="F2077" s="1" t="s">
        <v>15975</v>
      </c>
    </row>
    <row r="2078">
      <c r="A2078" s="1">
        <v>49835.0</v>
      </c>
      <c r="B2078" s="1">
        <v>7574.0</v>
      </c>
      <c r="C2078" s="1">
        <v>1.611856016E9</v>
      </c>
      <c r="D2078" s="1">
        <v>4.0</v>
      </c>
      <c r="E2078" s="1" t="b">
        <v>0</v>
      </c>
      <c r="F2078" s="1" t="s">
        <v>15976</v>
      </c>
    </row>
    <row r="2079">
      <c r="A2079" s="1">
        <v>49835.0</v>
      </c>
      <c r="B2079" s="1">
        <v>9251.0</v>
      </c>
      <c r="C2079" s="1">
        <v>1.612141867E9</v>
      </c>
      <c r="D2079" s="1">
        <v>4.0</v>
      </c>
      <c r="E2079" s="1" t="b">
        <v>0</v>
      </c>
      <c r="F2079" s="1" t="s">
        <v>15977</v>
      </c>
    </row>
    <row r="2080">
      <c r="A2080" s="1">
        <v>49835.0</v>
      </c>
      <c r="B2080" s="1">
        <v>13398.0</v>
      </c>
      <c r="C2080" s="1">
        <v>1.613270929E9</v>
      </c>
      <c r="D2080" s="1">
        <v>4.0</v>
      </c>
      <c r="E2080" s="1" t="b">
        <v>0</v>
      </c>
      <c r="F2080" s="1" t="s">
        <v>15978</v>
      </c>
    </row>
    <row r="2081">
      <c r="A2081" s="1">
        <v>49835.0</v>
      </c>
      <c r="B2081" s="1">
        <v>6622.0</v>
      </c>
      <c r="C2081" s="1">
        <v>1.611712097E9</v>
      </c>
      <c r="D2081" s="1">
        <v>4.0</v>
      </c>
      <c r="E2081" s="1" t="b">
        <v>0</v>
      </c>
      <c r="F2081" s="1" t="s">
        <v>15979</v>
      </c>
    </row>
    <row r="2082">
      <c r="A2082" s="1">
        <v>49835.0</v>
      </c>
      <c r="B2082" s="1">
        <v>12642.0</v>
      </c>
      <c r="C2082" s="1">
        <v>1.613037158E9</v>
      </c>
      <c r="D2082" s="1">
        <v>4.0</v>
      </c>
      <c r="E2082" s="1" t="b">
        <v>0</v>
      </c>
      <c r="F2082" s="1" t="s">
        <v>15980</v>
      </c>
    </row>
    <row r="2083">
      <c r="A2083" s="1">
        <v>49835.0</v>
      </c>
      <c r="B2083" s="1">
        <v>1651.0</v>
      </c>
      <c r="C2083" s="1">
        <v>1.608803263E9</v>
      </c>
      <c r="D2083" s="1">
        <v>1.0</v>
      </c>
      <c r="E2083" s="1" t="b">
        <v>0</v>
      </c>
      <c r="F2083" s="1" t="s">
        <v>15981</v>
      </c>
    </row>
    <row r="2084">
      <c r="A2084" s="1">
        <v>49835.0</v>
      </c>
      <c r="B2084" s="1">
        <v>5255.0</v>
      </c>
      <c r="C2084" s="1">
        <v>1.613064909E9</v>
      </c>
      <c r="D2084" s="1">
        <v>4.0</v>
      </c>
      <c r="E2084" s="1" t="b">
        <v>0</v>
      </c>
      <c r="F2084" s="1" t="s">
        <v>15982</v>
      </c>
    </row>
    <row r="2085">
      <c r="A2085" s="1">
        <v>49835.0</v>
      </c>
      <c r="B2085" s="1">
        <v>2933.0</v>
      </c>
      <c r="C2085" s="1">
        <v>1.609732436E9</v>
      </c>
      <c r="D2085" s="1">
        <v>4.0</v>
      </c>
      <c r="E2085" s="1" t="b">
        <v>0</v>
      </c>
      <c r="F2085" s="1" t="s">
        <v>15983</v>
      </c>
    </row>
    <row r="2086">
      <c r="A2086" s="1">
        <v>49835.0</v>
      </c>
      <c r="B2086" s="1">
        <v>7424.0</v>
      </c>
      <c r="C2086" s="1">
        <v>1.611838009E9</v>
      </c>
      <c r="D2086" s="1">
        <v>4.0</v>
      </c>
      <c r="E2086" s="1" t="b">
        <v>0</v>
      </c>
      <c r="F2086" s="1" t="s">
        <v>15984</v>
      </c>
    </row>
    <row r="2087">
      <c r="A2087" s="1">
        <v>49835.0</v>
      </c>
      <c r="B2087" s="1">
        <v>6978.0</v>
      </c>
      <c r="C2087" s="1">
        <v>1.611762098E9</v>
      </c>
      <c r="D2087" s="1">
        <v>4.0</v>
      </c>
      <c r="E2087" s="1" t="b">
        <v>0</v>
      </c>
      <c r="F2087" s="1" t="s">
        <v>15985</v>
      </c>
    </row>
    <row r="2088">
      <c r="A2088" s="1">
        <v>49835.0</v>
      </c>
      <c r="B2088" s="1">
        <v>6798.0</v>
      </c>
      <c r="C2088" s="1">
        <v>1.611739422E9</v>
      </c>
      <c r="D2088" s="1">
        <v>4.0</v>
      </c>
      <c r="E2088" s="1" t="b">
        <v>0</v>
      </c>
      <c r="F2088" s="1" t="s">
        <v>15986</v>
      </c>
    </row>
    <row r="2089">
      <c r="A2089" s="1">
        <v>49835.0</v>
      </c>
      <c r="B2089" s="1">
        <v>16520.0</v>
      </c>
      <c r="C2089" s="1">
        <v>1.616922013E9</v>
      </c>
      <c r="D2089" s="1">
        <v>4.0</v>
      </c>
      <c r="E2089" s="1" t="b">
        <v>0</v>
      </c>
      <c r="F2089" s="1" t="s">
        <v>15987</v>
      </c>
    </row>
    <row r="2090">
      <c r="A2090" s="1">
        <v>49835.0</v>
      </c>
      <c r="B2090" s="1">
        <v>9773.0</v>
      </c>
      <c r="C2090" s="1">
        <v>1.612236518E9</v>
      </c>
      <c r="D2090" s="1">
        <v>4.0</v>
      </c>
      <c r="E2090" s="1" t="b">
        <v>0</v>
      </c>
      <c r="F2090" s="1" t="s">
        <v>15988</v>
      </c>
    </row>
    <row r="2091">
      <c r="A2091" s="1">
        <v>49835.0</v>
      </c>
      <c r="B2091" s="1">
        <v>7386.0</v>
      </c>
      <c r="C2091" s="1">
        <v>1.611834141E9</v>
      </c>
      <c r="D2091" s="1">
        <v>4.0</v>
      </c>
      <c r="E2091" s="1" t="b">
        <v>0</v>
      </c>
      <c r="F2091" s="1" t="s">
        <v>15989</v>
      </c>
    </row>
    <row r="2092">
      <c r="A2092" s="1">
        <v>49835.0</v>
      </c>
      <c r="B2092" s="1">
        <v>6621.0</v>
      </c>
      <c r="C2092" s="1">
        <v>1.611712099E9</v>
      </c>
      <c r="D2092" s="1">
        <v>4.0</v>
      </c>
      <c r="E2092" s="1" t="b">
        <v>0</v>
      </c>
      <c r="F2092" s="1" t="s">
        <v>15990</v>
      </c>
    </row>
    <row r="2093">
      <c r="A2093" s="1">
        <v>49835.0</v>
      </c>
      <c r="B2093" s="1">
        <v>5247.0</v>
      </c>
      <c r="C2093" s="1">
        <v>1.61138318E9</v>
      </c>
      <c r="D2093" s="1">
        <v>4.0</v>
      </c>
      <c r="E2093" s="1" t="b">
        <v>0</v>
      </c>
      <c r="F2093" s="1" t="s">
        <v>15991</v>
      </c>
    </row>
    <row r="2094">
      <c r="A2094" s="1">
        <v>49835.0</v>
      </c>
      <c r="B2094" s="1">
        <v>9207.0</v>
      </c>
      <c r="C2094" s="1">
        <v>1.612141865E9</v>
      </c>
      <c r="D2094" s="1">
        <v>4.0</v>
      </c>
      <c r="E2094" s="1" t="b">
        <v>0</v>
      </c>
      <c r="F2094" s="1" t="s">
        <v>15992</v>
      </c>
    </row>
    <row r="2095">
      <c r="A2095" s="1">
        <v>49835.0</v>
      </c>
      <c r="B2095" s="1">
        <v>9583.0</v>
      </c>
      <c r="C2095" s="1">
        <v>1.612178784E9</v>
      </c>
      <c r="D2095" s="1">
        <v>4.0</v>
      </c>
      <c r="E2095" s="1" t="b">
        <v>0</v>
      </c>
      <c r="F2095" s="1" t="s">
        <v>15993</v>
      </c>
    </row>
    <row r="2096">
      <c r="A2096" s="1">
        <v>49835.0</v>
      </c>
      <c r="B2096" s="1">
        <v>6732.0</v>
      </c>
      <c r="C2096" s="1">
        <v>1.611731512E9</v>
      </c>
      <c r="D2096" s="1">
        <v>4.0</v>
      </c>
      <c r="E2096" s="1" t="b">
        <v>0</v>
      </c>
      <c r="F2096" s="1" t="s">
        <v>15994</v>
      </c>
    </row>
    <row r="2097">
      <c r="A2097" s="1">
        <v>49835.0</v>
      </c>
      <c r="B2097" s="1">
        <v>9594.0</v>
      </c>
      <c r="C2097" s="1">
        <v>1.612178786E9</v>
      </c>
      <c r="D2097" s="1">
        <v>4.0</v>
      </c>
      <c r="E2097" s="1" t="b">
        <v>0</v>
      </c>
      <c r="F2097" s="1" t="s">
        <v>15995</v>
      </c>
    </row>
    <row r="2098">
      <c r="A2098" s="1">
        <v>49835.0</v>
      </c>
      <c r="B2098" s="1">
        <v>4383.0</v>
      </c>
      <c r="C2098" s="1">
        <v>1.611122231E9</v>
      </c>
      <c r="D2098" s="1">
        <v>4.0</v>
      </c>
      <c r="E2098" s="1" t="b">
        <v>0</v>
      </c>
      <c r="F2098" s="1" t="s">
        <v>15996</v>
      </c>
    </row>
    <row r="2099">
      <c r="A2099" s="1">
        <v>49835.0</v>
      </c>
      <c r="B2099" s="1">
        <v>9782.0</v>
      </c>
      <c r="C2099" s="1">
        <v>1.612236527E9</v>
      </c>
      <c r="D2099" s="1">
        <v>4.0</v>
      </c>
      <c r="E2099" s="1" t="b">
        <v>0</v>
      </c>
      <c r="F2099" s="1" t="s">
        <v>15997</v>
      </c>
    </row>
    <row r="2100">
      <c r="A2100" s="1">
        <v>49835.0</v>
      </c>
      <c r="B2100" s="1">
        <v>7201.0</v>
      </c>
      <c r="C2100" s="1">
        <v>1.611812888E9</v>
      </c>
      <c r="D2100" s="1">
        <v>4.0</v>
      </c>
      <c r="E2100" s="1" t="b">
        <v>0</v>
      </c>
      <c r="F2100" s="1" t="s">
        <v>15998</v>
      </c>
    </row>
    <row r="2101">
      <c r="A2101" s="1">
        <v>49835.0</v>
      </c>
      <c r="B2101" s="1">
        <v>9609.0</v>
      </c>
      <c r="C2101" s="1">
        <v>1.612179535E9</v>
      </c>
      <c r="D2101" s="1">
        <v>4.0</v>
      </c>
      <c r="E2101" s="1" t="b">
        <v>0</v>
      </c>
      <c r="F2101" s="1" t="s">
        <v>15999</v>
      </c>
    </row>
    <row r="2102">
      <c r="A2102" s="1">
        <v>49835.0</v>
      </c>
      <c r="B2102" s="1">
        <v>9503.0</v>
      </c>
      <c r="C2102" s="1">
        <v>1.612166859E9</v>
      </c>
      <c r="D2102" s="1">
        <v>4.0</v>
      </c>
      <c r="E2102" s="1" t="b">
        <v>0</v>
      </c>
      <c r="F2102" s="1" t="s">
        <v>16000</v>
      </c>
    </row>
    <row r="2103">
      <c r="A2103" s="1">
        <v>49835.0</v>
      </c>
      <c r="B2103" s="1">
        <v>5291.0</v>
      </c>
      <c r="C2103" s="1">
        <v>1.611383195E9</v>
      </c>
      <c r="D2103" s="1">
        <v>4.0</v>
      </c>
      <c r="E2103" s="1" t="b">
        <v>0</v>
      </c>
      <c r="F2103" s="1" t="s">
        <v>16001</v>
      </c>
    </row>
    <row r="2104">
      <c r="A2104" s="1">
        <v>49835.0</v>
      </c>
      <c r="B2104" s="1">
        <v>9364.0</v>
      </c>
      <c r="C2104" s="1">
        <v>1.612145411E9</v>
      </c>
      <c r="D2104" s="1">
        <v>4.0</v>
      </c>
      <c r="E2104" s="1" t="b">
        <v>0</v>
      </c>
      <c r="F2104" s="1" t="s">
        <v>16002</v>
      </c>
    </row>
    <row r="2105">
      <c r="A2105" s="1">
        <v>49835.0</v>
      </c>
      <c r="B2105" s="1">
        <v>5409.0</v>
      </c>
      <c r="C2105" s="1">
        <v>1.611734751E9</v>
      </c>
      <c r="D2105" s="1">
        <v>4.0</v>
      </c>
      <c r="E2105" s="1" t="b">
        <v>0</v>
      </c>
      <c r="F2105" s="1" t="s">
        <v>16003</v>
      </c>
    </row>
    <row r="2106">
      <c r="A2106" s="1">
        <v>49835.0</v>
      </c>
      <c r="B2106" s="1">
        <v>16397.0</v>
      </c>
      <c r="C2106" s="1">
        <v>1.616473746E9</v>
      </c>
      <c r="D2106" s="1">
        <v>4.0</v>
      </c>
      <c r="E2106" s="1" t="b">
        <v>0</v>
      </c>
      <c r="F2106" s="1" t="s">
        <v>16004</v>
      </c>
    </row>
    <row r="2107">
      <c r="A2107" s="1">
        <v>49835.0</v>
      </c>
      <c r="B2107" s="1">
        <v>8588.0</v>
      </c>
      <c r="C2107" s="1">
        <v>1.612246331E9</v>
      </c>
      <c r="D2107" s="1">
        <v>4.0</v>
      </c>
      <c r="E2107" s="1" t="b">
        <v>0</v>
      </c>
      <c r="F2107" s="1" t="s">
        <v>16005</v>
      </c>
    </row>
    <row r="2108">
      <c r="A2108" s="1">
        <v>49835.0</v>
      </c>
      <c r="B2108" s="1">
        <v>9297.0</v>
      </c>
      <c r="C2108" s="1">
        <v>1.612141898E9</v>
      </c>
      <c r="D2108" s="1">
        <v>4.0</v>
      </c>
      <c r="E2108" s="1" t="b">
        <v>0</v>
      </c>
      <c r="F2108" s="1" t="s">
        <v>16006</v>
      </c>
    </row>
    <row r="2109">
      <c r="A2109" s="1">
        <v>49835.0</v>
      </c>
      <c r="B2109" s="1">
        <v>6287.0</v>
      </c>
      <c r="C2109" s="1">
        <v>1.61160009E9</v>
      </c>
      <c r="D2109" s="1">
        <v>4.0</v>
      </c>
      <c r="E2109" s="1" t="b">
        <v>0</v>
      </c>
      <c r="F2109" s="1" t="s">
        <v>16007</v>
      </c>
    </row>
    <row r="2110">
      <c r="A2110" s="1">
        <v>49835.0</v>
      </c>
      <c r="B2110" s="1">
        <v>10434.0</v>
      </c>
      <c r="C2110" s="1">
        <v>1.612449243E9</v>
      </c>
      <c r="D2110" s="1">
        <v>4.0</v>
      </c>
      <c r="E2110" s="1" t="b">
        <v>0</v>
      </c>
      <c r="F2110" s="1" t="s">
        <v>16008</v>
      </c>
    </row>
    <row r="2111">
      <c r="A2111" s="1">
        <v>49835.0</v>
      </c>
      <c r="B2111" s="1">
        <v>6264.0</v>
      </c>
      <c r="C2111" s="1">
        <v>1.611594636E9</v>
      </c>
      <c r="D2111" s="1">
        <v>4.0</v>
      </c>
      <c r="E2111" s="1" t="b">
        <v>0</v>
      </c>
      <c r="F2111" s="1" t="s">
        <v>16009</v>
      </c>
    </row>
    <row r="2112">
      <c r="A2112" s="1">
        <v>49835.0</v>
      </c>
      <c r="B2112" s="1">
        <v>6262.0</v>
      </c>
      <c r="C2112" s="1">
        <v>1.611594634E9</v>
      </c>
      <c r="D2112" s="1">
        <v>4.0</v>
      </c>
      <c r="E2112" s="1" t="b">
        <v>0</v>
      </c>
      <c r="F2112" s="1" t="s">
        <v>16010</v>
      </c>
    </row>
    <row r="2113">
      <c r="A2113" s="1">
        <v>49835.0</v>
      </c>
      <c r="B2113" s="1">
        <v>6372.0</v>
      </c>
      <c r="C2113" s="1">
        <v>1.611644676E9</v>
      </c>
      <c r="D2113" s="1">
        <v>4.0</v>
      </c>
      <c r="E2113" s="1" t="b">
        <v>0</v>
      </c>
      <c r="F2113" s="1" t="s">
        <v>16011</v>
      </c>
    </row>
    <row r="2114">
      <c r="A2114" s="1">
        <v>49835.0</v>
      </c>
      <c r="B2114" s="1">
        <v>7319.0</v>
      </c>
      <c r="C2114" s="1">
        <v>1.612078179E9</v>
      </c>
      <c r="D2114" s="1">
        <v>4.0</v>
      </c>
      <c r="E2114" s="1" t="b">
        <v>0</v>
      </c>
      <c r="F2114" s="1" t="s">
        <v>16012</v>
      </c>
    </row>
    <row r="2115">
      <c r="A2115" s="1">
        <v>49835.0</v>
      </c>
      <c r="B2115" s="1">
        <v>8721.0</v>
      </c>
      <c r="C2115" s="1">
        <v>1.61202423E9</v>
      </c>
      <c r="D2115" s="1">
        <v>4.0</v>
      </c>
      <c r="E2115" s="1" t="b">
        <v>0</v>
      </c>
      <c r="F2115" s="1" t="s">
        <v>15970</v>
      </c>
    </row>
    <row r="2116">
      <c r="A2116" s="1">
        <v>49835.0</v>
      </c>
      <c r="B2116" s="1">
        <v>6576.0</v>
      </c>
      <c r="C2116" s="1">
        <v>1.612033021E9</v>
      </c>
      <c r="D2116" s="1">
        <v>4.0</v>
      </c>
      <c r="E2116" s="1" t="b">
        <v>0</v>
      </c>
      <c r="F2116" s="1" t="s">
        <v>16013</v>
      </c>
    </row>
    <row r="2117">
      <c r="A2117" s="1">
        <v>49835.0</v>
      </c>
      <c r="B2117" s="1">
        <v>10827.0</v>
      </c>
      <c r="C2117" s="1">
        <v>1.612601665E9</v>
      </c>
      <c r="D2117" s="1">
        <v>4.0</v>
      </c>
      <c r="E2117" s="1" t="b">
        <v>0</v>
      </c>
      <c r="F2117" s="1" t="s">
        <v>16014</v>
      </c>
    </row>
    <row r="2118">
      <c r="A2118" s="1">
        <v>49835.0</v>
      </c>
      <c r="B2118" s="1">
        <v>4762.0</v>
      </c>
      <c r="C2118" s="1">
        <v>1.611223336E9</v>
      </c>
      <c r="D2118" s="1">
        <v>4.0</v>
      </c>
      <c r="E2118" s="1" t="b">
        <v>0</v>
      </c>
      <c r="F2118" s="1" t="s">
        <v>16015</v>
      </c>
    </row>
    <row r="2119">
      <c r="A2119" s="1">
        <v>49835.0</v>
      </c>
      <c r="B2119" s="1">
        <v>7796.0</v>
      </c>
      <c r="C2119" s="1">
        <v>1.611900934E9</v>
      </c>
      <c r="D2119" s="1">
        <v>4.0</v>
      </c>
      <c r="E2119" s="1" t="b">
        <v>0</v>
      </c>
      <c r="F2119" s="1" t="s">
        <v>16016</v>
      </c>
    </row>
    <row r="2120">
      <c r="A2120" s="1">
        <v>49835.0</v>
      </c>
      <c r="B2120" s="1">
        <v>20314.0</v>
      </c>
      <c r="C2120" s="1">
        <v>1.624102241E9</v>
      </c>
      <c r="D2120" s="1">
        <v>4.0</v>
      </c>
      <c r="E2120" s="1" t="b">
        <v>0</v>
      </c>
      <c r="F2120" s="1" t="s">
        <v>16017</v>
      </c>
    </row>
    <row r="2121">
      <c r="A2121" s="1">
        <v>49835.0</v>
      </c>
      <c r="B2121" s="1">
        <v>5264.0</v>
      </c>
      <c r="C2121" s="1">
        <v>1.611383189E9</v>
      </c>
      <c r="D2121" s="1">
        <v>4.0</v>
      </c>
      <c r="E2121" s="1" t="b">
        <v>0</v>
      </c>
      <c r="F2121" s="1" t="s">
        <v>16018</v>
      </c>
    </row>
    <row r="2122">
      <c r="A2122" s="1">
        <v>49835.0</v>
      </c>
      <c r="B2122" s="1">
        <v>19613.0</v>
      </c>
      <c r="C2122" s="1">
        <v>1.623075358E9</v>
      </c>
      <c r="D2122" s="1">
        <v>4.0</v>
      </c>
      <c r="E2122" s="1" t="b">
        <v>0</v>
      </c>
      <c r="F2122" s="1" t="s">
        <v>16019</v>
      </c>
    </row>
    <row r="2123">
      <c r="A2123" s="1">
        <v>49835.0</v>
      </c>
      <c r="B2123" s="1">
        <v>13732.0</v>
      </c>
      <c r="C2123" s="1">
        <v>1.613360209E9</v>
      </c>
      <c r="D2123" s="1">
        <v>4.0</v>
      </c>
      <c r="E2123" s="1" t="b">
        <v>0</v>
      </c>
      <c r="F2123" s="1" t="s">
        <v>16020</v>
      </c>
    </row>
    <row r="2124">
      <c r="A2124" s="1">
        <v>49835.0</v>
      </c>
      <c r="B2124" s="1">
        <v>19604.0</v>
      </c>
      <c r="C2124" s="1">
        <v>1.623058195E9</v>
      </c>
      <c r="D2124" s="1">
        <v>4.0</v>
      </c>
      <c r="E2124" s="1" t="b">
        <v>0</v>
      </c>
      <c r="F2124" s="1" t="s">
        <v>16021</v>
      </c>
    </row>
    <row r="2125">
      <c r="A2125" s="1">
        <v>49835.0</v>
      </c>
      <c r="B2125" s="1">
        <v>4309.0</v>
      </c>
      <c r="C2125" s="1">
        <v>1.611070483E9</v>
      </c>
      <c r="D2125" s="1">
        <v>4.0</v>
      </c>
      <c r="E2125" s="1" t="b">
        <v>0</v>
      </c>
      <c r="F2125" s="1" t="s">
        <v>16022</v>
      </c>
    </row>
    <row r="2126">
      <c r="A2126" s="1">
        <v>49835.0</v>
      </c>
      <c r="B2126" s="1">
        <v>12927.0</v>
      </c>
      <c r="C2126" s="1">
        <v>1.613114377E9</v>
      </c>
      <c r="D2126" s="1">
        <v>4.0</v>
      </c>
      <c r="E2126" s="1" t="b">
        <v>0</v>
      </c>
      <c r="F2126" s="1" t="s">
        <v>16023</v>
      </c>
    </row>
    <row r="2127">
      <c r="A2127" s="1">
        <v>49835.0</v>
      </c>
      <c r="B2127" s="1">
        <v>5270.0</v>
      </c>
      <c r="C2127" s="1">
        <v>1.611383187E9</v>
      </c>
      <c r="D2127" s="1">
        <v>4.0</v>
      </c>
      <c r="E2127" s="1" t="b">
        <v>0</v>
      </c>
      <c r="F2127" s="1" t="s">
        <v>16024</v>
      </c>
    </row>
    <row r="2128">
      <c r="A2128" s="1">
        <v>49835.0</v>
      </c>
      <c r="B2128" s="1">
        <v>4999.0</v>
      </c>
      <c r="C2128" s="1">
        <v>1.611299027E9</v>
      </c>
      <c r="D2128" s="1">
        <v>4.0</v>
      </c>
      <c r="E2128" s="1" t="b">
        <v>0</v>
      </c>
      <c r="F2128" s="1" t="s">
        <v>16025</v>
      </c>
    </row>
    <row r="2129">
      <c r="A2129" s="1">
        <v>49835.0</v>
      </c>
      <c r="B2129" s="1">
        <v>13365.0</v>
      </c>
      <c r="C2129" s="1">
        <v>1.613234858E9</v>
      </c>
      <c r="D2129" s="1">
        <v>4.0</v>
      </c>
      <c r="E2129" s="1" t="b">
        <v>0</v>
      </c>
      <c r="F2129" s="1" t="s">
        <v>16026</v>
      </c>
    </row>
    <row r="2130">
      <c r="A2130" s="1">
        <v>49835.0</v>
      </c>
      <c r="B2130" s="1">
        <v>5257.0</v>
      </c>
      <c r="C2130" s="1">
        <v>1.611383185E9</v>
      </c>
      <c r="D2130" s="1">
        <v>4.0</v>
      </c>
      <c r="E2130" s="1" t="b">
        <v>0</v>
      </c>
      <c r="F2130" s="1" t="s">
        <v>16027</v>
      </c>
    </row>
    <row r="2131">
      <c r="A2131" s="1">
        <v>49835.0</v>
      </c>
      <c r="B2131" s="1">
        <v>4950.0</v>
      </c>
      <c r="C2131" s="1">
        <v>1.611299013E9</v>
      </c>
      <c r="D2131" s="1">
        <v>4.0</v>
      </c>
      <c r="E2131" s="1" t="b">
        <v>0</v>
      </c>
      <c r="F2131" s="1" t="s">
        <v>16028</v>
      </c>
    </row>
    <row r="2132">
      <c r="A2132" s="1">
        <v>49835.0</v>
      </c>
      <c r="B2132" s="1">
        <v>4933.0</v>
      </c>
      <c r="C2132" s="1">
        <v>1.611281095E9</v>
      </c>
      <c r="D2132" s="1">
        <v>4.0</v>
      </c>
      <c r="E2132" s="1" t="b">
        <v>0</v>
      </c>
      <c r="F2132" s="1" t="s">
        <v>16029</v>
      </c>
    </row>
    <row r="2133">
      <c r="A2133" s="1">
        <v>49835.0</v>
      </c>
      <c r="B2133" s="1">
        <v>10867.0</v>
      </c>
      <c r="C2133" s="1">
        <v>1.612644038E9</v>
      </c>
      <c r="D2133" s="1">
        <v>4.0</v>
      </c>
      <c r="E2133" s="1" t="b">
        <v>0</v>
      </c>
      <c r="F2133" s="1" t="s">
        <v>16030</v>
      </c>
    </row>
    <row r="2134">
      <c r="A2134" s="1">
        <v>49835.0</v>
      </c>
      <c r="B2134" s="1">
        <v>2746.0</v>
      </c>
      <c r="C2134" s="1">
        <v>1.609233474E9</v>
      </c>
      <c r="D2134" s="1">
        <v>4.0</v>
      </c>
      <c r="E2134" s="1" t="b">
        <v>0</v>
      </c>
      <c r="F2134" s="1" t="s">
        <v>16031</v>
      </c>
    </row>
    <row r="2135">
      <c r="A2135" s="1">
        <v>49835.0</v>
      </c>
      <c r="B2135" s="1">
        <v>16386.0</v>
      </c>
      <c r="C2135" s="1">
        <v>1.616572095E9</v>
      </c>
      <c r="D2135" s="1">
        <v>4.0</v>
      </c>
      <c r="E2135" s="1" t="b">
        <v>0</v>
      </c>
      <c r="F2135" s="1" t="s">
        <v>16032</v>
      </c>
    </row>
    <row r="2136">
      <c r="A2136" s="1">
        <v>49835.0</v>
      </c>
      <c r="B2136" s="1">
        <v>7174.0</v>
      </c>
      <c r="C2136" s="1">
        <v>1.611808107E9</v>
      </c>
      <c r="D2136" s="1">
        <v>4.0</v>
      </c>
      <c r="E2136" s="1" t="b">
        <v>0</v>
      </c>
      <c r="F2136" s="1" t="s">
        <v>16033</v>
      </c>
    </row>
    <row r="2137">
      <c r="A2137" s="1">
        <v>49835.0</v>
      </c>
      <c r="B2137" s="1">
        <v>16429.0</v>
      </c>
      <c r="C2137" s="1">
        <v>1.616522608E9</v>
      </c>
      <c r="D2137" s="1">
        <v>4.0</v>
      </c>
      <c r="E2137" s="1" t="b">
        <v>0</v>
      </c>
      <c r="F2137" s="1" t="s">
        <v>16034</v>
      </c>
    </row>
    <row r="2138">
      <c r="A2138" s="1">
        <v>49835.0</v>
      </c>
      <c r="B2138" s="1">
        <v>11325.0</v>
      </c>
      <c r="C2138" s="1">
        <v>1.612749826E9</v>
      </c>
      <c r="D2138" s="1">
        <v>4.0</v>
      </c>
      <c r="E2138" s="1" t="b">
        <v>0</v>
      </c>
      <c r="F2138" s="1" t="s">
        <v>16035</v>
      </c>
    </row>
    <row r="2139">
      <c r="A2139" s="1">
        <v>49835.0</v>
      </c>
      <c r="B2139" s="1">
        <v>16430.0</v>
      </c>
      <c r="C2139" s="1">
        <v>1.616572309E9</v>
      </c>
      <c r="D2139" s="1">
        <v>4.0</v>
      </c>
      <c r="E2139" s="1" t="b">
        <v>0</v>
      </c>
      <c r="F2139" s="1" t="s">
        <v>16036</v>
      </c>
    </row>
    <row r="2140">
      <c r="A2140" s="1">
        <v>49835.0</v>
      </c>
      <c r="B2140" s="1">
        <v>14323.0</v>
      </c>
      <c r="C2140" s="1">
        <v>1.613736534E9</v>
      </c>
      <c r="D2140" s="1">
        <v>4.0</v>
      </c>
      <c r="E2140" s="1" t="b">
        <v>0</v>
      </c>
      <c r="F2140" s="1" t="s">
        <v>16037</v>
      </c>
    </row>
    <row r="2141">
      <c r="A2141" s="1">
        <v>49835.0</v>
      </c>
      <c r="B2141" s="1">
        <v>5293.0</v>
      </c>
      <c r="C2141" s="1">
        <v>1.611383194E9</v>
      </c>
      <c r="D2141" s="1">
        <v>4.0</v>
      </c>
      <c r="E2141" s="1" t="b">
        <v>0</v>
      </c>
      <c r="F2141" s="1" t="s">
        <v>16038</v>
      </c>
    </row>
    <row r="2142">
      <c r="A2142" s="1">
        <v>49835.0</v>
      </c>
      <c r="B2142" s="1">
        <v>4346.0</v>
      </c>
      <c r="C2142" s="1">
        <v>1.611086987E9</v>
      </c>
      <c r="D2142" s="1">
        <v>4.0</v>
      </c>
      <c r="E2142" s="1" t="b">
        <v>0</v>
      </c>
      <c r="F2142" s="1" t="s">
        <v>16039</v>
      </c>
    </row>
    <row r="2143">
      <c r="A2143" s="1">
        <v>49835.0</v>
      </c>
      <c r="B2143" s="1">
        <v>2325.0</v>
      </c>
      <c r="C2143" s="1">
        <v>1.607968469E9</v>
      </c>
      <c r="D2143" s="1">
        <v>4.0</v>
      </c>
      <c r="E2143" s="1" t="b">
        <v>0</v>
      </c>
      <c r="F2143" s="1" t="s">
        <v>16040</v>
      </c>
    </row>
    <row r="2144">
      <c r="A2144" s="1">
        <v>49835.0</v>
      </c>
      <c r="B2144" s="1">
        <v>2594.0</v>
      </c>
      <c r="C2144" s="1">
        <v>1.608643019E9</v>
      </c>
      <c r="D2144" s="1">
        <v>4.0</v>
      </c>
      <c r="E2144" s="1" t="b">
        <v>0</v>
      </c>
      <c r="F2144" s="1" t="s">
        <v>16041</v>
      </c>
    </row>
    <row r="2145">
      <c r="A2145" s="1">
        <v>49835.0</v>
      </c>
      <c r="B2145" s="1">
        <v>2006.0</v>
      </c>
      <c r="C2145" s="1">
        <v>1.607185228E9</v>
      </c>
      <c r="D2145" s="1">
        <v>4.0</v>
      </c>
      <c r="E2145" s="1" t="b">
        <v>0</v>
      </c>
      <c r="F2145" s="1" t="s">
        <v>16042</v>
      </c>
    </row>
    <row r="2146">
      <c r="A2146" s="1">
        <v>49835.0</v>
      </c>
      <c r="B2146" s="1">
        <v>7771.0</v>
      </c>
      <c r="C2146" s="1">
        <v>1.611898655E9</v>
      </c>
      <c r="D2146" s="1">
        <v>4.0</v>
      </c>
      <c r="E2146" s="1" t="b">
        <v>0</v>
      </c>
      <c r="F2146" s="1" t="s">
        <v>16043</v>
      </c>
    </row>
    <row r="2147">
      <c r="A2147" s="1">
        <v>49835.0</v>
      </c>
      <c r="B2147" s="1">
        <v>17047.0</v>
      </c>
      <c r="C2147" s="1">
        <v>1.621354706E9</v>
      </c>
      <c r="D2147" s="1">
        <v>4.0</v>
      </c>
      <c r="E2147" s="1" t="b">
        <v>0</v>
      </c>
      <c r="F2147" s="1" t="s">
        <v>16044</v>
      </c>
    </row>
    <row r="2148">
      <c r="A2148" s="1">
        <v>49835.0</v>
      </c>
      <c r="B2148" s="1">
        <v>3484.0</v>
      </c>
      <c r="C2148" s="1">
        <v>1.610548534E9</v>
      </c>
      <c r="D2148" s="1">
        <v>4.0</v>
      </c>
      <c r="E2148" s="1" t="b">
        <v>0</v>
      </c>
      <c r="F2148" s="1" t="s">
        <v>16045</v>
      </c>
    </row>
    <row r="2149">
      <c r="A2149" s="1">
        <v>49835.0</v>
      </c>
      <c r="B2149" s="1">
        <v>2497.0</v>
      </c>
      <c r="C2149" s="1">
        <v>1.608463234E9</v>
      </c>
      <c r="D2149" s="1">
        <v>4.0</v>
      </c>
      <c r="E2149" s="1" t="b">
        <v>0</v>
      </c>
      <c r="F2149" s="1" t="s">
        <v>15511</v>
      </c>
    </row>
    <row r="2150">
      <c r="A2150" s="1">
        <v>49835.0</v>
      </c>
      <c r="B2150" s="1">
        <v>16438.0</v>
      </c>
      <c r="C2150" s="1">
        <v>1.61657235E9</v>
      </c>
      <c r="D2150" s="1">
        <v>4.0</v>
      </c>
      <c r="E2150" s="1" t="b">
        <v>0</v>
      </c>
      <c r="F2150" s="1" t="s">
        <v>16046</v>
      </c>
    </row>
    <row r="2151">
      <c r="A2151" s="1">
        <v>49835.0</v>
      </c>
      <c r="B2151" s="1">
        <v>6981.0</v>
      </c>
      <c r="C2151" s="1">
        <v>1.611762118E9</v>
      </c>
      <c r="D2151" s="1">
        <v>4.0</v>
      </c>
      <c r="E2151" s="1" t="b">
        <v>0</v>
      </c>
      <c r="F2151" s="1" t="s">
        <v>16047</v>
      </c>
    </row>
    <row r="2152">
      <c r="A2152" s="1">
        <v>49835.0</v>
      </c>
      <c r="B2152" s="1">
        <v>5601.0</v>
      </c>
      <c r="C2152" s="1">
        <v>1.611469451E9</v>
      </c>
      <c r="D2152" s="1">
        <v>4.0</v>
      </c>
      <c r="E2152" s="1" t="b">
        <v>0</v>
      </c>
      <c r="F2152" s="1" t="s">
        <v>16048</v>
      </c>
    </row>
    <row r="2153">
      <c r="A2153" s="1">
        <v>49835.0</v>
      </c>
      <c r="B2153" s="1">
        <v>4974.0</v>
      </c>
      <c r="C2153" s="1">
        <v>1.611299024E9</v>
      </c>
      <c r="D2153" s="1">
        <v>4.0</v>
      </c>
      <c r="E2153" s="1" t="b">
        <v>0</v>
      </c>
      <c r="F2153" s="1" t="s">
        <v>16049</v>
      </c>
    </row>
    <row r="2154">
      <c r="A2154" s="1">
        <v>49835.0</v>
      </c>
      <c r="B2154" s="1">
        <v>4909.0</v>
      </c>
      <c r="C2154" s="1">
        <v>1.611279989E9</v>
      </c>
      <c r="D2154" s="1">
        <v>4.0</v>
      </c>
      <c r="E2154" s="1" t="b">
        <v>0</v>
      </c>
      <c r="F2154" s="1" t="s">
        <v>16050</v>
      </c>
    </row>
    <row r="2155">
      <c r="A2155" s="1">
        <v>49835.0</v>
      </c>
      <c r="B2155" s="1">
        <v>2143.0</v>
      </c>
      <c r="C2155" s="1">
        <v>1.610189866E9</v>
      </c>
      <c r="D2155" s="1">
        <v>4.0</v>
      </c>
      <c r="E2155" s="1" t="b">
        <v>0</v>
      </c>
      <c r="F2155" s="1" t="s">
        <v>16051</v>
      </c>
    </row>
    <row r="2156">
      <c r="A2156" s="1">
        <v>49835.0</v>
      </c>
      <c r="B2156" s="1">
        <v>12432.0</v>
      </c>
      <c r="C2156" s="1">
        <v>1.613064571E9</v>
      </c>
      <c r="D2156" s="1">
        <v>4.0</v>
      </c>
      <c r="E2156" s="1" t="b">
        <v>0</v>
      </c>
      <c r="F2156" s="1" t="s">
        <v>16052</v>
      </c>
    </row>
    <row r="2157">
      <c r="A2157" s="1">
        <v>49835.0</v>
      </c>
      <c r="B2157" s="1">
        <v>9419.0</v>
      </c>
      <c r="C2157" s="1">
        <v>1.612160025E9</v>
      </c>
      <c r="D2157" s="1">
        <v>4.0</v>
      </c>
      <c r="E2157" s="1" t="b">
        <v>0</v>
      </c>
      <c r="F2157" s="1" t="s">
        <v>16053</v>
      </c>
    </row>
    <row r="2158">
      <c r="A2158" s="1">
        <v>49835.0</v>
      </c>
      <c r="B2158" s="1">
        <v>19639.0</v>
      </c>
      <c r="C2158" s="1">
        <v>1.62308251E9</v>
      </c>
      <c r="D2158" s="1">
        <v>4.0</v>
      </c>
      <c r="E2158" s="1" t="b">
        <v>0</v>
      </c>
      <c r="F2158" s="1" t="s">
        <v>16054</v>
      </c>
    </row>
    <row r="2159">
      <c r="A2159" s="1">
        <v>49835.0</v>
      </c>
      <c r="B2159" s="1">
        <v>19248.0</v>
      </c>
      <c r="C2159" s="1">
        <v>1.622537337E9</v>
      </c>
      <c r="D2159" s="1">
        <v>4.0</v>
      </c>
      <c r="E2159" s="1" t="b">
        <v>0</v>
      </c>
      <c r="F2159" s="1" t="s">
        <v>16055</v>
      </c>
    </row>
    <row r="2160">
      <c r="A2160" s="1">
        <v>49835.0</v>
      </c>
      <c r="B2160" s="1">
        <v>2475.0</v>
      </c>
      <c r="C2160" s="1">
        <v>1.608364628E9</v>
      </c>
      <c r="D2160" s="1">
        <v>4.0</v>
      </c>
      <c r="E2160" s="1" t="b">
        <v>0</v>
      </c>
      <c r="F2160" s="1" t="s">
        <v>16056</v>
      </c>
    </row>
    <row r="2161">
      <c r="A2161" s="1">
        <v>49835.0</v>
      </c>
      <c r="B2161" s="1">
        <v>17900.0</v>
      </c>
      <c r="C2161" s="1">
        <v>1.620644374E9</v>
      </c>
      <c r="D2161" s="1">
        <v>4.0</v>
      </c>
      <c r="E2161" s="1" t="b">
        <v>0</v>
      </c>
      <c r="F2161" s="1" t="s">
        <v>16057</v>
      </c>
    </row>
    <row r="2162">
      <c r="A2162" s="1">
        <v>49835.0</v>
      </c>
      <c r="B2162" s="1">
        <v>5660.0</v>
      </c>
      <c r="C2162" s="1">
        <v>1.611469441E9</v>
      </c>
      <c r="D2162" s="1">
        <v>4.0</v>
      </c>
      <c r="E2162" s="1" t="b">
        <v>0</v>
      </c>
      <c r="F2162" s="1" t="s">
        <v>16058</v>
      </c>
    </row>
    <row r="2163">
      <c r="A2163" s="1">
        <v>49835.0</v>
      </c>
      <c r="B2163" s="1">
        <v>18136.0</v>
      </c>
      <c r="C2163" s="1">
        <v>1.621159986E9</v>
      </c>
      <c r="D2163" s="1">
        <v>4.0</v>
      </c>
      <c r="E2163" s="1" t="b">
        <v>0</v>
      </c>
      <c r="F2163" s="1" t="s">
        <v>16059</v>
      </c>
    </row>
    <row r="2164">
      <c r="A2164" s="1">
        <v>49835.0</v>
      </c>
      <c r="B2164" s="1">
        <v>11236.0</v>
      </c>
      <c r="C2164" s="1">
        <v>1.612749328E9</v>
      </c>
      <c r="D2164" s="1">
        <v>4.0</v>
      </c>
      <c r="E2164" s="1" t="b">
        <v>0</v>
      </c>
      <c r="F2164" s="1" t="s">
        <v>16060</v>
      </c>
    </row>
    <row r="2165">
      <c r="A2165" s="1">
        <v>49835.0</v>
      </c>
      <c r="B2165" s="1">
        <v>5327.0</v>
      </c>
      <c r="C2165" s="1">
        <v>1.611383667E9</v>
      </c>
      <c r="D2165" s="1">
        <v>4.0</v>
      </c>
      <c r="E2165" s="1" t="b">
        <v>0</v>
      </c>
      <c r="F2165" s="1" t="s">
        <v>16061</v>
      </c>
    </row>
    <row r="2166">
      <c r="A2166" s="1">
        <v>49835.0</v>
      </c>
      <c r="B2166" s="1">
        <v>4925.0</v>
      </c>
      <c r="C2166" s="1">
        <v>1.611279986E9</v>
      </c>
      <c r="D2166" s="1">
        <v>4.0</v>
      </c>
      <c r="E2166" s="1" t="b">
        <v>0</v>
      </c>
      <c r="F2166" s="1" t="s">
        <v>16062</v>
      </c>
    </row>
    <row r="2167">
      <c r="A2167" s="1">
        <v>49835.0</v>
      </c>
      <c r="B2167" s="1">
        <v>6961.0</v>
      </c>
      <c r="C2167" s="1">
        <v>1.61191268E9</v>
      </c>
      <c r="D2167" s="1">
        <v>4.0</v>
      </c>
      <c r="E2167" s="1" t="b">
        <v>0</v>
      </c>
      <c r="F2167" s="1" t="s">
        <v>16063</v>
      </c>
    </row>
    <row r="2168">
      <c r="A2168" s="1">
        <v>49835.0</v>
      </c>
      <c r="B2168" s="1">
        <v>13681.0</v>
      </c>
      <c r="C2168" s="1">
        <v>1.613360205E9</v>
      </c>
      <c r="D2168" s="1">
        <v>4.0</v>
      </c>
      <c r="E2168" s="1" t="b">
        <v>0</v>
      </c>
      <c r="F2168" s="1" t="s">
        <v>16064</v>
      </c>
    </row>
    <row r="2169">
      <c r="A2169" s="1">
        <v>49835.0</v>
      </c>
      <c r="B2169" s="1">
        <v>13629.0</v>
      </c>
      <c r="C2169" s="1">
        <v>1.613360196E9</v>
      </c>
      <c r="D2169" s="1">
        <v>4.0</v>
      </c>
      <c r="E2169" s="1" t="b">
        <v>0</v>
      </c>
      <c r="F2169" s="1" t="s">
        <v>16065</v>
      </c>
    </row>
    <row r="2170">
      <c r="A2170" s="1">
        <v>49835.0</v>
      </c>
      <c r="B2170" s="1">
        <v>16219.0</v>
      </c>
      <c r="C2170" s="1">
        <v>1.615833267E9</v>
      </c>
      <c r="D2170" s="1">
        <v>4.0</v>
      </c>
      <c r="E2170" s="1" t="b">
        <v>0</v>
      </c>
      <c r="F2170" s="1" t="s">
        <v>16066</v>
      </c>
    </row>
    <row r="2171">
      <c r="A2171" s="1">
        <v>49835.0</v>
      </c>
      <c r="B2171" s="1">
        <v>13677.0</v>
      </c>
      <c r="C2171" s="1">
        <v>1.613498775E9</v>
      </c>
      <c r="D2171" s="1">
        <v>4.0</v>
      </c>
      <c r="E2171" s="1" t="b">
        <v>0</v>
      </c>
      <c r="F2171" s="1" t="s">
        <v>15086</v>
      </c>
    </row>
    <row r="2172">
      <c r="A2172" s="1">
        <v>49835.0</v>
      </c>
      <c r="B2172" s="1">
        <v>4923.0</v>
      </c>
      <c r="C2172" s="1">
        <v>1.611279984E9</v>
      </c>
      <c r="D2172" s="1">
        <v>4.0</v>
      </c>
      <c r="E2172" s="1" t="b">
        <v>0</v>
      </c>
      <c r="F2172" s="1" t="s">
        <v>16067</v>
      </c>
    </row>
    <row r="2173">
      <c r="A2173" s="1">
        <v>49835.0</v>
      </c>
      <c r="B2173" s="1">
        <v>9298.0</v>
      </c>
      <c r="C2173" s="1">
        <v>1.612141897E9</v>
      </c>
      <c r="D2173" s="1">
        <v>4.0</v>
      </c>
      <c r="E2173" s="1" t="b">
        <v>0</v>
      </c>
      <c r="F2173" s="1" t="s">
        <v>16068</v>
      </c>
    </row>
    <row r="2174">
      <c r="A2174" s="1">
        <v>49835.0</v>
      </c>
      <c r="B2174" s="1">
        <v>4890.0</v>
      </c>
      <c r="C2174" s="1">
        <v>1.611279982E9</v>
      </c>
      <c r="D2174" s="1">
        <v>4.0</v>
      </c>
      <c r="E2174" s="1" t="b">
        <v>0</v>
      </c>
      <c r="F2174" s="1" t="s">
        <v>16069</v>
      </c>
    </row>
    <row r="2175">
      <c r="A2175" s="1">
        <v>49835.0</v>
      </c>
      <c r="B2175" s="1">
        <v>4878.0</v>
      </c>
      <c r="C2175" s="1">
        <v>1.611279976E9</v>
      </c>
      <c r="D2175" s="1">
        <v>4.0</v>
      </c>
      <c r="E2175" s="1" t="b">
        <v>0</v>
      </c>
      <c r="F2175" s="1" t="s">
        <v>16070</v>
      </c>
    </row>
    <row r="2176">
      <c r="A2176" s="1">
        <v>49835.0</v>
      </c>
      <c r="B2176" s="1">
        <v>9293.0</v>
      </c>
      <c r="C2176" s="1">
        <v>1.612141895E9</v>
      </c>
      <c r="D2176" s="1">
        <v>4.0</v>
      </c>
      <c r="E2176" s="1" t="b">
        <v>0</v>
      </c>
      <c r="F2176" s="1" t="s">
        <v>16071</v>
      </c>
    </row>
    <row r="2177">
      <c r="A2177" s="1">
        <v>49835.0</v>
      </c>
      <c r="B2177" s="1">
        <v>4877.0</v>
      </c>
      <c r="C2177" s="1">
        <v>1.611279975E9</v>
      </c>
      <c r="D2177" s="1">
        <v>4.0</v>
      </c>
      <c r="E2177" s="1" t="b">
        <v>0</v>
      </c>
      <c r="F2177" s="1" t="s">
        <v>16072</v>
      </c>
    </row>
    <row r="2178">
      <c r="A2178" s="1">
        <v>49835.0</v>
      </c>
      <c r="B2178" s="1">
        <v>2255.0</v>
      </c>
      <c r="C2178" s="1">
        <v>1.607785746E9</v>
      </c>
      <c r="D2178" s="1">
        <v>4.0</v>
      </c>
      <c r="E2178" s="1" t="b">
        <v>0</v>
      </c>
      <c r="F2178" s="1" t="s">
        <v>16073</v>
      </c>
    </row>
    <row r="2179">
      <c r="A2179" s="1">
        <v>49835.0</v>
      </c>
      <c r="B2179" s="1">
        <v>4502.0</v>
      </c>
      <c r="C2179" s="1">
        <v>1.611136952E9</v>
      </c>
      <c r="D2179" s="1">
        <v>4.0</v>
      </c>
      <c r="E2179" s="1" t="b">
        <v>0</v>
      </c>
      <c r="F2179" s="1" t="s">
        <v>16074</v>
      </c>
    </row>
    <row r="2180">
      <c r="A2180" s="1">
        <v>49835.0</v>
      </c>
      <c r="B2180" s="1">
        <v>6334.0</v>
      </c>
      <c r="C2180" s="1">
        <v>1.611644678E9</v>
      </c>
      <c r="D2180" s="1">
        <v>4.0</v>
      </c>
      <c r="E2180" s="1" t="b">
        <v>0</v>
      </c>
      <c r="F2180" s="1" t="s">
        <v>16075</v>
      </c>
    </row>
    <row r="2181">
      <c r="A2181" s="1">
        <v>49835.0</v>
      </c>
      <c r="B2181" s="1">
        <v>2586.0</v>
      </c>
      <c r="C2181" s="1">
        <v>1.608634342E9</v>
      </c>
      <c r="D2181" s="1">
        <v>4.0</v>
      </c>
      <c r="E2181" s="1" t="b">
        <v>0</v>
      </c>
      <c r="F2181" s="1" t="s">
        <v>16076</v>
      </c>
    </row>
    <row r="2182">
      <c r="A2182" s="1">
        <v>49835.0</v>
      </c>
      <c r="B2182" s="1">
        <v>4875.0</v>
      </c>
      <c r="C2182" s="1">
        <v>1.611279973E9</v>
      </c>
      <c r="D2182" s="1">
        <v>4.0</v>
      </c>
      <c r="E2182" s="1" t="b">
        <v>0</v>
      </c>
      <c r="F2182" s="1" t="s">
        <v>16077</v>
      </c>
    </row>
    <row r="2183">
      <c r="A2183" s="1">
        <v>49835.0</v>
      </c>
      <c r="B2183" s="1">
        <v>13696.0</v>
      </c>
      <c r="C2183" s="1">
        <v>1.613360206E9</v>
      </c>
      <c r="D2183" s="1">
        <v>4.0</v>
      </c>
      <c r="E2183" s="1" t="b">
        <v>0</v>
      </c>
      <c r="F2183" s="1" t="s">
        <v>16078</v>
      </c>
    </row>
    <row r="2184">
      <c r="A2184" s="1">
        <v>49835.0</v>
      </c>
      <c r="B2184" s="1">
        <v>19537.0</v>
      </c>
      <c r="C2184" s="1">
        <v>1.622976243E9</v>
      </c>
      <c r="D2184" s="1">
        <v>4.0</v>
      </c>
      <c r="E2184" s="1" t="b">
        <v>0</v>
      </c>
      <c r="F2184" s="1" t="s">
        <v>16079</v>
      </c>
    </row>
    <row r="2185">
      <c r="A2185" s="1">
        <v>49835.0</v>
      </c>
      <c r="B2185" s="1">
        <v>18051.0</v>
      </c>
      <c r="C2185" s="1">
        <v>1.621053259E9</v>
      </c>
      <c r="D2185" s="1">
        <v>4.0</v>
      </c>
      <c r="E2185" s="1" t="b">
        <v>0</v>
      </c>
      <c r="F2185" s="1" t="s">
        <v>16080</v>
      </c>
    </row>
    <row r="2186">
      <c r="A2186" s="1">
        <v>49835.0</v>
      </c>
      <c r="B2186" s="1">
        <v>2004.0</v>
      </c>
      <c r="C2186" s="1">
        <v>1.60718266E9</v>
      </c>
      <c r="D2186" s="1">
        <v>4.0</v>
      </c>
      <c r="E2186" s="1" t="b">
        <v>0</v>
      </c>
      <c r="F2186" s="1" t="s">
        <v>16081</v>
      </c>
    </row>
    <row r="2187">
      <c r="A2187" s="1">
        <v>49835.0</v>
      </c>
      <c r="B2187" s="1">
        <v>16451.0</v>
      </c>
      <c r="C2187" s="1">
        <v>1.616599421E9</v>
      </c>
      <c r="D2187" s="1">
        <v>4.0</v>
      </c>
      <c r="E2187" s="1" t="b">
        <v>0</v>
      </c>
      <c r="F2187" s="1" t="s">
        <v>16082</v>
      </c>
    </row>
    <row r="2188">
      <c r="A2188" s="1">
        <v>49835.0</v>
      </c>
      <c r="B2188" s="1">
        <v>4864.0</v>
      </c>
      <c r="C2188" s="1">
        <v>1.611279968E9</v>
      </c>
      <c r="D2188" s="1">
        <v>4.0</v>
      </c>
      <c r="E2188" s="1" t="b">
        <v>0</v>
      </c>
      <c r="F2188" s="1" t="s">
        <v>16083</v>
      </c>
    </row>
    <row r="2189">
      <c r="A2189" s="1">
        <v>49835.0</v>
      </c>
      <c r="B2189" s="1">
        <v>9726.0</v>
      </c>
      <c r="C2189" s="1">
        <v>1.61220792E9</v>
      </c>
      <c r="D2189" s="1">
        <v>4.0</v>
      </c>
      <c r="E2189" s="1" t="b">
        <v>0</v>
      </c>
      <c r="F2189" s="1" t="s">
        <v>15970</v>
      </c>
    </row>
    <row r="2190">
      <c r="A2190" s="1">
        <v>49835.0</v>
      </c>
      <c r="B2190" s="1">
        <v>6318.0</v>
      </c>
      <c r="C2190" s="1">
        <v>1.611602553E9</v>
      </c>
      <c r="D2190" s="1">
        <v>4.0</v>
      </c>
      <c r="E2190" s="1" t="b">
        <v>0</v>
      </c>
      <c r="F2190" s="1" t="s">
        <v>16084</v>
      </c>
    </row>
    <row r="2191">
      <c r="A2191" s="1">
        <v>49835.0</v>
      </c>
      <c r="B2191" s="1">
        <v>6856.0</v>
      </c>
      <c r="C2191" s="1">
        <v>1.61174593E9</v>
      </c>
      <c r="D2191" s="1">
        <v>4.0</v>
      </c>
      <c r="E2191" s="1" t="b">
        <v>0</v>
      </c>
      <c r="F2191" s="1" t="s">
        <v>16085</v>
      </c>
    </row>
    <row r="2192">
      <c r="A2192" s="1">
        <v>49835.0</v>
      </c>
      <c r="B2192" s="1">
        <v>4862.0</v>
      </c>
      <c r="C2192" s="1">
        <v>1.611279966E9</v>
      </c>
      <c r="D2192" s="1">
        <v>4.0</v>
      </c>
      <c r="E2192" s="1" t="b">
        <v>0</v>
      </c>
      <c r="F2192" s="1" t="s">
        <v>16086</v>
      </c>
    </row>
    <row r="2193">
      <c r="A2193" s="1">
        <v>49835.0</v>
      </c>
      <c r="B2193" s="1">
        <v>2923.0</v>
      </c>
      <c r="C2193" s="1">
        <v>1.609584019E9</v>
      </c>
      <c r="D2193" s="1">
        <v>4.0</v>
      </c>
      <c r="E2193" s="1" t="b">
        <v>0</v>
      </c>
      <c r="F2193" s="1" t="s">
        <v>16087</v>
      </c>
    </row>
    <row r="2194">
      <c r="A2194" s="1">
        <v>49835.0</v>
      </c>
      <c r="B2194" s="1">
        <v>4861.0</v>
      </c>
      <c r="C2194" s="1">
        <v>1.611279964E9</v>
      </c>
      <c r="D2194" s="1">
        <v>4.0</v>
      </c>
      <c r="E2194" s="1" t="b">
        <v>0</v>
      </c>
      <c r="F2194" s="1" t="s">
        <v>16088</v>
      </c>
    </row>
    <row r="2195">
      <c r="A2195" s="1">
        <v>49835.0</v>
      </c>
      <c r="B2195" s="1">
        <v>4757.0</v>
      </c>
      <c r="C2195" s="1">
        <v>1.611221426E9</v>
      </c>
      <c r="D2195" s="1">
        <v>4.0</v>
      </c>
      <c r="E2195" s="1" t="b">
        <v>0</v>
      </c>
      <c r="F2195" s="1" t="s">
        <v>16089</v>
      </c>
    </row>
    <row r="2196">
      <c r="A2196" s="1">
        <v>49835.0</v>
      </c>
      <c r="B2196" s="1">
        <v>4656.0</v>
      </c>
      <c r="C2196" s="1">
        <v>1.611206794E9</v>
      </c>
      <c r="D2196" s="1">
        <v>4.0</v>
      </c>
      <c r="E2196" s="1" t="b">
        <v>0</v>
      </c>
      <c r="F2196" s="1" t="s">
        <v>16090</v>
      </c>
    </row>
    <row r="2197">
      <c r="A2197" s="1">
        <v>49835.0</v>
      </c>
      <c r="B2197" s="1">
        <v>2598.0</v>
      </c>
      <c r="C2197" s="1">
        <v>1.608781609E9</v>
      </c>
      <c r="D2197" s="1">
        <v>4.0</v>
      </c>
      <c r="E2197" s="1" t="b">
        <v>0</v>
      </c>
      <c r="F2197" s="1" t="s">
        <v>16091</v>
      </c>
    </row>
    <row r="2198">
      <c r="A2198" s="1">
        <v>49835.0</v>
      </c>
      <c r="B2198" s="1">
        <v>2214.0</v>
      </c>
      <c r="C2198" s="1">
        <v>1.607624262E9</v>
      </c>
      <c r="D2198" s="1">
        <v>4.0</v>
      </c>
      <c r="E2198" s="1" t="b">
        <v>0</v>
      </c>
      <c r="F2198" s="1" t="s">
        <v>16092</v>
      </c>
    </row>
    <row r="2199">
      <c r="A2199" s="1">
        <v>49835.0</v>
      </c>
      <c r="B2199" s="1">
        <v>14268.0</v>
      </c>
      <c r="C2199" s="1">
        <v>1.613653614E9</v>
      </c>
      <c r="D2199" s="1">
        <v>4.0</v>
      </c>
      <c r="E2199" s="1" t="b">
        <v>0</v>
      </c>
      <c r="F2199" s="1" t="s">
        <v>16093</v>
      </c>
    </row>
    <row r="2200">
      <c r="A2200" s="1">
        <v>49835.0</v>
      </c>
      <c r="B2200" s="1">
        <v>16515.0</v>
      </c>
      <c r="C2200" s="1">
        <v>1.617210272E9</v>
      </c>
      <c r="D2200" s="1">
        <v>4.0</v>
      </c>
      <c r="E2200" s="1" t="b">
        <v>0</v>
      </c>
      <c r="F2200" s="1">
        <v>7.0</v>
      </c>
    </row>
    <row r="2201">
      <c r="A2201" s="1">
        <v>49835.0</v>
      </c>
      <c r="B2201" s="1">
        <v>14077.0</v>
      </c>
      <c r="C2201" s="1">
        <v>1.613497792E9</v>
      </c>
      <c r="D2201" s="1">
        <v>4.0</v>
      </c>
      <c r="E2201" s="1" t="b">
        <v>0</v>
      </c>
      <c r="F2201" s="1" t="s">
        <v>16094</v>
      </c>
    </row>
    <row r="2202">
      <c r="A2202" s="1">
        <v>49835.0</v>
      </c>
      <c r="B2202" s="1">
        <v>16452.0</v>
      </c>
      <c r="C2202" s="1">
        <v>1.616602734E9</v>
      </c>
      <c r="D2202" s="1">
        <v>4.0</v>
      </c>
      <c r="E2202" s="1" t="b">
        <v>0</v>
      </c>
      <c r="F2202" s="1" t="s">
        <v>16095</v>
      </c>
    </row>
    <row r="2203">
      <c r="A2203" s="1">
        <v>49835.0</v>
      </c>
      <c r="B2203" s="1">
        <v>9215.0</v>
      </c>
      <c r="C2203" s="1">
        <v>1.619453913E9</v>
      </c>
      <c r="D2203" s="1">
        <v>4.0</v>
      </c>
      <c r="E2203" s="1" t="b">
        <v>0</v>
      </c>
      <c r="F2203" s="1" t="s">
        <v>16096</v>
      </c>
    </row>
    <row r="2204">
      <c r="A2204" s="1">
        <v>49835.0</v>
      </c>
      <c r="B2204" s="1">
        <v>11659.0</v>
      </c>
      <c r="C2204" s="1">
        <v>1.61284465E9</v>
      </c>
      <c r="D2204" s="1">
        <v>4.0</v>
      </c>
      <c r="E2204" s="1" t="b">
        <v>0</v>
      </c>
      <c r="F2204" s="1" t="s">
        <v>16097</v>
      </c>
    </row>
    <row r="2205">
      <c r="A2205" s="1">
        <v>49835.0</v>
      </c>
      <c r="B2205" s="1">
        <v>13949.0</v>
      </c>
      <c r="C2205" s="1">
        <v>1.613499024E9</v>
      </c>
      <c r="D2205" s="1">
        <v>4.0</v>
      </c>
      <c r="E2205" s="1" t="b">
        <v>0</v>
      </c>
      <c r="F2205" s="1" t="s">
        <v>16098</v>
      </c>
    </row>
    <row r="2206">
      <c r="A2206" s="1">
        <v>49835.0</v>
      </c>
      <c r="B2206" s="1">
        <v>20112.0</v>
      </c>
      <c r="C2206" s="1">
        <v>1.623807247E9</v>
      </c>
      <c r="D2206" s="1">
        <v>4.0</v>
      </c>
      <c r="E2206" s="1" t="b">
        <v>0</v>
      </c>
      <c r="F2206" s="1" t="s">
        <v>16099</v>
      </c>
    </row>
    <row r="2207">
      <c r="A2207" s="1">
        <v>49835.0</v>
      </c>
      <c r="B2207" s="1">
        <v>17917.0</v>
      </c>
      <c r="C2207" s="1">
        <v>1.620652876E9</v>
      </c>
      <c r="D2207" s="1">
        <v>4.0</v>
      </c>
      <c r="E2207" s="1" t="b">
        <v>0</v>
      </c>
      <c r="F2207" s="1" t="s">
        <v>16100</v>
      </c>
    </row>
    <row r="2208">
      <c r="A2208" s="1">
        <v>49835.0</v>
      </c>
      <c r="B2208" s="1">
        <v>5548.0</v>
      </c>
      <c r="C2208" s="1">
        <v>1.613195693E9</v>
      </c>
      <c r="D2208" s="1">
        <v>4.0</v>
      </c>
      <c r="E2208" s="1" t="b">
        <v>0</v>
      </c>
      <c r="F2208" s="1" t="s">
        <v>16101</v>
      </c>
    </row>
    <row r="2209">
      <c r="A2209" s="1">
        <v>49835.0</v>
      </c>
      <c r="B2209" s="1">
        <v>13970.0</v>
      </c>
      <c r="C2209" s="1">
        <v>1.613498939E9</v>
      </c>
      <c r="D2209" s="1">
        <v>4.0</v>
      </c>
      <c r="E2209" s="1" t="b">
        <v>0</v>
      </c>
      <c r="F2209" s="1" t="s">
        <v>16102</v>
      </c>
    </row>
    <row r="2210">
      <c r="A2210" s="1">
        <v>49835.0</v>
      </c>
      <c r="B2210" s="1">
        <v>14125.0</v>
      </c>
      <c r="C2210" s="1">
        <v>1.613622506E9</v>
      </c>
      <c r="D2210" s="1">
        <v>4.0</v>
      </c>
      <c r="E2210" s="1" t="b">
        <v>0</v>
      </c>
      <c r="F2210" s="1" t="s">
        <v>16103</v>
      </c>
    </row>
    <row r="2211">
      <c r="A2211" s="1">
        <v>49835.0</v>
      </c>
      <c r="B2211" s="1">
        <v>16487.0</v>
      </c>
      <c r="C2211" s="1">
        <v>1.616770846E9</v>
      </c>
      <c r="D2211" s="1">
        <v>4.0</v>
      </c>
      <c r="E2211" s="1" t="b">
        <v>0</v>
      </c>
      <c r="F2211" s="1" t="s">
        <v>16104</v>
      </c>
    </row>
    <row r="2212">
      <c r="A2212" s="1">
        <v>49835.0</v>
      </c>
      <c r="B2212" s="1">
        <v>6718.0</v>
      </c>
      <c r="C2212" s="1">
        <v>1.61173152E9</v>
      </c>
      <c r="D2212" s="1">
        <v>4.0</v>
      </c>
      <c r="E2212" s="1" t="b">
        <v>0</v>
      </c>
      <c r="F2212" s="1" t="s">
        <v>16105</v>
      </c>
    </row>
    <row r="2213">
      <c r="A2213" s="1">
        <v>49835.0</v>
      </c>
      <c r="B2213" s="1">
        <v>661.0</v>
      </c>
      <c r="C2213" s="1">
        <v>1.610189869E9</v>
      </c>
      <c r="D2213" s="1">
        <v>4.0</v>
      </c>
      <c r="E2213" s="1" t="b">
        <v>0</v>
      </c>
      <c r="F2213" s="1" t="s">
        <v>16106</v>
      </c>
    </row>
    <row r="2214">
      <c r="A2214" s="1">
        <v>49835.0</v>
      </c>
      <c r="B2214" s="1">
        <v>14412.0</v>
      </c>
      <c r="C2214" s="1">
        <v>1.613736492E9</v>
      </c>
      <c r="D2214" s="1">
        <v>4.0</v>
      </c>
      <c r="E2214" s="1" t="b">
        <v>0</v>
      </c>
      <c r="F2214" s="1" t="s">
        <v>16107</v>
      </c>
    </row>
    <row r="2215">
      <c r="A2215" s="1">
        <v>49835.0</v>
      </c>
      <c r="B2215" s="1">
        <v>9806.0</v>
      </c>
      <c r="C2215" s="1">
        <v>1.615197007E9</v>
      </c>
      <c r="D2215" s="1">
        <v>4.0</v>
      </c>
      <c r="E2215" s="1" t="b">
        <v>0</v>
      </c>
      <c r="F2215" s="1" t="s">
        <v>16108</v>
      </c>
    </row>
    <row r="2216">
      <c r="A2216" s="1">
        <v>49835.0</v>
      </c>
      <c r="B2216" s="1">
        <v>6844.0</v>
      </c>
      <c r="C2216" s="1">
        <v>1.615186799E9</v>
      </c>
      <c r="D2216" s="1">
        <v>4.0</v>
      </c>
      <c r="E2216" s="1" t="b">
        <v>0</v>
      </c>
      <c r="F2216" s="1" t="s">
        <v>16109</v>
      </c>
    </row>
    <row r="2217">
      <c r="A2217" s="1">
        <v>49835.0</v>
      </c>
      <c r="B2217" s="1">
        <v>10354.0</v>
      </c>
      <c r="C2217" s="1">
        <v>1.615182773E9</v>
      </c>
      <c r="D2217" s="1">
        <v>4.0</v>
      </c>
      <c r="E2217" s="1" t="b">
        <v>0</v>
      </c>
      <c r="F2217" s="1" t="s">
        <v>16110</v>
      </c>
    </row>
    <row r="2218">
      <c r="A2218" s="1">
        <v>49835.0</v>
      </c>
      <c r="B2218" s="1">
        <v>15980.0</v>
      </c>
      <c r="C2218" s="1">
        <v>1.615269794E9</v>
      </c>
      <c r="D2218" s="1">
        <v>4.0</v>
      </c>
      <c r="E2218" s="1" t="b">
        <v>0</v>
      </c>
      <c r="F2218" s="1" t="s">
        <v>16111</v>
      </c>
    </row>
    <row r="2219">
      <c r="A2219" s="1">
        <v>49835.0</v>
      </c>
      <c r="B2219" s="1">
        <v>19177.0</v>
      </c>
      <c r="C2219" s="1">
        <v>1.622461298E9</v>
      </c>
      <c r="D2219" s="1">
        <v>4.0</v>
      </c>
      <c r="E2219" s="1" t="b">
        <v>0</v>
      </c>
      <c r="F2219" s="1" t="s">
        <v>16112</v>
      </c>
    </row>
    <row r="2220">
      <c r="A2220" s="1">
        <v>49835.0</v>
      </c>
      <c r="B2220" s="1">
        <v>11136.0</v>
      </c>
      <c r="C2220" s="1">
        <v>1.612689715E9</v>
      </c>
      <c r="D2220" s="1">
        <v>4.0</v>
      </c>
      <c r="E2220" s="1" t="b">
        <v>0</v>
      </c>
      <c r="F2220" s="1" t="s">
        <v>16113</v>
      </c>
    </row>
    <row r="2221">
      <c r="A2221" s="1">
        <v>49835.0</v>
      </c>
      <c r="B2221" s="1">
        <v>14303.0</v>
      </c>
      <c r="C2221" s="1">
        <v>1.613658731E9</v>
      </c>
      <c r="D2221" s="1">
        <v>4.0</v>
      </c>
      <c r="E2221" s="1" t="b">
        <v>0</v>
      </c>
      <c r="F2221" s="1" t="s">
        <v>16114</v>
      </c>
    </row>
    <row r="2222">
      <c r="A2222" s="1">
        <v>49835.0</v>
      </c>
      <c r="B2222" s="1">
        <v>17611.0</v>
      </c>
      <c r="C2222" s="1">
        <v>1.620312596E9</v>
      </c>
      <c r="D2222" s="1">
        <v>1.0</v>
      </c>
      <c r="E2222" s="1" t="b">
        <v>1</v>
      </c>
      <c r="F2222" s="1" t="s">
        <v>16115</v>
      </c>
    </row>
    <row r="2223">
      <c r="A2223" s="1">
        <v>49835.0</v>
      </c>
      <c r="B2223" s="1">
        <v>16370.0</v>
      </c>
      <c r="C2223" s="1">
        <v>1.616395372E9</v>
      </c>
      <c r="D2223" s="1">
        <v>4.0</v>
      </c>
      <c r="E2223" s="1" t="b">
        <v>0</v>
      </c>
      <c r="F2223" s="1" t="s">
        <v>16116</v>
      </c>
    </row>
    <row r="2224">
      <c r="A2224" s="1">
        <v>49835.0</v>
      </c>
      <c r="B2224" s="1">
        <v>5003.0</v>
      </c>
      <c r="C2224" s="1">
        <v>1.615222771E9</v>
      </c>
      <c r="D2224" s="1">
        <v>4.0</v>
      </c>
      <c r="E2224" s="1" t="b">
        <v>0</v>
      </c>
      <c r="F2224" s="1" t="s">
        <v>16117</v>
      </c>
    </row>
    <row r="2225">
      <c r="A2225" s="1">
        <v>49835.0</v>
      </c>
      <c r="B2225" s="1">
        <v>4312.0</v>
      </c>
      <c r="C2225" s="1">
        <v>1.615220647E9</v>
      </c>
      <c r="D2225" s="1">
        <v>4.0</v>
      </c>
      <c r="E2225" s="1" t="b">
        <v>0</v>
      </c>
      <c r="F2225" s="1" t="s">
        <v>16118</v>
      </c>
    </row>
    <row r="2226">
      <c r="A2226" s="1">
        <v>49835.0</v>
      </c>
      <c r="B2226" s="1">
        <v>7635.0</v>
      </c>
      <c r="C2226" s="1">
        <v>1.611882124E9</v>
      </c>
      <c r="D2226" s="1">
        <v>4.0</v>
      </c>
      <c r="E2226" s="1" t="b">
        <v>0</v>
      </c>
      <c r="F2226" s="1" t="s">
        <v>16119</v>
      </c>
    </row>
    <row r="2227">
      <c r="A2227" s="1">
        <v>49835.0</v>
      </c>
      <c r="B2227" s="1">
        <v>11681.0</v>
      </c>
      <c r="C2227" s="1">
        <v>1.612844938E9</v>
      </c>
      <c r="D2227" s="1">
        <v>4.0</v>
      </c>
      <c r="E2227" s="1" t="b">
        <v>0</v>
      </c>
      <c r="F2227" s="1" t="s">
        <v>16120</v>
      </c>
    </row>
    <row r="2228">
      <c r="A2228" s="1">
        <v>49835.0</v>
      </c>
      <c r="B2228" s="1">
        <v>15959.0</v>
      </c>
      <c r="C2228" s="1">
        <v>1.615208009E9</v>
      </c>
      <c r="D2228" s="1">
        <v>4.0</v>
      </c>
      <c r="E2228" s="1" t="b">
        <v>0</v>
      </c>
      <c r="F2228" s="1" t="s">
        <v>14852</v>
      </c>
    </row>
    <row r="2229">
      <c r="A2229" s="1">
        <v>49835.0</v>
      </c>
      <c r="B2229" s="1">
        <v>6722.0</v>
      </c>
      <c r="C2229" s="1">
        <v>1.615197182E9</v>
      </c>
      <c r="D2229" s="1">
        <v>4.0</v>
      </c>
      <c r="E2229" s="1" t="b">
        <v>0</v>
      </c>
      <c r="F2229" s="1" t="s">
        <v>16121</v>
      </c>
    </row>
    <row r="2230">
      <c r="A2230" s="1">
        <v>49835.0</v>
      </c>
      <c r="B2230" s="1">
        <v>7789.0</v>
      </c>
      <c r="C2230" s="1">
        <v>1.611900499E9</v>
      </c>
      <c r="D2230" s="1">
        <v>4.0</v>
      </c>
      <c r="E2230" s="1" t="b">
        <v>0</v>
      </c>
      <c r="F2230" s="1" t="s">
        <v>16122</v>
      </c>
    </row>
    <row r="2231">
      <c r="A2231" s="1">
        <v>49835.0</v>
      </c>
      <c r="B2231" s="1">
        <v>16677.0</v>
      </c>
      <c r="C2231" s="1">
        <v>1.617683074E9</v>
      </c>
      <c r="D2231" s="1">
        <v>4.0</v>
      </c>
      <c r="E2231" s="1" t="b">
        <v>0</v>
      </c>
      <c r="F2231" s="1" t="s">
        <v>16123</v>
      </c>
    </row>
    <row r="2232">
      <c r="A2232" s="1">
        <v>49835.0</v>
      </c>
      <c r="B2232" s="1">
        <v>14905.0</v>
      </c>
      <c r="C2232" s="1">
        <v>1.623826323E9</v>
      </c>
      <c r="D2232" s="1">
        <v>4.0</v>
      </c>
      <c r="E2232" s="1" t="b">
        <v>0</v>
      </c>
      <c r="F2232" s="1" t="s">
        <v>16124</v>
      </c>
    </row>
    <row r="2233">
      <c r="A2233" s="1">
        <v>49835.0</v>
      </c>
      <c r="B2233" s="1">
        <v>4722.0</v>
      </c>
      <c r="C2233" s="1">
        <v>1.611221195E9</v>
      </c>
      <c r="D2233" s="1">
        <v>4.0</v>
      </c>
      <c r="E2233" s="1" t="b">
        <v>0</v>
      </c>
      <c r="F2233" s="1" t="s">
        <v>16125</v>
      </c>
    </row>
    <row r="2234">
      <c r="A2234" s="1">
        <v>49835.0</v>
      </c>
      <c r="B2234" s="1">
        <v>7529.0</v>
      </c>
      <c r="C2234" s="1">
        <v>1.61185114E9</v>
      </c>
      <c r="D2234" s="1">
        <v>4.0</v>
      </c>
      <c r="E2234" s="1" t="b">
        <v>0</v>
      </c>
      <c r="F2234" s="1" t="s">
        <v>16126</v>
      </c>
    </row>
    <row r="2235">
      <c r="A2235" s="1">
        <v>49835.0</v>
      </c>
      <c r="B2235" s="1">
        <v>4336.0</v>
      </c>
      <c r="C2235" s="1">
        <v>1.615191475E9</v>
      </c>
      <c r="D2235" s="1">
        <v>4.0</v>
      </c>
      <c r="E2235" s="1" t="b">
        <v>0</v>
      </c>
      <c r="F2235" s="1" t="s">
        <v>16127</v>
      </c>
    </row>
    <row r="2236">
      <c r="A2236" s="1">
        <v>49835.0</v>
      </c>
      <c r="B2236" s="1">
        <v>4501.0</v>
      </c>
      <c r="C2236" s="1">
        <v>1.611136953E9</v>
      </c>
      <c r="D2236" s="1">
        <v>4.0</v>
      </c>
      <c r="E2236" s="1" t="b">
        <v>0</v>
      </c>
      <c r="F2236" s="1" t="s">
        <v>16128</v>
      </c>
    </row>
    <row r="2237">
      <c r="A2237" s="1">
        <v>49835.0</v>
      </c>
      <c r="B2237" s="1">
        <v>7198.0</v>
      </c>
      <c r="C2237" s="1">
        <v>1.615182646E9</v>
      </c>
      <c r="D2237" s="1">
        <v>4.0</v>
      </c>
      <c r="E2237" s="1" t="b">
        <v>0</v>
      </c>
      <c r="F2237" s="1" t="s">
        <v>16129</v>
      </c>
    </row>
    <row r="2238">
      <c r="A2238" s="1">
        <v>49835.0</v>
      </c>
      <c r="B2238" s="1">
        <v>18142.0</v>
      </c>
      <c r="C2238" s="1">
        <v>1.62116343E9</v>
      </c>
      <c r="D2238" s="1">
        <v>4.0</v>
      </c>
      <c r="E2238" s="1" t="b">
        <v>0</v>
      </c>
      <c r="F2238" s="1" t="s">
        <v>16130</v>
      </c>
    </row>
    <row r="2239">
      <c r="A2239" s="1">
        <v>49835.0</v>
      </c>
      <c r="B2239" s="1">
        <v>2215.0</v>
      </c>
      <c r="C2239" s="1">
        <v>1.615182601E9</v>
      </c>
      <c r="D2239" s="1">
        <v>4.0</v>
      </c>
      <c r="E2239" s="1" t="b">
        <v>0</v>
      </c>
      <c r="F2239" s="1" t="s">
        <v>16131</v>
      </c>
    </row>
    <row r="2240">
      <c r="A2240" s="1">
        <v>49835.0</v>
      </c>
      <c r="B2240" s="1">
        <v>12362.0</v>
      </c>
      <c r="C2240" s="1">
        <v>1.613759975E9</v>
      </c>
      <c r="D2240" s="1">
        <v>4.0</v>
      </c>
      <c r="E2240" s="1" t="b">
        <v>0</v>
      </c>
      <c r="F2240" s="1" t="s">
        <v>16132</v>
      </c>
    </row>
    <row r="2241">
      <c r="A2241" s="1">
        <v>49835.0</v>
      </c>
      <c r="B2241" s="1">
        <v>9367.0</v>
      </c>
      <c r="C2241" s="1">
        <v>1.612147036E9</v>
      </c>
      <c r="D2241" s="1">
        <v>4.0</v>
      </c>
      <c r="E2241" s="1" t="b">
        <v>0</v>
      </c>
      <c r="F2241" s="1" t="s">
        <v>16133</v>
      </c>
    </row>
    <row r="2242">
      <c r="A2242" s="1">
        <v>49835.0</v>
      </c>
      <c r="B2242" s="1">
        <v>4655.0</v>
      </c>
      <c r="C2242" s="1">
        <v>1.61120679E9</v>
      </c>
      <c r="D2242" s="1">
        <v>4.0</v>
      </c>
      <c r="E2242" s="1" t="b">
        <v>0</v>
      </c>
      <c r="F2242" s="1" t="s">
        <v>16134</v>
      </c>
    </row>
    <row r="2243">
      <c r="A2243" s="1">
        <v>49835.0</v>
      </c>
      <c r="B2243" s="1">
        <v>4649.0</v>
      </c>
      <c r="C2243" s="1">
        <v>1.611206789E9</v>
      </c>
      <c r="D2243" s="1">
        <v>4.0</v>
      </c>
      <c r="E2243" s="1" t="b">
        <v>0</v>
      </c>
      <c r="F2243" s="1" t="s">
        <v>16135</v>
      </c>
    </row>
    <row r="2244">
      <c r="A2244" s="1">
        <v>49835.0</v>
      </c>
      <c r="B2244" s="1">
        <v>4348.0</v>
      </c>
      <c r="C2244" s="1">
        <v>1.611087001E9</v>
      </c>
      <c r="D2244" s="1">
        <v>4.0</v>
      </c>
      <c r="E2244" s="1" t="b">
        <v>0</v>
      </c>
      <c r="F2244" s="1" t="s">
        <v>16136</v>
      </c>
    </row>
    <row r="2245">
      <c r="A2245" s="1">
        <v>49835.0</v>
      </c>
      <c r="B2245" s="1">
        <v>4687.0</v>
      </c>
      <c r="C2245" s="1">
        <v>1.611209677E9</v>
      </c>
      <c r="D2245" s="1">
        <v>4.0</v>
      </c>
      <c r="E2245" s="1" t="b">
        <v>0</v>
      </c>
      <c r="F2245" s="1" t="s">
        <v>16137</v>
      </c>
    </row>
    <row r="2246">
      <c r="A2246" s="1">
        <v>49835.0</v>
      </c>
      <c r="B2246" s="1">
        <v>5277.0</v>
      </c>
      <c r="C2246" s="1">
        <v>1.61138319E9</v>
      </c>
      <c r="D2246" s="1">
        <v>4.0</v>
      </c>
      <c r="E2246" s="1" t="b">
        <v>0</v>
      </c>
      <c r="F2246" s="1" t="s">
        <v>16138</v>
      </c>
    </row>
    <row r="2247">
      <c r="A2247" s="1">
        <v>49835.0</v>
      </c>
      <c r="B2247" s="1">
        <v>5304.0</v>
      </c>
      <c r="C2247" s="1">
        <v>1.611383192E9</v>
      </c>
      <c r="D2247" s="1">
        <v>4.0</v>
      </c>
      <c r="E2247" s="1" t="b">
        <v>0</v>
      </c>
      <c r="F2247" s="1" t="s">
        <v>16139</v>
      </c>
    </row>
    <row r="2248">
      <c r="A2248" s="1">
        <v>49835.0</v>
      </c>
      <c r="B2248" s="1">
        <v>9461.0</v>
      </c>
      <c r="C2248" s="1">
        <v>1.612166863E9</v>
      </c>
      <c r="D2248" s="1">
        <v>4.0</v>
      </c>
      <c r="E2248" s="1" t="b">
        <v>0</v>
      </c>
      <c r="F2248" s="1" t="s">
        <v>16140</v>
      </c>
    </row>
    <row r="2249">
      <c r="A2249" s="1">
        <v>49835.0</v>
      </c>
      <c r="B2249" s="1">
        <v>16589.0</v>
      </c>
      <c r="C2249" s="1">
        <v>1.617263607E9</v>
      </c>
      <c r="D2249" s="1">
        <v>4.0</v>
      </c>
      <c r="E2249" s="1" t="b">
        <v>0</v>
      </c>
      <c r="F2249" s="1" t="s">
        <v>15446</v>
      </c>
    </row>
    <row r="2250">
      <c r="A2250" s="1">
        <v>49835.0</v>
      </c>
      <c r="B2250" s="1">
        <v>4642.0</v>
      </c>
      <c r="C2250" s="1">
        <v>1.611206787E9</v>
      </c>
      <c r="D2250" s="1">
        <v>4.0</v>
      </c>
      <c r="E2250" s="1" t="b">
        <v>0</v>
      </c>
      <c r="F2250" s="1" t="s">
        <v>16141</v>
      </c>
    </row>
    <row r="2251">
      <c r="A2251" s="1">
        <v>49835.0</v>
      </c>
      <c r="B2251" s="1">
        <v>9456.0</v>
      </c>
      <c r="C2251" s="1">
        <v>1.612166865E9</v>
      </c>
      <c r="D2251" s="1">
        <v>4.0</v>
      </c>
      <c r="E2251" s="1" t="b">
        <v>0</v>
      </c>
      <c r="F2251" s="1" t="s">
        <v>16142</v>
      </c>
    </row>
    <row r="2252">
      <c r="A2252" s="1">
        <v>49835.0</v>
      </c>
      <c r="B2252" s="1">
        <v>2471.0</v>
      </c>
      <c r="C2252" s="1">
        <v>1.608360384E9</v>
      </c>
      <c r="D2252" s="1">
        <v>4.0</v>
      </c>
      <c r="E2252" s="1" t="b">
        <v>0</v>
      </c>
      <c r="F2252" s="1" t="s">
        <v>16143</v>
      </c>
    </row>
    <row r="2253">
      <c r="A2253" s="1">
        <v>49835.0</v>
      </c>
      <c r="B2253" s="1">
        <v>7981.0</v>
      </c>
      <c r="C2253" s="1">
        <v>1.61218478E9</v>
      </c>
      <c r="D2253" s="1">
        <v>4.0</v>
      </c>
      <c r="E2253" s="1" t="b">
        <v>0</v>
      </c>
      <c r="F2253" s="1" t="s">
        <v>16144</v>
      </c>
    </row>
    <row r="2254">
      <c r="A2254" s="1">
        <v>49835.0</v>
      </c>
      <c r="B2254" s="1">
        <v>4653.0</v>
      </c>
      <c r="C2254" s="1">
        <v>1.611513188E9</v>
      </c>
      <c r="D2254" s="1">
        <v>4.0</v>
      </c>
      <c r="E2254" s="1" t="b">
        <v>0</v>
      </c>
      <c r="F2254" s="1" t="s">
        <v>16145</v>
      </c>
    </row>
    <row r="2255">
      <c r="A2255" s="1">
        <v>49835.0</v>
      </c>
      <c r="B2255" s="1">
        <v>13199.0</v>
      </c>
      <c r="C2255" s="1">
        <v>1.613234857E9</v>
      </c>
      <c r="D2255" s="1">
        <v>4.0</v>
      </c>
      <c r="E2255" s="1" t="b">
        <v>0</v>
      </c>
      <c r="F2255" s="1" t="s">
        <v>16146</v>
      </c>
    </row>
    <row r="2256">
      <c r="A2256" s="1">
        <v>49835.0</v>
      </c>
      <c r="B2256" s="1">
        <v>4915.0</v>
      </c>
      <c r="C2256" s="1">
        <v>1.611279988E9</v>
      </c>
      <c r="D2256" s="1">
        <v>4.0</v>
      </c>
      <c r="E2256" s="1" t="b">
        <v>0</v>
      </c>
      <c r="F2256" s="1" t="s">
        <v>16147</v>
      </c>
    </row>
    <row r="2257">
      <c r="A2257" s="1">
        <v>49835.0</v>
      </c>
      <c r="B2257" s="1">
        <v>14432.0</v>
      </c>
      <c r="C2257" s="1">
        <v>1.613740158E9</v>
      </c>
      <c r="D2257" s="1">
        <v>4.0</v>
      </c>
      <c r="E2257" s="1" t="b">
        <v>0</v>
      </c>
      <c r="F2257" s="1" t="s">
        <v>16148</v>
      </c>
    </row>
    <row r="2258">
      <c r="A2258" s="1">
        <v>49835.0</v>
      </c>
      <c r="B2258" s="1">
        <v>13971.0</v>
      </c>
      <c r="C2258" s="1">
        <v>1.613499065E9</v>
      </c>
      <c r="D2258" s="1">
        <v>4.0</v>
      </c>
      <c r="E2258" s="1" t="b">
        <v>0</v>
      </c>
      <c r="F2258" s="1" t="s">
        <v>16149</v>
      </c>
    </row>
    <row r="2259">
      <c r="A2259" s="1">
        <v>49835.0</v>
      </c>
      <c r="B2259" s="1">
        <v>6960.0</v>
      </c>
      <c r="C2259" s="1">
        <v>1.611762114E9</v>
      </c>
      <c r="D2259" s="1">
        <v>4.0</v>
      </c>
      <c r="E2259" s="1" t="b">
        <v>0</v>
      </c>
      <c r="F2259" s="1" t="s">
        <v>16150</v>
      </c>
    </row>
    <row r="2260">
      <c r="A2260" s="1">
        <v>49835.0</v>
      </c>
      <c r="B2260" s="1">
        <v>5604.0</v>
      </c>
      <c r="C2260" s="1">
        <v>1.611469448E9</v>
      </c>
      <c r="D2260" s="1">
        <v>4.0</v>
      </c>
      <c r="E2260" s="1" t="b">
        <v>0</v>
      </c>
      <c r="F2260" s="1" t="s">
        <v>16151</v>
      </c>
    </row>
    <row r="2261">
      <c r="A2261" s="1">
        <v>49835.0</v>
      </c>
      <c r="B2261" s="1">
        <v>5990.0</v>
      </c>
      <c r="C2261" s="1">
        <v>1.611540849E9</v>
      </c>
      <c r="D2261" s="1">
        <v>4.0</v>
      </c>
      <c r="E2261" s="1" t="b">
        <v>0</v>
      </c>
      <c r="F2261" s="1" t="s">
        <v>16152</v>
      </c>
    </row>
    <row r="2262">
      <c r="A2262" s="1">
        <v>49835.0</v>
      </c>
      <c r="B2262" s="1">
        <v>6010.0</v>
      </c>
      <c r="C2262" s="1">
        <v>1.611544083E9</v>
      </c>
      <c r="D2262" s="1">
        <v>4.0</v>
      </c>
      <c r="E2262" s="1" t="b">
        <v>0</v>
      </c>
      <c r="F2262" s="1" t="s">
        <v>16153</v>
      </c>
    </row>
    <row r="2263">
      <c r="A2263" s="1">
        <v>49835.0</v>
      </c>
      <c r="B2263" s="1">
        <v>9706.0</v>
      </c>
      <c r="C2263" s="1">
        <v>1.612207918E9</v>
      </c>
      <c r="D2263" s="1">
        <v>4.0</v>
      </c>
      <c r="E2263" s="1" t="b">
        <v>0</v>
      </c>
      <c r="F2263" s="1" t="s">
        <v>16154</v>
      </c>
    </row>
    <row r="2264">
      <c r="A2264" s="1">
        <v>49835.0</v>
      </c>
      <c r="B2264" s="1">
        <v>3616.0</v>
      </c>
      <c r="C2264" s="1">
        <v>1.6106361E9</v>
      </c>
      <c r="D2264" s="1">
        <v>4.0</v>
      </c>
      <c r="E2264" s="1" t="b">
        <v>0</v>
      </c>
      <c r="F2264" s="1" t="s">
        <v>16155</v>
      </c>
    </row>
    <row r="2265">
      <c r="A2265" s="1">
        <v>49835.0</v>
      </c>
      <c r="B2265" s="1">
        <v>6926.0</v>
      </c>
      <c r="C2265" s="1">
        <v>1.611757418E9</v>
      </c>
      <c r="D2265" s="1">
        <v>4.0</v>
      </c>
      <c r="E2265" s="1" t="b">
        <v>0</v>
      </c>
      <c r="F2265" s="1" t="s">
        <v>16156</v>
      </c>
    </row>
    <row r="2266">
      <c r="A2266" s="1">
        <v>49835.0</v>
      </c>
      <c r="B2266" s="1">
        <v>9780.0</v>
      </c>
      <c r="C2266" s="1">
        <v>1.612236577E9</v>
      </c>
      <c r="D2266" s="1">
        <v>4.0</v>
      </c>
      <c r="E2266" s="1" t="b">
        <v>0</v>
      </c>
      <c r="F2266" s="1" t="s">
        <v>16157</v>
      </c>
    </row>
    <row r="2267">
      <c r="A2267" s="1">
        <v>49835.0</v>
      </c>
      <c r="B2267" s="1">
        <v>2217.0</v>
      </c>
      <c r="C2267" s="1">
        <v>1.607625289E9</v>
      </c>
      <c r="D2267" s="1">
        <v>4.0</v>
      </c>
      <c r="E2267" s="1" t="b">
        <v>0</v>
      </c>
      <c r="F2267" s="1" t="s">
        <v>16158</v>
      </c>
    </row>
    <row r="2268">
      <c r="A2268" s="1">
        <v>49835.0</v>
      </c>
      <c r="B2268" s="1">
        <v>2949.0</v>
      </c>
      <c r="C2268" s="1">
        <v>1.609652724E9</v>
      </c>
      <c r="D2268" s="1">
        <v>4.0</v>
      </c>
      <c r="E2268" s="1" t="b">
        <v>0</v>
      </c>
      <c r="F2268" s="1" t="s">
        <v>16159</v>
      </c>
    </row>
    <row r="2269">
      <c r="A2269" s="1">
        <v>49835.0</v>
      </c>
      <c r="B2269" s="1">
        <v>13431.0</v>
      </c>
      <c r="C2269" s="1">
        <v>1.613270926E9</v>
      </c>
      <c r="D2269" s="1">
        <v>4.0</v>
      </c>
      <c r="E2269" s="1" t="b">
        <v>0</v>
      </c>
      <c r="F2269" s="1" t="s">
        <v>16160</v>
      </c>
    </row>
    <row r="2270">
      <c r="A2270" s="1">
        <v>49835.0</v>
      </c>
      <c r="B2270" s="1">
        <v>16396.0</v>
      </c>
      <c r="C2270" s="1">
        <v>1.61647368E9</v>
      </c>
      <c r="D2270" s="1">
        <v>4.0</v>
      </c>
      <c r="E2270" s="1" t="b">
        <v>0</v>
      </c>
      <c r="F2270" s="1" t="s">
        <v>16161</v>
      </c>
    </row>
    <row r="2271">
      <c r="A2271" s="1">
        <v>49835.0</v>
      </c>
      <c r="B2271" s="1">
        <v>19025.0</v>
      </c>
      <c r="C2271" s="1">
        <v>1.622283836E9</v>
      </c>
      <c r="D2271" s="1">
        <v>4.0</v>
      </c>
      <c r="E2271" s="1" t="b">
        <v>0</v>
      </c>
      <c r="F2271" s="1" t="s">
        <v>16162</v>
      </c>
    </row>
    <row r="2272">
      <c r="A2272" s="1">
        <v>49835.0</v>
      </c>
      <c r="B2272" s="1">
        <v>10932.0</v>
      </c>
      <c r="C2272" s="1">
        <v>1.612643981E9</v>
      </c>
      <c r="D2272" s="1">
        <v>4.0</v>
      </c>
      <c r="E2272" s="1" t="b">
        <v>0</v>
      </c>
      <c r="F2272" s="1" t="s">
        <v>16163</v>
      </c>
    </row>
    <row r="2273">
      <c r="A2273" s="1">
        <v>49835.0</v>
      </c>
      <c r="B2273" s="1">
        <v>2469.0</v>
      </c>
      <c r="C2273" s="1">
        <v>1.608354961E9</v>
      </c>
      <c r="D2273" s="1">
        <v>4.0</v>
      </c>
      <c r="E2273" s="1" t="b">
        <v>0</v>
      </c>
      <c r="F2273" s="1" t="s">
        <v>16164</v>
      </c>
    </row>
    <row r="2274">
      <c r="A2274" s="1">
        <v>49835.0</v>
      </c>
      <c r="B2274" s="1">
        <v>16563.0</v>
      </c>
      <c r="C2274" s="1">
        <v>1.617171289E9</v>
      </c>
      <c r="D2274" s="1">
        <v>4.0</v>
      </c>
      <c r="E2274" s="1" t="b">
        <v>0</v>
      </c>
      <c r="F2274" s="1" t="s">
        <v>16165</v>
      </c>
    </row>
    <row r="2275">
      <c r="A2275" s="1">
        <v>49835.0</v>
      </c>
      <c r="B2275" s="1">
        <v>7463.0</v>
      </c>
      <c r="C2275" s="1">
        <v>1.611842959E9</v>
      </c>
      <c r="D2275" s="1">
        <v>4.0</v>
      </c>
      <c r="E2275" s="1" t="b">
        <v>0</v>
      </c>
      <c r="F2275" s="1" t="s">
        <v>16166</v>
      </c>
    </row>
    <row r="2276">
      <c r="A2276" s="1">
        <v>49835.0</v>
      </c>
      <c r="B2276" s="1">
        <v>9561.0</v>
      </c>
      <c r="C2276" s="1">
        <v>1.612174641E9</v>
      </c>
      <c r="D2276" s="1">
        <v>4.0</v>
      </c>
      <c r="E2276" s="1" t="b">
        <v>0</v>
      </c>
      <c r="F2276" s="1" t="s">
        <v>16167</v>
      </c>
    </row>
    <row r="2277">
      <c r="A2277" s="1">
        <v>49835.0</v>
      </c>
      <c r="B2277" s="1">
        <v>9745.0</v>
      </c>
      <c r="C2277" s="1">
        <v>1.612207924E9</v>
      </c>
      <c r="D2277" s="1">
        <v>4.0</v>
      </c>
      <c r="E2277" s="1" t="b">
        <v>0</v>
      </c>
      <c r="F2277" s="1" t="s">
        <v>16168</v>
      </c>
    </row>
    <row r="2278">
      <c r="A2278" s="1">
        <v>49835.0</v>
      </c>
      <c r="B2278" s="1">
        <v>10392.0</v>
      </c>
      <c r="C2278" s="1">
        <v>1.612434082E9</v>
      </c>
      <c r="D2278" s="1">
        <v>4.0</v>
      </c>
      <c r="E2278" s="1" t="b">
        <v>0</v>
      </c>
      <c r="F2278" s="1" t="s">
        <v>16169</v>
      </c>
    </row>
    <row r="2279">
      <c r="A2279" s="1">
        <v>49835.0</v>
      </c>
      <c r="B2279" s="1">
        <v>12936.0</v>
      </c>
      <c r="C2279" s="1">
        <v>1.613195933E9</v>
      </c>
      <c r="D2279" s="1">
        <v>4.0</v>
      </c>
      <c r="E2279" s="1" t="b">
        <v>0</v>
      </c>
      <c r="F2279" s="1" t="s">
        <v>16170</v>
      </c>
    </row>
    <row r="2280">
      <c r="A2280" s="1">
        <v>49835.0</v>
      </c>
      <c r="B2280" s="1">
        <v>2258.0</v>
      </c>
      <c r="C2280" s="1">
        <v>1.610619254E9</v>
      </c>
      <c r="D2280" s="1">
        <v>4.0</v>
      </c>
      <c r="E2280" s="1" t="b">
        <v>0</v>
      </c>
      <c r="F2280" s="1" t="s">
        <v>14380</v>
      </c>
    </row>
    <row r="2281">
      <c r="A2281" s="1">
        <v>49835.0</v>
      </c>
      <c r="B2281" s="1">
        <v>16774.0</v>
      </c>
      <c r="C2281" s="1">
        <v>1.618068255E9</v>
      </c>
      <c r="D2281" s="1">
        <v>9.0</v>
      </c>
      <c r="E2281" s="1" t="b">
        <v>0</v>
      </c>
      <c r="F2281" s="1" t="s">
        <v>16171</v>
      </c>
    </row>
    <row r="2282">
      <c r="A2282" s="1">
        <v>49835.0</v>
      </c>
      <c r="B2282" s="1">
        <v>12803.0</v>
      </c>
      <c r="C2282" s="1">
        <v>1.61306485E9</v>
      </c>
      <c r="D2282" s="1">
        <v>4.0</v>
      </c>
      <c r="E2282" s="1" t="b">
        <v>0</v>
      </c>
      <c r="F2282" s="1" t="s">
        <v>16172</v>
      </c>
    </row>
    <row r="2283">
      <c r="A2283" s="1">
        <v>49835.0</v>
      </c>
      <c r="B2283" s="1">
        <v>7391.0</v>
      </c>
      <c r="C2283" s="1">
        <v>1.611838006E9</v>
      </c>
      <c r="D2283" s="1">
        <v>4.0</v>
      </c>
      <c r="E2283" s="1" t="b">
        <v>0</v>
      </c>
      <c r="F2283" s="1" t="s">
        <v>16173</v>
      </c>
    </row>
    <row r="2284">
      <c r="A2284" s="1">
        <v>49835.0</v>
      </c>
      <c r="B2284" s="1">
        <v>7587.0</v>
      </c>
      <c r="C2284" s="1">
        <v>1.61185828E9</v>
      </c>
      <c r="D2284" s="1">
        <v>4.0</v>
      </c>
      <c r="E2284" s="1" t="b">
        <v>0</v>
      </c>
      <c r="F2284" s="1" t="s">
        <v>16174</v>
      </c>
    </row>
    <row r="2285">
      <c r="A2285" s="1">
        <v>49835.0</v>
      </c>
      <c r="B2285" s="1">
        <v>9876.0</v>
      </c>
      <c r="C2285" s="1">
        <v>1.612347579E9</v>
      </c>
      <c r="D2285" s="1">
        <v>4.0</v>
      </c>
      <c r="E2285" s="1" t="b">
        <v>0</v>
      </c>
      <c r="F2285" s="1" t="s">
        <v>16175</v>
      </c>
    </row>
    <row r="2286">
      <c r="A2286" s="1">
        <v>49835.0</v>
      </c>
      <c r="B2286" s="1">
        <v>9881.0</v>
      </c>
      <c r="C2286" s="1">
        <v>1.612279208E9</v>
      </c>
      <c r="D2286" s="1">
        <v>4.0</v>
      </c>
      <c r="E2286" s="1" t="b">
        <v>0</v>
      </c>
      <c r="F2286" s="1" t="s">
        <v>16176</v>
      </c>
    </row>
    <row r="2287">
      <c r="A2287" s="1">
        <v>49835.0</v>
      </c>
      <c r="B2287" s="1">
        <v>9740.0</v>
      </c>
      <c r="C2287" s="1">
        <v>1.612207929E9</v>
      </c>
      <c r="D2287" s="1">
        <v>4.0</v>
      </c>
      <c r="E2287" s="1" t="b">
        <v>0</v>
      </c>
      <c r="F2287" s="1" t="s">
        <v>16177</v>
      </c>
    </row>
    <row r="2288">
      <c r="A2288" s="1">
        <v>49835.0</v>
      </c>
      <c r="B2288" s="1">
        <v>13811.0</v>
      </c>
      <c r="C2288" s="1">
        <v>1.613395901E9</v>
      </c>
      <c r="D2288" s="1">
        <v>4.0</v>
      </c>
      <c r="E2288" s="1" t="b">
        <v>0</v>
      </c>
      <c r="F2288" s="1" t="s">
        <v>16178</v>
      </c>
    </row>
    <row r="2289">
      <c r="A2289" s="1">
        <v>49835.0</v>
      </c>
      <c r="B2289" s="1">
        <v>9535.0</v>
      </c>
      <c r="C2289" s="1">
        <v>1.612172685E9</v>
      </c>
      <c r="D2289" s="1">
        <v>4.0</v>
      </c>
      <c r="E2289" s="1" t="b">
        <v>0</v>
      </c>
      <c r="F2289" s="1" t="s">
        <v>16179</v>
      </c>
    </row>
    <row r="2290">
      <c r="A2290" s="1">
        <v>49835.0</v>
      </c>
      <c r="B2290" s="1">
        <v>10318.0</v>
      </c>
      <c r="C2290" s="1">
        <v>1.612495829E9</v>
      </c>
      <c r="D2290" s="1">
        <v>4.0</v>
      </c>
      <c r="E2290" s="1" t="b">
        <v>0</v>
      </c>
      <c r="F2290" s="1" t="s">
        <v>16180</v>
      </c>
    </row>
    <row r="2291">
      <c r="A2291" s="1">
        <v>49835.0</v>
      </c>
      <c r="B2291" s="1">
        <v>5543.0</v>
      </c>
      <c r="C2291" s="1">
        <v>1.6114327E9</v>
      </c>
      <c r="D2291" s="1">
        <v>4.0</v>
      </c>
      <c r="E2291" s="1" t="b">
        <v>0</v>
      </c>
      <c r="F2291" s="1" t="s">
        <v>16181</v>
      </c>
    </row>
    <row r="2292">
      <c r="A2292" s="1">
        <v>49835.0</v>
      </c>
      <c r="B2292" s="1">
        <v>12428.0</v>
      </c>
      <c r="C2292" s="1">
        <v>1.613064257E9</v>
      </c>
      <c r="D2292" s="1">
        <v>4.0</v>
      </c>
      <c r="E2292" s="1" t="b">
        <v>0</v>
      </c>
      <c r="F2292" s="1" t="s">
        <v>16182</v>
      </c>
    </row>
    <row r="2293">
      <c r="A2293" s="1">
        <v>49835.0</v>
      </c>
      <c r="B2293" s="1">
        <v>20196.0</v>
      </c>
      <c r="C2293" s="1">
        <v>1.623919368E9</v>
      </c>
      <c r="D2293" s="1">
        <v>4.0</v>
      </c>
      <c r="E2293" s="1" t="b">
        <v>0</v>
      </c>
      <c r="F2293" s="1" t="s">
        <v>16183</v>
      </c>
    </row>
    <row r="2294">
      <c r="A2294" s="1">
        <v>49835.0</v>
      </c>
      <c r="B2294" s="1">
        <v>4886.0</v>
      </c>
      <c r="C2294" s="1">
        <v>1.61127998E9</v>
      </c>
      <c r="D2294" s="1">
        <v>4.0</v>
      </c>
      <c r="E2294" s="1" t="b">
        <v>0</v>
      </c>
      <c r="F2294" s="1" t="s">
        <v>16184</v>
      </c>
    </row>
    <row r="2295">
      <c r="A2295" s="1">
        <v>49835.0</v>
      </c>
      <c r="B2295" s="1">
        <v>7234.0</v>
      </c>
      <c r="C2295" s="1">
        <v>1.611814756E9</v>
      </c>
      <c r="D2295" s="1">
        <v>4.0</v>
      </c>
      <c r="E2295" s="1" t="b">
        <v>0</v>
      </c>
      <c r="F2295" s="1" t="s">
        <v>16185</v>
      </c>
    </row>
    <row r="2296">
      <c r="A2296" s="1">
        <v>49835.0</v>
      </c>
      <c r="B2296" s="1">
        <v>6223.0</v>
      </c>
      <c r="C2296" s="1">
        <v>1.611587809E9</v>
      </c>
      <c r="D2296" s="1">
        <v>4.0</v>
      </c>
      <c r="E2296" s="1" t="b">
        <v>0</v>
      </c>
      <c r="F2296" s="1" t="s">
        <v>16186</v>
      </c>
    </row>
    <row r="2297">
      <c r="A2297" s="1">
        <v>49835.0</v>
      </c>
      <c r="B2297" s="1">
        <v>4884.0</v>
      </c>
      <c r="C2297" s="1">
        <v>1.611279978E9</v>
      </c>
      <c r="D2297" s="1">
        <v>4.0</v>
      </c>
      <c r="E2297" s="1" t="b">
        <v>0</v>
      </c>
      <c r="F2297" s="1" t="s">
        <v>16187</v>
      </c>
    </row>
    <row r="2298">
      <c r="A2298" s="1">
        <v>49835.0</v>
      </c>
      <c r="B2298" s="1">
        <v>9890.0</v>
      </c>
      <c r="C2298" s="1">
        <v>1.612279137E9</v>
      </c>
      <c r="D2298" s="1">
        <v>4.0</v>
      </c>
      <c r="E2298" s="1" t="b">
        <v>0</v>
      </c>
      <c r="F2298" s="1" t="s">
        <v>16188</v>
      </c>
    </row>
    <row r="2299">
      <c r="A2299" s="1">
        <v>49835.0</v>
      </c>
      <c r="B2299" s="1">
        <v>5981.0</v>
      </c>
      <c r="C2299" s="1">
        <v>1.61154084E9</v>
      </c>
      <c r="D2299" s="1">
        <v>4.0</v>
      </c>
      <c r="E2299" s="1" t="b">
        <v>0</v>
      </c>
      <c r="F2299" s="1" t="s">
        <v>16189</v>
      </c>
    </row>
    <row r="2300">
      <c r="A2300" s="1">
        <v>49835.0</v>
      </c>
      <c r="B2300" s="1">
        <v>3595.0</v>
      </c>
      <c r="C2300" s="1">
        <v>1.610625322E9</v>
      </c>
      <c r="D2300" s="1">
        <v>4.0</v>
      </c>
      <c r="E2300" s="1" t="b">
        <v>0</v>
      </c>
      <c r="F2300" s="1" t="s">
        <v>16190</v>
      </c>
    </row>
    <row r="2301">
      <c r="A2301" s="1">
        <v>49835.0</v>
      </c>
      <c r="B2301" s="1">
        <v>20217.0</v>
      </c>
      <c r="C2301" s="1">
        <v>1.62393604E9</v>
      </c>
      <c r="D2301" s="1">
        <v>4.0</v>
      </c>
      <c r="E2301" s="1" t="b">
        <v>0</v>
      </c>
      <c r="F2301" s="1" t="s">
        <v>16191</v>
      </c>
    </row>
    <row r="2302">
      <c r="A2302" s="1">
        <v>49835.0</v>
      </c>
      <c r="B2302" s="1">
        <v>10460.0</v>
      </c>
      <c r="C2302" s="1">
        <v>1.612454887E9</v>
      </c>
      <c r="D2302" s="1">
        <v>4.0</v>
      </c>
      <c r="E2302" s="1" t="b">
        <v>0</v>
      </c>
      <c r="F2302" s="1" t="s">
        <v>16192</v>
      </c>
    </row>
    <row r="2303">
      <c r="A2303" s="1">
        <v>49835.0</v>
      </c>
      <c r="B2303" s="1">
        <v>16467.0</v>
      </c>
      <c r="C2303" s="1">
        <v>1.616747822E9</v>
      </c>
      <c r="D2303" s="1">
        <v>4.0</v>
      </c>
      <c r="E2303" s="1" t="b">
        <v>0</v>
      </c>
      <c r="F2303" s="1" t="s">
        <v>16193</v>
      </c>
    </row>
    <row r="2304">
      <c r="A2304" s="1">
        <v>49835.0</v>
      </c>
      <c r="B2304" s="1">
        <v>1994.0</v>
      </c>
      <c r="C2304" s="1">
        <v>1.607164967E9</v>
      </c>
      <c r="D2304" s="1">
        <v>4.0</v>
      </c>
      <c r="E2304" s="1" t="b">
        <v>0</v>
      </c>
      <c r="F2304" s="1" t="s">
        <v>16158</v>
      </c>
    </row>
    <row r="2305">
      <c r="A2305" s="1">
        <v>49835.0</v>
      </c>
      <c r="B2305" s="1">
        <v>6689.0</v>
      </c>
      <c r="C2305" s="1">
        <v>1.611724019E9</v>
      </c>
      <c r="D2305" s="1">
        <v>4.0</v>
      </c>
      <c r="E2305" s="1" t="b">
        <v>0</v>
      </c>
      <c r="F2305" s="1" t="s">
        <v>16194</v>
      </c>
    </row>
    <row r="2306">
      <c r="A2306" s="1">
        <v>49835.0</v>
      </c>
      <c r="B2306" s="1">
        <v>12076.0</v>
      </c>
      <c r="C2306" s="1">
        <v>1.612942562E9</v>
      </c>
      <c r="D2306" s="1">
        <v>4.0</v>
      </c>
      <c r="E2306" s="1" t="b">
        <v>0</v>
      </c>
      <c r="F2306" s="1" t="s">
        <v>16195</v>
      </c>
    </row>
    <row r="2307">
      <c r="A2307" s="1">
        <v>49835.0</v>
      </c>
      <c r="B2307" s="1">
        <v>18166.0</v>
      </c>
      <c r="C2307" s="1">
        <v>1.621181771E9</v>
      </c>
      <c r="D2307" s="1">
        <v>4.0</v>
      </c>
      <c r="E2307" s="1" t="b">
        <v>0</v>
      </c>
      <c r="F2307" s="1" t="s">
        <v>16196</v>
      </c>
    </row>
    <row r="2308">
      <c r="A2308" s="1">
        <v>49835.0</v>
      </c>
      <c r="B2308" s="1">
        <v>9696.0</v>
      </c>
      <c r="C2308" s="1">
        <v>1.612207912E9</v>
      </c>
      <c r="D2308" s="1">
        <v>4.0</v>
      </c>
      <c r="E2308" s="1" t="b">
        <v>0</v>
      </c>
      <c r="F2308" s="1" t="s">
        <v>16197</v>
      </c>
    </row>
    <row r="2309">
      <c r="A2309" s="1">
        <v>49835.0</v>
      </c>
      <c r="B2309" s="1">
        <v>7594.0</v>
      </c>
      <c r="C2309" s="1">
        <v>1.611860656E9</v>
      </c>
      <c r="D2309" s="1">
        <v>4.0</v>
      </c>
      <c r="E2309" s="1" t="b">
        <v>0</v>
      </c>
      <c r="F2309" s="1" t="s">
        <v>16198</v>
      </c>
    </row>
    <row r="2310">
      <c r="A2310" s="1">
        <v>49835.0</v>
      </c>
      <c r="B2310" s="1">
        <v>10436.0</v>
      </c>
      <c r="C2310" s="1">
        <v>1.612449144E9</v>
      </c>
      <c r="D2310" s="1">
        <v>4.0</v>
      </c>
      <c r="E2310" s="1" t="b">
        <v>0</v>
      </c>
      <c r="F2310" s="1" t="s">
        <v>16199</v>
      </c>
    </row>
    <row r="2311">
      <c r="A2311" s="1">
        <v>49835.0</v>
      </c>
      <c r="B2311" s="1">
        <v>3538.0</v>
      </c>
      <c r="C2311" s="1">
        <v>1.610603706E9</v>
      </c>
      <c r="D2311" s="1">
        <v>4.0</v>
      </c>
      <c r="E2311" s="1" t="b">
        <v>0</v>
      </c>
      <c r="F2311" s="1" t="s">
        <v>16200</v>
      </c>
    </row>
    <row r="2312">
      <c r="A2312" s="1">
        <v>49835.0</v>
      </c>
      <c r="B2312" s="1">
        <v>7648.0</v>
      </c>
      <c r="C2312" s="1">
        <v>1.611882127E9</v>
      </c>
      <c r="D2312" s="1">
        <v>4.0</v>
      </c>
      <c r="E2312" s="1" t="b">
        <v>0</v>
      </c>
      <c r="F2312" s="1" t="s">
        <v>16201</v>
      </c>
    </row>
    <row r="2313">
      <c r="A2313" s="1">
        <v>49835.0</v>
      </c>
      <c r="B2313" s="1">
        <v>2265.0</v>
      </c>
      <c r="C2313" s="1">
        <v>1.607805081E9</v>
      </c>
      <c r="D2313" s="1">
        <v>4.0</v>
      </c>
      <c r="E2313" s="1" t="b">
        <v>0</v>
      </c>
      <c r="F2313" s="1" t="s">
        <v>16202</v>
      </c>
    </row>
    <row r="2314">
      <c r="A2314" s="1">
        <v>49835.0</v>
      </c>
      <c r="B2314" s="1">
        <v>2496.0</v>
      </c>
      <c r="C2314" s="1">
        <v>1.608461758E9</v>
      </c>
      <c r="D2314" s="1">
        <v>4.0</v>
      </c>
      <c r="E2314" s="1" t="b">
        <v>0</v>
      </c>
      <c r="F2314" s="1" t="s">
        <v>16203</v>
      </c>
    </row>
    <row r="2315">
      <c r="A2315" s="1">
        <v>49835.0</v>
      </c>
      <c r="B2315" s="1">
        <v>2724.0</v>
      </c>
      <c r="C2315" s="1">
        <v>1.609150304E9</v>
      </c>
      <c r="D2315" s="1">
        <v>4.0</v>
      </c>
      <c r="E2315" s="1" t="b">
        <v>0</v>
      </c>
      <c r="F2315" s="1" t="s">
        <v>16204</v>
      </c>
    </row>
    <row r="2316">
      <c r="A2316" s="1">
        <v>49835.0</v>
      </c>
      <c r="B2316" s="1">
        <v>10448.0</v>
      </c>
      <c r="C2316" s="1">
        <v>1.612450744E9</v>
      </c>
      <c r="D2316" s="1">
        <v>4.0</v>
      </c>
      <c r="E2316" s="1" t="b">
        <v>0</v>
      </c>
      <c r="F2316" s="1" t="s">
        <v>16205</v>
      </c>
    </row>
    <row r="2317">
      <c r="A2317" s="1">
        <v>49835.0</v>
      </c>
      <c r="B2317" s="1">
        <v>6826.0</v>
      </c>
      <c r="C2317" s="1">
        <v>1.611742612E9</v>
      </c>
      <c r="D2317" s="1">
        <v>4.0</v>
      </c>
      <c r="E2317" s="1" t="b">
        <v>0</v>
      </c>
      <c r="F2317" s="1" t="s">
        <v>16206</v>
      </c>
    </row>
    <row r="2318">
      <c r="A2318" s="1">
        <v>49835.0</v>
      </c>
      <c r="B2318" s="1">
        <v>36.0</v>
      </c>
      <c r="C2318" s="1">
        <v>1.608265266E9</v>
      </c>
      <c r="D2318" s="1">
        <v>4.0</v>
      </c>
      <c r="E2318" s="1" t="b">
        <v>0</v>
      </c>
      <c r="F2318" s="1" t="s">
        <v>16207</v>
      </c>
    </row>
    <row r="2319">
      <c r="A2319" s="1">
        <v>49835.0</v>
      </c>
      <c r="B2319" s="1">
        <v>12944.0</v>
      </c>
      <c r="C2319" s="1">
        <v>1.61319573E9</v>
      </c>
      <c r="D2319" s="1">
        <v>4.0</v>
      </c>
      <c r="E2319" s="1" t="b">
        <v>0</v>
      </c>
      <c r="F2319" s="1" t="s">
        <v>16208</v>
      </c>
    </row>
    <row r="2320">
      <c r="A2320" s="1">
        <v>49835.0</v>
      </c>
      <c r="B2320" s="1">
        <v>6081.0</v>
      </c>
      <c r="C2320" s="1">
        <v>1.611560206E9</v>
      </c>
      <c r="D2320" s="1">
        <v>4.0</v>
      </c>
      <c r="E2320" s="1" t="b">
        <v>0</v>
      </c>
      <c r="F2320" s="1" t="s">
        <v>16209</v>
      </c>
    </row>
    <row r="2321">
      <c r="A2321" s="1">
        <v>49835.0</v>
      </c>
      <c r="B2321" s="1">
        <v>5968.0</v>
      </c>
      <c r="C2321" s="1">
        <v>1.611540843E9</v>
      </c>
      <c r="D2321" s="1">
        <v>4.0</v>
      </c>
      <c r="E2321" s="1" t="b">
        <v>0</v>
      </c>
      <c r="F2321" s="1" t="s">
        <v>16210</v>
      </c>
    </row>
    <row r="2322">
      <c r="A2322" s="1">
        <v>49835.0</v>
      </c>
      <c r="B2322" s="1">
        <v>9673.0</v>
      </c>
      <c r="C2322" s="1">
        <v>1.612207911E9</v>
      </c>
      <c r="D2322" s="1">
        <v>4.0</v>
      </c>
      <c r="E2322" s="1" t="b">
        <v>0</v>
      </c>
      <c r="F2322" s="1" t="s">
        <v>16211</v>
      </c>
    </row>
    <row r="2323">
      <c r="A2323" s="1">
        <v>49835.0</v>
      </c>
      <c r="B2323" s="1">
        <v>7533.0</v>
      </c>
      <c r="C2323" s="1">
        <v>1.611856019E9</v>
      </c>
      <c r="D2323" s="1">
        <v>4.0</v>
      </c>
      <c r="E2323" s="1" t="b">
        <v>0</v>
      </c>
      <c r="F2323" s="1" t="s">
        <v>16212</v>
      </c>
    </row>
    <row r="2324">
      <c r="A2324" s="1">
        <v>49835.0</v>
      </c>
      <c r="B2324" s="1">
        <v>2218.0</v>
      </c>
      <c r="C2324" s="1">
        <v>1.607658956E9</v>
      </c>
      <c r="D2324" s="1">
        <v>4.0</v>
      </c>
      <c r="E2324" s="1" t="b">
        <v>0</v>
      </c>
      <c r="F2324" s="1" t="s">
        <v>16213</v>
      </c>
    </row>
    <row r="2325">
      <c r="A2325" s="1">
        <v>49835.0</v>
      </c>
      <c r="B2325" s="1">
        <v>5636.0</v>
      </c>
      <c r="C2325" s="1">
        <v>1.611469449E9</v>
      </c>
      <c r="D2325" s="1">
        <v>4.0</v>
      </c>
      <c r="E2325" s="1" t="b">
        <v>0</v>
      </c>
      <c r="F2325" s="1" t="s">
        <v>16214</v>
      </c>
    </row>
    <row r="2326">
      <c r="A2326" s="1">
        <v>49835.0</v>
      </c>
      <c r="B2326" s="1">
        <v>6367.0</v>
      </c>
      <c r="C2326" s="1">
        <v>1.611644675E9</v>
      </c>
      <c r="D2326" s="1">
        <v>4.0</v>
      </c>
      <c r="E2326" s="1" t="b">
        <v>0</v>
      </c>
      <c r="F2326" s="1" t="s">
        <v>16215</v>
      </c>
    </row>
    <row r="2327">
      <c r="A2327" s="1">
        <v>49835.0</v>
      </c>
      <c r="B2327" s="1">
        <v>2695.0</v>
      </c>
      <c r="C2327" s="1">
        <v>1.608997687E9</v>
      </c>
      <c r="D2327" s="1">
        <v>4.0</v>
      </c>
      <c r="E2327" s="1" t="b">
        <v>0</v>
      </c>
      <c r="F2327" s="1" t="s">
        <v>16216</v>
      </c>
    </row>
    <row r="2328">
      <c r="A2328" s="1">
        <v>49835.0</v>
      </c>
      <c r="B2328" s="1">
        <v>13849.0</v>
      </c>
      <c r="C2328" s="1">
        <v>1.613395897E9</v>
      </c>
      <c r="D2328" s="1">
        <v>4.0</v>
      </c>
      <c r="E2328" s="1" t="b">
        <v>0</v>
      </c>
      <c r="F2328" s="1" t="s">
        <v>16217</v>
      </c>
    </row>
    <row r="2329">
      <c r="A2329" s="1">
        <v>49835.0</v>
      </c>
      <c r="B2329" s="1">
        <v>6809.0</v>
      </c>
      <c r="C2329" s="1">
        <v>1.619453914E9</v>
      </c>
      <c r="D2329" s="1">
        <v>4.0</v>
      </c>
      <c r="E2329" s="1" t="b">
        <v>0</v>
      </c>
      <c r="F2329" s="1" t="s">
        <v>16218</v>
      </c>
    </row>
    <row r="2330">
      <c r="A2330" s="1">
        <v>49835.0</v>
      </c>
      <c r="B2330" s="1">
        <v>16309.0</v>
      </c>
      <c r="C2330" s="1">
        <v>1.619453915E9</v>
      </c>
      <c r="D2330" s="1">
        <v>4.0</v>
      </c>
      <c r="E2330" s="1" t="b">
        <v>0</v>
      </c>
      <c r="F2330" s="1" t="s">
        <v>16219</v>
      </c>
    </row>
    <row r="2331">
      <c r="A2331" s="1">
        <v>49835.0</v>
      </c>
      <c r="B2331" s="1">
        <v>11124.0</v>
      </c>
      <c r="C2331" s="1">
        <v>1.612689828E9</v>
      </c>
      <c r="D2331" s="1">
        <v>4.0</v>
      </c>
      <c r="E2331" s="1" t="b">
        <v>0</v>
      </c>
      <c r="F2331" s="1" t="s">
        <v>16220</v>
      </c>
    </row>
    <row r="2332">
      <c r="A2332" s="1">
        <v>49835.0</v>
      </c>
      <c r="B2332" s="1">
        <v>10292.0</v>
      </c>
      <c r="C2332" s="1">
        <v>1.612414777E9</v>
      </c>
      <c r="D2332" s="1">
        <v>4.0</v>
      </c>
      <c r="E2332" s="1" t="b">
        <v>0</v>
      </c>
      <c r="F2332" s="1" t="s">
        <v>16133</v>
      </c>
    </row>
    <row r="2333">
      <c r="A2333" s="1">
        <v>49835.0</v>
      </c>
      <c r="B2333" s="1">
        <v>18045.0</v>
      </c>
      <c r="C2333" s="1">
        <v>1.621013021E9</v>
      </c>
      <c r="D2333" s="1">
        <v>4.0</v>
      </c>
      <c r="E2333" s="1" t="b">
        <v>0</v>
      </c>
      <c r="F2333" s="1" t="s">
        <v>16221</v>
      </c>
    </row>
    <row r="2334">
      <c r="A2334" s="1">
        <v>49835.0</v>
      </c>
      <c r="B2334" s="1">
        <v>2986.0</v>
      </c>
      <c r="C2334" s="1">
        <v>1.609753535E9</v>
      </c>
      <c r="D2334" s="1">
        <v>4.0</v>
      </c>
      <c r="E2334" s="1" t="b">
        <v>0</v>
      </c>
      <c r="F2334" s="1" t="s">
        <v>16222</v>
      </c>
    </row>
    <row r="2335">
      <c r="A2335" s="1">
        <v>49835.0</v>
      </c>
      <c r="B2335" s="1">
        <v>2483.0</v>
      </c>
      <c r="C2335" s="1">
        <v>1.608462482E9</v>
      </c>
      <c r="D2335" s="1">
        <v>4.0</v>
      </c>
      <c r="E2335" s="1" t="b">
        <v>0</v>
      </c>
      <c r="F2335" s="1" t="s">
        <v>16223</v>
      </c>
    </row>
    <row r="2336">
      <c r="A2336" s="1">
        <v>49835.0</v>
      </c>
      <c r="B2336" s="1">
        <v>2745.0</v>
      </c>
      <c r="C2336" s="1">
        <v>1.609233472E9</v>
      </c>
      <c r="D2336" s="1">
        <v>4.0</v>
      </c>
      <c r="E2336" s="1" t="b">
        <v>0</v>
      </c>
      <c r="F2336" s="1" t="s">
        <v>16224</v>
      </c>
    </row>
    <row r="2337">
      <c r="A2337" s="1">
        <v>49835.0</v>
      </c>
      <c r="B2337" s="1">
        <v>4818.0</v>
      </c>
      <c r="C2337" s="1">
        <v>1.611249633E9</v>
      </c>
      <c r="D2337" s="1">
        <v>4.0</v>
      </c>
      <c r="E2337" s="1" t="b">
        <v>0</v>
      </c>
      <c r="F2337" s="1" t="s">
        <v>16225</v>
      </c>
    </row>
    <row r="2338">
      <c r="A2338" s="1">
        <v>49835.0</v>
      </c>
      <c r="B2338" s="1">
        <v>2985.0</v>
      </c>
      <c r="C2338" s="1">
        <v>1.609750485E9</v>
      </c>
      <c r="D2338" s="1">
        <v>4.0</v>
      </c>
      <c r="E2338" s="1" t="b">
        <v>0</v>
      </c>
      <c r="F2338" s="1" t="s">
        <v>16226</v>
      </c>
    </row>
    <row r="2339">
      <c r="A2339" s="1">
        <v>49835.0</v>
      </c>
      <c r="B2339" s="1">
        <v>1989.0</v>
      </c>
      <c r="C2339" s="1">
        <v>1.607273946E9</v>
      </c>
      <c r="D2339" s="1">
        <v>4.0</v>
      </c>
      <c r="E2339" s="1" t="b">
        <v>0</v>
      </c>
      <c r="F2339" s="1" t="s">
        <v>16227</v>
      </c>
    </row>
    <row r="2340">
      <c r="A2340" s="1">
        <v>49835.0</v>
      </c>
      <c r="B2340" s="1">
        <v>9465.0</v>
      </c>
      <c r="C2340" s="1">
        <v>1.612166862E9</v>
      </c>
      <c r="D2340" s="1">
        <v>4.0</v>
      </c>
      <c r="E2340" s="1" t="b">
        <v>0</v>
      </c>
      <c r="F2340" s="1" t="s">
        <v>16228</v>
      </c>
    </row>
    <row r="2341">
      <c r="A2341" s="1">
        <v>49835.0</v>
      </c>
      <c r="B2341" s="1">
        <v>13896.0</v>
      </c>
      <c r="C2341" s="1">
        <v>1.613397251E9</v>
      </c>
      <c r="D2341" s="1">
        <v>4.0</v>
      </c>
      <c r="E2341" s="1" t="b">
        <v>0</v>
      </c>
      <c r="F2341" s="1" t="s">
        <v>16229</v>
      </c>
    </row>
    <row r="2342">
      <c r="A2342" s="1">
        <v>49835.0</v>
      </c>
      <c r="B2342" s="1">
        <v>18395.0</v>
      </c>
      <c r="C2342" s="1">
        <v>1.621519787E9</v>
      </c>
      <c r="D2342" s="1">
        <v>9.0</v>
      </c>
      <c r="E2342" s="1" t="b">
        <v>0</v>
      </c>
      <c r="F2342" s="1" t="s">
        <v>16230</v>
      </c>
    </row>
    <row r="2343">
      <c r="A2343" s="1">
        <v>49835.0</v>
      </c>
      <c r="B2343" s="1">
        <v>16611.0</v>
      </c>
      <c r="C2343" s="1">
        <v>1.619453916E9</v>
      </c>
      <c r="D2343" s="1">
        <v>4.0</v>
      </c>
      <c r="E2343" s="1" t="b">
        <v>0</v>
      </c>
      <c r="F2343" s="1" t="s">
        <v>16231</v>
      </c>
    </row>
    <row r="2344">
      <c r="A2344" s="1">
        <v>49835.0</v>
      </c>
      <c r="B2344" s="1">
        <v>9280.0</v>
      </c>
      <c r="C2344" s="1">
        <v>1.612141893E9</v>
      </c>
      <c r="D2344" s="1">
        <v>4.0</v>
      </c>
      <c r="E2344" s="1" t="b">
        <v>0</v>
      </c>
      <c r="F2344" s="1" t="s">
        <v>16232</v>
      </c>
    </row>
    <row r="2345">
      <c r="A2345" s="1">
        <v>49835.0</v>
      </c>
      <c r="B2345" s="1">
        <v>18349.0</v>
      </c>
      <c r="C2345" s="1">
        <v>1.621484519E9</v>
      </c>
      <c r="D2345" s="1">
        <v>4.0</v>
      </c>
      <c r="E2345" s="1" t="b">
        <v>0</v>
      </c>
      <c r="F2345" s="1" t="s">
        <v>16233</v>
      </c>
    </row>
    <row r="2346">
      <c r="A2346" s="1">
        <v>49835.0</v>
      </c>
      <c r="B2346" s="1">
        <v>2968.0</v>
      </c>
      <c r="C2346" s="1">
        <v>1.609680252E9</v>
      </c>
      <c r="D2346" s="1">
        <v>4.0</v>
      </c>
      <c r="E2346" s="1" t="b">
        <v>0</v>
      </c>
      <c r="F2346" s="1" t="s">
        <v>16234</v>
      </c>
    </row>
    <row r="2347">
      <c r="A2347" s="1">
        <v>49835.0</v>
      </c>
      <c r="B2347" s="1">
        <v>2423.0</v>
      </c>
      <c r="C2347" s="1">
        <v>1.608297625E9</v>
      </c>
      <c r="D2347" s="1">
        <v>4.0</v>
      </c>
      <c r="E2347" s="1" t="b">
        <v>0</v>
      </c>
      <c r="F2347" s="1" t="s">
        <v>16235</v>
      </c>
    </row>
    <row r="2348">
      <c r="A2348" s="1">
        <v>49835.0</v>
      </c>
      <c r="B2348" s="1">
        <v>7640.0</v>
      </c>
      <c r="C2348" s="1">
        <v>1.611882129E9</v>
      </c>
      <c r="D2348" s="1">
        <v>4.0</v>
      </c>
      <c r="E2348" s="1" t="b">
        <v>0</v>
      </c>
      <c r="F2348" s="1" t="s">
        <v>16236</v>
      </c>
    </row>
    <row r="2349">
      <c r="A2349" s="1">
        <v>49835.0</v>
      </c>
      <c r="B2349" s="1">
        <v>16512.0</v>
      </c>
      <c r="C2349" s="1">
        <v>1.616846782E9</v>
      </c>
      <c r="D2349" s="1">
        <v>4.0</v>
      </c>
      <c r="E2349" s="1" t="b">
        <v>0</v>
      </c>
      <c r="F2349" s="1" t="s">
        <v>16237</v>
      </c>
    </row>
    <row r="2350">
      <c r="A2350" s="1">
        <v>49835.0</v>
      </c>
      <c r="B2350" s="1">
        <v>6889.0</v>
      </c>
      <c r="C2350" s="1">
        <v>1.611752548E9</v>
      </c>
      <c r="D2350" s="1">
        <v>4.0</v>
      </c>
      <c r="E2350" s="1" t="b">
        <v>0</v>
      </c>
      <c r="F2350" s="1" t="s">
        <v>16238</v>
      </c>
    </row>
    <row r="2351">
      <c r="A2351" s="1">
        <v>49835.0</v>
      </c>
      <c r="B2351" s="1">
        <v>6929.0</v>
      </c>
      <c r="C2351" s="1">
        <v>1.611757416E9</v>
      </c>
      <c r="D2351" s="1">
        <v>4.0</v>
      </c>
      <c r="E2351" s="1" t="b">
        <v>0</v>
      </c>
      <c r="F2351" s="1" t="s">
        <v>16239</v>
      </c>
    </row>
    <row r="2352">
      <c r="A2352" s="1">
        <v>49835.0</v>
      </c>
      <c r="B2352" s="1">
        <v>16595.0</v>
      </c>
      <c r="C2352" s="1">
        <v>1.617348166E9</v>
      </c>
      <c r="D2352" s="1">
        <v>4.0</v>
      </c>
      <c r="E2352" s="1" t="b">
        <v>0</v>
      </c>
      <c r="F2352" s="1" t="s">
        <v>16240</v>
      </c>
      <c r="G2352" s="1" t="b">
        <v>1</v>
      </c>
    </row>
    <row r="2353">
      <c r="A2353" s="1">
        <v>49835.0</v>
      </c>
      <c r="B2353" s="1">
        <v>13717.0</v>
      </c>
      <c r="C2353" s="1">
        <v>1.613360208E9</v>
      </c>
      <c r="D2353" s="1">
        <v>4.0</v>
      </c>
      <c r="E2353" s="1" t="b">
        <v>0</v>
      </c>
      <c r="F2353" s="1" t="s">
        <v>16241</v>
      </c>
    </row>
    <row r="2354">
      <c r="A2354" s="1">
        <v>49835.0</v>
      </c>
      <c r="B2354" s="1">
        <v>12276.0</v>
      </c>
      <c r="C2354" s="1">
        <v>1.612942663E9</v>
      </c>
      <c r="D2354" s="1">
        <v>4.0</v>
      </c>
      <c r="E2354" s="1" t="b">
        <v>0</v>
      </c>
      <c r="F2354" s="1" t="s">
        <v>16242</v>
      </c>
    </row>
    <row r="2355">
      <c r="A2355" s="1">
        <v>49835.0</v>
      </c>
      <c r="B2355" s="1">
        <v>5563.0</v>
      </c>
      <c r="C2355" s="1">
        <v>1.611712091E9</v>
      </c>
      <c r="D2355" s="1">
        <v>4.0</v>
      </c>
      <c r="E2355" s="1" t="b">
        <v>0</v>
      </c>
      <c r="F2355" s="1" t="s">
        <v>16243</v>
      </c>
    </row>
    <row r="2356">
      <c r="A2356" s="1">
        <v>49835.0</v>
      </c>
      <c r="B2356" s="1">
        <v>4836.0</v>
      </c>
      <c r="C2356" s="1">
        <v>1.611249631E9</v>
      </c>
      <c r="D2356" s="1">
        <v>4.0</v>
      </c>
      <c r="E2356" s="1" t="b">
        <v>0</v>
      </c>
      <c r="F2356" s="1" t="s">
        <v>16244</v>
      </c>
    </row>
    <row r="2357">
      <c r="A2357" s="1">
        <v>49835.0</v>
      </c>
      <c r="B2357" s="1">
        <v>17962.0</v>
      </c>
      <c r="C2357" s="1">
        <v>1.620726185E9</v>
      </c>
      <c r="D2357" s="1">
        <v>4.0</v>
      </c>
      <c r="E2357" s="1" t="b">
        <v>0</v>
      </c>
      <c r="F2357" s="1" t="s">
        <v>16245</v>
      </c>
    </row>
    <row r="2358">
      <c r="A2358" s="1">
        <v>49835.0</v>
      </c>
      <c r="B2358" s="1">
        <v>5235.0</v>
      </c>
      <c r="C2358" s="1">
        <v>1.611383174E9</v>
      </c>
      <c r="D2358" s="1">
        <v>4.0</v>
      </c>
      <c r="E2358" s="1" t="b">
        <v>0</v>
      </c>
      <c r="F2358" s="1" t="s">
        <v>16246</v>
      </c>
    </row>
    <row r="2359">
      <c r="A2359" s="1">
        <v>49835.0</v>
      </c>
      <c r="B2359" s="1">
        <v>1014.0</v>
      </c>
      <c r="C2359" s="1">
        <v>1.608290895E9</v>
      </c>
      <c r="D2359" s="1">
        <v>4.0</v>
      </c>
      <c r="E2359" s="1" t="b">
        <v>0</v>
      </c>
      <c r="F2359" s="1" t="s">
        <v>16247</v>
      </c>
    </row>
    <row r="2360">
      <c r="A2360" s="1">
        <v>49835.0</v>
      </c>
      <c r="B2360" s="1">
        <v>2494.0</v>
      </c>
      <c r="C2360" s="1">
        <v>1.60845304E9</v>
      </c>
      <c r="D2360" s="1">
        <v>4.0</v>
      </c>
      <c r="E2360" s="1" t="b">
        <v>0</v>
      </c>
      <c r="F2360" s="1" t="s">
        <v>16248</v>
      </c>
    </row>
    <row r="2361">
      <c r="A2361" s="1">
        <v>49835.0</v>
      </c>
      <c r="B2361" s="1">
        <v>19710.0</v>
      </c>
      <c r="C2361" s="1">
        <v>1.623199289E9</v>
      </c>
      <c r="D2361" s="1">
        <v>4.0</v>
      </c>
      <c r="E2361" s="1" t="b">
        <v>0</v>
      </c>
      <c r="F2361" s="1" t="s">
        <v>16249</v>
      </c>
    </row>
    <row r="2362">
      <c r="A2362" s="1">
        <v>49835.0</v>
      </c>
      <c r="B2362" s="1">
        <v>5239.0</v>
      </c>
      <c r="C2362" s="1">
        <v>1.611383177E9</v>
      </c>
      <c r="D2362" s="1">
        <v>4.0</v>
      </c>
      <c r="E2362" s="1" t="b">
        <v>0</v>
      </c>
      <c r="F2362" s="1" t="s">
        <v>16250</v>
      </c>
    </row>
    <row r="2363">
      <c r="A2363" s="1">
        <v>49835.0</v>
      </c>
      <c r="B2363" s="1">
        <v>5126.0</v>
      </c>
      <c r="C2363" s="1">
        <v>1.611320582E9</v>
      </c>
      <c r="D2363" s="1">
        <v>4.0</v>
      </c>
      <c r="E2363" s="1" t="b">
        <v>0</v>
      </c>
      <c r="F2363" s="1" t="s">
        <v>16251</v>
      </c>
    </row>
    <row r="2364">
      <c r="A2364" s="1">
        <v>49835.0</v>
      </c>
      <c r="B2364" s="1">
        <v>5907.0</v>
      </c>
      <c r="C2364" s="1">
        <v>1.611513193E9</v>
      </c>
      <c r="D2364" s="1">
        <v>4.0</v>
      </c>
      <c r="E2364" s="1" t="b">
        <v>0</v>
      </c>
      <c r="F2364" s="1" t="s">
        <v>16252</v>
      </c>
    </row>
    <row r="2365">
      <c r="A2365" s="1">
        <v>49835.0</v>
      </c>
      <c r="B2365" s="1">
        <v>5841.0</v>
      </c>
      <c r="C2365" s="1">
        <v>1.61151319E9</v>
      </c>
      <c r="D2365" s="1">
        <v>4.0</v>
      </c>
      <c r="E2365" s="1" t="b">
        <v>0</v>
      </c>
      <c r="F2365" s="1" t="s">
        <v>16253</v>
      </c>
    </row>
    <row r="2366">
      <c r="A2366" s="1">
        <v>49835.0</v>
      </c>
      <c r="B2366" s="1">
        <v>5343.0</v>
      </c>
      <c r="C2366" s="1">
        <v>1.611385996E9</v>
      </c>
      <c r="D2366" s="1">
        <v>4.0</v>
      </c>
      <c r="E2366" s="1" t="b">
        <v>0</v>
      </c>
      <c r="F2366" s="1" t="s">
        <v>16254</v>
      </c>
    </row>
    <row r="2367">
      <c r="A2367" s="1">
        <v>49835.0</v>
      </c>
      <c r="B2367" s="1">
        <v>19809.0</v>
      </c>
      <c r="C2367" s="1">
        <v>1.623328571E9</v>
      </c>
      <c r="D2367" s="1">
        <v>4.0</v>
      </c>
      <c r="E2367" s="1" t="b">
        <v>0</v>
      </c>
      <c r="F2367" s="1" t="s">
        <v>16255</v>
      </c>
    </row>
    <row r="2368">
      <c r="A2368" s="1">
        <v>49835.0</v>
      </c>
      <c r="B2368" s="1">
        <v>1996.0</v>
      </c>
      <c r="C2368" s="1">
        <v>1.607164771E9</v>
      </c>
      <c r="D2368" s="1">
        <v>4.0</v>
      </c>
      <c r="E2368" s="1" t="b">
        <v>0</v>
      </c>
      <c r="F2368" s="1" t="s">
        <v>16256</v>
      </c>
    </row>
    <row r="2369">
      <c r="A2369" s="1">
        <v>49835.0</v>
      </c>
      <c r="B2369" s="1">
        <v>5480.0</v>
      </c>
      <c r="C2369" s="1">
        <v>1.61141642E9</v>
      </c>
      <c r="D2369" s="1">
        <v>4.0</v>
      </c>
      <c r="E2369" s="1" t="b">
        <v>0</v>
      </c>
      <c r="F2369" s="1" t="s">
        <v>16257</v>
      </c>
    </row>
    <row r="2370">
      <c r="A2370" s="1">
        <v>49835.0</v>
      </c>
      <c r="B2370" s="1">
        <v>11556.0</v>
      </c>
      <c r="C2370" s="1">
        <v>1.612844672E9</v>
      </c>
      <c r="D2370" s="1">
        <v>4.0</v>
      </c>
      <c r="E2370" s="1" t="b">
        <v>0</v>
      </c>
      <c r="F2370" s="1" t="s">
        <v>16258</v>
      </c>
    </row>
    <row r="2371">
      <c r="A2371" s="1">
        <v>49835.0</v>
      </c>
      <c r="B2371" s="1">
        <v>5454.0</v>
      </c>
      <c r="C2371" s="1">
        <v>1.611413813E9</v>
      </c>
      <c r="D2371" s="1">
        <v>4.0</v>
      </c>
      <c r="E2371" s="1" t="b">
        <v>0</v>
      </c>
      <c r="F2371" s="1" t="s">
        <v>16259</v>
      </c>
    </row>
    <row r="2372">
      <c r="A2372" s="1">
        <v>49835.0</v>
      </c>
      <c r="B2372" s="1">
        <v>9537.0</v>
      </c>
      <c r="C2372" s="1">
        <v>1.612172686E9</v>
      </c>
      <c r="D2372" s="1">
        <v>4.0</v>
      </c>
      <c r="E2372" s="1" t="b">
        <v>0</v>
      </c>
      <c r="F2372" s="1" t="s">
        <v>16260</v>
      </c>
    </row>
    <row r="2373">
      <c r="A2373" s="1">
        <v>49835.0</v>
      </c>
      <c r="B2373" s="1">
        <v>5328.0</v>
      </c>
      <c r="C2373" s="1">
        <v>1.611384247E9</v>
      </c>
      <c r="D2373" s="1">
        <v>4.0</v>
      </c>
      <c r="E2373" s="1" t="b">
        <v>0</v>
      </c>
      <c r="F2373" s="1" t="s">
        <v>16261</v>
      </c>
    </row>
    <row r="2374">
      <c r="A2374" s="1">
        <v>49835.0</v>
      </c>
      <c r="B2374" s="1">
        <v>5279.0</v>
      </c>
      <c r="C2374" s="1">
        <v>1.611383199E9</v>
      </c>
      <c r="D2374" s="1">
        <v>4.0</v>
      </c>
      <c r="E2374" s="1" t="b">
        <v>0</v>
      </c>
      <c r="F2374" s="1" t="s">
        <v>16262</v>
      </c>
    </row>
    <row r="2375">
      <c r="A2375" s="1">
        <v>49835.0</v>
      </c>
      <c r="B2375" s="1">
        <v>10702.0</v>
      </c>
      <c r="C2375" s="1">
        <v>1.612545798E9</v>
      </c>
      <c r="D2375" s="1">
        <v>4.0</v>
      </c>
      <c r="E2375" s="1" t="b">
        <v>0</v>
      </c>
      <c r="F2375" s="1" t="s">
        <v>16263</v>
      </c>
    </row>
    <row r="2376">
      <c r="A2376" s="1">
        <v>49835.0</v>
      </c>
      <c r="B2376" s="1">
        <v>7155.0</v>
      </c>
      <c r="C2376" s="1">
        <v>1.615207852E9</v>
      </c>
      <c r="D2376" s="1">
        <v>4.0</v>
      </c>
      <c r="E2376" s="1" t="b">
        <v>0</v>
      </c>
      <c r="F2376" s="1" t="s">
        <v>16264</v>
      </c>
    </row>
    <row r="2377">
      <c r="A2377" s="1">
        <v>49835.0</v>
      </c>
      <c r="B2377" s="1">
        <v>9078.0</v>
      </c>
      <c r="C2377" s="1">
        <v>1.614426621E9</v>
      </c>
      <c r="D2377" s="1">
        <v>4.0</v>
      </c>
      <c r="E2377" s="1" t="b">
        <v>0</v>
      </c>
      <c r="F2377" s="1" t="s">
        <v>16265</v>
      </c>
    </row>
    <row r="2378">
      <c r="A2378" s="1">
        <v>49835.0</v>
      </c>
      <c r="B2378" s="1">
        <v>10285.0</v>
      </c>
      <c r="C2378" s="1">
        <v>1.612413521E9</v>
      </c>
      <c r="D2378" s="1">
        <v>4.0</v>
      </c>
      <c r="E2378" s="1" t="b">
        <v>0</v>
      </c>
      <c r="F2378" s="1" t="s">
        <v>16266</v>
      </c>
    </row>
    <row r="2379">
      <c r="A2379" s="1">
        <v>49835.0</v>
      </c>
      <c r="B2379" s="1">
        <v>11283.0</v>
      </c>
      <c r="C2379" s="1">
        <v>1.612749759E9</v>
      </c>
      <c r="D2379" s="1">
        <v>4.0</v>
      </c>
      <c r="E2379" s="1" t="b">
        <v>0</v>
      </c>
      <c r="F2379" s="1" t="s">
        <v>16267</v>
      </c>
    </row>
    <row r="2380">
      <c r="A2380" s="1">
        <v>49835.0</v>
      </c>
      <c r="B2380" s="1">
        <v>11390.0</v>
      </c>
      <c r="C2380" s="1">
        <v>1.612752843E9</v>
      </c>
      <c r="D2380" s="1">
        <v>4.0</v>
      </c>
      <c r="E2380" s="1" t="b">
        <v>0</v>
      </c>
      <c r="F2380" s="1" t="s">
        <v>16268</v>
      </c>
    </row>
    <row r="2381">
      <c r="A2381" s="1">
        <v>49835.0</v>
      </c>
      <c r="B2381" s="1">
        <v>5227.0</v>
      </c>
      <c r="C2381" s="1">
        <v>1.611341565E9</v>
      </c>
      <c r="D2381" s="1">
        <v>4.0</v>
      </c>
      <c r="E2381" s="1" t="b">
        <v>0</v>
      </c>
      <c r="F2381" s="1" t="s">
        <v>16269</v>
      </c>
    </row>
    <row r="2382">
      <c r="A2382" s="1">
        <v>49835.0</v>
      </c>
      <c r="B2382" s="1">
        <v>13745.0</v>
      </c>
      <c r="C2382" s="1">
        <v>1.61337273E9</v>
      </c>
      <c r="D2382" s="1">
        <v>4.0</v>
      </c>
      <c r="E2382" s="1" t="b">
        <v>0</v>
      </c>
      <c r="F2382" s="1" t="s">
        <v>16270</v>
      </c>
    </row>
    <row r="2383">
      <c r="A2383" s="1">
        <v>49835.0</v>
      </c>
      <c r="B2383" s="1">
        <v>5145.0</v>
      </c>
      <c r="C2383" s="1">
        <v>1.611323389E9</v>
      </c>
      <c r="D2383" s="1">
        <v>4.0</v>
      </c>
      <c r="E2383" s="1" t="b">
        <v>0</v>
      </c>
      <c r="F2383" s="1" t="s">
        <v>16271</v>
      </c>
    </row>
    <row r="2384">
      <c r="A2384" s="1">
        <v>49835.0</v>
      </c>
      <c r="B2384" s="1">
        <v>3685.0</v>
      </c>
      <c r="C2384" s="1">
        <v>1.611856014E9</v>
      </c>
      <c r="D2384" s="1">
        <v>4.0</v>
      </c>
      <c r="E2384" s="1" t="b">
        <v>0</v>
      </c>
      <c r="F2384" s="1" t="s">
        <v>16272</v>
      </c>
    </row>
    <row r="2385">
      <c r="A2385" s="1">
        <v>49835.0</v>
      </c>
      <c r="B2385" s="1">
        <v>6149.0</v>
      </c>
      <c r="C2385" s="1">
        <v>1.611580466E9</v>
      </c>
      <c r="D2385" s="1">
        <v>4.0</v>
      </c>
      <c r="E2385" s="1" t="b">
        <v>0</v>
      </c>
      <c r="F2385" s="1" t="s">
        <v>16273</v>
      </c>
    </row>
    <row r="2386">
      <c r="A2386" s="1">
        <v>49835.0</v>
      </c>
      <c r="B2386" s="1">
        <v>19288.0</v>
      </c>
      <c r="C2386" s="1">
        <v>1.62255766E9</v>
      </c>
      <c r="D2386" s="1">
        <v>4.0</v>
      </c>
      <c r="E2386" s="1" t="b">
        <v>0</v>
      </c>
      <c r="F2386" s="1" t="s">
        <v>16274</v>
      </c>
    </row>
    <row r="2387">
      <c r="A2387" s="1">
        <v>49835.0</v>
      </c>
      <c r="B2387" s="1">
        <v>8822.0</v>
      </c>
      <c r="C2387" s="1">
        <v>1.61207816E9</v>
      </c>
      <c r="D2387" s="1">
        <v>4.0</v>
      </c>
      <c r="E2387" s="1" t="b">
        <v>0</v>
      </c>
      <c r="F2387" s="1" t="s">
        <v>16275</v>
      </c>
    </row>
    <row r="2388">
      <c r="A2388" s="1">
        <v>49835.0</v>
      </c>
      <c r="B2388" s="1">
        <v>19651.0</v>
      </c>
      <c r="C2388" s="1">
        <v>1.623095588E9</v>
      </c>
      <c r="D2388" s="1">
        <v>9.0</v>
      </c>
      <c r="E2388" s="1" t="b">
        <v>0</v>
      </c>
      <c r="F2388" s="1" t="s">
        <v>16276</v>
      </c>
    </row>
    <row r="2389">
      <c r="A2389" s="1">
        <v>49835.0</v>
      </c>
      <c r="B2389" s="1">
        <v>5123.0</v>
      </c>
      <c r="C2389" s="1">
        <v>1.611320589E9</v>
      </c>
      <c r="D2389" s="1">
        <v>4.0</v>
      </c>
      <c r="E2389" s="1" t="b">
        <v>0</v>
      </c>
      <c r="F2389" s="1" t="s">
        <v>16277</v>
      </c>
    </row>
    <row r="2390">
      <c r="A2390" s="1">
        <v>49835.0</v>
      </c>
      <c r="B2390" s="1">
        <v>2338.0</v>
      </c>
      <c r="C2390" s="1">
        <v>1.608026953E9</v>
      </c>
      <c r="D2390" s="1">
        <v>4.0</v>
      </c>
      <c r="E2390" s="1" t="b">
        <v>0</v>
      </c>
      <c r="F2390" s="1" t="s">
        <v>16278</v>
      </c>
    </row>
    <row r="2391">
      <c r="A2391" s="1">
        <v>49835.0</v>
      </c>
      <c r="B2391" s="1">
        <v>6665.0</v>
      </c>
      <c r="C2391" s="1">
        <v>1.611719157E9</v>
      </c>
      <c r="D2391" s="1">
        <v>4.0</v>
      </c>
      <c r="E2391" s="1" t="b">
        <v>0</v>
      </c>
      <c r="F2391" s="1" t="s">
        <v>16279</v>
      </c>
    </row>
    <row r="2392">
      <c r="A2392" s="1">
        <v>49835.0</v>
      </c>
      <c r="B2392" s="1">
        <v>16562.0</v>
      </c>
      <c r="C2392" s="1">
        <v>1.617170381E9</v>
      </c>
      <c r="D2392" s="1">
        <v>4.0</v>
      </c>
      <c r="E2392" s="1" t="b">
        <v>0</v>
      </c>
      <c r="F2392" s="1" t="s">
        <v>16280</v>
      </c>
    </row>
    <row r="2393">
      <c r="A2393" s="1">
        <v>49835.0</v>
      </c>
      <c r="B2393" s="1">
        <v>9707.0</v>
      </c>
      <c r="C2393" s="1">
        <v>1.612207875E9</v>
      </c>
      <c r="D2393" s="1">
        <v>4.0</v>
      </c>
      <c r="E2393" s="1" t="b">
        <v>0</v>
      </c>
      <c r="F2393" s="1" t="s">
        <v>16281</v>
      </c>
    </row>
    <row r="2394">
      <c r="A2394" s="1">
        <v>49835.0</v>
      </c>
      <c r="B2394" s="1">
        <v>9717.0</v>
      </c>
      <c r="C2394" s="1">
        <v>1.612207902E9</v>
      </c>
      <c r="D2394" s="1">
        <v>4.0</v>
      </c>
      <c r="E2394" s="1" t="b">
        <v>0</v>
      </c>
      <c r="F2394" s="1" t="s">
        <v>16282</v>
      </c>
    </row>
    <row r="2395">
      <c r="A2395" s="1">
        <v>49835.0</v>
      </c>
      <c r="B2395" s="1">
        <v>5534.0</v>
      </c>
      <c r="C2395" s="1">
        <v>1.611432702E9</v>
      </c>
      <c r="D2395" s="1">
        <v>4.0</v>
      </c>
      <c r="E2395" s="1" t="b">
        <v>0</v>
      </c>
      <c r="F2395" s="1" t="s">
        <v>16283</v>
      </c>
    </row>
    <row r="2396">
      <c r="A2396" s="1">
        <v>49835.0</v>
      </c>
      <c r="B2396" s="1">
        <v>5065.0</v>
      </c>
      <c r="C2396" s="1">
        <v>1.611308603E9</v>
      </c>
      <c r="D2396" s="1">
        <v>4.0</v>
      </c>
      <c r="E2396" s="1" t="b">
        <v>0</v>
      </c>
      <c r="F2396" s="1" t="s">
        <v>16121</v>
      </c>
    </row>
    <row r="2397">
      <c r="A2397" s="1">
        <v>49835.0</v>
      </c>
      <c r="B2397" s="1">
        <v>20204.0</v>
      </c>
      <c r="C2397" s="1">
        <v>1.623924079E9</v>
      </c>
      <c r="D2397" s="1">
        <v>4.0</v>
      </c>
      <c r="E2397" s="1" t="b">
        <v>0</v>
      </c>
      <c r="F2397" s="1" t="s">
        <v>16284</v>
      </c>
    </row>
    <row r="2398">
      <c r="A2398" s="1">
        <v>49835.0</v>
      </c>
      <c r="B2398" s="1">
        <v>7157.0</v>
      </c>
      <c r="C2398" s="1">
        <v>1.611808104E9</v>
      </c>
      <c r="D2398" s="1">
        <v>4.0</v>
      </c>
      <c r="E2398" s="1" t="b">
        <v>0</v>
      </c>
      <c r="F2398" s="1" t="s">
        <v>16285</v>
      </c>
    </row>
    <row r="2399">
      <c r="A2399" s="1">
        <v>49835.0</v>
      </c>
      <c r="B2399" s="1">
        <v>5071.0</v>
      </c>
      <c r="C2399" s="1">
        <v>1.611308602E9</v>
      </c>
      <c r="D2399" s="1">
        <v>4.0</v>
      </c>
      <c r="E2399" s="1" t="b">
        <v>0</v>
      </c>
      <c r="F2399" s="1" t="s">
        <v>16014</v>
      </c>
    </row>
    <row r="2400">
      <c r="A2400" s="1">
        <v>49835.0</v>
      </c>
      <c r="B2400" s="1">
        <v>5119.0</v>
      </c>
      <c r="C2400" s="1">
        <v>1.611320587E9</v>
      </c>
      <c r="D2400" s="1">
        <v>4.0</v>
      </c>
      <c r="E2400" s="1" t="b">
        <v>0</v>
      </c>
      <c r="F2400" s="1" t="s">
        <v>16286</v>
      </c>
    </row>
    <row r="2401">
      <c r="A2401" s="1">
        <v>49835.0</v>
      </c>
      <c r="B2401" s="1">
        <v>5099.0</v>
      </c>
      <c r="C2401" s="1">
        <v>1.611320587E9</v>
      </c>
      <c r="D2401" s="1">
        <v>4.0</v>
      </c>
      <c r="E2401" s="1" t="b">
        <v>0</v>
      </c>
      <c r="F2401" s="1" t="s">
        <v>16244</v>
      </c>
    </row>
    <row r="2402">
      <c r="A2402" s="1">
        <v>49835.0</v>
      </c>
      <c r="B2402" s="1">
        <v>5075.0</v>
      </c>
      <c r="C2402" s="1">
        <v>1.6113086E9</v>
      </c>
      <c r="D2402" s="1">
        <v>4.0</v>
      </c>
      <c r="E2402" s="1" t="b">
        <v>0</v>
      </c>
      <c r="F2402" s="1" t="s">
        <v>16121</v>
      </c>
    </row>
    <row r="2403">
      <c r="A2403" s="1">
        <v>49835.0</v>
      </c>
      <c r="B2403" s="1">
        <v>6664.0</v>
      </c>
      <c r="C2403" s="1">
        <v>1.611719159E9</v>
      </c>
      <c r="D2403" s="1">
        <v>4.0</v>
      </c>
      <c r="E2403" s="1" t="b">
        <v>0</v>
      </c>
      <c r="F2403" s="1" t="s">
        <v>16287</v>
      </c>
    </row>
    <row r="2404">
      <c r="A2404" s="1">
        <v>49835.0</v>
      </c>
      <c r="B2404" s="1">
        <v>5807.0</v>
      </c>
      <c r="C2404" s="1">
        <v>1.611491407E9</v>
      </c>
      <c r="D2404" s="1">
        <v>4.0</v>
      </c>
      <c r="E2404" s="1" t="b">
        <v>0</v>
      </c>
      <c r="F2404" s="1" t="s">
        <v>16288</v>
      </c>
    </row>
    <row r="2405">
      <c r="A2405" s="1">
        <v>49835.0</v>
      </c>
      <c r="B2405" s="1">
        <v>13587.0</v>
      </c>
      <c r="C2405" s="1">
        <v>1.61331275E9</v>
      </c>
      <c r="D2405" s="1">
        <v>4.0</v>
      </c>
      <c r="E2405" s="1" t="b">
        <v>0</v>
      </c>
      <c r="F2405" s="1" t="s">
        <v>16289</v>
      </c>
    </row>
    <row r="2406">
      <c r="A2406" s="1">
        <v>49835.0</v>
      </c>
      <c r="B2406" s="1">
        <v>10720.0</v>
      </c>
      <c r="C2406" s="1">
        <v>1.61257922E9</v>
      </c>
      <c r="D2406" s="1">
        <v>4.0</v>
      </c>
      <c r="E2406" s="1" t="b">
        <v>0</v>
      </c>
      <c r="F2406" s="1" t="s">
        <v>15968</v>
      </c>
    </row>
    <row r="2407">
      <c r="A2407" s="1">
        <v>49835.0</v>
      </c>
      <c r="B2407" s="1">
        <v>5250.0</v>
      </c>
      <c r="C2407" s="1">
        <v>1.611383183E9</v>
      </c>
      <c r="D2407" s="1">
        <v>4.0</v>
      </c>
      <c r="E2407" s="1" t="b">
        <v>0</v>
      </c>
      <c r="F2407" s="1" t="s">
        <v>16290</v>
      </c>
    </row>
    <row r="2408">
      <c r="A2408" s="1">
        <v>49835.0</v>
      </c>
      <c r="B2408" s="1">
        <v>19834.0</v>
      </c>
      <c r="C2408" s="1">
        <v>1.623373075E9</v>
      </c>
      <c r="D2408" s="1">
        <v>4.0</v>
      </c>
      <c r="E2408" s="1" t="b">
        <v>0</v>
      </c>
      <c r="F2408" s="1" t="s">
        <v>16291</v>
      </c>
    </row>
    <row r="2409">
      <c r="A2409" s="1">
        <v>49835.0</v>
      </c>
      <c r="B2409" s="1">
        <v>5125.0</v>
      </c>
      <c r="C2409" s="1">
        <v>1.611320579E9</v>
      </c>
      <c r="D2409" s="1">
        <v>4.0</v>
      </c>
      <c r="E2409" s="1" t="b">
        <v>0</v>
      </c>
      <c r="F2409" s="1" t="s">
        <v>16292</v>
      </c>
    </row>
    <row r="2410">
      <c r="A2410" s="1">
        <v>49835.0</v>
      </c>
      <c r="B2410" s="1">
        <v>6660.0</v>
      </c>
      <c r="C2410" s="1">
        <v>1.611717296E9</v>
      </c>
      <c r="D2410" s="1">
        <v>4.0</v>
      </c>
      <c r="E2410" s="1" t="b">
        <v>0</v>
      </c>
      <c r="F2410" s="1" t="s">
        <v>16293</v>
      </c>
    </row>
    <row r="2411">
      <c r="A2411" s="1">
        <v>49835.0</v>
      </c>
      <c r="B2411" s="1">
        <v>7321.0</v>
      </c>
      <c r="C2411" s="1">
        <v>1.61182561E9</v>
      </c>
      <c r="D2411" s="1">
        <v>4.0</v>
      </c>
      <c r="E2411" s="1" t="b">
        <v>0</v>
      </c>
      <c r="F2411" s="1" t="s">
        <v>16294</v>
      </c>
    </row>
    <row r="2412">
      <c r="A2412" s="1">
        <v>49835.0</v>
      </c>
      <c r="B2412" s="1">
        <v>9357.0</v>
      </c>
      <c r="C2412" s="1">
        <v>1.612142151E9</v>
      </c>
      <c r="D2412" s="1">
        <v>4.0</v>
      </c>
      <c r="E2412" s="1" t="b">
        <v>0</v>
      </c>
      <c r="F2412" s="1" t="s">
        <v>16295</v>
      </c>
    </row>
    <row r="2413">
      <c r="A2413" s="1">
        <v>49835.0</v>
      </c>
      <c r="B2413" s="1">
        <v>19643.0</v>
      </c>
      <c r="C2413" s="1">
        <v>1.623085575E9</v>
      </c>
      <c r="D2413" s="1">
        <v>4.0</v>
      </c>
      <c r="E2413" s="1" t="b">
        <v>0</v>
      </c>
      <c r="F2413" s="1" t="s">
        <v>16296</v>
      </c>
    </row>
    <row r="2414">
      <c r="A2414" s="1">
        <v>49835.0</v>
      </c>
      <c r="B2414" s="1">
        <v>17324.0</v>
      </c>
      <c r="C2414" s="1">
        <v>1.619451861E9</v>
      </c>
      <c r="D2414" s="1">
        <v>1.0</v>
      </c>
      <c r="E2414" s="1" t="b">
        <v>0</v>
      </c>
      <c r="F2414" s="1" t="s">
        <v>16297</v>
      </c>
    </row>
    <row r="2415">
      <c r="A2415" s="1">
        <v>49835.0</v>
      </c>
      <c r="B2415" s="1">
        <v>12180.0</v>
      </c>
      <c r="C2415" s="1">
        <v>1.612942439E9</v>
      </c>
      <c r="D2415" s="1">
        <v>4.0</v>
      </c>
      <c r="E2415" s="1" t="b">
        <v>0</v>
      </c>
      <c r="F2415" s="1" t="s">
        <v>16298</v>
      </c>
    </row>
    <row r="2416">
      <c r="A2416" s="1">
        <v>49835.0</v>
      </c>
      <c r="B2416" s="1">
        <v>1993.0</v>
      </c>
      <c r="C2416" s="1">
        <v>1.607162208E9</v>
      </c>
      <c r="D2416" s="1">
        <v>4.0</v>
      </c>
      <c r="E2416" s="1" t="b">
        <v>0</v>
      </c>
      <c r="F2416" s="1" t="s">
        <v>16299</v>
      </c>
    </row>
    <row r="2417">
      <c r="A2417" s="1">
        <v>49835.0</v>
      </c>
      <c r="B2417" s="1">
        <v>2479.0</v>
      </c>
      <c r="C2417" s="1">
        <v>1.608380967E9</v>
      </c>
      <c r="D2417" s="1">
        <v>4.0</v>
      </c>
      <c r="E2417" s="1" t="b">
        <v>0</v>
      </c>
      <c r="F2417" s="1" t="s">
        <v>16300</v>
      </c>
    </row>
    <row r="2418">
      <c r="A2418" s="1">
        <v>49835.0</v>
      </c>
      <c r="B2418" s="1">
        <v>6890.0</v>
      </c>
      <c r="C2418" s="1">
        <v>1.61175255E9</v>
      </c>
      <c r="D2418" s="1">
        <v>4.0</v>
      </c>
      <c r="E2418" s="1" t="b">
        <v>0</v>
      </c>
      <c r="F2418" s="1" t="s">
        <v>16301</v>
      </c>
    </row>
    <row r="2419">
      <c r="A2419" s="1">
        <v>49835.0</v>
      </c>
      <c r="B2419" s="1">
        <v>5179.0</v>
      </c>
      <c r="C2419" s="1">
        <v>1.61132975E9</v>
      </c>
      <c r="D2419" s="1">
        <v>4.0</v>
      </c>
      <c r="E2419" s="1" t="b">
        <v>0</v>
      </c>
      <c r="F2419" s="1" t="s">
        <v>16302</v>
      </c>
    </row>
    <row r="2420">
      <c r="A2420" s="1">
        <v>49835.0</v>
      </c>
      <c r="B2420" s="1">
        <v>16488.0</v>
      </c>
      <c r="C2420" s="1">
        <v>1.616842919E9</v>
      </c>
      <c r="D2420" s="1">
        <v>4.0</v>
      </c>
      <c r="E2420" s="1" t="b">
        <v>0</v>
      </c>
      <c r="F2420" s="1" t="s">
        <v>16303</v>
      </c>
    </row>
    <row r="2421">
      <c r="A2421" s="1">
        <v>49835.0</v>
      </c>
      <c r="B2421" s="1">
        <v>13739.0</v>
      </c>
      <c r="C2421" s="1">
        <v>1.613372729E9</v>
      </c>
      <c r="D2421" s="1">
        <v>4.0</v>
      </c>
      <c r="E2421" s="1" t="b">
        <v>0</v>
      </c>
      <c r="F2421" s="1" t="s">
        <v>16304</v>
      </c>
    </row>
    <row r="2422">
      <c r="A2422" s="1">
        <v>49835.0</v>
      </c>
      <c r="B2422" s="1">
        <v>13641.0</v>
      </c>
      <c r="C2422" s="1">
        <v>1.61334774E9</v>
      </c>
      <c r="D2422" s="1">
        <v>4.0</v>
      </c>
      <c r="E2422" s="1" t="b">
        <v>0</v>
      </c>
      <c r="F2422" s="1" t="s">
        <v>16305</v>
      </c>
    </row>
    <row r="2423">
      <c r="A2423" s="1">
        <v>49835.0</v>
      </c>
      <c r="B2423" s="1">
        <v>9347.0</v>
      </c>
      <c r="C2423" s="1">
        <v>1.612141905E9</v>
      </c>
      <c r="D2423" s="1">
        <v>4.0</v>
      </c>
      <c r="E2423" s="1" t="b">
        <v>0</v>
      </c>
      <c r="F2423" s="1" t="s">
        <v>16306</v>
      </c>
    </row>
    <row r="2424">
      <c r="A2424" s="1">
        <v>49835.0</v>
      </c>
      <c r="B2424" s="1">
        <v>5426.0</v>
      </c>
      <c r="C2424" s="1">
        <v>1.611413815E9</v>
      </c>
      <c r="D2424" s="1">
        <v>4.0</v>
      </c>
      <c r="E2424" s="1" t="b">
        <v>0</v>
      </c>
      <c r="F2424" s="1" t="s">
        <v>16307</v>
      </c>
    </row>
    <row r="2425">
      <c r="A2425" s="1">
        <v>49835.0</v>
      </c>
      <c r="B2425" s="1">
        <v>19092.0</v>
      </c>
      <c r="C2425" s="1">
        <v>1.622954809E9</v>
      </c>
      <c r="D2425" s="1">
        <v>4.0</v>
      </c>
      <c r="E2425" s="1" t="b">
        <v>0</v>
      </c>
      <c r="F2425" s="1" t="s">
        <v>16308</v>
      </c>
    </row>
    <row r="2426">
      <c r="A2426" s="1">
        <v>49835.0</v>
      </c>
      <c r="B2426" s="1">
        <v>4874.0</v>
      </c>
      <c r="C2426" s="1">
        <v>1.61127997E9</v>
      </c>
      <c r="D2426" s="1">
        <v>4.0</v>
      </c>
      <c r="E2426" s="1" t="b">
        <v>0</v>
      </c>
      <c r="F2426" s="1" t="s">
        <v>16309</v>
      </c>
    </row>
    <row r="2427">
      <c r="A2427" s="1">
        <v>49835.0</v>
      </c>
      <c r="B2427" s="1">
        <v>18772.0</v>
      </c>
      <c r="C2427" s="1">
        <v>1.621947326E9</v>
      </c>
      <c r="D2427" s="1">
        <v>4.0</v>
      </c>
      <c r="E2427" s="1" t="b">
        <v>0</v>
      </c>
      <c r="F2427" s="1" t="s">
        <v>16310</v>
      </c>
    </row>
    <row r="2428">
      <c r="A2428" s="1">
        <v>49835.0</v>
      </c>
      <c r="B2428" s="1">
        <v>6051.0</v>
      </c>
      <c r="C2428" s="1">
        <v>1.611555682E9</v>
      </c>
      <c r="D2428" s="1">
        <v>4.0</v>
      </c>
      <c r="E2428" s="1" t="b">
        <v>0</v>
      </c>
      <c r="F2428" s="1" t="s">
        <v>16311</v>
      </c>
    </row>
    <row r="2429">
      <c r="A2429" s="1">
        <v>49835.0</v>
      </c>
      <c r="B2429" s="1">
        <v>11897.0</v>
      </c>
      <c r="C2429" s="1">
        <v>1.612873158E9</v>
      </c>
      <c r="D2429" s="1">
        <v>4.0</v>
      </c>
      <c r="E2429" s="1" t="b">
        <v>0</v>
      </c>
      <c r="F2429" s="1" t="s">
        <v>16312</v>
      </c>
    </row>
    <row r="2430">
      <c r="A2430" s="1">
        <v>49835.0</v>
      </c>
      <c r="B2430" s="1">
        <v>18918.0</v>
      </c>
      <c r="C2430" s="1">
        <v>1.622136946E9</v>
      </c>
      <c r="D2430" s="1">
        <v>4.0</v>
      </c>
      <c r="E2430" s="1" t="b">
        <v>0</v>
      </c>
      <c r="F2430" s="1" t="s">
        <v>16313</v>
      </c>
    </row>
    <row r="2431">
      <c r="A2431" s="1">
        <v>49835.0</v>
      </c>
      <c r="B2431" s="1">
        <v>20099.0</v>
      </c>
      <c r="C2431" s="1">
        <v>1.623767644E9</v>
      </c>
      <c r="D2431" s="1">
        <v>4.0</v>
      </c>
      <c r="E2431" s="1" t="b">
        <v>0</v>
      </c>
      <c r="F2431" s="1" t="s">
        <v>16314</v>
      </c>
    </row>
    <row r="2432">
      <c r="A2432" s="1">
        <v>49835.0</v>
      </c>
      <c r="B2432" s="1">
        <v>13454.0</v>
      </c>
      <c r="C2432" s="1">
        <v>1.613275701E9</v>
      </c>
      <c r="D2432" s="1">
        <v>4.0</v>
      </c>
      <c r="E2432" s="1" t="b">
        <v>0</v>
      </c>
      <c r="F2432" s="1" t="s">
        <v>16315</v>
      </c>
    </row>
    <row r="2433">
      <c r="A2433" s="1">
        <v>49835.0</v>
      </c>
      <c r="B2433" s="1">
        <v>12674.0</v>
      </c>
      <c r="C2433" s="1">
        <v>1.613064385E9</v>
      </c>
      <c r="D2433" s="1">
        <v>4.0</v>
      </c>
      <c r="E2433" s="1" t="b">
        <v>0</v>
      </c>
      <c r="F2433" s="1" t="s">
        <v>16316</v>
      </c>
    </row>
    <row r="2434">
      <c r="A2434" s="1">
        <v>49835.0</v>
      </c>
      <c r="B2434" s="1">
        <v>5978.0</v>
      </c>
      <c r="C2434" s="1">
        <v>1.611540841E9</v>
      </c>
      <c r="D2434" s="1">
        <v>4.0</v>
      </c>
      <c r="E2434" s="1" t="b">
        <v>0</v>
      </c>
      <c r="F2434" s="1" t="s">
        <v>16317</v>
      </c>
    </row>
    <row r="2435">
      <c r="A2435" s="1">
        <v>49835.0</v>
      </c>
      <c r="B2435" s="1">
        <v>5963.0</v>
      </c>
      <c r="C2435" s="1">
        <v>1.611515283E9</v>
      </c>
      <c r="D2435" s="1">
        <v>4.0</v>
      </c>
      <c r="E2435" s="1" t="b">
        <v>0</v>
      </c>
      <c r="F2435" s="1" t="s">
        <v>16318</v>
      </c>
    </row>
    <row r="2436">
      <c r="A2436" s="1">
        <v>49835.0</v>
      </c>
      <c r="B2436" s="1">
        <v>4783.0</v>
      </c>
      <c r="C2436" s="1">
        <v>1.611228717E9</v>
      </c>
      <c r="D2436" s="1">
        <v>4.0</v>
      </c>
      <c r="E2436" s="1" t="b">
        <v>0</v>
      </c>
      <c r="F2436" s="1" t="s">
        <v>16319</v>
      </c>
    </row>
    <row r="2437">
      <c r="A2437" s="1">
        <v>49835.0</v>
      </c>
      <c r="B2437" s="1">
        <v>20039.0</v>
      </c>
      <c r="C2437" s="1">
        <v>1.623673247E9</v>
      </c>
      <c r="D2437" s="1">
        <v>4.0</v>
      </c>
      <c r="E2437" s="1" t="b">
        <v>0</v>
      </c>
      <c r="F2437" s="1" t="s">
        <v>16320</v>
      </c>
    </row>
    <row r="2438">
      <c r="A2438" s="1">
        <v>49835.0</v>
      </c>
      <c r="B2438" s="1">
        <v>20220.0</v>
      </c>
      <c r="C2438" s="1">
        <v>1.623940714E9</v>
      </c>
      <c r="D2438" s="1">
        <v>4.0</v>
      </c>
      <c r="E2438" s="1" t="b">
        <v>0</v>
      </c>
      <c r="F2438" s="1" t="s">
        <v>16321</v>
      </c>
    </row>
    <row r="2439">
      <c r="A2439" s="1">
        <v>49835.0</v>
      </c>
      <c r="B2439" s="1">
        <v>16743.0</v>
      </c>
      <c r="C2439" s="1">
        <v>1.621266269E9</v>
      </c>
      <c r="D2439" s="1">
        <v>4.0</v>
      </c>
      <c r="E2439" s="1" t="b">
        <v>0</v>
      </c>
      <c r="F2439" s="1" t="s">
        <v>13986</v>
      </c>
    </row>
    <row r="2440">
      <c r="A2440" s="1">
        <v>49835.0</v>
      </c>
      <c r="B2440" s="1">
        <v>4367.0</v>
      </c>
      <c r="C2440" s="1">
        <v>1.611087009E9</v>
      </c>
      <c r="D2440" s="1">
        <v>4.0</v>
      </c>
      <c r="E2440" s="1" t="b">
        <v>0</v>
      </c>
      <c r="F2440" s="1" t="s">
        <v>16322</v>
      </c>
    </row>
    <row r="2441">
      <c r="A2441" s="1">
        <v>49835.0</v>
      </c>
      <c r="B2441" s="1">
        <v>13447.0</v>
      </c>
      <c r="C2441" s="1">
        <v>1.613273601E9</v>
      </c>
      <c r="D2441" s="1">
        <v>4.0</v>
      </c>
      <c r="E2441" s="1" t="b">
        <v>0</v>
      </c>
      <c r="F2441" s="1" t="s">
        <v>16323</v>
      </c>
    </row>
    <row r="2442">
      <c r="A2442" s="1">
        <v>49835.0</v>
      </c>
      <c r="B2442" s="1">
        <v>16618.0</v>
      </c>
      <c r="C2442" s="1">
        <v>1.617561376E9</v>
      </c>
      <c r="D2442" s="1">
        <v>4.0</v>
      </c>
      <c r="E2442" s="1" t="b">
        <v>0</v>
      </c>
      <c r="F2442" s="1" t="s">
        <v>16324</v>
      </c>
    </row>
    <row r="2443">
      <c r="A2443" s="1">
        <v>49835.0</v>
      </c>
      <c r="B2443" s="1">
        <v>5681.0</v>
      </c>
      <c r="C2443" s="1">
        <v>1.611471119E9</v>
      </c>
      <c r="D2443" s="1">
        <v>4.0</v>
      </c>
      <c r="E2443" s="1" t="b">
        <v>0</v>
      </c>
      <c r="F2443" s="1" t="s">
        <v>16325</v>
      </c>
    </row>
    <row r="2444">
      <c r="A2444" s="1">
        <v>49835.0</v>
      </c>
      <c r="B2444" s="1">
        <v>14113.0</v>
      </c>
      <c r="C2444" s="1">
        <v>1.613622543E9</v>
      </c>
      <c r="D2444" s="1">
        <v>4.0</v>
      </c>
      <c r="E2444" s="1" t="b">
        <v>0</v>
      </c>
      <c r="F2444" s="1" t="s">
        <v>16326</v>
      </c>
    </row>
    <row r="2445">
      <c r="A2445" s="1">
        <v>49835.0</v>
      </c>
      <c r="B2445" s="1">
        <v>16432.0</v>
      </c>
      <c r="C2445" s="1">
        <v>1.616572151E9</v>
      </c>
      <c r="D2445" s="1">
        <v>4.0</v>
      </c>
      <c r="E2445" s="1" t="b">
        <v>0</v>
      </c>
      <c r="F2445" s="1" t="s">
        <v>16327</v>
      </c>
    </row>
    <row r="2446">
      <c r="A2446" s="1">
        <v>49835.0</v>
      </c>
      <c r="B2446" s="1">
        <v>6851.0</v>
      </c>
      <c r="C2446" s="1">
        <v>1.611745439E9</v>
      </c>
      <c r="D2446" s="1">
        <v>4.0</v>
      </c>
      <c r="E2446" s="1" t="b">
        <v>0</v>
      </c>
      <c r="F2446" s="1" t="s">
        <v>16328</v>
      </c>
    </row>
    <row r="2447">
      <c r="A2447" s="1">
        <v>49835.0</v>
      </c>
      <c r="B2447" s="1">
        <v>5631.0</v>
      </c>
      <c r="C2447" s="1">
        <v>1.611469442E9</v>
      </c>
      <c r="D2447" s="1">
        <v>4.0</v>
      </c>
      <c r="E2447" s="1" t="b">
        <v>0</v>
      </c>
      <c r="F2447" s="1" t="s">
        <v>16329</v>
      </c>
    </row>
    <row r="2448">
      <c r="A2448" s="1">
        <v>49835.0</v>
      </c>
      <c r="B2448" s="1">
        <v>13667.0</v>
      </c>
      <c r="C2448" s="1">
        <v>1.613360203E9</v>
      </c>
      <c r="D2448" s="1">
        <v>4.0</v>
      </c>
      <c r="E2448" s="1" t="b">
        <v>0</v>
      </c>
      <c r="F2448" s="1" t="s">
        <v>16330</v>
      </c>
    </row>
    <row r="2449">
      <c r="A2449" s="1">
        <v>49835.0</v>
      </c>
      <c r="B2449" s="1">
        <v>3492.0</v>
      </c>
      <c r="C2449" s="1">
        <v>1.610555077E9</v>
      </c>
      <c r="D2449" s="1">
        <v>4.0</v>
      </c>
      <c r="E2449" s="1" t="b">
        <v>0</v>
      </c>
      <c r="F2449" s="1" t="s">
        <v>16331</v>
      </c>
    </row>
    <row r="2450">
      <c r="A2450" s="1">
        <v>49835.0</v>
      </c>
      <c r="B2450" s="1">
        <v>3493.0</v>
      </c>
      <c r="C2450" s="1">
        <v>1.610555075E9</v>
      </c>
      <c r="D2450" s="1">
        <v>4.0</v>
      </c>
      <c r="E2450" s="1" t="b">
        <v>0</v>
      </c>
      <c r="F2450" s="1" t="s">
        <v>16332</v>
      </c>
    </row>
    <row r="2451">
      <c r="A2451" s="1">
        <v>49835.0</v>
      </c>
      <c r="B2451" s="1">
        <v>5233.0</v>
      </c>
      <c r="C2451" s="1">
        <v>1.611342584E9</v>
      </c>
      <c r="D2451" s="1">
        <v>4.0</v>
      </c>
      <c r="E2451" s="1" t="b">
        <v>0</v>
      </c>
      <c r="F2451" s="1" t="s">
        <v>16333</v>
      </c>
    </row>
    <row r="2452">
      <c r="A2452" s="1">
        <v>49835.0</v>
      </c>
      <c r="B2452" s="1">
        <v>4746.0</v>
      </c>
      <c r="C2452" s="1">
        <v>1.611221192E9</v>
      </c>
      <c r="D2452" s="1">
        <v>4.0</v>
      </c>
      <c r="E2452" s="1" t="b">
        <v>0</v>
      </c>
      <c r="F2452" s="1" t="s">
        <v>16334</v>
      </c>
    </row>
    <row r="2453">
      <c r="A2453" s="1">
        <v>49835.0</v>
      </c>
      <c r="B2453" s="1">
        <v>6636.0</v>
      </c>
      <c r="C2453" s="1">
        <v>1.613360202E9</v>
      </c>
      <c r="D2453" s="1">
        <v>4.0</v>
      </c>
      <c r="E2453" s="1" t="b">
        <v>0</v>
      </c>
      <c r="F2453" s="1" t="s">
        <v>16335</v>
      </c>
    </row>
    <row r="2454">
      <c r="A2454" s="1">
        <v>49835.0</v>
      </c>
      <c r="B2454" s="1">
        <v>7453.0</v>
      </c>
      <c r="C2454" s="1">
        <v>1.611840807E9</v>
      </c>
      <c r="D2454" s="1">
        <v>4.0</v>
      </c>
      <c r="E2454" s="1" t="b">
        <v>0</v>
      </c>
      <c r="F2454" s="1" t="s">
        <v>16336</v>
      </c>
    </row>
    <row r="2455">
      <c r="A2455" s="1">
        <v>49835.0</v>
      </c>
      <c r="B2455" s="1">
        <v>4982.0</v>
      </c>
      <c r="C2455" s="1">
        <v>1.611299033E9</v>
      </c>
      <c r="D2455" s="1">
        <v>4.0</v>
      </c>
      <c r="E2455" s="1" t="b">
        <v>0</v>
      </c>
      <c r="F2455" s="1" t="s">
        <v>16337</v>
      </c>
    </row>
    <row r="2456">
      <c r="A2456" s="1">
        <v>49835.0</v>
      </c>
      <c r="B2456" s="1">
        <v>4750.0</v>
      </c>
      <c r="C2456" s="1">
        <v>1.611221188E9</v>
      </c>
      <c r="D2456" s="1">
        <v>4.0</v>
      </c>
      <c r="E2456" s="1" t="b">
        <v>0</v>
      </c>
      <c r="F2456" s="1" t="s">
        <v>16338</v>
      </c>
    </row>
    <row r="2457">
      <c r="A2457" s="1">
        <v>49835.0</v>
      </c>
      <c r="B2457" s="1">
        <v>5423.0</v>
      </c>
      <c r="C2457" s="1">
        <v>1.611402763E9</v>
      </c>
      <c r="D2457" s="1">
        <v>4.0</v>
      </c>
      <c r="E2457" s="1" t="b">
        <v>0</v>
      </c>
      <c r="F2457" s="1" t="s">
        <v>16339</v>
      </c>
    </row>
    <row r="2458">
      <c r="A2458" s="1">
        <v>49835.0</v>
      </c>
      <c r="B2458" s="1">
        <v>14082.0</v>
      </c>
      <c r="C2458" s="1">
        <v>1.613498419E9</v>
      </c>
      <c r="D2458" s="1">
        <v>4.0</v>
      </c>
      <c r="E2458" s="1" t="b">
        <v>0</v>
      </c>
      <c r="F2458" s="1" t="s">
        <v>16340</v>
      </c>
    </row>
    <row r="2459">
      <c r="A2459" s="1">
        <v>49835.0</v>
      </c>
      <c r="B2459" s="1">
        <v>4812.0</v>
      </c>
      <c r="C2459" s="1">
        <v>1.611236044E9</v>
      </c>
      <c r="D2459" s="1">
        <v>4.0</v>
      </c>
      <c r="E2459" s="1" t="b">
        <v>0</v>
      </c>
      <c r="F2459" s="1" t="s">
        <v>16341</v>
      </c>
    </row>
    <row r="2460">
      <c r="A2460" s="1">
        <v>49835.0</v>
      </c>
      <c r="B2460" s="1">
        <v>13654.0</v>
      </c>
      <c r="C2460" s="1">
        <v>1.6133602E9</v>
      </c>
      <c r="D2460" s="1">
        <v>4.0</v>
      </c>
      <c r="E2460" s="1" t="b">
        <v>0</v>
      </c>
      <c r="F2460" s="1" t="s">
        <v>16342</v>
      </c>
    </row>
    <row r="2461">
      <c r="A2461" s="1">
        <v>49835.0</v>
      </c>
      <c r="B2461" s="1">
        <v>6441.0</v>
      </c>
      <c r="C2461" s="1">
        <v>1.611644668E9</v>
      </c>
      <c r="D2461" s="1">
        <v>4.0</v>
      </c>
      <c r="E2461" s="1" t="b">
        <v>0</v>
      </c>
      <c r="F2461" s="1" t="s">
        <v>16343</v>
      </c>
    </row>
    <row r="2462">
      <c r="A2462" s="1">
        <v>49835.0</v>
      </c>
      <c r="B2462" s="1">
        <v>4807.0</v>
      </c>
      <c r="C2462" s="1">
        <v>1.611233071E9</v>
      </c>
      <c r="D2462" s="1">
        <v>4.0</v>
      </c>
      <c r="E2462" s="1" t="b">
        <v>0</v>
      </c>
      <c r="F2462" s="1" t="s">
        <v>16344</v>
      </c>
    </row>
    <row r="2463">
      <c r="A2463" s="1">
        <v>49835.0</v>
      </c>
      <c r="B2463" s="1">
        <v>6356.0</v>
      </c>
      <c r="C2463" s="1">
        <v>1.611644673E9</v>
      </c>
      <c r="D2463" s="1">
        <v>4.0</v>
      </c>
      <c r="E2463" s="1" t="b">
        <v>0</v>
      </c>
      <c r="F2463" s="1" t="s">
        <v>16345</v>
      </c>
    </row>
    <row r="2464">
      <c r="A2464" s="1">
        <v>49835.0</v>
      </c>
      <c r="B2464" s="1">
        <v>4790.0</v>
      </c>
      <c r="C2464" s="1">
        <v>1.611229782E9</v>
      </c>
      <c r="D2464" s="1">
        <v>4.0</v>
      </c>
      <c r="E2464" s="1" t="b">
        <v>0</v>
      </c>
      <c r="F2464" s="1" t="s">
        <v>16346</v>
      </c>
    </row>
    <row r="2465">
      <c r="A2465" s="1">
        <v>49835.0</v>
      </c>
      <c r="B2465" s="1">
        <v>16464.0</v>
      </c>
      <c r="C2465" s="1">
        <v>1.616684929E9</v>
      </c>
      <c r="D2465" s="1">
        <v>4.0</v>
      </c>
      <c r="E2465" s="1" t="b">
        <v>0</v>
      </c>
      <c r="F2465" s="1" t="s">
        <v>16347</v>
      </c>
    </row>
    <row r="2466">
      <c r="A2466" s="1">
        <v>49835.0</v>
      </c>
      <c r="B2466" s="1">
        <v>16569.0</v>
      </c>
      <c r="C2466" s="1">
        <v>1.617179934E9</v>
      </c>
      <c r="D2466" s="1">
        <v>4.0</v>
      </c>
      <c r="E2466" s="1" t="b">
        <v>0</v>
      </c>
      <c r="F2466" s="1" t="s">
        <v>16348</v>
      </c>
    </row>
    <row r="2467">
      <c r="A2467" s="1">
        <v>49835.0</v>
      </c>
      <c r="B2467" s="1">
        <v>2642.0</v>
      </c>
      <c r="C2467" s="1">
        <v>1.608785097E9</v>
      </c>
      <c r="D2467" s="1">
        <v>4.0</v>
      </c>
      <c r="E2467" s="1" t="b">
        <v>0</v>
      </c>
      <c r="F2467" s="1" t="s">
        <v>16349</v>
      </c>
    </row>
    <row r="2468">
      <c r="A2468" s="1">
        <v>49835.0</v>
      </c>
      <c r="B2468" s="1">
        <v>4607.0</v>
      </c>
      <c r="C2468" s="1">
        <v>1.611190928E9</v>
      </c>
      <c r="D2468" s="1">
        <v>4.0</v>
      </c>
      <c r="E2468" s="1" t="b">
        <v>0</v>
      </c>
      <c r="F2468" s="1" t="s">
        <v>16350</v>
      </c>
    </row>
    <row r="2469">
      <c r="A2469" s="1">
        <v>49835.0</v>
      </c>
      <c r="B2469" s="1">
        <v>11250.0</v>
      </c>
      <c r="C2469" s="1">
        <v>1.612749027E9</v>
      </c>
      <c r="D2469" s="1">
        <v>4.0</v>
      </c>
      <c r="E2469" s="1" t="b">
        <v>0</v>
      </c>
      <c r="F2469" s="1" t="s">
        <v>16351</v>
      </c>
    </row>
    <row r="2470">
      <c r="A2470" s="1">
        <v>49835.0</v>
      </c>
      <c r="B2470" s="1">
        <v>7222.0</v>
      </c>
      <c r="C2470" s="1">
        <v>1.611814754E9</v>
      </c>
      <c r="D2470" s="1">
        <v>4.0</v>
      </c>
      <c r="E2470" s="1" t="b">
        <v>0</v>
      </c>
      <c r="F2470" s="1" t="s">
        <v>16352</v>
      </c>
    </row>
    <row r="2471">
      <c r="A2471" s="1">
        <v>49835.0</v>
      </c>
      <c r="B2471" s="1">
        <v>4565.0</v>
      </c>
      <c r="C2471" s="1">
        <v>1.611158626E9</v>
      </c>
      <c r="D2471" s="1">
        <v>4.0</v>
      </c>
      <c r="E2471" s="1" t="b">
        <v>0</v>
      </c>
      <c r="F2471" s="1" t="s">
        <v>16353</v>
      </c>
    </row>
    <row r="2472">
      <c r="A2472" s="1">
        <v>49835.0</v>
      </c>
      <c r="B2472" s="1">
        <v>4993.0</v>
      </c>
      <c r="C2472" s="1">
        <v>1.611299032E9</v>
      </c>
      <c r="D2472" s="1">
        <v>4.0</v>
      </c>
      <c r="E2472" s="1" t="b">
        <v>0</v>
      </c>
      <c r="F2472" s="1" t="s">
        <v>16354</v>
      </c>
    </row>
    <row r="2473">
      <c r="A2473" s="1">
        <v>49835.0</v>
      </c>
      <c r="B2473" s="1">
        <v>4994.0</v>
      </c>
      <c r="C2473" s="1">
        <v>1.61129903E9</v>
      </c>
      <c r="D2473" s="1">
        <v>4.0</v>
      </c>
      <c r="E2473" s="1" t="b">
        <v>0</v>
      </c>
      <c r="F2473" s="1" t="s">
        <v>16355</v>
      </c>
    </row>
    <row r="2474">
      <c r="A2474" s="1">
        <v>49835.0</v>
      </c>
      <c r="B2474" s="1">
        <v>4664.0</v>
      </c>
      <c r="C2474" s="1">
        <v>1.611206774E9</v>
      </c>
      <c r="D2474" s="1">
        <v>4.0</v>
      </c>
      <c r="E2474" s="1" t="b">
        <v>0</v>
      </c>
      <c r="F2474" s="1" t="s">
        <v>16356</v>
      </c>
    </row>
    <row r="2475">
      <c r="A2475" s="1">
        <v>49835.0</v>
      </c>
      <c r="B2475" s="1">
        <v>6726.0</v>
      </c>
      <c r="C2475" s="1">
        <v>1.611731514E9</v>
      </c>
      <c r="D2475" s="1">
        <v>4.0</v>
      </c>
      <c r="E2475" s="1" t="b">
        <v>0</v>
      </c>
      <c r="F2475" s="1" t="s">
        <v>16357</v>
      </c>
    </row>
    <row r="2476">
      <c r="A2476" s="1">
        <v>49835.0</v>
      </c>
      <c r="B2476" s="1">
        <v>4603.0</v>
      </c>
      <c r="C2476" s="1">
        <v>1.611168028E9</v>
      </c>
      <c r="D2476" s="1">
        <v>4.0</v>
      </c>
      <c r="E2476" s="1" t="b">
        <v>0</v>
      </c>
      <c r="F2476" s="1" t="s">
        <v>16358</v>
      </c>
    </row>
    <row r="2477">
      <c r="A2477" s="1">
        <v>49835.0</v>
      </c>
      <c r="B2477" s="1">
        <v>4587.0</v>
      </c>
      <c r="C2477" s="1">
        <v>1.611167152E9</v>
      </c>
      <c r="D2477" s="1">
        <v>4.0</v>
      </c>
      <c r="E2477" s="1" t="b">
        <v>0</v>
      </c>
      <c r="F2477" s="1" t="s">
        <v>16359</v>
      </c>
    </row>
    <row r="2478">
      <c r="A2478" s="1">
        <v>49835.0</v>
      </c>
      <c r="B2478" s="1">
        <v>19022.0</v>
      </c>
      <c r="C2478" s="1">
        <v>1.622282734E9</v>
      </c>
      <c r="D2478" s="1">
        <v>4.0</v>
      </c>
      <c r="E2478" s="1" t="b">
        <v>0</v>
      </c>
      <c r="F2478" s="1" t="s">
        <v>16360</v>
      </c>
    </row>
    <row r="2479">
      <c r="A2479" s="1">
        <v>49835.0</v>
      </c>
      <c r="B2479" s="1">
        <v>4493.0</v>
      </c>
      <c r="C2479" s="1">
        <v>1.611134035E9</v>
      </c>
      <c r="D2479" s="1">
        <v>4.0</v>
      </c>
      <c r="E2479" s="1" t="b">
        <v>0</v>
      </c>
      <c r="F2479" s="1" t="s">
        <v>16361</v>
      </c>
    </row>
    <row r="2480">
      <c r="A2480" s="1">
        <v>49835.0</v>
      </c>
      <c r="B2480" s="1">
        <v>11300.0</v>
      </c>
      <c r="C2480" s="1">
        <v>1.612749303E9</v>
      </c>
      <c r="D2480" s="1">
        <v>4.0</v>
      </c>
      <c r="E2480" s="1" t="b">
        <v>0</v>
      </c>
      <c r="F2480" s="1" t="s">
        <v>16362</v>
      </c>
    </row>
    <row r="2481">
      <c r="A2481" s="1">
        <v>49835.0</v>
      </c>
      <c r="B2481" s="1">
        <v>2495.0</v>
      </c>
      <c r="C2481" s="1">
        <v>1.60846176E9</v>
      </c>
      <c r="D2481" s="1">
        <v>4.0</v>
      </c>
      <c r="E2481" s="1" t="b">
        <v>0</v>
      </c>
      <c r="F2481" s="1" t="s">
        <v>16363</v>
      </c>
    </row>
    <row r="2482">
      <c r="A2482" s="1">
        <v>49835.0</v>
      </c>
      <c r="B2482" s="1">
        <v>2691.0</v>
      </c>
      <c r="C2482" s="1">
        <v>1.608992355E9</v>
      </c>
      <c r="D2482" s="1">
        <v>4.0</v>
      </c>
      <c r="E2482" s="1" t="b">
        <v>0</v>
      </c>
      <c r="F2482" s="1" t="s">
        <v>16364</v>
      </c>
    </row>
    <row r="2483">
      <c r="A2483" s="1">
        <v>49835.0</v>
      </c>
      <c r="B2483" s="1">
        <v>6327.0</v>
      </c>
      <c r="C2483" s="1">
        <v>1.611644669E9</v>
      </c>
      <c r="D2483" s="1">
        <v>4.0</v>
      </c>
      <c r="E2483" s="1" t="b">
        <v>0</v>
      </c>
      <c r="F2483" s="1" t="s">
        <v>16365</v>
      </c>
    </row>
    <row r="2484">
      <c r="A2484" s="1">
        <v>49835.0</v>
      </c>
      <c r="B2484" s="1">
        <v>4632.0</v>
      </c>
      <c r="C2484" s="1">
        <v>1.611206767E9</v>
      </c>
      <c r="D2484" s="1">
        <v>4.0</v>
      </c>
      <c r="E2484" s="1" t="b">
        <v>0</v>
      </c>
      <c r="F2484" s="1" t="s">
        <v>16366</v>
      </c>
    </row>
    <row r="2485">
      <c r="A2485" s="1">
        <v>49835.0</v>
      </c>
      <c r="B2485" s="1">
        <v>12068.0</v>
      </c>
      <c r="C2485" s="1">
        <v>1.612942412E9</v>
      </c>
      <c r="D2485" s="1">
        <v>4.0</v>
      </c>
      <c r="E2485" s="1" t="b">
        <v>0</v>
      </c>
      <c r="F2485" s="1" t="s">
        <v>16367</v>
      </c>
    </row>
    <row r="2486">
      <c r="A2486" s="1">
        <v>49835.0</v>
      </c>
      <c r="B2486" s="1">
        <v>14108.0</v>
      </c>
      <c r="C2486" s="1">
        <v>1.613622483E9</v>
      </c>
      <c r="D2486" s="1">
        <v>4.0</v>
      </c>
      <c r="E2486" s="1" t="b">
        <v>0</v>
      </c>
      <c r="F2486" s="1" t="s">
        <v>16368</v>
      </c>
    </row>
    <row r="2487">
      <c r="A2487" s="1">
        <v>49835.0</v>
      </c>
      <c r="B2487" s="1">
        <v>6323.0</v>
      </c>
      <c r="C2487" s="1">
        <v>1.611644663E9</v>
      </c>
      <c r="D2487" s="1">
        <v>4.0</v>
      </c>
      <c r="E2487" s="1" t="b">
        <v>0</v>
      </c>
      <c r="F2487" s="1" t="s">
        <v>16369</v>
      </c>
    </row>
    <row r="2488">
      <c r="A2488" s="1">
        <v>49835.0</v>
      </c>
      <c r="B2488" s="1">
        <v>19625.0</v>
      </c>
      <c r="C2488" s="1">
        <v>1.623598216E9</v>
      </c>
      <c r="D2488" s="1">
        <v>4.0</v>
      </c>
      <c r="E2488" s="1" t="b">
        <v>0</v>
      </c>
      <c r="F2488" s="1" t="s">
        <v>16370</v>
      </c>
    </row>
    <row r="2489">
      <c r="A2489" s="1">
        <v>49835.0</v>
      </c>
      <c r="B2489" s="1">
        <v>13103.0</v>
      </c>
      <c r="C2489" s="1">
        <v>1.613195655E9</v>
      </c>
      <c r="D2489" s="1">
        <v>4.0</v>
      </c>
      <c r="E2489" s="1" t="b">
        <v>0</v>
      </c>
      <c r="F2489" s="1" t="s">
        <v>16371</v>
      </c>
    </row>
    <row r="2490">
      <c r="A2490" s="1">
        <v>49835.0</v>
      </c>
      <c r="B2490" s="1">
        <v>4643.0</v>
      </c>
      <c r="C2490" s="1">
        <v>1.611712093E9</v>
      </c>
      <c r="D2490" s="1">
        <v>4.0</v>
      </c>
      <c r="E2490" s="1" t="b">
        <v>0</v>
      </c>
      <c r="F2490" s="1" t="s">
        <v>16372</v>
      </c>
    </row>
    <row r="2491">
      <c r="A2491" s="1">
        <v>49835.0</v>
      </c>
      <c r="B2491" s="1">
        <v>7763.0</v>
      </c>
      <c r="C2491" s="1">
        <v>1.612096085E9</v>
      </c>
      <c r="D2491" s="1">
        <v>4.0</v>
      </c>
      <c r="E2491" s="1" t="b">
        <v>0</v>
      </c>
      <c r="F2491" s="1" t="s">
        <v>16373</v>
      </c>
    </row>
    <row r="2492">
      <c r="A2492" s="1">
        <v>49835.0</v>
      </c>
      <c r="B2492" s="1">
        <v>13620.0</v>
      </c>
      <c r="C2492" s="1">
        <v>1.613312755E9</v>
      </c>
      <c r="D2492" s="1">
        <v>4.0</v>
      </c>
      <c r="E2492" s="1" t="b">
        <v>0</v>
      </c>
      <c r="F2492" s="1" t="s">
        <v>16374</v>
      </c>
    </row>
    <row r="2493">
      <c r="A2493" s="1">
        <v>49835.0</v>
      </c>
      <c r="B2493" s="1">
        <v>6627.0</v>
      </c>
      <c r="C2493" s="1">
        <v>1.611712094E9</v>
      </c>
      <c r="D2493" s="1">
        <v>4.0</v>
      </c>
      <c r="E2493" s="1" t="b">
        <v>0</v>
      </c>
      <c r="F2493" s="1" t="s">
        <v>16375</v>
      </c>
    </row>
    <row r="2494">
      <c r="A2494" s="1">
        <v>49835.0</v>
      </c>
      <c r="B2494" s="1">
        <v>13618.0</v>
      </c>
      <c r="C2494" s="1">
        <v>1.613312753E9</v>
      </c>
      <c r="D2494" s="1">
        <v>4.0</v>
      </c>
      <c r="E2494" s="1" t="b">
        <v>0</v>
      </c>
      <c r="F2494" s="1" t="s">
        <v>16376</v>
      </c>
    </row>
    <row r="2495">
      <c r="A2495" s="1">
        <v>49835.0</v>
      </c>
      <c r="B2495" s="1">
        <v>5007.0</v>
      </c>
      <c r="C2495" s="1">
        <v>1.611299025E9</v>
      </c>
      <c r="D2495" s="1">
        <v>4.0</v>
      </c>
      <c r="E2495" s="1" t="b">
        <v>0</v>
      </c>
      <c r="F2495" s="1" t="s">
        <v>16377</v>
      </c>
    </row>
    <row r="2496">
      <c r="A2496" s="1">
        <v>49835.0</v>
      </c>
      <c r="B2496" s="1">
        <v>4482.0</v>
      </c>
      <c r="C2496" s="1">
        <v>1.611130584E9</v>
      </c>
      <c r="D2496" s="1">
        <v>4.0</v>
      </c>
      <c r="E2496" s="1" t="b">
        <v>0</v>
      </c>
      <c r="F2496" s="1" t="s">
        <v>16378</v>
      </c>
    </row>
    <row r="2497">
      <c r="A2497" s="1">
        <v>49835.0</v>
      </c>
      <c r="B2497" s="1">
        <v>219.0</v>
      </c>
      <c r="C2497" s="1">
        <v>1.611670418E9</v>
      </c>
      <c r="D2497" s="1">
        <v>4.0</v>
      </c>
      <c r="E2497" s="1" t="b">
        <v>0</v>
      </c>
      <c r="F2497" s="1" t="s">
        <v>16379</v>
      </c>
    </row>
    <row r="2498">
      <c r="A2498" s="1">
        <v>49835.0</v>
      </c>
      <c r="B2498" s="1">
        <v>6300.0</v>
      </c>
      <c r="C2498" s="1">
        <v>1.612178782E9</v>
      </c>
      <c r="D2498" s="1">
        <v>4.0</v>
      </c>
      <c r="E2498" s="1" t="b">
        <v>0</v>
      </c>
      <c r="F2498" s="1" t="s">
        <v>16380</v>
      </c>
    </row>
    <row r="2499">
      <c r="A2499" s="1">
        <v>49835.0</v>
      </c>
      <c r="B2499" s="1">
        <v>9701.0</v>
      </c>
      <c r="C2499" s="1">
        <v>1.612207908E9</v>
      </c>
      <c r="D2499" s="1">
        <v>4.0</v>
      </c>
      <c r="E2499" s="1" t="b">
        <v>0</v>
      </c>
      <c r="F2499" s="1" t="s">
        <v>16381</v>
      </c>
    </row>
    <row r="2500">
      <c r="A2500" s="1">
        <v>49835.0</v>
      </c>
      <c r="B2500" s="1">
        <v>2934.0</v>
      </c>
      <c r="C2500" s="1">
        <v>1.609601766E9</v>
      </c>
      <c r="D2500" s="1">
        <v>4.0</v>
      </c>
      <c r="E2500" s="1" t="b">
        <v>0</v>
      </c>
      <c r="F2500" s="1" t="s">
        <v>16382</v>
      </c>
    </row>
    <row r="2501">
      <c r="A2501" s="1">
        <v>49835.0</v>
      </c>
      <c r="B2501" s="1">
        <v>13464.0</v>
      </c>
      <c r="C2501" s="1">
        <v>1.613277276E9</v>
      </c>
      <c r="D2501" s="1">
        <v>4.0</v>
      </c>
      <c r="E2501" s="1" t="b">
        <v>0</v>
      </c>
      <c r="F2501" s="1" t="s">
        <v>16383</v>
      </c>
    </row>
    <row r="2502">
      <c r="A2502" s="1">
        <v>49835.0</v>
      </c>
      <c r="B2502" s="1">
        <v>16887.0</v>
      </c>
      <c r="C2502" s="1">
        <v>1.620668881E9</v>
      </c>
      <c r="D2502" s="1">
        <v>4.0</v>
      </c>
      <c r="E2502" s="1" t="b">
        <v>0</v>
      </c>
      <c r="F2502" s="1" t="s">
        <v>16384</v>
      </c>
    </row>
    <row r="2503">
      <c r="A2503" s="1">
        <v>49835.0</v>
      </c>
      <c r="B2503" s="1">
        <v>5653.0</v>
      </c>
      <c r="C2503" s="1">
        <v>1.611469437E9</v>
      </c>
      <c r="D2503" s="1">
        <v>4.0</v>
      </c>
      <c r="E2503" s="1" t="b">
        <v>0</v>
      </c>
      <c r="F2503" s="1" t="s">
        <v>16385</v>
      </c>
    </row>
    <row r="2504">
      <c r="A2504" s="1">
        <v>49835.0</v>
      </c>
      <c r="B2504" s="1">
        <v>5525.0</v>
      </c>
      <c r="C2504" s="1">
        <v>1.611432706E9</v>
      </c>
      <c r="D2504" s="1">
        <v>4.0</v>
      </c>
      <c r="E2504" s="1" t="b">
        <v>0</v>
      </c>
      <c r="F2504" s="1" t="s">
        <v>16386</v>
      </c>
    </row>
    <row r="2505">
      <c r="A2505" s="1">
        <v>49835.0</v>
      </c>
      <c r="B2505" s="1">
        <v>20466.0</v>
      </c>
      <c r="C2505" s="1">
        <v>0.0</v>
      </c>
      <c r="D2505" s="1">
        <v>4.0</v>
      </c>
      <c r="E2505" s="1" t="b">
        <v>0</v>
      </c>
      <c r="F2505" s="1" t="s">
        <v>16193</v>
      </c>
    </row>
    <row r="2506">
      <c r="A2506" s="1">
        <v>49835.0</v>
      </c>
      <c r="B2506" s="1">
        <v>4743.0</v>
      </c>
      <c r="C2506" s="1">
        <v>1.611221197E9</v>
      </c>
      <c r="D2506" s="1">
        <v>4.0</v>
      </c>
      <c r="E2506" s="1" t="b">
        <v>0</v>
      </c>
      <c r="F2506" s="1" t="s">
        <v>16387</v>
      </c>
    </row>
    <row r="2507">
      <c r="A2507" s="1">
        <v>49835.0</v>
      </c>
      <c r="B2507" s="1">
        <v>3618.0</v>
      </c>
      <c r="C2507" s="1">
        <v>1.612020274E9</v>
      </c>
      <c r="D2507" s="1">
        <v>4.0</v>
      </c>
      <c r="E2507" s="1" t="b">
        <v>0</v>
      </c>
      <c r="F2507" s="1" t="s">
        <v>16074</v>
      </c>
    </row>
    <row r="2508">
      <c r="A2508" s="1">
        <v>49835.0</v>
      </c>
      <c r="B2508" s="1">
        <v>6145.0</v>
      </c>
      <c r="C2508" s="1">
        <v>1.611580469E9</v>
      </c>
      <c r="D2508" s="1">
        <v>4.0</v>
      </c>
      <c r="E2508" s="1" t="b">
        <v>0</v>
      </c>
      <c r="F2508" s="1" t="s">
        <v>16388</v>
      </c>
    </row>
    <row r="2509">
      <c r="A2509" s="1">
        <v>49835.0</v>
      </c>
      <c r="B2509" s="1">
        <v>5607.0</v>
      </c>
      <c r="C2509" s="1">
        <v>1.611469446E9</v>
      </c>
      <c r="D2509" s="1">
        <v>4.0</v>
      </c>
      <c r="E2509" s="1" t="b">
        <v>0</v>
      </c>
      <c r="F2509" s="1" t="s">
        <v>16389</v>
      </c>
    </row>
    <row r="2510">
      <c r="A2510" s="1">
        <v>49835.0</v>
      </c>
      <c r="B2510" s="1">
        <v>11958.0</v>
      </c>
      <c r="C2510" s="1">
        <v>1.612872724E9</v>
      </c>
      <c r="D2510" s="1">
        <v>4.0</v>
      </c>
      <c r="E2510" s="1" t="b">
        <v>0</v>
      </c>
      <c r="F2510" s="1" t="s">
        <v>16390</v>
      </c>
    </row>
    <row r="2511">
      <c r="A2511" s="1">
        <v>49835.0</v>
      </c>
      <c r="B2511" s="1">
        <v>13546.0</v>
      </c>
      <c r="C2511" s="1">
        <v>1.613312748E9</v>
      </c>
      <c r="D2511" s="1">
        <v>4.0</v>
      </c>
      <c r="E2511" s="1" t="b">
        <v>0</v>
      </c>
      <c r="F2511" s="1" t="s">
        <v>16391</v>
      </c>
    </row>
    <row r="2512">
      <c r="A2512" s="1">
        <v>49835.0</v>
      </c>
      <c r="B2512" s="1">
        <v>1997.0</v>
      </c>
      <c r="C2512" s="1">
        <v>1.607165451E9</v>
      </c>
      <c r="D2512" s="1">
        <v>4.0</v>
      </c>
      <c r="E2512" s="1" t="b">
        <v>0</v>
      </c>
      <c r="F2512" s="1" t="s">
        <v>16392</v>
      </c>
    </row>
    <row r="2513">
      <c r="A2513" s="1">
        <v>49835.0</v>
      </c>
      <c r="B2513" s="1">
        <v>6076.0</v>
      </c>
      <c r="C2513" s="1">
        <v>1.611559327E9</v>
      </c>
      <c r="D2513" s="1">
        <v>4.0</v>
      </c>
      <c r="E2513" s="1" t="b">
        <v>0</v>
      </c>
      <c r="F2513" s="1" t="s">
        <v>16393</v>
      </c>
    </row>
    <row r="2514">
      <c r="A2514" s="1">
        <v>49835.0</v>
      </c>
      <c r="B2514" s="1">
        <v>4380.0</v>
      </c>
      <c r="C2514" s="1">
        <v>1.611122228E9</v>
      </c>
      <c r="D2514" s="1">
        <v>4.0</v>
      </c>
      <c r="E2514" s="1" t="b">
        <v>0</v>
      </c>
      <c r="F2514" s="1" t="s">
        <v>16394</v>
      </c>
    </row>
    <row r="2515">
      <c r="A2515" s="1">
        <v>49835.0</v>
      </c>
      <c r="B2515" s="1">
        <v>13635.0</v>
      </c>
      <c r="C2515" s="1">
        <v>1.613360197E9</v>
      </c>
      <c r="D2515" s="1">
        <v>4.0</v>
      </c>
      <c r="E2515" s="1" t="b">
        <v>0</v>
      </c>
      <c r="F2515" s="1" t="s">
        <v>16395</v>
      </c>
    </row>
    <row r="2516">
      <c r="A2516" s="1">
        <v>49835.0</v>
      </c>
      <c r="B2516" s="1">
        <v>4612.0</v>
      </c>
      <c r="C2516" s="1">
        <v>1.611190926E9</v>
      </c>
      <c r="D2516" s="1">
        <v>4.0</v>
      </c>
      <c r="E2516" s="1" t="b">
        <v>0</v>
      </c>
      <c r="F2516" s="1" t="s">
        <v>16396</v>
      </c>
    </row>
    <row r="2517">
      <c r="A2517" s="1">
        <v>49835.0</v>
      </c>
      <c r="B2517" s="1">
        <v>18080.0</v>
      </c>
      <c r="C2517" s="1">
        <v>1.621087206E9</v>
      </c>
      <c r="D2517" s="1">
        <v>4.0</v>
      </c>
      <c r="E2517" s="1" t="b">
        <v>0</v>
      </c>
      <c r="F2517" s="1" t="s">
        <v>16397</v>
      </c>
      <c r="G2517" s="1" t="b">
        <v>1</v>
      </c>
    </row>
    <row r="2518">
      <c r="A2518" s="1">
        <v>49835.0</v>
      </c>
      <c r="B2518" s="1">
        <v>6846.0</v>
      </c>
      <c r="C2518" s="1">
        <v>1.611745442E9</v>
      </c>
      <c r="D2518" s="1">
        <v>4.0</v>
      </c>
      <c r="E2518" s="1" t="b">
        <v>0</v>
      </c>
      <c r="F2518" s="1" t="s">
        <v>16398</v>
      </c>
    </row>
    <row r="2519">
      <c r="A2519" s="1">
        <v>49835.0</v>
      </c>
      <c r="B2519" s="1">
        <v>16347.0</v>
      </c>
      <c r="C2519" s="1">
        <v>1.616333919E9</v>
      </c>
      <c r="D2519" s="1">
        <v>4.0</v>
      </c>
      <c r="E2519" s="1" t="b">
        <v>0</v>
      </c>
      <c r="F2519" s="1" t="s">
        <v>16399</v>
      </c>
    </row>
    <row r="2520">
      <c r="A2520" s="1">
        <v>49835.0</v>
      </c>
      <c r="B2520" s="1">
        <v>4605.0</v>
      </c>
      <c r="C2520" s="1">
        <v>1.611190923E9</v>
      </c>
      <c r="D2520" s="1">
        <v>4.0</v>
      </c>
      <c r="E2520" s="1" t="b">
        <v>0</v>
      </c>
      <c r="F2520" s="1" t="s">
        <v>16400</v>
      </c>
    </row>
    <row r="2521">
      <c r="A2521" s="1">
        <v>49835.0</v>
      </c>
      <c r="B2521" s="1">
        <v>16508.0</v>
      </c>
      <c r="C2521" s="1">
        <v>1.616842835E9</v>
      </c>
      <c r="D2521" s="1">
        <v>4.0</v>
      </c>
      <c r="E2521" s="1" t="b">
        <v>0</v>
      </c>
      <c r="F2521" s="1" t="s">
        <v>16401</v>
      </c>
    </row>
    <row r="2522">
      <c r="A2522" s="1">
        <v>49835.0</v>
      </c>
      <c r="B2522" s="1">
        <v>16476.0</v>
      </c>
      <c r="C2522" s="1">
        <v>1.616747825E9</v>
      </c>
      <c r="D2522" s="1">
        <v>4.0</v>
      </c>
      <c r="E2522" s="1" t="b">
        <v>0</v>
      </c>
      <c r="F2522" s="1" t="s">
        <v>16402</v>
      </c>
    </row>
    <row r="2523">
      <c r="A2523" s="1">
        <v>49835.0</v>
      </c>
      <c r="B2523" s="1">
        <v>9395.0</v>
      </c>
      <c r="C2523" s="1">
        <v>1.612160004E9</v>
      </c>
      <c r="D2523" s="1">
        <v>4.0</v>
      </c>
      <c r="E2523" s="1" t="b">
        <v>0</v>
      </c>
      <c r="F2523" s="1" t="s">
        <v>16403</v>
      </c>
    </row>
    <row r="2524">
      <c r="A2524" s="1">
        <v>49835.0</v>
      </c>
      <c r="B2524" s="1">
        <v>12224.0</v>
      </c>
      <c r="C2524" s="1">
        <v>1.613064502E9</v>
      </c>
      <c r="D2524" s="1">
        <v>4.0</v>
      </c>
      <c r="E2524" s="1" t="b">
        <v>0</v>
      </c>
      <c r="F2524" s="1" t="s">
        <v>16404</v>
      </c>
    </row>
    <row r="2525">
      <c r="A2525" s="1">
        <v>49835.0</v>
      </c>
      <c r="B2525" s="1">
        <v>13563.0</v>
      </c>
      <c r="C2525" s="1">
        <v>1.613312751E9</v>
      </c>
      <c r="D2525" s="1">
        <v>4.0</v>
      </c>
      <c r="E2525" s="1" t="b">
        <v>0</v>
      </c>
      <c r="F2525" s="1" t="s">
        <v>16405</v>
      </c>
    </row>
    <row r="2526">
      <c r="A2526" s="1">
        <v>49835.0</v>
      </c>
      <c r="B2526" s="1">
        <v>7456.0</v>
      </c>
      <c r="C2526" s="1">
        <v>1.611841652E9</v>
      </c>
      <c r="D2526" s="1">
        <v>4.0</v>
      </c>
      <c r="E2526" s="1" t="b">
        <v>0</v>
      </c>
      <c r="F2526" s="1" t="s">
        <v>16406</v>
      </c>
    </row>
    <row r="2527">
      <c r="A2527" s="1">
        <v>49835.0</v>
      </c>
      <c r="B2527" s="1">
        <v>4998.0</v>
      </c>
      <c r="C2527" s="1">
        <v>1.611299029E9</v>
      </c>
      <c r="D2527" s="1">
        <v>4.0</v>
      </c>
      <c r="E2527" s="1" t="b">
        <v>0</v>
      </c>
      <c r="F2527" s="1" t="s">
        <v>16407</v>
      </c>
    </row>
    <row r="2528">
      <c r="A2528" s="1">
        <v>49835.0</v>
      </c>
      <c r="B2528" s="1">
        <v>6096.0</v>
      </c>
      <c r="C2528" s="1">
        <v>1.611561391E9</v>
      </c>
      <c r="D2528" s="1">
        <v>4.0</v>
      </c>
      <c r="E2528" s="1" t="b">
        <v>0</v>
      </c>
      <c r="F2528" s="1" t="s">
        <v>16408</v>
      </c>
    </row>
    <row r="2529">
      <c r="A2529" s="1">
        <v>49835.0</v>
      </c>
      <c r="B2529" s="1">
        <v>4481.0</v>
      </c>
      <c r="C2529" s="1">
        <v>1.611143192E9</v>
      </c>
      <c r="D2529" s="1">
        <v>4.0</v>
      </c>
      <c r="E2529" s="1" t="b">
        <v>0</v>
      </c>
      <c r="F2529" s="1" t="s">
        <v>16409</v>
      </c>
    </row>
    <row r="2530">
      <c r="A2530" s="1">
        <v>49835.0</v>
      </c>
      <c r="B2530" s="1">
        <v>6776.0</v>
      </c>
      <c r="C2530" s="1">
        <v>1.611738601E9</v>
      </c>
      <c r="D2530" s="1">
        <v>4.0</v>
      </c>
      <c r="E2530" s="1" t="b">
        <v>0</v>
      </c>
      <c r="F2530" s="1" t="s">
        <v>16410</v>
      </c>
    </row>
    <row r="2531">
      <c r="A2531" s="1">
        <v>49835.0</v>
      </c>
      <c r="B2531" s="1">
        <v>20242.0</v>
      </c>
      <c r="C2531" s="1">
        <v>1.623955491E9</v>
      </c>
      <c r="D2531" s="1">
        <v>4.0</v>
      </c>
      <c r="E2531" s="1" t="b">
        <v>0</v>
      </c>
      <c r="F2531" s="1" t="s">
        <v>16411</v>
      </c>
    </row>
    <row r="2532">
      <c r="A2532" s="1">
        <v>49835.0</v>
      </c>
      <c r="B2532" s="1">
        <v>6969.0</v>
      </c>
      <c r="C2532" s="1">
        <v>1.611762119E9</v>
      </c>
      <c r="D2532" s="1">
        <v>4.0</v>
      </c>
      <c r="E2532" s="1" t="b">
        <v>0</v>
      </c>
      <c r="F2532" s="1" t="s">
        <v>16412</v>
      </c>
    </row>
    <row r="2533">
      <c r="A2533" s="1">
        <v>49835.0</v>
      </c>
      <c r="B2533" s="1">
        <v>18318.0</v>
      </c>
      <c r="C2533" s="1">
        <v>1.621364129E9</v>
      </c>
      <c r="D2533" s="1">
        <v>4.0</v>
      </c>
      <c r="E2533" s="1" t="b">
        <v>0</v>
      </c>
      <c r="F2533" s="1" t="s">
        <v>16413</v>
      </c>
    </row>
    <row r="2534">
      <c r="A2534" s="1">
        <v>49835.0</v>
      </c>
      <c r="B2534" s="1">
        <v>6721.0</v>
      </c>
      <c r="C2534" s="1">
        <v>1.611731515E9</v>
      </c>
      <c r="D2534" s="1">
        <v>4.0</v>
      </c>
      <c r="E2534" s="1" t="b">
        <v>0</v>
      </c>
      <c r="F2534" s="1" t="s">
        <v>16414</v>
      </c>
    </row>
    <row r="2535">
      <c r="A2535" s="1">
        <v>49835.0</v>
      </c>
      <c r="B2535" s="1">
        <v>19156.0</v>
      </c>
      <c r="C2535" s="1">
        <v>1.622448325E9</v>
      </c>
      <c r="D2535" s="1">
        <v>4.0</v>
      </c>
      <c r="E2535" s="1" t="b">
        <v>0</v>
      </c>
      <c r="F2535" s="1" t="s">
        <v>16415</v>
      </c>
    </row>
    <row r="2536">
      <c r="A2536" s="1">
        <v>49835.0</v>
      </c>
      <c r="B2536" s="1">
        <v>19842.0</v>
      </c>
      <c r="C2536" s="1">
        <v>1.623553704E9</v>
      </c>
      <c r="D2536" s="1">
        <v>4.0</v>
      </c>
      <c r="E2536" s="1" t="b">
        <v>0</v>
      </c>
      <c r="F2536" s="1" t="s">
        <v>16416</v>
      </c>
    </row>
    <row r="2537">
      <c r="A2537" s="1">
        <v>49835.0</v>
      </c>
      <c r="B2537" s="1">
        <v>13452.0</v>
      </c>
      <c r="C2537" s="1">
        <v>1.613275702E9</v>
      </c>
      <c r="D2537" s="1">
        <v>4.0</v>
      </c>
      <c r="E2537" s="1" t="b">
        <v>0</v>
      </c>
      <c r="F2537" s="1" t="s">
        <v>16417</v>
      </c>
    </row>
    <row r="2538">
      <c r="A2538" s="1">
        <v>49835.0</v>
      </c>
      <c r="B2538" s="1">
        <v>7473.0</v>
      </c>
      <c r="C2538" s="1">
        <v>1.61184296E9</v>
      </c>
      <c r="D2538" s="1">
        <v>4.0</v>
      </c>
      <c r="E2538" s="1" t="b">
        <v>0</v>
      </c>
      <c r="F2538" s="1" t="s">
        <v>16418</v>
      </c>
    </row>
    <row r="2539">
      <c r="A2539" s="1">
        <v>49835.0</v>
      </c>
      <c r="B2539" s="1">
        <v>4959.0</v>
      </c>
      <c r="C2539" s="1">
        <v>1.611299018E9</v>
      </c>
      <c r="D2539" s="1">
        <v>4.0</v>
      </c>
      <c r="E2539" s="1" t="b">
        <v>0</v>
      </c>
      <c r="F2539" s="1" t="s">
        <v>16419</v>
      </c>
    </row>
    <row r="2540">
      <c r="A2540" s="1">
        <v>49835.0</v>
      </c>
      <c r="B2540" s="1">
        <v>19686.0</v>
      </c>
      <c r="C2540" s="1">
        <v>1.623155808E9</v>
      </c>
      <c r="D2540" s="1">
        <v>4.0</v>
      </c>
      <c r="E2540" s="1" t="b">
        <v>0</v>
      </c>
      <c r="F2540" s="1" t="s">
        <v>16420</v>
      </c>
    </row>
    <row r="2541">
      <c r="A2541" s="1">
        <v>49835.0</v>
      </c>
      <c r="B2541" s="1">
        <v>13429.0</v>
      </c>
      <c r="C2541" s="1">
        <v>1.613270932E9</v>
      </c>
      <c r="D2541" s="1">
        <v>4.0</v>
      </c>
      <c r="E2541" s="1" t="b">
        <v>0</v>
      </c>
      <c r="F2541" s="1" t="s">
        <v>16421</v>
      </c>
    </row>
    <row r="2542">
      <c r="A2542" s="1">
        <v>49835.0</v>
      </c>
      <c r="B2542" s="1">
        <v>4957.0</v>
      </c>
      <c r="C2542" s="1">
        <v>1.611299016E9</v>
      </c>
      <c r="D2542" s="1">
        <v>4.0</v>
      </c>
      <c r="E2542" s="1" t="b">
        <v>0</v>
      </c>
      <c r="F2542" s="1" t="s">
        <v>16422</v>
      </c>
    </row>
    <row r="2543">
      <c r="A2543" s="1">
        <v>49835.0</v>
      </c>
      <c r="B2543" s="1">
        <v>6483.0</v>
      </c>
      <c r="C2543" s="1">
        <v>1.611653919E9</v>
      </c>
      <c r="D2543" s="1">
        <v>4.0</v>
      </c>
      <c r="E2543" s="1" t="b">
        <v>0</v>
      </c>
      <c r="F2543" s="1" t="s">
        <v>16423</v>
      </c>
    </row>
    <row r="2544">
      <c r="A2544" s="1">
        <v>49835.0</v>
      </c>
      <c r="B2544" s="1">
        <v>4342.0</v>
      </c>
      <c r="C2544" s="1">
        <v>1.611086977E9</v>
      </c>
      <c r="D2544" s="1">
        <v>4.0</v>
      </c>
      <c r="E2544" s="1" t="b">
        <v>0</v>
      </c>
      <c r="F2544" s="1" t="s">
        <v>16424</v>
      </c>
    </row>
    <row r="2545">
      <c r="A2545" s="1">
        <v>49835.0</v>
      </c>
      <c r="B2545" s="1">
        <v>6999.0</v>
      </c>
      <c r="C2545" s="1">
        <v>1.611762354E9</v>
      </c>
      <c r="D2545" s="1">
        <v>4.0</v>
      </c>
      <c r="E2545" s="1" t="b">
        <v>0</v>
      </c>
      <c r="F2545" s="1" t="s">
        <v>16425</v>
      </c>
    </row>
    <row r="2546">
      <c r="A2546" s="1">
        <v>49835.0</v>
      </c>
      <c r="B2546" s="1">
        <v>11883.0</v>
      </c>
      <c r="C2546" s="1">
        <v>1.612862189E9</v>
      </c>
      <c r="D2546" s="1">
        <v>4.0</v>
      </c>
      <c r="E2546" s="1" t="b">
        <v>0</v>
      </c>
      <c r="F2546" s="1" t="s">
        <v>16426</v>
      </c>
    </row>
    <row r="2547">
      <c r="A2547" s="1">
        <v>49835.0</v>
      </c>
      <c r="B2547" s="1">
        <v>12602.0</v>
      </c>
      <c r="C2547" s="1">
        <v>1.613064592E9</v>
      </c>
      <c r="D2547" s="1">
        <v>4.0</v>
      </c>
      <c r="E2547" s="1" t="b">
        <v>0</v>
      </c>
      <c r="F2547" s="1" t="s">
        <v>16427</v>
      </c>
    </row>
    <row r="2548">
      <c r="A2548" s="1">
        <v>49835.0</v>
      </c>
      <c r="B2548" s="1">
        <v>2752.0</v>
      </c>
      <c r="C2548" s="1">
        <v>1.609247112E9</v>
      </c>
      <c r="D2548" s="1">
        <v>4.0</v>
      </c>
      <c r="E2548" s="1" t="b">
        <v>0</v>
      </c>
      <c r="F2548" s="1" t="s">
        <v>16428</v>
      </c>
      <c r="G2548" s="1" t="b">
        <v>1</v>
      </c>
    </row>
    <row r="2549">
      <c r="A2549" s="1">
        <v>49835.0</v>
      </c>
      <c r="B2549" s="1">
        <v>18862.0</v>
      </c>
      <c r="C2549" s="1">
        <v>1.622054178E9</v>
      </c>
      <c r="D2549" s="1">
        <v>9.0</v>
      </c>
      <c r="E2549" s="1" t="b">
        <v>0</v>
      </c>
      <c r="F2549" s="1" t="s">
        <v>16429</v>
      </c>
    </row>
    <row r="2550">
      <c r="A2550" s="1">
        <v>49835.0</v>
      </c>
      <c r="B2550" s="1">
        <v>6880.0</v>
      </c>
      <c r="C2550" s="1">
        <v>1.611749927E9</v>
      </c>
      <c r="D2550" s="1">
        <v>4.0</v>
      </c>
      <c r="E2550" s="1" t="b">
        <v>0</v>
      </c>
      <c r="F2550" s="1" t="s">
        <v>16430</v>
      </c>
    </row>
    <row r="2551">
      <c r="A2551" s="1">
        <v>49835.0</v>
      </c>
      <c r="B2551" s="1">
        <v>7129.0</v>
      </c>
      <c r="C2551" s="1">
        <v>1.611808109E9</v>
      </c>
      <c r="D2551" s="1">
        <v>4.0</v>
      </c>
      <c r="E2551" s="1" t="b">
        <v>0</v>
      </c>
      <c r="F2551" s="1" t="s">
        <v>16431</v>
      </c>
    </row>
    <row r="2552">
      <c r="A2552" s="1">
        <v>49835.0</v>
      </c>
      <c r="B2552" s="1">
        <v>18170.0</v>
      </c>
      <c r="C2552" s="1">
        <v>1.621181768E9</v>
      </c>
      <c r="D2552" s="1">
        <v>4.0</v>
      </c>
      <c r="E2552" s="1" t="b">
        <v>0</v>
      </c>
      <c r="F2552" s="1" t="s">
        <v>16432</v>
      </c>
    </row>
    <row r="2553">
      <c r="A2553" s="1">
        <v>49835.0</v>
      </c>
      <c r="B2553" s="1">
        <v>18904.0</v>
      </c>
      <c r="C2553" s="1">
        <v>1.622117914E9</v>
      </c>
      <c r="D2553" s="1">
        <v>4.0</v>
      </c>
      <c r="E2553" s="1" t="b">
        <v>0</v>
      </c>
      <c r="F2553" s="1" t="s">
        <v>16433</v>
      </c>
    </row>
    <row r="2554">
      <c r="A2554" s="1">
        <v>49835.0</v>
      </c>
      <c r="B2554" s="1">
        <v>10785.0</v>
      </c>
      <c r="C2554" s="1">
        <v>1.612590525E9</v>
      </c>
      <c r="D2554" s="1">
        <v>4.0</v>
      </c>
      <c r="E2554" s="1" t="b">
        <v>0</v>
      </c>
      <c r="F2554" s="1" t="s">
        <v>16434</v>
      </c>
    </row>
    <row r="2555">
      <c r="A2555" s="1">
        <v>49835.0</v>
      </c>
      <c r="B2555" s="1">
        <v>4470.0</v>
      </c>
      <c r="C2555" s="1">
        <v>1.612175238E9</v>
      </c>
      <c r="D2555" s="1">
        <v>4.0</v>
      </c>
      <c r="E2555" s="1" t="b">
        <v>0</v>
      </c>
      <c r="F2555" s="1" t="s">
        <v>16435</v>
      </c>
    </row>
    <row r="2556">
      <c r="A2556" s="1">
        <v>49835.0</v>
      </c>
      <c r="B2556" s="1">
        <v>10514.0</v>
      </c>
      <c r="C2556" s="1">
        <v>1.612490346E9</v>
      </c>
      <c r="D2556" s="1">
        <v>4.0</v>
      </c>
      <c r="E2556" s="1" t="b">
        <v>0</v>
      </c>
      <c r="F2556" s="1" t="s">
        <v>16436</v>
      </c>
    </row>
    <row r="2557">
      <c r="A2557" s="1">
        <v>49835.0</v>
      </c>
      <c r="B2557" s="1">
        <v>7636.0</v>
      </c>
      <c r="C2557" s="1">
        <v>1.611882133E9</v>
      </c>
      <c r="D2557" s="1">
        <v>4.0</v>
      </c>
      <c r="E2557" s="1" t="b">
        <v>0</v>
      </c>
      <c r="F2557" s="1" t="s">
        <v>16437</v>
      </c>
    </row>
    <row r="2558">
      <c r="A2558" s="1">
        <v>49835.0</v>
      </c>
      <c r="B2558" s="1">
        <v>3590.0</v>
      </c>
      <c r="C2558" s="1">
        <v>1.610622543E9</v>
      </c>
      <c r="D2558" s="1">
        <v>4.0</v>
      </c>
      <c r="E2558" s="1" t="b">
        <v>0</v>
      </c>
      <c r="F2558" s="1" t="s">
        <v>16438</v>
      </c>
    </row>
    <row r="2559">
      <c r="A2559" s="1">
        <v>49835.0</v>
      </c>
      <c r="B2559" s="1">
        <v>6935.0</v>
      </c>
      <c r="C2559" s="1">
        <v>1.61175743E9</v>
      </c>
      <c r="D2559" s="1">
        <v>4.0</v>
      </c>
      <c r="E2559" s="1" t="b">
        <v>0</v>
      </c>
      <c r="F2559" s="1" t="s">
        <v>16439</v>
      </c>
    </row>
    <row r="2560">
      <c r="A2560" s="1">
        <v>49835.0</v>
      </c>
      <c r="B2560" s="1">
        <v>1999.0</v>
      </c>
      <c r="C2560" s="1">
        <v>1.610185893E9</v>
      </c>
      <c r="D2560" s="1">
        <v>4.0</v>
      </c>
      <c r="E2560" s="1" t="b">
        <v>0</v>
      </c>
      <c r="F2560" s="1" t="s">
        <v>16440</v>
      </c>
    </row>
    <row r="2561">
      <c r="A2561" s="1">
        <v>49835.0</v>
      </c>
      <c r="B2561" s="1">
        <v>9756.0</v>
      </c>
      <c r="C2561" s="1">
        <v>1.612236509E9</v>
      </c>
      <c r="D2561" s="1">
        <v>4.0</v>
      </c>
      <c r="E2561" s="1" t="b">
        <v>0</v>
      </c>
      <c r="F2561" s="1" t="s">
        <v>16441</v>
      </c>
    </row>
    <row r="2562">
      <c r="A2562" s="1">
        <v>49835.0</v>
      </c>
      <c r="B2562" s="1">
        <v>16395.0</v>
      </c>
      <c r="C2562" s="1">
        <v>1.616471147E9</v>
      </c>
      <c r="D2562" s="1">
        <v>4.0</v>
      </c>
      <c r="E2562" s="1" t="b">
        <v>0</v>
      </c>
      <c r="F2562" s="1" t="s">
        <v>16442</v>
      </c>
    </row>
    <row r="2563">
      <c r="A2563" s="1">
        <v>49835.0</v>
      </c>
      <c r="B2563" s="1">
        <v>11372.0</v>
      </c>
      <c r="C2563" s="1">
        <v>1.612749006E9</v>
      </c>
      <c r="D2563" s="1">
        <v>4.0</v>
      </c>
      <c r="E2563" s="1" t="b">
        <v>0</v>
      </c>
      <c r="F2563" s="1" t="s">
        <v>16443</v>
      </c>
    </row>
    <row r="2564">
      <c r="A2564" s="1">
        <v>49835.0</v>
      </c>
      <c r="B2564" s="1">
        <v>10446.0</v>
      </c>
      <c r="C2564" s="1">
        <v>1.612450726E9</v>
      </c>
      <c r="D2564" s="1">
        <v>4.0</v>
      </c>
      <c r="E2564" s="1" t="b">
        <v>0</v>
      </c>
      <c r="F2564" s="1" t="s">
        <v>16444</v>
      </c>
    </row>
    <row r="2565">
      <c r="A2565" s="1">
        <v>49835.0</v>
      </c>
      <c r="B2565" s="1">
        <v>2209.0</v>
      </c>
      <c r="C2565" s="1">
        <v>1.607611209E9</v>
      </c>
      <c r="D2565" s="1">
        <v>4.0</v>
      </c>
      <c r="E2565" s="1" t="b">
        <v>0</v>
      </c>
      <c r="F2565" s="1" t="s">
        <v>16445</v>
      </c>
    </row>
    <row r="2566">
      <c r="A2566" s="1">
        <v>49835.0</v>
      </c>
      <c r="B2566" s="1">
        <v>3591.0</v>
      </c>
      <c r="C2566" s="1">
        <v>1.610623424E9</v>
      </c>
      <c r="D2566" s="1">
        <v>4.0</v>
      </c>
      <c r="E2566" s="1" t="b">
        <v>0</v>
      </c>
      <c r="F2566" s="1" t="s">
        <v>16446</v>
      </c>
    </row>
    <row r="2567">
      <c r="A2567" s="1">
        <v>49835.0</v>
      </c>
      <c r="B2567" s="1">
        <v>16362.0</v>
      </c>
      <c r="C2567" s="1">
        <v>1.616395376E9</v>
      </c>
      <c r="D2567" s="1">
        <v>4.0</v>
      </c>
      <c r="E2567" s="1" t="b">
        <v>0</v>
      </c>
      <c r="F2567" s="1" t="s">
        <v>16447</v>
      </c>
    </row>
    <row r="2568">
      <c r="A2568" s="1">
        <v>49835.0</v>
      </c>
      <c r="B2568" s="1">
        <v>5949.0</v>
      </c>
      <c r="C2568" s="1">
        <v>1.611513975E9</v>
      </c>
      <c r="D2568" s="1">
        <v>4.0</v>
      </c>
      <c r="E2568" s="1" t="b">
        <v>0</v>
      </c>
      <c r="F2568" s="1" t="s">
        <v>16448</v>
      </c>
    </row>
    <row r="2569">
      <c r="A2569" s="1">
        <v>49835.0</v>
      </c>
      <c r="B2569" s="1">
        <v>16366.0</v>
      </c>
      <c r="C2569" s="1">
        <v>1.616353192E9</v>
      </c>
      <c r="D2569" s="1">
        <v>4.0</v>
      </c>
      <c r="E2569" s="1" t="b">
        <v>0</v>
      </c>
      <c r="F2569" s="1" t="s">
        <v>16449</v>
      </c>
    </row>
    <row r="2570">
      <c r="A2570" s="1">
        <v>49835.0</v>
      </c>
      <c r="B2570" s="1">
        <v>11181.0</v>
      </c>
      <c r="C2570" s="1">
        <v>1.612696592E9</v>
      </c>
      <c r="D2570" s="1">
        <v>4.0</v>
      </c>
      <c r="E2570" s="1" t="b">
        <v>0</v>
      </c>
      <c r="F2570" s="1" t="s">
        <v>16450</v>
      </c>
    </row>
    <row r="2571">
      <c r="A2571" s="1">
        <v>49835.0</v>
      </c>
      <c r="B2571" s="1">
        <v>16365.0</v>
      </c>
      <c r="C2571" s="1">
        <v>1.616345804E9</v>
      </c>
      <c r="D2571" s="1">
        <v>4.0</v>
      </c>
      <c r="E2571" s="1" t="b">
        <v>0</v>
      </c>
      <c r="F2571" s="1" t="s">
        <v>16451</v>
      </c>
    </row>
    <row r="2572">
      <c r="A2572" s="1">
        <v>49835.0</v>
      </c>
      <c r="B2572" s="1">
        <v>19968.0</v>
      </c>
      <c r="C2572" s="1">
        <v>1.623594496E9</v>
      </c>
      <c r="D2572" s="1">
        <v>4.0</v>
      </c>
      <c r="E2572" s="1" t="b">
        <v>0</v>
      </c>
      <c r="F2572" s="1" t="s">
        <v>16452</v>
      </c>
    </row>
    <row r="2573">
      <c r="A2573" s="1">
        <v>49835.0</v>
      </c>
      <c r="B2573" s="1">
        <v>13910.0</v>
      </c>
      <c r="C2573" s="1">
        <v>1.613406787E9</v>
      </c>
      <c r="D2573" s="1">
        <v>4.0</v>
      </c>
      <c r="E2573" s="1" t="b">
        <v>0</v>
      </c>
      <c r="F2573" s="1" t="s">
        <v>16453</v>
      </c>
    </row>
    <row r="2574">
      <c r="A2574" s="1">
        <v>49835.0</v>
      </c>
      <c r="B2574" s="1">
        <v>13898.0</v>
      </c>
      <c r="C2574" s="1">
        <v>1.613397248E9</v>
      </c>
      <c r="D2574" s="1">
        <v>4.0</v>
      </c>
      <c r="E2574" s="1" t="b">
        <v>0</v>
      </c>
      <c r="F2574" s="1" t="s">
        <v>16454</v>
      </c>
    </row>
    <row r="2575">
      <c r="A2575" s="1">
        <v>49835.0</v>
      </c>
      <c r="B2575" s="1">
        <v>16331.0</v>
      </c>
      <c r="C2575" s="1">
        <v>1.61630479E9</v>
      </c>
      <c r="D2575" s="1">
        <v>4.0</v>
      </c>
      <c r="E2575" s="1" t="b">
        <v>0</v>
      </c>
      <c r="F2575" s="1" t="s">
        <v>16455</v>
      </c>
    </row>
    <row r="2576">
      <c r="A2576" s="1">
        <v>49835.0</v>
      </c>
      <c r="B2576" s="1">
        <v>16358.0</v>
      </c>
      <c r="C2576" s="1">
        <v>1.616342526E9</v>
      </c>
      <c r="D2576" s="1">
        <v>4.0</v>
      </c>
      <c r="E2576" s="1" t="b">
        <v>0</v>
      </c>
      <c r="F2576" s="1" t="s">
        <v>16456</v>
      </c>
    </row>
    <row r="2577">
      <c r="A2577" s="1">
        <v>49835.0</v>
      </c>
      <c r="B2577" s="1">
        <v>14098.0</v>
      </c>
      <c r="C2577" s="1">
        <v>1.613622457E9</v>
      </c>
      <c r="D2577" s="1">
        <v>4.0</v>
      </c>
      <c r="E2577" s="1" t="b">
        <v>0</v>
      </c>
      <c r="F2577" s="1" t="s">
        <v>16457</v>
      </c>
    </row>
    <row r="2578">
      <c r="A2578" s="1">
        <v>49835.0</v>
      </c>
      <c r="B2578" s="1">
        <v>20050.0</v>
      </c>
      <c r="C2578" s="1">
        <v>1.623685134E9</v>
      </c>
      <c r="D2578" s="1">
        <v>4.0</v>
      </c>
      <c r="E2578" s="1" t="b">
        <v>0</v>
      </c>
      <c r="F2578" s="1" t="s">
        <v>16458</v>
      </c>
    </row>
    <row r="2579">
      <c r="A2579" s="1">
        <v>49835.0</v>
      </c>
      <c r="B2579" s="1">
        <v>19108.0</v>
      </c>
      <c r="C2579" s="1">
        <v>1.622382295E9</v>
      </c>
      <c r="D2579" s="1">
        <v>4.0</v>
      </c>
      <c r="E2579" s="1" t="b">
        <v>0</v>
      </c>
      <c r="F2579" s="1" t="s">
        <v>16459</v>
      </c>
    </row>
    <row r="2580">
      <c r="A2580" s="1">
        <v>49835.0</v>
      </c>
      <c r="B2580" s="1">
        <v>16570.0</v>
      </c>
      <c r="C2580" s="1">
        <v>1.617179938E9</v>
      </c>
      <c r="D2580" s="1">
        <v>4.0</v>
      </c>
      <c r="E2580" s="1" t="b">
        <v>0</v>
      </c>
      <c r="F2580" s="1" t="s">
        <v>16460</v>
      </c>
    </row>
    <row r="2581">
      <c r="A2581" s="1">
        <v>49835.0</v>
      </c>
      <c r="B2581" s="1">
        <v>19755.0</v>
      </c>
      <c r="C2581" s="1">
        <v>1.623250813E9</v>
      </c>
      <c r="D2581" s="1">
        <v>4.0</v>
      </c>
      <c r="E2581" s="1" t="b">
        <v>0</v>
      </c>
      <c r="F2581" s="1" t="s">
        <v>16461</v>
      </c>
    </row>
    <row r="2582">
      <c r="A2582" s="1">
        <v>49835.0</v>
      </c>
      <c r="B2582" s="1">
        <v>4399.0</v>
      </c>
      <c r="C2582" s="1">
        <v>1.611122234E9</v>
      </c>
      <c r="D2582" s="1">
        <v>4.0</v>
      </c>
      <c r="E2582" s="1" t="b">
        <v>0</v>
      </c>
      <c r="F2582" s="1" t="s">
        <v>16462</v>
      </c>
    </row>
    <row r="2583">
      <c r="A2583" s="1">
        <v>49835.0</v>
      </c>
      <c r="B2583" s="1">
        <v>18171.0</v>
      </c>
      <c r="C2583" s="1">
        <v>1.621181767E9</v>
      </c>
      <c r="D2583" s="1">
        <v>4.0</v>
      </c>
      <c r="E2583" s="1" t="b">
        <v>0</v>
      </c>
      <c r="F2583" s="1" t="s">
        <v>16463</v>
      </c>
    </row>
    <row r="2584">
      <c r="A2584" s="1">
        <v>49835.0</v>
      </c>
      <c r="B2584" s="1">
        <v>2473.0</v>
      </c>
      <c r="C2584" s="1">
        <v>1.608360929E9</v>
      </c>
      <c r="D2584" s="1">
        <v>4.0</v>
      </c>
      <c r="E2584" s="1" t="b">
        <v>0</v>
      </c>
      <c r="F2584" s="1" t="s">
        <v>16464</v>
      </c>
    </row>
    <row r="2585">
      <c r="A2585" s="1">
        <v>49835.0</v>
      </c>
      <c r="B2585" s="1">
        <v>11224.0</v>
      </c>
      <c r="C2585" s="1">
        <v>1.612704002E9</v>
      </c>
      <c r="D2585" s="1">
        <v>4.0</v>
      </c>
      <c r="E2585" s="1" t="b">
        <v>0</v>
      </c>
      <c r="F2585" s="1" t="s">
        <v>16465</v>
      </c>
    </row>
    <row r="2586">
      <c r="A2586" s="1">
        <v>49835.0</v>
      </c>
      <c r="B2586" s="1">
        <v>20139.0</v>
      </c>
      <c r="C2586" s="1">
        <v>1.623828286E9</v>
      </c>
      <c r="D2586" s="1">
        <v>4.0</v>
      </c>
      <c r="E2586" s="1" t="b">
        <v>0</v>
      </c>
      <c r="F2586" s="1" t="s">
        <v>16466</v>
      </c>
    </row>
    <row r="2587">
      <c r="A2587" s="1">
        <v>49835.0</v>
      </c>
      <c r="B2587" s="1">
        <v>18638.0</v>
      </c>
      <c r="C2587" s="1">
        <v>1.621788743E9</v>
      </c>
      <c r="D2587" s="1">
        <v>4.0</v>
      </c>
      <c r="E2587" s="1" t="b">
        <v>0</v>
      </c>
      <c r="F2587" s="1" t="s">
        <v>16467</v>
      </c>
    </row>
    <row r="2588">
      <c r="A2588" s="1">
        <v>49835.0</v>
      </c>
      <c r="B2588" s="1">
        <v>16567.0</v>
      </c>
      <c r="C2588" s="1">
        <v>1.617178851E9</v>
      </c>
      <c r="D2588" s="1">
        <v>4.0</v>
      </c>
      <c r="E2588" s="1" t="b">
        <v>0</v>
      </c>
      <c r="F2588" s="1" t="s">
        <v>16468</v>
      </c>
    </row>
    <row r="2589">
      <c r="A2589" s="1">
        <v>49835.0</v>
      </c>
      <c r="B2589" s="1">
        <v>16357.0</v>
      </c>
      <c r="C2589" s="1">
        <v>1.616338075E9</v>
      </c>
      <c r="D2589" s="1">
        <v>4.0</v>
      </c>
      <c r="E2589" s="1" t="b">
        <v>0</v>
      </c>
      <c r="F2589" s="1" t="s">
        <v>16469</v>
      </c>
    </row>
    <row r="2590">
      <c r="A2590" s="1">
        <v>49835.0</v>
      </c>
      <c r="B2590" s="1">
        <v>16350.0</v>
      </c>
      <c r="C2590" s="1">
        <v>1.616333923E9</v>
      </c>
      <c r="D2590" s="1">
        <v>4.0</v>
      </c>
      <c r="E2590" s="1" t="b">
        <v>0</v>
      </c>
      <c r="F2590" s="1" t="s">
        <v>16470</v>
      </c>
    </row>
    <row r="2591">
      <c r="A2591" s="1">
        <v>49835.0</v>
      </c>
      <c r="B2591" s="1">
        <v>16332.0</v>
      </c>
      <c r="C2591" s="1">
        <v>1.616306768E9</v>
      </c>
      <c r="D2591" s="1">
        <v>4.0</v>
      </c>
      <c r="E2591" s="1" t="b">
        <v>0</v>
      </c>
      <c r="F2591" s="1" t="s">
        <v>16471</v>
      </c>
    </row>
    <row r="2592">
      <c r="A2592" s="1">
        <v>49835.0</v>
      </c>
      <c r="B2592" s="1">
        <v>16326.0</v>
      </c>
      <c r="C2592" s="1">
        <v>1.616265834E9</v>
      </c>
      <c r="D2592" s="1">
        <v>4.0</v>
      </c>
      <c r="E2592" s="1" t="b">
        <v>0</v>
      </c>
      <c r="F2592" s="1" t="s">
        <v>16472</v>
      </c>
    </row>
    <row r="2593">
      <c r="A2593" s="1">
        <v>49835.0</v>
      </c>
      <c r="B2593" s="1">
        <v>16310.0</v>
      </c>
      <c r="C2593" s="1">
        <v>1.616241291E9</v>
      </c>
      <c r="D2593" s="1">
        <v>4.0</v>
      </c>
      <c r="E2593" s="1" t="b">
        <v>0</v>
      </c>
      <c r="F2593" s="1" t="s">
        <v>16473</v>
      </c>
    </row>
    <row r="2594">
      <c r="A2594" s="1">
        <v>49835.0</v>
      </c>
      <c r="B2594" s="1">
        <v>2531.0</v>
      </c>
      <c r="C2594" s="1">
        <v>1.608485488E9</v>
      </c>
      <c r="D2594" s="1">
        <v>4.0</v>
      </c>
      <c r="E2594" s="1" t="b">
        <v>0</v>
      </c>
      <c r="F2594" s="1" t="s">
        <v>16474</v>
      </c>
    </row>
    <row r="2595">
      <c r="A2595" s="1">
        <v>49835.0</v>
      </c>
      <c r="B2595" s="1">
        <v>9206.0</v>
      </c>
      <c r="C2595" s="1">
        <v>1.614505151E9</v>
      </c>
      <c r="D2595" s="1">
        <v>4.0</v>
      </c>
      <c r="E2595" s="1" t="b">
        <v>0</v>
      </c>
      <c r="F2595" s="1" t="s">
        <v>16475</v>
      </c>
    </row>
    <row r="2596">
      <c r="A2596" s="1">
        <v>49835.0</v>
      </c>
      <c r="B2596" s="1">
        <v>6105.0</v>
      </c>
      <c r="C2596" s="1">
        <v>1.611884999E9</v>
      </c>
      <c r="D2596" s="1">
        <v>4.0</v>
      </c>
      <c r="E2596" s="1" t="b">
        <v>0</v>
      </c>
      <c r="F2596" s="1" t="s">
        <v>16476</v>
      </c>
    </row>
    <row r="2597">
      <c r="A2597" s="1">
        <v>49835.0</v>
      </c>
      <c r="B2597" s="1">
        <v>19985.0</v>
      </c>
      <c r="C2597" s="1">
        <v>1.623593352E9</v>
      </c>
      <c r="D2597" s="1">
        <v>4.0</v>
      </c>
      <c r="E2597" s="1" t="b">
        <v>0</v>
      </c>
      <c r="F2597" s="1" t="s">
        <v>16477</v>
      </c>
    </row>
    <row r="2598">
      <c r="A2598" s="1">
        <v>49835.0</v>
      </c>
      <c r="B2598" s="1">
        <v>7746.0</v>
      </c>
      <c r="C2598" s="1">
        <v>1.611897671E9</v>
      </c>
      <c r="D2598" s="1">
        <v>4.0</v>
      </c>
      <c r="E2598" s="1" t="b">
        <v>0</v>
      </c>
      <c r="F2598" s="1" t="s">
        <v>16478</v>
      </c>
    </row>
    <row r="2599">
      <c r="A2599" s="1">
        <v>49835.0</v>
      </c>
      <c r="B2599" s="1">
        <v>19885.0</v>
      </c>
      <c r="C2599" s="1">
        <v>1.623425051E9</v>
      </c>
      <c r="D2599" s="1">
        <v>4.0</v>
      </c>
      <c r="E2599" s="1" t="b">
        <v>0</v>
      </c>
      <c r="F2599" s="1" t="s">
        <v>16479</v>
      </c>
    </row>
    <row r="2600">
      <c r="A2600" s="1">
        <v>49835.0</v>
      </c>
      <c r="B2600" s="1">
        <v>6513.0</v>
      </c>
      <c r="C2600" s="1">
        <v>1.611658958E9</v>
      </c>
      <c r="D2600" s="1">
        <v>4.0</v>
      </c>
      <c r="E2600" s="1" t="b">
        <v>0</v>
      </c>
      <c r="F2600" s="1" t="s">
        <v>6</v>
      </c>
    </row>
    <row r="2601">
      <c r="A2601" s="1">
        <v>49835.0</v>
      </c>
      <c r="B2601" s="1">
        <v>18301.0</v>
      </c>
      <c r="C2601" s="1">
        <v>1.62133955E9</v>
      </c>
      <c r="D2601" s="1">
        <v>4.0</v>
      </c>
      <c r="E2601" s="1" t="b">
        <v>0</v>
      </c>
      <c r="F2601" s="1" t="s">
        <v>16480</v>
      </c>
    </row>
    <row r="2602">
      <c r="A2602" s="1">
        <v>49835.0</v>
      </c>
      <c r="B2602" s="1">
        <v>16312.0</v>
      </c>
      <c r="C2602" s="1">
        <v>1.616233961E9</v>
      </c>
      <c r="D2602" s="1">
        <v>4.0</v>
      </c>
      <c r="E2602" s="1" t="b">
        <v>0</v>
      </c>
      <c r="F2602" s="1" t="s">
        <v>16481</v>
      </c>
    </row>
    <row r="2603">
      <c r="A2603" s="1">
        <v>49835.0</v>
      </c>
      <c r="B2603" s="1">
        <v>20405.0</v>
      </c>
      <c r="C2603" s="1">
        <v>1.624297364E9</v>
      </c>
      <c r="D2603" s="1">
        <v>4.0</v>
      </c>
      <c r="E2603" s="1" t="b">
        <v>0</v>
      </c>
      <c r="F2603" s="1" t="s">
        <v>16482</v>
      </c>
    </row>
    <row r="2604">
      <c r="A2604" s="1">
        <v>49835.0</v>
      </c>
      <c r="B2604" s="1">
        <v>2618.0</v>
      </c>
      <c r="C2604" s="1">
        <v>1.608724919E9</v>
      </c>
      <c r="D2604" s="1">
        <v>4.0</v>
      </c>
      <c r="E2604" s="1" t="b">
        <v>0</v>
      </c>
      <c r="F2604" s="1" t="s">
        <v>16483</v>
      </c>
    </row>
    <row r="2605">
      <c r="A2605" s="1">
        <v>49835.0</v>
      </c>
      <c r="B2605" s="1">
        <v>16604.0</v>
      </c>
      <c r="C2605" s="1">
        <v>1.617367775E9</v>
      </c>
      <c r="D2605" s="1">
        <v>4.0</v>
      </c>
      <c r="E2605" s="1" t="b">
        <v>0</v>
      </c>
      <c r="F2605" s="1" t="s">
        <v>16484</v>
      </c>
    </row>
    <row r="2606">
      <c r="A2606" s="1">
        <v>49835.0</v>
      </c>
      <c r="B2606" s="1">
        <v>18916.0</v>
      </c>
      <c r="C2606" s="1">
        <v>1.622130672E9</v>
      </c>
      <c r="D2606" s="1">
        <v>4.0</v>
      </c>
      <c r="E2606" s="1" t="b">
        <v>0</v>
      </c>
      <c r="F2606" s="1" t="s">
        <v>16485</v>
      </c>
    </row>
    <row r="2607">
      <c r="A2607" s="1">
        <v>49835.0</v>
      </c>
      <c r="B2607" s="1">
        <v>5635.0</v>
      </c>
      <c r="C2607" s="1">
        <v>1.611469453E9</v>
      </c>
      <c r="D2607" s="1">
        <v>4.0</v>
      </c>
      <c r="E2607" s="1" t="b">
        <v>0</v>
      </c>
      <c r="F2607" s="1" t="s">
        <v>16486</v>
      </c>
    </row>
    <row r="2608">
      <c r="A2608" s="1">
        <v>49835.0</v>
      </c>
      <c r="B2608" s="1">
        <v>16513.0</v>
      </c>
      <c r="C2608" s="1">
        <v>1.616847654E9</v>
      </c>
      <c r="D2608" s="1">
        <v>4.0</v>
      </c>
      <c r="E2608" s="1" t="b">
        <v>0</v>
      </c>
      <c r="F2608" s="1" t="s">
        <v>16487</v>
      </c>
    </row>
    <row r="2609">
      <c r="A2609" s="1">
        <v>49835.0</v>
      </c>
      <c r="B2609" s="1">
        <v>18578.0</v>
      </c>
      <c r="C2609" s="1">
        <v>1.621746181E9</v>
      </c>
      <c r="D2609" s="1">
        <v>4.0</v>
      </c>
      <c r="E2609" s="1" t="b">
        <v>0</v>
      </c>
      <c r="F2609" s="1" t="s">
        <v>16488</v>
      </c>
    </row>
    <row r="2610">
      <c r="A2610" s="1">
        <v>49835.0</v>
      </c>
      <c r="B2610" s="1">
        <v>5550.0</v>
      </c>
      <c r="C2610" s="1">
        <v>1.611432704E9</v>
      </c>
      <c r="D2610" s="1">
        <v>4.0</v>
      </c>
      <c r="E2610" s="1" t="b">
        <v>0</v>
      </c>
      <c r="F2610" s="1" t="s">
        <v>16489</v>
      </c>
    </row>
    <row r="2611">
      <c r="A2611" s="1">
        <v>49835.0</v>
      </c>
      <c r="B2611" s="1">
        <v>5528.0</v>
      </c>
      <c r="C2611" s="1">
        <v>1.614422746E9</v>
      </c>
      <c r="D2611" s="1">
        <v>4.0</v>
      </c>
      <c r="E2611" s="1" t="b">
        <v>0</v>
      </c>
      <c r="F2611" s="1" t="s">
        <v>16490</v>
      </c>
    </row>
    <row r="2612">
      <c r="A2612" s="1">
        <v>49835.0</v>
      </c>
      <c r="B2612" s="1">
        <v>5542.0</v>
      </c>
      <c r="C2612" s="1">
        <v>1.611433843E9</v>
      </c>
      <c r="D2612" s="1">
        <v>4.0</v>
      </c>
      <c r="E2612" s="1" t="b">
        <v>0</v>
      </c>
      <c r="F2612" s="1" t="s">
        <v>16491</v>
      </c>
    </row>
    <row r="2613">
      <c r="A2613" s="1">
        <v>49835.0</v>
      </c>
      <c r="B2613" s="1">
        <v>14277.0</v>
      </c>
      <c r="C2613" s="1">
        <v>1.613817652E9</v>
      </c>
      <c r="D2613" s="1">
        <v>4.0</v>
      </c>
      <c r="E2613" s="1" t="b">
        <v>0</v>
      </c>
      <c r="F2613" s="1" t="s">
        <v>16492</v>
      </c>
    </row>
    <row r="2614">
      <c r="A2614" s="1">
        <v>49835.0</v>
      </c>
      <c r="B2614" s="1">
        <v>13968.0</v>
      </c>
      <c r="C2614" s="1">
        <v>1.613499136E9</v>
      </c>
      <c r="D2614" s="1">
        <v>4.0</v>
      </c>
      <c r="E2614" s="1" t="b">
        <v>0</v>
      </c>
      <c r="F2614" s="1" t="s">
        <v>16493</v>
      </c>
    </row>
    <row r="2615">
      <c r="A2615" s="1">
        <v>49835.0</v>
      </c>
      <c r="B2615" s="1">
        <v>17955.0</v>
      </c>
      <c r="C2615" s="1">
        <v>1.620720362E9</v>
      </c>
      <c r="D2615" s="1">
        <v>4.0</v>
      </c>
      <c r="E2615" s="1" t="b">
        <v>0</v>
      </c>
      <c r="F2615" s="1" t="s">
        <v>16494</v>
      </c>
    </row>
    <row r="2616">
      <c r="A2616" s="1">
        <v>49835.0</v>
      </c>
      <c r="B2616" s="1">
        <v>11890.0</v>
      </c>
      <c r="C2616" s="1">
        <v>1.612872791E9</v>
      </c>
      <c r="D2616" s="1">
        <v>4.0</v>
      </c>
      <c r="E2616" s="1" t="b">
        <v>0</v>
      </c>
      <c r="F2616" s="1" t="s">
        <v>16495</v>
      </c>
    </row>
    <row r="2617">
      <c r="A2617" s="1">
        <v>49835.0</v>
      </c>
      <c r="B2617" s="1">
        <v>2263.0</v>
      </c>
      <c r="C2617" s="1">
        <v>1.607800964E9</v>
      </c>
      <c r="D2617" s="1">
        <v>4.0</v>
      </c>
      <c r="E2617" s="1" t="b">
        <v>0</v>
      </c>
      <c r="F2617" s="1" t="s">
        <v>16496</v>
      </c>
    </row>
    <row r="2618">
      <c r="A2618" s="1">
        <v>49835.0</v>
      </c>
      <c r="B2618" s="1">
        <v>16602.0</v>
      </c>
      <c r="C2618" s="1">
        <v>1.617361435E9</v>
      </c>
      <c r="D2618" s="1">
        <v>4.0</v>
      </c>
      <c r="E2618" s="1" t="b">
        <v>0</v>
      </c>
      <c r="F2618" s="1" t="s">
        <v>16497</v>
      </c>
    </row>
    <row r="2619">
      <c r="A2619" s="1">
        <v>49835.0</v>
      </c>
      <c r="B2619" s="1">
        <v>9728.0</v>
      </c>
      <c r="C2619" s="1">
        <v>1.612207917E9</v>
      </c>
      <c r="D2619" s="1">
        <v>4.0</v>
      </c>
      <c r="E2619" s="1" t="b">
        <v>0</v>
      </c>
      <c r="F2619" s="1" t="s">
        <v>16014</v>
      </c>
    </row>
    <row r="2620">
      <c r="A2620" s="1">
        <v>49835.0</v>
      </c>
      <c r="B2620" s="1">
        <v>7098.0</v>
      </c>
      <c r="C2620" s="1">
        <v>1.611808097E9</v>
      </c>
      <c r="D2620" s="1">
        <v>4.0</v>
      </c>
      <c r="E2620" s="1" t="b">
        <v>0</v>
      </c>
      <c r="F2620" s="1" t="s">
        <v>16498</v>
      </c>
    </row>
    <row r="2621">
      <c r="A2621" s="1">
        <v>49835.0</v>
      </c>
      <c r="B2621" s="1">
        <v>19154.0</v>
      </c>
      <c r="C2621" s="1">
        <v>1.62244676E9</v>
      </c>
      <c r="D2621" s="1">
        <v>4.0</v>
      </c>
      <c r="E2621" s="1" t="b">
        <v>0</v>
      </c>
      <c r="F2621" s="1" t="s">
        <v>16499</v>
      </c>
    </row>
    <row r="2622">
      <c r="A2622" s="1">
        <v>49835.0</v>
      </c>
      <c r="B2622" s="1">
        <v>9761.0</v>
      </c>
      <c r="C2622" s="1">
        <v>1.612236553E9</v>
      </c>
      <c r="D2622" s="1">
        <v>4.0</v>
      </c>
      <c r="E2622" s="1" t="b">
        <v>0</v>
      </c>
      <c r="F2622" s="1" t="s">
        <v>16500</v>
      </c>
    </row>
    <row r="2623">
      <c r="A2623" s="1">
        <v>49835.0</v>
      </c>
      <c r="B2623" s="1">
        <v>9263.0</v>
      </c>
      <c r="C2623" s="1">
        <v>1.612141871E9</v>
      </c>
      <c r="D2623" s="1">
        <v>4.0</v>
      </c>
      <c r="E2623" s="1" t="b">
        <v>0</v>
      </c>
      <c r="F2623" s="1" t="s">
        <v>16501</v>
      </c>
    </row>
    <row r="2624">
      <c r="A2624" s="1">
        <v>49835.0</v>
      </c>
      <c r="B2624" s="1">
        <v>9264.0</v>
      </c>
      <c r="C2624" s="1">
        <v>1.612141884E9</v>
      </c>
      <c r="D2624" s="1">
        <v>4.0</v>
      </c>
      <c r="E2624" s="1" t="b">
        <v>0</v>
      </c>
      <c r="F2624" s="1" t="s">
        <v>16502</v>
      </c>
    </row>
    <row r="2625">
      <c r="A2625" s="1">
        <v>49835.0</v>
      </c>
      <c r="B2625" s="1">
        <v>2696.0</v>
      </c>
      <c r="C2625" s="1">
        <v>1.6090027E9</v>
      </c>
      <c r="D2625" s="1">
        <v>4.0</v>
      </c>
      <c r="E2625" s="1" t="b">
        <v>0</v>
      </c>
      <c r="F2625" s="1" t="s">
        <v>16503</v>
      </c>
    </row>
    <row r="2626">
      <c r="A2626" s="1">
        <v>49835.0</v>
      </c>
      <c r="B2626" s="1">
        <v>5229.0</v>
      </c>
      <c r="C2626" s="1">
        <v>1.611342576E9</v>
      </c>
      <c r="D2626" s="1">
        <v>4.0</v>
      </c>
      <c r="E2626" s="1" t="b">
        <v>0</v>
      </c>
      <c r="F2626" s="1" t="s">
        <v>16504</v>
      </c>
    </row>
    <row r="2627">
      <c r="A2627" s="1">
        <v>49835.0</v>
      </c>
      <c r="B2627" s="1">
        <v>4654.0</v>
      </c>
      <c r="C2627" s="1">
        <v>1.611206772E9</v>
      </c>
      <c r="D2627" s="1">
        <v>4.0</v>
      </c>
      <c r="E2627" s="1" t="b">
        <v>0</v>
      </c>
      <c r="F2627" s="1" t="s">
        <v>16505</v>
      </c>
    </row>
    <row r="2628">
      <c r="A2628" s="1">
        <v>49835.0</v>
      </c>
      <c r="B2628" s="1">
        <v>16318.0</v>
      </c>
      <c r="C2628" s="1">
        <v>1.616314727E9</v>
      </c>
      <c r="D2628" s="1">
        <v>4.0</v>
      </c>
      <c r="E2628" s="1" t="b">
        <v>0</v>
      </c>
      <c r="F2628" s="1" t="s">
        <v>16506</v>
      </c>
    </row>
    <row r="2629">
      <c r="A2629" s="1">
        <v>49835.0</v>
      </c>
      <c r="B2629" s="1">
        <v>6933.0</v>
      </c>
      <c r="C2629" s="1">
        <v>1.611757429E9</v>
      </c>
      <c r="D2629" s="1">
        <v>4.0</v>
      </c>
      <c r="E2629" s="1" t="b">
        <v>0</v>
      </c>
      <c r="F2629" s="1" t="s">
        <v>16507</v>
      </c>
    </row>
    <row r="2630">
      <c r="A2630" s="1">
        <v>49835.0</v>
      </c>
      <c r="B2630" s="1">
        <v>10105.0</v>
      </c>
      <c r="C2630" s="1">
        <v>1.612347556E9</v>
      </c>
      <c r="D2630" s="1">
        <v>4.0</v>
      </c>
      <c r="E2630" s="1" t="b">
        <v>0</v>
      </c>
      <c r="F2630" s="1" t="s">
        <v>16508</v>
      </c>
    </row>
    <row r="2631">
      <c r="A2631" s="1">
        <v>49835.0</v>
      </c>
      <c r="B2631" s="1">
        <v>4636.0</v>
      </c>
      <c r="C2631" s="1">
        <v>1.611206769E9</v>
      </c>
      <c r="D2631" s="1">
        <v>4.0</v>
      </c>
      <c r="E2631" s="1" t="b">
        <v>0</v>
      </c>
      <c r="F2631" s="1" t="s">
        <v>16509</v>
      </c>
    </row>
    <row r="2632">
      <c r="A2632" s="1">
        <v>49835.0</v>
      </c>
      <c r="B2632" s="1">
        <v>14367.0</v>
      </c>
      <c r="C2632" s="1">
        <v>1.613736553E9</v>
      </c>
      <c r="D2632" s="1">
        <v>4.0</v>
      </c>
      <c r="E2632" s="1" t="b">
        <v>0</v>
      </c>
      <c r="F2632" s="1" t="s">
        <v>16510</v>
      </c>
    </row>
    <row r="2633">
      <c r="A2633" s="1">
        <v>49835.0</v>
      </c>
      <c r="B2633" s="1">
        <v>2744.0</v>
      </c>
      <c r="C2633" s="1">
        <v>1.6092264E9</v>
      </c>
      <c r="D2633" s="1">
        <v>4.0</v>
      </c>
      <c r="E2633" s="1" t="b">
        <v>0</v>
      </c>
      <c r="F2633" s="1" t="s">
        <v>16511</v>
      </c>
    </row>
    <row r="2634">
      <c r="A2634" s="1">
        <v>49835.0</v>
      </c>
      <c r="B2634" s="1">
        <v>9075.0</v>
      </c>
      <c r="C2634" s="1">
        <v>1.612091908E9</v>
      </c>
      <c r="D2634" s="1">
        <v>4.0</v>
      </c>
      <c r="E2634" s="1" t="b">
        <v>0</v>
      </c>
      <c r="F2634" s="1" t="s">
        <v>16512</v>
      </c>
    </row>
    <row r="2635">
      <c r="A2635" s="1">
        <v>49835.0</v>
      </c>
      <c r="B2635" s="1">
        <v>2171.0</v>
      </c>
      <c r="C2635" s="1">
        <v>1.607524305E9</v>
      </c>
      <c r="D2635" s="1">
        <v>4.0</v>
      </c>
      <c r="E2635" s="1" t="b">
        <v>0</v>
      </c>
      <c r="F2635" s="1" t="s">
        <v>16513</v>
      </c>
    </row>
    <row r="2636">
      <c r="A2636" s="1">
        <v>49835.0</v>
      </c>
      <c r="B2636" s="1">
        <v>4406.0</v>
      </c>
      <c r="C2636" s="1">
        <v>1.615394443E9</v>
      </c>
      <c r="D2636" s="1">
        <v>4.0</v>
      </c>
      <c r="E2636" s="1" t="b">
        <v>0</v>
      </c>
      <c r="F2636" s="1" t="s">
        <v>16514</v>
      </c>
    </row>
    <row r="2637">
      <c r="A2637" s="1">
        <v>49835.0</v>
      </c>
      <c r="B2637" s="1">
        <v>2619.0</v>
      </c>
      <c r="C2637" s="1">
        <v>1.608730596E9</v>
      </c>
      <c r="D2637" s="1">
        <v>4.0</v>
      </c>
      <c r="E2637" s="1" t="b">
        <v>0</v>
      </c>
      <c r="F2637" s="1" t="s">
        <v>16515</v>
      </c>
    </row>
    <row r="2638">
      <c r="A2638" s="1">
        <v>49835.0</v>
      </c>
      <c r="B2638" s="1">
        <v>5993.0</v>
      </c>
      <c r="C2638" s="1">
        <v>1.611540848E9</v>
      </c>
      <c r="D2638" s="1">
        <v>4.0</v>
      </c>
      <c r="E2638" s="1" t="b">
        <v>0</v>
      </c>
      <c r="F2638" s="1" t="s">
        <v>16516</v>
      </c>
    </row>
    <row r="2639">
      <c r="A2639" s="1">
        <v>49835.0</v>
      </c>
      <c r="B2639" s="1">
        <v>10981.0</v>
      </c>
      <c r="C2639" s="1">
        <v>1.612644002E9</v>
      </c>
      <c r="D2639" s="1">
        <v>4.0</v>
      </c>
      <c r="E2639" s="1" t="b">
        <v>0</v>
      </c>
      <c r="F2639" s="1" t="s">
        <v>16517</v>
      </c>
    </row>
    <row r="2640">
      <c r="A2640" s="1">
        <v>49835.0</v>
      </c>
      <c r="B2640" s="1">
        <v>11965.0</v>
      </c>
      <c r="C2640" s="1">
        <v>1.612872758E9</v>
      </c>
      <c r="D2640" s="1">
        <v>4.0</v>
      </c>
      <c r="E2640" s="1" t="b">
        <v>0</v>
      </c>
      <c r="F2640" s="1" t="s">
        <v>16518</v>
      </c>
    </row>
    <row r="2641">
      <c r="A2641" s="1">
        <v>49835.0</v>
      </c>
      <c r="B2641" s="1">
        <v>18145.0</v>
      </c>
      <c r="C2641" s="1">
        <v>1.621181755E9</v>
      </c>
      <c r="D2641" s="1">
        <v>4.0</v>
      </c>
      <c r="E2641" s="1" t="b">
        <v>0</v>
      </c>
      <c r="F2641" s="1" t="s">
        <v>16519</v>
      </c>
    </row>
    <row r="2642">
      <c r="A2642" s="1">
        <v>49835.0</v>
      </c>
      <c r="B2642" s="1">
        <v>6332.0</v>
      </c>
      <c r="C2642" s="1">
        <v>1.611644679E9</v>
      </c>
      <c r="D2642" s="1">
        <v>4.0</v>
      </c>
      <c r="E2642" s="1" t="b">
        <v>0</v>
      </c>
      <c r="F2642" s="1" t="s">
        <v>16520</v>
      </c>
    </row>
    <row r="2643">
      <c r="A2643" s="1">
        <v>49835.0</v>
      </c>
      <c r="B2643" s="1">
        <v>5129.0</v>
      </c>
      <c r="C2643" s="1">
        <v>1.611320583E9</v>
      </c>
      <c r="D2643" s="1">
        <v>4.0</v>
      </c>
      <c r="E2643" s="1" t="b">
        <v>0</v>
      </c>
      <c r="F2643" s="1" t="s">
        <v>16281</v>
      </c>
    </row>
    <row r="2644">
      <c r="A2644" s="1">
        <v>49835.0</v>
      </c>
      <c r="B2644" s="1">
        <v>6672.0</v>
      </c>
      <c r="C2644" s="1">
        <v>1.612942515E9</v>
      </c>
      <c r="D2644" s="1">
        <v>4.0</v>
      </c>
      <c r="E2644" s="1" t="b">
        <v>0</v>
      </c>
      <c r="F2644" s="1" t="s">
        <v>16521</v>
      </c>
    </row>
    <row r="2645">
      <c r="A2645" s="1">
        <v>49835.0</v>
      </c>
      <c r="B2645" s="1">
        <v>16016.0</v>
      </c>
      <c r="C2645" s="1">
        <v>1.615301497E9</v>
      </c>
      <c r="D2645" s="1">
        <v>9.0</v>
      </c>
      <c r="E2645" s="1" t="b">
        <v>0</v>
      </c>
      <c r="F2645" s="1" t="s">
        <v>16522</v>
      </c>
    </row>
    <row r="2646">
      <c r="A2646" s="1">
        <v>49835.0</v>
      </c>
      <c r="B2646" s="1">
        <v>18794.0</v>
      </c>
      <c r="C2646" s="1">
        <v>1.621965112E9</v>
      </c>
      <c r="D2646" s="1">
        <v>4.0</v>
      </c>
      <c r="E2646" s="1" t="b">
        <v>0</v>
      </c>
      <c r="F2646" s="1" t="s">
        <v>16523</v>
      </c>
    </row>
    <row r="2647">
      <c r="A2647" s="1">
        <v>49835.0</v>
      </c>
      <c r="B2647" s="1">
        <v>20293.0</v>
      </c>
      <c r="C2647" s="1">
        <v>1.6240761E9</v>
      </c>
      <c r="D2647" s="1">
        <v>4.0</v>
      </c>
      <c r="E2647" s="1" t="b">
        <v>0</v>
      </c>
      <c r="F2647" s="1" t="s">
        <v>16524</v>
      </c>
    </row>
    <row r="2648">
      <c r="A2648" s="1">
        <v>49835.0</v>
      </c>
      <c r="B2648" s="1">
        <v>3859.0</v>
      </c>
      <c r="C2648" s="1">
        <v>1.610863509E9</v>
      </c>
      <c r="D2648" s="1">
        <v>4.0</v>
      </c>
      <c r="E2648" s="1" t="b">
        <v>0</v>
      </c>
      <c r="F2648" s="1" t="s">
        <v>14761</v>
      </c>
    </row>
    <row r="2649">
      <c r="A2649" s="1">
        <v>49835.0</v>
      </c>
      <c r="B2649" s="1">
        <v>6956.0</v>
      </c>
      <c r="C2649" s="1">
        <v>1.615293183E9</v>
      </c>
      <c r="D2649" s="1">
        <v>4.0</v>
      </c>
      <c r="E2649" s="1" t="b">
        <v>0</v>
      </c>
      <c r="F2649" s="1" t="s">
        <v>16525</v>
      </c>
    </row>
    <row r="2650">
      <c r="A2650" s="1">
        <v>49835.0</v>
      </c>
      <c r="B2650" s="1">
        <v>12168.0</v>
      </c>
      <c r="C2650" s="1">
        <v>1.612942598E9</v>
      </c>
      <c r="D2650" s="1">
        <v>4.0</v>
      </c>
      <c r="E2650" s="1" t="b">
        <v>0</v>
      </c>
      <c r="F2650" s="1" t="s">
        <v>16526</v>
      </c>
    </row>
    <row r="2651">
      <c r="A2651" s="1">
        <v>49835.0</v>
      </c>
      <c r="B2651" s="1">
        <v>5242.0</v>
      </c>
      <c r="C2651" s="1">
        <v>1.611383179E9</v>
      </c>
      <c r="D2651" s="1">
        <v>4.0</v>
      </c>
      <c r="E2651" s="1" t="b">
        <v>0</v>
      </c>
      <c r="F2651" s="1" t="s">
        <v>16527</v>
      </c>
    </row>
    <row r="2652">
      <c r="A2652" s="1">
        <v>49835.0</v>
      </c>
      <c r="B2652" s="1">
        <v>6686.0</v>
      </c>
      <c r="C2652" s="1">
        <v>1.611723192E9</v>
      </c>
      <c r="D2652" s="1">
        <v>4.0</v>
      </c>
      <c r="E2652" s="1" t="b">
        <v>0</v>
      </c>
      <c r="F2652" s="1" t="s">
        <v>16528</v>
      </c>
    </row>
    <row r="2653">
      <c r="A2653" s="1">
        <v>49835.0</v>
      </c>
      <c r="B2653" s="1">
        <v>4506.0</v>
      </c>
      <c r="C2653" s="1">
        <v>1.611136949E9</v>
      </c>
      <c r="D2653" s="1">
        <v>4.0</v>
      </c>
      <c r="E2653" s="1" t="b">
        <v>0</v>
      </c>
      <c r="F2653" s="1" t="s">
        <v>16529</v>
      </c>
    </row>
    <row r="2654">
      <c r="A2654" s="1">
        <v>49835.0</v>
      </c>
      <c r="B2654" s="1">
        <v>7542.0</v>
      </c>
      <c r="C2654" s="1">
        <v>1.611856018E9</v>
      </c>
      <c r="D2654" s="1">
        <v>4.0</v>
      </c>
      <c r="E2654" s="1" t="b">
        <v>0</v>
      </c>
      <c r="F2654" s="1" t="s">
        <v>16530</v>
      </c>
    </row>
    <row r="2655">
      <c r="A2655" s="1">
        <v>49835.0</v>
      </c>
      <c r="B2655" s="1">
        <v>5944.0</v>
      </c>
      <c r="C2655" s="1">
        <v>1.611513192E9</v>
      </c>
      <c r="D2655" s="1">
        <v>4.0</v>
      </c>
      <c r="E2655" s="1" t="b">
        <v>0</v>
      </c>
      <c r="F2655" s="1" t="s">
        <v>16531</v>
      </c>
    </row>
    <row r="2656">
      <c r="A2656" s="1">
        <v>49835.0</v>
      </c>
      <c r="B2656" s="1">
        <v>9326.0</v>
      </c>
      <c r="C2656" s="1">
        <v>1.612141903E9</v>
      </c>
      <c r="D2656" s="1">
        <v>4.0</v>
      </c>
      <c r="E2656" s="1" t="b">
        <v>0</v>
      </c>
      <c r="F2656" s="1" t="s">
        <v>16421</v>
      </c>
    </row>
    <row r="2657">
      <c r="A2657" s="1">
        <v>49835.0</v>
      </c>
      <c r="B2657" s="1">
        <v>9315.0</v>
      </c>
      <c r="C2657" s="1">
        <v>1.612141901E9</v>
      </c>
      <c r="D2657" s="1">
        <v>4.0</v>
      </c>
      <c r="E2657" s="1" t="b">
        <v>0</v>
      </c>
      <c r="F2657" s="1" t="s">
        <v>16532</v>
      </c>
    </row>
    <row r="2658">
      <c r="A2658" s="1">
        <v>49835.0</v>
      </c>
      <c r="B2658" s="1">
        <v>8004.0</v>
      </c>
      <c r="C2658" s="1">
        <v>1.6121419E9</v>
      </c>
      <c r="D2658" s="1">
        <v>4.0</v>
      </c>
      <c r="E2658" s="1" t="b">
        <v>0</v>
      </c>
      <c r="F2658" s="1" t="s">
        <v>16533</v>
      </c>
    </row>
    <row r="2659">
      <c r="A2659" s="1">
        <v>49835.0</v>
      </c>
      <c r="B2659" s="1">
        <v>17361.0</v>
      </c>
      <c r="C2659" s="1">
        <v>1.619700741E9</v>
      </c>
      <c r="D2659" s="1">
        <v>4.0</v>
      </c>
      <c r="E2659" s="1" t="b">
        <v>0</v>
      </c>
      <c r="F2659" s="1" t="s">
        <v>14072</v>
      </c>
    </row>
    <row r="2660">
      <c r="A2660" s="1">
        <v>49835.0</v>
      </c>
      <c r="B2660" s="1">
        <v>3163.0</v>
      </c>
      <c r="C2660" s="1">
        <v>1.609914645E9</v>
      </c>
      <c r="D2660" s="1">
        <v>4.0</v>
      </c>
      <c r="E2660" s="1" t="b">
        <v>0</v>
      </c>
      <c r="F2660" s="1" t="s">
        <v>15949</v>
      </c>
    </row>
    <row r="2661">
      <c r="A2661" s="1">
        <v>49835.0</v>
      </c>
      <c r="B2661" s="1">
        <v>3912.0</v>
      </c>
      <c r="C2661" s="1">
        <v>1.620364243E9</v>
      </c>
      <c r="D2661" s="1">
        <v>4.0</v>
      </c>
      <c r="E2661" s="1" t="b">
        <v>0</v>
      </c>
      <c r="F2661" s="1" t="s">
        <v>16534</v>
      </c>
    </row>
    <row r="2662">
      <c r="A2662" s="1">
        <v>49835.0</v>
      </c>
      <c r="B2662" s="1">
        <v>9200.0</v>
      </c>
      <c r="C2662" s="1">
        <v>1.612141862E9</v>
      </c>
      <c r="D2662" s="1">
        <v>4.0</v>
      </c>
      <c r="E2662" s="1" t="b">
        <v>0</v>
      </c>
      <c r="F2662" s="1" t="s">
        <v>16016</v>
      </c>
    </row>
    <row r="2663">
      <c r="A2663" s="1">
        <v>49835.0</v>
      </c>
      <c r="B2663" s="1">
        <v>11607.0</v>
      </c>
      <c r="C2663" s="1">
        <v>1.612844785E9</v>
      </c>
      <c r="D2663" s="1">
        <v>4.0</v>
      </c>
      <c r="E2663" s="1" t="b">
        <v>0</v>
      </c>
      <c r="F2663" s="1" t="s">
        <v>16535</v>
      </c>
    </row>
    <row r="2664">
      <c r="A2664" s="1">
        <v>49835.0</v>
      </c>
      <c r="B2664" s="1">
        <v>15827.0</v>
      </c>
      <c r="C2664" s="1">
        <v>1.623401612E9</v>
      </c>
      <c r="D2664" s="1">
        <v>4.0</v>
      </c>
      <c r="E2664" s="1" t="b">
        <v>0</v>
      </c>
      <c r="F2664" s="1" t="s">
        <v>16536</v>
      </c>
    </row>
    <row r="2665">
      <c r="A2665" s="1">
        <v>49835.0</v>
      </c>
      <c r="B2665" s="1">
        <v>19298.0</v>
      </c>
      <c r="C2665" s="1">
        <v>1.622566836E9</v>
      </c>
      <c r="D2665" s="1">
        <v>4.0</v>
      </c>
      <c r="E2665" s="1" t="b">
        <v>0</v>
      </c>
      <c r="F2665" s="1" t="s">
        <v>16537</v>
      </c>
    </row>
    <row r="2666">
      <c r="A2666" s="1">
        <v>49835.0</v>
      </c>
      <c r="B2666" s="1">
        <v>13075.0</v>
      </c>
      <c r="C2666" s="1">
        <v>1.613195785E9</v>
      </c>
      <c r="D2666" s="1">
        <v>4.0</v>
      </c>
      <c r="E2666" s="1" t="b">
        <v>0</v>
      </c>
      <c r="F2666" s="1" t="s">
        <v>16538</v>
      </c>
    </row>
    <row r="2667">
      <c r="A2667" s="1">
        <v>49835.0</v>
      </c>
      <c r="B2667" s="1">
        <v>11943.0</v>
      </c>
      <c r="C2667" s="1">
        <v>1.612872346E9</v>
      </c>
      <c r="D2667" s="1">
        <v>4.0</v>
      </c>
      <c r="E2667" s="1" t="b">
        <v>0</v>
      </c>
      <c r="F2667" s="1" t="s">
        <v>16539</v>
      </c>
    </row>
    <row r="2668">
      <c r="A2668" s="1">
        <v>49835.0</v>
      </c>
      <c r="B2668" s="1">
        <v>14628.0</v>
      </c>
      <c r="C2668" s="1">
        <v>1.61502726E9</v>
      </c>
      <c r="D2668" s="1">
        <v>4.0</v>
      </c>
      <c r="E2668" s="1" t="b">
        <v>0</v>
      </c>
      <c r="F2668" s="1" t="s">
        <v>16540</v>
      </c>
    </row>
    <row r="2669">
      <c r="A2669" s="1">
        <v>49835.0</v>
      </c>
      <c r="B2669" s="1">
        <v>9216.0</v>
      </c>
      <c r="C2669" s="1">
        <v>1.612546158E9</v>
      </c>
      <c r="D2669" s="1">
        <v>4.0</v>
      </c>
      <c r="E2669" s="1" t="b">
        <v>0</v>
      </c>
      <c r="F2669" s="1" t="s">
        <v>16541</v>
      </c>
    </row>
    <row r="2670">
      <c r="A2670" s="1">
        <v>49835.0</v>
      </c>
      <c r="B2670" s="1">
        <v>2007.0</v>
      </c>
      <c r="C2670" s="1">
        <v>1.607185668E9</v>
      </c>
      <c r="D2670" s="1">
        <v>4.0</v>
      </c>
      <c r="E2670" s="1" t="b">
        <v>0</v>
      </c>
      <c r="F2670" s="1" t="s">
        <v>16542</v>
      </c>
    </row>
    <row r="2671">
      <c r="A2671" s="1">
        <v>49835.0</v>
      </c>
      <c r="B2671" s="1">
        <v>16507.0</v>
      </c>
      <c r="C2671" s="1">
        <v>1.616842782E9</v>
      </c>
      <c r="D2671" s="1">
        <v>4.0</v>
      </c>
      <c r="E2671" s="1" t="b">
        <v>0</v>
      </c>
      <c r="F2671" s="1" t="s">
        <v>16543</v>
      </c>
    </row>
    <row r="2672">
      <c r="A2672" s="1">
        <v>49835.0</v>
      </c>
      <c r="B2672" s="1">
        <v>2379.0</v>
      </c>
      <c r="C2672" s="1">
        <v>1.608107066E9</v>
      </c>
      <c r="D2672" s="1">
        <v>4.0</v>
      </c>
      <c r="E2672" s="1" t="b">
        <v>0</v>
      </c>
      <c r="F2672" s="1" t="s">
        <v>16544</v>
      </c>
    </row>
    <row r="2673">
      <c r="A2673" s="1">
        <v>49835.0</v>
      </c>
      <c r="B2673" s="1">
        <v>19733.0</v>
      </c>
      <c r="C2673" s="1">
        <v>1.623228359E9</v>
      </c>
      <c r="D2673" s="1">
        <v>4.0</v>
      </c>
      <c r="E2673" s="1" t="b">
        <v>0</v>
      </c>
      <c r="F2673" s="1" t="s">
        <v>16545</v>
      </c>
    </row>
    <row r="2674">
      <c r="A2674" s="1">
        <v>49835.0</v>
      </c>
      <c r="B2674" s="1">
        <v>13465.0</v>
      </c>
      <c r="C2674" s="1">
        <v>1.613277278E9</v>
      </c>
      <c r="D2674" s="1">
        <v>4.0</v>
      </c>
      <c r="E2674" s="1" t="b">
        <v>0</v>
      </c>
      <c r="F2674" s="1" t="s">
        <v>16546</v>
      </c>
    </row>
    <row r="2675">
      <c r="A2675" s="1">
        <v>49835.0</v>
      </c>
      <c r="B2675" s="1">
        <v>7651.0</v>
      </c>
      <c r="C2675" s="1">
        <v>1.611883455E9</v>
      </c>
      <c r="D2675" s="1">
        <v>4.0</v>
      </c>
      <c r="E2675" s="1" t="b">
        <v>0</v>
      </c>
      <c r="F2675" s="1" t="s">
        <v>16547</v>
      </c>
    </row>
    <row r="2676">
      <c r="A2676" s="1">
        <v>49835.0</v>
      </c>
      <c r="B2676" s="1">
        <v>7668.0</v>
      </c>
      <c r="C2676" s="1">
        <v>1.611888804E9</v>
      </c>
      <c r="D2676" s="1">
        <v>4.0</v>
      </c>
      <c r="E2676" s="1" t="b">
        <v>0</v>
      </c>
      <c r="F2676" s="1" t="s">
        <v>16548</v>
      </c>
    </row>
    <row r="2677">
      <c r="A2677" s="1">
        <v>49835.0</v>
      </c>
      <c r="B2677" s="1">
        <v>7677.0</v>
      </c>
      <c r="C2677" s="1">
        <v>1.61188884E9</v>
      </c>
      <c r="D2677" s="1">
        <v>4.0</v>
      </c>
      <c r="E2677" s="1" t="b">
        <v>0</v>
      </c>
      <c r="F2677" s="1" t="s">
        <v>16549</v>
      </c>
    </row>
    <row r="2678">
      <c r="A2678" s="1">
        <v>49835.0</v>
      </c>
      <c r="B2678" s="1">
        <v>6742.0</v>
      </c>
      <c r="C2678" s="1">
        <v>1.611734749E9</v>
      </c>
      <c r="D2678" s="1">
        <v>4.0</v>
      </c>
      <c r="E2678" s="1" t="b">
        <v>0</v>
      </c>
      <c r="F2678" s="1" t="s">
        <v>16550</v>
      </c>
    </row>
    <row r="2679">
      <c r="A2679" s="1">
        <v>49835.0</v>
      </c>
      <c r="B2679" s="1">
        <v>7367.0</v>
      </c>
      <c r="C2679" s="1">
        <v>1.611833125E9</v>
      </c>
      <c r="D2679" s="1">
        <v>4.0</v>
      </c>
      <c r="E2679" s="1" t="b">
        <v>0</v>
      </c>
      <c r="F2679" s="1" t="s">
        <v>16551</v>
      </c>
    </row>
    <row r="2680">
      <c r="A2680" s="1">
        <v>49835.0</v>
      </c>
      <c r="B2680" s="1">
        <v>7095.0</v>
      </c>
      <c r="C2680" s="1">
        <v>1.611808102E9</v>
      </c>
      <c r="D2680" s="1">
        <v>4.0</v>
      </c>
      <c r="E2680" s="1" t="b">
        <v>0</v>
      </c>
      <c r="F2680" s="1" t="s">
        <v>16552</v>
      </c>
    </row>
    <row r="2681">
      <c r="A2681" s="1">
        <v>49835.0</v>
      </c>
      <c r="B2681" s="1">
        <v>9191.0</v>
      </c>
      <c r="C2681" s="1">
        <v>1.612141859E9</v>
      </c>
      <c r="D2681" s="1">
        <v>4.0</v>
      </c>
      <c r="E2681" s="1" t="b">
        <v>0</v>
      </c>
      <c r="F2681" s="1" t="s">
        <v>16553</v>
      </c>
    </row>
    <row r="2682">
      <c r="A2682" s="1">
        <v>49835.0</v>
      </c>
      <c r="B2682" s="1">
        <v>9178.0</v>
      </c>
      <c r="C2682" s="1">
        <v>1.612141852E9</v>
      </c>
      <c r="D2682" s="1">
        <v>4.0</v>
      </c>
      <c r="E2682" s="1" t="b">
        <v>0</v>
      </c>
      <c r="F2682" s="1" t="s">
        <v>16554</v>
      </c>
    </row>
    <row r="2683">
      <c r="A2683" s="1">
        <v>49835.0</v>
      </c>
      <c r="B2683" s="1">
        <v>10236.0</v>
      </c>
      <c r="C2683" s="1">
        <v>1.612370425E9</v>
      </c>
      <c r="D2683" s="1">
        <v>4.0</v>
      </c>
      <c r="E2683" s="1" t="b">
        <v>0</v>
      </c>
      <c r="F2683" s="1" t="s">
        <v>16555</v>
      </c>
    </row>
    <row r="2684">
      <c r="A2684" s="1">
        <v>49835.0</v>
      </c>
      <c r="B2684" s="1">
        <v>7080.0</v>
      </c>
      <c r="C2684" s="1">
        <v>1.611808106E9</v>
      </c>
      <c r="D2684" s="1">
        <v>4.0</v>
      </c>
      <c r="E2684" s="1" t="b">
        <v>0</v>
      </c>
      <c r="F2684" s="1" t="s">
        <v>16556</v>
      </c>
    </row>
    <row r="2685">
      <c r="A2685" s="1">
        <v>49835.0</v>
      </c>
      <c r="B2685" s="1">
        <v>6648.0</v>
      </c>
      <c r="C2685" s="1">
        <v>1.611712089E9</v>
      </c>
      <c r="D2685" s="1">
        <v>4.0</v>
      </c>
      <c r="E2685" s="1" t="b">
        <v>0</v>
      </c>
      <c r="F2685" s="1" t="s">
        <v>16557</v>
      </c>
    </row>
    <row r="2686">
      <c r="A2686" s="1">
        <v>49835.0</v>
      </c>
      <c r="B2686" s="1">
        <v>16398.0</v>
      </c>
      <c r="C2686" s="1">
        <v>1.616473648E9</v>
      </c>
      <c r="D2686" s="1">
        <v>4.0</v>
      </c>
      <c r="E2686" s="1" t="b">
        <v>0</v>
      </c>
      <c r="F2686" s="1" t="s">
        <v>16558</v>
      </c>
    </row>
    <row r="2687">
      <c r="A2687" s="1">
        <v>49835.0</v>
      </c>
      <c r="B2687" s="1">
        <v>6038.0</v>
      </c>
      <c r="C2687" s="1">
        <v>1.611553823E9</v>
      </c>
      <c r="D2687" s="1">
        <v>4.0</v>
      </c>
      <c r="E2687" s="1" t="b">
        <v>0</v>
      </c>
      <c r="F2687" s="1" t="s">
        <v>16559</v>
      </c>
    </row>
    <row r="2688">
      <c r="A2688" s="1">
        <v>49835.0</v>
      </c>
      <c r="B2688" s="1">
        <v>9638.0</v>
      </c>
      <c r="C2688" s="1">
        <v>1.612184778E9</v>
      </c>
      <c r="D2688" s="1">
        <v>4.0</v>
      </c>
      <c r="E2688" s="1" t="b">
        <v>0</v>
      </c>
      <c r="F2688" s="1" t="s">
        <v>16560</v>
      </c>
    </row>
    <row r="2689">
      <c r="A2689" s="1">
        <v>49835.0</v>
      </c>
      <c r="B2689" s="1">
        <v>9620.0</v>
      </c>
      <c r="C2689" s="1">
        <v>1.612184776E9</v>
      </c>
      <c r="D2689" s="1">
        <v>4.0</v>
      </c>
      <c r="E2689" s="1" t="b">
        <v>0</v>
      </c>
      <c r="F2689" s="1" t="s">
        <v>16561</v>
      </c>
    </row>
    <row r="2690">
      <c r="A2690" s="1">
        <v>49835.0</v>
      </c>
      <c r="B2690" s="1">
        <v>6757.0</v>
      </c>
      <c r="C2690" s="1">
        <v>1.611734752E9</v>
      </c>
      <c r="D2690" s="1">
        <v>4.0</v>
      </c>
      <c r="E2690" s="1" t="b">
        <v>0</v>
      </c>
      <c r="F2690" s="1" t="s">
        <v>16562</v>
      </c>
    </row>
    <row r="2691">
      <c r="A2691" s="1">
        <v>49835.0</v>
      </c>
      <c r="B2691" s="1">
        <v>12738.0</v>
      </c>
      <c r="C2691" s="1">
        <v>1.613064881E9</v>
      </c>
      <c r="D2691" s="1">
        <v>4.0</v>
      </c>
      <c r="E2691" s="1" t="b">
        <v>0</v>
      </c>
      <c r="F2691" s="1" t="s">
        <v>16563</v>
      </c>
    </row>
    <row r="2692">
      <c r="A2692" s="1">
        <v>49835.0</v>
      </c>
      <c r="B2692" s="1">
        <v>2922.0</v>
      </c>
      <c r="C2692" s="1">
        <v>1.609584021E9</v>
      </c>
      <c r="D2692" s="1">
        <v>4.0</v>
      </c>
      <c r="E2692" s="1" t="b">
        <v>0</v>
      </c>
      <c r="F2692" s="1" t="s">
        <v>16564</v>
      </c>
    </row>
    <row r="2693">
      <c r="A2693" s="1">
        <v>49835.0</v>
      </c>
      <c r="B2693" s="1">
        <v>19582.0</v>
      </c>
      <c r="C2693" s="1">
        <v>1.623042804E9</v>
      </c>
      <c r="D2693" s="1">
        <v>4.0</v>
      </c>
      <c r="E2693" s="1" t="b">
        <v>0</v>
      </c>
      <c r="F2693" s="1" t="s">
        <v>16565</v>
      </c>
    </row>
    <row r="2694">
      <c r="A2694" s="1">
        <v>49835.0</v>
      </c>
      <c r="B2694" s="1">
        <v>17406.0</v>
      </c>
      <c r="C2694" s="1">
        <v>1.622066269E9</v>
      </c>
      <c r="D2694" s="1">
        <v>4.0</v>
      </c>
      <c r="E2694" s="1" t="b">
        <v>0</v>
      </c>
      <c r="F2694" s="1" t="s">
        <v>16566</v>
      </c>
      <c r="G2694" s="1" t="b">
        <v>1</v>
      </c>
    </row>
    <row r="2695">
      <c r="A2695" s="1">
        <v>49835.0</v>
      </c>
      <c r="B2695" s="1">
        <v>8199.0</v>
      </c>
      <c r="C2695" s="1">
        <v>1.611983592E9</v>
      </c>
      <c r="D2695" s="1">
        <v>4.0</v>
      </c>
      <c r="E2695" s="1" t="b">
        <v>0</v>
      </c>
      <c r="F2695" s="1" t="s">
        <v>16567</v>
      </c>
    </row>
    <row r="2696">
      <c r="A2696" s="1">
        <v>49835.0</v>
      </c>
      <c r="B2696" s="1">
        <v>19353.0</v>
      </c>
      <c r="C2696" s="1">
        <v>1.62262813E9</v>
      </c>
      <c r="D2696" s="1">
        <v>4.0</v>
      </c>
      <c r="E2696" s="1" t="b">
        <v>0</v>
      </c>
      <c r="F2696" s="1" t="s">
        <v>16568</v>
      </c>
    </row>
    <row r="2697">
      <c r="A2697" s="1">
        <v>49835.0</v>
      </c>
      <c r="B2697" s="1">
        <v>4424.0</v>
      </c>
      <c r="C2697" s="1">
        <v>1.611122235E9</v>
      </c>
      <c r="D2697" s="1">
        <v>4.0</v>
      </c>
      <c r="E2697" s="1" t="b">
        <v>0</v>
      </c>
      <c r="F2697" s="1" t="s">
        <v>16171</v>
      </c>
    </row>
    <row r="2698">
      <c r="A2698" s="1">
        <v>49835.0</v>
      </c>
      <c r="B2698" s="1">
        <v>13369.0</v>
      </c>
      <c r="C2698" s="1">
        <v>1.613234862E9</v>
      </c>
      <c r="D2698" s="1">
        <v>4.0</v>
      </c>
      <c r="E2698" s="1" t="b">
        <v>0</v>
      </c>
      <c r="F2698" s="1" t="s">
        <v>16569</v>
      </c>
    </row>
    <row r="2699">
      <c r="A2699" s="1">
        <v>49835.0</v>
      </c>
      <c r="B2699" s="1">
        <v>9597.0</v>
      </c>
      <c r="C2699" s="1">
        <v>1.612178789E9</v>
      </c>
      <c r="D2699" s="1">
        <v>4.0</v>
      </c>
      <c r="E2699" s="1" t="b">
        <v>0</v>
      </c>
      <c r="F2699" s="1" t="s">
        <v>16570</v>
      </c>
    </row>
    <row r="2700">
      <c r="A2700" s="1">
        <v>49835.0</v>
      </c>
      <c r="B2700" s="1">
        <v>2478.0</v>
      </c>
      <c r="C2700" s="1">
        <v>1.608375078E9</v>
      </c>
      <c r="D2700" s="1">
        <v>4.0</v>
      </c>
      <c r="E2700" s="1" t="b">
        <v>0</v>
      </c>
      <c r="F2700" s="1" t="s">
        <v>16571</v>
      </c>
    </row>
    <row r="2701">
      <c r="A2701" s="1">
        <v>49835.0</v>
      </c>
      <c r="B2701" s="1">
        <v>6971.0</v>
      </c>
      <c r="C2701" s="1">
        <v>1.611762121E9</v>
      </c>
      <c r="D2701" s="1">
        <v>4.0</v>
      </c>
      <c r="E2701" s="1" t="b">
        <v>0</v>
      </c>
      <c r="F2701" s="1" t="s">
        <v>16572</v>
      </c>
    </row>
    <row r="2702">
      <c r="A2702" s="1">
        <v>49835.0</v>
      </c>
      <c r="B2702" s="1">
        <v>7148.0</v>
      </c>
      <c r="C2702" s="1">
        <v>1.611808101E9</v>
      </c>
      <c r="D2702" s="1">
        <v>4.0</v>
      </c>
      <c r="E2702" s="1" t="b">
        <v>0</v>
      </c>
      <c r="F2702" s="1" t="s">
        <v>16573</v>
      </c>
    </row>
    <row r="2703">
      <c r="A2703" s="1">
        <v>49835.0</v>
      </c>
      <c r="B2703" s="1">
        <v>2309.0</v>
      </c>
      <c r="C2703" s="1">
        <v>1.607969134E9</v>
      </c>
      <c r="D2703" s="1">
        <v>4.0</v>
      </c>
      <c r="E2703" s="1" t="b">
        <v>0</v>
      </c>
      <c r="F2703" s="1" t="s">
        <v>16574</v>
      </c>
    </row>
    <row r="2704">
      <c r="A2704" s="1">
        <v>49835.0</v>
      </c>
      <c r="B2704" s="1">
        <v>7025.0</v>
      </c>
      <c r="C2704" s="1">
        <v>1.611808099E9</v>
      </c>
      <c r="D2704" s="1">
        <v>4.0</v>
      </c>
      <c r="E2704" s="1" t="b">
        <v>0</v>
      </c>
      <c r="F2704" s="1" t="s">
        <v>16575</v>
      </c>
    </row>
    <row r="2705">
      <c r="A2705" s="1">
        <v>49835.0</v>
      </c>
      <c r="B2705" s="1">
        <v>7397.0</v>
      </c>
      <c r="C2705" s="1">
        <v>1.611838011E9</v>
      </c>
      <c r="D2705" s="1">
        <v>4.0</v>
      </c>
      <c r="E2705" s="1" t="b">
        <v>0</v>
      </c>
      <c r="F2705" s="1" t="s">
        <v>16285</v>
      </c>
    </row>
    <row r="2706">
      <c r="A2706" s="1">
        <v>49835.0</v>
      </c>
      <c r="B2706" s="1">
        <v>6932.0</v>
      </c>
      <c r="C2706" s="1">
        <v>1.611757429E9</v>
      </c>
      <c r="D2706" s="1">
        <v>4.0</v>
      </c>
      <c r="E2706" s="1" t="b">
        <v>0</v>
      </c>
      <c r="F2706" s="1" t="s">
        <v>16576</v>
      </c>
    </row>
    <row r="2707">
      <c r="A2707" s="1">
        <v>49835.0</v>
      </c>
      <c r="B2707" s="1">
        <v>10228.0</v>
      </c>
      <c r="C2707" s="1">
        <v>1.612434049E9</v>
      </c>
      <c r="D2707" s="1">
        <v>4.0</v>
      </c>
      <c r="E2707" s="1" t="b">
        <v>0</v>
      </c>
      <c r="F2707" s="1" t="s">
        <v>16577</v>
      </c>
    </row>
    <row r="2708">
      <c r="A2708" s="1">
        <v>49835.0</v>
      </c>
      <c r="B2708" s="1">
        <v>6325.0</v>
      </c>
      <c r="C2708" s="1">
        <v>1.611644665E9</v>
      </c>
      <c r="D2708" s="1">
        <v>4.0</v>
      </c>
      <c r="E2708" s="1" t="b">
        <v>0</v>
      </c>
      <c r="F2708" s="1" t="s">
        <v>16578</v>
      </c>
    </row>
    <row r="2709">
      <c r="A2709" s="1">
        <v>49835.0</v>
      </c>
      <c r="B2709" s="1">
        <v>4789.0</v>
      </c>
      <c r="C2709" s="1">
        <v>1.611228804E9</v>
      </c>
      <c r="D2709" s="1">
        <v>4.0</v>
      </c>
      <c r="E2709" s="1" t="b">
        <v>0</v>
      </c>
      <c r="F2709" s="1" t="s">
        <v>16579</v>
      </c>
    </row>
    <row r="2710">
      <c r="A2710" s="1">
        <v>49835.0</v>
      </c>
      <c r="B2710" s="1">
        <v>6544.0</v>
      </c>
      <c r="C2710" s="1">
        <v>1.611670416E9</v>
      </c>
      <c r="D2710" s="1">
        <v>4.0</v>
      </c>
      <c r="E2710" s="1" t="b">
        <v>0</v>
      </c>
      <c r="F2710" s="1" t="s">
        <v>16580</v>
      </c>
    </row>
    <row r="2711">
      <c r="A2711" s="1">
        <v>49835.0</v>
      </c>
      <c r="B2711" s="1">
        <v>7329.0</v>
      </c>
      <c r="C2711" s="1">
        <v>1.611827635E9</v>
      </c>
      <c r="D2711" s="1">
        <v>4.0</v>
      </c>
      <c r="E2711" s="1" t="b">
        <v>0</v>
      </c>
      <c r="F2711" s="1" t="s">
        <v>16581</v>
      </c>
    </row>
    <row r="2712">
      <c r="A2712" s="1">
        <v>49835.0</v>
      </c>
      <c r="B2712" s="1">
        <v>9787.0</v>
      </c>
      <c r="C2712" s="1">
        <v>1.612236543E9</v>
      </c>
      <c r="D2712" s="1">
        <v>4.0</v>
      </c>
      <c r="E2712" s="1" t="b">
        <v>0</v>
      </c>
      <c r="F2712" s="1" t="s">
        <v>16582</v>
      </c>
    </row>
    <row r="2713">
      <c r="A2713" s="1">
        <v>49835.0</v>
      </c>
      <c r="B2713" s="1">
        <v>11637.0</v>
      </c>
      <c r="C2713" s="1">
        <v>1.612844757E9</v>
      </c>
      <c r="D2713" s="1">
        <v>4.0</v>
      </c>
      <c r="E2713" s="1" t="b">
        <v>0</v>
      </c>
      <c r="F2713" s="1" t="s">
        <v>16583</v>
      </c>
    </row>
    <row r="2714">
      <c r="A2714" s="1">
        <v>49835.0</v>
      </c>
      <c r="B2714" s="1">
        <v>19257.0</v>
      </c>
      <c r="C2714" s="1">
        <v>1.622535965E9</v>
      </c>
      <c r="D2714" s="1">
        <v>4.0</v>
      </c>
      <c r="E2714" s="1" t="b">
        <v>0</v>
      </c>
      <c r="F2714" s="1" t="s">
        <v>16584</v>
      </c>
    </row>
    <row r="2715">
      <c r="A2715" s="1">
        <v>49835.0</v>
      </c>
      <c r="B2715" s="1">
        <v>4347.0</v>
      </c>
      <c r="C2715" s="1">
        <v>1.611086995E9</v>
      </c>
      <c r="D2715" s="1">
        <v>4.0</v>
      </c>
      <c r="E2715" s="1" t="b">
        <v>0</v>
      </c>
      <c r="F2715" s="1" t="s">
        <v>16585</v>
      </c>
    </row>
    <row r="2716">
      <c r="A2716" s="1">
        <v>49835.0</v>
      </c>
      <c r="B2716" s="1">
        <v>7708.0</v>
      </c>
      <c r="C2716" s="1">
        <v>1.611894816E9</v>
      </c>
      <c r="D2716" s="1">
        <v>4.0</v>
      </c>
      <c r="E2716" s="1" t="b">
        <v>0</v>
      </c>
      <c r="F2716" s="1" t="s">
        <v>16586</v>
      </c>
    </row>
    <row r="2717">
      <c r="A2717" s="1">
        <v>49835.0</v>
      </c>
      <c r="B2717" s="1">
        <v>16564.0</v>
      </c>
      <c r="C2717" s="1">
        <v>1.617178852E9</v>
      </c>
      <c r="D2717" s="1">
        <v>4.0</v>
      </c>
      <c r="E2717" s="1" t="b">
        <v>0</v>
      </c>
      <c r="F2717" s="1" t="s">
        <v>16587</v>
      </c>
    </row>
    <row r="2718">
      <c r="A2718" s="1">
        <v>49835.0</v>
      </c>
      <c r="B2718" s="1">
        <v>2725.0</v>
      </c>
      <c r="C2718" s="1">
        <v>1.609152778E9</v>
      </c>
      <c r="D2718" s="1">
        <v>4.0</v>
      </c>
      <c r="E2718" s="1" t="b">
        <v>0</v>
      </c>
      <c r="F2718" s="1" t="s">
        <v>16588</v>
      </c>
    </row>
    <row r="2719">
      <c r="A2719" s="1">
        <v>49844.0</v>
      </c>
      <c r="B2719" s="1">
        <v>15681.0</v>
      </c>
      <c r="C2719" s="1">
        <v>1.614834383E9</v>
      </c>
      <c r="D2719" s="1">
        <v>4.0</v>
      </c>
      <c r="E2719" s="1" t="b">
        <v>0</v>
      </c>
      <c r="F2719" s="1" t="s">
        <v>16589</v>
      </c>
    </row>
    <row r="2720">
      <c r="A2720" s="1">
        <v>49844.0</v>
      </c>
      <c r="B2720" s="1">
        <v>16835.0</v>
      </c>
      <c r="C2720" s="1">
        <v>1.618385485E9</v>
      </c>
      <c r="D2720" s="1">
        <v>4.0</v>
      </c>
      <c r="E2720" s="1" t="b">
        <v>0</v>
      </c>
      <c r="F2720" s="1" t="s">
        <v>16590</v>
      </c>
    </row>
    <row r="2721">
      <c r="A2721" s="1">
        <v>49844.0</v>
      </c>
      <c r="B2721" s="1">
        <v>13217.0</v>
      </c>
      <c r="C2721" s="1">
        <v>1.613201652E9</v>
      </c>
      <c r="D2721" s="1">
        <v>4.0</v>
      </c>
      <c r="E2721" s="1" t="b">
        <v>0</v>
      </c>
      <c r="F2721" s="1" t="s">
        <v>16591</v>
      </c>
    </row>
    <row r="2722">
      <c r="A2722" s="1">
        <v>49844.0</v>
      </c>
      <c r="B2722" s="1">
        <v>9391.0</v>
      </c>
      <c r="C2722" s="1">
        <v>1.612152371E9</v>
      </c>
      <c r="D2722" s="1">
        <v>4.0</v>
      </c>
      <c r="E2722" s="1" t="b">
        <v>0</v>
      </c>
      <c r="F2722" s="1" t="s">
        <v>16592</v>
      </c>
    </row>
    <row r="2723">
      <c r="A2723" s="1">
        <v>49844.0</v>
      </c>
      <c r="B2723" s="1">
        <v>14393.0</v>
      </c>
      <c r="C2723" s="1">
        <v>1.620551881E9</v>
      </c>
      <c r="D2723" s="1">
        <v>4.0</v>
      </c>
      <c r="E2723" s="1" t="b">
        <v>0</v>
      </c>
      <c r="F2723" s="1" t="s">
        <v>16593</v>
      </c>
    </row>
    <row r="2724">
      <c r="A2724" s="1">
        <v>49844.0</v>
      </c>
      <c r="B2724" s="1">
        <v>13089.0</v>
      </c>
      <c r="C2724" s="1">
        <v>1.613180757E9</v>
      </c>
      <c r="D2724" s="1">
        <v>4.0</v>
      </c>
      <c r="E2724" s="1" t="b">
        <v>0</v>
      </c>
      <c r="F2724" s="1" t="s">
        <v>16594</v>
      </c>
    </row>
    <row r="2725">
      <c r="A2725" s="1">
        <v>49844.0</v>
      </c>
      <c r="B2725" s="1">
        <v>17031.0</v>
      </c>
      <c r="C2725" s="1">
        <v>1.618913491E9</v>
      </c>
      <c r="D2725" s="1">
        <v>4.0</v>
      </c>
      <c r="E2725" s="1" t="b">
        <v>0</v>
      </c>
      <c r="F2725" s="1" t="s">
        <v>16595</v>
      </c>
    </row>
    <row r="2726">
      <c r="A2726" s="1">
        <v>49844.0</v>
      </c>
      <c r="B2726" s="1">
        <v>15688.0</v>
      </c>
      <c r="C2726" s="1">
        <v>1.614834416E9</v>
      </c>
      <c r="D2726" s="1">
        <v>4.0</v>
      </c>
      <c r="E2726" s="1" t="b">
        <v>0</v>
      </c>
      <c r="F2726" s="1" t="s">
        <v>16596</v>
      </c>
    </row>
    <row r="2727">
      <c r="A2727" s="1">
        <v>49844.0</v>
      </c>
      <c r="B2727" s="1">
        <v>19247.0</v>
      </c>
      <c r="C2727" s="1">
        <v>1.622529833E9</v>
      </c>
      <c r="D2727" s="1">
        <v>4.0</v>
      </c>
      <c r="E2727" s="1" t="b">
        <v>0</v>
      </c>
      <c r="F2727" s="1" t="s">
        <v>16597</v>
      </c>
    </row>
    <row r="2728">
      <c r="A2728" s="1">
        <v>49844.0</v>
      </c>
      <c r="B2728" s="1">
        <v>15154.0</v>
      </c>
      <c r="C2728" s="1">
        <v>1.6143122E9</v>
      </c>
      <c r="D2728" s="1">
        <v>4.0</v>
      </c>
      <c r="E2728" s="1" t="b">
        <v>0</v>
      </c>
      <c r="F2728" s="1" t="s">
        <v>16121</v>
      </c>
    </row>
    <row r="2729">
      <c r="A2729" s="1">
        <v>49844.0</v>
      </c>
      <c r="B2729" s="1">
        <v>4777.0</v>
      </c>
      <c r="C2729" s="1">
        <v>1.611228026E9</v>
      </c>
      <c r="D2729" s="1">
        <v>4.0</v>
      </c>
      <c r="E2729" s="1" t="b">
        <v>0</v>
      </c>
      <c r="F2729" s="1" t="s">
        <v>16598</v>
      </c>
    </row>
    <row r="2730">
      <c r="A2730" s="1">
        <v>49844.0</v>
      </c>
      <c r="B2730" s="1">
        <v>13436.0</v>
      </c>
      <c r="C2730" s="1">
        <v>1.613269641E9</v>
      </c>
      <c r="D2730" s="1">
        <v>4.0</v>
      </c>
      <c r="E2730" s="1" t="b">
        <v>0</v>
      </c>
      <c r="F2730" s="1" t="s">
        <v>16599</v>
      </c>
    </row>
    <row r="2731">
      <c r="A2731" s="1">
        <v>49844.0</v>
      </c>
      <c r="B2731" s="1">
        <v>2600.0</v>
      </c>
      <c r="C2731" s="1">
        <v>1.610988922E9</v>
      </c>
      <c r="D2731" s="1">
        <v>4.0</v>
      </c>
      <c r="E2731" s="1" t="b">
        <v>0</v>
      </c>
      <c r="F2731" s="1" t="s">
        <v>16600</v>
      </c>
    </row>
    <row r="2732">
      <c r="A2732" s="1">
        <v>49844.0</v>
      </c>
      <c r="B2732" s="1">
        <v>9472.0</v>
      </c>
      <c r="C2732" s="1">
        <v>1.612163105E9</v>
      </c>
      <c r="D2732" s="1">
        <v>4.0</v>
      </c>
      <c r="E2732" s="1" t="b">
        <v>0</v>
      </c>
      <c r="F2732" s="1" t="s">
        <v>16601</v>
      </c>
    </row>
    <row r="2733">
      <c r="A2733" s="1">
        <v>49844.0</v>
      </c>
      <c r="B2733" s="1">
        <v>19343.0</v>
      </c>
      <c r="C2733" s="1">
        <v>1.622620531E9</v>
      </c>
      <c r="D2733" s="1">
        <v>4.0</v>
      </c>
      <c r="E2733" s="1" t="b">
        <v>0</v>
      </c>
      <c r="F2733" s="1" t="s">
        <v>16602</v>
      </c>
    </row>
    <row r="2734">
      <c r="A2734" s="1">
        <v>49844.0</v>
      </c>
      <c r="B2734" s="1">
        <v>2371.0</v>
      </c>
      <c r="C2734" s="1">
        <v>1.60809861E9</v>
      </c>
      <c r="D2734" s="1">
        <v>4.0</v>
      </c>
      <c r="E2734" s="1" t="b">
        <v>0</v>
      </c>
      <c r="F2734" s="1" t="s">
        <v>16603</v>
      </c>
    </row>
    <row r="2735">
      <c r="A2735" s="1">
        <v>49844.0</v>
      </c>
      <c r="B2735" s="1">
        <v>9236.0</v>
      </c>
      <c r="C2735" s="1">
        <v>1.612107309E9</v>
      </c>
      <c r="D2735" s="1">
        <v>4.0</v>
      </c>
      <c r="E2735" s="1" t="b">
        <v>0</v>
      </c>
      <c r="F2735" s="1" t="s">
        <v>16604</v>
      </c>
    </row>
    <row r="2736">
      <c r="A2736" s="1">
        <v>49844.0</v>
      </c>
      <c r="B2736" s="1">
        <v>3247.0</v>
      </c>
      <c r="C2736" s="1">
        <v>1.610278274E9</v>
      </c>
      <c r="D2736" s="1">
        <v>4.0</v>
      </c>
      <c r="E2736" s="1" t="b">
        <v>0</v>
      </c>
      <c r="F2736" s="1" t="s">
        <v>16605</v>
      </c>
    </row>
    <row r="2737">
      <c r="A2737" s="1">
        <v>49844.0</v>
      </c>
      <c r="B2737" s="1">
        <v>19187.0</v>
      </c>
      <c r="C2737" s="1">
        <v>1.622465433E9</v>
      </c>
      <c r="D2737" s="1">
        <v>4.0</v>
      </c>
      <c r="E2737" s="1" t="b">
        <v>0</v>
      </c>
      <c r="F2737" s="1" t="s">
        <v>16606</v>
      </c>
    </row>
    <row r="2738">
      <c r="A2738" s="1">
        <v>49844.0</v>
      </c>
      <c r="B2738" s="1">
        <v>2562.0</v>
      </c>
      <c r="C2738" s="1">
        <v>1.608550825E9</v>
      </c>
      <c r="D2738" s="1">
        <v>4.0</v>
      </c>
      <c r="E2738" s="1" t="b">
        <v>0</v>
      </c>
      <c r="F2738" s="1" t="s">
        <v>16607</v>
      </c>
    </row>
    <row r="2739">
      <c r="A2739" s="1">
        <v>49844.0</v>
      </c>
      <c r="B2739" s="1">
        <v>19870.0</v>
      </c>
      <c r="C2739" s="1">
        <v>1.623487585E9</v>
      </c>
      <c r="D2739" s="1">
        <v>4.0</v>
      </c>
      <c r="E2739" s="1" t="b">
        <v>0</v>
      </c>
      <c r="F2739" s="1" t="s">
        <v>14478</v>
      </c>
    </row>
    <row r="2740">
      <c r="A2740" s="1">
        <v>49844.0</v>
      </c>
      <c r="B2740" s="1">
        <v>19765.0</v>
      </c>
      <c r="C2740" s="1">
        <v>1.623263678E9</v>
      </c>
      <c r="D2740" s="1">
        <v>4.0</v>
      </c>
      <c r="E2740" s="1" t="b">
        <v>0</v>
      </c>
      <c r="F2740" s="1" t="s">
        <v>16608</v>
      </c>
    </row>
    <row r="2741">
      <c r="A2741" s="1">
        <v>49844.0</v>
      </c>
      <c r="B2741" s="1">
        <v>2385.0</v>
      </c>
      <c r="C2741" s="1">
        <v>1.608119131E9</v>
      </c>
      <c r="D2741" s="1">
        <v>4.0</v>
      </c>
      <c r="E2741" s="1" t="b">
        <v>0</v>
      </c>
      <c r="F2741" s="1" t="s">
        <v>16609</v>
      </c>
    </row>
    <row r="2742">
      <c r="A2742" s="1">
        <v>49844.0</v>
      </c>
      <c r="B2742" s="1">
        <v>17720.0</v>
      </c>
      <c r="C2742" s="1">
        <v>1.620470604E9</v>
      </c>
      <c r="D2742" s="1">
        <v>4.0</v>
      </c>
      <c r="E2742" s="1" t="b">
        <v>0</v>
      </c>
      <c r="F2742" s="1" t="s">
        <v>16610</v>
      </c>
    </row>
    <row r="2743">
      <c r="A2743" s="1">
        <v>49844.0</v>
      </c>
      <c r="B2743" s="1">
        <v>3252.0</v>
      </c>
      <c r="C2743" s="1">
        <v>1.610204026E9</v>
      </c>
      <c r="D2743" s="1">
        <v>4.0</v>
      </c>
      <c r="E2743" s="1" t="b">
        <v>0</v>
      </c>
      <c r="F2743" s="1" t="s">
        <v>16611</v>
      </c>
    </row>
    <row r="2744">
      <c r="A2744" s="1">
        <v>49844.0</v>
      </c>
      <c r="B2744" s="1">
        <v>19491.0</v>
      </c>
      <c r="C2744" s="1">
        <v>1.622797235E9</v>
      </c>
      <c r="D2744" s="1">
        <v>4.0</v>
      </c>
      <c r="E2744" s="1" t="b">
        <v>0</v>
      </c>
      <c r="F2744" s="1" t="s">
        <v>16612</v>
      </c>
    </row>
    <row r="2745">
      <c r="A2745" s="1">
        <v>49844.0</v>
      </c>
      <c r="B2745" s="1">
        <v>15633.0</v>
      </c>
      <c r="C2745" s="1">
        <v>1.614762482E9</v>
      </c>
      <c r="D2745" s="1">
        <v>4.0</v>
      </c>
      <c r="E2745" s="1" t="b">
        <v>0</v>
      </c>
      <c r="F2745" s="1" t="s">
        <v>16613</v>
      </c>
    </row>
    <row r="2746">
      <c r="A2746" s="1">
        <v>49844.0</v>
      </c>
      <c r="B2746" s="1">
        <v>15354.0</v>
      </c>
      <c r="C2746" s="1">
        <v>1.614478616E9</v>
      </c>
      <c r="D2746" s="1">
        <v>4.0</v>
      </c>
      <c r="E2746" s="1" t="b">
        <v>0</v>
      </c>
      <c r="F2746" s="1" t="s">
        <v>16614</v>
      </c>
    </row>
    <row r="2747">
      <c r="A2747" s="1">
        <v>49844.0</v>
      </c>
      <c r="B2747" s="1">
        <v>20288.0</v>
      </c>
      <c r="C2747" s="1">
        <v>1.624040055E9</v>
      </c>
      <c r="D2747" s="1">
        <v>4.0</v>
      </c>
      <c r="E2747" s="1" t="b">
        <v>0</v>
      </c>
      <c r="F2747" s="1" t="s">
        <v>16615</v>
      </c>
    </row>
    <row r="2748">
      <c r="A2748" s="1">
        <v>49844.0</v>
      </c>
      <c r="B2748" s="1">
        <v>15907.0</v>
      </c>
      <c r="C2748" s="1">
        <v>1.615134684E9</v>
      </c>
      <c r="D2748" s="1">
        <v>4.0</v>
      </c>
      <c r="E2748" s="1" t="b">
        <v>0</v>
      </c>
      <c r="F2748" s="1" t="s">
        <v>14554</v>
      </c>
    </row>
    <row r="2749">
      <c r="A2749" s="1">
        <v>49844.0</v>
      </c>
      <c r="B2749" s="1">
        <v>4130.0</v>
      </c>
      <c r="C2749" s="1">
        <v>1.61147521E9</v>
      </c>
      <c r="D2749" s="1">
        <v>4.0</v>
      </c>
      <c r="E2749" s="1" t="b">
        <v>0</v>
      </c>
      <c r="F2749" s="1" t="s">
        <v>16616</v>
      </c>
    </row>
    <row r="2750">
      <c r="A2750" s="1">
        <v>49844.0</v>
      </c>
      <c r="B2750" s="1">
        <v>19662.0</v>
      </c>
      <c r="C2750" s="1">
        <v>1.623136597E9</v>
      </c>
      <c r="D2750" s="1">
        <v>4.0</v>
      </c>
      <c r="E2750" s="1" t="b">
        <v>0</v>
      </c>
      <c r="F2750" s="1" t="s">
        <v>16617</v>
      </c>
    </row>
    <row r="2751">
      <c r="A2751" s="1">
        <v>49844.0</v>
      </c>
      <c r="B2751" s="1">
        <v>2664.0</v>
      </c>
      <c r="C2751" s="1">
        <v>1.608818632E9</v>
      </c>
      <c r="D2751" s="1">
        <v>4.0</v>
      </c>
      <c r="E2751" s="1" t="b">
        <v>0</v>
      </c>
      <c r="F2751" s="1" t="s">
        <v>16618</v>
      </c>
    </row>
    <row r="2752">
      <c r="A2752" s="1">
        <v>49844.0</v>
      </c>
      <c r="B2752" s="1">
        <v>14783.0</v>
      </c>
      <c r="C2752" s="1">
        <v>1.613984312E9</v>
      </c>
      <c r="D2752" s="1">
        <v>4.0</v>
      </c>
      <c r="E2752" s="1" t="b">
        <v>0</v>
      </c>
      <c r="F2752" s="1" t="s">
        <v>16619</v>
      </c>
    </row>
    <row r="2753">
      <c r="A2753" s="1">
        <v>49844.0</v>
      </c>
      <c r="B2753" s="1">
        <v>17423.0</v>
      </c>
      <c r="C2753" s="1">
        <v>1.619660933E9</v>
      </c>
      <c r="D2753" s="1">
        <v>4.0</v>
      </c>
      <c r="E2753" s="1" t="b">
        <v>0</v>
      </c>
      <c r="F2753" s="1" t="s">
        <v>16620</v>
      </c>
    </row>
    <row r="2754">
      <c r="A2754" s="1">
        <v>49844.0</v>
      </c>
      <c r="B2754" s="1">
        <v>13383.0</v>
      </c>
      <c r="C2754" s="1">
        <v>1.613238739E9</v>
      </c>
      <c r="D2754" s="1">
        <v>4.0</v>
      </c>
      <c r="E2754" s="1" t="b">
        <v>0</v>
      </c>
      <c r="F2754" s="1" t="s">
        <v>16621</v>
      </c>
    </row>
    <row r="2755">
      <c r="A2755" s="1">
        <v>49844.0</v>
      </c>
      <c r="B2755" s="1">
        <v>2504.0</v>
      </c>
      <c r="C2755" s="1">
        <v>1.608480231E9</v>
      </c>
      <c r="D2755" s="1">
        <v>4.0</v>
      </c>
      <c r="E2755" s="1" t="b">
        <v>0</v>
      </c>
      <c r="F2755" s="1" t="s">
        <v>16622</v>
      </c>
    </row>
    <row r="2756">
      <c r="A2756" s="1">
        <v>49844.0</v>
      </c>
      <c r="B2756" s="1">
        <v>17549.0</v>
      </c>
      <c r="C2756" s="1">
        <v>1.620203309E9</v>
      </c>
      <c r="D2756" s="1">
        <v>4.0</v>
      </c>
      <c r="E2756" s="1" t="b">
        <v>0</v>
      </c>
      <c r="F2756" s="1" t="s">
        <v>16623</v>
      </c>
    </row>
    <row r="2757">
      <c r="A2757" s="1">
        <v>49844.0</v>
      </c>
      <c r="B2757" s="1">
        <v>13950.0</v>
      </c>
      <c r="C2757" s="1">
        <v>1.61340908E9</v>
      </c>
      <c r="D2757" s="1">
        <v>4.0</v>
      </c>
      <c r="E2757" s="1" t="b">
        <v>0</v>
      </c>
      <c r="F2757" s="1" t="s">
        <v>16624</v>
      </c>
    </row>
    <row r="2758">
      <c r="A2758" s="1">
        <v>49844.0</v>
      </c>
      <c r="B2758" s="1">
        <v>9013.0</v>
      </c>
      <c r="C2758" s="1">
        <v>1.612081532E9</v>
      </c>
      <c r="D2758" s="1">
        <v>4.0</v>
      </c>
      <c r="E2758" s="1" t="b">
        <v>0</v>
      </c>
      <c r="F2758" s="1" t="s">
        <v>16625</v>
      </c>
    </row>
    <row r="2759">
      <c r="A2759" s="1">
        <v>49844.0</v>
      </c>
      <c r="B2759" s="1">
        <v>2638.0</v>
      </c>
      <c r="C2759" s="1">
        <v>1.608773992E9</v>
      </c>
      <c r="D2759" s="1">
        <v>4.0</v>
      </c>
      <c r="E2759" s="1" t="b">
        <v>0</v>
      </c>
      <c r="F2759" s="1" t="s">
        <v>16626</v>
      </c>
    </row>
    <row r="2760">
      <c r="A2760" s="1">
        <v>49844.0</v>
      </c>
      <c r="B2760" s="1">
        <v>14376.0</v>
      </c>
      <c r="C2760" s="1">
        <v>1.613719018E9</v>
      </c>
      <c r="D2760" s="1">
        <v>4.0</v>
      </c>
      <c r="E2760" s="1" t="b">
        <v>0</v>
      </c>
      <c r="F2760" s="1" t="s">
        <v>16627</v>
      </c>
    </row>
    <row r="2761">
      <c r="A2761" s="1">
        <v>49844.0</v>
      </c>
      <c r="B2761" s="1">
        <v>15236.0</v>
      </c>
      <c r="C2761" s="1">
        <v>1.614389232E9</v>
      </c>
      <c r="D2761" s="1">
        <v>4.0</v>
      </c>
      <c r="E2761" s="1" t="b">
        <v>0</v>
      </c>
      <c r="F2761" s="1" t="s">
        <v>16628</v>
      </c>
    </row>
    <row r="2762">
      <c r="A2762" s="1">
        <v>49844.0</v>
      </c>
      <c r="B2762" s="1">
        <v>17719.0</v>
      </c>
      <c r="C2762" s="1">
        <v>1.620469741E9</v>
      </c>
      <c r="D2762" s="1">
        <v>4.0</v>
      </c>
      <c r="E2762" s="1" t="b">
        <v>0</v>
      </c>
      <c r="F2762" s="1" t="s">
        <v>15209</v>
      </c>
    </row>
    <row r="2763">
      <c r="A2763" s="1">
        <v>49844.0</v>
      </c>
      <c r="B2763" s="1">
        <v>12292.0</v>
      </c>
      <c r="C2763" s="1">
        <v>1.612942094E9</v>
      </c>
      <c r="D2763" s="1">
        <v>4.0</v>
      </c>
      <c r="E2763" s="1" t="b">
        <v>0</v>
      </c>
      <c r="F2763" s="1" t="s">
        <v>16629</v>
      </c>
    </row>
    <row r="2764">
      <c r="A2764" s="1">
        <v>49844.0</v>
      </c>
      <c r="B2764" s="1">
        <v>2961.0</v>
      </c>
      <c r="C2764" s="1">
        <v>1.609671597E9</v>
      </c>
      <c r="D2764" s="1">
        <v>4.0</v>
      </c>
      <c r="E2764" s="1" t="b">
        <v>0</v>
      </c>
      <c r="F2764" s="1" t="s">
        <v>16630</v>
      </c>
    </row>
    <row r="2765">
      <c r="A2765" s="1">
        <v>49844.0</v>
      </c>
      <c r="B2765" s="1">
        <v>12801.0</v>
      </c>
      <c r="C2765" s="1">
        <v>1.613062997E9</v>
      </c>
      <c r="D2765" s="1">
        <v>4.0</v>
      </c>
      <c r="E2765" s="1" t="b">
        <v>0</v>
      </c>
      <c r="F2765" s="1" t="s">
        <v>16631</v>
      </c>
    </row>
    <row r="2766">
      <c r="A2766" s="1">
        <v>49844.0</v>
      </c>
      <c r="B2766" s="1">
        <v>8865.0</v>
      </c>
      <c r="C2766" s="1">
        <v>1.612062366E9</v>
      </c>
      <c r="D2766" s="1">
        <v>9.0</v>
      </c>
      <c r="E2766" s="1" t="b">
        <v>0</v>
      </c>
      <c r="F2766" s="1" t="s">
        <v>16632</v>
      </c>
    </row>
    <row r="2767">
      <c r="A2767" s="1">
        <v>49844.0</v>
      </c>
      <c r="B2767" s="1">
        <v>13165.0</v>
      </c>
      <c r="C2767" s="1">
        <v>1.613190147E9</v>
      </c>
      <c r="D2767" s="1">
        <v>4.0</v>
      </c>
      <c r="E2767" s="1" t="b">
        <v>0</v>
      </c>
      <c r="F2767" s="1" t="s">
        <v>16633</v>
      </c>
    </row>
    <row r="2768">
      <c r="A2768" s="1">
        <v>49844.0</v>
      </c>
      <c r="B2768" s="1">
        <v>2533.0</v>
      </c>
      <c r="C2768" s="1">
        <v>1.608487882E9</v>
      </c>
      <c r="D2768" s="1">
        <v>4.0</v>
      </c>
      <c r="E2768" s="1" t="b">
        <v>0</v>
      </c>
      <c r="F2768" s="1" t="s">
        <v>16634</v>
      </c>
    </row>
    <row r="2769">
      <c r="A2769" s="1">
        <v>49844.0</v>
      </c>
      <c r="B2769" s="1">
        <v>13192.0</v>
      </c>
      <c r="C2769" s="1">
        <v>1.61319477E9</v>
      </c>
      <c r="D2769" s="1">
        <v>4.0</v>
      </c>
      <c r="E2769" s="1" t="b">
        <v>0</v>
      </c>
      <c r="F2769" s="1" t="s">
        <v>16635</v>
      </c>
    </row>
    <row r="2770">
      <c r="A2770" s="1">
        <v>49844.0</v>
      </c>
      <c r="B2770" s="1">
        <v>15882.0</v>
      </c>
      <c r="C2770" s="1">
        <v>1.615102563E9</v>
      </c>
      <c r="D2770" s="1">
        <v>4.0</v>
      </c>
      <c r="E2770" s="1" t="b">
        <v>0</v>
      </c>
      <c r="F2770" s="1" t="s">
        <v>16636</v>
      </c>
    </row>
    <row r="2771">
      <c r="A2771" s="1">
        <v>49844.0</v>
      </c>
      <c r="B2771" s="1">
        <v>4108.0</v>
      </c>
      <c r="C2771" s="1">
        <v>1.610989665E9</v>
      </c>
      <c r="D2771" s="1">
        <v>4.0</v>
      </c>
      <c r="E2771" s="1" t="b">
        <v>0</v>
      </c>
      <c r="F2771" s="1" t="s">
        <v>16637</v>
      </c>
    </row>
    <row r="2772">
      <c r="A2772" s="1">
        <v>49844.0</v>
      </c>
      <c r="B2772" s="1">
        <v>15043.0</v>
      </c>
      <c r="C2772" s="1">
        <v>1.614221772E9</v>
      </c>
      <c r="D2772" s="1">
        <v>4.0</v>
      </c>
      <c r="E2772" s="1" t="b">
        <v>0</v>
      </c>
      <c r="F2772" s="1" t="s">
        <v>16638</v>
      </c>
    </row>
    <row r="2773">
      <c r="A2773" s="1">
        <v>49844.0</v>
      </c>
      <c r="B2773" s="1">
        <v>14460.0</v>
      </c>
      <c r="C2773" s="1">
        <v>1.613919244E9</v>
      </c>
      <c r="D2773" s="1">
        <v>4.0</v>
      </c>
      <c r="E2773" s="1" t="b">
        <v>0</v>
      </c>
      <c r="F2773" s="1" t="s">
        <v>16639</v>
      </c>
    </row>
    <row r="2774">
      <c r="A2774" s="1">
        <v>49844.0</v>
      </c>
      <c r="B2774" s="1">
        <v>2435.0</v>
      </c>
      <c r="C2774" s="1">
        <v>1.608269087E9</v>
      </c>
      <c r="D2774" s="1">
        <v>4.0</v>
      </c>
      <c r="E2774" s="1" t="b">
        <v>0</v>
      </c>
      <c r="F2774" s="1" t="s">
        <v>16640</v>
      </c>
    </row>
    <row r="2775">
      <c r="A2775" s="1">
        <v>49844.0</v>
      </c>
      <c r="B2775" s="1">
        <v>2361.0</v>
      </c>
      <c r="C2775" s="1">
        <v>1.6082005E9</v>
      </c>
      <c r="D2775" s="1">
        <v>4.0</v>
      </c>
      <c r="E2775" s="1" t="b">
        <v>0</v>
      </c>
      <c r="F2775" s="1" t="s">
        <v>16641</v>
      </c>
    </row>
    <row r="2776">
      <c r="A2776" s="1">
        <v>49844.0</v>
      </c>
      <c r="B2776" s="1">
        <v>17411.0</v>
      </c>
      <c r="C2776" s="1">
        <v>1.619630407E9</v>
      </c>
      <c r="D2776" s="1">
        <v>4.0</v>
      </c>
      <c r="E2776" s="1" t="b">
        <v>0</v>
      </c>
      <c r="F2776" s="1" t="s">
        <v>16642</v>
      </c>
    </row>
    <row r="2777">
      <c r="A2777" s="1">
        <v>49844.0</v>
      </c>
      <c r="B2777" s="1">
        <v>19416.0</v>
      </c>
      <c r="C2777" s="1">
        <v>1.622698484E9</v>
      </c>
      <c r="D2777" s="1">
        <v>4.0</v>
      </c>
      <c r="E2777" s="1" t="b">
        <v>0</v>
      </c>
      <c r="F2777" s="1" t="s">
        <v>16643</v>
      </c>
    </row>
    <row r="2778">
      <c r="A2778" s="1">
        <v>49844.0</v>
      </c>
      <c r="B2778" s="1">
        <v>3867.0</v>
      </c>
      <c r="C2778" s="1">
        <v>1.610850732E9</v>
      </c>
      <c r="D2778" s="1">
        <v>4.0</v>
      </c>
      <c r="E2778" s="1" t="b">
        <v>0</v>
      </c>
      <c r="F2778" s="1" t="s">
        <v>16644</v>
      </c>
    </row>
    <row r="2779">
      <c r="A2779" s="1">
        <v>49844.0</v>
      </c>
      <c r="B2779" s="1">
        <v>15779.0</v>
      </c>
      <c r="C2779" s="1">
        <v>1.614939822E9</v>
      </c>
      <c r="D2779" s="1">
        <v>4.0</v>
      </c>
      <c r="E2779" s="1" t="b">
        <v>0</v>
      </c>
      <c r="F2779" s="1" t="s">
        <v>16645</v>
      </c>
    </row>
    <row r="2780">
      <c r="A2780" s="1">
        <v>49844.0</v>
      </c>
      <c r="B2780" s="1">
        <v>12790.0</v>
      </c>
      <c r="C2780" s="1">
        <v>1.613060729E9</v>
      </c>
      <c r="D2780" s="1">
        <v>4.0</v>
      </c>
      <c r="E2780" s="1" t="b">
        <v>0</v>
      </c>
      <c r="F2780" s="1" t="s">
        <v>16646</v>
      </c>
    </row>
    <row r="2781">
      <c r="A2781" s="1">
        <v>49844.0</v>
      </c>
      <c r="B2781" s="1">
        <v>8552.0</v>
      </c>
      <c r="C2781" s="1">
        <v>1.612004788E9</v>
      </c>
      <c r="D2781" s="1">
        <v>4.0</v>
      </c>
      <c r="E2781" s="1" t="b">
        <v>0</v>
      </c>
      <c r="F2781" s="1" t="s">
        <v>16647</v>
      </c>
    </row>
    <row r="2782">
      <c r="A2782" s="1">
        <v>49844.0</v>
      </c>
      <c r="B2782" s="1">
        <v>15141.0</v>
      </c>
      <c r="C2782" s="1">
        <v>1.614312217E9</v>
      </c>
      <c r="D2782" s="1">
        <v>4.0</v>
      </c>
      <c r="E2782" s="1" t="b">
        <v>0</v>
      </c>
      <c r="F2782" s="1" t="s">
        <v>16648</v>
      </c>
    </row>
    <row r="2783">
      <c r="A2783" s="1">
        <v>49844.0</v>
      </c>
      <c r="B2783" s="1">
        <v>9128.0</v>
      </c>
      <c r="C2783" s="1">
        <v>1.612096941E9</v>
      </c>
      <c r="D2783" s="1">
        <v>4.0</v>
      </c>
      <c r="E2783" s="1" t="b">
        <v>0</v>
      </c>
      <c r="F2783" s="1" t="s">
        <v>16649</v>
      </c>
    </row>
    <row r="2784">
      <c r="A2784" s="1">
        <v>49844.0</v>
      </c>
      <c r="B2784" s="1">
        <v>19114.0</v>
      </c>
      <c r="C2784" s="1">
        <v>1.622390975E9</v>
      </c>
      <c r="D2784" s="1">
        <v>4.0</v>
      </c>
      <c r="E2784" s="1" t="b">
        <v>0</v>
      </c>
      <c r="F2784" s="1" t="s">
        <v>16650</v>
      </c>
    </row>
    <row r="2785">
      <c r="A2785" s="1">
        <v>49844.0</v>
      </c>
      <c r="B2785" s="1">
        <v>13328.0</v>
      </c>
      <c r="C2785" s="1">
        <v>1.613227804E9</v>
      </c>
      <c r="D2785" s="1">
        <v>4.0</v>
      </c>
      <c r="E2785" s="1" t="b">
        <v>0</v>
      </c>
      <c r="F2785" s="1" t="s">
        <v>16651</v>
      </c>
    </row>
    <row r="2786">
      <c r="A2786" s="1">
        <v>49844.0</v>
      </c>
      <c r="B2786" s="1">
        <v>15020.0</v>
      </c>
      <c r="C2786" s="1">
        <v>1.614181251E9</v>
      </c>
      <c r="D2786" s="1">
        <v>4.0</v>
      </c>
      <c r="E2786" s="1" t="b">
        <v>0</v>
      </c>
      <c r="F2786" s="1" t="s">
        <v>16652</v>
      </c>
    </row>
    <row r="2787">
      <c r="A2787" s="1">
        <v>49844.0</v>
      </c>
      <c r="B2787" s="1">
        <v>10099.0</v>
      </c>
      <c r="C2787" s="1">
        <v>1.612339803E9</v>
      </c>
      <c r="D2787" s="1">
        <v>4.0</v>
      </c>
      <c r="E2787" s="1" t="b">
        <v>0</v>
      </c>
      <c r="F2787" s="1" t="s">
        <v>16653</v>
      </c>
    </row>
    <row r="2788">
      <c r="A2788" s="1">
        <v>49844.0</v>
      </c>
      <c r="B2788" s="1">
        <v>13141.0</v>
      </c>
      <c r="C2788" s="1">
        <v>1.613182222E9</v>
      </c>
      <c r="D2788" s="1">
        <v>4.0</v>
      </c>
      <c r="E2788" s="1" t="b">
        <v>0</v>
      </c>
      <c r="F2788" s="1" t="s">
        <v>16654</v>
      </c>
    </row>
    <row r="2789">
      <c r="A2789" s="1">
        <v>49844.0</v>
      </c>
      <c r="B2789" s="1">
        <v>17039.0</v>
      </c>
      <c r="C2789" s="1">
        <v>1.618926857E9</v>
      </c>
      <c r="D2789" s="1">
        <v>4.0</v>
      </c>
      <c r="E2789" s="1" t="b">
        <v>0</v>
      </c>
      <c r="F2789" s="1" t="s">
        <v>16655</v>
      </c>
    </row>
    <row r="2790">
      <c r="A2790" s="1">
        <v>49844.0</v>
      </c>
      <c r="B2790" s="1">
        <v>19730.0</v>
      </c>
      <c r="C2790" s="1">
        <v>1.623224099E9</v>
      </c>
      <c r="D2790" s="1">
        <v>4.0</v>
      </c>
      <c r="E2790" s="1" t="b">
        <v>0</v>
      </c>
      <c r="F2790" s="1" t="s">
        <v>16656</v>
      </c>
    </row>
    <row r="2791">
      <c r="A2791" s="1">
        <v>49844.0</v>
      </c>
      <c r="B2791" s="1">
        <v>10179.0</v>
      </c>
      <c r="C2791" s="1">
        <v>1.612356405E9</v>
      </c>
      <c r="D2791" s="1">
        <v>4.0</v>
      </c>
      <c r="E2791" s="1" t="b">
        <v>0</v>
      </c>
      <c r="F2791" s="1" t="s">
        <v>16657</v>
      </c>
    </row>
    <row r="2792">
      <c r="A2792" s="1">
        <v>49844.0</v>
      </c>
      <c r="B2792" s="1">
        <v>15590.0</v>
      </c>
      <c r="C2792" s="1">
        <v>1.614733684E9</v>
      </c>
      <c r="D2792" s="1">
        <v>4.0</v>
      </c>
      <c r="E2792" s="1" t="b">
        <v>0</v>
      </c>
      <c r="F2792" s="1" t="s">
        <v>16658</v>
      </c>
    </row>
    <row r="2793">
      <c r="A2793" s="1">
        <v>49844.0</v>
      </c>
      <c r="B2793" s="1">
        <v>2727.0</v>
      </c>
      <c r="C2793" s="1">
        <v>1.60915579E9</v>
      </c>
      <c r="D2793" s="1">
        <v>4.0</v>
      </c>
      <c r="E2793" s="1" t="b">
        <v>0</v>
      </c>
      <c r="F2793" s="1" t="s">
        <v>14335</v>
      </c>
    </row>
    <row r="2794">
      <c r="A2794" s="1">
        <v>49844.0</v>
      </c>
      <c r="B2794" s="1">
        <v>16282.0</v>
      </c>
      <c r="C2794" s="1">
        <v>1.616050469E9</v>
      </c>
      <c r="D2794" s="1">
        <v>4.0</v>
      </c>
      <c r="E2794" s="1" t="b">
        <v>0</v>
      </c>
      <c r="F2794" s="1" t="s">
        <v>16659</v>
      </c>
    </row>
    <row r="2795">
      <c r="A2795" s="1">
        <v>49844.0</v>
      </c>
      <c r="B2795" s="1">
        <v>13282.0</v>
      </c>
      <c r="C2795" s="1">
        <v>1.613217215E9</v>
      </c>
      <c r="D2795" s="1">
        <v>4.0</v>
      </c>
      <c r="E2795" s="1" t="b">
        <v>0</v>
      </c>
      <c r="F2795" s="1" t="s">
        <v>16660</v>
      </c>
    </row>
    <row r="2796">
      <c r="A2796" s="1">
        <v>49844.0</v>
      </c>
      <c r="B2796" s="1">
        <v>19788.0</v>
      </c>
      <c r="C2796" s="1">
        <v>1.6233087E9</v>
      </c>
      <c r="D2796" s="1">
        <v>4.0</v>
      </c>
      <c r="E2796" s="1" t="b">
        <v>0</v>
      </c>
      <c r="F2796" s="1" t="s">
        <v>16661</v>
      </c>
    </row>
    <row r="2797">
      <c r="A2797" s="1">
        <v>49844.0</v>
      </c>
      <c r="B2797" s="1">
        <v>15527.0</v>
      </c>
      <c r="C2797" s="1">
        <v>1.614650862E9</v>
      </c>
      <c r="D2797" s="1">
        <v>4.0</v>
      </c>
      <c r="E2797" s="1" t="b">
        <v>0</v>
      </c>
      <c r="F2797" s="1" t="s">
        <v>16662</v>
      </c>
    </row>
    <row r="2798">
      <c r="A2798" s="1">
        <v>49844.0</v>
      </c>
      <c r="B2798" s="1">
        <v>19840.0</v>
      </c>
      <c r="C2798" s="1">
        <v>1.623387062E9</v>
      </c>
      <c r="D2798" s="1">
        <v>4.0</v>
      </c>
      <c r="E2798" s="1" t="b">
        <v>0</v>
      </c>
      <c r="F2798" s="1" t="s">
        <v>16663</v>
      </c>
    </row>
    <row r="2799">
      <c r="A2799" s="1">
        <v>49844.0</v>
      </c>
      <c r="B2799" s="1">
        <v>19729.0</v>
      </c>
      <c r="C2799" s="1">
        <v>1.623227097E9</v>
      </c>
      <c r="D2799" s="1">
        <v>4.0</v>
      </c>
      <c r="E2799" s="1" t="b">
        <v>0</v>
      </c>
      <c r="F2799" s="1" t="s">
        <v>16664</v>
      </c>
    </row>
    <row r="2800">
      <c r="A2800" s="1">
        <v>49844.0</v>
      </c>
      <c r="B2800" s="1">
        <v>2606.0</v>
      </c>
      <c r="C2800" s="1">
        <v>1.608689195E9</v>
      </c>
      <c r="D2800" s="1">
        <v>4.0</v>
      </c>
      <c r="E2800" s="1" t="b">
        <v>0</v>
      </c>
      <c r="F2800" s="1" t="s">
        <v>16665</v>
      </c>
    </row>
    <row r="2801">
      <c r="A2801" s="1">
        <v>49844.0</v>
      </c>
      <c r="B2801" s="1">
        <v>16928.0</v>
      </c>
      <c r="C2801" s="1">
        <v>1.618620928E9</v>
      </c>
      <c r="D2801" s="1">
        <v>4.0</v>
      </c>
      <c r="E2801" s="1" t="b">
        <v>0</v>
      </c>
      <c r="F2801" s="1" t="s">
        <v>16666</v>
      </c>
    </row>
    <row r="2802">
      <c r="A2802" s="1">
        <v>49844.0</v>
      </c>
      <c r="B2802" s="1">
        <v>9843.0</v>
      </c>
      <c r="C2802" s="1">
        <v>1.612247709E9</v>
      </c>
      <c r="D2802" s="1">
        <v>4.0</v>
      </c>
      <c r="E2802" s="1" t="b">
        <v>0</v>
      </c>
      <c r="F2802" s="1" t="s">
        <v>16667</v>
      </c>
    </row>
    <row r="2803">
      <c r="A2803" s="1">
        <v>49844.0</v>
      </c>
      <c r="B2803" s="1">
        <v>18201.0</v>
      </c>
      <c r="C2803" s="1">
        <v>1.621227435E9</v>
      </c>
      <c r="D2803" s="1">
        <v>9.0</v>
      </c>
      <c r="E2803" s="1" t="b">
        <v>0</v>
      </c>
      <c r="F2803" s="1" t="s">
        <v>16668</v>
      </c>
    </row>
    <row r="2804">
      <c r="A2804" s="1">
        <v>49844.0</v>
      </c>
      <c r="B2804" s="1">
        <v>16879.0</v>
      </c>
      <c r="C2804" s="1">
        <v>1.618477219E9</v>
      </c>
      <c r="D2804" s="1">
        <v>4.0</v>
      </c>
      <c r="E2804" s="1" t="b">
        <v>0</v>
      </c>
      <c r="F2804" s="1" t="s">
        <v>16669</v>
      </c>
    </row>
    <row r="2805">
      <c r="A2805" s="1">
        <v>49844.0</v>
      </c>
      <c r="B2805" s="1">
        <v>17860.0</v>
      </c>
      <c r="C2805" s="1">
        <v>1.620597461E9</v>
      </c>
      <c r="D2805" s="1">
        <v>4.0</v>
      </c>
      <c r="E2805" s="1" t="b">
        <v>0</v>
      </c>
      <c r="F2805" s="1" t="s">
        <v>16670</v>
      </c>
    </row>
    <row r="2806">
      <c r="A2806" s="1">
        <v>49844.0</v>
      </c>
      <c r="B2806" s="1">
        <v>9445.0</v>
      </c>
      <c r="C2806" s="1">
        <v>1.612162563E9</v>
      </c>
      <c r="D2806" s="1">
        <v>4.0</v>
      </c>
      <c r="E2806" s="1" t="b">
        <v>0</v>
      </c>
      <c r="F2806" s="1" t="s">
        <v>16671</v>
      </c>
    </row>
    <row r="2807">
      <c r="A2807" s="1">
        <v>49844.0</v>
      </c>
      <c r="B2807" s="1">
        <v>17437.0</v>
      </c>
      <c r="C2807" s="1">
        <v>1.619693766E9</v>
      </c>
      <c r="D2807" s="1">
        <v>4.0</v>
      </c>
      <c r="E2807" s="1" t="b">
        <v>0</v>
      </c>
      <c r="F2807" s="1" t="s">
        <v>16672</v>
      </c>
    </row>
    <row r="2808">
      <c r="A2808" s="1">
        <v>49844.0</v>
      </c>
      <c r="B2808" s="1">
        <v>20037.0</v>
      </c>
      <c r="C2808" s="1">
        <v>1.6236727E9</v>
      </c>
      <c r="D2808" s="1">
        <v>4.0</v>
      </c>
      <c r="E2808" s="1" t="b">
        <v>0</v>
      </c>
      <c r="F2808" s="1" t="s">
        <v>16673</v>
      </c>
    </row>
    <row r="2809">
      <c r="A2809" s="1">
        <v>49844.0</v>
      </c>
      <c r="B2809" s="1">
        <v>3340.0</v>
      </c>
      <c r="C2809" s="1">
        <v>1.610379124E9</v>
      </c>
      <c r="D2809" s="1">
        <v>4.0</v>
      </c>
      <c r="E2809" s="1" t="b">
        <v>0</v>
      </c>
      <c r="F2809" s="1" t="s">
        <v>16674</v>
      </c>
    </row>
    <row r="2810">
      <c r="A2810" s="1">
        <v>49844.0</v>
      </c>
      <c r="B2810" s="1">
        <v>2553.0</v>
      </c>
      <c r="C2810" s="1">
        <v>1.615530852E9</v>
      </c>
      <c r="D2810" s="1">
        <v>4.0</v>
      </c>
      <c r="E2810" s="1" t="b">
        <v>0</v>
      </c>
      <c r="F2810" s="1" t="s">
        <v>16675</v>
      </c>
    </row>
    <row r="2811">
      <c r="A2811" s="1">
        <v>49844.0</v>
      </c>
      <c r="B2811" s="1">
        <v>2528.0</v>
      </c>
      <c r="C2811" s="1">
        <v>1.608482488E9</v>
      </c>
      <c r="D2811" s="1">
        <v>4.0</v>
      </c>
      <c r="E2811" s="1" t="b">
        <v>0</v>
      </c>
      <c r="F2811" s="1" t="s">
        <v>16676</v>
      </c>
    </row>
    <row r="2812">
      <c r="A2812" s="1">
        <v>49844.0</v>
      </c>
      <c r="B2812" s="1">
        <v>10051.0</v>
      </c>
      <c r="C2812" s="1">
        <v>1.612342523E9</v>
      </c>
      <c r="D2812" s="1">
        <v>4.0</v>
      </c>
      <c r="E2812" s="1" t="b">
        <v>0</v>
      </c>
      <c r="F2812" s="1" t="s">
        <v>16677</v>
      </c>
    </row>
    <row r="2813">
      <c r="A2813" s="1">
        <v>49844.0</v>
      </c>
      <c r="B2813" s="1">
        <v>16256.0</v>
      </c>
      <c r="C2813" s="1">
        <v>1.615968903E9</v>
      </c>
      <c r="D2813" s="1">
        <v>4.0</v>
      </c>
      <c r="E2813" s="1" t="b">
        <v>0</v>
      </c>
      <c r="F2813" s="1" t="s">
        <v>16678</v>
      </c>
    </row>
    <row r="2814">
      <c r="A2814" s="1">
        <v>49844.0</v>
      </c>
      <c r="B2814" s="1">
        <v>14887.0</v>
      </c>
      <c r="C2814" s="1">
        <v>1.614067929E9</v>
      </c>
      <c r="D2814" s="1">
        <v>4.0</v>
      </c>
      <c r="E2814" s="1" t="b">
        <v>0</v>
      </c>
      <c r="F2814" s="1" t="s">
        <v>16679</v>
      </c>
    </row>
    <row r="2815">
      <c r="A2815" s="1">
        <v>49844.0</v>
      </c>
      <c r="B2815" s="1">
        <v>2502.0</v>
      </c>
      <c r="C2815" s="1">
        <v>1.608528136E9</v>
      </c>
      <c r="D2815" s="1">
        <v>4.0</v>
      </c>
      <c r="E2815" s="1" t="b">
        <v>0</v>
      </c>
      <c r="F2815" s="1" t="s">
        <v>16680</v>
      </c>
    </row>
    <row r="2816">
      <c r="A2816" s="1">
        <v>49844.0</v>
      </c>
      <c r="B2816" s="1">
        <v>2523.0</v>
      </c>
      <c r="C2816" s="1">
        <v>1.60848094E9</v>
      </c>
      <c r="D2816" s="1">
        <v>4.0</v>
      </c>
      <c r="E2816" s="1" t="b">
        <v>0</v>
      </c>
      <c r="F2816" s="1" t="s">
        <v>16681</v>
      </c>
    </row>
    <row r="2817">
      <c r="A2817" s="1">
        <v>49844.0</v>
      </c>
      <c r="B2817" s="1">
        <v>2516.0</v>
      </c>
      <c r="C2817" s="1">
        <v>1.609433388E9</v>
      </c>
      <c r="D2817" s="1">
        <v>4.0</v>
      </c>
      <c r="E2817" s="1" t="b">
        <v>0</v>
      </c>
      <c r="F2817" s="1" t="s">
        <v>16682</v>
      </c>
    </row>
    <row r="2818">
      <c r="A2818" s="1">
        <v>49844.0</v>
      </c>
      <c r="B2818" s="1">
        <v>16693.0</v>
      </c>
      <c r="C2818" s="1">
        <v>1.617703627E9</v>
      </c>
      <c r="D2818" s="1">
        <v>4.0</v>
      </c>
      <c r="E2818" s="1" t="b">
        <v>0</v>
      </c>
      <c r="F2818" s="1" t="s">
        <v>16683</v>
      </c>
    </row>
    <row r="2819">
      <c r="A2819" s="1">
        <v>49844.0</v>
      </c>
      <c r="B2819" s="1">
        <v>5178.0</v>
      </c>
      <c r="C2819" s="1">
        <v>1.611329477E9</v>
      </c>
      <c r="D2819" s="1">
        <v>9.0</v>
      </c>
      <c r="E2819" s="1" t="b">
        <v>0</v>
      </c>
      <c r="F2819" s="1" t="s">
        <v>16684</v>
      </c>
    </row>
    <row r="2820">
      <c r="A2820" s="1">
        <v>49844.0</v>
      </c>
      <c r="B2820" s="1">
        <v>3991.0</v>
      </c>
      <c r="C2820" s="1">
        <v>1.610956792E9</v>
      </c>
      <c r="D2820" s="1">
        <v>4.0</v>
      </c>
      <c r="E2820" s="1" t="b">
        <v>0</v>
      </c>
      <c r="F2820" s="1" t="s">
        <v>16685</v>
      </c>
    </row>
    <row r="2821">
      <c r="A2821" s="1">
        <v>49844.0</v>
      </c>
      <c r="B2821" s="1">
        <v>13492.0</v>
      </c>
      <c r="C2821" s="1">
        <v>1.613283495E9</v>
      </c>
      <c r="D2821" s="1">
        <v>4.0</v>
      </c>
      <c r="E2821" s="1" t="b">
        <v>0</v>
      </c>
      <c r="F2821" s="1" t="s">
        <v>16686</v>
      </c>
    </row>
    <row r="2822">
      <c r="A2822" s="1">
        <v>49844.0</v>
      </c>
      <c r="B2822" s="1">
        <v>15835.0</v>
      </c>
      <c r="C2822" s="1">
        <v>1.615030909E9</v>
      </c>
      <c r="D2822" s="1">
        <v>4.0</v>
      </c>
      <c r="E2822" s="1" t="b">
        <v>0</v>
      </c>
      <c r="F2822" s="1" t="s">
        <v>16687</v>
      </c>
    </row>
    <row r="2823">
      <c r="A2823" s="1">
        <v>49844.0</v>
      </c>
      <c r="B2823" s="1">
        <v>12403.0</v>
      </c>
      <c r="C2823" s="1">
        <v>1.612964363E9</v>
      </c>
      <c r="D2823" s="1">
        <v>4.0</v>
      </c>
      <c r="E2823" s="1" t="b">
        <v>0</v>
      </c>
      <c r="F2823" s="1" t="s">
        <v>16688</v>
      </c>
    </row>
    <row r="2824">
      <c r="A2824" s="1">
        <v>49844.0</v>
      </c>
      <c r="B2824" s="1">
        <v>13801.0</v>
      </c>
      <c r="C2824" s="1">
        <v>1.613378263E9</v>
      </c>
      <c r="D2824" s="1">
        <v>4.0</v>
      </c>
      <c r="E2824" s="1" t="b">
        <v>0</v>
      </c>
      <c r="F2824" s="1" t="s">
        <v>16689</v>
      </c>
    </row>
    <row r="2825">
      <c r="A2825" s="1">
        <v>49844.0</v>
      </c>
      <c r="B2825" s="1">
        <v>2551.0</v>
      </c>
      <c r="C2825" s="1">
        <v>1.610215165E9</v>
      </c>
      <c r="D2825" s="1">
        <v>4.0</v>
      </c>
      <c r="E2825" s="1" t="b">
        <v>0</v>
      </c>
      <c r="F2825" s="1" t="s">
        <v>16690</v>
      </c>
    </row>
    <row r="2826">
      <c r="A2826" s="1">
        <v>49844.0</v>
      </c>
      <c r="B2826" s="1">
        <v>14878.0</v>
      </c>
      <c r="C2826" s="1">
        <v>1.614478635E9</v>
      </c>
      <c r="D2826" s="1">
        <v>4.0</v>
      </c>
      <c r="E2826" s="1" t="b">
        <v>0</v>
      </c>
      <c r="F2826" s="1" t="s">
        <v>16691</v>
      </c>
    </row>
    <row r="2827">
      <c r="A2827" s="1">
        <v>49844.0</v>
      </c>
      <c r="B2827" s="1">
        <v>15673.0</v>
      </c>
      <c r="C2827" s="1">
        <v>1.614788879E9</v>
      </c>
      <c r="D2827" s="1">
        <v>4.0</v>
      </c>
      <c r="E2827" s="1" t="b">
        <v>0</v>
      </c>
      <c r="F2827" s="1" t="s">
        <v>16692</v>
      </c>
    </row>
    <row r="2828">
      <c r="A2828" s="1">
        <v>49844.0</v>
      </c>
      <c r="B2828" s="1">
        <v>17413.0</v>
      </c>
      <c r="C2828" s="1">
        <v>1.619612716E9</v>
      </c>
      <c r="D2828" s="1">
        <v>4.0</v>
      </c>
      <c r="E2828" s="1" t="b">
        <v>0</v>
      </c>
      <c r="F2828" s="1" t="s">
        <v>16693</v>
      </c>
    </row>
    <row r="2829">
      <c r="A2829" s="1">
        <v>49844.0</v>
      </c>
      <c r="B2829" s="1">
        <v>13358.0</v>
      </c>
      <c r="C2829" s="1">
        <v>1.613269691E9</v>
      </c>
      <c r="D2829" s="1">
        <v>4.0</v>
      </c>
      <c r="E2829" s="1" t="b">
        <v>0</v>
      </c>
      <c r="F2829" s="1" t="s">
        <v>16694</v>
      </c>
    </row>
    <row r="2830">
      <c r="A2830" s="1">
        <v>49844.0</v>
      </c>
      <c r="B2830" s="1">
        <v>12695.0</v>
      </c>
      <c r="C2830" s="1">
        <v>1.613041047E9</v>
      </c>
      <c r="D2830" s="1">
        <v>4.0</v>
      </c>
      <c r="E2830" s="1" t="b">
        <v>0</v>
      </c>
      <c r="F2830" s="1" t="s">
        <v>16695</v>
      </c>
    </row>
    <row r="2831">
      <c r="A2831" s="1">
        <v>49844.0</v>
      </c>
      <c r="B2831" s="1">
        <v>2573.0</v>
      </c>
      <c r="C2831" s="1">
        <v>1.608604386E9</v>
      </c>
      <c r="D2831" s="1">
        <v>4.0</v>
      </c>
      <c r="E2831" s="1" t="b">
        <v>0</v>
      </c>
      <c r="F2831" s="1" t="s">
        <v>16696</v>
      </c>
    </row>
    <row r="2832">
      <c r="A2832" s="1">
        <v>49844.0</v>
      </c>
      <c r="B2832" s="1">
        <v>17025.0</v>
      </c>
      <c r="C2832" s="1">
        <v>1.619622454E9</v>
      </c>
      <c r="D2832" s="1">
        <v>4.0</v>
      </c>
      <c r="E2832" s="1" t="b">
        <v>0</v>
      </c>
      <c r="F2832" s="1" t="s">
        <v>16697</v>
      </c>
    </row>
    <row r="2833">
      <c r="A2833" s="1">
        <v>49844.0</v>
      </c>
      <c r="B2833" s="1">
        <v>12837.0</v>
      </c>
      <c r="C2833" s="1">
        <v>1.613326289E9</v>
      </c>
      <c r="D2833" s="1">
        <v>4.0</v>
      </c>
      <c r="E2833" s="1" t="b">
        <v>0</v>
      </c>
      <c r="F2833" s="1" t="s">
        <v>16698</v>
      </c>
    </row>
    <row r="2834">
      <c r="A2834" s="1">
        <v>49844.0</v>
      </c>
      <c r="B2834" s="1">
        <v>15387.0</v>
      </c>
      <c r="C2834" s="1">
        <v>1.614508173E9</v>
      </c>
      <c r="D2834" s="1">
        <v>4.0</v>
      </c>
      <c r="E2834" s="1" t="b">
        <v>0</v>
      </c>
      <c r="F2834" s="1" t="s">
        <v>16699</v>
      </c>
    </row>
    <row r="2835">
      <c r="A2835" s="1">
        <v>49844.0</v>
      </c>
      <c r="B2835" s="1">
        <v>9320.0</v>
      </c>
      <c r="C2835" s="1">
        <v>1.612144358E9</v>
      </c>
      <c r="D2835" s="1">
        <v>4.0</v>
      </c>
      <c r="E2835" s="1" t="b">
        <v>0</v>
      </c>
      <c r="F2835" s="1" t="s">
        <v>16700</v>
      </c>
    </row>
    <row r="2836">
      <c r="A2836" s="1">
        <v>49844.0</v>
      </c>
      <c r="B2836" s="1">
        <v>9627.0</v>
      </c>
      <c r="C2836" s="1">
        <v>1.612181335E9</v>
      </c>
      <c r="D2836" s="1">
        <v>4.0</v>
      </c>
      <c r="E2836" s="1" t="b">
        <v>0</v>
      </c>
      <c r="F2836" s="1" t="s">
        <v>16701</v>
      </c>
    </row>
    <row r="2837">
      <c r="A2837" s="1">
        <v>49844.0</v>
      </c>
      <c r="B2837" s="1">
        <v>15124.0</v>
      </c>
      <c r="C2837" s="1">
        <v>1.614269086E9</v>
      </c>
      <c r="D2837" s="1">
        <v>4.0</v>
      </c>
      <c r="E2837" s="1" t="b">
        <v>0</v>
      </c>
      <c r="F2837" s="1" t="s">
        <v>16702</v>
      </c>
    </row>
    <row r="2838">
      <c r="A2838" s="1">
        <v>49844.0</v>
      </c>
      <c r="B2838" s="1">
        <v>16913.0</v>
      </c>
      <c r="C2838" s="1">
        <v>1.618569884E9</v>
      </c>
      <c r="D2838" s="1">
        <v>4.0</v>
      </c>
      <c r="E2838" s="1" t="b">
        <v>0</v>
      </c>
      <c r="F2838" s="1" t="s">
        <v>16703</v>
      </c>
    </row>
    <row r="2839">
      <c r="A2839" s="1">
        <v>49844.0</v>
      </c>
      <c r="B2839" s="1">
        <v>10094.0</v>
      </c>
      <c r="C2839" s="1">
        <v>1.613625646E9</v>
      </c>
      <c r="D2839" s="1">
        <v>4.0</v>
      </c>
      <c r="E2839" s="1" t="b">
        <v>0</v>
      </c>
      <c r="F2839" s="1" t="s">
        <v>16704</v>
      </c>
    </row>
    <row r="2840">
      <c r="A2840" s="1">
        <v>49844.0</v>
      </c>
      <c r="B2840" s="1">
        <v>19976.0</v>
      </c>
      <c r="C2840" s="1">
        <v>1.623821704E9</v>
      </c>
      <c r="D2840" s="1">
        <v>4.0</v>
      </c>
      <c r="E2840" s="1" t="b">
        <v>0</v>
      </c>
      <c r="F2840" s="1" t="s">
        <v>16705</v>
      </c>
    </row>
    <row r="2841">
      <c r="A2841" s="1">
        <v>49844.0</v>
      </c>
      <c r="B2841" s="1">
        <v>9046.0</v>
      </c>
      <c r="C2841" s="1">
        <v>1.612085679E9</v>
      </c>
      <c r="D2841" s="1">
        <v>4.0</v>
      </c>
      <c r="E2841" s="1" t="b">
        <v>0</v>
      </c>
      <c r="F2841" s="1" t="s">
        <v>16706</v>
      </c>
    </row>
    <row r="2842">
      <c r="A2842" s="1">
        <v>49844.0</v>
      </c>
      <c r="B2842" s="1">
        <v>20468.0</v>
      </c>
      <c r="C2842" s="1">
        <v>0.0</v>
      </c>
      <c r="D2842" s="1">
        <v>4.0</v>
      </c>
      <c r="E2842" s="1" t="b">
        <v>0</v>
      </c>
      <c r="F2842" s="1" t="s">
        <v>16707</v>
      </c>
    </row>
    <row r="2843">
      <c r="A2843" s="1">
        <v>49844.0</v>
      </c>
      <c r="B2843" s="1">
        <v>17684.0</v>
      </c>
      <c r="C2843" s="1">
        <v>1.620406935E9</v>
      </c>
      <c r="D2843" s="1">
        <v>4.0</v>
      </c>
      <c r="E2843" s="1" t="b">
        <v>0</v>
      </c>
      <c r="F2843" s="1" t="s">
        <v>16708</v>
      </c>
    </row>
    <row r="2844">
      <c r="A2844" s="1">
        <v>49844.0</v>
      </c>
      <c r="B2844" s="1">
        <v>12861.0</v>
      </c>
      <c r="C2844" s="1">
        <v>1.613099645E9</v>
      </c>
      <c r="D2844" s="1">
        <v>4.0</v>
      </c>
      <c r="E2844" s="1" t="b">
        <v>0</v>
      </c>
      <c r="F2844" s="1" t="s">
        <v>16709</v>
      </c>
    </row>
    <row r="2845">
      <c r="A2845" s="1">
        <v>49844.0</v>
      </c>
      <c r="B2845" s="1">
        <v>15061.0</v>
      </c>
      <c r="C2845" s="1">
        <v>1.614230611E9</v>
      </c>
      <c r="D2845" s="1">
        <v>4.0</v>
      </c>
      <c r="E2845" s="1" t="b">
        <v>0</v>
      </c>
      <c r="F2845" s="1" t="s">
        <v>16710</v>
      </c>
    </row>
    <row r="2846">
      <c r="A2846" s="1">
        <v>49844.0</v>
      </c>
      <c r="B2846" s="1">
        <v>17326.0</v>
      </c>
      <c r="C2846" s="1">
        <v>1.619453614E9</v>
      </c>
      <c r="D2846" s="1">
        <v>4.0</v>
      </c>
      <c r="E2846" s="1" t="b">
        <v>0</v>
      </c>
      <c r="F2846" s="1" t="s">
        <v>16711</v>
      </c>
    </row>
    <row r="2847">
      <c r="A2847" s="1">
        <v>49844.0</v>
      </c>
      <c r="B2847" s="1">
        <v>17327.0</v>
      </c>
      <c r="C2847" s="1">
        <v>1.6194536E9</v>
      </c>
      <c r="D2847" s="1">
        <v>4.0</v>
      </c>
      <c r="E2847" s="1" t="b">
        <v>0</v>
      </c>
      <c r="F2847" s="1" t="s">
        <v>16712</v>
      </c>
    </row>
    <row r="2848">
      <c r="A2848" s="1">
        <v>49844.0</v>
      </c>
      <c r="B2848" s="1">
        <v>20350.0</v>
      </c>
      <c r="C2848" s="1">
        <v>1.624189108E9</v>
      </c>
      <c r="D2848" s="1">
        <v>4.0</v>
      </c>
      <c r="E2848" s="1" t="b">
        <v>0</v>
      </c>
      <c r="F2848" s="1" t="s">
        <v>16713</v>
      </c>
    </row>
    <row r="2849">
      <c r="A2849" s="1">
        <v>49844.0</v>
      </c>
      <c r="B2849" s="1">
        <v>2511.0</v>
      </c>
      <c r="C2849" s="1">
        <v>1.611207261E9</v>
      </c>
      <c r="D2849" s="1">
        <v>4.0</v>
      </c>
      <c r="E2849" s="1" t="b">
        <v>0</v>
      </c>
      <c r="F2849" s="1" t="s">
        <v>16714</v>
      </c>
    </row>
    <row r="2850">
      <c r="A2850" s="1">
        <v>49844.0</v>
      </c>
      <c r="B2850" s="1">
        <v>14696.0</v>
      </c>
      <c r="C2850" s="1">
        <v>1.613914086E9</v>
      </c>
      <c r="D2850" s="1">
        <v>4.0</v>
      </c>
      <c r="E2850" s="1" t="b">
        <v>0</v>
      </c>
      <c r="F2850" s="1" t="s">
        <v>16715</v>
      </c>
    </row>
    <row r="2851">
      <c r="A2851" s="1">
        <v>49844.0</v>
      </c>
      <c r="B2851" s="1">
        <v>461.0</v>
      </c>
      <c r="C2851" s="1">
        <v>1.608192253E9</v>
      </c>
      <c r="D2851" s="1">
        <v>4.0</v>
      </c>
      <c r="E2851" s="1" t="b">
        <v>0</v>
      </c>
      <c r="F2851" s="1" t="s">
        <v>14065</v>
      </c>
    </row>
    <row r="2852">
      <c r="A2852" s="1">
        <v>49844.0</v>
      </c>
      <c r="B2852" s="1">
        <v>9349.0</v>
      </c>
      <c r="C2852" s="1">
        <v>1.612144375E9</v>
      </c>
      <c r="D2852" s="1">
        <v>4.0</v>
      </c>
      <c r="E2852" s="1" t="b">
        <v>0</v>
      </c>
      <c r="F2852" s="1" t="s">
        <v>16716</v>
      </c>
    </row>
    <row r="2853">
      <c r="A2853" s="1">
        <v>49844.0</v>
      </c>
      <c r="B2853" s="1">
        <v>2512.0</v>
      </c>
      <c r="C2853" s="1">
        <v>1.608476437E9</v>
      </c>
      <c r="D2853" s="1">
        <v>4.0</v>
      </c>
      <c r="E2853" s="1" t="b">
        <v>0</v>
      </c>
      <c r="F2853" s="1" t="s">
        <v>16717</v>
      </c>
    </row>
    <row r="2854">
      <c r="A2854" s="1">
        <v>49844.0</v>
      </c>
      <c r="B2854" s="1">
        <v>15853.0</v>
      </c>
      <c r="C2854" s="1">
        <v>1.615046087E9</v>
      </c>
      <c r="D2854" s="1">
        <v>4.0</v>
      </c>
      <c r="E2854" s="1" t="b">
        <v>0</v>
      </c>
      <c r="F2854" s="1" t="s">
        <v>16718</v>
      </c>
    </row>
    <row r="2855">
      <c r="A2855" s="1">
        <v>49844.0</v>
      </c>
      <c r="B2855" s="1">
        <v>9305.0</v>
      </c>
      <c r="C2855" s="1">
        <v>1.612117161E9</v>
      </c>
      <c r="D2855" s="1">
        <v>4.0</v>
      </c>
      <c r="E2855" s="1" t="b">
        <v>0</v>
      </c>
      <c r="F2855" s="1" t="s">
        <v>16719</v>
      </c>
    </row>
    <row r="2856">
      <c r="A2856" s="1">
        <v>49844.0</v>
      </c>
      <c r="B2856" s="1">
        <v>19348.0</v>
      </c>
      <c r="C2856" s="1">
        <v>1.622623296E9</v>
      </c>
      <c r="D2856" s="1">
        <v>4.0</v>
      </c>
      <c r="E2856" s="1" t="b">
        <v>0</v>
      </c>
      <c r="F2856" s="1" t="s">
        <v>16720</v>
      </c>
    </row>
    <row r="2857">
      <c r="A2857" s="1">
        <v>49844.0</v>
      </c>
      <c r="B2857" s="1">
        <v>4112.0</v>
      </c>
      <c r="C2857" s="1">
        <v>1.61099043E9</v>
      </c>
      <c r="D2857" s="1">
        <v>9.0</v>
      </c>
      <c r="E2857" s="1" t="b">
        <v>0</v>
      </c>
      <c r="F2857" s="1" t="s">
        <v>16721</v>
      </c>
    </row>
    <row r="2858">
      <c r="A2858" s="1">
        <v>49844.0</v>
      </c>
      <c r="B2858" s="1">
        <v>17361.0</v>
      </c>
      <c r="C2858" s="1">
        <v>1.619704281E9</v>
      </c>
      <c r="D2858" s="1">
        <v>4.0</v>
      </c>
      <c r="E2858" s="1" t="b">
        <v>0</v>
      </c>
      <c r="F2858" s="1" t="s">
        <v>14072</v>
      </c>
    </row>
    <row r="2859">
      <c r="A2859" s="1">
        <v>49844.0</v>
      </c>
      <c r="B2859" s="1">
        <v>19586.0</v>
      </c>
      <c r="C2859" s="1">
        <v>1.6230414E9</v>
      </c>
      <c r="D2859" s="1">
        <v>4.0</v>
      </c>
      <c r="E2859" s="1" t="b">
        <v>0</v>
      </c>
      <c r="F2859" s="1" t="s">
        <v>16722</v>
      </c>
    </row>
    <row r="2860">
      <c r="A2860" s="1">
        <v>49844.0</v>
      </c>
      <c r="B2860" s="1">
        <v>2634.0</v>
      </c>
      <c r="C2860" s="1">
        <v>1.608763232E9</v>
      </c>
      <c r="D2860" s="1">
        <v>4.0</v>
      </c>
      <c r="E2860" s="1" t="b">
        <v>0</v>
      </c>
      <c r="F2860" s="1" t="s">
        <v>16723</v>
      </c>
    </row>
    <row r="2861">
      <c r="A2861" s="1">
        <v>49844.0</v>
      </c>
      <c r="B2861" s="1">
        <v>2623.0</v>
      </c>
      <c r="C2861" s="1">
        <v>1.608742728E9</v>
      </c>
      <c r="D2861" s="1">
        <v>4.0</v>
      </c>
      <c r="E2861" s="1" t="b">
        <v>0</v>
      </c>
      <c r="F2861" s="1" t="s">
        <v>16724</v>
      </c>
    </row>
    <row r="2862">
      <c r="A2862" s="1">
        <v>49844.0</v>
      </c>
      <c r="B2862" s="1">
        <v>4772.0</v>
      </c>
      <c r="C2862" s="1">
        <v>1.611226001E9</v>
      </c>
      <c r="D2862" s="1">
        <v>4.0</v>
      </c>
      <c r="E2862" s="1" t="b">
        <v>0</v>
      </c>
      <c r="F2862" s="1" t="s">
        <v>16725</v>
      </c>
    </row>
    <row r="2863">
      <c r="A2863" s="1">
        <v>49844.0</v>
      </c>
      <c r="B2863" s="1">
        <v>14958.0</v>
      </c>
      <c r="C2863" s="1">
        <v>1.614137093E9</v>
      </c>
      <c r="D2863" s="1">
        <v>4.0</v>
      </c>
      <c r="E2863" s="1" t="b">
        <v>0</v>
      </c>
      <c r="F2863" s="1" t="s">
        <v>16726</v>
      </c>
    </row>
    <row r="2864">
      <c r="A2864" s="1">
        <v>49844.0</v>
      </c>
      <c r="B2864" s="1">
        <v>12945.0</v>
      </c>
      <c r="C2864" s="1">
        <v>1.613118523E9</v>
      </c>
      <c r="D2864" s="1">
        <v>9.0</v>
      </c>
      <c r="E2864" s="1" t="b">
        <v>0</v>
      </c>
      <c r="F2864" s="1" t="s">
        <v>16727</v>
      </c>
    </row>
    <row r="2865">
      <c r="A2865" s="1">
        <v>49844.0</v>
      </c>
      <c r="B2865" s="1">
        <v>13608.0</v>
      </c>
      <c r="C2865" s="1">
        <v>1.613309091E9</v>
      </c>
      <c r="D2865" s="1">
        <v>4.0</v>
      </c>
      <c r="E2865" s="1" t="b">
        <v>0</v>
      </c>
      <c r="F2865" s="1" t="s">
        <v>16728</v>
      </c>
    </row>
    <row r="2866">
      <c r="A2866" s="1">
        <v>49844.0</v>
      </c>
      <c r="B2866" s="1">
        <v>14641.0</v>
      </c>
      <c r="C2866" s="1">
        <v>1.613876044E9</v>
      </c>
      <c r="D2866" s="1">
        <v>4.0</v>
      </c>
      <c r="E2866" s="1" t="b">
        <v>0</v>
      </c>
      <c r="F2866" s="1" t="s">
        <v>16729</v>
      </c>
    </row>
    <row r="2867">
      <c r="A2867" s="1">
        <v>49844.0</v>
      </c>
      <c r="B2867" s="1">
        <v>15754.0</v>
      </c>
      <c r="C2867" s="1">
        <v>1.614913608E9</v>
      </c>
      <c r="D2867" s="1">
        <v>4.0</v>
      </c>
      <c r="E2867" s="1" t="b">
        <v>0</v>
      </c>
      <c r="F2867" s="1" t="s">
        <v>16730</v>
      </c>
    </row>
    <row r="2868">
      <c r="A2868" s="1">
        <v>49844.0</v>
      </c>
      <c r="B2868" s="1">
        <v>15618.0</v>
      </c>
      <c r="C2868" s="1">
        <v>1.614755041E9</v>
      </c>
      <c r="D2868" s="1">
        <v>4.0</v>
      </c>
      <c r="E2868" s="1" t="b">
        <v>0</v>
      </c>
      <c r="F2868" s="1" t="s">
        <v>16731</v>
      </c>
    </row>
    <row r="2869">
      <c r="A2869" s="1">
        <v>49844.0</v>
      </c>
      <c r="B2869" s="1">
        <v>12778.0</v>
      </c>
      <c r="C2869" s="1">
        <v>1.619272695E9</v>
      </c>
      <c r="D2869" s="1">
        <v>4.0</v>
      </c>
      <c r="E2869" s="1" t="b">
        <v>0</v>
      </c>
      <c r="F2869" s="1" t="s">
        <v>16732</v>
      </c>
    </row>
    <row r="2870">
      <c r="A2870" s="1">
        <v>49844.0</v>
      </c>
      <c r="B2870" s="1">
        <v>2682.0</v>
      </c>
      <c r="C2870" s="1">
        <v>1.608973101E9</v>
      </c>
      <c r="D2870" s="1">
        <v>4.0</v>
      </c>
      <c r="E2870" s="1" t="b">
        <v>0</v>
      </c>
      <c r="F2870" s="1" t="s">
        <v>16733</v>
      </c>
    </row>
    <row r="2871">
      <c r="A2871" s="1">
        <v>49844.0</v>
      </c>
      <c r="B2871" s="1">
        <v>15922.0</v>
      </c>
      <c r="C2871" s="1">
        <v>1.615170252E9</v>
      </c>
      <c r="D2871" s="1">
        <v>4.0</v>
      </c>
      <c r="E2871" s="1" t="b">
        <v>0</v>
      </c>
      <c r="F2871" s="1" t="s">
        <v>16734</v>
      </c>
    </row>
    <row r="2872">
      <c r="A2872" s="1">
        <v>49844.0</v>
      </c>
      <c r="B2872" s="1">
        <v>13381.0</v>
      </c>
      <c r="C2872" s="1">
        <v>1.613238783E9</v>
      </c>
      <c r="D2872" s="1">
        <v>4.0</v>
      </c>
      <c r="E2872" s="1" t="b">
        <v>0</v>
      </c>
      <c r="F2872" s="1" t="s">
        <v>16735</v>
      </c>
    </row>
    <row r="2873">
      <c r="A2873" s="1">
        <v>49844.0</v>
      </c>
      <c r="B2873" s="1">
        <v>15600.0</v>
      </c>
      <c r="C2873" s="1">
        <v>1.614733712E9</v>
      </c>
      <c r="D2873" s="1">
        <v>4.0</v>
      </c>
      <c r="E2873" s="1" t="b">
        <v>0</v>
      </c>
      <c r="F2873" s="1" t="s">
        <v>16736</v>
      </c>
    </row>
    <row r="2874">
      <c r="A2874" s="1">
        <v>49844.0</v>
      </c>
      <c r="B2874" s="1">
        <v>19351.0</v>
      </c>
      <c r="C2874" s="1">
        <v>1.622625998E9</v>
      </c>
      <c r="D2874" s="1">
        <v>4.0</v>
      </c>
      <c r="E2874" s="1" t="b">
        <v>0</v>
      </c>
      <c r="F2874" s="1" t="s">
        <v>16737</v>
      </c>
    </row>
    <row r="2875">
      <c r="A2875" s="1">
        <v>49844.0</v>
      </c>
      <c r="B2875" s="1">
        <v>2370.0</v>
      </c>
      <c r="C2875" s="1">
        <v>1.608118054E9</v>
      </c>
      <c r="D2875" s="1">
        <v>4.0</v>
      </c>
      <c r="E2875" s="1" t="b">
        <v>0</v>
      </c>
      <c r="F2875" s="1" t="s">
        <v>16738</v>
      </c>
      <c r="G2875" s="1" t="b">
        <v>1</v>
      </c>
    </row>
    <row r="2876">
      <c r="A2876" s="1">
        <v>49844.0</v>
      </c>
      <c r="B2876" s="1">
        <v>2513.0</v>
      </c>
      <c r="C2876" s="1">
        <v>1.608476646E9</v>
      </c>
      <c r="D2876" s="1">
        <v>4.0</v>
      </c>
      <c r="E2876" s="1" t="b">
        <v>0</v>
      </c>
      <c r="F2876" s="1" t="s">
        <v>16739</v>
      </c>
    </row>
    <row r="2877">
      <c r="A2877" s="1">
        <v>49844.0</v>
      </c>
      <c r="B2877" s="1">
        <v>10112.0</v>
      </c>
      <c r="C2877" s="1">
        <v>1.61234352E9</v>
      </c>
      <c r="D2877" s="1">
        <v>4.0</v>
      </c>
      <c r="E2877" s="1" t="b">
        <v>0</v>
      </c>
      <c r="F2877" s="1" t="s">
        <v>16740</v>
      </c>
    </row>
    <row r="2878">
      <c r="A2878" s="1">
        <v>49844.0</v>
      </c>
      <c r="B2878" s="1">
        <v>16808.0</v>
      </c>
      <c r="C2878" s="1">
        <v>1.618223122E9</v>
      </c>
      <c r="D2878" s="1">
        <v>4.0</v>
      </c>
      <c r="E2878" s="1" t="b">
        <v>0</v>
      </c>
      <c r="F2878" s="1" t="s">
        <v>16741</v>
      </c>
    </row>
    <row r="2879">
      <c r="A2879" s="1">
        <v>49844.0</v>
      </c>
      <c r="B2879" s="1">
        <v>2819.0</v>
      </c>
      <c r="C2879" s="1">
        <v>1.609343011E9</v>
      </c>
      <c r="D2879" s="1">
        <v>4.0</v>
      </c>
      <c r="E2879" s="1" t="b">
        <v>0</v>
      </c>
      <c r="F2879" s="1" t="s">
        <v>16742</v>
      </c>
    </row>
    <row r="2880">
      <c r="A2880" s="1">
        <v>49844.0</v>
      </c>
      <c r="B2880" s="1">
        <v>2501.0</v>
      </c>
      <c r="C2880" s="1">
        <v>1.608475954E9</v>
      </c>
      <c r="D2880" s="1">
        <v>4.0</v>
      </c>
      <c r="E2880" s="1" t="b">
        <v>0</v>
      </c>
      <c r="F2880" s="1" t="s">
        <v>16743</v>
      </c>
    </row>
    <row r="2881">
      <c r="A2881" s="1">
        <v>49844.0</v>
      </c>
      <c r="B2881" s="1">
        <v>2505.0</v>
      </c>
      <c r="C2881" s="1">
        <v>1.608476166E9</v>
      </c>
      <c r="D2881" s="1">
        <v>4.0</v>
      </c>
      <c r="E2881" s="1" t="b">
        <v>0</v>
      </c>
      <c r="F2881" s="1" t="s">
        <v>16744</v>
      </c>
    </row>
    <row r="2882">
      <c r="A2882" s="1">
        <v>49844.0</v>
      </c>
      <c r="B2882" s="1">
        <v>16091.0</v>
      </c>
      <c r="C2882" s="1">
        <v>1.615470208E9</v>
      </c>
      <c r="D2882" s="1">
        <v>9.0</v>
      </c>
      <c r="E2882" s="1" t="b">
        <v>0</v>
      </c>
      <c r="F2882" s="1" t="s">
        <v>16745</v>
      </c>
    </row>
    <row r="2883">
      <c r="A2883" s="1">
        <v>49844.0</v>
      </c>
      <c r="B2883" s="1">
        <v>3753.0</v>
      </c>
      <c r="C2883" s="1">
        <v>1.612183001E9</v>
      </c>
      <c r="D2883" s="1">
        <v>4.0</v>
      </c>
      <c r="E2883" s="1" t="b">
        <v>0</v>
      </c>
      <c r="F2883" s="1" t="s">
        <v>15486</v>
      </c>
    </row>
    <row r="2884">
      <c r="A2884" s="1">
        <v>49844.0</v>
      </c>
      <c r="B2884" s="1">
        <v>15083.0</v>
      </c>
      <c r="C2884" s="1">
        <v>1.614242896E9</v>
      </c>
      <c r="D2884" s="1">
        <v>4.0</v>
      </c>
      <c r="E2884" s="1" t="b">
        <v>0</v>
      </c>
      <c r="F2884" s="1" t="s">
        <v>16746</v>
      </c>
    </row>
    <row r="2885">
      <c r="A2885" s="1">
        <v>49844.0</v>
      </c>
      <c r="B2885" s="1">
        <v>19704.0</v>
      </c>
      <c r="C2885" s="1">
        <v>1.62317514E9</v>
      </c>
      <c r="D2885" s="1">
        <v>4.0</v>
      </c>
      <c r="E2885" s="1" t="b">
        <v>0</v>
      </c>
      <c r="F2885" s="1" t="s">
        <v>16747</v>
      </c>
    </row>
    <row r="2886">
      <c r="A2886" s="1">
        <v>49844.0</v>
      </c>
      <c r="B2886" s="1">
        <v>2366.0</v>
      </c>
      <c r="C2886" s="1">
        <v>1.608089554E9</v>
      </c>
      <c r="D2886" s="1">
        <v>1.0</v>
      </c>
      <c r="E2886" s="1" t="b">
        <v>0</v>
      </c>
      <c r="F2886" s="1" t="s">
        <v>16748</v>
      </c>
    </row>
    <row r="2887">
      <c r="A2887" s="1">
        <v>49844.0</v>
      </c>
      <c r="B2887" s="1">
        <v>15459.0</v>
      </c>
      <c r="C2887" s="1">
        <v>1.614581387E9</v>
      </c>
      <c r="D2887" s="1">
        <v>4.0</v>
      </c>
      <c r="E2887" s="1" t="b">
        <v>0</v>
      </c>
      <c r="F2887" s="1" t="s">
        <v>16749</v>
      </c>
    </row>
    <row r="2888">
      <c r="A2888" s="1">
        <v>49844.0</v>
      </c>
      <c r="B2888" s="1">
        <v>2515.0</v>
      </c>
      <c r="C2888" s="1">
        <v>1.608477656E9</v>
      </c>
      <c r="D2888" s="1">
        <v>4.0</v>
      </c>
      <c r="E2888" s="1" t="b">
        <v>0</v>
      </c>
      <c r="F2888" s="1" t="s">
        <v>16750</v>
      </c>
    </row>
    <row r="2889">
      <c r="A2889" s="1">
        <v>49844.0</v>
      </c>
      <c r="B2889" s="1">
        <v>14382.0</v>
      </c>
      <c r="C2889" s="1">
        <v>1.613714746E9</v>
      </c>
      <c r="D2889" s="1">
        <v>4.0</v>
      </c>
      <c r="E2889" s="1" t="b">
        <v>0</v>
      </c>
      <c r="F2889" s="1" t="s">
        <v>16751</v>
      </c>
    </row>
    <row r="2890">
      <c r="A2890" s="1">
        <v>49844.0</v>
      </c>
      <c r="B2890" s="1">
        <v>13534.0</v>
      </c>
      <c r="C2890" s="1">
        <v>1.61329121E9</v>
      </c>
      <c r="D2890" s="1">
        <v>4.0</v>
      </c>
      <c r="E2890" s="1" t="b">
        <v>0</v>
      </c>
      <c r="F2890" s="1" t="s">
        <v>16752</v>
      </c>
    </row>
    <row r="2891">
      <c r="A2891" s="1">
        <v>49844.0</v>
      </c>
      <c r="B2891" s="1">
        <v>13272.0</v>
      </c>
      <c r="C2891" s="1">
        <v>1.613296706E9</v>
      </c>
      <c r="D2891" s="1">
        <v>4.0</v>
      </c>
      <c r="E2891" s="1" t="b">
        <v>0</v>
      </c>
      <c r="F2891" s="1" t="s">
        <v>16753</v>
      </c>
    </row>
    <row r="2892">
      <c r="A2892" s="1">
        <v>49844.0</v>
      </c>
      <c r="B2892" s="1">
        <v>3776.0</v>
      </c>
      <c r="C2892" s="1">
        <v>1.610796074E9</v>
      </c>
      <c r="D2892" s="1">
        <v>9.0</v>
      </c>
      <c r="E2892" s="1" t="b">
        <v>0</v>
      </c>
      <c r="F2892" s="1" t="s">
        <v>16754</v>
      </c>
    </row>
    <row r="2893">
      <c r="A2893" s="1">
        <v>49844.0</v>
      </c>
      <c r="B2893" s="1">
        <v>2360.0</v>
      </c>
      <c r="C2893" s="1">
        <v>1.608051956E9</v>
      </c>
      <c r="D2893" s="1">
        <v>4.0</v>
      </c>
      <c r="E2893" s="1" t="b">
        <v>0</v>
      </c>
      <c r="F2893" s="1" t="s">
        <v>16755</v>
      </c>
      <c r="G2893" s="1" t="b">
        <v>1</v>
      </c>
    </row>
    <row r="2894">
      <c r="A2894" s="1">
        <v>49844.0</v>
      </c>
      <c r="B2894" s="1">
        <v>13254.0</v>
      </c>
      <c r="C2894" s="1">
        <v>1.61321716E9</v>
      </c>
      <c r="D2894" s="1">
        <v>4.0</v>
      </c>
      <c r="E2894" s="1" t="b">
        <v>0</v>
      </c>
      <c r="F2894" s="1" t="s">
        <v>16756</v>
      </c>
    </row>
    <row r="2895">
      <c r="A2895" s="1">
        <v>49844.0</v>
      </c>
      <c r="B2895" s="1">
        <v>19638.0</v>
      </c>
      <c r="C2895" s="1">
        <v>1.623081663E9</v>
      </c>
      <c r="D2895" s="1">
        <v>4.0</v>
      </c>
      <c r="E2895" s="1" t="b">
        <v>0</v>
      </c>
      <c r="F2895" s="1" t="s">
        <v>16757</v>
      </c>
    </row>
    <row r="2896">
      <c r="A2896" s="1">
        <v>49844.0</v>
      </c>
      <c r="B2896" s="1">
        <v>2548.0</v>
      </c>
      <c r="C2896" s="1">
        <v>1.608529099E9</v>
      </c>
      <c r="D2896" s="1">
        <v>4.0</v>
      </c>
      <c r="E2896" s="1" t="b">
        <v>0</v>
      </c>
      <c r="F2896" s="1" t="s">
        <v>16758</v>
      </c>
    </row>
    <row r="2897">
      <c r="A2897" s="1">
        <v>49844.0</v>
      </c>
      <c r="B2897" s="1">
        <v>2570.0</v>
      </c>
      <c r="C2897" s="1">
        <v>1.61078697E9</v>
      </c>
      <c r="D2897" s="1">
        <v>9.0</v>
      </c>
      <c r="E2897" s="1" t="b">
        <v>0</v>
      </c>
      <c r="F2897" s="1" t="s">
        <v>16759</v>
      </c>
    </row>
    <row r="2898">
      <c r="A2898" s="1">
        <v>49844.0</v>
      </c>
      <c r="B2898" s="1">
        <v>2541.0</v>
      </c>
      <c r="C2898" s="1">
        <v>1.608510412E9</v>
      </c>
      <c r="D2898" s="1">
        <v>4.0</v>
      </c>
      <c r="E2898" s="1" t="b">
        <v>0</v>
      </c>
      <c r="F2898" s="1" t="s">
        <v>15989</v>
      </c>
    </row>
    <row r="2899">
      <c r="A2899" s="1">
        <v>49844.0</v>
      </c>
      <c r="B2899" s="1">
        <v>12617.0</v>
      </c>
      <c r="C2899" s="1">
        <v>1.61302728E9</v>
      </c>
      <c r="D2899" s="1">
        <v>4.0</v>
      </c>
      <c r="E2899" s="1" t="b">
        <v>0</v>
      </c>
      <c r="F2899" s="1" t="s">
        <v>16760</v>
      </c>
    </row>
    <row r="2900">
      <c r="A2900" s="1">
        <v>49844.0</v>
      </c>
      <c r="B2900" s="1">
        <v>12993.0</v>
      </c>
      <c r="C2900" s="1">
        <v>1.613129127E9</v>
      </c>
      <c r="D2900" s="1">
        <v>4.0</v>
      </c>
      <c r="E2900" s="1" t="b">
        <v>0</v>
      </c>
      <c r="F2900" s="1" t="s">
        <v>16761</v>
      </c>
    </row>
    <row r="2901">
      <c r="A2901" s="1">
        <v>49844.0</v>
      </c>
      <c r="B2901" s="1">
        <v>16283.0</v>
      </c>
      <c r="C2901" s="1">
        <v>1.616051192E9</v>
      </c>
      <c r="D2901" s="1">
        <v>4.0</v>
      </c>
      <c r="E2901" s="1" t="b">
        <v>0</v>
      </c>
      <c r="F2901" s="1" t="s">
        <v>16762</v>
      </c>
    </row>
    <row r="2902">
      <c r="A2902" s="1">
        <v>49844.0</v>
      </c>
      <c r="B2902" s="1">
        <v>17575.0</v>
      </c>
      <c r="C2902" s="1">
        <v>1.620231798E9</v>
      </c>
      <c r="D2902" s="1">
        <v>4.0</v>
      </c>
      <c r="E2902" s="1" t="b">
        <v>0</v>
      </c>
      <c r="F2902" s="1" t="s">
        <v>16763</v>
      </c>
    </row>
    <row r="2903">
      <c r="A2903" s="1">
        <v>49844.0</v>
      </c>
      <c r="B2903" s="1">
        <v>13870.0</v>
      </c>
      <c r="C2903" s="1">
        <v>1.613391236E9</v>
      </c>
      <c r="D2903" s="1">
        <v>4.0</v>
      </c>
      <c r="E2903" s="1" t="b">
        <v>0</v>
      </c>
      <c r="F2903" s="1" t="s">
        <v>16764</v>
      </c>
    </row>
    <row r="2904">
      <c r="A2904" s="1">
        <v>49844.0</v>
      </c>
      <c r="B2904" s="1">
        <v>15332.0</v>
      </c>
      <c r="C2904" s="1">
        <v>1.61444348E9</v>
      </c>
      <c r="D2904" s="1">
        <v>4.0</v>
      </c>
      <c r="E2904" s="1" t="b">
        <v>0</v>
      </c>
      <c r="F2904" s="1" t="s">
        <v>16765</v>
      </c>
    </row>
    <row r="2905">
      <c r="A2905" s="1">
        <v>49844.0</v>
      </c>
      <c r="B2905" s="1">
        <v>15822.0</v>
      </c>
      <c r="C2905" s="1">
        <v>1.615024869E9</v>
      </c>
      <c r="D2905" s="1">
        <v>4.0</v>
      </c>
      <c r="E2905" s="1" t="b">
        <v>0</v>
      </c>
      <c r="F2905" s="1" t="s">
        <v>16766</v>
      </c>
    </row>
    <row r="2906">
      <c r="A2906" s="1">
        <v>49844.0</v>
      </c>
      <c r="B2906" s="1">
        <v>8684.0</v>
      </c>
      <c r="C2906" s="1">
        <v>1.612885122E9</v>
      </c>
      <c r="D2906" s="1">
        <v>4.0</v>
      </c>
      <c r="E2906" s="1" t="b">
        <v>0</v>
      </c>
      <c r="F2906" s="1" t="s">
        <v>16767</v>
      </c>
    </row>
    <row r="2907">
      <c r="A2907" s="1">
        <v>49844.0</v>
      </c>
      <c r="B2907" s="1">
        <v>13200.0</v>
      </c>
      <c r="C2907" s="1">
        <v>1.613197276E9</v>
      </c>
      <c r="D2907" s="1">
        <v>4.0</v>
      </c>
      <c r="E2907" s="1" t="b">
        <v>0</v>
      </c>
      <c r="F2907" s="1" t="s">
        <v>16768</v>
      </c>
    </row>
    <row r="2908">
      <c r="A2908" s="1">
        <v>49844.0</v>
      </c>
      <c r="B2908" s="1">
        <v>13601.0</v>
      </c>
      <c r="C2908" s="1">
        <v>1.613309413E9</v>
      </c>
      <c r="D2908" s="1">
        <v>4.0</v>
      </c>
      <c r="E2908" s="1" t="b">
        <v>0</v>
      </c>
      <c r="F2908" s="1" t="s">
        <v>16769</v>
      </c>
    </row>
    <row r="2909">
      <c r="A2909" s="1">
        <v>49844.0</v>
      </c>
      <c r="B2909" s="1">
        <v>13266.0</v>
      </c>
      <c r="C2909" s="1">
        <v>1.613217174E9</v>
      </c>
      <c r="D2909" s="1">
        <v>4.0</v>
      </c>
      <c r="E2909" s="1" t="b">
        <v>0</v>
      </c>
      <c r="F2909" s="1" t="s">
        <v>16770</v>
      </c>
    </row>
    <row r="2910">
      <c r="A2910" s="1">
        <v>49844.0</v>
      </c>
      <c r="B2910" s="1">
        <v>15464.0</v>
      </c>
      <c r="C2910" s="1">
        <v>1.614585467E9</v>
      </c>
      <c r="D2910" s="1">
        <v>4.0</v>
      </c>
      <c r="E2910" s="1" t="b">
        <v>0</v>
      </c>
      <c r="F2910" s="1" t="s">
        <v>16771</v>
      </c>
    </row>
    <row r="2911">
      <c r="A2911" s="1">
        <v>49844.0</v>
      </c>
      <c r="B2911" s="1">
        <v>15340.0</v>
      </c>
      <c r="C2911" s="1">
        <v>1.614447226E9</v>
      </c>
      <c r="D2911" s="1">
        <v>4.0</v>
      </c>
      <c r="E2911" s="1" t="b">
        <v>0</v>
      </c>
      <c r="F2911" s="1" t="s">
        <v>16772</v>
      </c>
    </row>
    <row r="2912">
      <c r="A2912" s="1">
        <v>49844.0</v>
      </c>
      <c r="B2912" s="1">
        <v>2500.0</v>
      </c>
      <c r="C2912" s="1">
        <v>1.609171077E9</v>
      </c>
      <c r="D2912" s="1">
        <v>4.0</v>
      </c>
      <c r="E2912" s="1" t="b">
        <v>0</v>
      </c>
      <c r="F2912" s="1" t="s">
        <v>16773</v>
      </c>
    </row>
    <row r="2913">
      <c r="A2913" s="1">
        <v>49844.0</v>
      </c>
      <c r="B2913" s="1">
        <v>13747.0</v>
      </c>
      <c r="C2913" s="1">
        <v>1.613364779E9</v>
      </c>
      <c r="D2913" s="1">
        <v>4.0</v>
      </c>
      <c r="E2913" s="1" t="b">
        <v>0</v>
      </c>
      <c r="F2913" s="1" t="s">
        <v>16774</v>
      </c>
    </row>
    <row r="2914">
      <c r="A2914" s="1">
        <v>49844.0</v>
      </c>
      <c r="B2914" s="1">
        <v>9076.0</v>
      </c>
      <c r="C2914" s="1">
        <v>1.612089564E9</v>
      </c>
      <c r="D2914" s="1">
        <v>4.0</v>
      </c>
      <c r="E2914" s="1" t="b">
        <v>0</v>
      </c>
      <c r="F2914" s="1" t="s">
        <v>16775</v>
      </c>
    </row>
    <row r="2915">
      <c r="A2915" s="1">
        <v>49844.0</v>
      </c>
      <c r="B2915" s="1">
        <v>9360.0</v>
      </c>
      <c r="C2915" s="1">
        <v>1.612144398E9</v>
      </c>
      <c r="D2915" s="1">
        <v>4.0</v>
      </c>
      <c r="E2915" s="1" t="b">
        <v>0</v>
      </c>
      <c r="F2915" s="1" t="s">
        <v>16776</v>
      </c>
    </row>
    <row r="2916">
      <c r="A2916" s="1">
        <v>49844.0</v>
      </c>
      <c r="B2916" s="1">
        <v>19637.0</v>
      </c>
      <c r="C2916" s="1">
        <v>1.623081331E9</v>
      </c>
      <c r="D2916" s="1">
        <v>4.0</v>
      </c>
      <c r="E2916" s="1" t="b">
        <v>0</v>
      </c>
      <c r="F2916" s="1" t="s">
        <v>16777</v>
      </c>
    </row>
    <row r="2917">
      <c r="A2917" s="1">
        <v>49844.0</v>
      </c>
      <c r="B2917" s="1">
        <v>17705.0</v>
      </c>
      <c r="C2917" s="1">
        <v>1.620454813E9</v>
      </c>
      <c r="D2917" s="1">
        <v>4.0</v>
      </c>
      <c r="E2917" s="1" t="b">
        <v>0</v>
      </c>
      <c r="F2917" s="1" t="s">
        <v>16778</v>
      </c>
      <c r="G2917" s="1" t="b">
        <v>1</v>
      </c>
    </row>
    <row r="2918">
      <c r="A2918" s="1">
        <v>49844.0</v>
      </c>
      <c r="B2918" s="1">
        <v>2358.0</v>
      </c>
      <c r="C2918" s="1">
        <v>1.608050195E9</v>
      </c>
      <c r="D2918" s="1">
        <v>1.0</v>
      </c>
      <c r="E2918" s="1" t="b">
        <v>1</v>
      </c>
      <c r="F2918" s="1" t="s">
        <v>16779</v>
      </c>
    </row>
    <row r="2919">
      <c r="A2919" s="1">
        <v>49844.0</v>
      </c>
      <c r="B2919" s="1">
        <v>15541.0</v>
      </c>
      <c r="C2919" s="1">
        <v>1.614673246E9</v>
      </c>
      <c r="D2919" s="1">
        <v>4.0</v>
      </c>
      <c r="E2919" s="1" t="b">
        <v>0</v>
      </c>
      <c r="F2919" s="1" t="s">
        <v>16780</v>
      </c>
    </row>
    <row r="2920">
      <c r="A2920" s="1">
        <v>49844.0</v>
      </c>
      <c r="B2920" s="1">
        <v>13350.0</v>
      </c>
      <c r="C2920" s="1">
        <v>1.613231207E9</v>
      </c>
      <c r="D2920" s="1">
        <v>4.0</v>
      </c>
      <c r="E2920" s="1" t="b">
        <v>0</v>
      </c>
      <c r="F2920" s="1" t="s">
        <v>16781</v>
      </c>
    </row>
    <row r="2921">
      <c r="A2921" s="1">
        <v>49844.0</v>
      </c>
      <c r="B2921" s="1">
        <v>14792.0</v>
      </c>
      <c r="C2921" s="1">
        <v>1.613985976E9</v>
      </c>
      <c r="D2921" s="1">
        <v>4.0</v>
      </c>
      <c r="E2921" s="1" t="b">
        <v>0</v>
      </c>
      <c r="F2921" s="1" t="s">
        <v>16782</v>
      </c>
    </row>
    <row r="2922">
      <c r="A2922" s="1">
        <v>49844.0</v>
      </c>
      <c r="B2922" s="1">
        <v>15856.0</v>
      </c>
      <c r="C2922" s="1">
        <v>1.615049489E9</v>
      </c>
      <c r="D2922" s="1">
        <v>4.0</v>
      </c>
      <c r="E2922" s="1" t="b">
        <v>0</v>
      </c>
      <c r="F2922" s="1" t="s">
        <v>16783</v>
      </c>
    </row>
    <row r="2923">
      <c r="A2923" s="1">
        <v>49844.0</v>
      </c>
      <c r="B2923" s="1">
        <v>4096.0</v>
      </c>
      <c r="C2923" s="1">
        <v>1.610987041E9</v>
      </c>
      <c r="D2923" s="1">
        <v>9.0</v>
      </c>
      <c r="E2923" s="1" t="b">
        <v>0</v>
      </c>
      <c r="F2923" s="1" t="s">
        <v>16784</v>
      </c>
    </row>
    <row r="2924">
      <c r="A2924" s="1">
        <v>49844.0</v>
      </c>
      <c r="B2924" s="1">
        <v>14896.0</v>
      </c>
      <c r="C2924" s="1">
        <v>1.614074674E9</v>
      </c>
      <c r="D2924" s="1">
        <v>4.0</v>
      </c>
      <c r="E2924" s="1" t="b">
        <v>0</v>
      </c>
      <c r="F2924" s="1" t="s">
        <v>16785</v>
      </c>
    </row>
    <row r="2925">
      <c r="A2925" s="1">
        <v>49844.0</v>
      </c>
      <c r="B2925" s="1">
        <v>13105.0</v>
      </c>
      <c r="C2925" s="1">
        <v>1.613180732E9</v>
      </c>
      <c r="D2925" s="1">
        <v>4.0</v>
      </c>
      <c r="E2925" s="1" t="b">
        <v>0</v>
      </c>
      <c r="F2925" s="1" t="s">
        <v>16786</v>
      </c>
    </row>
    <row r="2926">
      <c r="A2926" s="1">
        <v>49844.0</v>
      </c>
      <c r="B2926" s="1">
        <v>2503.0</v>
      </c>
      <c r="C2926" s="1">
        <v>1.608476651E9</v>
      </c>
      <c r="D2926" s="1">
        <v>4.0</v>
      </c>
      <c r="E2926" s="1" t="b">
        <v>0</v>
      </c>
      <c r="F2926" s="1" t="s">
        <v>16787</v>
      </c>
    </row>
    <row r="2927">
      <c r="A2927" s="1">
        <v>49844.0</v>
      </c>
      <c r="B2927" s="1">
        <v>15309.0</v>
      </c>
      <c r="C2927" s="1">
        <v>1.614430501E9</v>
      </c>
      <c r="D2927" s="1">
        <v>4.0</v>
      </c>
      <c r="E2927" s="1" t="b">
        <v>0</v>
      </c>
      <c r="F2927" s="1" t="s">
        <v>16788</v>
      </c>
    </row>
    <row r="2928">
      <c r="A2928" s="1">
        <v>49844.0</v>
      </c>
      <c r="B2928" s="1">
        <v>15923.0</v>
      </c>
      <c r="C2928" s="1">
        <v>1.615170232E9</v>
      </c>
      <c r="D2928" s="1">
        <v>4.0</v>
      </c>
      <c r="E2928" s="1" t="b">
        <v>0</v>
      </c>
      <c r="F2928" s="1" t="s">
        <v>16789</v>
      </c>
    </row>
    <row r="2929">
      <c r="A2929" s="1">
        <v>49844.0</v>
      </c>
      <c r="B2929" s="1">
        <v>16344.0</v>
      </c>
      <c r="C2929" s="1">
        <v>1.616326651E9</v>
      </c>
      <c r="D2929" s="1">
        <v>4.0</v>
      </c>
      <c r="E2929" s="1" t="b">
        <v>0</v>
      </c>
      <c r="F2929" s="1" t="s">
        <v>16790</v>
      </c>
    </row>
    <row r="2930">
      <c r="A2930" s="1">
        <v>49844.0</v>
      </c>
      <c r="B2930" s="1">
        <v>17474.0</v>
      </c>
      <c r="C2930" s="1">
        <v>1.6198407E9</v>
      </c>
      <c r="D2930" s="1">
        <v>4.0</v>
      </c>
      <c r="E2930" s="1" t="b">
        <v>0</v>
      </c>
      <c r="F2930" s="1" t="s">
        <v>16791</v>
      </c>
    </row>
    <row r="2931">
      <c r="A2931" s="1">
        <v>49844.0</v>
      </c>
      <c r="B2931" s="1">
        <v>13218.0</v>
      </c>
      <c r="C2931" s="1">
        <v>1.613201723E9</v>
      </c>
      <c r="D2931" s="1">
        <v>4.0</v>
      </c>
      <c r="E2931" s="1" t="b">
        <v>0</v>
      </c>
      <c r="F2931" s="1" t="s">
        <v>16792</v>
      </c>
    </row>
    <row r="2932">
      <c r="A2932" s="1">
        <v>49844.0</v>
      </c>
      <c r="B2932" s="1">
        <v>15683.0</v>
      </c>
      <c r="C2932" s="1">
        <v>1.61483445E9</v>
      </c>
      <c r="D2932" s="1">
        <v>4.0</v>
      </c>
      <c r="E2932" s="1" t="b">
        <v>0</v>
      </c>
      <c r="F2932" s="1" t="s">
        <v>16793</v>
      </c>
    </row>
    <row r="2933">
      <c r="A2933" s="1">
        <v>49844.0</v>
      </c>
      <c r="B2933" s="1">
        <v>15675.0</v>
      </c>
      <c r="C2933" s="1">
        <v>1.622977905E9</v>
      </c>
      <c r="D2933" s="1">
        <v>4.0</v>
      </c>
      <c r="E2933" s="1" t="b">
        <v>0</v>
      </c>
      <c r="F2933" s="1" t="s">
        <v>16794</v>
      </c>
    </row>
    <row r="2934">
      <c r="A2934" s="1">
        <v>49844.0</v>
      </c>
      <c r="B2934" s="1">
        <v>9214.0</v>
      </c>
      <c r="C2934" s="1">
        <v>1.61478042E9</v>
      </c>
      <c r="D2934" s="1">
        <v>4.0</v>
      </c>
      <c r="E2934" s="1" t="b">
        <v>0</v>
      </c>
      <c r="F2934" s="1" t="s">
        <v>16795</v>
      </c>
    </row>
    <row r="2935">
      <c r="A2935" s="1">
        <v>49844.0</v>
      </c>
      <c r="B2935" s="1">
        <v>13462.0</v>
      </c>
      <c r="C2935" s="1">
        <v>1.613277556E9</v>
      </c>
      <c r="D2935" s="1">
        <v>4.0</v>
      </c>
      <c r="E2935" s="1" t="b">
        <v>0</v>
      </c>
      <c r="F2935" s="1" t="s">
        <v>16796</v>
      </c>
    </row>
    <row r="2936">
      <c r="A2936" s="1">
        <v>49844.0</v>
      </c>
      <c r="B2936" s="1">
        <v>11689.0</v>
      </c>
      <c r="C2936" s="1">
        <v>1.613285635E9</v>
      </c>
      <c r="D2936" s="1">
        <v>4.0</v>
      </c>
      <c r="E2936" s="1" t="b">
        <v>0</v>
      </c>
      <c r="F2936" s="1" t="s">
        <v>16797</v>
      </c>
    </row>
    <row r="2937">
      <c r="A2937" s="1">
        <v>49844.0</v>
      </c>
      <c r="B2937" s="1">
        <v>19323.0</v>
      </c>
      <c r="C2937" s="1">
        <v>1.622609537E9</v>
      </c>
      <c r="D2937" s="1">
        <v>4.0</v>
      </c>
      <c r="E2937" s="1" t="b">
        <v>0</v>
      </c>
      <c r="F2937" s="1" t="s">
        <v>16798</v>
      </c>
    </row>
    <row r="2938">
      <c r="A2938" s="1">
        <v>49844.0</v>
      </c>
      <c r="B2938" s="1">
        <v>17530.0</v>
      </c>
      <c r="C2938" s="1">
        <v>1.620148271E9</v>
      </c>
      <c r="D2938" s="1">
        <v>4.0</v>
      </c>
      <c r="E2938" s="1" t="b">
        <v>0</v>
      </c>
      <c r="F2938" s="1" t="s">
        <v>16799</v>
      </c>
    </row>
    <row r="2939">
      <c r="A2939" s="1">
        <v>49844.0</v>
      </c>
      <c r="B2939" s="1">
        <v>13289.0</v>
      </c>
      <c r="C2939" s="1">
        <v>1.613929462E9</v>
      </c>
      <c r="D2939" s="1">
        <v>4.0</v>
      </c>
      <c r="E2939" s="1" t="b">
        <v>0</v>
      </c>
      <c r="F2939" s="1" t="s">
        <v>16800</v>
      </c>
    </row>
    <row r="2940">
      <c r="A2940" s="1">
        <v>49844.0</v>
      </c>
      <c r="B2940" s="1">
        <v>20462.0</v>
      </c>
      <c r="C2940" s="1">
        <v>0.0</v>
      </c>
      <c r="D2940" s="1">
        <v>4.0</v>
      </c>
      <c r="E2940" s="1" t="b">
        <v>0</v>
      </c>
      <c r="F2940" s="1" t="s">
        <v>16801</v>
      </c>
    </row>
    <row r="2941">
      <c r="A2941" s="1">
        <v>49844.0</v>
      </c>
      <c r="B2941" s="1">
        <v>581.0</v>
      </c>
      <c r="C2941" s="1">
        <v>1.610340288E9</v>
      </c>
      <c r="D2941" s="1">
        <v>4.0</v>
      </c>
      <c r="E2941" s="1" t="b">
        <v>0</v>
      </c>
      <c r="F2941" s="1" t="s">
        <v>14168</v>
      </c>
    </row>
    <row r="2942">
      <c r="A2942" s="1">
        <v>49844.0</v>
      </c>
      <c r="B2942" s="1">
        <v>13338.0</v>
      </c>
      <c r="C2942" s="1">
        <v>1.613227828E9</v>
      </c>
      <c r="D2942" s="1">
        <v>4.0</v>
      </c>
      <c r="E2942" s="1" t="b">
        <v>0</v>
      </c>
      <c r="F2942" s="1" t="s">
        <v>16802</v>
      </c>
    </row>
    <row r="2943">
      <c r="A2943" s="1">
        <v>49844.0</v>
      </c>
      <c r="B2943" s="1">
        <v>2572.0</v>
      </c>
      <c r="C2943" s="1">
        <v>1.608602338E9</v>
      </c>
      <c r="D2943" s="1">
        <v>4.0</v>
      </c>
      <c r="E2943" s="1" t="b">
        <v>0</v>
      </c>
      <c r="F2943" s="1" t="s">
        <v>16803</v>
      </c>
    </row>
    <row r="2944">
      <c r="A2944" s="1">
        <v>49844.0</v>
      </c>
      <c r="B2944" s="1">
        <v>4681.0</v>
      </c>
      <c r="C2944" s="1">
        <v>1.611206698E9</v>
      </c>
      <c r="D2944" s="1">
        <v>9.0</v>
      </c>
      <c r="E2944" s="1" t="b">
        <v>0</v>
      </c>
      <c r="F2944" s="1" t="s">
        <v>16804</v>
      </c>
    </row>
    <row r="2945">
      <c r="A2945" s="1">
        <v>49844.0</v>
      </c>
      <c r="B2945" s="1">
        <v>15019.0</v>
      </c>
      <c r="C2945" s="1">
        <v>1.614186796E9</v>
      </c>
      <c r="D2945" s="1">
        <v>4.0</v>
      </c>
      <c r="E2945" s="1" t="b">
        <v>0</v>
      </c>
      <c r="F2945" s="1" t="s">
        <v>16805</v>
      </c>
    </row>
    <row r="2946">
      <c r="A2946" s="1">
        <v>49844.0</v>
      </c>
      <c r="B2946" s="1">
        <v>19780.0</v>
      </c>
      <c r="C2946" s="1">
        <v>1.623300813E9</v>
      </c>
      <c r="D2946" s="1">
        <v>4.0</v>
      </c>
      <c r="E2946" s="1" t="b">
        <v>0</v>
      </c>
      <c r="F2946" s="1" t="s">
        <v>16806</v>
      </c>
    </row>
    <row r="2947">
      <c r="A2947" s="1">
        <v>49844.0</v>
      </c>
      <c r="B2947" s="1">
        <v>4087.0</v>
      </c>
      <c r="C2947" s="1">
        <v>1.610985671E9</v>
      </c>
      <c r="D2947" s="1">
        <v>4.0</v>
      </c>
      <c r="E2947" s="1" t="b">
        <v>0</v>
      </c>
      <c r="F2947" s="1" t="s">
        <v>16807</v>
      </c>
    </row>
    <row r="2948">
      <c r="A2948" s="1">
        <v>49844.0</v>
      </c>
      <c r="B2948" s="1">
        <v>2507.0</v>
      </c>
      <c r="C2948" s="1">
        <v>1.608476259E9</v>
      </c>
      <c r="D2948" s="1">
        <v>4.0</v>
      </c>
      <c r="E2948" s="1" t="b">
        <v>0</v>
      </c>
      <c r="F2948" s="1" t="s">
        <v>16808</v>
      </c>
      <c r="G2948" s="1" t="b">
        <v>1</v>
      </c>
    </row>
    <row r="2949">
      <c r="A2949" s="1">
        <v>49844.0</v>
      </c>
      <c r="B2949" s="1">
        <v>19738.0</v>
      </c>
      <c r="C2949" s="1">
        <v>1.623233447E9</v>
      </c>
      <c r="D2949" s="1">
        <v>4.0</v>
      </c>
      <c r="E2949" s="1" t="b">
        <v>0</v>
      </c>
      <c r="F2949" s="1" t="s">
        <v>16809</v>
      </c>
    </row>
    <row r="2950">
      <c r="A2950" s="1">
        <v>49844.0</v>
      </c>
      <c r="B2950" s="1">
        <v>15238.0</v>
      </c>
      <c r="C2950" s="1">
        <v>1.614395697E9</v>
      </c>
      <c r="D2950" s="1">
        <v>4.0</v>
      </c>
      <c r="E2950" s="1" t="b">
        <v>0</v>
      </c>
      <c r="F2950" s="1" t="s">
        <v>16810</v>
      </c>
    </row>
    <row r="2951">
      <c r="A2951" s="1">
        <v>49844.0</v>
      </c>
      <c r="B2951" s="1">
        <v>12634.0</v>
      </c>
      <c r="C2951" s="1">
        <v>1.613029814E9</v>
      </c>
      <c r="D2951" s="1">
        <v>4.0</v>
      </c>
      <c r="E2951" s="1" t="b">
        <v>0</v>
      </c>
      <c r="F2951" s="1" t="s">
        <v>16811</v>
      </c>
    </row>
    <row r="2952">
      <c r="A2952" s="1">
        <v>49844.0</v>
      </c>
      <c r="B2952" s="1">
        <v>15911.0</v>
      </c>
      <c r="C2952" s="1">
        <v>1.615138144E9</v>
      </c>
      <c r="D2952" s="1">
        <v>4.0</v>
      </c>
      <c r="E2952" s="1" t="b">
        <v>0</v>
      </c>
      <c r="F2952" s="1" t="s">
        <v>16812</v>
      </c>
    </row>
    <row r="2953">
      <c r="A2953" s="1">
        <v>49844.0</v>
      </c>
      <c r="B2953" s="1">
        <v>12395.0</v>
      </c>
      <c r="C2953" s="1">
        <v>1.612963583E9</v>
      </c>
      <c r="D2953" s="1">
        <v>4.0</v>
      </c>
      <c r="E2953" s="1" t="b">
        <v>0</v>
      </c>
      <c r="F2953" s="1" t="s">
        <v>16813</v>
      </c>
    </row>
    <row r="2954">
      <c r="A2954" s="1">
        <v>49844.0</v>
      </c>
      <c r="B2954" s="1">
        <v>17173.0</v>
      </c>
      <c r="C2954" s="1">
        <v>1.619160883E9</v>
      </c>
      <c r="D2954" s="1">
        <v>4.0</v>
      </c>
      <c r="E2954" s="1" t="b">
        <v>0</v>
      </c>
      <c r="F2954" s="1" t="s">
        <v>16814</v>
      </c>
    </row>
    <row r="2955">
      <c r="A2955" s="1">
        <v>49844.0</v>
      </c>
      <c r="B2955" s="1">
        <v>20001.0</v>
      </c>
      <c r="C2955" s="1">
        <v>1.623608102E9</v>
      </c>
      <c r="D2955" s="1">
        <v>4.0</v>
      </c>
      <c r="E2955" s="1" t="b">
        <v>0</v>
      </c>
      <c r="F2955" s="1" t="s">
        <v>16815</v>
      </c>
    </row>
    <row r="2956">
      <c r="A2956" s="1">
        <v>49844.0</v>
      </c>
      <c r="B2956" s="1">
        <v>12490.0</v>
      </c>
      <c r="C2956" s="1">
        <v>1.613006481E9</v>
      </c>
      <c r="D2956" s="1">
        <v>4.0</v>
      </c>
      <c r="E2956" s="1" t="b">
        <v>0</v>
      </c>
      <c r="F2956" s="1" t="s">
        <v>16816</v>
      </c>
    </row>
    <row r="2957">
      <c r="A2957" s="1">
        <v>49844.0</v>
      </c>
      <c r="B2957" s="1">
        <v>13394.0</v>
      </c>
      <c r="C2957" s="1">
        <v>1.613269665E9</v>
      </c>
      <c r="D2957" s="1">
        <v>4.0</v>
      </c>
      <c r="E2957" s="1" t="b">
        <v>0</v>
      </c>
      <c r="F2957" s="1" t="s">
        <v>16817</v>
      </c>
    </row>
    <row r="2958">
      <c r="A2958" s="1">
        <v>49844.0</v>
      </c>
      <c r="B2958" s="1">
        <v>20335.0</v>
      </c>
      <c r="C2958" s="1">
        <v>1.624158548E9</v>
      </c>
      <c r="D2958" s="1">
        <v>4.0</v>
      </c>
      <c r="E2958" s="1" t="b">
        <v>0</v>
      </c>
      <c r="F2958" s="1" t="s">
        <v>16818</v>
      </c>
    </row>
    <row r="2959">
      <c r="A2959" s="1">
        <v>49844.0</v>
      </c>
      <c r="B2959" s="1">
        <v>2514.0</v>
      </c>
      <c r="C2959" s="1">
        <v>1.608477255E9</v>
      </c>
      <c r="D2959" s="1">
        <v>4.0</v>
      </c>
      <c r="E2959" s="1" t="b">
        <v>0</v>
      </c>
      <c r="F2959" s="1" t="s">
        <v>16819</v>
      </c>
    </row>
    <row r="2960">
      <c r="A2960" s="1">
        <v>49844.0</v>
      </c>
      <c r="B2960" s="1">
        <v>15791.0</v>
      </c>
      <c r="C2960" s="1">
        <v>1.614947965E9</v>
      </c>
      <c r="D2960" s="1">
        <v>4.0</v>
      </c>
      <c r="E2960" s="1" t="b">
        <v>0</v>
      </c>
      <c r="F2960" s="1" t="s">
        <v>16820</v>
      </c>
    </row>
    <row r="2961">
      <c r="A2961" s="1">
        <v>49844.0</v>
      </c>
      <c r="B2961" s="1">
        <v>5115.0</v>
      </c>
      <c r="C2961" s="1">
        <v>1.623225287E9</v>
      </c>
      <c r="D2961" s="1">
        <v>4.0</v>
      </c>
      <c r="E2961" s="1" t="b">
        <v>0</v>
      </c>
      <c r="F2961" s="1" t="s">
        <v>16821</v>
      </c>
    </row>
    <row r="2962">
      <c r="A2962" s="1">
        <v>49844.0</v>
      </c>
      <c r="B2962" s="1">
        <v>9107.0</v>
      </c>
      <c r="C2962" s="1">
        <v>1.612093933E9</v>
      </c>
      <c r="D2962" s="1">
        <v>4.0</v>
      </c>
      <c r="E2962" s="1" t="b">
        <v>0</v>
      </c>
      <c r="F2962" s="1" t="s">
        <v>16822</v>
      </c>
    </row>
    <row r="2963">
      <c r="A2963" s="1">
        <v>49844.0</v>
      </c>
      <c r="B2963" s="1">
        <v>12976.0</v>
      </c>
      <c r="C2963" s="1">
        <v>1.613128759E9</v>
      </c>
      <c r="D2963" s="1">
        <v>4.0</v>
      </c>
      <c r="E2963" s="1" t="b">
        <v>0</v>
      </c>
      <c r="F2963" s="1" t="s">
        <v>16823</v>
      </c>
    </row>
    <row r="2964">
      <c r="A2964" s="1">
        <v>49844.0</v>
      </c>
      <c r="B2964" s="1">
        <v>4718.0</v>
      </c>
      <c r="C2964" s="1">
        <v>1.61121393E9</v>
      </c>
      <c r="D2964" s="1">
        <v>4.0</v>
      </c>
      <c r="E2964" s="1" t="b">
        <v>0</v>
      </c>
      <c r="F2964" s="1" t="s">
        <v>16824</v>
      </c>
    </row>
    <row r="2965">
      <c r="A2965" s="1">
        <v>49844.0</v>
      </c>
      <c r="B2965" s="1">
        <v>4430.0</v>
      </c>
      <c r="C2965" s="1">
        <v>1.611122788E9</v>
      </c>
      <c r="D2965" s="1">
        <v>4.0</v>
      </c>
      <c r="E2965" s="1" t="b">
        <v>0</v>
      </c>
      <c r="F2965" s="1" t="s">
        <v>16825</v>
      </c>
    </row>
    <row r="2966">
      <c r="A2966" s="1">
        <v>49844.0</v>
      </c>
      <c r="B2966" s="1">
        <v>17916.0</v>
      </c>
      <c r="C2966" s="1">
        <v>1.620651403E9</v>
      </c>
      <c r="D2966" s="1">
        <v>4.0</v>
      </c>
      <c r="E2966" s="1" t="b">
        <v>0</v>
      </c>
      <c r="F2966" s="1" t="s">
        <v>16826</v>
      </c>
    </row>
    <row r="2967">
      <c r="A2967" s="1">
        <v>49844.0</v>
      </c>
      <c r="B2967" s="1">
        <v>13700.0</v>
      </c>
      <c r="C2967" s="1">
        <v>1.613353634E9</v>
      </c>
      <c r="D2967" s="1">
        <v>4.0</v>
      </c>
      <c r="E2967" s="1" t="b">
        <v>0</v>
      </c>
      <c r="F2967" s="1" t="s">
        <v>16827</v>
      </c>
    </row>
    <row r="2968">
      <c r="A2968" s="1">
        <v>49844.0</v>
      </c>
      <c r="B2968" s="1">
        <v>16731.0</v>
      </c>
      <c r="C2968" s="1">
        <v>1.617808534E9</v>
      </c>
      <c r="D2968" s="1">
        <v>4.0</v>
      </c>
      <c r="E2968" s="1" t="b">
        <v>0</v>
      </c>
      <c r="F2968" s="1" t="s">
        <v>16828</v>
      </c>
    </row>
    <row r="2969">
      <c r="A2969" s="1">
        <v>49844.0</v>
      </c>
      <c r="B2969" s="1">
        <v>17275.0</v>
      </c>
      <c r="C2969" s="1">
        <v>1.619335969E9</v>
      </c>
      <c r="D2969" s="1">
        <v>4.0</v>
      </c>
      <c r="E2969" s="1" t="b">
        <v>0</v>
      </c>
      <c r="F2969" s="1" t="s">
        <v>16829</v>
      </c>
    </row>
    <row r="2970">
      <c r="A2970" s="1">
        <v>49844.0</v>
      </c>
      <c r="B2970" s="1">
        <v>2709.0</v>
      </c>
      <c r="C2970" s="1">
        <v>1.609061325E9</v>
      </c>
      <c r="D2970" s="1">
        <v>4.0</v>
      </c>
      <c r="E2970" s="1" t="b">
        <v>0</v>
      </c>
      <c r="F2970" s="1" t="s">
        <v>16830</v>
      </c>
    </row>
    <row r="2971">
      <c r="A2971" s="1">
        <v>49844.0</v>
      </c>
      <c r="B2971" s="1">
        <v>3749.0</v>
      </c>
      <c r="C2971" s="1">
        <v>1.611495714E9</v>
      </c>
      <c r="D2971" s="1">
        <v>4.0</v>
      </c>
      <c r="E2971" s="1" t="b">
        <v>0</v>
      </c>
      <c r="F2971" s="1" t="s">
        <v>16831</v>
      </c>
    </row>
    <row r="2972">
      <c r="A2972" s="1">
        <v>49844.0</v>
      </c>
      <c r="B2972" s="1">
        <v>15385.0</v>
      </c>
      <c r="C2972" s="1">
        <v>1.614508149E9</v>
      </c>
      <c r="D2972" s="1">
        <v>4.0</v>
      </c>
      <c r="E2972" s="1" t="b">
        <v>0</v>
      </c>
      <c r="F2972" s="1" t="s">
        <v>16832</v>
      </c>
    </row>
    <row r="2973">
      <c r="A2973" s="1">
        <v>49844.0</v>
      </c>
      <c r="B2973" s="1">
        <v>14237.0</v>
      </c>
      <c r="C2973" s="1">
        <v>1.613611515E9</v>
      </c>
      <c r="D2973" s="1">
        <v>4.0</v>
      </c>
      <c r="E2973" s="1" t="b">
        <v>0</v>
      </c>
      <c r="F2973" s="1" t="s">
        <v>16833</v>
      </c>
    </row>
    <row r="2974">
      <c r="A2974" s="1">
        <v>49844.0</v>
      </c>
      <c r="B2974" s="1">
        <v>2697.0</v>
      </c>
      <c r="C2974" s="1">
        <v>1.609004175E9</v>
      </c>
      <c r="D2974" s="1">
        <v>4.0</v>
      </c>
      <c r="E2974" s="1" t="b">
        <v>0</v>
      </c>
      <c r="F2974" s="1" t="s">
        <v>16834</v>
      </c>
    </row>
    <row r="2975">
      <c r="A2975" s="1">
        <v>49844.0</v>
      </c>
      <c r="B2975" s="1">
        <v>13729.0</v>
      </c>
      <c r="C2975" s="1">
        <v>1.613359589E9</v>
      </c>
      <c r="D2975" s="1">
        <v>4.0</v>
      </c>
      <c r="E2975" s="1" t="b">
        <v>0</v>
      </c>
      <c r="F2975" s="1" t="s">
        <v>16835</v>
      </c>
    </row>
    <row r="2976">
      <c r="A2976" s="1">
        <v>49844.0</v>
      </c>
      <c r="B2976" s="1">
        <v>15400.0</v>
      </c>
      <c r="C2976" s="1">
        <v>1.614691644E9</v>
      </c>
      <c r="D2976" s="1">
        <v>4.0</v>
      </c>
      <c r="E2976" s="1" t="b">
        <v>0</v>
      </c>
      <c r="F2976" s="1" t="s">
        <v>16836</v>
      </c>
    </row>
    <row r="2977">
      <c r="A2977" s="1">
        <v>49844.0</v>
      </c>
      <c r="B2977" s="1">
        <v>14687.0</v>
      </c>
      <c r="C2977" s="1">
        <v>1.613907516E9</v>
      </c>
      <c r="D2977" s="1">
        <v>4.0</v>
      </c>
      <c r="E2977" s="1" t="b">
        <v>0</v>
      </c>
      <c r="F2977" s="1" t="s">
        <v>16837</v>
      </c>
    </row>
    <row r="2978">
      <c r="A2978" s="1">
        <v>49844.0</v>
      </c>
      <c r="B2978" s="1">
        <v>15465.0</v>
      </c>
      <c r="C2978" s="1">
        <v>1.614585902E9</v>
      </c>
      <c r="D2978" s="1">
        <v>4.0</v>
      </c>
      <c r="E2978" s="1" t="b">
        <v>0</v>
      </c>
      <c r="F2978" s="1" t="s">
        <v>16838</v>
      </c>
    </row>
    <row r="2979">
      <c r="A2979" s="1">
        <v>49844.0</v>
      </c>
      <c r="B2979" s="1">
        <v>2509.0</v>
      </c>
      <c r="C2979" s="1">
        <v>1.608476558E9</v>
      </c>
      <c r="D2979" s="1">
        <v>4.0</v>
      </c>
      <c r="E2979" s="1" t="b">
        <v>0</v>
      </c>
      <c r="F2979" s="1" t="s">
        <v>16839</v>
      </c>
    </row>
    <row r="2980">
      <c r="A2980" s="1">
        <v>49844.0</v>
      </c>
      <c r="B2980" s="1">
        <v>15728.0</v>
      </c>
      <c r="C2980" s="1">
        <v>1.614857552E9</v>
      </c>
      <c r="D2980" s="1">
        <v>4.0</v>
      </c>
      <c r="E2980" s="1" t="b">
        <v>0</v>
      </c>
      <c r="F2980" s="1" t="s">
        <v>16840</v>
      </c>
    </row>
    <row r="2981">
      <c r="A2981" s="1">
        <v>49844.0</v>
      </c>
      <c r="B2981" s="1">
        <v>13846.0</v>
      </c>
      <c r="C2981" s="1">
        <v>1.61338703E9</v>
      </c>
      <c r="D2981" s="1">
        <v>4.0</v>
      </c>
      <c r="E2981" s="1" t="b">
        <v>0</v>
      </c>
      <c r="F2981" s="1" t="s">
        <v>16841</v>
      </c>
    </row>
    <row r="2982">
      <c r="A2982" s="1">
        <v>49844.0</v>
      </c>
      <c r="B2982" s="1">
        <v>17571.0</v>
      </c>
      <c r="C2982" s="1">
        <v>1.620223381E9</v>
      </c>
      <c r="D2982" s="1">
        <v>4.0</v>
      </c>
      <c r="E2982" s="1" t="b">
        <v>0</v>
      </c>
      <c r="F2982" s="1" t="s">
        <v>14650</v>
      </c>
    </row>
    <row r="2983">
      <c r="A2983" s="1">
        <v>49844.0</v>
      </c>
      <c r="B2983" s="1">
        <v>4055.0</v>
      </c>
      <c r="C2983" s="1">
        <v>1.610975994E9</v>
      </c>
      <c r="D2983" s="1">
        <v>4.0</v>
      </c>
      <c r="E2983" s="1" t="b">
        <v>0</v>
      </c>
      <c r="F2983" s="1" t="s">
        <v>16842</v>
      </c>
    </row>
    <row r="2984">
      <c r="A2984" s="1">
        <v>49844.0</v>
      </c>
      <c r="B2984" s="1">
        <v>15765.0</v>
      </c>
      <c r="C2984" s="1">
        <v>1.614923643E9</v>
      </c>
      <c r="D2984" s="1">
        <v>4.0</v>
      </c>
      <c r="E2984" s="1" t="b">
        <v>0</v>
      </c>
      <c r="F2984" s="1" t="s">
        <v>16843</v>
      </c>
    </row>
    <row r="2985">
      <c r="A2985" s="1">
        <v>49844.0</v>
      </c>
      <c r="B2985" s="1">
        <v>15828.0</v>
      </c>
      <c r="C2985" s="1">
        <v>1.615024908E9</v>
      </c>
      <c r="D2985" s="1">
        <v>4.0</v>
      </c>
      <c r="E2985" s="1" t="b">
        <v>0</v>
      </c>
      <c r="F2985" s="1" t="s">
        <v>16844</v>
      </c>
    </row>
    <row r="2986">
      <c r="A2986" s="1">
        <v>49844.0</v>
      </c>
      <c r="B2986" s="1">
        <v>15292.0</v>
      </c>
      <c r="C2986" s="1">
        <v>1.614420106E9</v>
      </c>
      <c r="D2986" s="1">
        <v>4.0</v>
      </c>
      <c r="E2986" s="1" t="b">
        <v>0</v>
      </c>
      <c r="F2986" s="1" t="s">
        <v>16845</v>
      </c>
    </row>
    <row r="2987">
      <c r="A2987" s="1">
        <v>49844.0</v>
      </c>
      <c r="B2987" s="1">
        <v>13311.0</v>
      </c>
      <c r="C2987" s="1">
        <v>1.613221412E9</v>
      </c>
      <c r="D2987" s="1">
        <v>4.0</v>
      </c>
      <c r="E2987" s="1" t="b">
        <v>0</v>
      </c>
      <c r="F2987" s="1" t="s">
        <v>15008</v>
      </c>
    </row>
    <row r="2988">
      <c r="A2988" s="1">
        <v>49844.0</v>
      </c>
      <c r="B2988" s="1">
        <v>15370.0</v>
      </c>
      <c r="C2988" s="1">
        <v>1.614495089E9</v>
      </c>
      <c r="D2988" s="1">
        <v>4.0</v>
      </c>
      <c r="E2988" s="1" t="b">
        <v>0</v>
      </c>
      <c r="F2988" s="1" t="s">
        <v>16846</v>
      </c>
    </row>
    <row r="2989">
      <c r="A2989" s="1">
        <v>49844.0</v>
      </c>
      <c r="B2989" s="1">
        <v>15706.0</v>
      </c>
      <c r="C2989" s="1">
        <v>1.614836857E9</v>
      </c>
      <c r="D2989" s="1">
        <v>4.0</v>
      </c>
      <c r="E2989" s="1" t="b">
        <v>0</v>
      </c>
      <c r="F2989" s="1" t="s">
        <v>16847</v>
      </c>
    </row>
    <row r="2990">
      <c r="A2990" s="1">
        <v>49844.0</v>
      </c>
      <c r="B2990" s="1">
        <v>6108.0</v>
      </c>
      <c r="C2990" s="1">
        <v>1.611562951E9</v>
      </c>
      <c r="D2990" s="1">
        <v>4.0</v>
      </c>
      <c r="E2990" s="1" t="b">
        <v>0</v>
      </c>
      <c r="F2990" s="1" t="s">
        <v>15569</v>
      </c>
    </row>
    <row r="2991">
      <c r="A2991" s="1">
        <v>49844.0</v>
      </c>
      <c r="B2991" s="1">
        <v>15213.0</v>
      </c>
      <c r="C2991" s="1">
        <v>1.614348873E9</v>
      </c>
      <c r="D2991" s="1">
        <v>4.0</v>
      </c>
      <c r="E2991" s="1" t="b">
        <v>0</v>
      </c>
      <c r="F2991" s="1" t="s">
        <v>16848</v>
      </c>
    </row>
    <row r="2992">
      <c r="A2992" s="1">
        <v>49844.0</v>
      </c>
      <c r="B2992" s="1">
        <v>9507.0</v>
      </c>
      <c r="C2992" s="1">
        <v>1.61216784E9</v>
      </c>
      <c r="D2992" s="1">
        <v>4.0</v>
      </c>
      <c r="E2992" s="1" t="b">
        <v>0</v>
      </c>
      <c r="F2992" s="1" t="s">
        <v>16849</v>
      </c>
    </row>
    <row r="2993">
      <c r="A2993" s="1">
        <v>49844.0</v>
      </c>
      <c r="B2993" s="1">
        <v>13880.0</v>
      </c>
      <c r="C2993" s="1">
        <v>1.613395083E9</v>
      </c>
      <c r="D2993" s="1">
        <v>4.0</v>
      </c>
      <c r="E2993" s="1" t="b">
        <v>0</v>
      </c>
      <c r="F2993" s="1" t="s">
        <v>16850</v>
      </c>
    </row>
    <row r="2994">
      <c r="A2994" s="1">
        <v>49844.0</v>
      </c>
      <c r="B2994" s="1">
        <v>15750.0</v>
      </c>
      <c r="C2994" s="1">
        <v>1.615048754E9</v>
      </c>
      <c r="D2994" s="1">
        <v>4.0</v>
      </c>
      <c r="E2994" s="1" t="b">
        <v>0</v>
      </c>
      <c r="F2994" s="1" t="s">
        <v>16851</v>
      </c>
    </row>
    <row r="2995">
      <c r="A2995" s="1">
        <v>49844.0</v>
      </c>
      <c r="B2995" s="1">
        <v>9500.0</v>
      </c>
      <c r="C2995" s="1">
        <v>1.612166658E9</v>
      </c>
      <c r="D2995" s="1">
        <v>4.0</v>
      </c>
      <c r="E2995" s="1" t="b">
        <v>0</v>
      </c>
      <c r="F2995" s="1" t="s">
        <v>16495</v>
      </c>
    </row>
    <row r="2996">
      <c r="A2996" s="1">
        <v>49844.0</v>
      </c>
      <c r="B2996" s="1">
        <v>2718.0</v>
      </c>
      <c r="C2996" s="1">
        <v>1.609133508E9</v>
      </c>
      <c r="D2996" s="1">
        <v>4.0</v>
      </c>
      <c r="E2996" s="1" t="b">
        <v>0</v>
      </c>
      <c r="F2996" s="1" t="s">
        <v>16852</v>
      </c>
    </row>
    <row r="2997">
      <c r="A2997" s="1">
        <v>49844.0</v>
      </c>
      <c r="B2997" s="1">
        <v>19815.0</v>
      </c>
      <c r="C2997" s="1">
        <v>1.623334721E9</v>
      </c>
      <c r="D2997" s="1">
        <v>4.0</v>
      </c>
      <c r="E2997" s="1" t="b">
        <v>0</v>
      </c>
      <c r="F2997" s="1" t="s">
        <v>16853</v>
      </c>
    </row>
    <row r="2998">
      <c r="A2998" s="1">
        <v>49844.0</v>
      </c>
      <c r="B2998" s="1">
        <v>13480.0</v>
      </c>
      <c r="C2998" s="1">
        <v>1.615084606E9</v>
      </c>
      <c r="D2998" s="1">
        <v>4.0</v>
      </c>
      <c r="E2998" s="1" t="b">
        <v>0</v>
      </c>
      <c r="F2998" s="1" t="s">
        <v>16854</v>
      </c>
    </row>
    <row r="2999">
      <c r="A2999" s="1">
        <v>49844.0</v>
      </c>
      <c r="B2999" s="1">
        <v>12438.0</v>
      </c>
      <c r="C2999" s="1">
        <v>1.612971816E9</v>
      </c>
      <c r="D2999" s="1">
        <v>4.0</v>
      </c>
      <c r="E2999" s="1" t="b">
        <v>0</v>
      </c>
      <c r="F2999" s="1" t="s">
        <v>16855</v>
      </c>
    </row>
    <row r="3000">
      <c r="A3000" s="1">
        <v>49844.0</v>
      </c>
      <c r="B3000" s="1">
        <v>19610.0</v>
      </c>
      <c r="C3000" s="1">
        <v>1.623062881E9</v>
      </c>
      <c r="D3000" s="1">
        <v>4.0</v>
      </c>
      <c r="E3000" s="1" t="b">
        <v>0</v>
      </c>
      <c r="F3000" s="1" t="s">
        <v>16856</v>
      </c>
    </row>
    <row r="3001">
      <c r="A3001" s="1">
        <v>49844.0</v>
      </c>
      <c r="B3001" s="1">
        <v>12746.0</v>
      </c>
      <c r="C3001" s="1">
        <v>1.613051105E9</v>
      </c>
      <c r="D3001" s="1">
        <v>4.0</v>
      </c>
      <c r="E3001" s="1" t="b">
        <v>0</v>
      </c>
      <c r="F3001" s="1" t="s">
        <v>16857</v>
      </c>
    </row>
    <row r="3002">
      <c r="A3002" s="1">
        <v>49844.0</v>
      </c>
      <c r="B3002" s="1">
        <v>9476.0</v>
      </c>
      <c r="C3002" s="1">
        <v>1.612164066E9</v>
      </c>
      <c r="D3002" s="1">
        <v>4.0</v>
      </c>
      <c r="E3002" s="1" t="b">
        <v>0</v>
      </c>
      <c r="F3002" s="1" t="s">
        <v>16858</v>
      </c>
    </row>
    <row r="3003">
      <c r="A3003" s="1">
        <v>49844.0</v>
      </c>
      <c r="B3003" s="1">
        <v>14974.0</v>
      </c>
      <c r="C3003" s="1">
        <v>1.61415225E9</v>
      </c>
      <c r="D3003" s="1">
        <v>4.0</v>
      </c>
      <c r="E3003" s="1" t="b">
        <v>0</v>
      </c>
      <c r="F3003" s="1" t="s">
        <v>16859</v>
      </c>
    </row>
    <row r="3004">
      <c r="A3004" s="1">
        <v>49844.0</v>
      </c>
      <c r="B3004" s="1">
        <v>15935.0</v>
      </c>
      <c r="C3004" s="1">
        <v>1.61518218E9</v>
      </c>
      <c r="D3004" s="1">
        <v>4.0</v>
      </c>
      <c r="E3004" s="1" t="b">
        <v>0</v>
      </c>
      <c r="F3004" s="1" t="s">
        <v>16860</v>
      </c>
    </row>
    <row r="3005">
      <c r="A3005" s="1">
        <v>49844.0</v>
      </c>
      <c r="B3005" s="1">
        <v>13219.0</v>
      </c>
      <c r="C3005" s="1">
        <v>1.613201883E9</v>
      </c>
      <c r="D3005" s="1">
        <v>4.0</v>
      </c>
      <c r="E3005" s="1" t="b">
        <v>0</v>
      </c>
      <c r="F3005" s="1" t="s">
        <v>16082</v>
      </c>
    </row>
    <row r="3006">
      <c r="A3006" s="1">
        <v>49844.0</v>
      </c>
      <c r="B3006" s="1">
        <v>13346.0</v>
      </c>
      <c r="C3006" s="1">
        <v>1.613228537E9</v>
      </c>
      <c r="D3006" s="1">
        <v>4.0</v>
      </c>
      <c r="E3006" s="1" t="b">
        <v>0</v>
      </c>
      <c r="F3006" s="1" t="s">
        <v>16861</v>
      </c>
    </row>
    <row r="3007">
      <c r="A3007" s="1">
        <v>49844.0</v>
      </c>
      <c r="B3007" s="1">
        <v>4352.0</v>
      </c>
      <c r="C3007" s="1">
        <v>1.615535933E9</v>
      </c>
      <c r="D3007" s="1">
        <v>4.0</v>
      </c>
      <c r="E3007" s="1" t="b">
        <v>0</v>
      </c>
      <c r="F3007" s="1" t="s">
        <v>16862</v>
      </c>
    </row>
    <row r="3008">
      <c r="A3008" s="1">
        <v>49844.0</v>
      </c>
      <c r="B3008" s="1">
        <v>15994.0</v>
      </c>
      <c r="C3008" s="1">
        <v>1.61527251E9</v>
      </c>
      <c r="D3008" s="1">
        <v>4.0</v>
      </c>
      <c r="E3008" s="1" t="b">
        <v>0</v>
      </c>
      <c r="F3008" s="1" t="s">
        <v>16863</v>
      </c>
    </row>
    <row r="3009">
      <c r="A3009" s="1">
        <v>49844.0</v>
      </c>
      <c r="B3009" s="1">
        <v>15926.0</v>
      </c>
      <c r="C3009" s="1">
        <v>1.615173689E9</v>
      </c>
      <c r="D3009" s="1">
        <v>4.0</v>
      </c>
      <c r="E3009" s="1" t="b">
        <v>0</v>
      </c>
      <c r="F3009" s="1" t="s">
        <v>16864</v>
      </c>
    </row>
    <row r="3010">
      <c r="A3010" s="1">
        <v>49844.0</v>
      </c>
      <c r="B3010" s="1">
        <v>19629.0</v>
      </c>
      <c r="C3010" s="1">
        <v>1.623079034E9</v>
      </c>
      <c r="D3010" s="1">
        <v>4.0</v>
      </c>
      <c r="E3010" s="1" t="b">
        <v>0</v>
      </c>
      <c r="F3010" s="1" t="s">
        <v>16865</v>
      </c>
    </row>
    <row r="3011">
      <c r="A3011" s="1">
        <v>49844.0</v>
      </c>
      <c r="B3011" s="1">
        <v>19664.0</v>
      </c>
      <c r="C3011" s="1">
        <v>1.623136422E9</v>
      </c>
      <c r="D3011" s="1">
        <v>4.0</v>
      </c>
      <c r="E3011" s="1" t="b">
        <v>0</v>
      </c>
      <c r="F3011" s="1" t="s">
        <v>16866</v>
      </c>
    </row>
    <row r="3012">
      <c r="A3012" s="1">
        <v>49844.0</v>
      </c>
      <c r="B3012" s="1">
        <v>2520.0</v>
      </c>
      <c r="C3012" s="1">
        <v>1.608482266E9</v>
      </c>
      <c r="D3012" s="1">
        <v>4.0</v>
      </c>
      <c r="E3012" s="1" t="b">
        <v>0</v>
      </c>
      <c r="F3012" s="1" t="s">
        <v>16867</v>
      </c>
    </row>
    <row r="3013">
      <c r="A3013" s="1">
        <v>49844.0</v>
      </c>
      <c r="B3013" s="1">
        <v>2522.0</v>
      </c>
      <c r="C3013" s="1">
        <v>1.608480648E9</v>
      </c>
      <c r="D3013" s="1">
        <v>4.0</v>
      </c>
      <c r="E3013" s="1" t="b">
        <v>0</v>
      </c>
      <c r="F3013" s="1" t="s">
        <v>16868</v>
      </c>
    </row>
    <row r="3014">
      <c r="A3014" s="1">
        <v>49844.0</v>
      </c>
      <c r="B3014" s="1">
        <v>9993.0</v>
      </c>
      <c r="C3014" s="1">
        <v>1.612287555E9</v>
      </c>
      <c r="D3014" s="1">
        <v>4.0</v>
      </c>
      <c r="E3014" s="1" t="b">
        <v>0</v>
      </c>
      <c r="F3014" s="1" t="s">
        <v>16869</v>
      </c>
    </row>
    <row r="3015">
      <c r="A3015" s="1">
        <v>49844.0</v>
      </c>
      <c r="B3015" s="1">
        <v>3994.0</v>
      </c>
      <c r="C3015" s="1">
        <v>1.610957142E9</v>
      </c>
      <c r="D3015" s="1">
        <v>4.0</v>
      </c>
      <c r="E3015" s="1" t="b">
        <v>0</v>
      </c>
      <c r="F3015" s="1" t="s">
        <v>16870</v>
      </c>
    </row>
    <row r="3016">
      <c r="A3016" s="1">
        <v>49844.0</v>
      </c>
      <c r="B3016" s="1">
        <v>2510.0</v>
      </c>
      <c r="C3016" s="1">
        <v>1.608476601E9</v>
      </c>
      <c r="D3016" s="1">
        <v>4.0</v>
      </c>
      <c r="E3016" s="1" t="b">
        <v>0</v>
      </c>
      <c r="F3016" s="1" t="s">
        <v>16871</v>
      </c>
    </row>
    <row r="3017">
      <c r="A3017" s="1">
        <v>49844.0</v>
      </c>
      <c r="B3017" s="1">
        <v>12964.0</v>
      </c>
      <c r="C3017" s="1">
        <v>1.613122218E9</v>
      </c>
      <c r="D3017" s="1">
        <v>4.0</v>
      </c>
      <c r="E3017" s="1" t="b">
        <v>0</v>
      </c>
      <c r="F3017" s="1" t="s">
        <v>16872</v>
      </c>
    </row>
    <row r="3018">
      <c r="A3018" s="1">
        <v>49844.0</v>
      </c>
      <c r="B3018" s="1">
        <v>14856.0</v>
      </c>
      <c r="C3018" s="1">
        <v>1.614044791E9</v>
      </c>
      <c r="D3018" s="1">
        <v>4.0</v>
      </c>
      <c r="E3018" s="1" t="b">
        <v>0</v>
      </c>
      <c r="F3018" s="1" t="s">
        <v>16873</v>
      </c>
    </row>
    <row r="3019">
      <c r="A3019" s="1">
        <v>49844.0</v>
      </c>
      <c r="B3019" s="1">
        <v>15889.0</v>
      </c>
      <c r="C3019" s="1">
        <v>1.615109035E9</v>
      </c>
      <c r="D3019" s="1">
        <v>4.0</v>
      </c>
      <c r="E3019" s="1" t="b">
        <v>0</v>
      </c>
      <c r="F3019" s="1" t="s">
        <v>16874</v>
      </c>
    </row>
    <row r="3020">
      <c r="A3020" s="1">
        <v>49844.0</v>
      </c>
      <c r="B3020" s="1">
        <v>15145.0</v>
      </c>
      <c r="C3020" s="1">
        <v>1.614303619E9</v>
      </c>
      <c r="D3020" s="1">
        <v>4.0</v>
      </c>
      <c r="E3020" s="1" t="b">
        <v>0</v>
      </c>
      <c r="F3020" s="1" t="s">
        <v>16875</v>
      </c>
    </row>
    <row r="3021">
      <c r="A3021" s="1">
        <v>49844.0</v>
      </c>
      <c r="B3021" s="1">
        <v>12353.0</v>
      </c>
      <c r="C3021" s="1">
        <v>1.613093564E9</v>
      </c>
      <c r="D3021" s="1">
        <v>4.0</v>
      </c>
      <c r="E3021" s="1" t="b">
        <v>0</v>
      </c>
      <c r="F3021" s="1" t="s">
        <v>16876</v>
      </c>
    </row>
    <row r="3022">
      <c r="A3022" s="1">
        <v>49844.0</v>
      </c>
      <c r="B3022" s="1">
        <v>16552.0</v>
      </c>
      <c r="C3022" s="1">
        <v>1.617120286E9</v>
      </c>
      <c r="D3022" s="1">
        <v>4.0</v>
      </c>
      <c r="E3022" s="1" t="b">
        <v>0</v>
      </c>
      <c r="F3022" s="1" t="s">
        <v>16877</v>
      </c>
    </row>
    <row r="3023">
      <c r="A3023" s="1">
        <v>49844.0</v>
      </c>
      <c r="B3023" s="1">
        <v>15772.0</v>
      </c>
      <c r="C3023" s="1">
        <v>1.61493445E9</v>
      </c>
      <c r="D3023" s="1">
        <v>4.0</v>
      </c>
      <c r="E3023" s="1" t="b">
        <v>0</v>
      </c>
      <c r="F3023" s="1" t="s">
        <v>16878</v>
      </c>
    </row>
    <row r="3024">
      <c r="A3024" s="1">
        <v>49844.0</v>
      </c>
      <c r="B3024" s="1">
        <v>2524.0</v>
      </c>
      <c r="C3024" s="1">
        <v>1.608481169E9</v>
      </c>
      <c r="D3024" s="1">
        <v>4.0</v>
      </c>
      <c r="E3024" s="1" t="b">
        <v>0</v>
      </c>
      <c r="F3024" s="1" t="s">
        <v>16879</v>
      </c>
    </row>
    <row r="3025">
      <c r="A3025" s="1">
        <v>49844.0</v>
      </c>
      <c r="B3025" s="1">
        <v>9919.0</v>
      </c>
      <c r="C3025" s="1">
        <v>1.612274313E9</v>
      </c>
      <c r="D3025" s="1">
        <v>4.0</v>
      </c>
      <c r="E3025" s="1" t="b">
        <v>0</v>
      </c>
      <c r="F3025" s="1" t="s">
        <v>16880</v>
      </c>
    </row>
    <row r="3026">
      <c r="A3026" s="1">
        <v>49844.0</v>
      </c>
      <c r="B3026" s="1">
        <v>9684.0</v>
      </c>
      <c r="C3026" s="1">
        <v>1.612192606E9</v>
      </c>
      <c r="D3026" s="1">
        <v>4.0</v>
      </c>
      <c r="E3026" s="1" t="b">
        <v>0</v>
      </c>
      <c r="F3026" s="1" t="s">
        <v>16881</v>
      </c>
    </row>
    <row r="3027">
      <c r="A3027" s="1">
        <v>49844.0</v>
      </c>
      <c r="B3027" s="1">
        <v>17600.0</v>
      </c>
      <c r="C3027" s="1">
        <v>1.620299233E9</v>
      </c>
      <c r="D3027" s="1">
        <v>4.0</v>
      </c>
      <c r="E3027" s="1" t="b">
        <v>0</v>
      </c>
      <c r="F3027" s="1" t="s">
        <v>16882</v>
      </c>
    </row>
    <row r="3028">
      <c r="A3028" s="1">
        <v>49844.0</v>
      </c>
      <c r="B3028" s="1">
        <v>16587.0</v>
      </c>
      <c r="C3028" s="1">
        <v>1.617255616E9</v>
      </c>
      <c r="D3028" s="1">
        <v>4.0</v>
      </c>
      <c r="E3028" s="1" t="b">
        <v>0</v>
      </c>
      <c r="F3028" s="1" t="s">
        <v>16883</v>
      </c>
    </row>
    <row r="3029">
      <c r="A3029" s="1">
        <v>49844.0</v>
      </c>
      <c r="B3029" s="1">
        <v>19335.0</v>
      </c>
      <c r="C3029" s="1">
        <v>1.622615714E9</v>
      </c>
      <c r="D3029" s="1">
        <v>4.0</v>
      </c>
      <c r="E3029" s="1" t="b">
        <v>0</v>
      </c>
      <c r="F3029" s="1" t="s">
        <v>16884</v>
      </c>
      <c r="G3029" s="1" t="b">
        <v>1</v>
      </c>
    </row>
    <row r="3030">
      <c r="A3030" s="1">
        <v>49844.0</v>
      </c>
      <c r="B3030" s="1">
        <v>2616.0</v>
      </c>
      <c r="C3030" s="1">
        <v>1.608722817E9</v>
      </c>
      <c r="D3030" s="1">
        <v>4.0</v>
      </c>
      <c r="E3030" s="1" t="b">
        <v>0</v>
      </c>
      <c r="F3030" s="1" t="s">
        <v>16885</v>
      </c>
    </row>
    <row r="3031">
      <c r="A3031" s="1">
        <v>49844.0</v>
      </c>
      <c r="B3031" s="1">
        <v>16144.0</v>
      </c>
      <c r="C3031" s="1">
        <v>1.615600046E9</v>
      </c>
      <c r="D3031" s="1">
        <v>4.0</v>
      </c>
      <c r="E3031" s="1" t="b">
        <v>0</v>
      </c>
      <c r="F3031" s="1" t="s">
        <v>16886</v>
      </c>
    </row>
    <row r="3032">
      <c r="A3032" s="1">
        <v>49844.0</v>
      </c>
      <c r="B3032" s="1">
        <v>2518.0</v>
      </c>
      <c r="C3032" s="1">
        <v>1.609080603E9</v>
      </c>
      <c r="D3032" s="1">
        <v>4.0</v>
      </c>
      <c r="E3032" s="1" t="b">
        <v>0</v>
      </c>
      <c r="F3032" s="1" t="s">
        <v>16887</v>
      </c>
    </row>
    <row r="3033">
      <c r="A3033" s="1">
        <v>49844.0</v>
      </c>
      <c r="B3033" s="1">
        <v>12448.0</v>
      </c>
      <c r="C3033" s="1">
        <v>1.612974118E9</v>
      </c>
      <c r="D3033" s="1">
        <v>4.0</v>
      </c>
      <c r="E3033" s="1" t="b">
        <v>0</v>
      </c>
      <c r="F3033" s="1" t="s">
        <v>16888</v>
      </c>
    </row>
    <row r="3034">
      <c r="A3034" s="1">
        <v>49844.0</v>
      </c>
      <c r="B3034" s="1">
        <v>8028.0</v>
      </c>
      <c r="C3034" s="1">
        <v>1.611931222E9</v>
      </c>
      <c r="D3034" s="1">
        <v>4.0</v>
      </c>
      <c r="E3034" s="1" t="b">
        <v>0</v>
      </c>
      <c r="F3034" s="1" t="s">
        <v>16889</v>
      </c>
    </row>
    <row r="3035">
      <c r="A3035" s="1">
        <v>49844.0</v>
      </c>
      <c r="B3035" s="1">
        <v>9260.0</v>
      </c>
      <c r="C3035" s="1">
        <v>1.612110432E9</v>
      </c>
      <c r="D3035" s="1">
        <v>4.0</v>
      </c>
      <c r="E3035" s="1" t="b">
        <v>0</v>
      </c>
      <c r="F3035" s="1" t="s">
        <v>16890</v>
      </c>
    </row>
    <row r="3036">
      <c r="A3036" s="1">
        <v>49844.0</v>
      </c>
      <c r="B3036" s="1">
        <v>13592.0</v>
      </c>
      <c r="C3036" s="1">
        <v>1.613305723E9</v>
      </c>
      <c r="D3036" s="1">
        <v>4.0</v>
      </c>
      <c r="E3036" s="1" t="b">
        <v>0</v>
      </c>
      <c r="F3036" s="1" t="s">
        <v>16891</v>
      </c>
    </row>
    <row r="3037">
      <c r="A3037" s="1">
        <v>49844.0</v>
      </c>
      <c r="B3037" s="1">
        <v>12671.0</v>
      </c>
      <c r="C3037" s="1">
        <v>1.613036994E9</v>
      </c>
      <c r="D3037" s="1">
        <v>4.0</v>
      </c>
      <c r="E3037" s="1" t="b">
        <v>0</v>
      </c>
      <c r="F3037" s="1" t="s">
        <v>16892</v>
      </c>
    </row>
    <row r="3038">
      <c r="A3038" s="1">
        <v>49844.0</v>
      </c>
      <c r="B3038" s="1">
        <v>15777.0</v>
      </c>
      <c r="C3038" s="1">
        <v>1.614934421E9</v>
      </c>
      <c r="D3038" s="1">
        <v>4.0</v>
      </c>
      <c r="E3038" s="1" t="b">
        <v>0</v>
      </c>
      <c r="F3038" s="1" t="s">
        <v>16893</v>
      </c>
    </row>
    <row r="3039">
      <c r="A3039" s="1">
        <v>49844.0</v>
      </c>
      <c r="B3039" s="1">
        <v>13517.0</v>
      </c>
      <c r="C3039" s="1">
        <v>1.613289717E9</v>
      </c>
      <c r="D3039" s="1">
        <v>4.0</v>
      </c>
      <c r="E3039" s="1" t="b">
        <v>0</v>
      </c>
      <c r="F3039" s="1" t="s">
        <v>16894</v>
      </c>
    </row>
    <row r="3040">
      <c r="A3040" s="1">
        <v>49844.0</v>
      </c>
      <c r="B3040" s="1">
        <v>15678.0</v>
      </c>
      <c r="C3040" s="1">
        <v>1.614793632E9</v>
      </c>
      <c r="D3040" s="1">
        <v>4.0</v>
      </c>
      <c r="E3040" s="1" t="b">
        <v>0</v>
      </c>
      <c r="F3040" s="1" t="s">
        <v>16895</v>
      </c>
    </row>
    <row r="3041">
      <c r="A3041" s="1">
        <v>49844.0</v>
      </c>
      <c r="B3041" s="1">
        <v>17409.0</v>
      </c>
      <c r="C3041" s="1">
        <v>1.619606672E9</v>
      </c>
      <c r="D3041" s="1">
        <v>4.0</v>
      </c>
      <c r="E3041" s="1" t="b">
        <v>0</v>
      </c>
      <c r="F3041" s="1" t="s">
        <v>16896</v>
      </c>
    </row>
    <row r="3042">
      <c r="A3042" s="1">
        <v>49844.0</v>
      </c>
      <c r="B3042" s="1">
        <v>17921.0</v>
      </c>
      <c r="C3042" s="1">
        <v>1.620654645E9</v>
      </c>
      <c r="D3042" s="1">
        <v>4.0</v>
      </c>
      <c r="E3042" s="1" t="b">
        <v>0</v>
      </c>
      <c r="F3042" s="1" t="s">
        <v>16897</v>
      </c>
    </row>
    <row r="3043">
      <c r="A3043" s="1">
        <v>49844.0</v>
      </c>
      <c r="B3043" s="1">
        <v>15768.0</v>
      </c>
      <c r="C3043" s="1">
        <v>1.614925913E9</v>
      </c>
      <c r="D3043" s="1">
        <v>4.0</v>
      </c>
      <c r="E3043" s="1" t="b">
        <v>0</v>
      </c>
      <c r="F3043" s="1" t="s">
        <v>16898</v>
      </c>
    </row>
    <row r="3044">
      <c r="A3044" s="1">
        <v>49844.0</v>
      </c>
      <c r="B3044" s="1">
        <v>3339.0</v>
      </c>
      <c r="C3044" s="1">
        <v>1.611594717E9</v>
      </c>
      <c r="D3044" s="1">
        <v>4.0</v>
      </c>
      <c r="E3044" s="1" t="b">
        <v>0</v>
      </c>
      <c r="F3044" s="1" t="s">
        <v>16899</v>
      </c>
    </row>
    <row r="3045">
      <c r="A3045" s="1">
        <v>49844.0</v>
      </c>
      <c r="B3045" s="1">
        <v>2535.0</v>
      </c>
      <c r="C3045" s="1">
        <v>1.608488516E9</v>
      </c>
      <c r="D3045" s="1">
        <v>4.0</v>
      </c>
      <c r="E3045" s="1" t="b">
        <v>0</v>
      </c>
      <c r="F3045" s="1" t="s">
        <v>16900</v>
      </c>
    </row>
    <row r="3046">
      <c r="A3046" s="1">
        <v>49844.0</v>
      </c>
      <c r="B3046" s="1">
        <v>15322.0</v>
      </c>
      <c r="C3046" s="1">
        <v>1.614437057E9</v>
      </c>
      <c r="D3046" s="1">
        <v>4.0</v>
      </c>
      <c r="E3046" s="1" t="b">
        <v>0</v>
      </c>
      <c r="F3046" s="1" t="s">
        <v>16901</v>
      </c>
    </row>
    <row r="3047">
      <c r="A3047" s="1">
        <v>49844.0</v>
      </c>
      <c r="B3047" s="1">
        <v>2506.0</v>
      </c>
      <c r="C3047" s="1">
        <v>1.608476023E9</v>
      </c>
      <c r="D3047" s="1">
        <v>4.0</v>
      </c>
      <c r="E3047" s="1" t="b">
        <v>0</v>
      </c>
      <c r="F3047" s="1" t="s">
        <v>16902</v>
      </c>
    </row>
    <row r="3048">
      <c r="A3048" s="1">
        <v>49844.0</v>
      </c>
      <c r="B3048" s="1">
        <v>3858.0</v>
      </c>
      <c r="C3048" s="1">
        <v>1.610818421E9</v>
      </c>
      <c r="D3048" s="1">
        <v>9.0</v>
      </c>
      <c r="E3048" s="1" t="b">
        <v>0</v>
      </c>
      <c r="F3048" s="1" t="s">
        <v>16903</v>
      </c>
    </row>
    <row r="3049">
      <c r="A3049" s="1">
        <v>49844.0</v>
      </c>
      <c r="B3049" s="1">
        <v>2546.0</v>
      </c>
      <c r="C3049" s="1">
        <v>1.608525271E9</v>
      </c>
      <c r="D3049" s="1">
        <v>4.0</v>
      </c>
      <c r="E3049" s="1" t="b">
        <v>0</v>
      </c>
      <c r="F3049" s="1" t="s">
        <v>16904</v>
      </c>
    </row>
    <row r="3050">
      <c r="A3050" s="1">
        <v>49844.0</v>
      </c>
      <c r="B3050" s="1">
        <v>15024.0</v>
      </c>
      <c r="C3050" s="1">
        <v>1.614186736E9</v>
      </c>
      <c r="D3050" s="1">
        <v>4.0</v>
      </c>
      <c r="E3050" s="1" t="b">
        <v>0</v>
      </c>
      <c r="F3050" s="1" t="s">
        <v>16905</v>
      </c>
    </row>
    <row r="3051">
      <c r="A3051" s="1">
        <v>49844.0</v>
      </c>
      <c r="B3051" s="1">
        <v>19226.0</v>
      </c>
      <c r="C3051" s="1">
        <v>1.622505138E9</v>
      </c>
      <c r="D3051" s="1">
        <v>4.0</v>
      </c>
      <c r="E3051" s="1" t="b">
        <v>0</v>
      </c>
      <c r="F3051" s="1" t="s">
        <v>16906</v>
      </c>
    </row>
    <row r="3052">
      <c r="A3052" s="1">
        <v>49844.0</v>
      </c>
      <c r="B3052" s="1">
        <v>17017.0</v>
      </c>
      <c r="C3052" s="1">
        <v>1.61890349E9</v>
      </c>
      <c r="D3052" s="1">
        <v>4.0</v>
      </c>
      <c r="E3052" s="1" t="b">
        <v>0</v>
      </c>
      <c r="F3052" s="1" t="s">
        <v>16907</v>
      </c>
    </row>
    <row r="3053">
      <c r="A3053" s="1">
        <v>49844.0</v>
      </c>
      <c r="B3053" s="1">
        <v>9984.0</v>
      </c>
      <c r="C3053" s="1">
        <v>1.612286164E9</v>
      </c>
      <c r="D3053" s="1">
        <v>4.0</v>
      </c>
      <c r="E3053" s="1" t="b">
        <v>0</v>
      </c>
      <c r="F3053" s="1" t="s">
        <v>16908</v>
      </c>
    </row>
    <row r="3054">
      <c r="A3054" s="1">
        <v>49844.0</v>
      </c>
      <c r="B3054" s="1">
        <v>2521.0</v>
      </c>
      <c r="C3054" s="1">
        <v>1.608480348E9</v>
      </c>
      <c r="D3054" s="1">
        <v>4.0</v>
      </c>
      <c r="E3054" s="1" t="b">
        <v>0</v>
      </c>
      <c r="F3054" s="1" t="s">
        <v>16909</v>
      </c>
    </row>
    <row r="3055">
      <c r="A3055" s="1">
        <v>49844.0</v>
      </c>
      <c r="B3055" s="1">
        <v>4417.0</v>
      </c>
      <c r="C3055" s="1">
        <v>1.611116673E9</v>
      </c>
      <c r="D3055" s="1">
        <v>4.0</v>
      </c>
      <c r="E3055" s="1" t="b">
        <v>0</v>
      </c>
      <c r="F3055" s="1" t="s">
        <v>16910</v>
      </c>
    </row>
    <row r="3056">
      <c r="A3056" s="1">
        <v>49844.0</v>
      </c>
      <c r="B3056" s="1">
        <v>9565.0</v>
      </c>
      <c r="C3056" s="1">
        <v>1.612175416E9</v>
      </c>
      <c r="D3056" s="1">
        <v>4.0</v>
      </c>
      <c r="E3056" s="1" t="b">
        <v>0</v>
      </c>
      <c r="F3056" s="1" t="s">
        <v>16911</v>
      </c>
    </row>
    <row r="3057">
      <c r="A3057" s="1">
        <v>49844.0</v>
      </c>
      <c r="B3057" s="1">
        <v>15691.0</v>
      </c>
      <c r="C3057" s="1">
        <v>1.614834438E9</v>
      </c>
      <c r="D3057" s="1">
        <v>4.0</v>
      </c>
      <c r="E3057" s="1" t="b">
        <v>0</v>
      </c>
      <c r="F3057" s="1" t="s">
        <v>16912</v>
      </c>
    </row>
    <row r="3058">
      <c r="A3058" s="1">
        <v>49844.0</v>
      </c>
      <c r="B3058" s="1">
        <v>19199.0</v>
      </c>
      <c r="C3058" s="1">
        <v>1.622472716E9</v>
      </c>
      <c r="D3058" s="1">
        <v>4.0</v>
      </c>
      <c r="E3058" s="1" t="b">
        <v>0</v>
      </c>
      <c r="F3058" s="1" t="s">
        <v>16913</v>
      </c>
    </row>
    <row r="3059">
      <c r="A3059" s="1">
        <v>49844.0</v>
      </c>
      <c r="B3059" s="1">
        <v>15365.0</v>
      </c>
      <c r="C3059" s="1">
        <v>1.614493366E9</v>
      </c>
      <c r="D3059" s="1">
        <v>4.0</v>
      </c>
      <c r="E3059" s="1" t="b">
        <v>0</v>
      </c>
      <c r="F3059" s="1" t="s">
        <v>16914</v>
      </c>
    </row>
    <row r="3060">
      <c r="A3060" s="1">
        <v>49844.0</v>
      </c>
      <c r="B3060" s="1">
        <v>15933.0</v>
      </c>
      <c r="C3060" s="1">
        <v>1.615181146E9</v>
      </c>
      <c r="D3060" s="1">
        <v>4.0</v>
      </c>
      <c r="E3060" s="1" t="b">
        <v>0</v>
      </c>
      <c r="F3060" s="1" t="s">
        <v>16915</v>
      </c>
    </row>
    <row r="3061">
      <c r="A3061" s="1">
        <v>49844.0</v>
      </c>
      <c r="B3061" s="1">
        <v>13147.0</v>
      </c>
      <c r="C3061" s="1">
        <v>1.613217194E9</v>
      </c>
      <c r="D3061" s="1">
        <v>4.0</v>
      </c>
      <c r="E3061" s="1" t="b">
        <v>0</v>
      </c>
      <c r="F3061" s="1" t="s">
        <v>16916</v>
      </c>
    </row>
    <row r="3062">
      <c r="A3062" s="1">
        <v>49844.0</v>
      </c>
      <c r="B3062" s="1">
        <v>14131.0</v>
      </c>
      <c r="C3062" s="1">
        <v>1.613541713E9</v>
      </c>
      <c r="D3062" s="1">
        <v>4.0</v>
      </c>
      <c r="E3062" s="1" t="b">
        <v>0</v>
      </c>
      <c r="F3062" s="1" t="s">
        <v>16917</v>
      </c>
    </row>
    <row r="3063">
      <c r="A3063" s="1">
        <v>49844.0</v>
      </c>
      <c r="B3063" s="1">
        <v>16912.0</v>
      </c>
      <c r="C3063" s="1">
        <v>1.622031883E9</v>
      </c>
      <c r="D3063" s="1">
        <v>4.0</v>
      </c>
      <c r="E3063" s="1" t="b">
        <v>0</v>
      </c>
      <c r="F3063" s="1" t="s">
        <v>16918</v>
      </c>
      <c r="G3063" s="1" t="b">
        <v>1</v>
      </c>
    </row>
    <row r="3064">
      <c r="A3064" s="1">
        <v>49844.0</v>
      </c>
      <c r="B3064" s="1">
        <v>15062.0</v>
      </c>
      <c r="C3064" s="1">
        <v>1.614230664E9</v>
      </c>
      <c r="D3064" s="1">
        <v>4.0</v>
      </c>
      <c r="E3064" s="1" t="b">
        <v>0</v>
      </c>
      <c r="F3064" s="1" t="s">
        <v>16919</v>
      </c>
    </row>
    <row r="3065">
      <c r="A3065" s="1">
        <v>49844.0</v>
      </c>
      <c r="B3065" s="1">
        <v>10050.0</v>
      </c>
      <c r="C3065" s="1">
        <v>1.612324711E9</v>
      </c>
      <c r="D3065" s="1">
        <v>4.0</v>
      </c>
      <c r="E3065" s="1" t="b">
        <v>0</v>
      </c>
      <c r="F3065" s="1" t="s">
        <v>16920</v>
      </c>
    </row>
    <row r="3066">
      <c r="A3066" s="1">
        <v>49844.0</v>
      </c>
      <c r="B3066" s="1">
        <v>2578.0</v>
      </c>
      <c r="C3066" s="1">
        <v>1.611374328E9</v>
      </c>
      <c r="D3066" s="1">
        <v>9.0</v>
      </c>
      <c r="E3066" s="1" t="b">
        <v>0</v>
      </c>
      <c r="F3066" s="1" t="s">
        <v>16921</v>
      </c>
    </row>
    <row r="3067">
      <c r="A3067" s="1">
        <v>49844.0</v>
      </c>
      <c r="B3067" s="1">
        <v>2574.0</v>
      </c>
      <c r="C3067" s="1">
        <v>1.611120778E9</v>
      </c>
      <c r="D3067" s="1">
        <v>4.0</v>
      </c>
      <c r="E3067" s="1" t="b">
        <v>0</v>
      </c>
      <c r="F3067" s="1" t="s">
        <v>16922</v>
      </c>
    </row>
    <row r="3068">
      <c r="A3068" s="1">
        <v>49844.0</v>
      </c>
      <c r="B3068" s="1">
        <v>15421.0</v>
      </c>
      <c r="C3068" s="1">
        <v>1.614536221E9</v>
      </c>
      <c r="D3068" s="1">
        <v>4.0</v>
      </c>
      <c r="E3068" s="1" t="b">
        <v>0</v>
      </c>
      <c r="F3068" s="1" t="s">
        <v>16923</v>
      </c>
    </row>
    <row r="3069">
      <c r="A3069" s="1">
        <v>49844.0</v>
      </c>
      <c r="B3069" s="1">
        <v>5112.0</v>
      </c>
      <c r="C3069" s="1">
        <v>1.611314461E9</v>
      </c>
      <c r="D3069" s="1">
        <v>4.0</v>
      </c>
      <c r="E3069" s="1" t="b">
        <v>0</v>
      </c>
      <c r="F3069" s="1" t="s">
        <v>16924</v>
      </c>
    </row>
    <row r="3070">
      <c r="A3070" s="1">
        <v>49844.0</v>
      </c>
      <c r="B3070" s="1">
        <v>8873.0</v>
      </c>
      <c r="C3070" s="1">
        <v>1.612063265E9</v>
      </c>
      <c r="D3070" s="1">
        <v>4.0</v>
      </c>
      <c r="E3070" s="1" t="b">
        <v>0</v>
      </c>
      <c r="F3070" s="1" t="s">
        <v>16925</v>
      </c>
    </row>
    <row r="3071">
      <c r="A3071" s="1">
        <v>49844.0</v>
      </c>
      <c r="B3071" s="1">
        <v>2683.0</v>
      </c>
      <c r="C3071" s="1">
        <v>1.609685722E9</v>
      </c>
      <c r="D3071" s="1">
        <v>4.0</v>
      </c>
      <c r="E3071" s="1" t="b">
        <v>0</v>
      </c>
      <c r="F3071" s="1" t="s">
        <v>16926</v>
      </c>
    </row>
    <row r="3072">
      <c r="A3072" s="1">
        <v>49844.0</v>
      </c>
      <c r="B3072" s="1">
        <v>15654.0</v>
      </c>
      <c r="C3072" s="1">
        <v>1.614777801E9</v>
      </c>
      <c r="D3072" s="1">
        <v>4.0</v>
      </c>
      <c r="E3072" s="1" t="b">
        <v>0</v>
      </c>
      <c r="F3072" s="1" t="s">
        <v>16927</v>
      </c>
    </row>
    <row r="3073">
      <c r="A3073" s="1">
        <v>49844.0</v>
      </c>
      <c r="B3073" s="1">
        <v>2556.0</v>
      </c>
      <c r="C3073" s="1">
        <v>1.608539008E9</v>
      </c>
      <c r="D3073" s="1">
        <v>4.0</v>
      </c>
      <c r="E3073" s="1" t="b">
        <v>0</v>
      </c>
      <c r="F3073" s="1" t="s">
        <v>16928</v>
      </c>
    </row>
    <row r="3074">
      <c r="A3074" s="1">
        <v>49844.0</v>
      </c>
      <c r="B3074" s="1">
        <v>10172.0</v>
      </c>
      <c r="C3074" s="1">
        <v>1.612358196E9</v>
      </c>
      <c r="D3074" s="1">
        <v>4.0</v>
      </c>
      <c r="E3074" s="1" t="b">
        <v>0</v>
      </c>
      <c r="F3074" s="1" t="s">
        <v>16929</v>
      </c>
    </row>
    <row r="3075">
      <c r="A3075" s="1">
        <v>49844.0</v>
      </c>
      <c r="B3075" s="1">
        <v>2836.0</v>
      </c>
      <c r="C3075" s="1">
        <v>1.60939572E9</v>
      </c>
      <c r="D3075" s="1">
        <v>9.0</v>
      </c>
      <c r="E3075" s="1" t="b">
        <v>0</v>
      </c>
      <c r="F3075" s="1" t="s">
        <v>16930</v>
      </c>
    </row>
    <row r="3076">
      <c r="A3076" s="1">
        <v>49844.0</v>
      </c>
      <c r="B3076" s="1">
        <v>2517.0</v>
      </c>
      <c r="C3076" s="1">
        <v>1.608477932E9</v>
      </c>
      <c r="D3076" s="1">
        <v>4.0</v>
      </c>
      <c r="E3076" s="1" t="b">
        <v>0</v>
      </c>
      <c r="F3076" s="1" t="s">
        <v>16931</v>
      </c>
    </row>
    <row r="3077">
      <c r="A3077" s="1">
        <v>49844.0</v>
      </c>
      <c r="B3077" s="1">
        <v>2563.0</v>
      </c>
      <c r="C3077" s="1">
        <v>1.608781523E9</v>
      </c>
      <c r="D3077" s="1">
        <v>4.0</v>
      </c>
      <c r="E3077" s="1" t="b">
        <v>0</v>
      </c>
      <c r="F3077" s="1" t="s">
        <v>16932</v>
      </c>
    </row>
    <row r="3078">
      <c r="A3078" s="1">
        <v>49844.0</v>
      </c>
      <c r="B3078" s="1">
        <v>2542.0</v>
      </c>
      <c r="C3078" s="1">
        <v>1.608515887E9</v>
      </c>
      <c r="D3078" s="1">
        <v>4.0</v>
      </c>
      <c r="E3078" s="1" t="b">
        <v>0</v>
      </c>
      <c r="F3078" s="1" t="s">
        <v>16933</v>
      </c>
    </row>
    <row r="3079">
      <c r="A3079" s="1">
        <v>49844.0</v>
      </c>
      <c r="B3079" s="1">
        <v>2692.0</v>
      </c>
      <c r="C3079" s="1">
        <v>1.608995137E9</v>
      </c>
      <c r="D3079" s="1">
        <v>4.0</v>
      </c>
      <c r="E3079" s="1" t="b">
        <v>0</v>
      </c>
      <c r="F3079" s="1" t="s">
        <v>16934</v>
      </c>
    </row>
    <row r="3080">
      <c r="A3080" s="1">
        <v>49844.0</v>
      </c>
      <c r="B3080" s="1">
        <v>10134.0</v>
      </c>
      <c r="C3080" s="1">
        <v>1.612346944E9</v>
      </c>
      <c r="D3080" s="1">
        <v>4.0</v>
      </c>
      <c r="E3080" s="1" t="b">
        <v>0</v>
      </c>
      <c r="F3080" s="1" t="s">
        <v>16935</v>
      </c>
    </row>
    <row r="3081">
      <c r="A3081" s="1">
        <v>49844.0</v>
      </c>
      <c r="B3081" s="1">
        <v>8725.0</v>
      </c>
      <c r="C3081" s="1">
        <v>1.612023931E9</v>
      </c>
      <c r="D3081" s="1">
        <v>4.0</v>
      </c>
      <c r="E3081" s="1" t="b">
        <v>0</v>
      </c>
      <c r="F3081" s="1" t="s">
        <v>16936</v>
      </c>
    </row>
    <row r="3082">
      <c r="A3082" s="1">
        <v>49844.0</v>
      </c>
      <c r="B3082" s="1">
        <v>2640.0</v>
      </c>
      <c r="C3082" s="1">
        <v>1.608834052E9</v>
      </c>
      <c r="D3082" s="1">
        <v>4.0</v>
      </c>
      <c r="E3082" s="1" t="b">
        <v>0</v>
      </c>
      <c r="F3082" s="1" t="s">
        <v>16937</v>
      </c>
    </row>
    <row r="3083">
      <c r="A3083" s="1">
        <v>49844.0</v>
      </c>
      <c r="B3083" s="1">
        <v>2577.0</v>
      </c>
      <c r="C3083" s="1">
        <v>1.608611675E9</v>
      </c>
      <c r="D3083" s="1">
        <v>4.0</v>
      </c>
      <c r="E3083" s="1" t="b">
        <v>0</v>
      </c>
      <c r="F3083" s="1" t="s">
        <v>16938</v>
      </c>
    </row>
    <row r="3084">
      <c r="A3084" s="1">
        <v>49844.0</v>
      </c>
      <c r="B3084" s="1">
        <v>2704.0</v>
      </c>
      <c r="C3084" s="1">
        <v>1.609049807E9</v>
      </c>
      <c r="D3084" s="1">
        <v>4.0</v>
      </c>
      <c r="E3084" s="1" t="b">
        <v>0</v>
      </c>
      <c r="F3084" s="1" t="s">
        <v>16939</v>
      </c>
    </row>
    <row r="3085">
      <c r="A3085" s="1">
        <v>49844.0</v>
      </c>
      <c r="B3085" s="1">
        <v>19280.0</v>
      </c>
      <c r="C3085" s="1">
        <v>1.62255494E9</v>
      </c>
      <c r="D3085" s="1">
        <v>4.0</v>
      </c>
      <c r="E3085" s="1" t="b">
        <v>0</v>
      </c>
      <c r="F3085" s="1" t="s">
        <v>16940</v>
      </c>
    </row>
    <row r="3086">
      <c r="A3086" s="1">
        <v>49844.0</v>
      </c>
      <c r="B3086" s="1">
        <v>12866.0</v>
      </c>
      <c r="C3086" s="1">
        <v>1.613099799E9</v>
      </c>
      <c r="D3086" s="1">
        <v>4.0</v>
      </c>
      <c r="E3086" s="1" t="b">
        <v>0</v>
      </c>
      <c r="F3086" s="1" t="s">
        <v>16941</v>
      </c>
    </row>
    <row r="3087">
      <c r="A3087" s="1">
        <v>49844.0</v>
      </c>
      <c r="B3087" s="1">
        <v>19543.0</v>
      </c>
      <c r="C3087" s="1">
        <v>1.622982901E9</v>
      </c>
      <c r="D3087" s="1">
        <v>4.0</v>
      </c>
      <c r="E3087" s="1" t="b">
        <v>0</v>
      </c>
      <c r="F3087" s="1" t="s">
        <v>16942</v>
      </c>
    </row>
    <row r="3088">
      <c r="A3088" s="1">
        <v>49844.0</v>
      </c>
      <c r="B3088" s="1">
        <v>4071.0</v>
      </c>
      <c r="C3088" s="1">
        <v>1.610985114E9</v>
      </c>
      <c r="D3088" s="1">
        <v>4.0</v>
      </c>
      <c r="E3088" s="1" t="b">
        <v>0</v>
      </c>
      <c r="F3088" s="1" t="s">
        <v>16943</v>
      </c>
    </row>
    <row r="3089">
      <c r="A3089" s="1">
        <v>49844.0</v>
      </c>
      <c r="B3089" s="1">
        <v>17811.0</v>
      </c>
      <c r="C3089" s="1">
        <v>1.622973168E9</v>
      </c>
      <c r="D3089" s="1">
        <v>4.0</v>
      </c>
      <c r="E3089" s="1" t="b">
        <v>0</v>
      </c>
      <c r="F3089" s="1" t="s">
        <v>16944</v>
      </c>
      <c r="G3089" s="1" t="b">
        <v>1</v>
      </c>
    </row>
    <row r="3090">
      <c r="A3090" s="1">
        <v>49844.0</v>
      </c>
      <c r="B3090" s="1">
        <v>2622.0</v>
      </c>
      <c r="C3090" s="1">
        <v>1.608740734E9</v>
      </c>
      <c r="D3090" s="1">
        <v>9.0</v>
      </c>
      <c r="E3090" s="1" t="b">
        <v>0</v>
      </c>
      <c r="F3090" s="1" t="s">
        <v>16945</v>
      </c>
    </row>
    <row r="3091">
      <c r="A3091" s="1">
        <v>49844.0</v>
      </c>
      <c r="B3091" s="1">
        <v>15504.0</v>
      </c>
      <c r="C3091" s="1">
        <v>1.61460774E9</v>
      </c>
      <c r="D3091" s="1">
        <v>4.0</v>
      </c>
      <c r="E3091" s="1" t="b">
        <v>0</v>
      </c>
      <c r="F3091" s="1" t="s">
        <v>16946</v>
      </c>
    </row>
    <row r="3092">
      <c r="A3092" s="1">
        <v>49844.0</v>
      </c>
      <c r="B3092" s="1">
        <v>13894.0</v>
      </c>
      <c r="C3092" s="1">
        <v>1.613399879E9</v>
      </c>
      <c r="D3092" s="1">
        <v>4.0</v>
      </c>
      <c r="E3092" s="1" t="b">
        <v>0</v>
      </c>
      <c r="F3092" s="1" t="s">
        <v>16947</v>
      </c>
    </row>
    <row r="3093">
      <c r="A3093" s="1">
        <v>49844.0</v>
      </c>
      <c r="B3093" s="1">
        <v>2508.0</v>
      </c>
      <c r="C3093" s="1">
        <v>1.608478141E9</v>
      </c>
      <c r="D3093" s="1">
        <v>4.0</v>
      </c>
      <c r="E3093" s="1" t="b">
        <v>0</v>
      </c>
      <c r="F3093" s="1" t="s">
        <v>16948</v>
      </c>
    </row>
    <row r="3094">
      <c r="A3094" s="1">
        <v>49844.0</v>
      </c>
      <c r="B3094" s="1">
        <v>15494.0</v>
      </c>
      <c r="C3094" s="1">
        <v>1.614603566E9</v>
      </c>
      <c r="D3094" s="1">
        <v>4.0</v>
      </c>
      <c r="E3094" s="1" t="b">
        <v>0</v>
      </c>
      <c r="F3094" s="1" t="s">
        <v>16949</v>
      </c>
    </row>
    <row r="3095">
      <c r="A3095" s="1">
        <v>49844.0</v>
      </c>
      <c r="B3095" s="1">
        <v>16871.0</v>
      </c>
      <c r="C3095" s="1">
        <v>1.618468286E9</v>
      </c>
      <c r="D3095" s="1">
        <v>4.0</v>
      </c>
      <c r="E3095" s="1" t="b">
        <v>0</v>
      </c>
      <c r="F3095" s="1" t="s">
        <v>16950</v>
      </c>
    </row>
    <row r="3096">
      <c r="A3096" s="1">
        <v>49844.0</v>
      </c>
      <c r="B3096" s="1">
        <v>2365.0</v>
      </c>
      <c r="C3096" s="1">
        <v>1.608103307E9</v>
      </c>
      <c r="D3096" s="1">
        <v>4.0</v>
      </c>
      <c r="E3096" s="1" t="b">
        <v>0</v>
      </c>
      <c r="F3096" s="1" t="s">
        <v>16951</v>
      </c>
    </row>
    <row r="3097">
      <c r="A3097" s="1">
        <v>49844.0</v>
      </c>
      <c r="B3097" s="1">
        <v>2564.0</v>
      </c>
      <c r="C3097" s="1">
        <v>1.611333135E9</v>
      </c>
      <c r="D3097" s="1">
        <v>4.0</v>
      </c>
      <c r="E3097" s="1" t="b">
        <v>0</v>
      </c>
      <c r="F3097" s="1" t="s">
        <v>16952</v>
      </c>
    </row>
    <row r="3098">
      <c r="A3098" s="1">
        <v>49844.0</v>
      </c>
      <c r="B3098" s="1">
        <v>2264.0</v>
      </c>
      <c r="C3098" s="1">
        <v>1.608488568E9</v>
      </c>
      <c r="D3098" s="1">
        <v>4.0</v>
      </c>
      <c r="E3098" s="1" t="b">
        <v>0</v>
      </c>
      <c r="F3098" s="1" t="s">
        <v>16953</v>
      </c>
      <c r="G3098" s="1" t="b">
        <v>1</v>
      </c>
    </row>
    <row r="3099">
      <c r="A3099" s="1">
        <v>49844.0</v>
      </c>
      <c r="B3099" s="1">
        <v>18211.0</v>
      </c>
      <c r="C3099" s="1">
        <v>1.621238598E9</v>
      </c>
      <c r="D3099" s="1">
        <v>9.0</v>
      </c>
      <c r="E3099" s="1" t="b">
        <v>0</v>
      </c>
      <c r="F3099" s="1" t="s">
        <v>16954</v>
      </c>
    </row>
    <row r="3100">
      <c r="A3100" s="1">
        <v>49844.0</v>
      </c>
      <c r="B3100" s="1">
        <v>15787.0</v>
      </c>
      <c r="C3100" s="1">
        <v>1.614943932E9</v>
      </c>
      <c r="D3100" s="1">
        <v>4.0</v>
      </c>
      <c r="E3100" s="1" t="b">
        <v>0</v>
      </c>
      <c r="F3100" s="1" t="s">
        <v>16955</v>
      </c>
    </row>
    <row r="3101">
      <c r="A3101" s="1">
        <v>49859.0</v>
      </c>
      <c r="B3101" s="1">
        <v>15839.0</v>
      </c>
      <c r="C3101" s="1">
        <v>1.615039351E9</v>
      </c>
      <c r="D3101" s="1">
        <v>4.0</v>
      </c>
      <c r="E3101" s="1" t="b">
        <v>0</v>
      </c>
      <c r="F3101" s="1" t="s">
        <v>16956</v>
      </c>
    </row>
    <row r="3102">
      <c r="A3102" s="1">
        <v>49859.0</v>
      </c>
      <c r="B3102" s="1">
        <v>18851.0</v>
      </c>
      <c r="C3102" s="1">
        <v>1.622375989E9</v>
      </c>
      <c r="D3102" s="1">
        <v>4.0</v>
      </c>
      <c r="E3102" s="1" t="b">
        <v>0</v>
      </c>
      <c r="F3102" s="1" t="s">
        <v>16957</v>
      </c>
    </row>
    <row r="3103">
      <c r="A3103" s="1">
        <v>49859.0</v>
      </c>
      <c r="B3103" s="1">
        <v>14987.0</v>
      </c>
      <c r="C3103" s="1">
        <v>1.614174474E9</v>
      </c>
      <c r="D3103" s="1">
        <v>4.0</v>
      </c>
      <c r="E3103" s="1" t="b">
        <v>0</v>
      </c>
      <c r="F3103" s="1" t="s">
        <v>16958</v>
      </c>
    </row>
    <row r="3104">
      <c r="A3104" s="1">
        <v>49859.0</v>
      </c>
      <c r="B3104" s="1">
        <v>13965.0</v>
      </c>
      <c r="C3104" s="1">
        <v>1.613420363E9</v>
      </c>
      <c r="D3104" s="1">
        <v>4.0</v>
      </c>
      <c r="E3104" s="1" t="b">
        <v>0</v>
      </c>
      <c r="F3104" s="1" t="s">
        <v>16959</v>
      </c>
    </row>
    <row r="3105">
      <c r="A3105" s="1">
        <v>49859.0</v>
      </c>
      <c r="B3105" s="1">
        <v>19873.0</v>
      </c>
      <c r="C3105" s="1">
        <v>1.623416127E9</v>
      </c>
      <c r="D3105" s="1">
        <v>4.0</v>
      </c>
      <c r="E3105" s="1" t="b">
        <v>0</v>
      </c>
      <c r="F3105" s="1" t="s">
        <v>16960</v>
      </c>
    </row>
    <row r="3106">
      <c r="A3106" s="1">
        <v>49859.0</v>
      </c>
      <c r="B3106" s="1">
        <v>12783.0</v>
      </c>
      <c r="C3106" s="1">
        <v>1.613061048E9</v>
      </c>
      <c r="D3106" s="1">
        <v>4.0</v>
      </c>
      <c r="E3106" s="1" t="b">
        <v>0</v>
      </c>
      <c r="F3106" s="1" t="s">
        <v>16961</v>
      </c>
    </row>
    <row r="3107">
      <c r="A3107" s="1">
        <v>49859.0</v>
      </c>
      <c r="B3107" s="1">
        <v>20451.0</v>
      </c>
      <c r="C3107" s="1">
        <v>1.624376664E9</v>
      </c>
      <c r="D3107" s="1">
        <v>9.0</v>
      </c>
      <c r="E3107" s="1" t="b">
        <v>0</v>
      </c>
      <c r="F3107" s="1" t="s">
        <v>16962</v>
      </c>
    </row>
    <row r="3108">
      <c r="A3108" s="1">
        <v>49859.0</v>
      </c>
      <c r="B3108" s="1">
        <v>10764.0</v>
      </c>
      <c r="C3108" s="1">
        <v>1.621180846E9</v>
      </c>
      <c r="D3108" s="1">
        <v>4.0</v>
      </c>
      <c r="E3108" s="1" t="b">
        <v>0</v>
      </c>
      <c r="F3108" s="1" t="s">
        <v>16373</v>
      </c>
    </row>
    <row r="3109">
      <c r="A3109" s="1">
        <v>49859.0</v>
      </c>
      <c r="B3109" s="1">
        <v>14363.0</v>
      </c>
      <c r="C3109" s="1">
        <v>1.61371551E9</v>
      </c>
      <c r="D3109" s="1">
        <v>4.0</v>
      </c>
      <c r="E3109" s="1" t="b">
        <v>0</v>
      </c>
      <c r="F3109" s="1" t="s">
        <v>16963</v>
      </c>
    </row>
    <row r="3110">
      <c r="A3110" s="1">
        <v>49859.0</v>
      </c>
      <c r="B3110" s="1">
        <v>12652.0</v>
      </c>
      <c r="C3110" s="1">
        <v>1.613035447E9</v>
      </c>
      <c r="D3110" s="1">
        <v>4.0</v>
      </c>
      <c r="E3110" s="1" t="b">
        <v>0</v>
      </c>
      <c r="F3110" s="1" t="s">
        <v>16964</v>
      </c>
    </row>
    <row r="3111">
      <c r="A3111" s="1">
        <v>49859.0</v>
      </c>
      <c r="B3111" s="1">
        <v>14423.0</v>
      </c>
      <c r="C3111" s="1">
        <v>1.613746085E9</v>
      </c>
      <c r="D3111" s="1">
        <v>4.0</v>
      </c>
      <c r="E3111" s="1" t="b">
        <v>0</v>
      </c>
      <c r="F3111" s="1" t="s">
        <v>16965</v>
      </c>
    </row>
    <row r="3112">
      <c r="A3112" s="1">
        <v>49859.0</v>
      </c>
      <c r="B3112" s="1">
        <v>19096.0</v>
      </c>
      <c r="C3112" s="1">
        <v>1.622372625E9</v>
      </c>
      <c r="D3112" s="1">
        <v>4.0</v>
      </c>
      <c r="E3112" s="1" t="b">
        <v>0</v>
      </c>
      <c r="F3112" s="1" t="s">
        <v>16966</v>
      </c>
    </row>
    <row r="3113">
      <c r="A3113" s="1">
        <v>49859.0</v>
      </c>
      <c r="B3113" s="1">
        <v>12466.0</v>
      </c>
      <c r="C3113" s="1">
        <v>1.612979133E9</v>
      </c>
      <c r="D3113" s="1">
        <v>4.0</v>
      </c>
      <c r="E3113" s="1" t="b">
        <v>0</v>
      </c>
      <c r="F3113" s="1" t="s">
        <v>16967</v>
      </c>
    </row>
    <row r="3114">
      <c r="A3114" s="1">
        <v>49859.0</v>
      </c>
      <c r="B3114" s="1">
        <v>12128.0</v>
      </c>
      <c r="C3114" s="1">
        <v>1.615193099E9</v>
      </c>
      <c r="D3114" s="1">
        <v>4.0</v>
      </c>
      <c r="E3114" s="1" t="b">
        <v>0</v>
      </c>
      <c r="F3114" s="1" t="s">
        <v>16968</v>
      </c>
    </row>
    <row r="3115">
      <c r="A3115" s="1">
        <v>49859.0</v>
      </c>
      <c r="B3115" s="1">
        <v>13374.0</v>
      </c>
      <c r="C3115" s="1">
        <v>1.615299425E9</v>
      </c>
      <c r="D3115" s="1">
        <v>4.0</v>
      </c>
      <c r="E3115" s="1" t="b">
        <v>0</v>
      </c>
      <c r="F3115" s="1" t="s">
        <v>16969</v>
      </c>
    </row>
    <row r="3116">
      <c r="A3116" s="1">
        <v>49859.0</v>
      </c>
      <c r="B3116" s="1">
        <v>18774.0</v>
      </c>
      <c r="C3116" s="1">
        <v>1.62194515E9</v>
      </c>
      <c r="D3116" s="1">
        <v>4.0</v>
      </c>
      <c r="E3116" s="1" t="b">
        <v>0</v>
      </c>
      <c r="F3116" s="1" t="s">
        <v>16970</v>
      </c>
    </row>
    <row r="3117">
      <c r="A3117" s="1">
        <v>49859.0</v>
      </c>
      <c r="B3117" s="1">
        <v>12645.0</v>
      </c>
      <c r="C3117" s="1">
        <v>1.613227817E9</v>
      </c>
      <c r="D3117" s="1">
        <v>4.0</v>
      </c>
      <c r="E3117" s="1" t="b">
        <v>0</v>
      </c>
      <c r="F3117" s="1" t="s">
        <v>16971</v>
      </c>
    </row>
    <row r="3118">
      <c r="A3118" s="1">
        <v>49859.0</v>
      </c>
      <c r="B3118" s="1">
        <v>19779.0</v>
      </c>
      <c r="C3118" s="1">
        <v>1.623397981E9</v>
      </c>
      <c r="D3118" s="1">
        <v>4.0</v>
      </c>
      <c r="E3118" s="1" t="b">
        <v>0</v>
      </c>
      <c r="F3118" s="1" t="s">
        <v>16972</v>
      </c>
    </row>
    <row r="3119">
      <c r="A3119" s="1">
        <v>49859.0</v>
      </c>
      <c r="B3119" s="1">
        <v>15068.0</v>
      </c>
      <c r="C3119" s="1">
        <v>1.615004696E9</v>
      </c>
      <c r="D3119" s="1">
        <v>4.0</v>
      </c>
      <c r="E3119" s="1" t="b">
        <v>0</v>
      </c>
      <c r="F3119" s="1" t="s">
        <v>16973</v>
      </c>
    </row>
    <row r="3120">
      <c r="A3120" s="1">
        <v>49859.0</v>
      </c>
      <c r="B3120" s="1">
        <v>12087.0</v>
      </c>
      <c r="C3120" s="1">
        <v>1.615459852E9</v>
      </c>
      <c r="D3120" s="1">
        <v>4.0</v>
      </c>
      <c r="E3120" s="1" t="b">
        <v>0</v>
      </c>
      <c r="F3120" s="1" t="s">
        <v>16974</v>
      </c>
    </row>
    <row r="3121">
      <c r="A3121" s="1">
        <v>49859.0</v>
      </c>
      <c r="B3121" s="1">
        <v>14599.0</v>
      </c>
      <c r="C3121" s="1">
        <v>1.613847075E9</v>
      </c>
      <c r="D3121" s="1">
        <v>4.0</v>
      </c>
      <c r="E3121" s="1" t="b">
        <v>0</v>
      </c>
      <c r="F3121" s="1" t="s">
        <v>16975</v>
      </c>
    </row>
    <row r="3122">
      <c r="A3122" s="1">
        <v>49859.0</v>
      </c>
      <c r="B3122" s="1">
        <v>14405.0</v>
      </c>
      <c r="C3122" s="1">
        <v>1.613746083E9</v>
      </c>
      <c r="D3122" s="1">
        <v>4.0</v>
      </c>
      <c r="E3122" s="1" t="b">
        <v>0</v>
      </c>
      <c r="F3122" s="1" t="s">
        <v>16976</v>
      </c>
    </row>
    <row r="3123">
      <c r="A3123" s="1">
        <v>49859.0</v>
      </c>
      <c r="B3123" s="1">
        <v>16148.0</v>
      </c>
      <c r="C3123" s="1">
        <v>1.615605445E9</v>
      </c>
      <c r="D3123" s="1">
        <v>4.0</v>
      </c>
      <c r="E3123" s="1" t="b">
        <v>0</v>
      </c>
      <c r="F3123" s="1" t="s">
        <v>16977</v>
      </c>
    </row>
    <row r="3124">
      <c r="A3124" s="1">
        <v>49859.0</v>
      </c>
      <c r="B3124" s="1">
        <v>18156.0</v>
      </c>
      <c r="C3124" s="1">
        <v>1.62196521E9</v>
      </c>
      <c r="D3124" s="1">
        <v>4.0</v>
      </c>
      <c r="E3124" s="1" t="b">
        <v>0</v>
      </c>
      <c r="F3124" s="1" t="s">
        <v>16978</v>
      </c>
    </row>
    <row r="3125">
      <c r="A3125" s="1">
        <v>49859.0</v>
      </c>
      <c r="B3125" s="1">
        <v>16800.0</v>
      </c>
      <c r="C3125" s="1">
        <v>1.618212813E9</v>
      </c>
      <c r="D3125" s="1">
        <v>4.0</v>
      </c>
      <c r="E3125" s="1" t="b">
        <v>0</v>
      </c>
      <c r="F3125" s="1" t="s">
        <v>16979</v>
      </c>
    </row>
    <row r="3126">
      <c r="A3126" s="1">
        <v>49859.0</v>
      </c>
      <c r="B3126" s="1">
        <v>19754.0</v>
      </c>
      <c r="C3126" s="1">
        <v>1.623243155E9</v>
      </c>
      <c r="D3126" s="1">
        <v>4.0</v>
      </c>
      <c r="E3126" s="1" t="b">
        <v>0</v>
      </c>
      <c r="F3126" s="1" t="s">
        <v>16980</v>
      </c>
    </row>
    <row r="3127">
      <c r="A3127" s="1">
        <v>49859.0</v>
      </c>
      <c r="B3127" s="1">
        <v>18220.0</v>
      </c>
      <c r="C3127" s="1">
        <v>1.621308628E9</v>
      </c>
      <c r="D3127" s="1">
        <v>4.0</v>
      </c>
      <c r="E3127" s="1" t="b">
        <v>0</v>
      </c>
      <c r="F3127" s="1" t="s">
        <v>16981</v>
      </c>
    </row>
    <row r="3128">
      <c r="A3128" s="1">
        <v>49859.0</v>
      </c>
      <c r="B3128" s="1">
        <v>12924.0</v>
      </c>
      <c r="C3128" s="1">
        <v>1.613118372E9</v>
      </c>
      <c r="D3128" s="1">
        <v>4.0</v>
      </c>
      <c r="E3128" s="1" t="b">
        <v>0</v>
      </c>
      <c r="F3128" s="1" t="s">
        <v>16982</v>
      </c>
    </row>
    <row r="3129">
      <c r="A3129" s="1">
        <v>49859.0</v>
      </c>
      <c r="B3129" s="1">
        <v>19802.0</v>
      </c>
      <c r="C3129" s="1">
        <v>1.623434285E9</v>
      </c>
      <c r="D3129" s="1">
        <v>4.0</v>
      </c>
      <c r="E3129" s="1" t="b">
        <v>0</v>
      </c>
      <c r="F3129" s="1" t="s">
        <v>16983</v>
      </c>
    </row>
    <row r="3130">
      <c r="A3130" s="1">
        <v>49859.0</v>
      </c>
      <c r="B3130" s="1">
        <v>17665.0</v>
      </c>
      <c r="C3130" s="1">
        <v>1.621764888E9</v>
      </c>
      <c r="D3130" s="1">
        <v>4.0</v>
      </c>
      <c r="E3130" s="1" t="b">
        <v>0</v>
      </c>
      <c r="F3130" s="1" t="s">
        <v>16984</v>
      </c>
    </row>
    <row r="3131">
      <c r="A3131" s="1">
        <v>49859.0</v>
      </c>
      <c r="B3131" s="1">
        <v>17723.0</v>
      </c>
      <c r="C3131" s="1">
        <v>1.620472031E9</v>
      </c>
      <c r="D3131" s="1">
        <v>4.0</v>
      </c>
      <c r="E3131" s="1" t="b">
        <v>0</v>
      </c>
      <c r="F3131" s="1" t="s">
        <v>16985</v>
      </c>
    </row>
    <row r="3132">
      <c r="A3132" s="1">
        <v>49859.0</v>
      </c>
      <c r="B3132" s="1">
        <v>3610.0</v>
      </c>
      <c r="C3132" s="1">
        <v>1.610630974E9</v>
      </c>
      <c r="D3132" s="1">
        <v>4.0</v>
      </c>
      <c r="E3132" s="1" t="b">
        <v>0</v>
      </c>
      <c r="F3132" s="1" t="s">
        <v>16986</v>
      </c>
    </row>
    <row r="3133">
      <c r="A3133" s="1">
        <v>49859.0</v>
      </c>
      <c r="B3133" s="1">
        <v>16290.0</v>
      </c>
      <c r="C3133" s="1">
        <v>1.616066238E9</v>
      </c>
      <c r="D3133" s="1">
        <v>9.0</v>
      </c>
      <c r="E3133" s="1" t="b">
        <v>0</v>
      </c>
      <c r="F3133" s="1" t="s">
        <v>16987</v>
      </c>
    </row>
    <row r="3134">
      <c r="A3134" s="1">
        <v>49859.0</v>
      </c>
      <c r="B3134" s="1">
        <v>18284.0</v>
      </c>
      <c r="C3134" s="1">
        <v>1.622617548E9</v>
      </c>
      <c r="D3134" s="1">
        <v>4.0</v>
      </c>
      <c r="E3134" s="1" t="b">
        <v>0</v>
      </c>
      <c r="F3134" s="1" t="s">
        <v>16988</v>
      </c>
    </row>
    <row r="3135">
      <c r="A3135" s="1">
        <v>49859.0</v>
      </c>
      <c r="B3135" s="1">
        <v>14527.0</v>
      </c>
      <c r="C3135" s="1">
        <v>1.61381464E9</v>
      </c>
      <c r="D3135" s="1">
        <v>4.0</v>
      </c>
      <c r="E3135" s="1" t="b">
        <v>0</v>
      </c>
      <c r="F3135" s="1" t="s">
        <v>16989</v>
      </c>
    </row>
    <row r="3136">
      <c r="A3136" s="1">
        <v>49859.0</v>
      </c>
      <c r="B3136" s="1">
        <v>15792.0</v>
      </c>
      <c r="C3136" s="1">
        <v>1.615004694E9</v>
      </c>
      <c r="D3136" s="1">
        <v>4.0</v>
      </c>
      <c r="E3136" s="1" t="b">
        <v>0</v>
      </c>
      <c r="F3136" s="1" t="s">
        <v>16990</v>
      </c>
    </row>
    <row r="3137">
      <c r="A3137" s="1">
        <v>49859.0</v>
      </c>
      <c r="B3137" s="1">
        <v>16188.0</v>
      </c>
      <c r="C3137" s="1">
        <v>1.615709825E9</v>
      </c>
      <c r="D3137" s="1">
        <v>4.0</v>
      </c>
      <c r="E3137" s="1" t="b">
        <v>0</v>
      </c>
      <c r="F3137" s="1" t="s">
        <v>16991</v>
      </c>
    </row>
    <row r="3138">
      <c r="A3138" s="1">
        <v>49859.0</v>
      </c>
      <c r="B3138" s="1">
        <v>19221.0</v>
      </c>
      <c r="C3138" s="1">
        <v>1.622489008E9</v>
      </c>
      <c r="D3138" s="1">
        <v>4.0</v>
      </c>
      <c r="E3138" s="1" t="b">
        <v>0</v>
      </c>
      <c r="F3138" s="1" t="s">
        <v>16992</v>
      </c>
    </row>
    <row r="3139">
      <c r="A3139" s="1">
        <v>49859.0</v>
      </c>
      <c r="B3139" s="1">
        <v>19774.0</v>
      </c>
      <c r="C3139" s="1">
        <v>1.623327021E9</v>
      </c>
      <c r="D3139" s="1">
        <v>4.0</v>
      </c>
      <c r="E3139" s="1" t="b">
        <v>0</v>
      </c>
      <c r="F3139" s="1" t="s">
        <v>16993</v>
      </c>
    </row>
    <row r="3140">
      <c r="A3140" s="1">
        <v>49859.0</v>
      </c>
      <c r="B3140" s="1">
        <v>13028.0</v>
      </c>
      <c r="C3140" s="1">
        <v>1.613138413E9</v>
      </c>
      <c r="D3140" s="1">
        <v>4.0</v>
      </c>
      <c r="E3140" s="1" t="b">
        <v>0</v>
      </c>
      <c r="F3140" s="1" t="s">
        <v>16994</v>
      </c>
    </row>
    <row r="3141">
      <c r="A3141" s="1">
        <v>49859.0</v>
      </c>
      <c r="B3141" s="1">
        <v>15784.0</v>
      </c>
      <c r="C3141" s="1">
        <v>1.614942153E9</v>
      </c>
      <c r="D3141" s="1">
        <v>4.0</v>
      </c>
      <c r="E3141" s="1" t="b">
        <v>0</v>
      </c>
      <c r="F3141" s="1" t="s">
        <v>16995</v>
      </c>
    </row>
    <row r="3142">
      <c r="A3142" s="1">
        <v>49859.0</v>
      </c>
      <c r="B3142" s="1">
        <v>15454.0</v>
      </c>
      <c r="C3142" s="1">
        <v>1.614623302E9</v>
      </c>
      <c r="D3142" s="1">
        <v>4.0</v>
      </c>
      <c r="E3142" s="1" t="b">
        <v>0</v>
      </c>
      <c r="F3142" s="1" t="s">
        <v>16996</v>
      </c>
    </row>
    <row r="3143">
      <c r="A3143" s="1">
        <v>49859.0</v>
      </c>
      <c r="B3143" s="1">
        <v>19876.0</v>
      </c>
      <c r="C3143" s="1">
        <v>1.623418928E9</v>
      </c>
      <c r="D3143" s="1">
        <v>4.0</v>
      </c>
      <c r="E3143" s="1" t="b">
        <v>0</v>
      </c>
      <c r="F3143" s="1" t="s">
        <v>16997</v>
      </c>
    </row>
    <row r="3144">
      <c r="A3144" s="1">
        <v>49859.0</v>
      </c>
      <c r="B3144" s="1">
        <v>11349.0</v>
      </c>
      <c r="C3144" s="1">
        <v>1.612752012E9</v>
      </c>
      <c r="D3144" s="1">
        <v>4.0</v>
      </c>
      <c r="E3144" s="1" t="b">
        <v>0</v>
      </c>
      <c r="F3144" s="1" t="s">
        <v>16998</v>
      </c>
    </row>
    <row r="3145">
      <c r="A3145" s="1">
        <v>49859.0</v>
      </c>
      <c r="B3145" s="1">
        <v>19295.0</v>
      </c>
      <c r="C3145" s="1">
        <v>1.622564687E9</v>
      </c>
      <c r="D3145" s="1">
        <v>4.0</v>
      </c>
      <c r="E3145" s="1" t="b">
        <v>0</v>
      </c>
      <c r="F3145" s="1" t="s">
        <v>16999</v>
      </c>
    </row>
    <row r="3146">
      <c r="A3146" s="1">
        <v>49859.0</v>
      </c>
      <c r="B3146" s="1">
        <v>15773.0</v>
      </c>
      <c r="C3146" s="1">
        <v>1.614933006E9</v>
      </c>
      <c r="D3146" s="1">
        <v>4.0</v>
      </c>
      <c r="E3146" s="1" t="b">
        <v>0</v>
      </c>
      <c r="F3146" s="1" t="s">
        <v>17000</v>
      </c>
    </row>
    <row r="3147">
      <c r="A3147" s="1">
        <v>49859.0</v>
      </c>
      <c r="B3147" s="1">
        <v>18806.0</v>
      </c>
      <c r="C3147" s="1">
        <v>1.62199241E9</v>
      </c>
      <c r="D3147" s="1">
        <v>4.0</v>
      </c>
      <c r="E3147" s="1" t="b">
        <v>0</v>
      </c>
      <c r="F3147" s="1" t="s">
        <v>17001</v>
      </c>
    </row>
    <row r="3148">
      <c r="A3148" s="1">
        <v>49859.0</v>
      </c>
      <c r="B3148" s="1">
        <v>13929.0</v>
      </c>
      <c r="C3148" s="1">
        <v>1.613411886E9</v>
      </c>
      <c r="D3148" s="1">
        <v>4.0</v>
      </c>
      <c r="E3148" s="1" t="b">
        <v>0</v>
      </c>
      <c r="F3148" s="1" t="s">
        <v>17002</v>
      </c>
    </row>
    <row r="3149">
      <c r="A3149" s="1">
        <v>49859.0</v>
      </c>
      <c r="B3149" s="1">
        <v>16186.0</v>
      </c>
      <c r="C3149" s="1">
        <v>1.615878475E9</v>
      </c>
      <c r="D3149" s="1">
        <v>4.0</v>
      </c>
      <c r="E3149" s="1" t="b">
        <v>0</v>
      </c>
      <c r="F3149" s="1" t="s">
        <v>17003</v>
      </c>
    </row>
    <row r="3150">
      <c r="A3150" s="1">
        <v>49859.0</v>
      </c>
      <c r="B3150" s="1">
        <v>3588.0</v>
      </c>
      <c r="C3150" s="1">
        <v>1.610622824E9</v>
      </c>
      <c r="D3150" s="1">
        <v>1.0</v>
      </c>
      <c r="E3150" s="1" t="b">
        <v>0</v>
      </c>
      <c r="F3150" s="1" t="s">
        <v>17004</v>
      </c>
      <c r="G3150" s="1" t="b">
        <v>1</v>
      </c>
    </row>
    <row r="3151">
      <c r="A3151" s="1">
        <v>49859.0</v>
      </c>
      <c r="B3151" s="1">
        <v>14883.0</v>
      </c>
      <c r="C3151" s="1">
        <v>1.617378579E9</v>
      </c>
      <c r="D3151" s="1">
        <v>4.0</v>
      </c>
      <c r="E3151" s="1" t="b">
        <v>0</v>
      </c>
      <c r="F3151" s="1" t="s">
        <v>17005</v>
      </c>
    </row>
    <row r="3152">
      <c r="A3152" s="1">
        <v>49859.0</v>
      </c>
      <c r="B3152" s="1">
        <v>16156.0</v>
      </c>
      <c r="C3152" s="1">
        <v>1.615605453E9</v>
      </c>
      <c r="D3152" s="1">
        <v>4.0</v>
      </c>
      <c r="E3152" s="1" t="b">
        <v>0</v>
      </c>
      <c r="F3152" s="1" t="s">
        <v>17006</v>
      </c>
    </row>
    <row r="3153">
      <c r="A3153" s="1">
        <v>49859.0</v>
      </c>
      <c r="B3153" s="1">
        <v>14157.0</v>
      </c>
      <c r="C3153" s="1">
        <v>1.613553264E9</v>
      </c>
      <c r="D3153" s="1">
        <v>4.0</v>
      </c>
      <c r="E3153" s="1" t="b">
        <v>0</v>
      </c>
      <c r="F3153" s="1" t="s">
        <v>17007</v>
      </c>
    </row>
    <row r="3154">
      <c r="A3154" s="1">
        <v>49859.0</v>
      </c>
      <c r="B3154" s="1">
        <v>14307.0</v>
      </c>
      <c r="C3154" s="1">
        <v>1.613661594E9</v>
      </c>
      <c r="D3154" s="1">
        <v>4.0</v>
      </c>
      <c r="E3154" s="1" t="b">
        <v>0</v>
      </c>
      <c r="F3154" s="1" t="s">
        <v>17008</v>
      </c>
    </row>
    <row r="3155">
      <c r="A3155" s="1">
        <v>49859.0</v>
      </c>
      <c r="B3155" s="1">
        <v>12161.0</v>
      </c>
      <c r="C3155" s="1">
        <v>1.612937802E9</v>
      </c>
      <c r="D3155" s="1">
        <v>4.0</v>
      </c>
      <c r="E3155" s="1" t="b">
        <v>0</v>
      </c>
      <c r="F3155" s="1" t="s">
        <v>17009</v>
      </c>
    </row>
    <row r="3156">
      <c r="A3156" s="1">
        <v>49859.0</v>
      </c>
      <c r="B3156" s="1">
        <v>19881.0</v>
      </c>
      <c r="C3156" s="1">
        <v>1.623423594E9</v>
      </c>
      <c r="D3156" s="1">
        <v>4.0</v>
      </c>
      <c r="E3156" s="1" t="b">
        <v>0</v>
      </c>
      <c r="F3156" s="1" t="s">
        <v>17010</v>
      </c>
    </row>
    <row r="3157">
      <c r="A3157" s="1">
        <v>49859.0</v>
      </c>
      <c r="B3157" s="1">
        <v>13738.0</v>
      </c>
      <c r="C3157" s="1">
        <v>1.614683464E9</v>
      </c>
      <c r="D3157" s="1">
        <v>4.0</v>
      </c>
      <c r="E3157" s="1" t="b">
        <v>0</v>
      </c>
      <c r="F3157" s="1" t="s">
        <v>17011</v>
      </c>
    </row>
    <row r="3158">
      <c r="A3158" s="1">
        <v>49859.0</v>
      </c>
      <c r="B3158" s="1">
        <v>16224.0</v>
      </c>
      <c r="C3158" s="1">
        <v>1.615874832E9</v>
      </c>
      <c r="D3158" s="1">
        <v>4.0</v>
      </c>
      <c r="E3158" s="1" t="b">
        <v>0</v>
      </c>
      <c r="F3158" s="1" t="s">
        <v>17012</v>
      </c>
    </row>
    <row r="3159">
      <c r="A3159" s="1">
        <v>49859.0</v>
      </c>
      <c r="B3159" s="1">
        <v>13340.0</v>
      </c>
      <c r="C3159" s="1">
        <v>1.613227824E9</v>
      </c>
      <c r="D3159" s="1">
        <v>4.0</v>
      </c>
      <c r="E3159" s="1" t="b">
        <v>0</v>
      </c>
      <c r="F3159" s="1" t="s">
        <v>14335</v>
      </c>
    </row>
    <row r="3160">
      <c r="A3160" s="1">
        <v>49859.0</v>
      </c>
      <c r="B3160" s="1">
        <v>16150.0</v>
      </c>
      <c r="C3160" s="1">
        <v>1.615796822E9</v>
      </c>
      <c r="D3160" s="1">
        <v>4.0</v>
      </c>
      <c r="E3160" s="1" t="b">
        <v>0</v>
      </c>
      <c r="F3160" s="1" t="s">
        <v>17013</v>
      </c>
    </row>
    <row r="3161">
      <c r="A3161" s="1">
        <v>49859.0</v>
      </c>
      <c r="B3161" s="1">
        <v>5203.0</v>
      </c>
      <c r="C3161" s="1">
        <v>1.61133513E9</v>
      </c>
      <c r="D3161" s="1">
        <v>4.0</v>
      </c>
      <c r="E3161" s="1" t="b">
        <v>0</v>
      </c>
      <c r="F3161" s="1" t="s">
        <v>17014</v>
      </c>
    </row>
    <row r="3162">
      <c r="A3162" s="1">
        <v>49859.0</v>
      </c>
      <c r="B3162" s="1">
        <v>12667.0</v>
      </c>
      <c r="C3162" s="1">
        <v>1.613051745E9</v>
      </c>
      <c r="D3162" s="1">
        <v>4.0</v>
      </c>
      <c r="E3162" s="1" t="b">
        <v>0</v>
      </c>
      <c r="F3162" s="1" t="s">
        <v>17015</v>
      </c>
    </row>
    <row r="3163">
      <c r="A3163" s="1">
        <v>49859.0</v>
      </c>
      <c r="B3163" s="1">
        <v>14688.0</v>
      </c>
      <c r="C3163" s="1">
        <v>1.614016749E9</v>
      </c>
      <c r="D3163" s="1">
        <v>4.0</v>
      </c>
      <c r="E3163" s="1" t="b">
        <v>0</v>
      </c>
      <c r="F3163" s="1" t="s">
        <v>17016</v>
      </c>
    </row>
    <row r="3164">
      <c r="A3164" s="1">
        <v>49859.0</v>
      </c>
      <c r="B3164" s="1">
        <v>19813.0</v>
      </c>
      <c r="C3164" s="1">
        <v>1.623334341E9</v>
      </c>
      <c r="D3164" s="1">
        <v>4.0</v>
      </c>
      <c r="E3164" s="1" t="b">
        <v>0</v>
      </c>
      <c r="F3164" s="1" t="s">
        <v>17017</v>
      </c>
    </row>
    <row r="3165">
      <c r="A3165" s="1">
        <v>49859.0</v>
      </c>
      <c r="B3165" s="1">
        <v>18869.0</v>
      </c>
      <c r="C3165" s="1">
        <v>1.622074961E9</v>
      </c>
      <c r="D3165" s="1">
        <v>4.0</v>
      </c>
      <c r="E3165" s="1" t="b">
        <v>0</v>
      </c>
      <c r="F3165" s="1" t="s">
        <v>17018</v>
      </c>
    </row>
    <row r="3166">
      <c r="A3166" s="1">
        <v>49859.0</v>
      </c>
      <c r="B3166" s="1">
        <v>16187.0</v>
      </c>
      <c r="C3166" s="1">
        <v>1.615708268E9</v>
      </c>
      <c r="D3166" s="1">
        <v>4.0</v>
      </c>
      <c r="E3166" s="1" t="b">
        <v>0</v>
      </c>
      <c r="F3166" s="1" t="s">
        <v>17019</v>
      </c>
    </row>
    <row r="3167">
      <c r="A3167" s="1">
        <v>49859.0</v>
      </c>
      <c r="B3167" s="1">
        <v>19011.0</v>
      </c>
      <c r="C3167" s="1">
        <v>1.622265893E9</v>
      </c>
      <c r="D3167" s="1">
        <v>9.0</v>
      </c>
      <c r="E3167" s="1" t="b">
        <v>0</v>
      </c>
      <c r="F3167" s="1" t="s">
        <v>17020</v>
      </c>
    </row>
    <row r="3168">
      <c r="A3168" s="1">
        <v>49859.0</v>
      </c>
      <c r="B3168" s="1">
        <v>19712.0</v>
      </c>
      <c r="C3168" s="1">
        <v>1.623207117E9</v>
      </c>
      <c r="D3168" s="1">
        <v>4.0</v>
      </c>
      <c r="E3168" s="1" t="b">
        <v>0</v>
      </c>
      <c r="F3168" s="1" t="s">
        <v>17021</v>
      </c>
    </row>
    <row r="3169">
      <c r="A3169" s="1">
        <v>49859.0</v>
      </c>
      <c r="B3169" s="1">
        <v>18600.0</v>
      </c>
      <c r="C3169" s="1">
        <v>1.621774099E9</v>
      </c>
      <c r="D3169" s="1">
        <v>4.0</v>
      </c>
      <c r="E3169" s="1" t="b">
        <v>0</v>
      </c>
      <c r="F3169" s="1" t="s">
        <v>17022</v>
      </c>
    </row>
    <row r="3170">
      <c r="A3170" s="1">
        <v>49859.0</v>
      </c>
      <c r="B3170" s="1">
        <v>14102.0</v>
      </c>
      <c r="C3170" s="1">
        <v>1.615180289E9</v>
      </c>
      <c r="D3170" s="1">
        <v>4.0</v>
      </c>
      <c r="E3170" s="1" t="b">
        <v>0</v>
      </c>
      <c r="F3170" s="1" t="s">
        <v>17023</v>
      </c>
    </row>
    <row r="3171">
      <c r="A3171" s="1">
        <v>49859.0</v>
      </c>
      <c r="B3171" s="1">
        <v>12205.0</v>
      </c>
      <c r="C3171" s="1">
        <v>1.612937804E9</v>
      </c>
      <c r="D3171" s="1">
        <v>4.0</v>
      </c>
      <c r="E3171" s="1" t="b">
        <v>0</v>
      </c>
      <c r="F3171" s="1" t="s">
        <v>17024</v>
      </c>
    </row>
    <row r="3172">
      <c r="A3172" s="1">
        <v>49859.0</v>
      </c>
      <c r="B3172" s="1">
        <v>15531.0</v>
      </c>
      <c r="C3172" s="1">
        <v>1.614683461E9</v>
      </c>
      <c r="D3172" s="1">
        <v>4.0</v>
      </c>
      <c r="E3172" s="1" t="b">
        <v>0</v>
      </c>
      <c r="F3172" s="1" t="s">
        <v>17025</v>
      </c>
    </row>
    <row r="3173">
      <c r="A3173" s="1">
        <v>49859.0</v>
      </c>
      <c r="B3173" s="1">
        <v>20191.0</v>
      </c>
      <c r="C3173" s="1">
        <v>1.623908343E9</v>
      </c>
      <c r="D3173" s="1">
        <v>4.0</v>
      </c>
      <c r="E3173" s="1" t="b">
        <v>0</v>
      </c>
      <c r="F3173" s="1" t="s">
        <v>17026</v>
      </c>
    </row>
    <row r="3174">
      <c r="A3174" s="1">
        <v>49859.0</v>
      </c>
      <c r="B3174" s="1">
        <v>17890.0</v>
      </c>
      <c r="C3174" s="1">
        <v>1.620632382E9</v>
      </c>
      <c r="D3174" s="1">
        <v>4.0</v>
      </c>
      <c r="E3174" s="1" t="b">
        <v>0</v>
      </c>
      <c r="F3174" s="1" t="s">
        <v>17027</v>
      </c>
    </row>
    <row r="3175">
      <c r="A3175" s="1">
        <v>49859.0</v>
      </c>
      <c r="B3175" s="1">
        <v>11299.0</v>
      </c>
      <c r="C3175" s="1">
        <v>1.612719249E9</v>
      </c>
      <c r="D3175" s="1">
        <v>4.0</v>
      </c>
      <c r="E3175" s="1" t="b">
        <v>0</v>
      </c>
      <c r="F3175" s="1" t="s">
        <v>17028</v>
      </c>
    </row>
    <row r="3176">
      <c r="A3176" s="1">
        <v>49859.0</v>
      </c>
      <c r="B3176" s="1">
        <v>10538.0</v>
      </c>
      <c r="C3176" s="1">
        <v>1.612516286E9</v>
      </c>
      <c r="D3176" s="1">
        <v>4.0</v>
      </c>
      <c r="E3176" s="1" t="b">
        <v>0</v>
      </c>
      <c r="F3176" s="1" t="s">
        <v>17029</v>
      </c>
    </row>
    <row r="3177">
      <c r="A3177" s="1">
        <v>49859.0</v>
      </c>
      <c r="B3177" s="1">
        <v>14679.0</v>
      </c>
      <c r="C3177" s="1">
        <v>1.614016745E9</v>
      </c>
      <c r="D3177" s="1">
        <v>4.0</v>
      </c>
      <c r="E3177" s="1" t="b">
        <v>0</v>
      </c>
      <c r="F3177" s="1" t="s">
        <v>17030</v>
      </c>
    </row>
    <row r="3178">
      <c r="A3178" s="1">
        <v>49859.0</v>
      </c>
      <c r="B3178" s="1">
        <v>16171.0</v>
      </c>
      <c r="C3178" s="1">
        <v>1.615874707E9</v>
      </c>
      <c r="D3178" s="1">
        <v>4.0</v>
      </c>
      <c r="E3178" s="1" t="b">
        <v>0</v>
      </c>
      <c r="F3178" s="1" t="s">
        <v>17031</v>
      </c>
    </row>
    <row r="3179">
      <c r="A3179" s="1">
        <v>49859.0</v>
      </c>
      <c r="B3179" s="1">
        <v>15263.0</v>
      </c>
      <c r="C3179" s="1">
        <v>1.614420729E9</v>
      </c>
      <c r="D3179" s="1">
        <v>4.0</v>
      </c>
      <c r="E3179" s="1" t="b">
        <v>0</v>
      </c>
      <c r="F3179" s="1" t="s">
        <v>17032</v>
      </c>
    </row>
    <row r="3180">
      <c r="A3180" s="1">
        <v>49859.0</v>
      </c>
      <c r="B3180" s="1">
        <v>16184.0</v>
      </c>
      <c r="C3180" s="1">
        <v>1.615706696E9</v>
      </c>
      <c r="D3180" s="1">
        <v>4.0</v>
      </c>
      <c r="E3180" s="1" t="b">
        <v>0</v>
      </c>
      <c r="F3180" s="1" t="s">
        <v>17033</v>
      </c>
    </row>
    <row r="3181">
      <c r="A3181" s="1">
        <v>49859.0</v>
      </c>
      <c r="B3181" s="1">
        <v>19227.0</v>
      </c>
      <c r="C3181" s="1">
        <v>1.622617572E9</v>
      </c>
      <c r="D3181" s="1">
        <v>4.0</v>
      </c>
      <c r="E3181" s="1" t="b">
        <v>0</v>
      </c>
      <c r="F3181" s="1" t="s">
        <v>17034</v>
      </c>
    </row>
    <row r="3182">
      <c r="A3182" s="1">
        <v>49859.0</v>
      </c>
      <c r="B3182" s="1">
        <v>16361.0</v>
      </c>
      <c r="C3182" s="1">
        <v>1.61640169E9</v>
      </c>
      <c r="D3182" s="1">
        <v>4.0</v>
      </c>
      <c r="E3182" s="1" t="b">
        <v>0</v>
      </c>
      <c r="F3182" s="1" t="s">
        <v>17035</v>
      </c>
    </row>
    <row r="3183">
      <c r="A3183" s="1">
        <v>49859.0</v>
      </c>
      <c r="B3183" s="1">
        <v>17704.0</v>
      </c>
      <c r="C3183" s="1">
        <v>1.620453236E9</v>
      </c>
      <c r="D3183" s="1">
        <v>4.0</v>
      </c>
      <c r="E3183" s="1" t="b">
        <v>0</v>
      </c>
      <c r="F3183" s="1" t="s">
        <v>17036</v>
      </c>
    </row>
    <row r="3184">
      <c r="A3184" s="1">
        <v>49859.0</v>
      </c>
      <c r="B3184" s="1">
        <v>15966.0</v>
      </c>
      <c r="C3184" s="1">
        <v>1.615225392E9</v>
      </c>
      <c r="D3184" s="1">
        <v>4.0</v>
      </c>
      <c r="E3184" s="1" t="b">
        <v>0</v>
      </c>
      <c r="F3184" s="1" t="s">
        <v>17037</v>
      </c>
    </row>
    <row r="3185">
      <c r="A3185" s="1">
        <v>49859.0</v>
      </c>
      <c r="B3185" s="1">
        <v>15794.0</v>
      </c>
      <c r="C3185" s="1">
        <v>1.615004664E9</v>
      </c>
      <c r="D3185" s="1">
        <v>4.0</v>
      </c>
      <c r="E3185" s="1" t="b">
        <v>0</v>
      </c>
      <c r="F3185" s="1" t="s">
        <v>17038</v>
      </c>
    </row>
    <row r="3186">
      <c r="A3186" s="1">
        <v>49859.0</v>
      </c>
      <c r="B3186" s="1">
        <v>15161.0</v>
      </c>
      <c r="C3186" s="1">
        <v>1.614319401E9</v>
      </c>
      <c r="D3186" s="1">
        <v>4.0</v>
      </c>
      <c r="E3186" s="1" t="b">
        <v>0</v>
      </c>
      <c r="F3186" s="1" t="s">
        <v>17039</v>
      </c>
    </row>
    <row r="3187">
      <c r="A3187" s="1">
        <v>49859.0</v>
      </c>
      <c r="B3187" s="1">
        <v>15191.0</v>
      </c>
      <c r="C3187" s="1">
        <v>1.614344467E9</v>
      </c>
      <c r="D3187" s="1">
        <v>4.0</v>
      </c>
      <c r="E3187" s="1" t="b">
        <v>0</v>
      </c>
      <c r="F3187" s="1" t="s">
        <v>17040</v>
      </c>
    </row>
    <row r="3188">
      <c r="A3188" s="1">
        <v>49859.0</v>
      </c>
      <c r="B3188" s="1">
        <v>18786.0</v>
      </c>
      <c r="C3188" s="1">
        <v>1.621959632E9</v>
      </c>
      <c r="D3188" s="1">
        <v>4.0</v>
      </c>
      <c r="E3188" s="1" t="b">
        <v>0</v>
      </c>
      <c r="F3188" s="1" t="s">
        <v>17041</v>
      </c>
    </row>
    <row r="3189">
      <c r="A3189" s="1">
        <v>49859.0</v>
      </c>
      <c r="B3189" s="1">
        <v>16185.0</v>
      </c>
      <c r="C3189" s="1">
        <v>1.61570979E9</v>
      </c>
      <c r="D3189" s="1">
        <v>4.0</v>
      </c>
      <c r="E3189" s="1" t="b">
        <v>0</v>
      </c>
      <c r="F3189" s="1" t="s">
        <v>17042</v>
      </c>
    </row>
    <row r="3190">
      <c r="A3190" s="1">
        <v>49859.0</v>
      </c>
      <c r="B3190" s="1">
        <v>17648.0</v>
      </c>
      <c r="C3190" s="1">
        <v>1.620375046E9</v>
      </c>
      <c r="D3190" s="1">
        <v>9.0</v>
      </c>
      <c r="E3190" s="1" t="b">
        <v>0</v>
      </c>
      <c r="F3190" s="1" t="s">
        <v>17043</v>
      </c>
    </row>
    <row r="3191">
      <c r="A3191" s="1">
        <v>49859.0</v>
      </c>
      <c r="B3191" s="1">
        <v>11313.0</v>
      </c>
      <c r="C3191" s="1">
        <v>1.623295769E9</v>
      </c>
      <c r="D3191" s="1">
        <v>9.0</v>
      </c>
      <c r="E3191" s="1" t="b">
        <v>0</v>
      </c>
      <c r="F3191" s="1" t="s">
        <v>17044</v>
      </c>
    </row>
    <row r="3192">
      <c r="A3192" s="1">
        <v>49859.0</v>
      </c>
      <c r="B3192" s="1">
        <v>20237.0</v>
      </c>
      <c r="C3192" s="1">
        <v>1.624026414E9</v>
      </c>
      <c r="D3192" s="1">
        <v>4.0</v>
      </c>
      <c r="E3192" s="1" t="b">
        <v>0</v>
      </c>
      <c r="F3192" s="1" t="s">
        <v>17045</v>
      </c>
    </row>
    <row r="3193">
      <c r="A3193" s="1">
        <v>49859.0</v>
      </c>
      <c r="B3193" s="1">
        <v>18760.0</v>
      </c>
      <c r="C3193" s="1">
        <v>1.621960429E9</v>
      </c>
      <c r="D3193" s="1">
        <v>4.0</v>
      </c>
      <c r="E3193" s="1" t="b">
        <v>0</v>
      </c>
      <c r="F3193" s="1" t="s">
        <v>17046</v>
      </c>
    </row>
    <row r="3194">
      <c r="A3194" s="1">
        <v>49859.0</v>
      </c>
      <c r="B3194" s="1">
        <v>15867.0</v>
      </c>
      <c r="C3194" s="1">
        <v>1.615142618E9</v>
      </c>
      <c r="D3194" s="1">
        <v>4.0</v>
      </c>
      <c r="E3194" s="1" t="b">
        <v>0</v>
      </c>
      <c r="F3194" s="1" t="s">
        <v>17047</v>
      </c>
    </row>
    <row r="3195">
      <c r="A3195" s="1">
        <v>49859.0</v>
      </c>
      <c r="B3195" s="1">
        <v>19033.0</v>
      </c>
      <c r="C3195" s="1">
        <v>1.622383092E9</v>
      </c>
      <c r="D3195" s="1">
        <v>4.0</v>
      </c>
      <c r="E3195" s="1" t="b">
        <v>0</v>
      </c>
      <c r="F3195" s="1" t="s">
        <v>17048</v>
      </c>
    </row>
    <row r="3196">
      <c r="A3196" s="1">
        <v>49859.0</v>
      </c>
      <c r="B3196" s="1">
        <v>18637.0</v>
      </c>
      <c r="C3196" s="1">
        <v>1.622448207E9</v>
      </c>
      <c r="D3196" s="1">
        <v>4.0</v>
      </c>
      <c r="E3196" s="1" t="b">
        <v>0</v>
      </c>
      <c r="F3196" s="1" t="s">
        <v>17049</v>
      </c>
    </row>
    <row r="3197">
      <c r="A3197" s="1">
        <v>49859.0</v>
      </c>
      <c r="B3197" s="1">
        <v>19900.0</v>
      </c>
      <c r="C3197" s="1">
        <v>1.62343794E9</v>
      </c>
      <c r="D3197" s="1">
        <v>4.0</v>
      </c>
      <c r="E3197" s="1" t="b">
        <v>0</v>
      </c>
      <c r="F3197" s="1" t="s">
        <v>17050</v>
      </c>
    </row>
    <row r="3198">
      <c r="A3198" s="1">
        <v>49859.0</v>
      </c>
      <c r="B3198" s="1">
        <v>10665.0</v>
      </c>
      <c r="C3198" s="1">
        <v>1.612598471E9</v>
      </c>
      <c r="D3198" s="1">
        <v>4.0</v>
      </c>
      <c r="E3198" s="1" t="b">
        <v>0</v>
      </c>
      <c r="F3198" s="1" t="s">
        <v>17051</v>
      </c>
    </row>
    <row r="3199">
      <c r="A3199" s="1">
        <v>49859.0</v>
      </c>
      <c r="B3199" s="1">
        <v>15909.0</v>
      </c>
      <c r="C3199" s="1">
        <v>1.61514262E9</v>
      </c>
      <c r="D3199" s="1">
        <v>4.0</v>
      </c>
      <c r="E3199" s="1" t="b">
        <v>0</v>
      </c>
      <c r="F3199" s="1" t="s">
        <v>17052</v>
      </c>
    </row>
    <row r="3200">
      <c r="A3200" s="1">
        <v>49859.0</v>
      </c>
      <c r="B3200" s="1">
        <v>16112.0</v>
      </c>
      <c r="C3200" s="1">
        <v>1.615522983E9</v>
      </c>
      <c r="D3200" s="1">
        <v>4.0</v>
      </c>
      <c r="E3200" s="1" t="b">
        <v>0</v>
      </c>
      <c r="F3200" s="1" t="s">
        <v>17053</v>
      </c>
    </row>
    <row r="3201">
      <c r="A3201" s="1">
        <v>49859.0</v>
      </c>
      <c r="B3201" s="1">
        <v>20179.0</v>
      </c>
      <c r="C3201" s="1">
        <v>1.62387141E9</v>
      </c>
      <c r="D3201" s="1">
        <v>4.0</v>
      </c>
      <c r="E3201" s="1" t="b">
        <v>0</v>
      </c>
      <c r="F3201" s="1" t="s">
        <v>17054</v>
      </c>
    </row>
    <row r="3202">
      <c r="A3202" s="1">
        <v>49859.0</v>
      </c>
      <c r="B3202" s="1">
        <v>19967.0</v>
      </c>
      <c r="C3202" s="1">
        <v>1.623565415E9</v>
      </c>
      <c r="D3202" s="1">
        <v>9.0</v>
      </c>
      <c r="E3202" s="1" t="b">
        <v>0</v>
      </c>
      <c r="F3202" s="1" t="s">
        <v>17055</v>
      </c>
    </row>
    <row r="3203">
      <c r="A3203" s="1">
        <v>49859.0</v>
      </c>
      <c r="B3203" s="1">
        <v>16024.0</v>
      </c>
      <c r="C3203" s="1">
        <v>1.615391309E9</v>
      </c>
      <c r="D3203" s="1">
        <v>4.0</v>
      </c>
      <c r="E3203" s="1" t="b">
        <v>0</v>
      </c>
      <c r="F3203" s="1" t="s">
        <v>17056</v>
      </c>
    </row>
    <row r="3204">
      <c r="A3204" s="1">
        <v>49859.0</v>
      </c>
      <c r="B3204" s="1">
        <v>17702.0</v>
      </c>
      <c r="C3204" s="1">
        <v>1.622448016E9</v>
      </c>
      <c r="D3204" s="1">
        <v>4.0</v>
      </c>
      <c r="E3204" s="1" t="b">
        <v>0</v>
      </c>
      <c r="F3204" s="1" t="s">
        <v>17057</v>
      </c>
    </row>
    <row r="3205">
      <c r="A3205" s="1">
        <v>49859.0</v>
      </c>
      <c r="B3205" s="1">
        <v>20282.0</v>
      </c>
      <c r="C3205" s="1">
        <v>1.624032451E9</v>
      </c>
      <c r="D3205" s="1">
        <v>4.0</v>
      </c>
      <c r="E3205" s="1" t="b">
        <v>0</v>
      </c>
      <c r="F3205" s="1" t="s">
        <v>17058</v>
      </c>
    </row>
    <row r="3206">
      <c r="A3206" s="1">
        <v>49859.0</v>
      </c>
      <c r="B3206" s="1">
        <v>15505.0</v>
      </c>
      <c r="C3206" s="1">
        <v>1.614623303E9</v>
      </c>
      <c r="D3206" s="1">
        <v>4.0</v>
      </c>
      <c r="E3206" s="1" t="b">
        <v>0</v>
      </c>
      <c r="F3206" s="1" t="s">
        <v>17059</v>
      </c>
    </row>
    <row r="3207">
      <c r="A3207" s="1">
        <v>49859.0</v>
      </c>
      <c r="B3207" s="1">
        <v>19775.0</v>
      </c>
      <c r="C3207" s="1">
        <v>1.623296475E9</v>
      </c>
      <c r="D3207" s="1">
        <v>4.0</v>
      </c>
      <c r="E3207" s="1" t="b">
        <v>0</v>
      </c>
      <c r="F3207" s="1" t="s">
        <v>17060</v>
      </c>
    </row>
    <row r="3208">
      <c r="A3208" s="1">
        <v>49859.0</v>
      </c>
      <c r="B3208" s="1">
        <v>20065.0</v>
      </c>
      <c r="C3208" s="1">
        <v>1.623716662E9</v>
      </c>
      <c r="D3208" s="1">
        <v>4.0</v>
      </c>
      <c r="E3208" s="1" t="b">
        <v>0</v>
      </c>
      <c r="F3208" s="1" t="s">
        <v>15867</v>
      </c>
    </row>
    <row r="3209">
      <c r="A3209" s="1">
        <v>49859.0</v>
      </c>
      <c r="B3209" s="1">
        <v>16823.0</v>
      </c>
      <c r="C3209" s="1">
        <v>1.618399711E9</v>
      </c>
      <c r="D3209" s="1">
        <v>4.0</v>
      </c>
      <c r="E3209" s="1" t="b">
        <v>0</v>
      </c>
      <c r="F3209" s="1" t="s">
        <v>17061</v>
      </c>
    </row>
    <row r="3210">
      <c r="A3210" s="1">
        <v>49859.0</v>
      </c>
      <c r="B3210" s="1">
        <v>4018.0</v>
      </c>
      <c r="C3210" s="1">
        <v>1.610964103E9</v>
      </c>
      <c r="D3210" s="1">
        <v>1.0</v>
      </c>
      <c r="E3210" s="1" t="b">
        <v>0</v>
      </c>
      <c r="F3210" s="1" t="s">
        <v>17062</v>
      </c>
    </row>
    <row r="3211">
      <c r="A3211" s="1">
        <v>49859.0</v>
      </c>
      <c r="B3211" s="1">
        <v>19667.0</v>
      </c>
      <c r="C3211" s="1">
        <v>1.623138359E9</v>
      </c>
      <c r="D3211" s="1">
        <v>4.0</v>
      </c>
      <c r="E3211" s="1" t="b">
        <v>0</v>
      </c>
      <c r="F3211" s="1" t="s">
        <v>17063</v>
      </c>
    </row>
    <row r="3212">
      <c r="A3212" s="1">
        <v>49859.0</v>
      </c>
      <c r="B3212" s="1">
        <v>15876.0</v>
      </c>
      <c r="C3212" s="1">
        <v>1.615142623E9</v>
      </c>
      <c r="D3212" s="1">
        <v>4.0</v>
      </c>
      <c r="E3212" s="1" t="b">
        <v>0</v>
      </c>
      <c r="F3212" s="1" t="s">
        <v>17064</v>
      </c>
    </row>
    <row r="3213">
      <c r="A3213" s="1">
        <v>49859.0</v>
      </c>
      <c r="B3213" s="1">
        <v>14990.0</v>
      </c>
      <c r="C3213" s="1">
        <v>1.618214904E9</v>
      </c>
      <c r="D3213" s="1">
        <v>4.0</v>
      </c>
      <c r="E3213" s="1" t="b">
        <v>0</v>
      </c>
      <c r="F3213" s="1" t="s">
        <v>17065</v>
      </c>
    </row>
    <row r="3214">
      <c r="A3214" s="1">
        <v>49859.0</v>
      </c>
      <c r="B3214" s="1">
        <v>19866.0</v>
      </c>
      <c r="C3214" s="1">
        <v>1.62341382E9</v>
      </c>
      <c r="D3214" s="1">
        <v>4.0</v>
      </c>
      <c r="E3214" s="1" t="b">
        <v>0</v>
      </c>
      <c r="F3214" s="1" t="s">
        <v>17066</v>
      </c>
    </row>
    <row r="3215">
      <c r="A3215" s="1">
        <v>49859.0</v>
      </c>
      <c r="B3215" s="1">
        <v>16133.0</v>
      </c>
      <c r="C3215" s="1">
        <v>1.616213933E9</v>
      </c>
      <c r="D3215" s="1">
        <v>4.0</v>
      </c>
      <c r="E3215" s="1" t="b">
        <v>0</v>
      </c>
      <c r="F3215" s="1" t="s">
        <v>17067</v>
      </c>
    </row>
    <row r="3216">
      <c r="A3216" s="1">
        <v>49859.0</v>
      </c>
      <c r="B3216" s="1">
        <v>16002.0</v>
      </c>
      <c r="C3216" s="1">
        <v>1.615280855E9</v>
      </c>
      <c r="D3216" s="1">
        <v>4.0</v>
      </c>
      <c r="E3216" s="1" t="b">
        <v>0</v>
      </c>
      <c r="F3216" s="1" t="s">
        <v>17068</v>
      </c>
    </row>
    <row r="3217">
      <c r="A3217" s="1">
        <v>49859.0</v>
      </c>
      <c r="B3217" s="1">
        <v>17390.0</v>
      </c>
      <c r="C3217" s="1">
        <v>1.619587423E9</v>
      </c>
      <c r="D3217" s="1">
        <v>4.0</v>
      </c>
      <c r="E3217" s="1" t="b">
        <v>0</v>
      </c>
      <c r="F3217" s="1" t="s">
        <v>17069</v>
      </c>
    </row>
    <row r="3218">
      <c r="A3218" s="1">
        <v>49859.0</v>
      </c>
      <c r="B3218" s="1">
        <v>16147.0</v>
      </c>
      <c r="C3218" s="1">
        <v>1.615605449E9</v>
      </c>
      <c r="D3218" s="1">
        <v>4.0</v>
      </c>
      <c r="E3218" s="1" t="b">
        <v>0</v>
      </c>
      <c r="F3218" s="1" t="s">
        <v>17070</v>
      </c>
    </row>
    <row r="3219">
      <c r="A3219" s="1">
        <v>49859.0</v>
      </c>
      <c r="B3219" s="1">
        <v>16023.0</v>
      </c>
      <c r="C3219" s="1">
        <v>1.615313287E9</v>
      </c>
      <c r="D3219" s="1">
        <v>4.0</v>
      </c>
      <c r="E3219" s="1" t="b">
        <v>0</v>
      </c>
      <c r="F3219" s="1" t="s">
        <v>17071</v>
      </c>
    </row>
    <row r="3220">
      <c r="A3220" s="1">
        <v>49859.0</v>
      </c>
      <c r="B3220" s="1">
        <v>14724.0</v>
      </c>
      <c r="C3220" s="1">
        <v>1.61426614E9</v>
      </c>
      <c r="D3220" s="1">
        <v>4.0</v>
      </c>
      <c r="E3220" s="1" t="b">
        <v>0</v>
      </c>
      <c r="F3220" s="1" t="s">
        <v>17072</v>
      </c>
    </row>
    <row r="3221">
      <c r="A3221" s="1">
        <v>49859.0</v>
      </c>
      <c r="B3221" s="1">
        <v>19292.0</v>
      </c>
      <c r="C3221" s="1">
        <v>1.622563486E9</v>
      </c>
      <c r="D3221" s="1">
        <v>9.0</v>
      </c>
      <c r="E3221" s="1" t="b">
        <v>0</v>
      </c>
      <c r="F3221" s="1" t="s">
        <v>17073</v>
      </c>
    </row>
    <row r="3222">
      <c r="A3222" s="1">
        <v>49859.0</v>
      </c>
      <c r="B3222" s="1">
        <v>19024.0</v>
      </c>
      <c r="C3222" s="1">
        <v>1.622282557E9</v>
      </c>
      <c r="D3222" s="1">
        <v>4.0</v>
      </c>
      <c r="E3222" s="1" t="b">
        <v>0</v>
      </c>
      <c r="F3222" s="1" t="s">
        <v>17074</v>
      </c>
    </row>
    <row r="3223">
      <c r="A3223" s="1">
        <v>49859.0</v>
      </c>
      <c r="B3223" s="1">
        <v>11899.0</v>
      </c>
      <c r="C3223" s="1">
        <v>1.612890719E9</v>
      </c>
      <c r="D3223" s="1">
        <v>4.0</v>
      </c>
      <c r="E3223" s="1" t="b">
        <v>0</v>
      </c>
      <c r="F3223" s="1" t="s">
        <v>17075</v>
      </c>
    </row>
    <row r="3224">
      <c r="A3224" s="1">
        <v>49859.0</v>
      </c>
      <c r="B3224" s="1">
        <v>10802.0</v>
      </c>
      <c r="C3224" s="1">
        <v>1.615193096E9</v>
      </c>
      <c r="D3224" s="1">
        <v>4.0</v>
      </c>
      <c r="E3224" s="1" t="b">
        <v>0</v>
      </c>
      <c r="F3224" s="1" t="s">
        <v>17076</v>
      </c>
    </row>
    <row r="3225">
      <c r="A3225" s="1">
        <v>49859.0</v>
      </c>
      <c r="B3225" s="1">
        <v>18687.0</v>
      </c>
      <c r="C3225" s="1">
        <v>1.621850632E9</v>
      </c>
      <c r="D3225" s="1">
        <v>4.0</v>
      </c>
      <c r="E3225" s="1" t="b">
        <v>0</v>
      </c>
      <c r="F3225" s="1" t="s">
        <v>17077</v>
      </c>
    </row>
    <row r="3226">
      <c r="A3226" s="1">
        <v>49859.0</v>
      </c>
      <c r="B3226" s="1">
        <v>17534.0</v>
      </c>
      <c r="C3226" s="1">
        <v>1.620151764E9</v>
      </c>
      <c r="D3226" s="1">
        <v>9.0</v>
      </c>
      <c r="E3226" s="1" t="b">
        <v>0</v>
      </c>
      <c r="F3226" s="1" t="s">
        <v>17078</v>
      </c>
    </row>
    <row r="3227">
      <c r="A3227" s="1">
        <v>49859.0</v>
      </c>
      <c r="B3227" s="1">
        <v>13476.0</v>
      </c>
      <c r="C3227" s="1">
        <v>1.613323937E9</v>
      </c>
      <c r="D3227" s="1">
        <v>4.0</v>
      </c>
      <c r="E3227" s="1" t="b">
        <v>0</v>
      </c>
      <c r="F3227" s="1" t="s">
        <v>17079</v>
      </c>
    </row>
    <row r="3228">
      <c r="A3228" s="1">
        <v>49859.0</v>
      </c>
      <c r="B3228" s="1">
        <v>17586.0</v>
      </c>
      <c r="C3228" s="1">
        <v>1.622447956E9</v>
      </c>
      <c r="D3228" s="1">
        <v>4.0</v>
      </c>
      <c r="E3228" s="1" t="b">
        <v>0</v>
      </c>
      <c r="F3228" s="1" t="s">
        <v>17080</v>
      </c>
    </row>
    <row r="3229">
      <c r="A3229" s="1">
        <v>49859.0</v>
      </c>
      <c r="B3229" s="1">
        <v>20360.0</v>
      </c>
      <c r="C3229" s="1">
        <v>1.624292178E9</v>
      </c>
      <c r="D3229" s="1">
        <v>4.0</v>
      </c>
      <c r="E3229" s="1" t="b">
        <v>0</v>
      </c>
      <c r="F3229" s="1" t="s">
        <v>17081</v>
      </c>
    </row>
    <row r="3230">
      <c r="A3230" s="1">
        <v>49859.0</v>
      </c>
      <c r="B3230" s="1">
        <v>19144.0</v>
      </c>
      <c r="C3230" s="1">
        <v>1.622437932E9</v>
      </c>
      <c r="D3230" s="1">
        <v>9.0</v>
      </c>
      <c r="E3230" s="1" t="b">
        <v>0</v>
      </c>
      <c r="F3230" s="1" t="s">
        <v>17082</v>
      </c>
    </row>
    <row r="3231">
      <c r="A3231" s="1">
        <v>49859.0</v>
      </c>
      <c r="B3231" s="1">
        <v>19429.0</v>
      </c>
      <c r="C3231" s="1">
        <v>1.622704959E9</v>
      </c>
      <c r="D3231" s="1">
        <v>9.0</v>
      </c>
      <c r="E3231" s="1" t="b">
        <v>0</v>
      </c>
      <c r="F3231" s="1" t="s">
        <v>17083</v>
      </c>
    </row>
    <row r="3232">
      <c r="A3232" s="1">
        <v>49859.0</v>
      </c>
      <c r="B3232" s="1">
        <v>19241.0</v>
      </c>
      <c r="C3232" s="1">
        <v>1.62261752E9</v>
      </c>
      <c r="D3232" s="1">
        <v>4.0</v>
      </c>
      <c r="E3232" s="1" t="b">
        <v>0</v>
      </c>
      <c r="F3232" s="1" t="s">
        <v>17084</v>
      </c>
    </row>
    <row r="3233">
      <c r="A3233" s="1">
        <v>49859.0</v>
      </c>
      <c r="B3233" s="1">
        <v>15713.0</v>
      </c>
      <c r="C3233" s="1">
        <v>1.61486575E9</v>
      </c>
      <c r="D3233" s="1">
        <v>4.0</v>
      </c>
      <c r="E3233" s="1" t="b">
        <v>0</v>
      </c>
      <c r="F3233" s="1" t="s">
        <v>17085</v>
      </c>
    </row>
    <row r="3234">
      <c r="A3234" s="1">
        <v>49859.0</v>
      </c>
      <c r="B3234" s="1">
        <v>16200.0</v>
      </c>
      <c r="C3234" s="1">
        <v>1.615737982E9</v>
      </c>
      <c r="D3234" s="1">
        <v>4.0</v>
      </c>
      <c r="E3234" s="1" t="b">
        <v>0</v>
      </c>
      <c r="F3234" s="1" t="s">
        <v>17086</v>
      </c>
    </row>
    <row r="3235">
      <c r="A3235" s="1">
        <v>49859.0</v>
      </c>
      <c r="B3235" s="1">
        <v>16958.0</v>
      </c>
      <c r="C3235" s="1">
        <v>1.61915791E9</v>
      </c>
      <c r="D3235" s="1">
        <v>4.0</v>
      </c>
      <c r="E3235" s="1" t="b">
        <v>0</v>
      </c>
      <c r="F3235" s="1" t="s">
        <v>17087</v>
      </c>
    </row>
    <row r="3236">
      <c r="A3236" s="1">
        <v>49859.0</v>
      </c>
      <c r="B3236" s="1">
        <v>19145.0</v>
      </c>
      <c r="C3236" s="1">
        <v>1.62243859E9</v>
      </c>
      <c r="D3236" s="1">
        <v>4.0</v>
      </c>
      <c r="E3236" s="1" t="b">
        <v>0</v>
      </c>
      <c r="F3236" s="1" t="s">
        <v>17088</v>
      </c>
    </row>
    <row r="3237">
      <c r="A3237" s="1">
        <v>49859.0</v>
      </c>
      <c r="B3237" s="1">
        <v>14032.0</v>
      </c>
      <c r="C3237" s="1">
        <v>1.613484964E9</v>
      </c>
      <c r="D3237" s="1">
        <v>4.0</v>
      </c>
      <c r="E3237" s="1" t="b">
        <v>0</v>
      </c>
      <c r="F3237" s="1" t="s">
        <v>17089</v>
      </c>
    </row>
    <row r="3238">
      <c r="A3238" s="1">
        <v>49859.0</v>
      </c>
      <c r="B3238" s="1">
        <v>16065.0</v>
      </c>
      <c r="C3238" s="1">
        <v>1.615393064E9</v>
      </c>
      <c r="D3238" s="1">
        <v>4.0</v>
      </c>
      <c r="E3238" s="1" t="b">
        <v>0</v>
      </c>
      <c r="F3238" s="1" t="s">
        <v>17090</v>
      </c>
    </row>
    <row r="3239">
      <c r="A3239" s="1">
        <v>49859.0</v>
      </c>
      <c r="B3239" s="1">
        <v>19308.0</v>
      </c>
      <c r="C3239" s="1">
        <v>1.622576655E9</v>
      </c>
      <c r="D3239" s="1">
        <v>4.0</v>
      </c>
      <c r="E3239" s="1" t="b">
        <v>0</v>
      </c>
      <c r="F3239" s="1" t="s">
        <v>17091</v>
      </c>
    </row>
    <row r="3240">
      <c r="A3240" s="1">
        <v>49859.0</v>
      </c>
      <c r="B3240" s="1">
        <v>12362.0</v>
      </c>
      <c r="C3240" s="1">
        <v>1.613661595E9</v>
      </c>
      <c r="D3240" s="1">
        <v>4.0</v>
      </c>
      <c r="E3240" s="1" t="b">
        <v>0</v>
      </c>
      <c r="F3240" s="1" t="s">
        <v>16132</v>
      </c>
    </row>
    <row r="3241">
      <c r="A3241" s="1">
        <v>49859.0</v>
      </c>
      <c r="B3241" s="1">
        <v>15269.0</v>
      </c>
      <c r="C3241" s="1">
        <v>1.614420731E9</v>
      </c>
      <c r="D3241" s="1">
        <v>4.0</v>
      </c>
      <c r="E3241" s="1" t="b">
        <v>0</v>
      </c>
      <c r="F3241" s="1" t="s">
        <v>17092</v>
      </c>
    </row>
    <row r="3242">
      <c r="A3242" s="1">
        <v>49859.0</v>
      </c>
      <c r="B3242" s="1">
        <v>11237.0</v>
      </c>
      <c r="C3242" s="1">
        <v>1.612719246E9</v>
      </c>
      <c r="D3242" s="1">
        <v>4.0</v>
      </c>
      <c r="E3242" s="1" t="b">
        <v>0</v>
      </c>
      <c r="F3242" s="1" t="s">
        <v>17093</v>
      </c>
    </row>
    <row r="3243">
      <c r="A3243" s="1">
        <v>49859.0</v>
      </c>
      <c r="B3243" s="1">
        <v>17320.0</v>
      </c>
      <c r="C3243" s="1">
        <v>1.622448121E9</v>
      </c>
      <c r="D3243" s="1">
        <v>4.0</v>
      </c>
      <c r="E3243" s="1" t="b">
        <v>0</v>
      </c>
      <c r="F3243" s="1" t="s">
        <v>17094</v>
      </c>
    </row>
    <row r="3244">
      <c r="A3244" s="1">
        <v>49859.0</v>
      </c>
      <c r="B3244" s="1">
        <v>16936.0</v>
      </c>
      <c r="C3244" s="1">
        <v>1.618723017E9</v>
      </c>
      <c r="D3244" s="1">
        <v>4.0</v>
      </c>
      <c r="E3244" s="1" t="b">
        <v>0</v>
      </c>
      <c r="F3244" s="1" t="s">
        <v>17095</v>
      </c>
    </row>
    <row r="3245">
      <c r="A3245" s="1">
        <v>49859.0</v>
      </c>
      <c r="B3245" s="1">
        <v>19777.0</v>
      </c>
      <c r="C3245" s="1">
        <v>1.624192185E9</v>
      </c>
      <c r="D3245" s="1">
        <v>4.0</v>
      </c>
      <c r="E3245" s="1" t="b">
        <v>0</v>
      </c>
      <c r="F3245" s="1" t="s">
        <v>17096</v>
      </c>
    </row>
    <row r="3246">
      <c r="A3246" s="1">
        <v>49859.0</v>
      </c>
      <c r="B3246" s="1">
        <v>15543.0</v>
      </c>
      <c r="C3246" s="1">
        <v>1.614683466E9</v>
      </c>
      <c r="D3246" s="1">
        <v>4.0</v>
      </c>
      <c r="E3246" s="1" t="b">
        <v>0</v>
      </c>
      <c r="F3246" s="1" t="s">
        <v>17097</v>
      </c>
    </row>
    <row r="3247">
      <c r="A3247" s="1">
        <v>49859.0</v>
      </c>
      <c r="B3247" s="1">
        <v>11959.0</v>
      </c>
      <c r="C3247" s="1">
        <v>1.6151931E9</v>
      </c>
      <c r="D3247" s="1">
        <v>4.0</v>
      </c>
      <c r="E3247" s="1" t="b">
        <v>0</v>
      </c>
      <c r="F3247" s="1" t="s">
        <v>17098</v>
      </c>
    </row>
    <row r="3248">
      <c r="A3248" s="1">
        <v>49859.0</v>
      </c>
      <c r="B3248" s="1">
        <v>12235.0</v>
      </c>
      <c r="C3248" s="1">
        <v>1.612937798E9</v>
      </c>
      <c r="D3248" s="1">
        <v>4.0</v>
      </c>
      <c r="E3248" s="1" t="b">
        <v>0</v>
      </c>
      <c r="F3248" s="1" t="s">
        <v>17099</v>
      </c>
    </row>
    <row r="3249">
      <c r="A3249" s="1">
        <v>49859.0</v>
      </c>
      <c r="B3249" s="1">
        <v>20368.0</v>
      </c>
      <c r="C3249" s="1">
        <v>1.62422128E9</v>
      </c>
      <c r="D3249" s="1">
        <v>9.0</v>
      </c>
      <c r="E3249" s="1" t="b">
        <v>0</v>
      </c>
      <c r="F3249" s="1" t="s">
        <v>17100</v>
      </c>
    </row>
    <row r="3250">
      <c r="A3250" s="1">
        <v>49859.0</v>
      </c>
      <c r="B3250" s="1">
        <v>11468.0</v>
      </c>
      <c r="C3250" s="1">
        <v>1.612785056E9</v>
      </c>
      <c r="D3250" s="1">
        <v>4.0</v>
      </c>
      <c r="E3250" s="1" t="b">
        <v>0</v>
      </c>
      <c r="F3250" s="1" t="s">
        <v>17101</v>
      </c>
    </row>
    <row r="3251">
      <c r="A3251" s="1">
        <v>49859.0</v>
      </c>
      <c r="B3251" s="1">
        <v>15155.0</v>
      </c>
      <c r="C3251" s="1">
        <v>1.614319399E9</v>
      </c>
      <c r="D3251" s="1">
        <v>4.0</v>
      </c>
      <c r="E3251" s="1" t="b">
        <v>0</v>
      </c>
      <c r="F3251" s="1" t="s">
        <v>17102</v>
      </c>
    </row>
    <row r="3252">
      <c r="A3252" s="1">
        <v>49859.0</v>
      </c>
      <c r="B3252" s="1">
        <v>14558.0</v>
      </c>
      <c r="C3252" s="1">
        <v>1.614098719E9</v>
      </c>
      <c r="D3252" s="1">
        <v>4.0</v>
      </c>
      <c r="E3252" s="1" t="b">
        <v>0</v>
      </c>
      <c r="F3252" s="1" t="s">
        <v>17103</v>
      </c>
    </row>
    <row r="3253">
      <c r="A3253" s="1">
        <v>49859.0</v>
      </c>
      <c r="B3253" s="1">
        <v>15523.0</v>
      </c>
      <c r="C3253" s="1">
        <v>1.614683462E9</v>
      </c>
      <c r="D3253" s="1">
        <v>4.0</v>
      </c>
      <c r="E3253" s="1" t="b">
        <v>0</v>
      </c>
      <c r="F3253" s="1" t="s">
        <v>17104</v>
      </c>
    </row>
    <row r="3254">
      <c r="A3254" s="1">
        <v>49859.0</v>
      </c>
      <c r="B3254" s="1">
        <v>20114.0</v>
      </c>
      <c r="C3254" s="1">
        <v>1.623809103E9</v>
      </c>
      <c r="D3254" s="1">
        <v>4.0</v>
      </c>
      <c r="E3254" s="1" t="b">
        <v>0</v>
      </c>
      <c r="F3254" s="1" t="s">
        <v>17105</v>
      </c>
    </row>
    <row r="3255">
      <c r="A3255" s="1">
        <v>49859.0</v>
      </c>
      <c r="B3255" s="1">
        <v>17366.0</v>
      </c>
      <c r="C3255" s="1">
        <v>1.619587428E9</v>
      </c>
      <c r="D3255" s="1">
        <v>4.0</v>
      </c>
      <c r="E3255" s="1" t="b">
        <v>0</v>
      </c>
      <c r="F3255" s="1" t="s">
        <v>17106</v>
      </c>
    </row>
    <row r="3256">
      <c r="A3256" s="1">
        <v>49859.0</v>
      </c>
      <c r="B3256" s="1">
        <v>19296.0</v>
      </c>
      <c r="C3256" s="1">
        <v>1.62256616E9</v>
      </c>
      <c r="D3256" s="1">
        <v>4.0</v>
      </c>
      <c r="E3256" s="1" t="b">
        <v>0</v>
      </c>
      <c r="F3256" s="1" t="s">
        <v>17107</v>
      </c>
    </row>
    <row r="3257">
      <c r="A3257" s="1">
        <v>49859.0</v>
      </c>
      <c r="B3257" s="1">
        <v>17013.0</v>
      </c>
      <c r="C3257" s="1">
        <v>1.622375979E9</v>
      </c>
      <c r="D3257" s="1">
        <v>4.0</v>
      </c>
      <c r="E3257" s="1" t="b">
        <v>0</v>
      </c>
      <c r="F3257" s="1" t="s">
        <v>17108</v>
      </c>
    </row>
    <row r="3258">
      <c r="A3258" s="1">
        <v>49859.0</v>
      </c>
      <c r="B3258" s="1">
        <v>20275.0</v>
      </c>
      <c r="C3258" s="1">
        <v>1.624026415E9</v>
      </c>
      <c r="D3258" s="1">
        <v>4.0</v>
      </c>
      <c r="E3258" s="1" t="b">
        <v>0</v>
      </c>
      <c r="F3258" s="1" t="s">
        <v>17109</v>
      </c>
    </row>
    <row r="3259">
      <c r="A3259" s="1">
        <v>49859.0</v>
      </c>
      <c r="B3259" s="1">
        <v>15535.0</v>
      </c>
      <c r="C3259" s="1">
        <v>1.614683468E9</v>
      </c>
      <c r="D3259" s="1">
        <v>4.0</v>
      </c>
      <c r="E3259" s="1" t="b">
        <v>0</v>
      </c>
      <c r="F3259" s="1" t="s">
        <v>17110</v>
      </c>
    </row>
    <row r="3260">
      <c r="A3260" s="1">
        <v>49859.0</v>
      </c>
      <c r="B3260" s="1">
        <v>10306.0</v>
      </c>
      <c r="C3260" s="1">
        <v>1.61251628E9</v>
      </c>
      <c r="D3260" s="1">
        <v>4.0</v>
      </c>
      <c r="E3260" s="1" t="b">
        <v>0</v>
      </c>
      <c r="F3260" s="1" t="s">
        <v>17111</v>
      </c>
    </row>
    <row r="3261">
      <c r="A3261" s="1">
        <v>49859.0</v>
      </c>
      <c r="B3261" s="1">
        <v>19186.0</v>
      </c>
      <c r="C3261" s="1">
        <v>1.622465185E9</v>
      </c>
      <c r="D3261" s="1">
        <v>4.0</v>
      </c>
      <c r="E3261" s="1" t="b">
        <v>0</v>
      </c>
      <c r="F3261" s="1" t="s">
        <v>17112</v>
      </c>
    </row>
    <row r="3262">
      <c r="A3262" s="1">
        <v>49859.0</v>
      </c>
      <c r="B3262" s="1">
        <v>3734.0</v>
      </c>
      <c r="C3262" s="1">
        <v>1.610734549E9</v>
      </c>
      <c r="D3262" s="1">
        <v>4.0</v>
      </c>
      <c r="E3262" s="1" t="b">
        <v>0</v>
      </c>
      <c r="F3262" s="1" t="s">
        <v>17113</v>
      </c>
    </row>
    <row r="3263">
      <c r="A3263" s="1">
        <v>49859.0</v>
      </c>
      <c r="B3263" s="1">
        <v>11903.0</v>
      </c>
      <c r="C3263" s="1">
        <v>1.61289072E9</v>
      </c>
      <c r="D3263" s="1">
        <v>4.0</v>
      </c>
      <c r="E3263" s="1" t="b">
        <v>0</v>
      </c>
      <c r="F3263" s="1" t="s">
        <v>17114</v>
      </c>
    </row>
    <row r="3264">
      <c r="A3264" s="1">
        <v>49859.0</v>
      </c>
      <c r="B3264" s="1">
        <v>18718.0</v>
      </c>
      <c r="C3264" s="1">
        <v>1.621871098E9</v>
      </c>
      <c r="D3264" s="1">
        <v>4.0</v>
      </c>
      <c r="E3264" s="1" t="b">
        <v>0</v>
      </c>
      <c r="F3264" s="1" t="s">
        <v>17115</v>
      </c>
    </row>
    <row r="3265">
      <c r="A3265" s="1">
        <v>49859.0</v>
      </c>
      <c r="B3265" s="1">
        <v>17866.0</v>
      </c>
      <c r="C3265" s="1">
        <v>1.620612941E9</v>
      </c>
      <c r="D3265" s="1">
        <v>4.0</v>
      </c>
      <c r="E3265" s="1" t="b">
        <v>0</v>
      </c>
      <c r="F3265" s="1" t="s">
        <v>17116</v>
      </c>
    </row>
    <row r="3266">
      <c r="A3266" s="1">
        <v>49859.0</v>
      </c>
      <c r="B3266" s="1">
        <v>13164.0</v>
      </c>
      <c r="C3266" s="1">
        <v>1.613197754E9</v>
      </c>
      <c r="D3266" s="1">
        <v>4.0</v>
      </c>
      <c r="E3266" s="1" t="b">
        <v>0</v>
      </c>
      <c r="F3266" s="1" t="s">
        <v>17117</v>
      </c>
    </row>
    <row r="3267">
      <c r="A3267" s="1">
        <v>49859.0</v>
      </c>
      <c r="B3267" s="1">
        <v>20390.0</v>
      </c>
      <c r="C3267" s="1">
        <v>1.624276481E9</v>
      </c>
      <c r="D3267" s="1">
        <v>9.0</v>
      </c>
      <c r="E3267" s="1" t="b">
        <v>0</v>
      </c>
      <c r="F3267" s="1" t="s">
        <v>17118</v>
      </c>
    </row>
    <row r="3268">
      <c r="A3268" s="1">
        <v>49859.0</v>
      </c>
      <c r="B3268" s="1">
        <v>15308.0</v>
      </c>
      <c r="C3268" s="1">
        <v>1.614432375E9</v>
      </c>
      <c r="D3268" s="1">
        <v>4.0</v>
      </c>
      <c r="E3268" s="1" t="b">
        <v>0</v>
      </c>
      <c r="F3268" s="1" t="s">
        <v>17119</v>
      </c>
    </row>
    <row r="3269">
      <c r="A3269" s="1">
        <v>49859.0</v>
      </c>
      <c r="B3269" s="1">
        <v>18257.0</v>
      </c>
      <c r="C3269" s="1">
        <v>1.622396401E9</v>
      </c>
      <c r="D3269" s="1">
        <v>4.0</v>
      </c>
      <c r="E3269" s="1" t="b">
        <v>0</v>
      </c>
      <c r="F3269" s="1" t="s">
        <v>17120</v>
      </c>
    </row>
    <row r="3270">
      <c r="A3270" s="1">
        <v>49859.0</v>
      </c>
      <c r="B3270" s="1">
        <v>3599.0</v>
      </c>
      <c r="C3270" s="1">
        <v>1.610639886E9</v>
      </c>
      <c r="D3270" s="1">
        <v>9.0</v>
      </c>
      <c r="E3270" s="1" t="b">
        <v>0</v>
      </c>
      <c r="F3270" s="1" t="s">
        <v>17121</v>
      </c>
    </row>
    <row r="3271">
      <c r="A3271" s="1">
        <v>49859.0</v>
      </c>
      <c r="B3271" s="1">
        <v>16166.0</v>
      </c>
      <c r="C3271" s="1">
        <v>1.615658319E9</v>
      </c>
      <c r="D3271" s="1">
        <v>4.0</v>
      </c>
      <c r="E3271" s="1" t="b">
        <v>0</v>
      </c>
      <c r="F3271" s="1" t="s">
        <v>17122</v>
      </c>
    </row>
    <row r="3272">
      <c r="A3272" s="1">
        <v>49859.0</v>
      </c>
      <c r="B3272" s="1">
        <v>20046.0</v>
      </c>
      <c r="C3272" s="1">
        <v>1.623680718E9</v>
      </c>
      <c r="D3272" s="1">
        <v>4.0</v>
      </c>
      <c r="E3272" s="1" t="b">
        <v>0</v>
      </c>
      <c r="F3272" s="1" t="s">
        <v>17123</v>
      </c>
    </row>
    <row r="3273">
      <c r="A3273" s="1">
        <v>49859.0</v>
      </c>
      <c r="B3273" s="1">
        <v>12238.0</v>
      </c>
      <c r="C3273" s="1">
        <v>1.6129378E9</v>
      </c>
      <c r="D3273" s="1">
        <v>4.0</v>
      </c>
      <c r="E3273" s="1" t="b">
        <v>0</v>
      </c>
      <c r="F3273" s="1" t="s">
        <v>17124</v>
      </c>
    </row>
    <row r="3274">
      <c r="A3274" s="1">
        <v>49859.0</v>
      </c>
      <c r="B3274" s="1">
        <v>13723.0</v>
      </c>
      <c r="C3274" s="1">
        <v>1.61337305E9</v>
      </c>
      <c r="D3274" s="1">
        <v>4.0</v>
      </c>
      <c r="E3274" s="1" t="b">
        <v>0</v>
      </c>
      <c r="F3274" s="1" t="s">
        <v>17125</v>
      </c>
    </row>
    <row r="3275">
      <c r="A3275" s="1">
        <v>49859.0</v>
      </c>
      <c r="B3275" s="1">
        <v>14168.0</v>
      </c>
      <c r="C3275" s="1">
        <v>1.613570257E9</v>
      </c>
      <c r="D3275" s="1">
        <v>4.0</v>
      </c>
      <c r="E3275" s="1" t="b">
        <v>0</v>
      </c>
      <c r="F3275" s="1" t="s">
        <v>16475</v>
      </c>
    </row>
    <row r="3276">
      <c r="A3276" s="1">
        <v>49859.0</v>
      </c>
      <c r="B3276" s="1">
        <v>17597.0</v>
      </c>
      <c r="C3276" s="1">
        <v>1.620290746E9</v>
      </c>
      <c r="D3276" s="1">
        <v>4.0</v>
      </c>
      <c r="E3276" s="1" t="b">
        <v>0</v>
      </c>
      <c r="F3276" s="1" t="s">
        <v>17126</v>
      </c>
    </row>
    <row r="3277">
      <c r="A3277" s="1">
        <v>49859.0</v>
      </c>
      <c r="B3277" s="1">
        <v>620.0</v>
      </c>
      <c r="C3277" s="1">
        <v>1.61848814E9</v>
      </c>
      <c r="D3277" s="1">
        <v>4.0</v>
      </c>
      <c r="E3277" s="1" t="b">
        <v>0</v>
      </c>
      <c r="F3277" s="1" t="s">
        <v>14214</v>
      </c>
    </row>
    <row r="3278">
      <c r="A3278" s="1">
        <v>49859.0</v>
      </c>
      <c r="B3278" s="1">
        <v>19246.0</v>
      </c>
      <c r="C3278" s="1">
        <v>1.622528749E9</v>
      </c>
      <c r="D3278" s="1">
        <v>9.0</v>
      </c>
      <c r="E3278" s="1" t="b">
        <v>0</v>
      </c>
      <c r="F3278" s="1" t="s">
        <v>17127</v>
      </c>
    </row>
    <row r="3279">
      <c r="A3279" s="1">
        <v>49859.0</v>
      </c>
      <c r="B3279" s="1">
        <v>16097.0</v>
      </c>
      <c r="C3279" s="1">
        <v>1.61549257E9</v>
      </c>
      <c r="D3279" s="1">
        <v>4.0</v>
      </c>
      <c r="E3279" s="1" t="b">
        <v>0</v>
      </c>
      <c r="F3279" s="1" t="s">
        <v>17128</v>
      </c>
    </row>
    <row r="3280">
      <c r="A3280" s="1">
        <v>49859.0</v>
      </c>
      <c r="B3280" s="1">
        <v>11005.0</v>
      </c>
      <c r="C3280" s="1">
        <v>1.612719251E9</v>
      </c>
      <c r="D3280" s="1">
        <v>4.0</v>
      </c>
      <c r="E3280" s="1" t="b">
        <v>0</v>
      </c>
      <c r="F3280" s="1" t="s">
        <v>17129</v>
      </c>
    </row>
    <row r="3281">
      <c r="A3281" s="1">
        <v>49859.0</v>
      </c>
      <c r="B3281" s="1">
        <v>15606.0</v>
      </c>
      <c r="C3281" s="1">
        <v>1.614865747E9</v>
      </c>
      <c r="D3281" s="1">
        <v>4.0</v>
      </c>
      <c r="E3281" s="1" t="b">
        <v>0</v>
      </c>
      <c r="F3281" s="1" t="s">
        <v>17130</v>
      </c>
    </row>
    <row r="3282">
      <c r="A3282" s="1">
        <v>49859.0</v>
      </c>
      <c r="B3282" s="1">
        <v>12948.0</v>
      </c>
      <c r="C3282" s="1">
        <v>1.613323933E9</v>
      </c>
      <c r="D3282" s="1">
        <v>4.0</v>
      </c>
      <c r="E3282" s="1" t="b">
        <v>0</v>
      </c>
      <c r="F3282" s="1" t="s">
        <v>17131</v>
      </c>
    </row>
    <row r="3283">
      <c r="A3283" s="1">
        <v>49859.0</v>
      </c>
      <c r="B3283" s="1">
        <v>16151.0</v>
      </c>
      <c r="C3283" s="1">
        <v>1.615605447E9</v>
      </c>
      <c r="D3283" s="1">
        <v>4.0</v>
      </c>
      <c r="E3283" s="1" t="b">
        <v>0</v>
      </c>
      <c r="F3283" s="1" t="s">
        <v>17132</v>
      </c>
    </row>
    <row r="3284">
      <c r="A3284" s="1">
        <v>49859.0</v>
      </c>
      <c r="B3284" s="1">
        <v>16160.0</v>
      </c>
      <c r="C3284" s="1">
        <v>1.615608969E9</v>
      </c>
      <c r="D3284" s="1">
        <v>4.0</v>
      </c>
      <c r="E3284" s="1" t="b">
        <v>0</v>
      </c>
      <c r="F3284" s="1" t="s">
        <v>17133</v>
      </c>
    </row>
    <row r="3285">
      <c r="A3285" s="1">
        <v>49859.0</v>
      </c>
      <c r="B3285" s="1">
        <v>19029.0</v>
      </c>
      <c r="C3285" s="1">
        <v>1.622289176E9</v>
      </c>
      <c r="D3285" s="1">
        <v>4.0</v>
      </c>
      <c r="E3285" s="1" t="b">
        <v>0</v>
      </c>
      <c r="F3285" s="1" t="s">
        <v>17134</v>
      </c>
    </row>
    <row r="3286">
      <c r="A3286" s="1">
        <v>49859.0</v>
      </c>
      <c r="B3286" s="1">
        <v>16145.0</v>
      </c>
      <c r="C3286" s="1">
        <v>1.615605441E9</v>
      </c>
      <c r="D3286" s="1">
        <v>4.0</v>
      </c>
      <c r="E3286" s="1" t="b">
        <v>0</v>
      </c>
      <c r="F3286" s="1" t="s">
        <v>17135</v>
      </c>
    </row>
    <row r="3287">
      <c r="A3287" s="1">
        <v>49859.0</v>
      </c>
      <c r="B3287" s="1">
        <v>11381.0</v>
      </c>
      <c r="C3287" s="1">
        <v>1.61275201E9</v>
      </c>
      <c r="D3287" s="1">
        <v>4.0</v>
      </c>
      <c r="E3287" s="1" t="b">
        <v>0</v>
      </c>
      <c r="F3287" s="1" t="s">
        <v>17136</v>
      </c>
    </row>
    <row r="3288">
      <c r="A3288" s="1">
        <v>49859.0</v>
      </c>
      <c r="B3288" s="1">
        <v>12285.0</v>
      </c>
      <c r="C3288" s="1">
        <v>1.612946801E9</v>
      </c>
      <c r="D3288" s="1">
        <v>4.0</v>
      </c>
      <c r="E3288" s="1" t="b">
        <v>0</v>
      </c>
      <c r="F3288" s="1" t="s">
        <v>17137</v>
      </c>
    </row>
    <row r="3289">
      <c r="A3289" s="1">
        <v>49859.0</v>
      </c>
      <c r="B3289" s="1">
        <v>13977.0</v>
      </c>
      <c r="C3289" s="1">
        <v>1.613420365E9</v>
      </c>
      <c r="D3289" s="1">
        <v>4.0</v>
      </c>
      <c r="E3289" s="1" t="b">
        <v>0</v>
      </c>
      <c r="F3289" s="1" t="s">
        <v>17138</v>
      </c>
    </row>
    <row r="3290">
      <c r="A3290" s="1">
        <v>49859.0</v>
      </c>
      <c r="B3290" s="1">
        <v>17852.0</v>
      </c>
      <c r="C3290" s="1">
        <v>1.620582274E9</v>
      </c>
      <c r="D3290" s="1">
        <v>4.0</v>
      </c>
      <c r="E3290" s="1" t="b">
        <v>0</v>
      </c>
      <c r="F3290" s="1" t="s">
        <v>17139</v>
      </c>
    </row>
    <row r="3291">
      <c r="A3291" s="1">
        <v>49859.0</v>
      </c>
      <c r="B3291" s="1">
        <v>17840.0</v>
      </c>
      <c r="C3291" s="1">
        <v>1.622792104E9</v>
      </c>
      <c r="D3291" s="1">
        <v>4.0</v>
      </c>
      <c r="E3291" s="1" t="b">
        <v>0</v>
      </c>
      <c r="F3291" s="1" t="s">
        <v>17140</v>
      </c>
    </row>
    <row r="3292">
      <c r="A3292" s="1">
        <v>49859.0</v>
      </c>
      <c r="B3292" s="1">
        <v>18889.0</v>
      </c>
      <c r="C3292" s="1">
        <v>1.622099216E9</v>
      </c>
      <c r="D3292" s="1">
        <v>9.0</v>
      </c>
      <c r="E3292" s="1" t="b">
        <v>0</v>
      </c>
      <c r="F3292" s="1" t="s">
        <v>17141</v>
      </c>
    </row>
    <row r="3293">
      <c r="A3293" s="1">
        <v>49859.0</v>
      </c>
      <c r="B3293" s="1">
        <v>10723.0</v>
      </c>
      <c r="C3293" s="1">
        <v>1.612598485E9</v>
      </c>
      <c r="D3293" s="1">
        <v>4.0</v>
      </c>
      <c r="E3293" s="1" t="b">
        <v>0</v>
      </c>
      <c r="F3293" s="1" t="s">
        <v>17142</v>
      </c>
    </row>
    <row r="3294">
      <c r="A3294" s="1">
        <v>49859.0</v>
      </c>
      <c r="B3294" s="1">
        <v>15534.0</v>
      </c>
      <c r="C3294" s="1">
        <v>1.614683467E9</v>
      </c>
      <c r="D3294" s="1">
        <v>4.0</v>
      </c>
      <c r="E3294" s="1" t="b">
        <v>0</v>
      </c>
      <c r="F3294" s="1" t="s">
        <v>14391</v>
      </c>
    </row>
    <row r="3295">
      <c r="A3295" s="1">
        <v>49859.0</v>
      </c>
      <c r="B3295" s="1">
        <v>16820.0</v>
      </c>
      <c r="C3295" s="1">
        <v>1.618399274E9</v>
      </c>
      <c r="D3295" s="1">
        <v>4.0</v>
      </c>
      <c r="E3295" s="1" t="b">
        <v>0</v>
      </c>
      <c r="F3295" s="1" t="s">
        <v>17143</v>
      </c>
    </row>
    <row r="3296">
      <c r="A3296" s="1">
        <v>49859.0</v>
      </c>
      <c r="B3296" s="1">
        <v>16017.0</v>
      </c>
      <c r="C3296" s="1">
        <v>1.61530484E9</v>
      </c>
      <c r="D3296" s="1">
        <v>4.0</v>
      </c>
      <c r="E3296" s="1" t="b">
        <v>0</v>
      </c>
      <c r="F3296" s="1" t="s">
        <v>17144</v>
      </c>
    </row>
    <row r="3297">
      <c r="A3297" s="1">
        <v>49859.0</v>
      </c>
      <c r="B3297" s="1">
        <v>15079.0</v>
      </c>
      <c r="C3297" s="1">
        <v>1.614266142E9</v>
      </c>
      <c r="D3297" s="1">
        <v>4.0</v>
      </c>
      <c r="E3297" s="1" t="b">
        <v>0</v>
      </c>
      <c r="F3297" s="1" t="s">
        <v>17145</v>
      </c>
    </row>
    <row r="3298">
      <c r="A3298" s="1">
        <v>49859.0</v>
      </c>
      <c r="B3298" s="1">
        <v>19857.0</v>
      </c>
      <c r="C3298" s="1">
        <v>1.623463329E9</v>
      </c>
      <c r="D3298" s="1">
        <v>4.0</v>
      </c>
      <c r="E3298" s="1" t="b">
        <v>0</v>
      </c>
      <c r="F3298" s="1" t="s">
        <v>17146</v>
      </c>
    </row>
    <row r="3299">
      <c r="A3299" s="1">
        <v>49859.0</v>
      </c>
      <c r="B3299" s="1">
        <v>15234.0</v>
      </c>
      <c r="C3299" s="1">
        <v>1.614420733E9</v>
      </c>
      <c r="D3299" s="1">
        <v>4.0</v>
      </c>
      <c r="E3299" s="1" t="b">
        <v>0</v>
      </c>
      <c r="F3299" s="1" t="s">
        <v>17147</v>
      </c>
    </row>
    <row r="3300">
      <c r="A3300" s="1">
        <v>49859.0</v>
      </c>
      <c r="B3300" s="1">
        <v>12567.0</v>
      </c>
      <c r="C3300" s="1">
        <v>1.61302337E9</v>
      </c>
      <c r="D3300" s="1">
        <v>4.0</v>
      </c>
      <c r="E3300" s="1" t="b">
        <v>0</v>
      </c>
      <c r="F3300" s="1" t="s">
        <v>14238</v>
      </c>
    </row>
    <row r="3301">
      <c r="A3301" s="1">
        <v>49859.0</v>
      </c>
      <c r="B3301" s="1">
        <v>17775.0</v>
      </c>
      <c r="C3301" s="1">
        <v>1.620515963E9</v>
      </c>
      <c r="D3301" s="1">
        <v>4.0</v>
      </c>
      <c r="E3301" s="1" t="b">
        <v>0</v>
      </c>
      <c r="F3301" s="1" t="s">
        <v>17148</v>
      </c>
    </row>
    <row r="3302">
      <c r="A3302" s="1">
        <v>49859.0</v>
      </c>
      <c r="B3302" s="1">
        <v>19136.0</v>
      </c>
      <c r="C3302" s="1">
        <v>1.622429757E9</v>
      </c>
      <c r="D3302" s="1">
        <v>4.0</v>
      </c>
      <c r="E3302" s="1" t="b">
        <v>0</v>
      </c>
      <c r="F3302" s="1" t="s">
        <v>17149</v>
      </c>
    </row>
    <row r="3303">
      <c r="A3303" s="1">
        <v>49859.0</v>
      </c>
      <c r="B3303" s="1">
        <v>16153.0</v>
      </c>
      <c r="C3303" s="1">
        <v>1.615605451E9</v>
      </c>
      <c r="D3303" s="1">
        <v>4.0</v>
      </c>
      <c r="E3303" s="1" t="b">
        <v>0</v>
      </c>
      <c r="F3303" s="1" t="s">
        <v>17150</v>
      </c>
    </row>
    <row r="3304">
      <c r="A3304" s="1">
        <v>49859.0</v>
      </c>
      <c r="B3304" s="1">
        <v>18752.0</v>
      </c>
      <c r="C3304" s="1">
        <v>1.621925056E9</v>
      </c>
      <c r="D3304" s="1">
        <v>4.0</v>
      </c>
      <c r="E3304" s="1" t="b">
        <v>0</v>
      </c>
      <c r="F3304" s="1" t="s">
        <v>17151</v>
      </c>
    </row>
    <row r="3305">
      <c r="A3305" s="1">
        <v>49859.0</v>
      </c>
      <c r="B3305" s="1">
        <v>19386.0</v>
      </c>
      <c r="C3305" s="1">
        <v>1.62265216E9</v>
      </c>
      <c r="D3305" s="1">
        <v>9.0</v>
      </c>
      <c r="E3305" s="1" t="b">
        <v>0</v>
      </c>
      <c r="F3305" s="1" t="s">
        <v>17152</v>
      </c>
    </row>
    <row r="3306">
      <c r="A3306" s="1">
        <v>49859.0</v>
      </c>
      <c r="B3306" s="1">
        <v>15937.0</v>
      </c>
      <c r="C3306" s="1">
        <v>1.615193097E9</v>
      </c>
      <c r="D3306" s="1">
        <v>4.0</v>
      </c>
      <c r="E3306" s="1" t="b">
        <v>0</v>
      </c>
      <c r="F3306" s="1" t="s">
        <v>17153</v>
      </c>
    </row>
    <row r="3307">
      <c r="A3307" s="1">
        <v>49859.0</v>
      </c>
      <c r="B3307" s="1">
        <v>17169.0</v>
      </c>
      <c r="C3307" s="1">
        <v>1.619157903E9</v>
      </c>
      <c r="D3307" s="1">
        <v>4.0</v>
      </c>
      <c r="E3307" s="1" t="b">
        <v>0</v>
      </c>
      <c r="F3307" s="1" t="s">
        <v>17154</v>
      </c>
    </row>
    <row r="3308">
      <c r="A3308" s="1">
        <v>49859.0</v>
      </c>
      <c r="B3308" s="1">
        <v>11216.0</v>
      </c>
      <c r="C3308" s="1">
        <v>1.615180288E9</v>
      </c>
      <c r="D3308" s="1">
        <v>4.0</v>
      </c>
      <c r="E3308" s="1" t="b">
        <v>0</v>
      </c>
      <c r="F3308" s="1" t="s">
        <v>17155</v>
      </c>
    </row>
    <row r="3309">
      <c r="A3309" s="1">
        <v>49859.0</v>
      </c>
      <c r="B3309" s="1">
        <v>15908.0</v>
      </c>
      <c r="C3309" s="1">
        <v>1.615142621E9</v>
      </c>
      <c r="D3309" s="1">
        <v>4.0</v>
      </c>
      <c r="E3309" s="1" t="b">
        <v>0</v>
      </c>
      <c r="F3309" s="1" t="s">
        <v>17156</v>
      </c>
    </row>
    <row r="3310">
      <c r="A3310" s="1">
        <v>49859.0</v>
      </c>
      <c r="B3310" s="1">
        <v>15516.0</v>
      </c>
      <c r="C3310" s="1">
        <v>1.614623309E9</v>
      </c>
      <c r="D3310" s="1">
        <v>4.0</v>
      </c>
      <c r="E3310" s="1" t="b">
        <v>0</v>
      </c>
      <c r="F3310" s="1" t="s">
        <v>17157</v>
      </c>
    </row>
    <row r="3311">
      <c r="A3311" s="1">
        <v>49859.0</v>
      </c>
      <c r="B3311" s="1">
        <v>18667.0</v>
      </c>
      <c r="C3311" s="1">
        <v>1.621830165E9</v>
      </c>
      <c r="D3311" s="1">
        <v>4.0</v>
      </c>
      <c r="E3311" s="1" t="b">
        <v>0</v>
      </c>
      <c r="F3311" s="1" t="s">
        <v>17158</v>
      </c>
    </row>
    <row r="3312">
      <c r="A3312" s="1">
        <v>49859.0</v>
      </c>
      <c r="B3312" s="1">
        <v>20287.0</v>
      </c>
      <c r="C3312" s="1">
        <v>1.624039679E9</v>
      </c>
      <c r="D3312" s="1">
        <v>4.0</v>
      </c>
      <c r="E3312" s="1" t="b">
        <v>0</v>
      </c>
      <c r="F3312" s="1" t="s">
        <v>17159</v>
      </c>
    </row>
    <row r="3313">
      <c r="A3313" s="1">
        <v>49859.0</v>
      </c>
      <c r="B3313" s="1">
        <v>14920.0</v>
      </c>
      <c r="C3313" s="1">
        <v>1.614538708E9</v>
      </c>
      <c r="D3313" s="1">
        <v>4.0</v>
      </c>
      <c r="E3313" s="1" t="b">
        <v>0</v>
      </c>
      <c r="F3313" s="1" t="s">
        <v>17160</v>
      </c>
    </row>
    <row r="3314">
      <c r="A3314" s="1">
        <v>49859.0</v>
      </c>
      <c r="B3314" s="1">
        <v>11257.0</v>
      </c>
      <c r="C3314" s="1">
        <v>1.612719248E9</v>
      </c>
      <c r="D3314" s="1">
        <v>4.0</v>
      </c>
      <c r="E3314" s="1" t="b">
        <v>0</v>
      </c>
      <c r="F3314" s="1" t="s">
        <v>17161</v>
      </c>
    </row>
    <row r="3315">
      <c r="A3315" s="1">
        <v>49859.0</v>
      </c>
      <c r="B3315" s="1">
        <v>18359.0</v>
      </c>
      <c r="C3315" s="1">
        <v>1.622617445E9</v>
      </c>
      <c r="D3315" s="1">
        <v>4.0</v>
      </c>
      <c r="E3315" s="1" t="b">
        <v>0</v>
      </c>
      <c r="F3315" s="1" t="s">
        <v>17162</v>
      </c>
    </row>
    <row r="3316">
      <c r="A3316" s="1">
        <v>49859.0</v>
      </c>
      <c r="B3316" s="1">
        <v>19337.0</v>
      </c>
      <c r="C3316" s="1">
        <v>1.622616841E9</v>
      </c>
      <c r="D3316" s="1">
        <v>4.0</v>
      </c>
      <c r="E3316" s="1" t="b">
        <v>0</v>
      </c>
      <c r="F3316" s="1" t="s">
        <v>17163</v>
      </c>
    </row>
    <row r="3317">
      <c r="A3317" s="1">
        <v>49859.0</v>
      </c>
      <c r="B3317" s="1">
        <v>11555.0</v>
      </c>
      <c r="C3317" s="1">
        <v>1.612785053E9</v>
      </c>
      <c r="D3317" s="1">
        <v>4.0</v>
      </c>
      <c r="E3317" s="1" t="b">
        <v>0</v>
      </c>
      <c r="F3317" s="1" t="s">
        <v>17164</v>
      </c>
    </row>
    <row r="3318">
      <c r="A3318" s="1">
        <v>49859.0</v>
      </c>
      <c r="B3318" s="1">
        <v>9586.0</v>
      </c>
      <c r="C3318" s="1">
        <v>1.613204717E9</v>
      </c>
      <c r="D3318" s="1">
        <v>4.0</v>
      </c>
      <c r="E3318" s="1" t="b">
        <v>0</v>
      </c>
      <c r="F3318" s="1" t="s">
        <v>17165</v>
      </c>
    </row>
    <row r="3319">
      <c r="A3319" s="1">
        <v>49859.0</v>
      </c>
      <c r="B3319" s="1">
        <v>19973.0</v>
      </c>
      <c r="C3319" s="1">
        <v>1.623670963E9</v>
      </c>
      <c r="D3319" s="1">
        <v>4.0</v>
      </c>
      <c r="E3319" s="1" t="b">
        <v>0</v>
      </c>
      <c r="F3319" s="1" t="s">
        <v>17166</v>
      </c>
    </row>
    <row r="3320">
      <c r="A3320" s="1">
        <v>49859.0</v>
      </c>
      <c r="B3320" s="1">
        <v>16193.0</v>
      </c>
      <c r="C3320" s="1">
        <v>1.615729649E9</v>
      </c>
      <c r="D3320" s="1">
        <v>4.0</v>
      </c>
      <c r="E3320" s="1" t="b">
        <v>0</v>
      </c>
      <c r="F3320" s="1" t="s">
        <v>17167</v>
      </c>
    </row>
    <row r="3321">
      <c r="A3321" s="1">
        <v>49859.0</v>
      </c>
      <c r="B3321" s="1">
        <v>13032.0</v>
      </c>
      <c r="C3321" s="1">
        <v>1.613148013E9</v>
      </c>
      <c r="D3321" s="1">
        <v>4.0</v>
      </c>
      <c r="E3321" s="1" t="b">
        <v>0</v>
      </c>
      <c r="F3321" s="1" t="s">
        <v>17168</v>
      </c>
    </row>
    <row r="3322">
      <c r="A3322" s="1">
        <v>49859.0</v>
      </c>
      <c r="B3322" s="1">
        <v>18203.0</v>
      </c>
      <c r="C3322" s="1">
        <v>1.622448171E9</v>
      </c>
      <c r="D3322" s="1">
        <v>4.0</v>
      </c>
      <c r="E3322" s="1" t="b">
        <v>0</v>
      </c>
      <c r="F3322" s="1" t="s">
        <v>17169</v>
      </c>
    </row>
    <row r="3323">
      <c r="A3323" s="1">
        <v>49859.0</v>
      </c>
      <c r="B3323" s="1">
        <v>10938.0</v>
      </c>
      <c r="C3323" s="1">
        <v>1.612643964E9</v>
      </c>
      <c r="D3323" s="1">
        <v>4.0</v>
      </c>
      <c r="E3323" s="1" t="b">
        <v>0</v>
      </c>
      <c r="F3323" s="1" t="s">
        <v>17170</v>
      </c>
    </row>
    <row r="3324">
      <c r="A3324" s="1">
        <v>49859.0</v>
      </c>
      <c r="B3324" s="1">
        <v>20395.0</v>
      </c>
      <c r="C3324" s="1">
        <v>1.624286165E9</v>
      </c>
      <c r="D3324" s="1">
        <v>4.0</v>
      </c>
      <c r="E3324" s="1" t="b">
        <v>0</v>
      </c>
      <c r="F3324" s="1" t="s">
        <v>17171</v>
      </c>
    </row>
    <row r="3325">
      <c r="A3325" s="1">
        <v>49859.0</v>
      </c>
      <c r="B3325" s="1">
        <v>15950.0</v>
      </c>
      <c r="C3325" s="1">
        <v>1.615208778E9</v>
      </c>
      <c r="D3325" s="1">
        <v>4.0</v>
      </c>
      <c r="E3325" s="1" t="b">
        <v>0</v>
      </c>
      <c r="F3325" s="1" t="s">
        <v>17172</v>
      </c>
    </row>
    <row r="3326">
      <c r="A3326" s="1">
        <v>49859.0</v>
      </c>
      <c r="B3326" s="1">
        <v>14353.0</v>
      </c>
      <c r="C3326" s="1">
        <v>1.613715508E9</v>
      </c>
      <c r="D3326" s="1">
        <v>4.0</v>
      </c>
      <c r="E3326" s="1" t="b">
        <v>0</v>
      </c>
      <c r="F3326" s="1" t="s">
        <v>17173</v>
      </c>
    </row>
    <row r="3327">
      <c r="A3327" s="1">
        <v>49859.0</v>
      </c>
      <c r="B3327" s="1">
        <v>17308.0</v>
      </c>
      <c r="C3327" s="1">
        <v>1.620655007E9</v>
      </c>
      <c r="D3327" s="1">
        <v>4.0</v>
      </c>
      <c r="E3327" s="1" t="b">
        <v>0</v>
      </c>
      <c r="F3327" s="1" t="s">
        <v>17174</v>
      </c>
    </row>
    <row r="3328">
      <c r="A3328" s="1">
        <v>49859.0</v>
      </c>
      <c r="B3328" s="1">
        <v>18422.0</v>
      </c>
      <c r="C3328" s="1">
        <v>1.622362993E9</v>
      </c>
      <c r="D3328" s="1">
        <v>4.0</v>
      </c>
      <c r="E3328" s="1" t="b">
        <v>0</v>
      </c>
      <c r="F3328" s="1" t="s">
        <v>17175</v>
      </c>
    </row>
    <row r="3329">
      <c r="A3329" s="1">
        <v>49859.0</v>
      </c>
      <c r="B3329" s="1">
        <v>19805.0</v>
      </c>
      <c r="C3329" s="1">
        <v>1.623325467E9</v>
      </c>
      <c r="D3329" s="1">
        <v>4.0</v>
      </c>
      <c r="E3329" s="1" t="b">
        <v>0</v>
      </c>
      <c r="F3329" s="1" t="s">
        <v>17176</v>
      </c>
    </row>
    <row r="3330">
      <c r="A3330" s="1">
        <v>49859.0</v>
      </c>
      <c r="B3330" s="1">
        <v>13387.0</v>
      </c>
      <c r="C3330" s="1">
        <v>1.613373048E9</v>
      </c>
      <c r="D3330" s="1">
        <v>4.0</v>
      </c>
      <c r="E3330" s="1" t="b">
        <v>0</v>
      </c>
      <c r="F3330" s="1" t="s">
        <v>17177</v>
      </c>
    </row>
    <row r="3331">
      <c r="A3331" s="1">
        <v>49859.0</v>
      </c>
      <c r="B3331" s="1">
        <v>17781.0</v>
      </c>
      <c r="C3331" s="1">
        <v>1.620527555E9</v>
      </c>
      <c r="D3331" s="1">
        <v>4.0</v>
      </c>
      <c r="E3331" s="1" t="b">
        <v>0</v>
      </c>
      <c r="F3331" s="1" t="s">
        <v>17178</v>
      </c>
    </row>
    <row r="3332">
      <c r="A3332" s="1">
        <v>49859.0</v>
      </c>
      <c r="B3332" s="1">
        <v>20342.0</v>
      </c>
      <c r="C3332" s="1">
        <v>1.624178918E9</v>
      </c>
      <c r="D3332" s="1">
        <v>4.0</v>
      </c>
      <c r="E3332" s="1" t="b">
        <v>0</v>
      </c>
      <c r="F3332" s="1" t="s">
        <v>17179</v>
      </c>
    </row>
    <row r="3333">
      <c r="A3333" s="1">
        <v>49859.0</v>
      </c>
      <c r="B3333" s="1">
        <v>19155.0</v>
      </c>
      <c r="C3333" s="1">
        <v>1.622617489E9</v>
      </c>
      <c r="D3333" s="1">
        <v>4.0</v>
      </c>
      <c r="E3333" s="1" t="b">
        <v>0</v>
      </c>
      <c r="F3333" s="1" t="s">
        <v>17180</v>
      </c>
    </row>
    <row r="3334">
      <c r="A3334" s="1">
        <v>49859.0</v>
      </c>
      <c r="B3334" s="1">
        <v>16154.0</v>
      </c>
      <c r="C3334" s="1">
        <v>1.615878151E9</v>
      </c>
      <c r="D3334" s="1">
        <v>4.0</v>
      </c>
      <c r="E3334" s="1" t="b">
        <v>0</v>
      </c>
      <c r="F3334" s="1" t="s">
        <v>17181</v>
      </c>
    </row>
    <row r="3335">
      <c r="A3335" s="1">
        <v>49859.0</v>
      </c>
      <c r="B3335" s="1">
        <v>11246.0</v>
      </c>
      <c r="C3335" s="1">
        <v>1.613411884E9</v>
      </c>
      <c r="D3335" s="1">
        <v>4.0</v>
      </c>
      <c r="E3335" s="1" t="b">
        <v>0</v>
      </c>
      <c r="F3335" s="1" t="s">
        <v>17182</v>
      </c>
    </row>
    <row r="3336">
      <c r="A3336" s="1">
        <v>49859.0</v>
      </c>
      <c r="B3336" s="1">
        <v>15463.0</v>
      </c>
      <c r="C3336" s="1">
        <v>1.614587865E9</v>
      </c>
      <c r="D3336" s="1">
        <v>4.0</v>
      </c>
      <c r="E3336" s="1" t="b">
        <v>0</v>
      </c>
      <c r="F3336" s="1" t="s">
        <v>17183</v>
      </c>
    </row>
    <row r="3337">
      <c r="A3337" s="1">
        <v>49859.0</v>
      </c>
      <c r="B3337" s="1">
        <v>14244.0</v>
      </c>
      <c r="C3337" s="1">
        <v>1.613634116E9</v>
      </c>
      <c r="D3337" s="1">
        <v>4.0</v>
      </c>
      <c r="E3337" s="1" t="b">
        <v>0</v>
      </c>
      <c r="F3337" s="1" t="s">
        <v>17184</v>
      </c>
    </row>
    <row r="3338">
      <c r="A3338" s="1">
        <v>49859.0</v>
      </c>
      <c r="B3338" s="1">
        <v>18867.0</v>
      </c>
      <c r="C3338" s="1">
        <v>1.622448099E9</v>
      </c>
      <c r="D3338" s="1">
        <v>4.0</v>
      </c>
      <c r="E3338" s="1" t="b">
        <v>0</v>
      </c>
      <c r="F3338" s="1" t="s">
        <v>17185</v>
      </c>
    </row>
    <row r="3339">
      <c r="A3339" s="1">
        <v>49859.0</v>
      </c>
      <c r="B3339" s="1">
        <v>17689.0</v>
      </c>
      <c r="C3339" s="1">
        <v>1.620414327E9</v>
      </c>
      <c r="D3339" s="1">
        <v>4.0</v>
      </c>
      <c r="E3339" s="1" t="b">
        <v>0</v>
      </c>
      <c r="F3339" s="1" t="s">
        <v>17186</v>
      </c>
    </row>
    <row r="3340">
      <c r="A3340" s="1">
        <v>49859.0</v>
      </c>
      <c r="B3340" s="1">
        <v>13057.0</v>
      </c>
      <c r="C3340" s="1">
        <v>1.613146822E9</v>
      </c>
      <c r="D3340" s="1">
        <v>4.0</v>
      </c>
      <c r="E3340" s="1" t="b">
        <v>0</v>
      </c>
      <c r="F3340" s="1" t="s">
        <v>17187</v>
      </c>
    </row>
    <row r="3341">
      <c r="A3341" s="1">
        <v>49859.0</v>
      </c>
      <c r="B3341" s="1">
        <v>19428.0</v>
      </c>
      <c r="C3341" s="1">
        <v>1.622786571E9</v>
      </c>
      <c r="D3341" s="1">
        <v>4.0</v>
      </c>
      <c r="E3341" s="1" t="b">
        <v>0</v>
      </c>
      <c r="F3341" s="1" t="s">
        <v>17188</v>
      </c>
    </row>
    <row r="3342">
      <c r="A3342" s="1">
        <v>49859.0</v>
      </c>
      <c r="B3342" s="1">
        <v>15687.0</v>
      </c>
      <c r="C3342" s="1">
        <v>1.614865749E9</v>
      </c>
      <c r="D3342" s="1">
        <v>4.0</v>
      </c>
      <c r="E3342" s="1" t="b">
        <v>0</v>
      </c>
      <c r="F3342" s="1" t="s">
        <v>17189</v>
      </c>
    </row>
    <row r="3343">
      <c r="A3343" s="1">
        <v>49859.0</v>
      </c>
      <c r="B3343" s="1">
        <v>20457.0</v>
      </c>
      <c r="C3343" s="1">
        <v>1.624426113E9</v>
      </c>
      <c r="D3343" s="1">
        <v>4.0</v>
      </c>
      <c r="E3343" s="1" t="b">
        <v>0</v>
      </c>
      <c r="F3343" s="1" t="s">
        <v>17190</v>
      </c>
    </row>
    <row r="3344">
      <c r="A3344" s="1">
        <v>49859.0</v>
      </c>
      <c r="B3344" s="1">
        <v>14194.0</v>
      </c>
      <c r="C3344" s="1">
        <v>1.613590998E9</v>
      </c>
      <c r="D3344" s="1">
        <v>4.0</v>
      </c>
      <c r="E3344" s="1" t="b">
        <v>0</v>
      </c>
      <c r="F3344" s="1" t="s">
        <v>17191</v>
      </c>
    </row>
    <row r="3345">
      <c r="A3345" s="1">
        <v>49859.0</v>
      </c>
      <c r="B3345" s="1">
        <v>14611.0</v>
      </c>
      <c r="C3345" s="1">
        <v>1.61384594E9</v>
      </c>
      <c r="D3345" s="1">
        <v>4.0</v>
      </c>
      <c r="E3345" s="1" t="b">
        <v>0</v>
      </c>
      <c r="F3345" s="1" t="s">
        <v>17192</v>
      </c>
    </row>
    <row r="3346">
      <c r="A3346" s="1">
        <v>49859.0</v>
      </c>
      <c r="B3346" s="1">
        <v>16912.0</v>
      </c>
      <c r="C3346" s="1">
        <v>1.621833905E9</v>
      </c>
      <c r="D3346" s="1">
        <v>4.0</v>
      </c>
      <c r="E3346" s="1" t="b">
        <v>0</v>
      </c>
      <c r="F3346" s="1" t="s">
        <v>16918</v>
      </c>
      <c r="G3346" s="1" t="b">
        <v>1</v>
      </c>
    </row>
    <row r="3347">
      <c r="A3347" s="1">
        <v>49859.0</v>
      </c>
      <c r="B3347" s="1">
        <v>16202.0</v>
      </c>
      <c r="C3347" s="1">
        <v>1.615915094E9</v>
      </c>
      <c r="D3347" s="1">
        <v>4.0</v>
      </c>
      <c r="E3347" s="1" t="b">
        <v>0</v>
      </c>
      <c r="F3347" s="1" t="s">
        <v>17193</v>
      </c>
    </row>
    <row r="3348">
      <c r="A3348" s="1">
        <v>49859.0</v>
      </c>
      <c r="B3348" s="1">
        <v>14052.0</v>
      </c>
      <c r="C3348" s="1">
        <v>1.613486525E9</v>
      </c>
      <c r="D3348" s="1">
        <v>4.0</v>
      </c>
      <c r="E3348" s="1" t="b">
        <v>0</v>
      </c>
      <c r="F3348" s="1" t="s">
        <v>17194</v>
      </c>
    </row>
    <row r="3349">
      <c r="A3349" s="1">
        <v>49859.0</v>
      </c>
      <c r="B3349" s="1">
        <v>18965.0</v>
      </c>
      <c r="C3349" s="1">
        <v>1.62219378E9</v>
      </c>
      <c r="D3349" s="1">
        <v>4.0</v>
      </c>
      <c r="E3349" s="1" t="b">
        <v>0</v>
      </c>
      <c r="F3349" s="1" t="s">
        <v>17195</v>
      </c>
    </row>
    <row r="3350">
      <c r="A3350" s="1">
        <v>49859.0</v>
      </c>
      <c r="B3350" s="1">
        <v>16158.0</v>
      </c>
      <c r="C3350" s="1">
        <v>1.615607012E9</v>
      </c>
      <c r="D3350" s="1">
        <v>4.0</v>
      </c>
      <c r="E3350" s="1" t="b">
        <v>0</v>
      </c>
      <c r="F3350" s="1" t="s">
        <v>17196</v>
      </c>
    </row>
    <row r="3351">
      <c r="A3351" s="1">
        <v>49859.0</v>
      </c>
      <c r="B3351" s="1">
        <v>19804.0</v>
      </c>
      <c r="C3351" s="1">
        <v>1.623327157E9</v>
      </c>
      <c r="D3351" s="1">
        <v>4.0</v>
      </c>
      <c r="E3351" s="1" t="b">
        <v>0</v>
      </c>
      <c r="F3351" s="1" t="s">
        <v>17197</v>
      </c>
    </row>
    <row r="3352">
      <c r="A3352" s="1">
        <v>49859.0</v>
      </c>
      <c r="B3352" s="1">
        <v>15498.0</v>
      </c>
      <c r="C3352" s="1">
        <v>1.614623307E9</v>
      </c>
      <c r="D3352" s="1">
        <v>4.0</v>
      </c>
      <c r="E3352" s="1" t="b">
        <v>0</v>
      </c>
      <c r="F3352" s="1" t="s">
        <v>17198</v>
      </c>
    </row>
    <row r="3353">
      <c r="A3353" s="1">
        <v>49859.0</v>
      </c>
      <c r="B3353" s="1">
        <v>15977.0</v>
      </c>
      <c r="C3353" s="1">
        <v>1.615256805E9</v>
      </c>
      <c r="D3353" s="1">
        <v>4.0</v>
      </c>
      <c r="E3353" s="1" t="b">
        <v>0</v>
      </c>
      <c r="F3353" s="1" t="s">
        <v>17199</v>
      </c>
    </row>
    <row r="3354">
      <c r="A3354" s="1">
        <v>49859.0</v>
      </c>
      <c r="B3354" s="1">
        <v>15601.0</v>
      </c>
      <c r="C3354" s="1">
        <v>1.614865746E9</v>
      </c>
      <c r="D3354" s="1">
        <v>4.0</v>
      </c>
      <c r="E3354" s="1" t="b">
        <v>0</v>
      </c>
      <c r="F3354" s="1" t="s">
        <v>17200</v>
      </c>
    </row>
    <row r="3355">
      <c r="A3355" s="1">
        <v>49859.0</v>
      </c>
      <c r="B3355" s="1">
        <v>9087.0</v>
      </c>
      <c r="C3355" s="1">
        <v>1.615729651E9</v>
      </c>
      <c r="D3355" s="1">
        <v>4.0</v>
      </c>
      <c r="E3355" s="1" t="b">
        <v>0</v>
      </c>
      <c r="F3355" s="1" t="s">
        <v>17201</v>
      </c>
    </row>
    <row r="3356">
      <c r="A3356" s="1">
        <v>49859.0</v>
      </c>
      <c r="B3356" s="1">
        <v>16155.0</v>
      </c>
      <c r="C3356" s="1">
        <v>1.6156052E9</v>
      </c>
      <c r="D3356" s="1">
        <v>4.0</v>
      </c>
      <c r="E3356" s="1" t="b">
        <v>0</v>
      </c>
      <c r="F3356" s="1" t="s">
        <v>17202</v>
      </c>
    </row>
    <row r="3357">
      <c r="A3357" s="1">
        <v>49859.0</v>
      </c>
      <c r="B3357" s="1">
        <v>14221.0</v>
      </c>
      <c r="C3357" s="1">
        <v>1.614881902E9</v>
      </c>
      <c r="D3357" s="1">
        <v>4.0</v>
      </c>
      <c r="E3357" s="1" t="b">
        <v>0</v>
      </c>
      <c r="F3357" s="1" t="s">
        <v>17203</v>
      </c>
    </row>
    <row r="3358">
      <c r="A3358" s="1">
        <v>49859.0</v>
      </c>
      <c r="B3358" s="1">
        <v>14952.0</v>
      </c>
      <c r="C3358" s="1">
        <v>1.614136995E9</v>
      </c>
      <c r="D3358" s="1">
        <v>4.0</v>
      </c>
      <c r="E3358" s="1" t="b">
        <v>0</v>
      </c>
      <c r="F3358" s="1" t="s">
        <v>17204</v>
      </c>
    </row>
    <row r="3359">
      <c r="A3359" s="1">
        <v>49859.0</v>
      </c>
      <c r="B3359" s="1">
        <v>11479.0</v>
      </c>
      <c r="C3359" s="1">
        <v>1.612812028E9</v>
      </c>
      <c r="D3359" s="1">
        <v>4.0</v>
      </c>
      <c r="E3359" s="1" t="b">
        <v>0</v>
      </c>
      <c r="F3359" s="1" t="s">
        <v>17205</v>
      </c>
    </row>
    <row r="3360">
      <c r="A3360" s="1">
        <v>49859.0</v>
      </c>
      <c r="B3360" s="1">
        <v>20456.0</v>
      </c>
      <c r="C3360" s="1">
        <v>0.0</v>
      </c>
      <c r="D3360" s="1">
        <v>4.0</v>
      </c>
      <c r="E3360" s="1" t="b">
        <v>0</v>
      </c>
      <c r="F3360" s="1" t="s">
        <v>17206</v>
      </c>
    </row>
    <row r="3361">
      <c r="A3361" s="1">
        <v>49859.0</v>
      </c>
      <c r="B3361" s="1">
        <v>3521.0</v>
      </c>
      <c r="C3361" s="1">
        <v>1.610603316E9</v>
      </c>
      <c r="D3361" s="1">
        <v>1.0</v>
      </c>
      <c r="E3361" s="1" t="b">
        <v>1</v>
      </c>
      <c r="F3361" s="1" t="s">
        <v>17207</v>
      </c>
      <c r="G3361" s="1" t="b">
        <v>1</v>
      </c>
    </row>
    <row r="3362">
      <c r="A3362" s="1">
        <v>49859.0</v>
      </c>
      <c r="B3362" s="1">
        <v>15040.0</v>
      </c>
      <c r="C3362" s="1">
        <v>1.614266143E9</v>
      </c>
      <c r="D3362" s="1">
        <v>4.0</v>
      </c>
      <c r="E3362" s="1" t="b">
        <v>0</v>
      </c>
      <c r="F3362" s="1" t="s">
        <v>17208</v>
      </c>
    </row>
    <row r="3363">
      <c r="A3363" s="1">
        <v>49859.0</v>
      </c>
      <c r="B3363" s="1">
        <v>14425.0</v>
      </c>
      <c r="C3363" s="1">
        <v>1.614024429E9</v>
      </c>
      <c r="D3363" s="1">
        <v>4.0</v>
      </c>
      <c r="E3363" s="1" t="b">
        <v>0</v>
      </c>
      <c r="F3363" s="1" t="s">
        <v>17209</v>
      </c>
    </row>
    <row r="3364">
      <c r="A3364" s="1">
        <v>49859.0</v>
      </c>
      <c r="B3364" s="1">
        <v>13308.0</v>
      </c>
      <c r="C3364" s="1">
        <v>1.613227821E9</v>
      </c>
      <c r="D3364" s="1">
        <v>4.0</v>
      </c>
      <c r="E3364" s="1" t="b">
        <v>0</v>
      </c>
      <c r="F3364" s="1" t="s">
        <v>16285</v>
      </c>
    </row>
    <row r="3365">
      <c r="A3365" s="1">
        <v>49859.0</v>
      </c>
      <c r="B3365" s="1">
        <v>13241.0</v>
      </c>
      <c r="C3365" s="1">
        <v>1.613218758E9</v>
      </c>
      <c r="D3365" s="1">
        <v>4.0</v>
      </c>
      <c r="E3365" s="1" t="b">
        <v>0</v>
      </c>
      <c r="F3365" s="1" t="s">
        <v>17210</v>
      </c>
    </row>
    <row r="3366">
      <c r="A3366" s="1">
        <v>49859.0</v>
      </c>
      <c r="B3366" s="1">
        <v>13500.0</v>
      </c>
      <c r="C3366" s="1">
        <v>1.613323935E9</v>
      </c>
      <c r="D3366" s="1">
        <v>4.0</v>
      </c>
      <c r="E3366" s="1" t="b">
        <v>0</v>
      </c>
      <c r="F3366" s="1" t="s">
        <v>17211</v>
      </c>
    </row>
    <row r="3367">
      <c r="A3367" s="1">
        <v>49859.0</v>
      </c>
      <c r="B3367" s="1">
        <v>20125.0</v>
      </c>
      <c r="C3367" s="1">
        <v>1.623925508E9</v>
      </c>
      <c r="D3367" s="1">
        <v>4.0</v>
      </c>
      <c r="E3367" s="1" t="b">
        <v>0</v>
      </c>
      <c r="F3367" s="1" t="s">
        <v>17212</v>
      </c>
    </row>
    <row r="3368">
      <c r="A3368" s="1">
        <v>49859.0</v>
      </c>
      <c r="B3368" s="1">
        <v>11954.0</v>
      </c>
      <c r="C3368" s="1">
        <v>1.612890717E9</v>
      </c>
      <c r="D3368" s="1">
        <v>4.0</v>
      </c>
      <c r="E3368" s="1" t="b">
        <v>0</v>
      </c>
      <c r="F3368" s="1" t="s">
        <v>17213</v>
      </c>
    </row>
    <row r="3369">
      <c r="A3369" s="1">
        <v>49859.0</v>
      </c>
      <c r="B3369" s="1">
        <v>19097.0</v>
      </c>
      <c r="C3369" s="1">
        <v>1.622617393E9</v>
      </c>
      <c r="D3369" s="1">
        <v>4.0</v>
      </c>
      <c r="E3369" s="1" t="b">
        <v>0</v>
      </c>
      <c r="F3369" s="1" t="s">
        <v>17214</v>
      </c>
    </row>
    <row r="3370">
      <c r="A3370" s="1">
        <v>49899.0</v>
      </c>
      <c r="B3370" s="1">
        <v>16130.0</v>
      </c>
      <c r="C3370" s="1">
        <v>1.615559523E9</v>
      </c>
      <c r="D3370" s="1">
        <v>4.0</v>
      </c>
      <c r="E3370" s="1" t="b">
        <v>0</v>
      </c>
      <c r="F3370" s="1" t="s">
        <v>17215</v>
      </c>
    </row>
    <row r="3371">
      <c r="A3371" s="1">
        <v>49899.0</v>
      </c>
      <c r="B3371" s="1">
        <v>20403.0</v>
      </c>
      <c r="C3371" s="1">
        <v>1.624296087E9</v>
      </c>
      <c r="D3371" s="1">
        <v>4.0</v>
      </c>
      <c r="E3371" s="1" t="b">
        <v>0</v>
      </c>
      <c r="F3371" s="1" t="s">
        <v>17216</v>
      </c>
      <c r="G3371" s="1" t="b">
        <v>1</v>
      </c>
    </row>
    <row r="3372">
      <c r="A3372" s="1">
        <v>49899.0</v>
      </c>
      <c r="B3372" s="1">
        <v>16059.0</v>
      </c>
      <c r="C3372" s="1">
        <v>1.615387973E9</v>
      </c>
      <c r="D3372" s="1">
        <v>4.0</v>
      </c>
      <c r="E3372" s="1" t="b">
        <v>0</v>
      </c>
      <c r="F3372" s="1" t="s">
        <v>17217</v>
      </c>
    </row>
    <row r="3373">
      <c r="A3373" s="1">
        <v>49899.0</v>
      </c>
      <c r="B3373" s="1">
        <v>15834.0</v>
      </c>
      <c r="C3373" s="1">
        <v>1.61502732E9</v>
      </c>
      <c r="D3373" s="1">
        <v>4.0</v>
      </c>
      <c r="E3373" s="1" t="b">
        <v>0</v>
      </c>
      <c r="F3373" s="1" t="s">
        <v>17218</v>
      </c>
    </row>
    <row r="3374">
      <c r="A3374" s="1">
        <v>49899.0</v>
      </c>
      <c r="B3374" s="1">
        <v>16099.0</v>
      </c>
      <c r="C3374" s="1">
        <v>1.615483814E9</v>
      </c>
      <c r="D3374" s="1">
        <v>4.0</v>
      </c>
      <c r="E3374" s="1" t="b">
        <v>0</v>
      </c>
      <c r="F3374" s="1" t="s">
        <v>16110</v>
      </c>
    </row>
    <row r="3375">
      <c r="A3375" s="1">
        <v>49899.0</v>
      </c>
      <c r="B3375" s="1">
        <v>16721.0</v>
      </c>
      <c r="C3375" s="1">
        <v>1.617787215E9</v>
      </c>
      <c r="D3375" s="1">
        <v>4.0</v>
      </c>
      <c r="E3375" s="1" t="b">
        <v>0</v>
      </c>
      <c r="F3375" s="1" t="s">
        <v>17219</v>
      </c>
    </row>
    <row r="3376">
      <c r="A3376" s="1">
        <v>49899.0</v>
      </c>
      <c r="B3376" s="1">
        <v>15985.0</v>
      </c>
      <c r="C3376" s="1">
        <v>1.61526736E9</v>
      </c>
      <c r="D3376" s="1">
        <v>4.0</v>
      </c>
      <c r="E3376" s="1" t="b">
        <v>0</v>
      </c>
      <c r="F3376" s="1" t="s">
        <v>17220</v>
      </c>
    </row>
    <row r="3377">
      <c r="A3377" s="1">
        <v>49899.0</v>
      </c>
      <c r="B3377" s="1">
        <v>15965.0</v>
      </c>
      <c r="C3377" s="1">
        <v>1.615219911E9</v>
      </c>
      <c r="D3377" s="1">
        <v>4.0</v>
      </c>
      <c r="E3377" s="1" t="b">
        <v>0</v>
      </c>
      <c r="F3377" s="1" t="s">
        <v>17221</v>
      </c>
    </row>
    <row r="3378">
      <c r="A3378" s="1">
        <v>49899.0</v>
      </c>
      <c r="B3378" s="1">
        <v>15836.0</v>
      </c>
      <c r="C3378" s="1">
        <v>1.615027325E9</v>
      </c>
      <c r="D3378" s="1">
        <v>4.0</v>
      </c>
      <c r="E3378" s="1" t="b">
        <v>0</v>
      </c>
      <c r="F3378" s="1" t="s">
        <v>17222</v>
      </c>
    </row>
    <row r="3379">
      <c r="A3379" s="1">
        <v>49899.0</v>
      </c>
      <c r="B3379" s="1">
        <v>15575.0</v>
      </c>
      <c r="C3379" s="1">
        <v>1.614700256E9</v>
      </c>
      <c r="D3379" s="1">
        <v>4.0</v>
      </c>
      <c r="E3379" s="1" t="b">
        <v>0</v>
      </c>
      <c r="F3379" s="1" t="s">
        <v>17223</v>
      </c>
    </row>
    <row r="3380">
      <c r="A3380" s="1">
        <v>49899.0</v>
      </c>
      <c r="B3380" s="1">
        <v>16782.0</v>
      </c>
      <c r="C3380" s="1">
        <v>1.618137664E9</v>
      </c>
      <c r="D3380" s="1">
        <v>4.0</v>
      </c>
      <c r="E3380" s="1" t="b">
        <v>0</v>
      </c>
      <c r="F3380" s="1" t="s">
        <v>16121</v>
      </c>
    </row>
    <row r="3381">
      <c r="A3381" s="1">
        <v>49899.0</v>
      </c>
      <c r="B3381" s="1">
        <v>2390.0</v>
      </c>
      <c r="C3381" s="1">
        <v>1.612011221E9</v>
      </c>
      <c r="D3381" s="1">
        <v>1.0</v>
      </c>
      <c r="E3381" s="1" t="b">
        <v>1</v>
      </c>
      <c r="F3381" s="1" t="s">
        <v>17224</v>
      </c>
      <c r="G3381" s="1" t="b">
        <v>1</v>
      </c>
    </row>
    <row r="3382">
      <c r="A3382" s="1">
        <v>49899.0</v>
      </c>
      <c r="B3382" s="1">
        <v>15383.0</v>
      </c>
      <c r="C3382" s="1">
        <v>1.614503857E9</v>
      </c>
      <c r="D3382" s="1">
        <v>4.0</v>
      </c>
      <c r="E3382" s="1" t="b">
        <v>0</v>
      </c>
      <c r="F3382" s="1" t="s">
        <v>17225</v>
      </c>
    </row>
    <row r="3383">
      <c r="A3383" s="1">
        <v>49899.0</v>
      </c>
      <c r="B3383" s="1">
        <v>16074.0</v>
      </c>
      <c r="C3383" s="1">
        <v>1.615426765E9</v>
      </c>
      <c r="D3383" s="1">
        <v>4.0</v>
      </c>
      <c r="E3383" s="1" t="b">
        <v>0</v>
      </c>
      <c r="F3383" s="1" t="s">
        <v>17226</v>
      </c>
    </row>
    <row r="3384">
      <c r="A3384" s="1">
        <v>49899.0</v>
      </c>
      <c r="B3384" s="1">
        <v>13007.0</v>
      </c>
      <c r="C3384" s="1">
        <v>1.613133934E9</v>
      </c>
      <c r="D3384" s="1">
        <v>4.0</v>
      </c>
      <c r="E3384" s="1" t="b">
        <v>0</v>
      </c>
      <c r="F3384" s="1" t="s">
        <v>17227</v>
      </c>
    </row>
    <row r="3385">
      <c r="A3385" s="1">
        <v>49899.0</v>
      </c>
      <c r="B3385" s="1">
        <v>15974.0</v>
      </c>
      <c r="C3385" s="1">
        <v>1.61524955E9</v>
      </c>
      <c r="D3385" s="1">
        <v>4.0</v>
      </c>
      <c r="E3385" s="1" t="b">
        <v>0</v>
      </c>
      <c r="F3385" s="1" t="s">
        <v>17228</v>
      </c>
    </row>
    <row r="3386">
      <c r="A3386" s="1">
        <v>49899.0</v>
      </c>
      <c r="B3386" s="1">
        <v>15979.0</v>
      </c>
      <c r="C3386" s="1">
        <v>1.615267316E9</v>
      </c>
      <c r="D3386" s="1">
        <v>4.0</v>
      </c>
      <c r="E3386" s="1" t="b">
        <v>0</v>
      </c>
      <c r="F3386" s="1" t="s">
        <v>17229</v>
      </c>
    </row>
    <row r="3387">
      <c r="A3387" s="1">
        <v>49899.0</v>
      </c>
      <c r="B3387" s="1">
        <v>15567.0</v>
      </c>
      <c r="C3387" s="1">
        <v>1.614700269E9</v>
      </c>
      <c r="D3387" s="1">
        <v>4.0</v>
      </c>
      <c r="E3387" s="1" t="b">
        <v>0</v>
      </c>
      <c r="F3387" s="1" t="s">
        <v>17230</v>
      </c>
    </row>
    <row r="3388">
      <c r="A3388" s="1">
        <v>49899.0</v>
      </c>
      <c r="B3388" s="1">
        <v>15589.0</v>
      </c>
      <c r="C3388" s="1">
        <v>1.614740794E9</v>
      </c>
      <c r="D3388" s="1">
        <v>4.0</v>
      </c>
      <c r="E3388" s="1" t="b">
        <v>0</v>
      </c>
      <c r="F3388" s="1" t="s">
        <v>17231</v>
      </c>
    </row>
    <row r="3389">
      <c r="A3389" s="1">
        <v>49899.0</v>
      </c>
      <c r="B3389" s="1">
        <v>16192.0</v>
      </c>
      <c r="C3389" s="1">
        <v>1.615717622E9</v>
      </c>
      <c r="D3389" s="1">
        <v>4.0</v>
      </c>
      <c r="E3389" s="1" t="b">
        <v>0</v>
      </c>
      <c r="F3389" s="1" t="s">
        <v>17232</v>
      </c>
    </row>
    <row r="3390">
      <c r="A3390" s="1">
        <v>49899.0</v>
      </c>
      <c r="B3390" s="1">
        <v>16020.0</v>
      </c>
      <c r="C3390" s="1">
        <v>1.62256214E9</v>
      </c>
      <c r="D3390" s="1">
        <v>4.0</v>
      </c>
      <c r="E3390" s="1" t="b">
        <v>0</v>
      </c>
      <c r="F3390" s="1" t="s">
        <v>17233</v>
      </c>
    </row>
    <row r="3391">
      <c r="A3391" s="1">
        <v>49899.0</v>
      </c>
      <c r="B3391" s="1">
        <v>15607.0</v>
      </c>
      <c r="C3391" s="1">
        <v>1.614767823E9</v>
      </c>
      <c r="D3391" s="1">
        <v>4.0</v>
      </c>
      <c r="E3391" s="1" t="b">
        <v>0</v>
      </c>
      <c r="F3391" s="1" t="s">
        <v>17234</v>
      </c>
    </row>
    <row r="3392">
      <c r="A3392" s="1">
        <v>49899.0</v>
      </c>
      <c r="B3392" s="1">
        <v>16062.0</v>
      </c>
      <c r="C3392" s="1">
        <v>1.615394437E9</v>
      </c>
      <c r="D3392" s="1">
        <v>4.0</v>
      </c>
      <c r="E3392" s="1" t="b">
        <v>0</v>
      </c>
      <c r="F3392" s="1" t="s">
        <v>17235</v>
      </c>
    </row>
    <row r="3393">
      <c r="A3393" s="1">
        <v>49899.0</v>
      </c>
      <c r="B3393" s="1">
        <v>18027.0</v>
      </c>
      <c r="C3393" s="1">
        <v>1.620929194E9</v>
      </c>
      <c r="D3393" s="1">
        <v>9.0</v>
      </c>
      <c r="E3393" s="1" t="b">
        <v>0</v>
      </c>
      <c r="F3393" s="1" t="s">
        <v>17236</v>
      </c>
    </row>
    <row r="3394">
      <c r="A3394" s="1">
        <v>49899.0</v>
      </c>
      <c r="B3394" s="1">
        <v>16568.0</v>
      </c>
      <c r="C3394" s="1">
        <v>1.617261218E9</v>
      </c>
      <c r="D3394" s="1">
        <v>4.0</v>
      </c>
      <c r="E3394" s="1" t="b">
        <v>0</v>
      </c>
      <c r="F3394" s="1" t="s">
        <v>17237</v>
      </c>
    </row>
    <row r="3395">
      <c r="A3395" s="1">
        <v>49899.0</v>
      </c>
      <c r="B3395" s="1">
        <v>14182.0</v>
      </c>
      <c r="C3395" s="1">
        <v>1.61356492E9</v>
      </c>
      <c r="D3395" s="1">
        <v>4.0</v>
      </c>
      <c r="E3395" s="1" t="b">
        <v>0</v>
      </c>
      <c r="F3395" s="1" t="s">
        <v>17238</v>
      </c>
    </row>
    <row r="3396">
      <c r="A3396" s="1">
        <v>49899.0</v>
      </c>
      <c r="B3396" s="1">
        <v>16111.0</v>
      </c>
      <c r="C3396" s="1">
        <v>1.615511874E9</v>
      </c>
      <c r="D3396" s="1">
        <v>4.0</v>
      </c>
      <c r="E3396" s="1" t="b">
        <v>0</v>
      </c>
      <c r="F3396" s="1" t="s">
        <v>17239</v>
      </c>
    </row>
    <row r="3397">
      <c r="A3397" s="1">
        <v>49899.0</v>
      </c>
      <c r="B3397" s="1">
        <v>16792.0</v>
      </c>
      <c r="C3397" s="1">
        <v>1.618159894E9</v>
      </c>
      <c r="D3397" s="1">
        <v>4.0</v>
      </c>
      <c r="E3397" s="1" t="b">
        <v>0</v>
      </c>
      <c r="F3397" s="1" t="s">
        <v>17240</v>
      </c>
    </row>
    <row r="3398">
      <c r="A3398" s="1">
        <v>49899.0</v>
      </c>
      <c r="B3398" s="1">
        <v>16075.0</v>
      </c>
      <c r="C3398" s="1">
        <v>1.615426729E9</v>
      </c>
      <c r="D3398" s="1">
        <v>4.0</v>
      </c>
      <c r="E3398" s="1" t="b">
        <v>0</v>
      </c>
      <c r="F3398" s="1" t="s">
        <v>17241</v>
      </c>
    </row>
    <row r="3399">
      <c r="A3399" s="1">
        <v>49899.0</v>
      </c>
      <c r="B3399" s="1">
        <v>14743.0</v>
      </c>
      <c r="C3399" s="1">
        <v>1.613977929E9</v>
      </c>
      <c r="D3399" s="1">
        <v>4.0</v>
      </c>
      <c r="E3399" s="1" t="b">
        <v>0</v>
      </c>
      <c r="F3399" s="1" t="s">
        <v>17242</v>
      </c>
    </row>
    <row r="3400">
      <c r="A3400" s="1">
        <v>49899.0</v>
      </c>
      <c r="B3400" s="1">
        <v>14099.0</v>
      </c>
      <c r="C3400" s="1">
        <v>1.61350324E9</v>
      </c>
      <c r="D3400" s="1">
        <v>4.0</v>
      </c>
      <c r="E3400" s="1" t="b">
        <v>0</v>
      </c>
      <c r="F3400" s="1" t="s">
        <v>17243</v>
      </c>
    </row>
    <row r="3401">
      <c r="A3401" s="1">
        <v>49899.0</v>
      </c>
      <c r="B3401" s="1">
        <v>12052.0</v>
      </c>
      <c r="C3401" s="1">
        <v>1.613133961E9</v>
      </c>
      <c r="D3401" s="1">
        <v>4.0</v>
      </c>
      <c r="E3401" s="1" t="b">
        <v>0</v>
      </c>
      <c r="F3401" s="1" t="s">
        <v>17244</v>
      </c>
    </row>
    <row r="3402">
      <c r="A3402" s="1">
        <v>49899.0</v>
      </c>
      <c r="B3402" s="1">
        <v>15684.0</v>
      </c>
      <c r="C3402" s="1">
        <v>1.614965766E9</v>
      </c>
      <c r="D3402" s="1">
        <v>4.0</v>
      </c>
      <c r="E3402" s="1" t="b">
        <v>0</v>
      </c>
      <c r="F3402" s="1" t="s">
        <v>17245</v>
      </c>
    </row>
    <row r="3403">
      <c r="A3403" s="1">
        <v>49899.0</v>
      </c>
      <c r="B3403" s="1">
        <v>16218.0</v>
      </c>
      <c r="C3403" s="1">
        <v>1.615827112E9</v>
      </c>
      <c r="D3403" s="1">
        <v>4.0</v>
      </c>
      <c r="E3403" s="1" t="b">
        <v>0</v>
      </c>
      <c r="F3403" s="1" t="s">
        <v>17246</v>
      </c>
    </row>
    <row r="3404">
      <c r="A3404" s="1">
        <v>49899.0</v>
      </c>
      <c r="B3404" s="1">
        <v>14047.0</v>
      </c>
      <c r="C3404" s="1">
        <v>1.61347889E9</v>
      </c>
      <c r="D3404" s="1">
        <v>4.0</v>
      </c>
      <c r="E3404" s="1" t="b">
        <v>0</v>
      </c>
      <c r="F3404" s="1" t="s">
        <v>17247</v>
      </c>
    </row>
    <row r="3405">
      <c r="A3405" s="1">
        <v>49899.0</v>
      </c>
      <c r="B3405" s="1">
        <v>15243.0</v>
      </c>
      <c r="C3405" s="1">
        <v>1.614383533E9</v>
      </c>
      <c r="D3405" s="1">
        <v>4.0</v>
      </c>
      <c r="E3405" s="1" t="b">
        <v>0</v>
      </c>
      <c r="F3405" s="1" t="s">
        <v>17248</v>
      </c>
    </row>
    <row r="3406">
      <c r="A3406" s="1">
        <v>49899.0</v>
      </c>
      <c r="B3406" s="1">
        <v>13182.0</v>
      </c>
      <c r="C3406" s="1">
        <v>1.613478899E9</v>
      </c>
      <c r="D3406" s="1">
        <v>4.0</v>
      </c>
      <c r="E3406" s="1" t="b">
        <v>0</v>
      </c>
      <c r="F3406" s="1" t="s">
        <v>17249</v>
      </c>
    </row>
    <row r="3407">
      <c r="A3407" s="1">
        <v>49899.0</v>
      </c>
      <c r="B3407" s="1">
        <v>14049.0</v>
      </c>
      <c r="C3407" s="1">
        <v>1.613473796E9</v>
      </c>
      <c r="D3407" s="1">
        <v>4.0</v>
      </c>
      <c r="E3407" s="1" t="b">
        <v>0</v>
      </c>
      <c r="F3407" s="1" t="s">
        <v>17250</v>
      </c>
      <c r="G3407" s="1" t="b">
        <v>1</v>
      </c>
    </row>
    <row r="3408">
      <c r="A3408" s="1">
        <v>49899.0</v>
      </c>
      <c r="B3408" s="1">
        <v>16102.0</v>
      </c>
      <c r="C3408" s="1">
        <v>1.615511935E9</v>
      </c>
      <c r="D3408" s="1">
        <v>4.0</v>
      </c>
      <c r="E3408" s="1" t="b">
        <v>0</v>
      </c>
      <c r="F3408" s="1" t="s">
        <v>17251</v>
      </c>
    </row>
    <row r="3409">
      <c r="A3409" s="1">
        <v>49899.0</v>
      </c>
      <c r="B3409" s="1">
        <v>16783.0</v>
      </c>
      <c r="C3409" s="1">
        <v>1.622562167E9</v>
      </c>
      <c r="D3409" s="1">
        <v>4.0</v>
      </c>
      <c r="E3409" s="1" t="b">
        <v>0</v>
      </c>
      <c r="F3409" s="1" t="s">
        <v>17252</v>
      </c>
    </row>
    <row r="3410">
      <c r="A3410" s="1">
        <v>49899.0</v>
      </c>
      <c r="B3410" s="1">
        <v>12023.0</v>
      </c>
      <c r="C3410" s="1">
        <v>1.612884225E9</v>
      </c>
      <c r="D3410" s="1">
        <v>4.0</v>
      </c>
      <c r="E3410" s="1" t="b">
        <v>0</v>
      </c>
      <c r="F3410" s="1" t="s">
        <v>17253</v>
      </c>
    </row>
    <row r="3411">
      <c r="A3411" s="1">
        <v>49899.0</v>
      </c>
      <c r="B3411" s="1">
        <v>16060.0</v>
      </c>
      <c r="C3411" s="1">
        <v>1.615388423E9</v>
      </c>
      <c r="D3411" s="1">
        <v>4.0</v>
      </c>
      <c r="E3411" s="1" t="b">
        <v>0</v>
      </c>
      <c r="F3411" s="1" t="s">
        <v>17254</v>
      </c>
    </row>
    <row r="3412">
      <c r="A3412" s="1">
        <v>49899.0</v>
      </c>
      <c r="B3412" s="1">
        <v>14698.0</v>
      </c>
      <c r="C3412" s="1">
        <v>1.613918094E9</v>
      </c>
      <c r="D3412" s="1">
        <v>4.0</v>
      </c>
      <c r="E3412" s="1" t="b">
        <v>0</v>
      </c>
      <c r="F3412" s="1" t="s">
        <v>17255</v>
      </c>
    </row>
    <row r="3413">
      <c r="A3413" s="1">
        <v>49899.0</v>
      </c>
      <c r="B3413" s="1">
        <v>16277.0</v>
      </c>
      <c r="C3413" s="1">
        <v>1.616061176E9</v>
      </c>
      <c r="D3413" s="1">
        <v>4.0</v>
      </c>
      <c r="E3413" s="1" t="b">
        <v>0</v>
      </c>
      <c r="F3413" s="1" t="s">
        <v>17256</v>
      </c>
    </row>
    <row r="3414">
      <c r="A3414" s="1">
        <v>49899.0</v>
      </c>
      <c r="B3414" s="1">
        <v>19871.0</v>
      </c>
      <c r="C3414" s="1">
        <v>1.623945581E9</v>
      </c>
      <c r="D3414" s="1">
        <v>4.0</v>
      </c>
      <c r="E3414" s="1" t="b">
        <v>0</v>
      </c>
      <c r="F3414" s="1" t="s">
        <v>17257</v>
      </c>
    </row>
    <row r="3415">
      <c r="A3415" s="1">
        <v>49899.0</v>
      </c>
      <c r="B3415" s="1">
        <v>16117.0</v>
      </c>
      <c r="C3415" s="1">
        <v>1.615537613E9</v>
      </c>
      <c r="D3415" s="1">
        <v>4.0</v>
      </c>
      <c r="E3415" s="1" t="b">
        <v>0</v>
      </c>
      <c r="F3415" s="1" t="s">
        <v>17258</v>
      </c>
    </row>
    <row r="3416">
      <c r="A3416" s="1">
        <v>49899.0</v>
      </c>
      <c r="B3416" s="1">
        <v>15825.0</v>
      </c>
      <c r="C3416" s="1">
        <v>1.615018401E9</v>
      </c>
      <c r="D3416" s="1">
        <v>4.0</v>
      </c>
      <c r="E3416" s="1" t="b">
        <v>0</v>
      </c>
      <c r="F3416" s="1" t="s">
        <v>17259</v>
      </c>
    </row>
    <row r="3417">
      <c r="A3417" s="1">
        <v>49899.0</v>
      </c>
      <c r="B3417" s="1">
        <v>11193.0</v>
      </c>
      <c r="C3417" s="1">
        <v>1.612699504E9</v>
      </c>
      <c r="D3417" s="1">
        <v>4.0</v>
      </c>
      <c r="E3417" s="1" t="b">
        <v>0</v>
      </c>
      <c r="F3417" s="1" t="s">
        <v>17260</v>
      </c>
    </row>
    <row r="3418">
      <c r="A3418" s="1">
        <v>49899.0</v>
      </c>
      <c r="B3418" s="1">
        <v>16697.0</v>
      </c>
      <c r="C3418" s="1">
        <v>1.617712225E9</v>
      </c>
      <c r="D3418" s="1">
        <v>4.0</v>
      </c>
      <c r="E3418" s="1" t="b">
        <v>0</v>
      </c>
      <c r="F3418" s="1" t="s">
        <v>17261</v>
      </c>
    </row>
    <row r="3419">
      <c r="A3419" s="1">
        <v>49899.0</v>
      </c>
      <c r="B3419" s="1">
        <v>13419.0</v>
      </c>
      <c r="C3419" s="1">
        <v>1.613538936E9</v>
      </c>
      <c r="D3419" s="1">
        <v>4.0</v>
      </c>
      <c r="E3419" s="1" t="b">
        <v>0</v>
      </c>
      <c r="F3419" s="1" t="s">
        <v>17262</v>
      </c>
    </row>
    <row r="3420">
      <c r="A3420" s="1">
        <v>49899.0</v>
      </c>
      <c r="B3420" s="1">
        <v>20371.0</v>
      </c>
      <c r="C3420" s="1">
        <v>1.624249695E9</v>
      </c>
      <c r="D3420" s="1">
        <v>4.0</v>
      </c>
      <c r="E3420" s="1" t="b">
        <v>0</v>
      </c>
      <c r="F3420" s="1" t="s">
        <v>17263</v>
      </c>
      <c r="G3420" s="1" t="b">
        <v>1</v>
      </c>
    </row>
    <row r="3421">
      <c r="A3421" s="1">
        <v>49899.0</v>
      </c>
      <c r="B3421" s="1">
        <v>20397.0</v>
      </c>
      <c r="C3421" s="1">
        <v>1.624291424E9</v>
      </c>
      <c r="D3421" s="1">
        <v>4.0</v>
      </c>
      <c r="E3421" s="1" t="b">
        <v>0</v>
      </c>
      <c r="F3421" s="1" t="s">
        <v>17264</v>
      </c>
      <c r="G3421" s="1" t="b">
        <v>1</v>
      </c>
    </row>
    <row r="3422">
      <c r="A3422" s="1">
        <v>49899.0</v>
      </c>
      <c r="B3422" s="1">
        <v>16033.0</v>
      </c>
      <c r="C3422" s="1">
        <v>1.615350174E9</v>
      </c>
      <c r="D3422" s="1">
        <v>4.0</v>
      </c>
      <c r="E3422" s="1" t="b">
        <v>0</v>
      </c>
      <c r="F3422" s="1" t="s">
        <v>17265</v>
      </c>
    </row>
    <row r="3423">
      <c r="A3423" s="1">
        <v>49899.0</v>
      </c>
      <c r="B3423" s="1">
        <v>17482.0</v>
      </c>
      <c r="C3423" s="1">
        <v>1.620203279E9</v>
      </c>
      <c r="D3423" s="1">
        <v>1.0</v>
      </c>
      <c r="E3423" s="1" t="b">
        <v>0</v>
      </c>
      <c r="F3423" s="1" t="s">
        <v>17266</v>
      </c>
    </row>
    <row r="3424">
      <c r="A3424" s="1">
        <v>49899.0</v>
      </c>
      <c r="B3424" s="1">
        <v>11223.0</v>
      </c>
      <c r="C3424" s="1">
        <v>1.613066832E9</v>
      </c>
      <c r="D3424" s="1">
        <v>4.0</v>
      </c>
      <c r="E3424" s="1" t="b">
        <v>0</v>
      </c>
      <c r="F3424" s="1" t="s">
        <v>17267</v>
      </c>
    </row>
    <row r="3425">
      <c r="A3425" s="1">
        <v>49899.0</v>
      </c>
      <c r="B3425" s="1">
        <v>16286.0</v>
      </c>
      <c r="C3425" s="1">
        <v>1.616061011E9</v>
      </c>
      <c r="D3425" s="1">
        <v>4.0</v>
      </c>
      <c r="E3425" s="1" t="b">
        <v>0</v>
      </c>
      <c r="F3425" s="1" t="s">
        <v>17268</v>
      </c>
    </row>
    <row r="3426">
      <c r="A3426" s="1">
        <v>49899.0</v>
      </c>
      <c r="B3426" s="1">
        <v>461.0</v>
      </c>
      <c r="C3426" s="1">
        <v>1.612027484E9</v>
      </c>
      <c r="D3426" s="1">
        <v>4.0</v>
      </c>
      <c r="E3426" s="1" t="b">
        <v>0</v>
      </c>
      <c r="F3426" s="1" t="s">
        <v>14065</v>
      </c>
    </row>
    <row r="3427">
      <c r="A3427" s="1">
        <v>49899.0</v>
      </c>
      <c r="B3427" s="1">
        <v>16140.0</v>
      </c>
      <c r="C3427" s="1">
        <v>1.61755589E9</v>
      </c>
      <c r="D3427" s="1">
        <v>4.0</v>
      </c>
      <c r="E3427" s="1" t="b">
        <v>0</v>
      </c>
      <c r="F3427" s="1" t="s">
        <v>17269</v>
      </c>
    </row>
    <row r="3428">
      <c r="A3428" s="1">
        <v>49899.0</v>
      </c>
      <c r="B3428" s="1">
        <v>16953.0</v>
      </c>
      <c r="C3428" s="1">
        <v>1.622562152E9</v>
      </c>
      <c r="D3428" s="1">
        <v>4.0</v>
      </c>
      <c r="E3428" s="1" t="b">
        <v>0</v>
      </c>
      <c r="F3428" s="1" t="s">
        <v>17270</v>
      </c>
    </row>
    <row r="3429">
      <c r="A3429" s="1">
        <v>49899.0</v>
      </c>
      <c r="B3429" s="1">
        <v>15996.0</v>
      </c>
      <c r="C3429" s="1">
        <v>1.615276299E9</v>
      </c>
      <c r="D3429" s="1">
        <v>4.0</v>
      </c>
      <c r="E3429" s="1" t="b">
        <v>0</v>
      </c>
      <c r="F3429" s="1" t="s">
        <v>17271</v>
      </c>
    </row>
    <row r="3430">
      <c r="A3430" s="1">
        <v>49899.0</v>
      </c>
      <c r="B3430" s="1">
        <v>16647.0</v>
      </c>
      <c r="C3430" s="1">
        <v>1.617614006E9</v>
      </c>
      <c r="D3430" s="1">
        <v>4.0</v>
      </c>
      <c r="E3430" s="1" t="b">
        <v>0</v>
      </c>
      <c r="F3430" s="1" t="s">
        <v>17272</v>
      </c>
    </row>
    <row r="3431">
      <c r="A3431" s="1">
        <v>49899.0</v>
      </c>
      <c r="B3431" s="1">
        <v>15952.0</v>
      </c>
      <c r="C3431" s="1">
        <v>1.61520716E9</v>
      </c>
      <c r="D3431" s="1">
        <v>4.0</v>
      </c>
      <c r="E3431" s="1" t="b">
        <v>0</v>
      </c>
      <c r="F3431" s="1" t="s">
        <v>17273</v>
      </c>
    </row>
    <row r="3432">
      <c r="A3432" s="1">
        <v>49899.0</v>
      </c>
      <c r="B3432" s="1">
        <v>15990.0</v>
      </c>
      <c r="C3432" s="1">
        <v>1.615267404E9</v>
      </c>
      <c r="D3432" s="1">
        <v>4.0</v>
      </c>
      <c r="E3432" s="1" t="b">
        <v>0</v>
      </c>
      <c r="F3432" s="1" t="s">
        <v>17274</v>
      </c>
    </row>
    <row r="3433">
      <c r="A3433" s="1">
        <v>49899.0</v>
      </c>
      <c r="B3433" s="1">
        <v>16547.0</v>
      </c>
      <c r="C3433" s="1">
        <v>1.617153965E9</v>
      </c>
      <c r="D3433" s="1">
        <v>4.0</v>
      </c>
      <c r="E3433" s="1" t="b">
        <v>0</v>
      </c>
      <c r="F3433" s="1" t="s">
        <v>17275</v>
      </c>
    </row>
    <row r="3434">
      <c r="A3434" s="1">
        <v>49899.0</v>
      </c>
      <c r="B3434" s="1">
        <v>16784.0</v>
      </c>
      <c r="C3434" s="1">
        <v>1.618145814E9</v>
      </c>
      <c r="D3434" s="1">
        <v>4.0</v>
      </c>
      <c r="E3434" s="1" t="b">
        <v>0</v>
      </c>
      <c r="F3434" s="1" t="s">
        <v>17276</v>
      </c>
    </row>
    <row r="3435">
      <c r="A3435" s="1">
        <v>49899.0</v>
      </c>
      <c r="B3435" s="1">
        <v>8704.0</v>
      </c>
      <c r="C3435" s="1">
        <v>1.612021912E9</v>
      </c>
      <c r="D3435" s="1">
        <v>4.0</v>
      </c>
      <c r="E3435" s="1" t="b">
        <v>0</v>
      </c>
      <c r="F3435" s="1" t="s">
        <v>17277</v>
      </c>
    </row>
    <row r="3436">
      <c r="A3436" s="1">
        <v>49899.0</v>
      </c>
      <c r="B3436" s="1">
        <v>15194.0</v>
      </c>
      <c r="C3436" s="1">
        <v>1.620052439E9</v>
      </c>
      <c r="D3436" s="1">
        <v>4.0</v>
      </c>
      <c r="E3436" s="1" t="b">
        <v>0</v>
      </c>
      <c r="F3436" s="1" t="s">
        <v>17278</v>
      </c>
    </row>
    <row r="3437">
      <c r="A3437" s="1">
        <v>49899.0</v>
      </c>
      <c r="B3437" s="1">
        <v>8712.0</v>
      </c>
      <c r="C3437" s="1">
        <v>1.612023398E9</v>
      </c>
      <c r="D3437" s="1">
        <v>4.0</v>
      </c>
      <c r="E3437" s="1" t="b">
        <v>0</v>
      </c>
      <c r="F3437" s="1" t="s">
        <v>17279</v>
      </c>
    </row>
    <row r="3438">
      <c r="A3438" s="1">
        <v>49899.0</v>
      </c>
      <c r="B3438" s="1">
        <v>15579.0</v>
      </c>
      <c r="C3438" s="1">
        <v>1.614701687E9</v>
      </c>
      <c r="D3438" s="1">
        <v>4.0</v>
      </c>
      <c r="E3438" s="1" t="b">
        <v>0</v>
      </c>
      <c r="F3438" s="1" t="s">
        <v>17280</v>
      </c>
    </row>
    <row r="3439">
      <c r="A3439" s="1">
        <v>49899.0</v>
      </c>
      <c r="B3439" s="1">
        <v>15583.0</v>
      </c>
      <c r="C3439" s="1">
        <v>1.614736734E9</v>
      </c>
      <c r="D3439" s="1">
        <v>4.0</v>
      </c>
      <c r="E3439" s="1" t="b">
        <v>0</v>
      </c>
      <c r="F3439" s="1" t="s">
        <v>17281</v>
      </c>
    </row>
    <row r="3440">
      <c r="A3440" s="1">
        <v>49899.0</v>
      </c>
      <c r="B3440" s="1">
        <v>16030.0</v>
      </c>
      <c r="C3440" s="1">
        <v>1.615347987E9</v>
      </c>
      <c r="D3440" s="1">
        <v>4.0</v>
      </c>
      <c r="E3440" s="1" t="b">
        <v>0</v>
      </c>
      <c r="F3440" s="1" t="s">
        <v>17282</v>
      </c>
    </row>
    <row r="3441">
      <c r="A3441" s="1">
        <v>49899.0</v>
      </c>
      <c r="B3441" s="1">
        <v>15920.0</v>
      </c>
      <c r="C3441" s="1">
        <v>1.61516913E9</v>
      </c>
      <c r="D3441" s="1">
        <v>4.0</v>
      </c>
      <c r="E3441" s="1" t="b">
        <v>0</v>
      </c>
      <c r="F3441" s="1" t="s">
        <v>17283</v>
      </c>
    </row>
    <row r="3442">
      <c r="A3442" s="1">
        <v>49899.0</v>
      </c>
      <c r="B3442" s="1">
        <v>15596.0</v>
      </c>
      <c r="C3442" s="1">
        <v>1.614736686E9</v>
      </c>
      <c r="D3442" s="1">
        <v>4.0</v>
      </c>
      <c r="E3442" s="1" t="b">
        <v>0</v>
      </c>
      <c r="F3442" s="1" t="s">
        <v>17284</v>
      </c>
    </row>
    <row r="3443">
      <c r="A3443" s="1">
        <v>49899.0</v>
      </c>
      <c r="B3443" s="1">
        <v>15967.0</v>
      </c>
      <c r="C3443" s="1">
        <v>1.615249633E9</v>
      </c>
      <c r="D3443" s="1">
        <v>4.0</v>
      </c>
      <c r="E3443" s="1" t="b">
        <v>0</v>
      </c>
      <c r="F3443" s="1" t="s">
        <v>17285</v>
      </c>
    </row>
    <row r="3444">
      <c r="A3444" s="1">
        <v>49899.0</v>
      </c>
      <c r="B3444" s="1">
        <v>16213.0</v>
      </c>
      <c r="C3444" s="1">
        <v>1.615827101E9</v>
      </c>
      <c r="D3444" s="1">
        <v>4.0</v>
      </c>
      <c r="E3444" s="1" t="b">
        <v>0</v>
      </c>
      <c r="F3444" s="1" t="s">
        <v>17286</v>
      </c>
    </row>
    <row r="3445">
      <c r="A3445" s="1">
        <v>49899.0</v>
      </c>
      <c r="B3445" s="1">
        <v>15551.0</v>
      </c>
      <c r="C3445" s="1">
        <v>1.61468373E9</v>
      </c>
      <c r="D3445" s="1">
        <v>4.0</v>
      </c>
      <c r="E3445" s="1" t="b">
        <v>0</v>
      </c>
      <c r="F3445" s="1" t="s">
        <v>17287</v>
      </c>
    </row>
    <row r="3446">
      <c r="A3446" s="1">
        <v>49899.0</v>
      </c>
      <c r="B3446" s="1">
        <v>15711.0</v>
      </c>
      <c r="C3446" s="1">
        <v>1.614839191E9</v>
      </c>
      <c r="D3446" s="1">
        <v>4.0</v>
      </c>
      <c r="E3446" s="1" t="b">
        <v>0</v>
      </c>
      <c r="F3446" s="1" t="s">
        <v>17288</v>
      </c>
    </row>
    <row r="3447">
      <c r="A3447" s="1">
        <v>49899.0</v>
      </c>
      <c r="B3447" s="1">
        <v>16626.0</v>
      </c>
      <c r="C3447" s="1">
        <v>1.617614839E9</v>
      </c>
      <c r="D3447" s="1">
        <v>4.0</v>
      </c>
      <c r="E3447" s="1" t="b">
        <v>0</v>
      </c>
      <c r="F3447" s="1" t="s">
        <v>17289</v>
      </c>
    </row>
    <row r="3448">
      <c r="A3448" s="1">
        <v>49899.0</v>
      </c>
      <c r="B3448" s="1">
        <v>15973.0</v>
      </c>
      <c r="C3448" s="1">
        <v>1.615249601E9</v>
      </c>
      <c r="D3448" s="1">
        <v>4.0</v>
      </c>
      <c r="E3448" s="1" t="b">
        <v>0</v>
      </c>
      <c r="F3448" s="1" t="s">
        <v>17290</v>
      </c>
    </row>
    <row r="3449">
      <c r="A3449" s="1">
        <v>49899.0</v>
      </c>
      <c r="B3449" s="1">
        <v>15956.0</v>
      </c>
      <c r="C3449" s="1">
        <v>1.615207116E9</v>
      </c>
      <c r="D3449" s="1">
        <v>4.0</v>
      </c>
      <c r="E3449" s="1" t="b">
        <v>0</v>
      </c>
      <c r="F3449" s="1" t="s">
        <v>17291</v>
      </c>
    </row>
    <row r="3450">
      <c r="A3450" s="1">
        <v>49899.0</v>
      </c>
      <c r="B3450" s="1">
        <v>16122.0</v>
      </c>
      <c r="C3450" s="1">
        <v>1.615537689E9</v>
      </c>
      <c r="D3450" s="1">
        <v>4.0</v>
      </c>
      <c r="E3450" s="1" t="b">
        <v>0</v>
      </c>
      <c r="F3450" s="1" t="s">
        <v>17292</v>
      </c>
    </row>
    <row r="3451">
      <c r="A3451" s="1">
        <v>49899.0</v>
      </c>
      <c r="B3451" s="1">
        <v>16614.0</v>
      </c>
      <c r="C3451" s="1">
        <v>1.617507107E9</v>
      </c>
      <c r="D3451" s="1">
        <v>4.0</v>
      </c>
      <c r="E3451" s="1" t="b">
        <v>0</v>
      </c>
      <c r="F3451" s="1" t="s">
        <v>17293</v>
      </c>
    </row>
    <row r="3452">
      <c r="A3452" s="1">
        <v>49899.0</v>
      </c>
      <c r="B3452" s="1">
        <v>16161.0</v>
      </c>
      <c r="C3452" s="1">
        <v>1.615656804E9</v>
      </c>
      <c r="D3452" s="1">
        <v>4.0</v>
      </c>
      <c r="E3452" s="1" t="b">
        <v>0</v>
      </c>
      <c r="F3452" s="1" t="s">
        <v>17294</v>
      </c>
    </row>
    <row r="3453">
      <c r="A3453" s="1">
        <v>49899.0</v>
      </c>
      <c r="B3453" s="1">
        <v>669.0</v>
      </c>
      <c r="C3453" s="1">
        <v>1.62256216E9</v>
      </c>
      <c r="D3453" s="1">
        <v>4.0</v>
      </c>
      <c r="E3453" s="1" t="b">
        <v>0</v>
      </c>
      <c r="F3453" s="1" t="s">
        <v>17295</v>
      </c>
    </row>
    <row r="3454">
      <c r="A3454" s="1">
        <v>49899.0</v>
      </c>
      <c r="B3454" s="1">
        <v>13507.0</v>
      </c>
      <c r="C3454" s="1">
        <v>1.613977935E9</v>
      </c>
      <c r="D3454" s="1">
        <v>4.0</v>
      </c>
      <c r="E3454" s="1" t="b">
        <v>0</v>
      </c>
      <c r="F3454" s="1" t="s">
        <v>17296</v>
      </c>
    </row>
    <row r="3455">
      <c r="A3455" s="1">
        <v>49899.0</v>
      </c>
      <c r="B3455" s="1">
        <v>16794.0</v>
      </c>
      <c r="C3455" s="1">
        <v>1.618199111E9</v>
      </c>
      <c r="D3455" s="1">
        <v>4.0</v>
      </c>
      <c r="E3455" s="1" t="b">
        <v>0</v>
      </c>
      <c r="F3455" s="1" t="s">
        <v>17297</v>
      </c>
    </row>
    <row r="3456">
      <c r="A3456" s="1">
        <v>49899.0</v>
      </c>
      <c r="B3456" s="1">
        <v>15987.0</v>
      </c>
      <c r="C3456" s="1">
        <v>1.615267336E9</v>
      </c>
      <c r="D3456" s="1">
        <v>4.0</v>
      </c>
      <c r="E3456" s="1" t="b">
        <v>0</v>
      </c>
      <c r="F3456" s="1" t="s">
        <v>17298</v>
      </c>
    </row>
    <row r="3457">
      <c r="A3457" s="1">
        <v>49899.0</v>
      </c>
      <c r="B3457" s="1">
        <v>13784.0</v>
      </c>
      <c r="C3457" s="1">
        <v>1.613372925E9</v>
      </c>
      <c r="D3457" s="1">
        <v>4.0</v>
      </c>
      <c r="E3457" s="1" t="b">
        <v>0</v>
      </c>
      <c r="F3457" s="1" t="s">
        <v>17299</v>
      </c>
    </row>
    <row r="3458">
      <c r="A3458" s="1">
        <v>49899.0</v>
      </c>
      <c r="B3458" s="1">
        <v>15685.0</v>
      </c>
      <c r="C3458" s="1">
        <v>1.614839999E9</v>
      </c>
      <c r="D3458" s="1">
        <v>4.0</v>
      </c>
      <c r="E3458" s="1" t="b">
        <v>0</v>
      </c>
      <c r="F3458" s="1" t="s">
        <v>17300</v>
      </c>
    </row>
    <row r="3459">
      <c r="A3459" s="1">
        <v>49899.0</v>
      </c>
      <c r="B3459" s="1">
        <v>16123.0</v>
      </c>
      <c r="C3459" s="1">
        <v>1.61553766E9</v>
      </c>
      <c r="D3459" s="1">
        <v>4.0</v>
      </c>
      <c r="E3459" s="1" t="b">
        <v>0</v>
      </c>
      <c r="F3459" s="1" t="s">
        <v>17301</v>
      </c>
    </row>
    <row r="3460">
      <c r="A3460" s="1">
        <v>49899.0</v>
      </c>
      <c r="B3460" s="1">
        <v>15617.0</v>
      </c>
      <c r="C3460" s="1">
        <v>1.614752097E9</v>
      </c>
      <c r="D3460" s="1">
        <v>4.0</v>
      </c>
      <c r="E3460" s="1" t="b">
        <v>0</v>
      </c>
      <c r="F3460" s="1" t="s">
        <v>17302</v>
      </c>
    </row>
    <row r="3461">
      <c r="A3461" s="1">
        <v>49899.0</v>
      </c>
      <c r="B3461" s="1">
        <v>14195.0</v>
      </c>
      <c r="C3461" s="1">
        <v>1.613572756E9</v>
      </c>
      <c r="D3461" s="1">
        <v>4.0</v>
      </c>
      <c r="E3461" s="1" t="b">
        <v>0</v>
      </c>
      <c r="F3461" s="1" t="s">
        <v>17303</v>
      </c>
    </row>
    <row r="3462">
      <c r="A3462" s="1">
        <v>49899.0</v>
      </c>
      <c r="B3462" s="1">
        <v>16622.0</v>
      </c>
      <c r="C3462" s="1">
        <v>1.617555788E9</v>
      </c>
      <c r="D3462" s="1">
        <v>4.0</v>
      </c>
      <c r="E3462" s="1" t="b">
        <v>0</v>
      </c>
      <c r="F3462" s="1" t="s">
        <v>17304</v>
      </c>
    </row>
    <row r="3463">
      <c r="A3463" s="1">
        <v>49899.0</v>
      </c>
      <c r="B3463" s="1">
        <v>16590.0</v>
      </c>
      <c r="C3463" s="1">
        <v>1.61726258E9</v>
      </c>
      <c r="D3463" s="1">
        <v>4.0</v>
      </c>
      <c r="E3463" s="1" t="b">
        <v>0</v>
      </c>
      <c r="F3463" s="1" t="s">
        <v>17305</v>
      </c>
    </row>
    <row r="3464">
      <c r="A3464" s="1">
        <v>49899.0</v>
      </c>
      <c r="B3464" s="1">
        <v>16691.0</v>
      </c>
      <c r="C3464" s="1">
        <v>1.617700142E9</v>
      </c>
      <c r="D3464" s="1">
        <v>4.0</v>
      </c>
      <c r="E3464" s="1" t="b">
        <v>0</v>
      </c>
      <c r="F3464" s="1" t="s">
        <v>17306</v>
      </c>
    </row>
    <row r="3465">
      <c r="A3465" s="1">
        <v>49899.0</v>
      </c>
      <c r="B3465" s="1">
        <v>16385.0</v>
      </c>
      <c r="C3465" s="1">
        <v>1.616417667E9</v>
      </c>
      <c r="D3465" s="1">
        <v>4.0</v>
      </c>
      <c r="E3465" s="1" t="b">
        <v>0</v>
      </c>
      <c r="F3465" s="1" t="s">
        <v>17307</v>
      </c>
    </row>
    <row r="3466">
      <c r="A3466" s="1">
        <v>49899.0</v>
      </c>
      <c r="B3466" s="1">
        <v>15398.0</v>
      </c>
      <c r="C3466" s="1">
        <v>1.614518324E9</v>
      </c>
      <c r="D3466" s="1">
        <v>4.0</v>
      </c>
      <c r="E3466" s="1" t="b">
        <v>0</v>
      </c>
      <c r="F3466" s="1" t="s">
        <v>17308</v>
      </c>
    </row>
    <row r="3467">
      <c r="A3467" s="1">
        <v>49899.0</v>
      </c>
      <c r="B3467" s="1">
        <v>16054.0</v>
      </c>
      <c r="C3467" s="1">
        <v>1.615387368E9</v>
      </c>
      <c r="D3467" s="1">
        <v>4.0</v>
      </c>
      <c r="E3467" s="1" t="b">
        <v>0</v>
      </c>
      <c r="F3467" s="1" t="s">
        <v>17309</v>
      </c>
    </row>
    <row r="3468">
      <c r="A3468" s="1">
        <v>49899.0</v>
      </c>
      <c r="B3468" s="1">
        <v>16629.0</v>
      </c>
      <c r="C3468" s="1">
        <v>1.617614195E9</v>
      </c>
      <c r="D3468" s="1">
        <v>4.0</v>
      </c>
      <c r="E3468" s="1" t="b">
        <v>0</v>
      </c>
      <c r="F3468" s="1" t="s">
        <v>16059</v>
      </c>
    </row>
    <row r="3469">
      <c r="A3469" s="1">
        <v>49899.0</v>
      </c>
      <c r="B3469" s="1">
        <v>16600.0</v>
      </c>
      <c r="C3469" s="1">
        <v>1.61734961E9</v>
      </c>
      <c r="D3469" s="1">
        <v>4.0</v>
      </c>
      <c r="E3469" s="1" t="b">
        <v>0</v>
      </c>
      <c r="F3469" s="1" t="s">
        <v>16212</v>
      </c>
    </row>
    <row r="3470">
      <c r="A3470" s="1">
        <v>49899.0</v>
      </c>
      <c r="B3470" s="1">
        <v>15597.0</v>
      </c>
      <c r="C3470" s="1">
        <v>1.614736627E9</v>
      </c>
      <c r="D3470" s="1">
        <v>4.0</v>
      </c>
      <c r="E3470" s="1" t="b">
        <v>0</v>
      </c>
      <c r="F3470" s="1" t="s">
        <v>17310</v>
      </c>
    </row>
    <row r="3471">
      <c r="A3471" s="1">
        <v>49899.0</v>
      </c>
      <c r="B3471" s="1">
        <v>14057.0</v>
      </c>
      <c r="C3471" s="1">
        <v>1.613480666E9</v>
      </c>
      <c r="D3471" s="1">
        <v>4.0</v>
      </c>
      <c r="E3471" s="1" t="b">
        <v>0</v>
      </c>
      <c r="F3471" s="1" t="s">
        <v>17311</v>
      </c>
    </row>
    <row r="3472">
      <c r="A3472" s="1">
        <v>49899.0</v>
      </c>
      <c r="B3472" s="1">
        <v>15562.0</v>
      </c>
      <c r="C3472" s="1">
        <v>1.614693509E9</v>
      </c>
      <c r="D3472" s="1">
        <v>4.0</v>
      </c>
      <c r="E3472" s="1" t="b">
        <v>0</v>
      </c>
      <c r="F3472" s="1" t="s">
        <v>17312</v>
      </c>
    </row>
    <row r="3473">
      <c r="A3473" s="1">
        <v>49899.0</v>
      </c>
      <c r="B3473" s="1">
        <v>8756.0</v>
      </c>
      <c r="C3473" s="1">
        <v>1.612026585E9</v>
      </c>
      <c r="D3473" s="1">
        <v>4.0</v>
      </c>
      <c r="E3473" s="1" t="b">
        <v>0</v>
      </c>
      <c r="F3473" s="1" t="s">
        <v>17313</v>
      </c>
      <c r="G3473" s="1" t="b">
        <v>1</v>
      </c>
    </row>
    <row r="3474">
      <c r="A3474" s="1">
        <v>49899.0</v>
      </c>
      <c r="B3474" s="1">
        <v>16253.0</v>
      </c>
      <c r="C3474" s="1">
        <v>1.615952367E9</v>
      </c>
      <c r="D3474" s="1">
        <v>4.0</v>
      </c>
      <c r="E3474" s="1" t="b">
        <v>0</v>
      </c>
      <c r="F3474" s="1" t="s">
        <v>17314</v>
      </c>
    </row>
    <row r="3475">
      <c r="A3475" s="1">
        <v>49899.0</v>
      </c>
      <c r="B3475" s="1">
        <v>16121.0</v>
      </c>
      <c r="C3475" s="1">
        <v>1.615537713E9</v>
      </c>
      <c r="D3475" s="1">
        <v>4.0</v>
      </c>
      <c r="E3475" s="1" t="b">
        <v>0</v>
      </c>
      <c r="F3475" s="1" t="s">
        <v>17315</v>
      </c>
    </row>
    <row r="3476">
      <c r="A3476" s="1">
        <v>49899.0</v>
      </c>
      <c r="B3476" s="1">
        <v>16539.0</v>
      </c>
      <c r="C3476" s="1">
        <v>1.617096535E9</v>
      </c>
      <c r="D3476" s="1">
        <v>4.0</v>
      </c>
      <c r="E3476" s="1" t="b">
        <v>0</v>
      </c>
      <c r="F3476" s="1" t="s">
        <v>17316</v>
      </c>
    </row>
    <row r="3477">
      <c r="A3477" s="1">
        <v>49899.0</v>
      </c>
      <c r="B3477" s="1">
        <v>16542.0</v>
      </c>
      <c r="C3477" s="1">
        <v>1.617100281E9</v>
      </c>
      <c r="D3477" s="1">
        <v>4.0</v>
      </c>
      <c r="E3477" s="1" t="b">
        <v>0</v>
      </c>
      <c r="F3477" s="1" t="s">
        <v>17317</v>
      </c>
    </row>
    <row r="3478">
      <c r="A3478" s="1">
        <v>49899.0</v>
      </c>
      <c r="B3478" s="1">
        <v>15611.0</v>
      </c>
      <c r="C3478" s="1">
        <v>1.614747802E9</v>
      </c>
      <c r="D3478" s="1">
        <v>4.0</v>
      </c>
      <c r="E3478" s="1" t="b">
        <v>0</v>
      </c>
      <c r="F3478" s="1" t="s">
        <v>17318</v>
      </c>
    </row>
    <row r="3479">
      <c r="A3479" s="1">
        <v>49899.0</v>
      </c>
      <c r="B3479" s="1">
        <v>19495.0</v>
      </c>
      <c r="C3479" s="1">
        <v>1.622820962E9</v>
      </c>
      <c r="D3479" s="1">
        <v>1.0</v>
      </c>
      <c r="E3479" s="1" t="b">
        <v>0</v>
      </c>
      <c r="F3479" s="1" t="s">
        <v>17319</v>
      </c>
    </row>
    <row r="3480">
      <c r="A3480" s="1">
        <v>49899.0</v>
      </c>
      <c r="B3480" s="1">
        <v>15943.0</v>
      </c>
      <c r="C3480" s="1">
        <v>1.615196867E9</v>
      </c>
      <c r="D3480" s="1">
        <v>4.0</v>
      </c>
      <c r="E3480" s="1" t="b">
        <v>0</v>
      </c>
      <c r="F3480" s="1" t="s">
        <v>17320</v>
      </c>
    </row>
    <row r="3481">
      <c r="A3481" s="1">
        <v>49899.0</v>
      </c>
      <c r="B3481" s="1">
        <v>14150.0</v>
      </c>
      <c r="C3481" s="1">
        <v>1.613551121E9</v>
      </c>
      <c r="D3481" s="1">
        <v>4.0</v>
      </c>
      <c r="E3481" s="1" t="b">
        <v>0</v>
      </c>
      <c r="F3481" s="1" t="s">
        <v>17321</v>
      </c>
    </row>
    <row r="3482">
      <c r="A3482" s="1">
        <v>49899.0</v>
      </c>
      <c r="B3482" s="1">
        <v>15718.0</v>
      </c>
      <c r="C3482" s="1">
        <v>1.614842695E9</v>
      </c>
      <c r="D3482" s="1">
        <v>4.0</v>
      </c>
      <c r="E3482" s="1" t="b">
        <v>0</v>
      </c>
      <c r="F3482" s="1" t="s">
        <v>17322</v>
      </c>
    </row>
    <row r="3483">
      <c r="A3483" s="1">
        <v>49899.0</v>
      </c>
      <c r="B3483" s="1">
        <v>13294.0</v>
      </c>
      <c r="C3483" s="1">
        <v>1.613221798E9</v>
      </c>
      <c r="D3483" s="1">
        <v>4.0</v>
      </c>
      <c r="E3483" s="1" t="b">
        <v>0</v>
      </c>
      <c r="F3483" s="1" t="s">
        <v>17323</v>
      </c>
      <c r="G3483" s="1" t="b">
        <v>1</v>
      </c>
    </row>
    <row r="3484">
      <c r="A3484" s="1">
        <v>49899.0</v>
      </c>
      <c r="B3484" s="1">
        <v>18109.0</v>
      </c>
      <c r="C3484" s="1">
        <v>1.62114366E9</v>
      </c>
      <c r="D3484" s="1">
        <v>4.0</v>
      </c>
      <c r="E3484" s="1" t="b">
        <v>0</v>
      </c>
      <c r="F3484" s="1" t="s">
        <v>17324</v>
      </c>
    </row>
    <row r="3485">
      <c r="A3485" s="1">
        <v>49899.0</v>
      </c>
      <c r="B3485" s="1">
        <v>16113.0</v>
      </c>
      <c r="C3485" s="1">
        <v>1.615656768E9</v>
      </c>
      <c r="D3485" s="1">
        <v>4.0</v>
      </c>
      <c r="E3485" s="1" t="b">
        <v>0</v>
      </c>
      <c r="F3485" s="1" t="s">
        <v>17325</v>
      </c>
    </row>
    <row r="3486">
      <c r="A3486" s="1">
        <v>49899.0</v>
      </c>
      <c r="B3486" s="1">
        <v>8788.0</v>
      </c>
      <c r="C3486" s="1">
        <v>1.612029292E9</v>
      </c>
      <c r="D3486" s="1">
        <v>1.0</v>
      </c>
      <c r="E3486" s="1" t="b">
        <v>0</v>
      </c>
      <c r="F3486" s="1" t="s">
        <v>17326</v>
      </c>
      <c r="G3486" s="1" t="b">
        <v>1</v>
      </c>
    </row>
    <row r="3487">
      <c r="A3487" s="1">
        <v>49899.0</v>
      </c>
      <c r="B3487" s="1">
        <v>16624.0</v>
      </c>
      <c r="C3487" s="1">
        <v>1.617555756E9</v>
      </c>
      <c r="D3487" s="1">
        <v>4.0</v>
      </c>
      <c r="E3487" s="1" t="b">
        <v>0</v>
      </c>
      <c r="F3487" s="1" t="s">
        <v>17327</v>
      </c>
    </row>
    <row r="3488">
      <c r="A3488" s="1">
        <v>49899.0</v>
      </c>
      <c r="B3488" s="1">
        <v>14126.0</v>
      </c>
      <c r="C3488" s="1">
        <v>1.613539534E9</v>
      </c>
      <c r="D3488" s="1">
        <v>4.0</v>
      </c>
      <c r="E3488" s="1" t="b">
        <v>0</v>
      </c>
      <c r="F3488" s="1" t="s">
        <v>17328</v>
      </c>
    </row>
    <row r="3489">
      <c r="A3489" s="1">
        <v>49899.0</v>
      </c>
      <c r="B3489" s="1">
        <v>15003.0</v>
      </c>
      <c r="C3489" s="1">
        <v>1.614171631E9</v>
      </c>
      <c r="D3489" s="1">
        <v>4.0</v>
      </c>
      <c r="E3489" s="1" t="b">
        <v>0</v>
      </c>
      <c r="F3489" s="1" t="s">
        <v>17329</v>
      </c>
    </row>
    <row r="3490">
      <c r="A3490" s="1">
        <v>49899.0</v>
      </c>
      <c r="B3490" s="1">
        <v>16548.0</v>
      </c>
      <c r="C3490" s="1">
        <v>1.617153991E9</v>
      </c>
      <c r="D3490" s="1">
        <v>4.0</v>
      </c>
      <c r="E3490" s="1" t="b">
        <v>0</v>
      </c>
      <c r="F3490" s="1" t="s">
        <v>17330</v>
      </c>
    </row>
    <row r="3491">
      <c r="A3491" s="1">
        <v>49899.0</v>
      </c>
      <c r="B3491" s="1">
        <v>16036.0</v>
      </c>
      <c r="C3491" s="1">
        <v>1.615358599E9</v>
      </c>
      <c r="D3491" s="1">
        <v>4.0</v>
      </c>
      <c r="E3491" s="1" t="b">
        <v>0</v>
      </c>
      <c r="F3491" s="1" t="s">
        <v>17331</v>
      </c>
    </row>
    <row r="3492">
      <c r="A3492" s="1">
        <v>49899.0</v>
      </c>
      <c r="B3492" s="1">
        <v>12712.0</v>
      </c>
      <c r="C3492" s="1">
        <v>1.613045174E9</v>
      </c>
      <c r="D3492" s="1">
        <v>4.0</v>
      </c>
      <c r="E3492" s="1" t="b">
        <v>0</v>
      </c>
      <c r="F3492" s="1" t="s">
        <v>17332</v>
      </c>
      <c r="G3492" s="1" t="b">
        <v>1</v>
      </c>
    </row>
    <row r="3493">
      <c r="A3493" s="1">
        <v>49899.0</v>
      </c>
      <c r="B3493" s="1">
        <v>15815.0</v>
      </c>
      <c r="C3493" s="1">
        <v>1.615006131E9</v>
      </c>
      <c r="D3493" s="1">
        <v>4.0</v>
      </c>
      <c r="E3493" s="1" t="b">
        <v>0</v>
      </c>
      <c r="F3493" s="1" t="s">
        <v>17333</v>
      </c>
    </row>
    <row r="3494">
      <c r="A3494" s="1">
        <v>49899.0</v>
      </c>
      <c r="B3494" s="1">
        <v>13238.0</v>
      </c>
      <c r="C3494" s="1">
        <v>1.613478894E9</v>
      </c>
      <c r="D3494" s="1">
        <v>4.0</v>
      </c>
      <c r="E3494" s="1" t="b">
        <v>0</v>
      </c>
      <c r="F3494" s="1" t="s">
        <v>17334</v>
      </c>
    </row>
    <row r="3495">
      <c r="A3495" s="1">
        <v>49899.0</v>
      </c>
      <c r="B3495" s="1">
        <v>16257.0</v>
      </c>
      <c r="C3495" s="1">
        <v>1.615976299E9</v>
      </c>
      <c r="D3495" s="1">
        <v>4.0</v>
      </c>
      <c r="E3495" s="1" t="b">
        <v>0</v>
      </c>
      <c r="F3495" s="1" t="s">
        <v>17335</v>
      </c>
    </row>
    <row r="3496">
      <c r="A3496" s="1">
        <v>49899.0</v>
      </c>
      <c r="B3496" s="1">
        <v>15034.0</v>
      </c>
      <c r="C3496" s="1">
        <v>1.61421517E9</v>
      </c>
      <c r="D3496" s="1">
        <v>4.0</v>
      </c>
      <c r="E3496" s="1" t="b">
        <v>0</v>
      </c>
      <c r="F3496" s="1" t="s">
        <v>17336</v>
      </c>
    </row>
    <row r="3497">
      <c r="A3497" s="1">
        <v>49899.0</v>
      </c>
      <c r="B3497" s="1">
        <v>14730.0</v>
      </c>
      <c r="C3497" s="1">
        <v>1.613977898E9</v>
      </c>
      <c r="D3497" s="1">
        <v>4.0</v>
      </c>
      <c r="E3497" s="1" t="b">
        <v>0</v>
      </c>
      <c r="F3497" s="1" t="s">
        <v>17337</v>
      </c>
    </row>
    <row r="3498">
      <c r="A3498" s="1">
        <v>49899.0</v>
      </c>
      <c r="B3498" s="1">
        <v>18148.0</v>
      </c>
      <c r="C3498" s="1">
        <v>1.621167655E9</v>
      </c>
      <c r="D3498" s="1">
        <v>4.0</v>
      </c>
      <c r="E3498" s="1" t="b">
        <v>0</v>
      </c>
      <c r="F3498" s="1" t="s">
        <v>17338</v>
      </c>
    </row>
    <row r="3499">
      <c r="A3499" s="1">
        <v>49899.0</v>
      </c>
      <c r="B3499" s="1">
        <v>15975.0</v>
      </c>
      <c r="C3499" s="1">
        <v>1.6152495E9</v>
      </c>
      <c r="D3499" s="1">
        <v>4.0</v>
      </c>
      <c r="E3499" s="1" t="b">
        <v>0</v>
      </c>
      <c r="F3499" s="1" t="s">
        <v>17339</v>
      </c>
    </row>
    <row r="3500">
      <c r="A3500" s="1">
        <v>49899.0</v>
      </c>
      <c r="B3500" s="1">
        <v>11302.0</v>
      </c>
      <c r="C3500" s="1">
        <v>1.612725162E9</v>
      </c>
      <c r="D3500" s="1">
        <v>4.0</v>
      </c>
      <c r="E3500" s="1" t="b">
        <v>0</v>
      </c>
      <c r="F3500" s="1" t="s">
        <v>17340</v>
      </c>
    </row>
    <row r="3501">
      <c r="A3501" s="1">
        <v>49899.0</v>
      </c>
      <c r="B3501" s="1">
        <v>17677.0</v>
      </c>
      <c r="C3501" s="1">
        <v>1.620412405E9</v>
      </c>
      <c r="D3501" s="1">
        <v>9.0</v>
      </c>
      <c r="E3501" s="1" t="b">
        <v>0</v>
      </c>
      <c r="F3501" s="1" t="s">
        <v>17341</v>
      </c>
    </row>
    <row r="3502">
      <c r="A3502" s="1">
        <v>49899.0</v>
      </c>
      <c r="B3502" s="1">
        <v>10619.0</v>
      </c>
      <c r="C3502" s="1">
        <v>1.612518278E9</v>
      </c>
      <c r="D3502" s="1">
        <v>4.0</v>
      </c>
      <c r="E3502" s="1" t="b">
        <v>0</v>
      </c>
      <c r="F3502" s="1" t="s">
        <v>17342</v>
      </c>
    </row>
    <row r="3503">
      <c r="A3503" s="1">
        <v>49899.0</v>
      </c>
      <c r="B3503" s="1">
        <v>16623.0</v>
      </c>
      <c r="C3503" s="1">
        <v>1.617555778E9</v>
      </c>
      <c r="D3503" s="1">
        <v>4.0</v>
      </c>
      <c r="E3503" s="1" t="b">
        <v>0</v>
      </c>
      <c r="F3503" s="1" t="s">
        <v>17343</v>
      </c>
    </row>
    <row r="3504">
      <c r="A3504" s="1">
        <v>49899.0</v>
      </c>
      <c r="B3504" s="1">
        <v>15565.0</v>
      </c>
      <c r="C3504" s="1">
        <v>1.614697663E9</v>
      </c>
      <c r="D3504" s="1">
        <v>4.0</v>
      </c>
      <c r="E3504" s="1" t="b">
        <v>0</v>
      </c>
      <c r="F3504" s="1" t="s">
        <v>17344</v>
      </c>
    </row>
    <row r="3505">
      <c r="A3505" s="1">
        <v>49899.0</v>
      </c>
      <c r="B3505" s="1">
        <v>16141.0</v>
      </c>
      <c r="C3505" s="1">
        <v>1.615600013E9</v>
      </c>
      <c r="D3505" s="1">
        <v>4.0</v>
      </c>
      <c r="E3505" s="1" t="b">
        <v>0</v>
      </c>
      <c r="F3505" s="1" t="s">
        <v>17345</v>
      </c>
    </row>
    <row r="3506">
      <c r="A3506" s="1">
        <v>49899.0</v>
      </c>
      <c r="B3506" s="1">
        <v>16138.0</v>
      </c>
      <c r="C3506" s="1">
        <v>1.615559472E9</v>
      </c>
      <c r="D3506" s="1">
        <v>4.0</v>
      </c>
      <c r="E3506" s="1" t="b">
        <v>0</v>
      </c>
      <c r="F3506" s="1" t="s">
        <v>17346</v>
      </c>
    </row>
    <row r="3507">
      <c r="A3507" s="1">
        <v>49899.0</v>
      </c>
      <c r="B3507" s="1">
        <v>16631.0</v>
      </c>
      <c r="C3507" s="1">
        <v>1.617610771E9</v>
      </c>
      <c r="D3507" s="1">
        <v>4.0</v>
      </c>
      <c r="E3507" s="1" t="b">
        <v>0</v>
      </c>
      <c r="F3507" s="1" t="s">
        <v>17347</v>
      </c>
    </row>
    <row r="3508">
      <c r="A3508" s="1">
        <v>49899.0</v>
      </c>
      <c r="B3508" s="1">
        <v>15552.0</v>
      </c>
      <c r="C3508" s="1">
        <v>1.614685362E9</v>
      </c>
      <c r="D3508" s="1">
        <v>4.0</v>
      </c>
      <c r="E3508" s="1" t="b">
        <v>0</v>
      </c>
      <c r="F3508" s="1" t="s">
        <v>17348</v>
      </c>
    </row>
    <row r="3509">
      <c r="A3509" s="1">
        <v>49899.0</v>
      </c>
      <c r="B3509" s="1">
        <v>19373.0</v>
      </c>
      <c r="C3509" s="1">
        <v>1.622640878E9</v>
      </c>
      <c r="D3509" s="1">
        <v>4.0</v>
      </c>
      <c r="E3509" s="1" t="b">
        <v>0</v>
      </c>
      <c r="F3509" s="1" t="s">
        <v>17349</v>
      </c>
    </row>
    <row r="3510">
      <c r="A3510" s="1">
        <v>49899.0</v>
      </c>
      <c r="B3510" s="1">
        <v>15986.0</v>
      </c>
      <c r="C3510" s="1">
        <v>1.615262684E9</v>
      </c>
      <c r="D3510" s="1">
        <v>4.0</v>
      </c>
      <c r="E3510" s="1" t="b">
        <v>0</v>
      </c>
      <c r="F3510" s="1" t="s">
        <v>17350</v>
      </c>
    </row>
    <row r="3511">
      <c r="A3511" s="1">
        <v>49899.0</v>
      </c>
      <c r="B3511" s="1">
        <v>15960.0</v>
      </c>
      <c r="C3511" s="1">
        <v>1.615208417E9</v>
      </c>
      <c r="D3511" s="1">
        <v>4.0</v>
      </c>
      <c r="E3511" s="1" t="b">
        <v>0</v>
      </c>
      <c r="F3511" s="1" t="s">
        <v>17351</v>
      </c>
    </row>
    <row r="3512">
      <c r="A3512" s="1">
        <v>49899.0</v>
      </c>
      <c r="B3512" s="1">
        <v>15788.0</v>
      </c>
      <c r="C3512" s="1">
        <v>1.614952978E9</v>
      </c>
      <c r="D3512" s="1">
        <v>4.0</v>
      </c>
      <c r="E3512" s="1" t="b">
        <v>0</v>
      </c>
      <c r="F3512" s="1" t="s">
        <v>17352</v>
      </c>
    </row>
    <row r="3513">
      <c r="A3513" s="1">
        <v>49899.0</v>
      </c>
      <c r="B3513" s="1">
        <v>16715.0</v>
      </c>
      <c r="C3513" s="1">
        <v>1.617766444E9</v>
      </c>
      <c r="D3513" s="1">
        <v>4.0</v>
      </c>
      <c r="E3513" s="1" t="b">
        <v>0</v>
      </c>
      <c r="F3513" s="1" t="s">
        <v>17353</v>
      </c>
    </row>
    <row r="3514">
      <c r="A3514" s="1">
        <v>49899.0</v>
      </c>
      <c r="B3514" s="1">
        <v>16560.0</v>
      </c>
      <c r="C3514" s="1">
        <v>1.617261228E9</v>
      </c>
      <c r="D3514" s="1">
        <v>4.0</v>
      </c>
      <c r="E3514" s="1" t="b">
        <v>0</v>
      </c>
      <c r="F3514" s="1" t="s">
        <v>17354</v>
      </c>
    </row>
    <row r="3515">
      <c r="A3515" s="1">
        <v>49899.0</v>
      </c>
      <c r="B3515" s="1">
        <v>18153.0</v>
      </c>
      <c r="C3515" s="1">
        <v>1.621168767E9</v>
      </c>
      <c r="D3515" s="1">
        <v>4.0</v>
      </c>
      <c r="E3515" s="1" t="b">
        <v>0</v>
      </c>
      <c r="F3515" s="1" t="s">
        <v>17355</v>
      </c>
    </row>
    <row r="3516">
      <c r="A3516" s="1">
        <v>49899.0</v>
      </c>
      <c r="B3516" s="1">
        <v>15446.0</v>
      </c>
      <c r="C3516" s="1">
        <v>1.614573948E9</v>
      </c>
      <c r="D3516" s="1">
        <v>4.0</v>
      </c>
      <c r="E3516" s="1" t="b">
        <v>0</v>
      </c>
      <c r="F3516" s="1" t="s">
        <v>17356</v>
      </c>
    </row>
    <row r="3517">
      <c r="A3517" s="1">
        <v>49899.0</v>
      </c>
      <c r="B3517" s="1">
        <v>14124.0</v>
      </c>
      <c r="C3517" s="1">
        <v>1.613539106E9</v>
      </c>
      <c r="D3517" s="1">
        <v>4.0</v>
      </c>
      <c r="E3517" s="1" t="b">
        <v>0</v>
      </c>
      <c r="F3517" s="1" t="s">
        <v>17357</v>
      </c>
    </row>
    <row r="3518">
      <c r="A3518" s="1">
        <v>49899.0</v>
      </c>
      <c r="B3518" s="1">
        <v>15578.0</v>
      </c>
      <c r="C3518" s="1">
        <v>1.614754387E9</v>
      </c>
      <c r="D3518" s="1">
        <v>4.0</v>
      </c>
      <c r="E3518" s="1" t="b">
        <v>0</v>
      </c>
      <c r="F3518" s="1" t="s">
        <v>17358</v>
      </c>
    </row>
    <row r="3519">
      <c r="A3519" s="1">
        <v>49899.0</v>
      </c>
      <c r="B3519" s="1">
        <v>16003.0</v>
      </c>
      <c r="C3519" s="1">
        <v>1.615284686E9</v>
      </c>
      <c r="D3519" s="1">
        <v>4.0</v>
      </c>
      <c r="E3519" s="1" t="b">
        <v>0</v>
      </c>
      <c r="F3519" s="1" t="s">
        <v>17359</v>
      </c>
    </row>
    <row r="3520">
      <c r="A3520" s="1">
        <v>49899.0</v>
      </c>
      <c r="B3520" s="1">
        <v>15560.0</v>
      </c>
      <c r="C3520" s="1">
        <v>1.614693283E9</v>
      </c>
      <c r="D3520" s="1">
        <v>4.0</v>
      </c>
      <c r="E3520" s="1" t="b">
        <v>0</v>
      </c>
      <c r="F3520" s="1" t="s">
        <v>17360</v>
      </c>
    </row>
    <row r="3521">
      <c r="A3521" s="1">
        <v>49899.0</v>
      </c>
      <c r="B3521" s="1">
        <v>15594.0</v>
      </c>
      <c r="C3521" s="1">
        <v>1.614755671E9</v>
      </c>
      <c r="D3521" s="1">
        <v>4.0</v>
      </c>
      <c r="E3521" s="1" t="b">
        <v>0</v>
      </c>
      <c r="F3521" s="1" t="s">
        <v>17361</v>
      </c>
    </row>
    <row r="3522">
      <c r="A3522" s="1">
        <v>49899.0</v>
      </c>
      <c r="B3522" s="1">
        <v>16142.0</v>
      </c>
      <c r="C3522" s="1">
        <v>1.615599966E9</v>
      </c>
      <c r="D3522" s="1">
        <v>4.0</v>
      </c>
      <c r="E3522" s="1" t="b">
        <v>0</v>
      </c>
      <c r="F3522" s="1" t="s">
        <v>17362</v>
      </c>
    </row>
    <row r="3523">
      <c r="A3523" s="1">
        <v>49899.0</v>
      </c>
      <c r="B3523" s="1">
        <v>17676.0</v>
      </c>
      <c r="C3523" s="1">
        <v>1.62045423E9</v>
      </c>
      <c r="D3523" s="1">
        <v>4.0</v>
      </c>
      <c r="E3523" s="1" t="b">
        <v>0</v>
      </c>
      <c r="F3523" s="1" t="s">
        <v>17363</v>
      </c>
      <c r="G3523" s="1" t="b">
        <v>1</v>
      </c>
    </row>
    <row r="3524">
      <c r="A3524" s="1">
        <v>49899.0</v>
      </c>
      <c r="B3524" s="1">
        <v>15616.0</v>
      </c>
      <c r="C3524" s="1">
        <v>1.614754711E9</v>
      </c>
      <c r="D3524" s="1">
        <v>4.0</v>
      </c>
      <c r="E3524" s="1" t="b">
        <v>0</v>
      </c>
      <c r="F3524" s="1" t="s">
        <v>17364</v>
      </c>
    </row>
    <row r="3525">
      <c r="A3525" s="1">
        <v>49899.0</v>
      </c>
      <c r="B3525" s="1">
        <v>16031.0</v>
      </c>
      <c r="C3525" s="1">
        <v>1.615347924E9</v>
      </c>
      <c r="D3525" s="1">
        <v>4.0</v>
      </c>
      <c r="E3525" s="1" t="b">
        <v>0</v>
      </c>
      <c r="F3525" s="1" t="s">
        <v>15154</v>
      </c>
    </row>
    <row r="3526">
      <c r="A3526" s="1">
        <v>49899.0</v>
      </c>
      <c r="B3526" s="1">
        <v>16034.0</v>
      </c>
      <c r="C3526" s="1">
        <v>1.615358628E9</v>
      </c>
      <c r="D3526" s="1">
        <v>4.0</v>
      </c>
      <c r="E3526" s="1" t="b">
        <v>0</v>
      </c>
      <c r="F3526" s="1" t="s">
        <v>17365</v>
      </c>
    </row>
    <row r="3527">
      <c r="A3527" s="1">
        <v>49899.0</v>
      </c>
      <c r="B3527" s="1">
        <v>16087.0</v>
      </c>
      <c r="C3527" s="1">
        <v>1.615461194E9</v>
      </c>
      <c r="D3527" s="1">
        <v>4.0</v>
      </c>
      <c r="E3527" s="1" t="b">
        <v>0</v>
      </c>
      <c r="F3527" s="1" t="s">
        <v>17366</v>
      </c>
      <c r="G3527" s="1" t="b">
        <v>1</v>
      </c>
    </row>
    <row r="3528">
      <c r="A3528" s="1">
        <v>49899.0</v>
      </c>
      <c r="B3528" s="1">
        <v>15810.0</v>
      </c>
      <c r="C3528" s="1">
        <v>1.614968244E9</v>
      </c>
      <c r="D3528" s="1">
        <v>4.0</v>
      </c>
      <c r="E3528" s="1" t="b">
        <v>0</v>
      </c>
      <c r="F3528" s="1" t="s">
        <v>17367</v>
      </c>
    </row>
    <row r="3529">
      <c r="A3529" s="1">
        <v>49899.0</v>
      </c>
      <c r="B3529" s="1">
        <v>15864.0</v>
      </c>
      <c r="C3529" s="1">
        <v>1.615085103E9</v>
      </c>
      <c r="D3529" s="1">
        <v>4.0</v>
      </c>
      <c r="E3529" s="1" t="b">
        <v>0</v>
      </c>
      <c r="F3529" s="1" t="s">
        <v>17368</v>
      </c>
    </row>
    <row r="3530">
      <c r="A3530" s="1">
        <v>49899.0</v>
      </c>
      <c r="B3530" s="1">
        <v>16336.0</v>
      </c>
      <c r="C3530" s="1">
        <v>1.616312907E9</v>
      </c>
      <c r="D3530" s="1">
        <v>4.0</v>
      </c>
      <c r="E3530" s="1" t="b">
        <v>0</v>
      </c>
      <c r="F3530" s="1" t="s">
        <v>17369</v>
      </c>
    </row>
    <row r="3531">
      <c r="A3531" s="1">
        <v>49899.0</v>
      </c>
      <c r="B3531" s="1">
        <v>16236.0</v>
      </c>
      <c r="C3531" s="1">
        <v>1.615901987E9</v>
      </c>
      <c r="D3531" s="1">
        <v>4.0</v>
      </c>
      <c r="E3531" s="1" t="b">
        <v>0</v>
      </c>
      <c r="F3531" s="1" t="s">
        <v>17370</v>
      </c>
    </row>
    <row r="3532">
      <c r="A3532" s="1">
        <v>49899.0</v>
      </c>
      <c r="B3532" s="1">
        <v>15962.0</v>
      </c>
      <c r="C3532" s="1">
        <v>1.615219944E9</v>
      </c>
      <c r="D3532" s="1">
        <v>4.0</v>
      </c>
      <c r="E3532" s="1" t="b">
        <v>0</v>
      </c>
      <c r="F3532" s="1" t="s">
        <v>17371</v>
      </c>
    </row>
    <row r="3533">
      <c r="A3533" s="1">
        <v>49899.0</v>
      </c>
      <c r="B3533" s="1">
        <v>15042.0</v>
      </c>
      <c r="C3533" s="1">
        <v>1.614215462E9</v>
      </c>
      <c r="D3533" s="1">
        <v>4.0</v>
      </c>
      <c r="E3533" s="1" t="b">
        <v>0</v>
      </c>
      <c r="F3533" s="1" t="s">
        <v>17372</v>
      </c>
    </row>
    <row r="3534">
      <c r="A3534" s="1">
        <v>49899.0</v>
      </c>
      <c r="B3534" s="1">
        <v>15564.0</v>
      </c>
      <c r="C3534" s="1">
        <v>1.616061067E9</v>
      </c>
      <c r="D3534" s="1">
        <v>4.0</v>
      </c>
      <c r="E3534" s="1" t="b">
        <v>0</v>
      </c>
      <c r="F3534" s="1" t="s">
        <v>17373</v>
      </c>
    </row>
    <row r="3535">
      <c r="A3535" s="1">
        <v>49899.0</v>
      </c>
      <c r="B3535" s="1">
        <v>15953.0</v>
      </c>
      <c r="C3535" s="1">
        <v>1.615208425E9</v>
      </c>
      <c r="D3535" s="1">
        <v>4.0</v>
      </c>
      <c r="E3535" s="1" t="b">
        <v>0</v>
      </c>
      <c r="F3535" s="1" t="s">
        <v>17374</v>
      </c>
    </row>
    <row r="3536">
      <c r="A3536" s="1">
        <v>49899.0</v>
      </c>
      <c r="B3536" s="1">
        <v>16630.0</v>
      </c>
      <c r="C3536" s="1">
        <v>1.617614015E9</v>
      </c>
      <c r="D3536" s="1">
        <v>4.0</v>
      </c>
      <c r="E3536" s="1" t="b">
        <v>0</v>
      </c>
      <c r="F3536" s="1" t="s">
        <v>17375</v>
      </c>
    </row>
    <row r="3537">
      <c r="A3537" s="1">
        <v>49899.0</v>
      </c>
      <c r="B3537" s="1">
        <v>16291.0</v>
      </c>
      <c r="C3537" s="1">
        <v>1.616073132E9</v>
      </c>
      <c r="D3537" s="1">
        <v>4.0</v>
      </c>
      <c r="E3537" s="1" t="b">
        <v>0</v>
      </c>
      <c r="F3537" s="1" t="s">
        <v>17376</v>
      </c>
    </row>
    <row r="3538">
      <c r="A3538" s="1">
        <v>49899.0</v>
      </c>
      <c r="B3538" s="1">
        <v>14058.0</v>
      </c>
      <c r="C3538" s="1">
        <v>1.613480576E9</v>
      </c>
      <c r="D3538" s="1">
        <v>4.0</v>
      </c>
      <c r="E3538" s="1" t="b">
        <v>0</v>
      </c>
      <c r="F3538" s="1" t="s">
        <v>16074</v>
      </c>
    </row>
    <row r="3539">
      <c r="A3539" s="1">
        <v>49899.0</v>
      </c>
      <c r="B3539" s="1">
        <v>10441.0</v>
      </c>
      <c r="C3539" s="1">
        <v>1.612448282E9</v>
      </c>
      <c r="D3539" s="1">
        <v>4.0</v>
      </c>
      <c r="E3539" s="1" t="b">
        <v>0</v>
      </c>
      <c r="F3539" s="1" t="s">
        <v>17377</v>
      </c>
      <c r="G3539" s="1" t="b">
        <v>1</v>
      </c>
    </row>
    <row r="3540">
      <c r="A3540" s="1">
        <v>49899.0</v>
      </c>
      <c r="B3540" s="1">
        <v>16064.0</v>
      </c>
      <c r="C3540" s="1">
        <v>1.615394615E9</v>
      </c>
      <c r="D3540" s="1">
        <v>4.0</v>
      </c>
      <c r="E3540" s="1" t="b">
        <v>0</v>
      </c>
      <c r="F3540" s="1" t="s">
        <v>17378</v>
      </c>
    </row>
    <row r="3541">
      <c r="A3541" s="1">
        <v>49899.0</v>
      </c>
      <c r="B3541" s="1">
        <v>15978.0</v>
      </c>
      <c r="C3541" s="1">
        <v>1.615249418E9</v>
      </c>
      <c r="D3541" s="1">
        <v>4.0</v>
      </c>
      <c r="E3541" s="1" t="b">
        <v>0</v>
      </c>
      <c r="F3541" s="1" t="s">
        <v>17379</v>
      </c>
    </row>
    <row r="3542">
      <c r="A3542" s="1">
        <v>49899.0</v>
      </c>
      <c r="B3542" s="1">
        <v>16088.0</v>
      </c>
      <c r="C3542" s="1">
        <v>1.615462964E9</v>
      </c>
      <c r="D3542" s="1">
        <v>4.0</v>
      </c>
      <c r="E3542" s="1" t="b">
        <v>0</v>
      </c>
      <c r="F3542" s="1" t="s">
        <v>17380</v>
      </c>
    </row>
    <row r="3543">
      <c r="A3543" s="1">
        <v>49899.0</v>
      </c>
      <c r="B3543" s="1">
        <v>16540.0</v>
      </c>
      <c r="C3543" s="1">
        <v>1.617096855E9</v>
      </c>
      <c r="D3543" s="1">
        <v>4.0</v>
      </c>
      <c r="E3543" s="1" t="b">
        <v>0</v>
      </c>
      <c r="F3543" s="1" t="s">
        <v>17381</v>
      </c>
    </row>
    <row r="3544">
      <c r="A3544" s="1">
        <v>49899.0</v>
      </c>
      <c r="B3544" s="1">
        <v>16044.0</v>
      </c>
      <c r="C3544" s="1">
        <v>1.615371729E9</v>
      </c>
      <c r="D3544" s="1">
        <v>4.0</v>
      </c>
      <c r="E3544" s="1" t="b">
        <v>0</v>
      </c>
      <c r="F3544" s="1" t="s">
        <v>17382</v>
      </c>
    </row>
    <row r="3545">
      <c r="A3545" s="1">
        <v>49907.0</v>
      </c>
      <c r="B3545" s="1">
        <v>19198.0</v>
      </c>
      <c r="C3545" s="1">
        <v>1.622472083E9</v>
      </c>
      <c r="D3545" s="1">
        <v>4.0</v>
      </c>
      <c r="E3545" s="1" t="b">
        <v>0</v>
      </c>
      <c r="F3545" s="1" t="s">
        <v>17383</v>
      </c>
    </row>
    <row r="3546">
      <c r="A3546" s="1">
        <v>49907.0</v>
      </c>
      <c r="B3546" s="1">
        <v>19575.0</v>
      </c>
      <c r="C3546" s="1">
        <v>1.623002441E9</v>
      </c>
      <c r="D3546" s="1">
        <v>4.0</v>
      </c>
      <c r="E3546" s="1" t="b">
        <v>0</v>
      </c>
      <c r="F3546" s="1" t="s">
        <v>17384</v>
      </c>
    </row>
    <row r="3547">
      <c r="A3547" s="1">
        <v>49907.0</v>
      </c>
      <c r="B3547" s="1">
        <v>17770.0</v>
      </c>
      <c r="C3547" s="1">
        <v>1.620500231E9</v>
      </c>
      <c r="D3547" s="1">
        <v>4.0</v>
      </c>
      <c r="E3547" s="1" t="b">
        <v>0</v>
      </c>
      <c r="F3547" s="1" t="s">
        <v>17385</v>
      </c>
    </row>
    <row r="3548">
      <c r="A3548" s="1">
        <v>49907.0</v>
      </c>
      <c r="B3548" s="1">
        <v>17335.0</v>
      </c>
      <c r="C3548" s="1">
        <v>1.619514667E9</v>
      </c>
      <c r="D3548" s="1">
        <v>4.0</v>
      </c>
      <c r="E3548" s="1" t="b">
        <v>0</v>
      </c>
      <c r="F3548" s="1" t="s">
        <v>17386</v>
      </c>
    </row>
    <row r="3549">
      <c r="A3549" s="1">
        <v>49907.0</v>
      </c>
      <c r="B3549" s="1">
        <v>19454.0</v>
      </c>
      <c r="C3549" s="1">
        <v>1.622728281E9</v>
      </c>
      <c r="D3549" s="1">
        <v>4.0</v>
      </c>
      <c r="E3549" s="1" t="b">
        <v>0</v>
      </c>
      <c r="F3549" s="1" t="s">
        <v>17387</v>
      </c>
    </row>
    <row r="3550">
      <c r="A3550" s="1">
        <v>49907.0</v>
      </c>
      <c r="B3550" s="1">
        <v>17357.0</v>
      </c>
      <c r="C3550" s="1">
        <v>1.619515068E9</v>
      </c>
      <c r="D3550" s="1">
        <v>4.0</v>
      </c>
      <c r="E3550" s="1" t="b">
        <v>0</v>
      </c>
      <c r="F3550" s="1" t="s">
        <v>17388</v>
      </c>
    </row>
    <row r="3551">
      <c r="A3551" s="1">
        <v>49907.0</v>
      </c>
      <c r="B3551" s="1">
        <v>18493.0</v>
      </c>
      <c r="C3551" s="1">
        <v>1.621672646E9</v>
      </c>
      <c r="D3551" s="1">
        <v>4.0</v>
      </c>
      <c r="E3551" s="1" t="b">
        <v>0</v>
      </c>
      <c r="F3551" s="1" t="s">
        <v>17389</v>
      </c>
    </row>
    <row r="3552">
      <c r="A3552" s="1">
        <v>49907.0</v>
      </c>
      <c r="B3552" s="1">
        <v>10265.0</v>
      </c>
      <c r="C3552" s="1">
        <v>1.612425722E9</v>
      </c>
      <c r="D3552" s="1">
        <v>4.0</v>
      </c>
      <c r="E3552" s="1" t="b">
        <v>0</v>
      </c>
      <c r="F3552" s="1" t="s">
        <v>17390</v>
      </c>
      <c r="G3552" s="1" t="b">
        <v>1</v>
      </c>
    </row>
    <row r="3553">
      <c r="A3553" s="1">
        <v>49907.0</v>
      </c>
      <c r="B3553" s="1">
        <v>19496.0</v>
      </c>
      <c r="C3553" s="1">
        <v>1.622882701E9</v>
      </c>
      <c r="D3553" s="1">
        <v>4.0</v>
      </c>
      <c r="E3553" s="1" t="b">
        <v>0</v>
      </c>
      <c r="F3553" s="1" t="s">
        <v>17391</v>
      </c>
    </row>
    <row r="3554">
      <c r="A3554" s="1">
        <v>49907.0</v>
      </c>
      <c r="B3554" s="1">
        <v>20446.0</v>
      </c>
      <c r="C3554" s="1">
        <v>1.624383131E9</v>
      </c>
      <c r="D3554" s="1">
        <v>4.0</v>
      </c>
      <c r="E3554" s="1" t="b">
        <v>0</v>
      </c>
      <c r="F3554" s="1" t="s">
        <v>17392</v>
      </c>
    </row>
    <row r="3555">
      <c r="A3555" s="1">
        <v>49907.0</v>
      </c>
      <c r="B3555" s="1">
        <v>20144.0</v>
      </c>
      <c r="C3555" s="1">
        <v>1.623833011E9</v>
      </c>
      <c r="D3555" s="1">
        <v>4.0</v>
      </c>
      <c r="E3555" s="1" t="b">
        <v>0</v>
      </c>
      <c r="F3555" s="1" t="s">
        <v>17393</v>
      </c>
    </row>
    <row r="3556">
      <c r="A3556" s="1">
        <v>49907.0</v>
      </c>
      <c r="B3556" s="1">
        <v>19131.0</v>
      </c>
      <c r="C3556" s="1">
        <v>1.622439834E9</v>
      </c>
      <c r="D3556" s="1">
        <v>4.0</v>
      </c>
      <c r="E3556" s="1" t="b">
        <v>0</v>
      </c>
      <c r="F3556" s="1" t="s">
        <v>17394</v>
      </c>
    </row>
    <row r="3557">
      <c r="A3557" s="1">
        <v>49907.0</v>
      </c>
      <c r="B3557" s="1">
        <v>17836.0</v>
      </c>
      <c r="C3557" s="1">
        <v>1.623702091E9</v>
      </c>
      <c r="D3557" s="1">
        <v>4.0</v>
      </c>
      <c r="E3557" s="1" t="b">
        <v>0</v>
      </c>
      <c r="F3557" s="1" t="s">
        <v>17395</v>
      </c>
    </row>
    <row r="3558">
      <c r="A3558" s="1">
        <v>49907.0</v>
      </c>
      <c r="B3558" s="1">
        <v>19200.0</v>
      </c>
      <c r="C3558" s="1">
        <v>1.622472406E9</v>
      </c>
      <c r="D3558" s="1">
        <v>4.0</v>
      </c>
      <c r="E3558" s="1" t="b">
        <v>0</v>
      </c>
      <c r="F3558" s="1" t="s">
        <v>17396</v>
      </c>
    </row>
    <row r="3559">
      <c r="A3559" s="1">
        <v>49907.0</v>
      </c>
      <c r="B3559" s="1">
        <v>19107.0</v>
      </c>
      <c r="C3559" s="1">
        <v>1.62238183E9</v>
      </c>
      <c r="D3559" s="1">
        <v>4.0</v>
      </c>
      <c r="E3559" s="1" t="b">
        <v>0</v>
      </c>
      <c r="F3559" s="1" t="s">
        <v>17397</v>
      </c>
    </row>
    <row r="3560">
      <c r="A3560" s="1">
        <v>49907.0</v>
      </c>
      <c r="B3560" s="1">
        <v>19602.0</v>
      </c>
      <c r="C3560" s="1">
        <v>1.623055312E9</v>
      </c>
      <c r="D3560" s="1">
        <v>4.0</v>
      </c>
      <c r="E3560" s="1" t="b">
        <v>0</v>
      </c>
      <c r="F3560" s="1" t="s">
        <v>17398</v>
      </c>
    </row>
    <row r="3561">
      <c r="A3561" s="1">
        <v>49907.0</v>
      </c>
      <c r="B3561" s="1">
        <v>19915.0</v>
      </c>
      <c r="C3561" s="1">
        <v>1.623480205E9</v>
      </c>
      <c r="D3561" s="1">
        <v>4.0</v>
      </c>
      <c r="E3561" s="1" t="b">
        <v>0</v>
      </c>
      <c r="F3561" s="1" t="s">
        <v>17399</v>
      </c>
    </row>
    <row r="3562">
      <c r="A3562" s="1">
        <v>49907.0</v>
      </c>
      <c r="B3562" s="1">
        <v>17343.0</v>
      </c>
      <c r="C3562" s="1">
        <v>1.619514665E9</v>
      </c>
      <c r="D3562" s="1">
        <v>4.0</v>
      </c>
      <c r="E3562" s="1" t="b">
        <v>0</v>
      </c>
      <c r="F3562" s="1" t="s">
        <v>17400</v>
      </c>
    </row>
    <row r="3563">
      <c r="A3563" s="1">
        <v>49907.0</v>
      </c>
      <c r="B3563" s="1">
        <v>18602.0</v>
      </c>
      <c r="C3563" s="1">
        <v>1.621762768E9</v>
      </c>
      <c r="D3563" s="1">
        <v>4.0</v>
      </c>
      <c r="E3563" s="1" t="b">
        <v>0</v>
      </c>
      <c r="F3563" s="1" t="s">
        <v>17401</v>
      </c>
    </row>
    <row r="3564">
      <c r="A3564" s="1">
        <v>49907.0</v>
      </c>
      <c r="B3564" s="1">
        <v>20319.0</v>
      </c>
      <c r="C3564" s="1">
        <v>1.624110791E9</v>
      </c>
      <c r="D3564" s="1">
        <v>4.0</v>
      </c>
      <c r="E3564" s="1" t="b">
        <v>0</v>
      </c>
      <c r="F3564" s="1" t="s">
        <v>17402</v>
      </c>
    </row>
    <row r="3565">
      <c r="A3565" s="1">
        <v>49907.0</v>
      </c>
      <c r="B3565" s="1">
        <v>20168.0</v>
      </c>
      <c r="C3565" s="1">
        <v>1.623857749E9</v>
      </c>
      <c r="D3565" s="1">
        <v>4.0</v>
      </c>
      <c r="E3565" s="1" t="b">
        <v>0</v>
      </c>
      <c r="F3565" s="1" t="s">
        <v>17403</v>
      </c>
    </row>
    <row r="3566">
      <c r="A3566" s="1">
        <v>49907.0</v>
      </c>
      <c r="B3566" s="1">
        <v>19950.0</v>
      </c>
      <c r="C3566" s="1">
        <v>1.62352104E9</v>
      </c>
      <c r="D3566" s="1">
        <v>4.0</v>
      </c>
      <c r="E3566" s="1" t="b">
        <v>0</v>
      </c>
      <c r="F3566" s="1" t="s">
        <v>17404</v>
      </c>
    </row>
    <row r="3567">
      <c r="A3567" s="1">
        <v>49907.0</v>
      </c>
      <c r="B3567" s="1">
        <v>2258.0</v>
      </c>
      <c r="C3567" s="1">
        <v>1.612414046E9</v>
      </c>
      <c r="D3567" s="1">
        <v>4.0</v>
      </c>
      <c r="E3567" s="1" t="b">
        <v>0</v>
      </c>
      <c r="F3567" s="1" t="s">
        <v>14380</v>
      </c>
    </row>
    <row r="3568">
      <c r="A3568" s="1">
        <v>49907.0</v>
      </c>
      <c r="B3568" s="1">
        <v>19452.0</v>
      </c>
      <c r="C3568" s="1">
        <v>1.622724615E9</v>
      </c>
      <c r="D3568" s="1">
        <v>4.0</v>
      </c>
      <c r="E3568" s="1" t="b">
        <v>0</v>
      </c>
      <c r="F3568" s="1" t="s">
        <v>17405</v>
      </c>
    </row>
    <row r="3569">
      <c r="A3569" s="1">
        <v>49907.0</v>
      </c>
      <c r="B3569" s="1">
        <v>19220.0</v>
      </c>
      <c r="C3569" s="1">
        <v>1.622649519E9</v>
      </c>
      <c r="D3569" s="1">
        <v>4.0</v>
      </c>
      <c r="E3569" s="1" t="b">
        <v>0</v>
      </c>
      <c r="F3569" s="1" t="s">
        <v>17406</v>
      </c>
    </row>
    <row r="3570">
      <c r="A3570" s="1">
        <v>49907.0</v>
      </c>
      <c r="B3570" s="1">
        <v>19435.0</v>
      </c>
      <c r="C3570" s="1">
        <v>1.622710649E9</v>
      </c>
      <c r="D3570" s="1">
        <v>4.0</v>
      </c>
      <c r="E3570" s="1" t="b">
        <v>0</v>
      </c>
      <c r="F3570" s="1" t="s">
        <v>17407</v>
      </c>
    </row>
    <row r="3571">
      <c r="A3571" s="1">
        <v>49907.0</v>
      </c>
      <c r="B3571" s="1">
        <v>580.0</v>
      </c>
      <c r="C3571" s="1">
        <v>1.612425634E9</v>
      </c>
      <c r="D3571" s="1">
        <v>4.0</v>
      </c>
      <c r="E3571" s="1" t="b">
        <v>0</v>
      </c>
      <c r="F3571" s="1" t="s">
        <v>17408</v>
      </c>
    </row>
    <row r="3572">
      <c r="A3572" s="1">
        <v>49907.0</v>
      </c>
      <c r="B3572" s="1">
        <v>20225.0</v>
      </c>
      <c r="C3572" s="1">
        <v>1.623943606E9</v>
      </c>
      <c r="D3572" s="1">
        <v>4.0</v>
      </c>
      <c r="E3572" s="1" t="b">
        <v>0</v>
      </c>
      <c r="F3572" s="1" t="s">
        <v>17409</v>
      </c>
    </row>
    <row r="3573">
      <c r="A3573" s="1">
        <v>49907.0</v>
      </c>
      <c r="B3573" s="1">
        <v>9842.0</v>
      </c>
      <c r="C3573" s="1">
        <v>1.612245454E9</v>
      </c>
      <c r="D3573" s="1">
        <v>4.0</v>
      </c>
      <c r="E3573" s="1" t="b">
        <v>0</v>
      </c>
      <c r="F3573" s="1" t="s">
        <v>17410</v>
      </c>
      <c r="G3573" s="1" t="b">
        <v>1</v>
      </c>
    </row>
    <row r="3574">
      <c r="A3574" s="1">
        <v>49907.0</v>
      </c>
      <c r="B3574" s="1">
        <v>19536.0</v>
      </c>
      <c r="C3574" s="1">
        <v>1.622976055E9</v>
      </c>
      <c r="D3574" s="1">
        <v>4.0</v>
      </c>
      <c r="E3574" s="1" t="b">
        <v>0</v>
      </c>
      <c r="F3574" s="1" t="s">
        <v>17411</v>
      </c>
    </row>
    <row r="3575">
      <c r="A3575" s="1">
        <v>49907.0</v>
      </c>
      <c r="B3575" s="1">
        <v>16883.0</v>
      </c>
      <c r="C3575" s="1">
        <v>1.618479514E9</v>
      </c>
      <c r="D3575" s="1">
        <v>4.0</v>
      </c>
      <c r="E3575" s="1" t="b">
        <v>0</v>
      </c>
      <c r="F3575" s="1" t="s">
        <v>17412</v>
      </c>
    </row>
    <row r="3576">
      <c r="A3576" s="1">
        <v>49907.0</v>
      </c>
      <c r="B3576" s="1">
        <v>16887.0</v>
      </c>
      <c r="C3576" s="1">
        <v>1.618483338E9</v>
      </c>
      <c r="D3576" s="1">
        <v>4.0</v>
      </c>
      <c r="E3576" s="1" t="b">
        <v>0</v>
      </c>
      <c r="F3576" s="1" t="s">
        <v>16384</v>
      </c>
    </row>
    <row r="3577">
      <c r="A3577" s="1">
        <v>49907.0</v>
      </c>
      <c r="B3577" s="1">
        <v>20012.0</v>
      </c>
      <c r="C3577" s="1">
        <v>1.623637555E9</v>
      </c>
      <c r="D3577" s="1">
        <v>4.0</v>
      </c>
      <c r="E3577" s="1" t="b">
        <v>0</v>
      </c>
      <c r="F3577" s="1" t="s">
        <v>17413</v>
      </c>
    </row>
    <row r="3578">
      <c r="A3578" s="1">
        <v>49907.0</v>
      </c>
      <c r="B3578" s="1">
        <v>19726.0</v>
      </c>
      <c r="C3578" s="1">
        <v>1.623222627E9</v>
      </c>
      <c r="D3578" s="1">
        <v>4.0</v>
      </c>
      <c r="E3578" s="1" t="b">
        <v>0</v>
      </c>
      <c r="F3578" s="1" t="s">
        <v>17414</v>
      </c>
    </row>
    <row r="3579">
      <c r="A3579" s="1">
        <v>49907.0</v>
      </c>
      <c r="B3579" s="1">
        <v>16885.0</v>
      </c>
      <c r="C3579" s="1">
        <v>1.618481771E9</v>
      </c>
      <c r="D3579" s="1">
        <v>4.0</v>
      </c>
      <c r="E3579" s="1" t="b">
        <v>0</v>
      </c>
      <c r="F3579" s="1" t="s">
        <v>17415</v>
      </c>
    </row>
    <row r="3580">
      <c r="A3580" s="1">
        <v>49907.0</v>
      </c>
      <c r="B3580" s="1">
        <v>20322.0</v>
      </c>
      <c r="C3580" s="1">
        <v>1.624117396E9</v>
      </c>
      <c r="D3580" s="1">
        <v>4.0</v>
      </c>
      <c r="E3580" s="1" t="b">
        <v>0</v>
      </c>
      <c r="F3580" s="1" t="s">
        <v>17416</v>
      </c>
    </row>
    <row r="3581">
      <c r="A3581" s="1">
        <v>49907.0</v>
      </c>
      <c r="B3581" s="1">
        <v>16995.0</v>
      </c>
      <c r="C3581" s="1">
        <v>1.61882143E9</v>
      </c>
      <c r="D3581" s="1">
        <v>4.0</v>
      </c>
      <c r="E3581" s="1" t="b">
        <v>0</v>
      </c>
      <c r="F3581" s="1" t="s">
        <v>17417</v>
      </c>
    </row>
    <row r="3582">
      <c r="A3582" s="1">
        <v>49907.0</v>
      </c>
      <c r="B3582" s="1">
        <v>19994.0</v>
      </c>
      <c r="C3582" s="1">
        <v>1.623600613E9</v>
      </c>
      <c r="D3582" s="1">
        <v>4.0</v>
      </c>
      <c r="E3582" s="1" t="b">
        <v>0</v>
      </c>
      <c r="F3582" s="1" t="s">
        <v>17418</v>
      </c>
    </row>
    <row r="3583">
      <c r="A3583" s="1">
        <v>49907.0</v>
      </c>
      <c r="B3583" s="1">
        <v>19819.0</v>
      </c>
      <c r="C3583" s="1">
        <v>1.623337248E9</v>
      </c>
      <c r="D3583" s="1">
        <v>4.0</v>
      </c>
      <c r="E3583" s="1" t="b">
        <v>0</v>
      </c>
      <c r="F3583" s="1" t="s">
        <v>17419</v>
      </c>
    </row>
    <row r="3584">
      <c r="A3584" s="1">
        <v>49907.0</v>
      </c>
      <c r="B3584" s="1">
        <v>9790.0</v>
      </c>
      <c r="C3584" s="1">
        <v>1.612235407E9</v>
      </c>
      <c r="D3584" s="1">
        <v>4.0</v>
      </c>
      <c r="E3584" s="1" t="b">
        <v>0</v>
      </c>
      <c r="F3584" s="1" t="s">
        <v>17420</v>
      </c>
      <c r="G3584" s="1" t="b">
        <v>1</v>
      </c>
    </row>
    <row r="3585">
      <c r="A3585" s="1">
        <v>49907.0</v>
      </c>
      <c r="B3585" s="1">
        <v>19984.0</v>
      </c>
      <c r="C3585" s="1">
        <v>1.623591044E9</v>
      </c>
      <c r="D3585" s="1">
        <v>4.0</v>
      </c>
      <c r="E3585" s="1" t="b">
        <v>0</v>
      </c>
      <c r="F3585" s="1" t="s">
        <v>17421</v>
      </c>
    </row>
    <row r="3586">
      <c r="A3586" s="1">
        <v>49907.0</v>
      </c>
      <c r="B3586" s="1">
        <v>20103.0</v>
      </c>
      <c r="C3586" s="1">
        <v>1.623848989E9</v>
      </c>
      <c r="D3586" s="1">
        <v>4.0</v>
      </c>
      <c r="E3586" s="1" t="b">
        <v>0</v>
      </c>
      <c r="F3586" s="1" t="s">
        <v>17422</v>
      </c>
    </row>
    <row r="3587">
      <c r="A3587" s="1">
        <v>49907.0</v>
      </c>
      <c r="B3587" s="1">
        <v>16915.0</v>
      </c>
      <c r="C3587" s="1">
        <v>1.618571929E9</v>
      </c>
      <c r="D3587" s="1">
        <v>4.0</v>
      </c>
      <c r="E3587" s="1" t="b">
        <v>0</v>
      </c>
      <c r="F3587" s="1" t="s">
        <v>17423</v>
      </c>
    </row>
    <row r="3588">
      <c r="A3588" s="1">
        <v>49907.0</v>
      </c>
      <c r="B3588" s="1">
        <v>17020.0</v>
      </c>
      <c r="C3588" s="1">
        <v>1.618905036E9</v>
      </c>
      <c r="D3588" s="1">
        <v>4.0</v>
      </c>
      <c r="E3588" s="1" t="b">
        <v>0</v>
      </c>
      <c r="F3588" s="1" t="s">
        <v>17424</v>
      </c>
    </row>
    <row r="3589">
      <c r="A3589" s="1">
        <v>49907.0</v>
      </c>
      <c r="B3589" s="1">
        <v>19510.0</v>
      </c>
      <c r="C3589" s="1">
        <v>1.622882695E9</v>
      </c>
      <c r="D3589" s="1">
        <v>4.0</v>
      </c>
      <c r="E3589" s="1" t="b">
        <v>0</v>
      </c>
      <c r="F3589" s="1" t="s">
        <v>17425</v>
      </c>
    </row>
    <row r="3590">
      <c r="A3590" s="1">
        <v>49907.0</v>
      </c>
      <c r="B3590" s="1">
        <v>20332.0</v>
      </c>
      <c r="C3590" s="1">
        <v>1.624131786E9</v>
      </c>
      <c r="D3590" s="1">
        <v>4.0</v>
      </c>
      <c r="E3590" s="1" t="b">
        <v>0</v>
      </c>
      <c r="F3590" s="1" t="s">
        <v>17426</v>
      </c>
    </row>
    <row r="3591">
      <c r="A3591" s="1">
        <v>49907.0</v>
      </c>
      <c r="B3591" s="1">
        <v>19014.0</v>
      </c>
      <c r="C3591" s="1">
        <v>1.622271093E9</v>
      </c>
      <c r="D3591" s="1">
        <v>4.0</v>
      </c>
      <c r="E3591" s="1" t="b">
        <v>0</v>
      </c>
      <c r="F3591" s="1" t="s">
        <v>17427</v>
      </c>
    </row>
    <row r="3592">
      <c r="A3592" s="1">
        <v>49907.0</v>
      </c>
      <c r="B3592" s="1">
        <v>20303.0</v>
      </c>
      <c r="C3592" s="1">
        <v>1.624085291E9</v>
      </c>
      <c r="D3592" s="1">
        <v>4.0</v>
      </c>
      <c r="E3592" s="1" t="b">
        <v>0</v>
      </c>
      <c r="F3592" s="1" t="s">
        <v>17428</v>
      </c>
    </row>
    <row r="3593">
      <c r="A3593" s="1">
        <v>49907.0</v>
      </c>
      <c r="B3593" s="1">
        <v>18770.0</v>
      </c>
      <c r="C3593" s="1">
        <v>1.621935977E9</v>
      </c>
      <c r="D3593" s="1">
        <v>4.0</v>
      </c>
      <c r="E3593" s="1" t="b">
        <v>0</v>
      </c>
      <c r="F3593" s="1" t="s">
        <v>17429</v>
      </c>
    </row>
    <row r="3594">
      <c r="A3594" s="1">
        <v>49907.0</v>
      </c>
      <c r="B3594" s="1">
        <v>19291.0</v>
      </c>
      <c r="C3594" s="1">
        <v>1.622562193E9</v>
      </c>
      <c r="D3594" s="1">
        <v>4.0</v>
      </c>
      <c r="E3594" s="1" t="b">
        <v>0</v>
      </c>
      <c r="F3594" s="1" t="s">
        <v>17430</v>
      </c>
    </row>
    <row r="3595">
      <c r="A3595" s="1">
        <v>49907.0</v>
      </c>
      <c r="B3595" s="1">
        <v>19090.0</v>
      </c>
      <c r="C3595" s="1">
        <v>1.622369937E9</v>
      </c>
      <c r="D3595" s="1">
        <v>4.0</v>
      </c>
      <c r="E3595" s="1" t="b">
        <v>0</v>
      </c>
      <c r="F3595" s="1" t="s">
        <v>17431</v>
      </c>
    </row>
    <row r="3596">
      <c r="A3596" s="1">
        <v>49907.0</v>
      </c>
      <c r="B3596" s="1">
        <v>19265.0</v>
      </c>
      <c r="C3596" s="1">
        <v>1.622541633E9</v>
      </c>
      <c r="D3596" s="1">
        <v>4.0</v>
      </c>
      <c r="E3596" s="1" t="b">
        <v>0</v>
      </c>
      <c r="F3596" s="1" t="s">
        <v>17432</v>
      </c>
    </row>
    <row r="3597">
      <c r="A3597" s="1">
        <v>49907.0</v>
      </c>
      <c r="B3597" s="1">
        <v>19748.0</v>
      </c>
      <c r="C3597" s="1">
        <v>1.623239202E9</v>
      </c>
      <c r="D3597" s="1">
        <v>4.0</v>
      </c>
      <c r="E3597" s="1" t="b">
        <v>0</v>
      </c>
      <c r="F3597" s="1" t="s">
        <v>17433</v>
      </c>
    </row>
    <row r="3598">
      <c r="A3598" s="1">
        <v>49907.0</v>
      </c>
      <c r="B3598" s="1">
        <v>16902.0</v>
      </c>
      <c r="C3598" s="1">
        <v>1.618569873E9</v>
      </c>
      <c r="D3598" s="1">
        <v>4.0</v>
      </c>
      <c r="E3598" s="1" t="b">
        <v>0</v>
      </c>
      <c r="F3598" s="1" t="s">
        <v>17434</v>
      </c>
    </row>
    <row r="3599">
      <c r="A3599" s="1">
        <v>49907.0</v>
      </c>
      <c r="B3599" s="1">
        <v>8808.0</v>
      </c>
      <c r="C3599" s="1">
        <v>1.612185026E9</v>
      </c>
      <c r="D3599" s="1">
        <v>1.0</v>
      </c>
      <c r="E3599" s="1" t="b">
        <v>1</v>
      </c>
      <c r="F3599" s="1" t="s">
        <v>17435</v>
      </c>
    </row>
    <row r="3600">
      <c r="A3600" s="1">
        <v>49907.0</v>
      </c>
      <c r="B3600" s="1">
        <v>17019.0</v>
      </c>
      <c r="C3600" s="1">
        <v>1.618904679E9</v>
      </c>
      <c r="D3600" s="1">
        <v>4.0</v>
      </c>
      <c r="E3600" s="1" t="b">
        <v>0</v>
      </c>
      <c r="F3600" s="1" t="s">
        <v>17436</v>
      </c>
    </row>
    <row r="3601">
      <c r="A3601" s="1">
        <v>49907.0</v>
      </c>
      <c r="B3601" s="1">
        <v>19806.0</v>
      </c>
      <c r="C3601" s="1">
        <v>1.623326333E9</v>
      </c>
      <c r="D3601" s="1">
        <v>4.0</v>
      </c>
      <c r="E3601" s="1" t="b">
        <v>0</v>
      </c>
      <c r="F3601" s="1" t="s">
        <v>17437</v>
      </c>
    </row>
    <row r="3602">
      <c r="A3602" s="1">
        <v>49907.0</v>
      </c>
      <c r="B3602" s="1">
        <v>19439.0</v>
      </c>
      <c r="C3602" s="1">
        <v>1.622715529E9</v>
      </c>
      <c r="D3602" s="1">
        <v>4.0</v>
      </c>
      <c r="E3602" s="1" t="b">
        <v>0</v>
      </c>
      <c r="F3602" s="1" t="s">
        <v>17438</v>
      </c>
    </row>
    <row r="3603">
      <c r="A3603" s="1">
        <v>49907.0</v>
      </c>
      <c r="B3603" s="1">
        <v>19309.0</v>
      </c>
      <c r="C3603" s="1">
        <v>1.622649542E9</v>
      </c>
      <c r="D3603" s="1">
        <v>4.0</v>
      </c>
      <c r="E3603" s="1" t="b">
        <v>0</v>
      </c>
      <c r="F3603" s="1" t="s">
        <v>17439</v>
      </c>
    </row>
    <row r="3604">
      <c r="A3604" s="1">
        <v>49907.0</v>
      </c>
      <c r="B3604" s="1">
        <v>19625.0</v>
      </c>
      <c r="C3604" s="1">
        <v>1.623078651E9</v>
      </c>
      <c r="D3604" s="1">
        <v>4.0</v>
      </c>
      <c r="E3604" s="1" t="b">
        <v>0</v>
      </c>
      <c r="F3604" s="1" t="s">
        <v>16370</v>
      </c>
    </row>
    <row r="3605">
      <c r="A3605" s="1">
        <v>49907.0</v>
      </c>
      <c r="B3605" s="1">
        <v>19492.0</v>
      </c>
      <c r="C3605" s="1">
        <v>1.622803064E9</v>
      </c>
      <c r="D3605" s="1">
        <v>4.0</v>
      </c>
      <c r="E3605" s="1" t="b">
        <v>0</v>
      </c>
      <c r="F3605" s="1" t="s">
        <v>17440</v>
      </c>
    </row>
    <row r="3606">
      <c r="A3606" s="1">
        <v>49907.0</v>
      </c>
      <c r="B3606" s="1">
        <v>17759.0</v>
      </c>
      <c r="C3606" s="1">
        <v>1.620494857E9</v>
      </c>
      <c r="D3606" s="1">
        <v>4.0</v>
      </c>
      <c r="E3606" s="1" t="b">
        <v>0</v>
      </c>
      <c r="F3606" s="1" t="s">
        <v>17441</v>
      </c>
    </row>
    <row r="3607">
      <c r="A3607" s="1">
        <v>49907.0</v>
      </c>
      <c r="B3607" s="1">
        <v>20013.0</v>
      </c>
      <c r="C3607" s="1">
        <v>1.623642597E9</v>
      </c>
      <c r="D3607" s="1">
        <v>4.0</v>
      </c>
      <c r="E3607" s="1" t="b">
        <v>0</v>
      </c>
      <c r="F3607" s="1" t="s">
        <v>17442</v>
      </c>
    </row>
    <row r="3608">
      <c r="A3608" s="1">
        <v>49907.0</v>
      </c>
      <c r="B3608" s="1">
        <v>19867.0</v>
      </c>
      <c r="C3608" s="1">
        <v>1.623409981E9</v>
      </c>
      <c r="D3608" s="1">
        <v>4.0</v>
      </c>
      <c r="E3608" s="1" t="b">
        <v>0</v>
      </c>
      <c r="F3608" s="1" t="s">
        <v>17443</v>
      </c>
    </row>
    <row r="3609">
      <c r="A3609" s="1">
        <v>49907.0</v>
      </c>
      <c r="B3609" s="1">
        <v>19320.0</v>
      </c>
      <c r="C3609" s="1">
        <v>1.622608535E9</v>
      </c>
      <c r="D3609" s="1">
        <v>4.0</v>
      </c>
      <c r="E3609" s="1" t="b">
        <v>0</v>
      </c>
      <c r="F3609" s="1" t="s">
        <v>17444</v>
      </c>
    </row>
    <row r="3610">
      <c r="A3610" s="1">
        <v>49907.0</v>
      </c>
      <c r="B3610" s="1">
        <v>19284.0</v>
      </c>
      <c r="C3610" s="1">
        <v>1.622557172E9</v>
      </c>
      <c r="D3610" s="1">
        <v>4.0</v>
      </c>
      <c r="E3610" s="1" t="b">
        <v>0</v>
      </c>
      <c r="F3610" s="1" t="s">
        <v>17445</v>
      </c>
    </row>
    <row r="3611">
      <c r="A3611" s="1">
        <v>49907.0</v>
      </c>
      <c r="B3611" s="1">
        <v>19237.0</v>
      </c>
      <c r="C3611" s="1">
        <v>1.622519327E9</v>
      </c>
      <c r="D3611" s="1">
        <v>4.0</v>
      </c>
      <c r="E3611" s="1" t="b">
        <v>0</v>
      </c>
      <c r="F3611" s="1" t="s">
        <v>17446</v>
      </c>
    </row>
    <row r="3612">
      <c r="A3612" s="1">
        <v>49907.0</v>
      </c>
      <c r="B3612" s="1">
        <v>16882.0</v>
      </c>
      <c r="C3612" s="1">
        <v>1.618478788E9</v>
      </c>
      <c r="D3612" s="1">
        <v>4.0</v>
      </c>
      <c r="E3612" s="1" t="b">
        <v>0</v>
      </c>
      <c r="F3612" s="1" t="s">
        <v>17447</v>
      </c>
    </row>
    <row r="3613">
      <c r="A3613" s="1">
        <v>49907.0</v>
      </c>
      <c r="B3613" s="1">
        <v>19597.0</v>
      </c>
      <c r="C3613" s="1">
        <v>1.623049117E9</v>
      </c>
      <c r="D3613" s="1">
        <v>4.0</v>
      </c>
      <c r="E3613" s="1" t="b">
        <v>0</v>
      </c>
      <c r="F3613" s="1" t="s">
        <v>17448</v>
      </c>
    </row>
    <row r="3614">
      <c r="A3614" s="1">
        <v>49907.0</v>
      </c>
      <c r="B3614" s="1">
        <v>19418.0</v>
      </c>
      <c r="C3614" s="1">
        <v>1.622698809E9</v>
      </c>
      <c r="D3614" s="1">
        <v>4.0</v>
      </c>
      <c r="E3614" s="1" t="b">
        <v>0</v>
      </c>
      <c r="F3614" s="1" t="s">
        <v>17449</v>
      </c>
    </row>
    <row r="3615">
      <c r="A3615" s="1">
        <v>49907.0</v>
      </c>
      <c r="B3615" s="1">
        <v>19464.0</v>
      </c>
      <c r="C3615" s="1">
        <v>1.622733101E9</v>
      </c>
      <c r="D3615" s="1">
        <v>4.0</v>
      </c>
      <c r="E3615" s="1" t="b">
        <v>0</v>
      </c>
      <c r="F3615" s="1" t="s">
        <v>17450</v>
      </c>
    </row>
    <row r="3616">
      <c r="A3616" s="1">
        <v>49907.0</v>
      </c>
      <c r="B3616" s="1">
        <v>17730.0</v>
      </c>
      <c r="C3616" s="1">
        <v>1.620584109E9</v>
      </c>
      <c r="D3616" s="1">
        <v>4.0</v>
      </c>
      <c r="E3616" s="1" t="b">
        <v>0</v>
      </c>
      <c r="F3616" s="1" t="s">
        <v>17451</v>
      </c>
    </row>
    <row r="3617">
      <c r="A3617" s="1">
        <v>49907.0</v>
      </c>
      <c r="B3617" s="1">
        <v>19979.0</v>
      </c>
      <c r="C3617" s="1">
        <v>1.623588261E9</v>
      </c>
      <c r="D3617" s="1">
        <v>4.0</v>
      </c>
      <c r="E3617" s="1" t="b">
        <v>0</v>
      </c>
      <c r="F3617" s="1" t="s">
        <v>17452</v>
      </c>
    </row>
    <row r="3618">
      <c r="A3618" s="1">
        <v>49907.0</v>
      </c>
      <c r="B3618" s="1">
        <v>16912.0</v>
      </c>
      <c r="C3618" s="1">
        <v>1.621853458E9</v>
      </c>
      <c r="D3618" s="1">
        <v>4.0</v>
      </c>
      <c r="E3618" s="1" t="b">
        <v>0</v>
      </c>
      <c r="F3618" s="1" t="s">
        <v>16918</v>
      </c>
      <c r="G3618" s="1" t="b">
        <v>1</v>
      </c>
    </row>
    <row r="3619">
      <c r="A3619" s="1">
        <v>49907.0</v>
      </c>
      <c r="B3619" s="1">
        <v>19633.0</v>
      </c>
      <c r="C3619" s="1">
        <v>1.6230908E9</v>
      </c>
      <c r="D3619" s="1">
        <v>4.0</v>
      </c>
      <c r="E3619" s="1" t="b">
        <v>0</v>
      </c>
      <c r="F3619" s="1" t="s">
        <v>17453</v>
      </c>
    </row>
    <row r="3620">
      <c r="A3620" s="1">
        <v>49907.0</v>
      </c>
      <c r="B3620" s="1">
        <v>19707.0</v>
      </c>
      <c r="C3620" s="1">
        <v>1.623177212E9</v>
      </c>
      <c r="D3620" s="1">
        <v>4.0</v>
      </c>
      <c r="E3620" s="1" t="b">
        <v>0</v>
      </c>
      <c r="F3620" s="1" t="s">
        <v>17454</v>
      </c>
    </row>
    <row r="3621">
      <c r="A3621" s="1">
        <v>49907.0</v>
      </c>
      <c r="B3621" s="1">
        <v>19529.0</v>
      </c>
      <c r="C3621" s="1">
        <v>1.622974721E9</v>
      </c>
      <c r="D3621" s="1">
        <v>4.0</v>
      </c>
      <c r="E3621" s="1" t="b">
        <v>0</v>
      </c>
      <c r="F3621" s="1" t="s">
        <v>17455</v>
      </c>
    </row>
    <row r="3622">
      <c r="A3622" s="1">
        <v>49907.0</v>
      </c>
      <c r="B3622" s="1">
        <v>19128.0</v>
      </c>
      <c r="C3622" s="1">
        <v>1.622402067E9</v>
      </c>
      <c r="D3622" s="1">
        <v>4.0</v>
      </c>
      <c r="E3622" s="1" t="b">
        <v>0</v>
      </c>
      <c r="F3622" s="1" t="s">
        <v>17456</v>
      </c>
    </row>
    <row r="3623">
      <c r="A3623" s="1">
        <v>49907.0</v>
      </c>
      <c r="B3623" s="1">
        <v>20158.0</v>
      </c>
      <c r="C3623" s="1">
        <v>1.62384801E9</v>
      </c>
      <c r="D3623" s="1">
        <v>4.0</v>
      </c>
      <c r="E3623" s="1" t="b">
        <v>0</v>
      </c>
      <c r="F3623" s="1" t="s">
        <v>17457</v>
      </c>
    </row>
    <row r="3624">
      <c r="A3624" s="1">
        <v>49907.0</v>
      </c>
      <c r="B3624" s="1">
        <v>19392.0</v>
      </c>
      <c r="C3624" s="1">
        <v>1.62265944E9</v>
      </c>
      <c r="D3624" s="1">
        <v>4.0</v>
      </c>
      <c r="E3624" s="1" t="b">
        <v>0</v>
      </c>
      <c r="F3624" s="1" t="s">
        <v>17458</v>
      </c>
    </row>
    <row r="3625">
      <c r="A3625" s="1">
        <v>49907.0</v>
      </c>
      <c r="B3625" s="1">
        <v>19132.0</v>
      </c>
      <c r="C3625" s="1">
        <v>1.622422034E9</v>
      </c>
      <c r="D3625" s="1">
        <v>4.0</v>
      </c>
      <c r="E3625" s="1" t="b">
        <v>0</v>
      </c>
      <c r="F3625" s="1" t="s">
        <v>17459</v>
      </c>
    </row>
    <row r="3626">
      <c r="A3626" s="1">
        <v>49907.0</v>
      </c>
      <c r="B3626" s="1">
        <v>18992.0</v>
      </c>
      <c r="C3626" s="1">
        <v>1.622260434E9</v>
      </c>
      <c r="D3626" s="1">
        <v>4.0</v>
      </c>
      <c r="E3626" s="1" t="b">
        <v>0</v>
      </c>
      <c r="F3626" s="1" t="s">
        <v>17460</v>
      </c>
    </row>
    <row r="3627">
      <c r="A3627" s="1">
        <v>49907.0</v>
      </c>
      <c r="B3627" s="1">
        <v>19605.0</v>
      </c>
      <c r="C3627" s="1">
        <v>1.623058717E9</v>
      </c>
      <c r="D3627" s="1">
        <v>4.0</v>
      </c>
      <c r="E3627" s="1" t="b">
        <v>0</v>
      </c>
      <c r="F3627" s="1" t="s">
        <v>17461</v>
      </c>
    </row>
    <row r="3628">
      <c r="A3628" s="1">
        <v>49951.0</v>
      </c>
      <c r="B3628" s="1">
        <v>16934.0</v>
      </c>
      <c r="C3628" s="1">
        <v>1.618906878E9</v>
      </c>
      <c r="D3628" s="1">
        <v>4.0</v>
      </c>
      <c r="E3628" s="1" t="b">
        <v>0</v>
      </c>
      <c r="F3628" s="1" t="s">
        <v>17462</v>
      </c>
    </row>
    <row r="3629">
      <c r="A3629" s="1">
        <v>49951.0</v>
      </c>
      <c r="B3629" s="1">
        <v>16229.0</v>
      </c>
      <c r="C3629" s="1">
        <v>1.615883823E9</v>
      </c>
      <c r="D3629" s="1">
        <v>4.0</v>
      </c>
      <c r="E3629" s="1" t="b">
        <v>0</v>
      </c>
      <c r="F3629" s="1" t="s">
        <v>17463</v>
      </c>
    </row>
    <row r="3630">
      <c r="A3630" s="1">
        <v>49951.0</v>
      </c>
      <c r="B3630" s="1">
        <v>18611.0</v>
      </c>
      <c r="C3630" s="1">
        <v>1.621780024E9</v>
      </c>
      <c r="D3630" s="1">
        <v>4.0</v>
      </c>
      <c r="E3630" s="1" t="b">
        <v>0</v>
      </c>
      <c r="F3630" s="1" t="s">
        <v>17464</v>
      </c>
    </row>
    <row r="3631">
      <c r="A3631" s="1">
        <v>49951.0</v>
      </c>
      <c r="B3631" s="1">
        <v>17849.0</v>
      </c>
      <c r="C3631" s="1">
        <v>1.620580928E9</v>
      </c>
      <c r="D3631" s="1">
        <v>4.0</v>
      </c>
      <c r="E3631" s="1" t="b">
        <v>0</v>
      </c>
      <c r="F3631" s="1" t="s">
        <v>17465</v>
      </c>
    </row>
    <row r="3632">
      <c r="A3632" s="1">
        <v>49951.0</v>
      </c>
      <c r="B3632" s="1">
        <v>18102.0</v>
      </c>
      <c r="C3632" s="1">
        <v>1.621137067E9</v>
      </c>
      <c r="D3632" s="1">
        <v>4.0</v>
      </c>
      <c r="E3632" s="1" t="b">
        <v>0</v>
      </c>
      <c r="F3632" s="1" t="s">
        <v>17466</v>
      </c>
    </row>
    <row r="3633">
      <c r="A3633" s="1">
        <v>49951.0</v>
      </c>
      <c r="B3633" s="1">
        <v>15433.0</v>
      </c>
      <c r="C3633" s="1">
        <v>1.614561329E9</v>
      </c>
      <c r="D3633" s="1">
        <v>4.0</v>
      </c>
      <c r="E3633" s="1" t="b">
        <v>0</v>
      </c>
      <c r="F3633" s="1" t="s">
        <v>17467</v>
      </c>
    </row>
    <row r="3634">
      <c r="A3634" s="1">
        <v>49951.0</v>
      </c>
      <c r="B3634" s="1">
        <v>18545.0</v>
      </c>
      <c r="C3634" s="1">
        <v>1.621698642E9</v>
      </c>
      <c r="D3634" s="1">
        <v>4.0</v>
      </c>
      <c r="E3634" s="1" t="b">
        <v>0</v>
      </c>
      <c r="F3634" s="1" t="s">
        <v>17468</v>
      </c>
    </row>
    <row r="3635">
      <c r="A3635" s="1">
        <v>49951.0</v>
      </c>
      <c r="B3635" s="1">
        <v>15799.0</v>
      </c>
      <c r="C3635" s="1">
        <v>1.614958151E9</v>
      </c>
      <c r="D3635" s="1">
        <v>4.0</v>
      </c>
      <c r="E3635" s="1" t="b">
        <v>0</v>
      </c>
      <c r="F3635" s="1" t="s">
        <v>17469</v>
      </c>
    </row>
    <row r="3636">
      <c r="A3636" s="1">
        <v>49951.0</v>
      </c>
      <c r="B3636" s="1">
        <v>15798.0</v>
      </c>
      <c r="C3636" s="1">
        <v>1.614955925E9</v>
      </c>
      <c r="D3636" s="1">
        <v>9.0</v>
      </c>
      <c r="E3636" s="1" t="b">
        <v>0</v>
      </c>
      <c r="F3636" s="1" t="s">
        <v>17470</v>
      </c>
    </row>
    <row r="3637">
      <c r="A3637" s="1">
        <v>49951.0</v>
      </c>
      <c r="B3637" s="1">
        <v>8703.0</v>
      </c>
      <c r="C3637" s="1">
        <v>1.621137064E9</v>
      </c>
      <c r="D3637" s="1">
        <v>4.0</v>
      </c>
      <c r="E3637" s="1" t="b">
        <v>0</v>
      </c>
      <c r="F3637" s="1" t="s">
        <v>17471</v>
      </c>
    </row>
    <row r="3638">
      <c r="A3638" s="1">
        <v>49951.0</v>
      </c>
      <c r="B3638" s="1">
        <v>15899.0</v>
      </c>
      <c r="C3638" s="1">
        <v>1.615121177E9</v>
      </c>
      <c r="D3638" s="1">
        <v>4.0</v>
      </c>
      <c r="E3638" s="1" t="b">
        <v>0</v>
      </c>
      <c r="F3638" s="1" t="s">
        <v>17472</v>
      </c>
    </row>
    <row r="3639">
      <c r="A3639" s="1">
        <v>49951.0</v>
      </c>
      <c r="B3639" s="1">
        <v>18911.0</v>
      </c>
      <c r="C3639" s="1">
        <v>1.622123826E9</v>
      </c>
      <c r="D3639" s="1">
        <v>4.0</v>
      </c>
      <c r="E3639" s="1" t="b">
        <v>0</v>
      </c>
      <c r="F3639" s="1" t="s">
        <v>17473</v>
      </c>
    </row>
    <row r="3640">
      <c r="A3640" s="1">
        <v>49951.0</v>
      </c>
      <c r="B3640" s="1">
        <v>18517.0</v>
      </c>
      <c r="C3640" s="1">
        <v>1.621675596E9</v>
      </c>
      <c r="D3640" s="1">
        <v>4.0</v>
      </c>
      <c r="E3640" s="1" t="b">
        <v>0</v>
      </c>
      <c r="F3640" s="1" t="s">
        <v>17474</v>
      </c>
    </row>
    <row r="3641">
      <c r="A3641" s="1">
        <v>49951.0</v>
      </c>
      <c r="B3641" s="1">
        <v>18683.0</v>
      </c>
      <c r="C3641" s="1">
        <v>1.621843841E9</v>
      </c>
      <c r="D3641" s="1">
        <v>4.0</v>
      </c>
      <c r="E3641" s="1" t="b">
        <v>0</v>
      </c>
      <c r="F3641" s="1" t="s">
        <v>17475</v>
      </c>
    </row>
    <row r="3642">
      <c r="A3642" s="1">
        <v>49951.0</v>
      </c>
      <c r="B3642" s="1">
        <v>15898.0</v>
      </c>
      <c r="C3642" s="1">
        <v>1.615121175E9</v>
      </c>
      <c r="D3642" s="1">
        <v>4.0</v>
      </c>
      <c r="E3642" s="1" t="b">
        <v>0</v>
      </c>
      <c r="F3642" s="1" t="s">
        <v>17476</v>
      </c>
    </row>
    <row r="3643">
      <c r="A3643" s="1">
        <v>49951.0</v>
      </c>
      <c r="B3643" s="1">
        <v>15248.0</v>
      </c>
      <c r="C3643" s="1">
        <v>1.614394942E9</v>
      </c>
      <c r="D3643" s="1">
        <v>4.0</v>
      </c>
      <c r="E3643" s="1" t="b">
        <v>0</v>
      </c>
      <c r="F3643" s="1" t="s">
        <v>17477</v>
      </c>
    </row>
    <row r="3644">
      <c r="A3644" s="1">
        <v>49951.0</v>
      </c>
      <c r="B3644" s="1">
        <v>1403.0</v>
      </c>
      <c r="C3644" s="1">
        <v>1.615220286E9</v>
      </c>
      <c r="D3644" s="1">
        <v>4.0</v>
      </c>
      <c r="E3644" s="1" t="b">
        <v>0</v>
      </c>
      <c r="F3644" s="1" t="s">
        <v>17478</v>
      </c>
    </row>
    <row r="3645">
      <c r="A3645" s="1">
        <v>49951.0</v>
      </c>
      <c r="B3645" s="1">
        <v>18865.0</v>
      </c>
      <c r="C3645" s="1">
        <v>1.622055952E9</v>
      </c>
      <c r="D3645" s="1">
        <v>4.0</v>
      </c>
      <c r="E3645" s="1" t="b">
        <v>0</v>
      </c>
      <c r="F3645" s="1" t="s">
        <v>17479</v>
      </c>
    </row>
    <row r="3646">
      <c r="A3646" s="1">
        <v>49951.0</v>
      </c>
      <c r="B3646" s="1">
        <v>18751.0</v>
      </c>
      <c r="C3646" s="1">
        <v>1.621923482E9</v>
      </c>
      <c r="D3646" s="1">
        <v>9.0</v>
      </c>
      <c r="E3646" s="1" t="b">
        <v>0</v>
      </c>
      <c r="F3646" s="1" t="s">
        <v>17480</v>
      </c>
    </row>
    <row r="3647">
      <c r="A3647" s="1">
        <v>49951.0</v>
      </c>
      <c r="B3647" s="1">
        <v>15187.0</v>
      </c>
      <c r="C3647" s="1">
        <v>1.614385894E9</v>
      </c>
      <c r="D3647" s="1">
        <v>1.0</v>
      </c>
      <c r="E3647" s="1" t="b">
        <v>1</v>
      </c>
      <c r="F3647" s="1" t="s">
        <v>17481</v>
      </c>
    </row>
    <row r="3648">
      <c r="A3648" s="1">
        <v>49951.0</v>
      </c>
      <c r="B3648" s="1">
        <v>15797.0</v>
      </c>
      <c r="C3648" s="1">
        <v>1.61495566E9</v>
      </c>
      <c r="D3648" s="1">
        <v>4.0</v>
      </c>
      <c r="E3648" s="1" t="b">
        <v>0</v>
      </c>
      <c r="F3648" s="1" t="s">
        <v>17482</v>
      </c>
    </row>
    <row r="3649">
      <c r="A3649" s="1">
        <v>49951.0</v>
      </c>
      <c r="B3649" s="1">
        <v>17694.0</v>
      </c>
      <c r="C3649" s="1">
        <v>1.620437372E9</v>
      </c>
      <c r="D3649" s="1">
        <v>4.0</v>
      </c>
      <c r="E3649" s="1" t="b">
        <v>0</v>
      </c>
      <c r="F3649" s="1" t="s">
        <v>17483</v>
      </c>
    </row>
    <row r="3650">
      <c r="A3650" s="1">
        <v>49951.0</v>
      </c>
      <c r="B3650" s="1">
        <v>18749.0</v>
      </c>
      <c r="C3650" s="1">
        <v>1.621922427E9</v>
      </c>
      <c r="D3650" s="1">
        <v>4.0</v>
      </c>
      <c r="E3650" s="1" t="b">
        <v>0</v>
      </c>
      <c r="F3650" s="1" t="s">
        <v>17484</v>
      </c>
    </row>
    <row r="3651">
      <c r="A3651" s="1">
        <v>49951.0</v>
      </c>
      <c r="B3651" s="1">
        <v>15789.0</v>
      </c>
      <c r="C3651" s="1">
        <v>1.614949121E9</v>
      </c>
      <c r="D3651" s="1">
        <v>4.0</v>
      </c>
      <c r="E3651" s="1" t="b">
        <v>0</v>
      </c>
      <c r="F3651" s="1" t="s">
        <v>17485</v>
      </c>
    </row>
    <row r="3652">
      <c r="A3652" s="1">
        <v>49951.0</v>
      </c>
      <c r="B3652" s="1">
        <v>16297.0</v>
      </c>
      <c r="C3652" s="1">
        <v>1.616141282E9</v>
      </c>
      <c r="D3652" s="1">
        <v>4.0</v>
      </c>
      <c r="E3652" s="1" t="b">
        <v>0</v>
      </c>
      <c r="F3652" s="1" t="s">
        <v>17486</v>
      </c>
    </row>
    <row r="3653">
      <c r="A3653" s="1">
        <v>49951.0</v>
      </c>
      <c r="B3653" s="1">
        <v>15246.0</v>
      </c>
      <c r="C3653" s="1">
        <v>1.614391125E9</v>
      </c>
      <c r="D3653" s="1">
        <v>4.0</v>
      </c>
      <c r="E3653" s="1" t="b">
        <v>0</v>
      </c>
      <c r="F3653" s="1" t="s">
        <v>17487</v>
      </c>
    </row>
    <row r="3654">
      <c r="A3654" s="1">
        <v>49951.0</v>
      </c>
      <c r="B3654" s="1">
        <v>18956.0</v>
      </c>
      <c r="C3654" s="1">
        <v>1.622188849E9</v>
      </c>
      <c r="D3654" s="1">
        <v>4.0</v>
      </c>
      <c r="E3654" s="1" t="b">
        <v>0</v>
      </c>
      <c r="F3654" s="1" t="s">
        <v>17488</v>
      </c>
    </row>
    <row r="3655">
      <c r="A3655" s="1">
        <v>49951.0</v>
      </c>
      <c r="B3655" s="1">
        <v>16230.0</v>
      </c>
      <c r="C3655" s="1">
        <v>1.615883825E9</v>
      </c>
      <c r="D3655" s="1">
        <v>4.0</v>
      </c>
      <c r="E3655" s="1" t="b">
        <v>0</v>
      </c>
      <c r="F3655" s="1" t="s">
        <v>17489</v>
      </c>
    </row>
    <row r="3656">
      <c r="A3656" s="1">
        <v>49958.0</v>
      </c>
      <c r="B3656" s="1">
        <v>16408.0</v>
      </c>
      <c r="C3656" s="1">
        <v>1.61719763E9</v>
      </c>
      <c r="D3656" s="1">
        <v>4.0</v>
      </c>
      <c r="E3656" s="1" t="b">
        <v>0</v>
      </c>
      <c r="F3656" s="1" t="s">
        <v>17490</v>
      </c>
    </row>
    <row r="3657">
      <c r="A3657" s="1">
        <v>49958.0</v>
      </c>
      <c r="B3657" s="1">
        <v>18954.0</v>
      </c>
      <c r="C3657" s="1">
        <v>1.622187131E9</v>
      </c>
      <c r="D3657" s="1">
        <v>4.0</v>
      </c>
      <c r="E3657" s="1" t="b">
        <v>0</v>
      </c>
      <c r="F3657" s="1" t="s">
        <v>17491</v>
      </c>
    </row>
    <row r="3658">
      <c r="A3658" s="1">
        <v>49958.0</v>
      </c>
      <c r="B3658" s="1">
        <v>17456.0</v>
      </c>
      <c r="C3658" s="1">
        <v>1.619974049E9</v>
      </c>
      <c r="D3658" s="1">
        <v>4.0</v>
      </c>
      <c r="E3658" s="1" t="b">
        <v>0</v>
      </c>
      <c r="F3658" s="1" t="s">
        <v>17492</v>
      </c>
    </row>
    <row r="3659">
      <c r="A3659" s="1">
        <v>49958.0</v>
      </c>
      <c r="B3659" s="1">
        <v>16598.0</v>
      </c>
      <c r="C3659" s="1">
        <v>1.619432187E9</v>
      </c>
      <c r="D3659" s="1">
        <v>4.0</v>
      </c>
      <c r="E3659" s="1" t="b">
        <v>0</v>
      </c>
      <c r="F3659" s="1" t="s">
        <v>17493</v>
      </c>
    </row>
    <row r="3660">
      <c r="A3660" s="1">
        <v>49958.0</v>
      </c>
      <c r="B3660" s="1">
        <v>16727.0</v>
      </c>
      <c r="C3660" s="1">
        <v>1.618227618E9</v>
      </c>
      <c r="D3660" s="1">
        <v>4.0</v>
      </c>
      <c r="E3660" s="1" t="b">
        <v>0</v>
      </c>
      <c r="F3660" s="1" t="s">
        <v>17494</v>
      </c>
    </row>
    <row r="3661">
      <c r="A3661" s="1">
        <v>49958.0</v>
      </c>
      <c r="B3661" s="1">
        <v>19185.0</v>
      </c>
      <c r="C3661" s="1">
        <v>1.622477743E9</v>
      </c>
      <c r="D3661" s="1">
        <v>4.0</v>
      </c>
      <c r="E3661" s="1" t="b">
        <v>0</v>
      </c>
      <c r="F3661" s="1" t="s">
        <v>17495</v>
      </c>
    </row>
    <row r="3662">
      <c r="A3662" s="1">
        <v>49958.0</v>
      </c>
      <c r="B3662" s="1">
        <v>19068.0</v>
      </c>
      <c r="C3662" s="1">
        <v>1.622353941E9</v>
      </c>
      <c r="D3662" s="1">
        <v>4.0</v>
      </c>
      <c r="E3662" s="1" t="b">
        <v>0</v>
      </c>
      <c r="F3662" s="1" t="s">
        <v>17496</v>
      </c>
    </row>
    <row r="3663">
      <c r="A3663" s="1">
        <v>49958.0</v>
      </c>
      <c r="B3663" s="1">
        <v>17503.0</v>
      </c>
      <c r="C3663" s="1">
        <v>1.620125903E9</v>
      </c>
      <c r="D3663" s="1">
        <v>4.0</v>
      </c>
      <c r="E3663" s="1" t="b">
        <v>0</v>
      </c>
      <c r="F3663" s="1" t="s">
        <v>17497</v>
      </c>
    </row>
    <row r="3664">
      <c r="A3664" s="1">
        <v>49958.0</v>
      </c>
      <c r="B3664" s="1">
        <v>17494.0</v>
      </c>
      <c r="C3664" s="1">
        <v>1.619974065E9</v>
      </c>
      <c r="D3664" s="1">
        <v>4.0</v>
      </c>
      <c r="E3664" s="1" t="b">
        <v>0</v>
      </c>
      <c r="F3664" s="1" t="s">
        <v>17498</v>
      </c>
    </row>
    <row r="3665">
      <c r="A3665" s="1">
        <v>49958.0</v>
      </c>
      <c r="B3665" s="1">
        <v>17520.0</v>
      </c>
      <c r="C3665" s="1">
        <v>1.620222219E9</v>
      </c>
      <c r="D3665" s="1">
        <v>4.0</v>
      </c>
      <c r="E3665" s="1" t="b">
        <v>0</v>
      </c>
      <c r="F3665" s="1" t="s">
        <v>17499</v>
      </c>
    </row>
    <row r="3666">
      <c r="A3666" s="1">
        <v>49958.0</v>
      </c>
      <c r="B3666" s="1">
        <v>14266.0</v>
      </c>
      <c r="C3666" s="1">
        <v>1.621652016E9</v>
      </c>
      <c r="D3666" s="1">
        <v>4.0</v>
      </c>
      <c r="E3666" s="1" t="b">
        <v>0</v>
      </c>
      <c r="F3666" s="1" t="s">
        <v>17500</v>
      </c>
    </row>
    <row r="3667">
      <c r="A3667" s="1">
        <v>49958.0</v>
      </c>
      <c r="B3667" s="1">
        <v>16463.0</v>
      </c>
      <c r="C3667" s="1">
        <v>1.617197638E9</v>
      </c>
      <c r="D3667" s="1">
        <v>4.0</v>
      </c>
      <c r="E3667" s="1" t="b">
        <v>0</v>
      </c>
      <c r="F3667" s="1" t="s">
        <v>17501</v>
      </c>
    </row>
    <row r="3668">
      <c r="A3668" s="1">
        <v>49958.0</v>
      </c>
      <c r="B3668" s="1">
        <v>16676.0</v>
      </c>
      <c r="C3668" s="1">
        <v>1.61822762E9</v>
      </c>
      <c r="D3668" s="1">
        <v>4.0</v>
      </c>
      <c r="E3668" s="1" t="b">
        <v>0</v>
      </c>
      <c r="F3668" s="1" t="s">
        <v>17502</v>
      </c>
    </row>
    <row r="3669">
      <c r="A3669" s="1">
        <v>49958.0</v>
      </c>
      <c r="B3669" s="1">
        <v>17232.0</v>
      </c>
      <c r="C3669" s="1">
        <v>1.619432184E9</v>
      </c>
      <c r="D3669" s="1">
        <v>4.0</v>
      </c>
      <c r="E3669" s="1" t="b">
        <v>0</v>
      </c>
      <c r="F3669" s="1" t="s">
        <v>17503</v>
      </c>
    </row>
    <row r="3670">
      <c r="A3670" s="1">
        <v>49958.0</v>
      </c>
      <c r="B3670" s="1">
        <v>16704.0</v>
      </c>
      <c r="C3670" s="1">
        <v>1.618227615E9</v>
      </c>
      <c r="D3670" s="1">
        <v>4.0</v>
      </c>
      <c r="E3670" s="1" t="b">
        <v>0</v>
      </c>
      <c r="F3670" s="1" t="s">
        <v>17504</v>
      </c>
    </row>
    <row r="3671">
      <c r="A3671" s="1">
        <v>49958.0</v>
      </c>
      <c r="B3671" s="1">
        <v>16833.0</v>
      </c>
      <c r="C3671" s="1">
        <v>1.619158735E9</v>
      </c>
      <c r="D3671" s="1">
        <v>4.0</v>
      </c>
      <c r="E3671" s="1" t="b">
        <v>0</v>
      </c>
      <c r="F3671" s="1" t="s">
        <v>17505</v>
      </c>
    </row>
    <row r="3672">
      <c r="A3672" s="1">
        <v>49958.0</v>
      </c>
      <c r="B3672" s="1">
        <v>17486.0</v>
      </c>
      <c r="C3672" s="1">
        <v>1.619974063E9</v>
      </c>
      <c r="D3672" s="1">
        <v>4.0</v>
      </c>
      <c r="E3672" s="1" t="b">
        <v>0</v>
      </c>
      <c r="F3672" s="1" t="s">
        <v>17506</v>
      </c>
    </row>
    <row r="3673">
      <c r="A3673" s="1">
        <v>49958.0</v>
      </c>
      <c r="B3673" s="1">
        <v>16354.0</v>
      </c>
      <c r="C3673" s="1">
        <v>1.617197628E9</v>
      </c>
      <c r="D3673" s="1">
        <v>4.0</v>
      </c>
      <c r="E3673" s="1" t="b">
        <v>0</v>
      </c>
      <c r="F3673" s="1" t="s">
        <v>17507</v>
      </c>
    </row>
    <row r="3674">
      <c r="A3674" s="1">
        <v>49958.0</v>
      </c>
      <c r="B3674" s="1">
        <v>16443.0</v>
      </c>
      <c r="C3674" s="1">
        <v>1.617197634E9</v>
      </c>
      <c r="D3674" s="1">
        <v>4.0</v>
      </c>
      <c r="E3674" s="1" t="b">
        <v>0</v>
      </c>
      <c r="F3674" s="1" t="s">
        <v>17508</v>
      </c>
    </row>
    <row r="3675">
      <c r="A3675" s="1">
        <v>49958.0</v>
      </c>
      <c r="B3675" s="1">
        <v>16735.0</v>
      </c>
      <c r="C3675" s="1">
        <v>1.618227602E9</v>
      </c>
      <c r="D3675" s="1">
        <v>4.0</v>
      </c>
      <c r="E3675" s="1" t="b">
        <v>0</v>
      </c>
      <c r="F3675" s="1" t="s">
        <v>17509</v>
      </c>
    </row>
    <row r="3676">
      <c r="A3676" s="1">
        <v>49958.0</v>
      </c>
      <c r="B3676" s="1">
        <v>19027.0</v>
      </c>
      <c r="C3676" s="1">
        <v>1.622287065E9</v>
      </c>
      <c r="D3676" s="1">
        <v>4.0</v>
      </c>
      <c r="E3676" s="1" t="b">
        <v>0</v>
      </c>
      <c r="F3676" s="1" t="s">
        <v>17510</v>
      </c>
    </row>
    <row r="3677">
      <c r="A3677" s="1">
        <v>49958.0</v>
      </c>
      <c r="B3677" s="1">
        <v>14276.0</v>
      </c>
      <c r="C3677" s="1">
        <v>1.617197618E9</v>
      </c>
      <c r="D3677" s="1">
        <v>4.0</v>
      </c>
      <c r="E3677" s="1" t="b">
        <v>0</v>
      </c>
      <c r="F3677" s="1" t="s">
        <v>17511</v>
      </c>
    </row>
    <row r="3678">
      <c r="A3678" s="1">
        <v>49958.0</v>
      </c>
      <c r="B3678" s="1">
        <v>17461.0</v>
      </c>
      <c r="C3678" s="1">
        <v>1.619974053E9</v>
      </c>
      <c r="D3678" s="1">
        <v>4.0</v>
      </c>
      <c r="E3678" s="1" t="b">
        <v>0</v>
      </c>
      <c r="F3678" s="1" t="s">
        <v>17512</v>
      </c>
    </row>
    <row r="3679">
      <c r="A3679" s="1">
        <v>49958.0</v>
      </c>
      <c r="B3679" s="1">
        <v>16442.0</v>
      </c>
      <c r="C3679" s="1">
        <v>1.617197632E9</v>
      </c>
      <c r="D3679" s="1">
        <v>4.0</v>
      </c>
      <c r="E3679" s="1" t="b">
        <v>0</v>
      </c>
      <c r="F3679" s="1" t="s">
        <v>14177</v>
      </c>
    </row>
    <row r="3680">
      <c r="A3680" s="1">
        <v>49958.0</v>
      </c>
      <c r="B3680" s="1">
        <v>19055.0</v>
      </c>
      <c r="C3680" s="1">
        <v>1.622477674E9</v>
      </c>
      <c r="D3680" s="1">
        <v>4.0</v>
      </c>
      <c r="E3680" s="1" t="b">
        <v>0</v>
      </c>
      <c r="F3680" s="1" t="s">
        <v>17513</v>
      </c>
    </row>
    <row r="3681">
      <c r="A3681" s="1">
        <v>49958.0</v>
      </c>
      <c r="B3681" s="1">
        <v>10971.0</v>
      </c>
      <c r="C3681" s="1">
        <v>1.617202475E9</v>
      </c>
      <c r="D3681" s="1">
        <v>4.0</v>
      </c>
      <c r="E3681" s="1" t="b">
        <v>0</v>
      </c>
      <c r="F3681" s="1" t="s">
        <v>17514</v>
      </c>
    </row>
    <row r="3682">
      <c r="A3682" s="1">
        <v>49958.0</v>
      </c>
      <c r="B3682" s="1">
        <v>17372.0</v>
      </c>
      <c r="C3682" s="1">
        <v>1.619974062E9</v>
      </c>
      <c r="D3682" s="1">
        <v>4.0</v>
      </c>
      <c r="E3682" s="1" t="b">
        <v>0</v>
      </c>
      <c r="F3682" s="1" t="s">
        <v>17515</v>
      </c>
    </row>
    <row r="3683">
      <c r="A3683" s="1">
        <v>49958.0</v>
      </c>
      <c r="B3683" s="1">
        <v>16493.0</v>
      </c>
      <c r="C3683" s="1">
        <v>1.61719762E9</v>
      </c>
      <c r="D3683" s="1">
        <v>4.0</v>
      </c>
      <c r="E3683" s="1" t="b">
        <v>0</v>
      </c>
      <c r="F3683" s="1" t="s">
        <v>17516</v>
      </c>
    </row>
    <row r="3684">
      <c r="A3684" s="1">
        <v>49958.0</v>
      </c>
      <c r="B3684" s="1">
        <v>17471.0</v>
      </c>
      <c r="C3684" s="1">
        <v>1.61997406E9</v>
      </c>
      <c r="D3684" s="1">
        <v>4.0</v>
      </c>
      <c r="E3684" s="1" t="b">
        <v>0</v>
      </c>
      <c r="F3684" s="1" t="s">
        <v>17517</v>
      </c>
    </row>
    <row r="3685">
      <c r="A3685" s="1">
        <v>49958.0</v>
      </c>
      <c r="B3685" s="1">
        <v>17635.0</v>
      </c>
      <c r="C3685" s="1">
        <v>1.620367705E9</v>
      </c>
      <c r="D3685" s="1">
        <v>4.0</v>
      </c>
      <c r="E3685" s="1" t="b">
        <v>0</v>
      </c>
      <c r="F3685" s="1" t="s">
        <v>17518</v>
      </c>
    </row>
    <row r="3686">
      <c r="A3686" s="1">
        <v>49958.0</v>
      </c>
      <c r="B3686" s="1">
        <v>16912.0</v>
      </c>
      <c r="C3686" s="1">
        <v>1.622043351E9</v>
      </c>
      <c r="D3686" s="1">
        <v>4.0</v>
      </c>
      <c r="E3686" s="1" t="b">
        <v>0</v>
      </c>
      <c r="F3686" s="1" t="s">
        <v>16918</v>
      </c>
      <c r="G3686" s="1" t="b">
        <v>1</v>
      </c>
    </row>
    <row r="3687">
      <c r="A3687" s="1">
        <v>49958.0</v>
      </c>
      <c r="B3687" s="1">
        <v>19274.0</v>
      </c>
      <c r="C3687" s="1">
        <v>1.623997953E9</v>
      </c>
      <c r="D3687" s="1">
        <v>4.0</v>
      </c>
      <c r="E3687" s="1" t="b">
        <v>0</v>
      </c>
      <c r="F3687" s="1" t="s">
        <v>17519</v>
      </c>
    </row>
    <row r="3688">
      <c r="A3688" s="1">
        <v>49958.0</v>
      </c>
      <c r="B3688" s="1">
        <v>17521.0</v>
      </c>
      <c r="C3688" s="1">
        <v>1.620222223E9</v>
      </c>
      <c r="D3688" s="1">
        <v>4.0</v>
      </c>
      <c r="E3688" s="1" t="b">
        <v>0</v>
      </c>
      <c r="F3688" s="1" t="s">
        <v>17520</v>
      </c>
    </row>
    <row r="3689">
      <c r="A3689" s="1">
        <v>49958.0</v>
      </c>
      <c r="B3689" s="1">
        <v>17187.0</v>
      </c>
      <c r="C3689" s="1">
        <v>1.619432189E9</v>
      </c>
      <c r="D3689" s="1">
        <v>4.0</v>
      </c>
      <c r="E3689" s="1" t="b">
        <v>0</v>
      </c>
      <c r="F3689" s="1" t="s">
        <v>17521</v>
      </c>
    </row>
    <row r="3690">
      <c r="A3690" s="1">
        <v>49958.0</v>
      </c>
      <c r="B3690" s="1">
        <v>16746.0</v>
      </c>
      <c r="C3690" s="1">
        <v>1.618227617E9</v>
      </c>
      <c r="D3690" s="1">
        <v>4.0</v>
      </c>
      <c r="E3690" s="1" t="b">
        <v>0</v>
      </c>
      <c r="F3690" s="1" t="s">
        <v>17522</v>
      </c>
    </row>
    <row r="3691">
      <c r="A3691" s="1">
        <v>49958.0</v>
      </c>
      <c r="B3691" s="1">
        <v>17457.0</v>
      </c>
      <c r="C3691" s="1">
        <v>1.619974051E9</v>
      </c>
      <c r="D3691" s="1">
        <v>4.0</v>
      </c>
      <c r="E3691" s="1" t="b">
        <v>0</v>
      </c>
      <c r="F3691" s="1" t="s">
        <v>17523</v>
      </c>
    </row>
    <row r="3692">
      <c r="A3692" s="1">
        <v>49958.0</v>
      </c>
      <c r="B3692" s="1">
        <v>16819.0</v>
      </c>
      <c r="C3692" s="1">
        <v>1.619158739E9</v>
      </c>
      <c r="D3692" s="1">
        <v>4.0</v>
      </c>
      <c r="E3692" s="1" t="b">
        <v>0</v>
      </c>
      <c r="F3692" s="1" t="s">
        <v>17524</v>
      </c>
    </row>
    <row r="3693">
      <c r="A3693" s="1">
        <v>49958.0</v>
      </c>
      <c r="B3693" s="1">
        <v>17309.0</v>
      </c>
      <c r="C3693" s="1">
        <v>1.619496138E9</v>
      </c>
      <c r="D3693" s="1">
        <v>4.0</v>
      </c>
      <c r="E3693" s="1" t="b">
        <v>0</v>
      </c>
      <c r="F3693" s="1" t="s">
        <v>15852</v>
      </c>
    </row>
    <row r="3694">
      <c r="A3694" s="1">
        <v>49958.0</v>
      </c>
      <c r="B3694" s="1">
        <v>16904.0</v>
      </c>
      <c r="C3694" s="1">
        <v>1.619158736E9</v>
      </c>
      <c r="D3694" s="1">
        <v>4.0</v>
      </c>
      <c r="E3694" s="1" t="b">
        <v>0</v>
      </c>
      <c r="F3694" s="1" t="s">
        <v>17525</v>
      </c>
    </row>
    <row r="3695">
      <c r="A3695" s="1">
        <v>49958.0</v>
      </c>
      <c r="B3695" s="1">
        <v>16349.0</v>
      </c>
      <c r="C3695" s="1">
        <v>1.617197623E9</v>
      </c>
      <c r="D3695" s="1">
        <v>1.0</v>
      </c>
      <c r="E3695" s="1" t="b">
        <v>0</v>
      </c>
      <c r="F3695" s="1" t="s">
        <v>17526</v>
      </c>
      <c r="G3695" s="1" t="b">
        <v>1</v>
      </c>
    </row>
    <row r="3696">
      <c r="A3696" s="1">
        <v>49958.0</v>
      </c>
      <c r="B3696" s="1">
        <v>16453.0</v>
      </c>
      <c r="C3696" s="1">
        <v>1.617197636E9</v>
      </c>
      <c r="D3696" s="1">
        <v>4.0</v>
      </c>
      <c r="E3696" s="1" t="b">
        <v>0</v>
      </c>
      <c r="F3696" s="1" t="s">
        <v>17514</v>
      </c>
    </row>
    <row r="3697">
      <c r="A3697" s="1">
        <v>49958.0</v>
      </c>
      <c r="B3697" s="1">
        <v>17448.0</v>
      </c>
      <c r="C3697" s="1">
        <v>1.619974067E9</v>
      </c>
      <c r="D3697" s="1">
        <v>4.0</v>
      </c>
      <c r="E3697" s="1" t="b">
        <v>0</v>
      </c>
      <c r="F3697" s="1" t="s">
        <v>17527</v>
      </c>
    </row>
    <row r="3698">
      <c r="A3698" s="1">
        <v>49958.0</v>
      </c>
      <c r="B3698" s="1">
        <v>17328.0</v>
      </c>
      <c r="C3698" s="1">
        <v>1.619496139E9</v>
      </c>
      <c r="D3698" s="1">
        <v>4.0</v>
      </c>
      <c r="E3698" s="1" t="b">
        <v>0</v>
      </c>
      <c r="F3698" s="1" t="s">
        <v>17528</v>
      </c>
    </row>
    <row r="3699">
      <c r="A3699" s="1">
        <v>49958.0</v>
      </c>
      <c r="B3699" s="1">
        <v>19081.0</v>
      </c>
      <c r="C3699" s="1">
        <v>1.622361605E9</v>
      </c>
      <c r="D3699" s="1">
        <v>4.0</v>
      </c>
      <c r="E3699" s="1" t="b">
        <v>0</v>
      </c>
      <c r="F3699" s="1" t="s">
        <v>17529</v>
      </c>
    </row>
    <row r="3700">
      <c r="A3700" s="1">
        <v>49958.0</v>
      </c>
      <c r="B3700" s="1">
        <v>17234.0</v>
      </c>
      <c r="C3700" s="1">
        <v>1.619432186E9</v>
      </c>
      <c r="D3700" s="1">
        <v>4.0</v>
      </c>
      <c r="E3700" s="1" t="b">
        <v>0</v>
      </c>
      <c r="F3700" s="1" t="s">
        <v>17530</v>
      </c>
    </row>
    <row r="3701">
      <c r="A3701" s="1">
        <v>49958.0</v>
      </c>
      <c r="B3701" s="1">
        <v>16712.0</v>
      </c>
      <c r="C3701" s="1">
        <v>1.618227613E9</v>
      </c>
      <c r="D3701" s="1">
        <v>4.0</v>
      </c>
      <c r="E3701" s="1" t="b">
        <v>0</v>
      </c>
      <c r="F3701" s="1" t="s">
        <v>14562</v>
      </c>
    </row>
    <row r="3702">
      <c r="A3702" s="1">
        <v>49958.0</v>
      </c>
      <c r="B3702" s="1">
        <v>18990.0</v>
      </c>
      <c r="C3702" s="1">
        <v>1.622217609E9</v>
      </c>
      <c r="D3702" s="1">
        <v>4.0</v>
      </c>
      <c r="E3702" s="1" t="b">
        <v>0</v>
      </c>
      <c r="F3702" s="1" t="s">
        <v>17531</v>
      </c>
    </row>
    <row r="3703">
      <c r="A3703" s="1">
        <v>49958.0</v>
      </c>
      <c r="B3703" s="1">
        <v>17493.0</v>
      </c>
      <c r="C3703" s="1">
        <v>1.619940946E9</v>
      </c>
      <c r="D3703" s="1">
        <v>4.0</v>
      </c>
      <c r="E3703" s="1" t="b">
        <v>0</v>
      </c>
      <c r="F3703" s="1" t="s">
        <v>17532</v>
      </c>
    </row>
    <row r="3704">
      <c r="A3704" s="1">
        <v>49958.0</v>
      </c>
      <c r="B3704" s="1">
        <v>18926.0</v>
      </c>
      <c r="C3704" s="1">
        <v>1.622162828E9</v>
      </c>
      <c r="D3704" s="1">
        <v>4.0</v>
      </c>
      <c r="E3704" s="1" t="b">
        <v>0</v>
      </c>
      <c r="F3704" s="1" t="s">
        <v>17533</v>
      </c>
    </row>
    <row r="3705">
      <c r="A3705" s="1">
        <v>49958.0</v>
      </c>
      <c r="B3705" s="1">
        <v>16900.0</v>
      </c>
      <c r="C3705" s="1">
        <v>1.619158733E9</v>
      </c>
      <c r="D3705" s="1">
        <v>4.0</v>
      </c>
      <c r="E3705" s="1" t="b">
        <v>0</v>
      </c>
      <c r="F3705" s="1" t="s">
        <v>17534</v>
      </c>
    </row>
    <row r="3706">
      <c r="A3706" s="1">
        <v>49958.0</v>
      </c>
      <c r="B3706" s="1">
        <v>16514.0</v>
      </c>
      <c r="C3706" s="1">
        <v>1.617197639E9</v>
      </c>
      <c r="D3706" s="1">
        <v>4.0</v>
      </c>
      <c r="E3706" s="1" t="b">
        <v>0</v>
      </c>
      <c r="F3706" s="1" t="s">
        <v>17535</v>
      </c>
    </row>
    <row r="3707">
      <c r="A3707" s="1">
        <v>49958.0</v>
      </c>
      <c r="B3707" s="1">
        <v>14894.0</v>
      </c>
      <c r="C3707" s="1">
        <v>1.614670237E9</v>
      </c>
      <c r="D3707" s="1">
        <v>1.0</v>
      </c>
      <c r="E3707" s="1" t="b">
        <v>1</v>
      </c>
      <c r="F3707" s="1" t="s">
        <v>17536</v>
      </c>
    </row>
    <row r="3708">
      <c r="A3708" s="1">
        <v>49978.0</v>
      </c>
      <c r="B3708" s="1">
        <v>17827.0</v>
      </c>
      <c r="C3708" s="1">
        <v>1.620565441E9</v>
      </c>
      <c r="D3708" s="1">
        <v>4.0</v>
      </c>
      <c r="E3708" s="1" t="b">
        <v>0</v>
      </c>
      <c r="F3708" s="1" t="s">
        <v>17537</v>
      </c>
    </row>
    <row r="3709">
      <c r="A3709" s="1">
        <v>49978.0</v>
      </c>
      <c r="B3709" s="1">
        <v>19063.0</v>
      </c>
      <c r="C3709" s="1">
        <v>1.62234971E9</v>
      </c>
      <c r="D3709" s="1">
        <v>4.0</v>
      </c>
      <c r="E3709" s="1" t="b">
        <v>0</v>
      </c>
      <c r="F3709" s="1" t="s">
        <v>17538</v>
      </c>
    </row>
    <row r="3710">
      <c r="A3710" s="1">
        <v>49978.0</v>
      </c>
      <c r="B3710" s="1">
        <v>16994.0</v>
      </c>
      <c r="C3710" s="1">
        <v>1.618816777E9</v>
      </c>
      <c r="D3710" s="1">
        <v>4.0</v>
      </c>
      <c r="E3710" s="1" t="b">
        <v>0</v>
      </c>
      <c r="F3710" s="1" t="s">
        <v>17539</v>
      </c>
    </row>
    <row r="3711">
      <c r="A3711" s="1">
        <v>49978.0</v>
      </c>
      <c r="B3711" s="1">
        <v>17501.0</v>
      </c>
      <c r="C3711" s="1">
        <v>1.620032173E9</v>
      </c>
      <c r="D3711" s="1">
        <v>4.0</v>
      </c>
      <c r="E3711" s="1" t="b">
        <v>0</v>
      </c>
      <c r="F3711" s="1" t="s">
        <v>17540</v>
      </c>
    </row>
    <row r="3712">
      <c r="A3712" s="1">
        <v>49978.0</v>
      </c>
      <c r="B3712" s="1">
        <v>20310.0</v>
      </c>
      <c r="C3712" s="1">
        <v>1.624099512E9</v>
      </c>
      <c r="D3712" s="1">
        <v>4.0</v>
      </c>
      <c r="E3712" s="1" t="b">
        <v>0</v>
      </c>
      <c r="F3712" s="1" t="s">
        <v>17541</v>
      </c>
    </row>
    <row r="3713">
      <c r="A3713" s="1">
        <v>49978.0</v>
      </c>
      <c r="B3713" s="1">
        <v>16428.0</v>
      </c>
      <c r="C3713" s="1">
        <v>1.616520704E9</v>
      </c>
      <c r="D3713" s="1">
        <v>4.0</v>
      </c>
      <c r="E3713" s="1" t="b">
        <v>0</v>
      </c>
      <c r="F3713" s="1" t="s">
        <v>17542</v>
      </c>
    </row>
    <row r="3714">
      <c r="A3714" s="1">
        <v>49978.0</v>
      </c>
      <c r="B3714" s="1">
        <v>16207.0</v>
      </c>
      <c r="C3714" s="1">
        <v>1.615795006E9</v>
      </c>
      <c r="D3714" s="1">
        <v>4.0</v>
      </c>
      <c r="E3714" s="1" t="b">
        <v>0</v>
      </c>
      <c r="F3714" s="1" t="s">
        <v>17543</v>
      </c>
      <c r="G3714" s="1" t="b">
        <v>1</v>
      </c>
    </row>
    <row r="3715">
      <c r="A3715" s="1">
        <v>49978.0</v>
      </c>
      <c r="B3715" s="1">
        <v>16353.0</v>
      </c>
      <c r="C3715" s="1">
        <v>1.61641635E9</v>
      </c>
      <c r="D3715" s="1">
        <v>4.0</v>
      </c>
      <c r="E3715" s="1" t="b">
        <v>0</v>
      </c>
      <c r="F3715" s="1" t="s">
        <v>17544</v>
      </c>
    </row>
    <row r="3716">
      <c r="A3716" s="1">
        <v>49978.0</v>
      </c>
      <c r="B3716" s="1">
        <v>16448.0</v>
      </c>
      <c r="C3716" s="1">
        <v>1.616588715E9</v>
      </c>
      <c r="D3716" s="1">
        <v>9.0</v>
      </c>
      <c r="E3716" s="1" t="b">
        <v>0</v>
      </c>
      <c r="F3716" s="1" t="s">
        <v>17545</v>
      </c>
    </row>
    <row r="3717">
      <c r="A3717" s="1">
        <v>49978.0</v>
      </c>
      <c r="B3717" s="1">
        <v>16423.0</v>
      </c>
      <c r="C3717" s="1">
        <v>1.616519666E9</v>
      </c>
      <c r="D3717" s="1">
        <v>4.0</v>
      </c>
      <c r="E3717" s="1" t="b">
        <v>0</v>
      </c>
      <c r="F3717" s="1" t="s">
        <v>17546</v>
      </c>
    </row>
    <row r="3718">
      <c r="A3718" s="1">
        <v>49978.0</v>
      </c>
      <c r="B3718" s="1">
        <v>16445.0</v>
      </c>
      <c r="C3718" s="1">
        <v>1.616582989E9</v>
      </c>
      <c r="D3718" s="1">
        <v>9.0</v>
      </c>
      <c r="E3718" s="1" t="b">
        <v>0</v>
      </c>
      <c r="F3718" s="1" t="s">
        <v>17547</v>
      </c>
    </row>
    <row r="3719">
      <c r="A3719" s="1">
        <v>49978.0</v>
      </c>
      <c r="B3719" s="1">
        <v>17482.0</v>
      </c>
      <c r="C3719" s="1">
        <v>1.620204025E9</v>
      </c>
      <c r="D3719" s="1">
        <v>4.0</v>
      </c>
      <c r="E3719" s="1" t="b">
        <v>0</v>
      </c>
      <c r="F3719" s="1" t="s">
        <v>17266</v>
      </c>
    </row>
    <row r="3720">
      <c r="A3720" s="1">
        <v>49978.0</v>
      </c>
      <c r="B3720" s="1">
        <v>461.0</v>
      </c>
      <c r="C3720" s="1">
        <v>1.615749095E9</v>
      </c>
      <c r="D3720" s="1">
        <v>4.0</v>
      </c>
      <c r="E3720" s="1" t="b">
        <v>0</v>
      </c>
      <c r="F3720" s="1" t="s">
        <v>14065</v>
      </c>
    </row>
    <row r="3721">
      <c r="A3721" s="1">
        <v>49978.0</v>
      </c>
      <c r="B3721" s="1">
        <v>17194.0</v>
      </c>
      <c r="C3721" s="1">
        <v>1.61918464E9</v>
      </c>
      <c r="D3721" s="1">
        <v>4.0</v>
      </c>
      <c r="E3721" s="1" t="b">
        <v>0</v>
      </c>
      <c r="F3721" s="1" t="s">
        <v>17548</v>
      </c>
    </row>
    <row r="3722">
      <c r="A3722" s="1">
        <v>49978.0</v>
      </c>
      <c r="B3722" s="1">
        <v>17132.0</v>
      </c>
      <c r="C3722" s="1">
        <v>1.619176199E9</v>
      </c>
      <c r="D3722" s="1">
        <v>4.0</v>
      </c>
      <c r="E3722" s="1" t="b">
        <v>0</v>
      </c>
      <c r="F3722" s="1" t="s">
        <v>17549</v>
      </c>
    </row>
    <row r="3723">
      <c r="A3723" s="1">
        <v>49978.0</v>
      </c>
      <c r="B3723" s="1">
        <v>16417.0</v>
      </c>
      <c r="C3723" s="1">
        <v>1.616514153E9</v>
      </c>
      <c r="D3723" s="1">
        <v>4.0</v>
      </c>
      <c r="E3723" s="1" t="b">
        <v>0</v>
      </c>
      <c r="F3723" s="1" t="s">
        <v>17550</v>
      </c>
    </row>
    <row r="3724">
      <c r="A3724" s="1">
        <v>49978.0</v>
      </c>
      <c r="B3724" s="1">
        <v>16435.0</v>
      </c>
      <c r="C3724" s="1">
        <v>1.616569531E9</v>
      </c>
      <c r="D3724" s="1">
        <v>4.0</v>
      </c>
      <c r="E3724" s="1" t="b">
        <v>0</v>
      </c>
      <c r="F3724" s="1" t="s">
        <v>17551</v>
      </c>
    </row>
    <row r="3725">
      <c r="A3725" s="1">
        <v>49978.0</v>
      </c>
      <c r="B3725" s="1">
        <v>16419.0</v>
      </c>
      <c r="C3725" s="1">
        <v>1.61651435E9</v>
      </c>
      <c r="D3725" s="1">
        <v>4.0</v>
      </c>
      <c r="E3725" s="1" t="b">
        <v>0</v>
      </c>
      <c r="F3725" s="1" t="s">
        <v>17552</v>
      </c>
    </row>
    <row r="3726">
      <c r="A3726" s="1">
        <v>49978.0</v>
      </c>
      <c r="B3726" s="1">
        <v>16441.0</v>
      </c>
      <c r="C3726" s="1">
        <v>1.616573186E9</v>
      </c>
      <c r="D3726" s="1">
        <v>4.0</v>
      </c>
      <c r="E3726" s="1" t="b">
        <v>0</v>
      </c>
      <c r="F3726" s="1" t="s">
        <v>17553</v>
      </c>
    </row>
    <row r="3727">
      <c r="A3727" s="1">
        <v>49978.0</v>
      </c>
      <c r="B3727" s="1">
        <v>16424.0</v>
      </c>
      <c r="C3727" s="1">
        <v>1.616515616E9</v>
      </c>
      <c r="D3727" s="1">
        <v>4.0</v>
      </c>
      <c r="E3727" s="1" t="b">
        <v>0</v>
      </c>
      <c r="F3727" s="1" t="s">
        <v>17554</v>
      </c>
    </row>
    <row r="3728">
      <c r="A3728" s="1">
        <v>49978.0</v>
      </c>
      <c r="B3728" s="1">
        <v>16208.0</v>
      </c>
      <c r="C3728" s="1">
        <v>1.615808453E9</v>
      </c>
      <c r="D3728" s="1">
        <v>4.0</v>
      </c>
      <c r="E3728" s="1" t="b">
        <v>0</v>
      </c>
      <c r="F3728" s="1" t="s">
        <v>17555</v>
      </c>
      <c r="G3728" s="1" t="b">
        <v>1</v>
      </c>
    </row>
    <row r="3729">
      <c r="A3729" s="1">
        <v>49978.0</v>
      </c>
      <c r="B3729" s="1">
        <v>16196.0</v>
      </c>
      <c r="C3729" s="1">
        <v>1.615732165E9</v>
      </c>
      <c r="D3729" s="1">
        <v>1.0</v>
      </c>
      <c r="E3729" s="1" t="b">
        <v>1</v>
      </c>
      <c r="F3729" s="1" t="s">
        <v>17556</v>
      </c>
    </row>
    <row r="3730">
      <c r="A3730" s="1">
        <v>49978.0</v>
      </c>
      <c r="B3730" s="1">
        <v>16415.0</v>
      </c>
      <c r="C3730" s="1">
        <v>1.616514644E9</v>
      </c>
      <c r="D3730" s="1">
        <v>4.0</v>
      </c>
      <c r="E3730" s="1" t="b">
        <v>0</v>
      </c>
      <c r="F3730" s="1" t="s">
        <v>17557</v>
      </c>
    </row>
    <row r="3731">
      <c r="A3731" s="1">
        <v>49978.0</v>
      </c>
      <c r="B3731" s="1">
        <v>16414.0</v>
      </c>
      <c r="C3731" s="1">
        <v>1.616514097E9</v>
      </c>
      <c r="D3731" s="1">
        <v>4.0</v>
      </c>
      <c r="E3731" s="1" t="b">
        <v>0</v>
      </c>
      <c r="F3731" s="1" t="s">
        <v>17558</v>
      </c>
    </row>
    <row r="3732">
      <c r="A3732" s="1">
        <v>49978.0</v>
      </c>
      <c r="B3732" s="1">
        <v>16352.0</v>
      </c>
      <c r="C3732" s="1">
        <v>1.616331688E9</v>
      </c>
      <c r="D3732" s="1">
        <v>9.0</v>
      </c>
      <c r="E3732" s="1" t="b">
        <v>0</v>
      </c>
      <c r="F3732" s="1" t="s">
        <v>17559</v>
      </c>
    </row>
    <row r="3733">
      <c r="A3733" s="1">
        <v>49978.0</v>
      </c>
      <c r="B3733" s="1">
        <v>19172.0</v>
      </c>
      <c r="C3733" s="1">
        <v>1.622456944E9</v>
      </c>
      <c r="D3733" s="1">
        <v>4.0</v>
      </c>
      <c r="E3733" s="1" t="b">
        <v>0</v>
      </c>
      <c r="F3733" s="1" t="s">
        <v>17560</v>
      </c>
    </row>
    <row r="3734">
      <c r="A3734" s="1">
        <v>49978.0</v>
      </c>
      <c r="B3734" s="1">
        <v>16416.0</v>
      </c>
      <c r="C3734" s="1">
        <v>1.616513994E9</v>
      </c>
      <c r="D3734" s="1">
        <v>4.0</v>
      </c>
      <c r="E3734" s="1" t="b">
        <v>0</v>
      </c>
      <c r="F3734" s="1" t="s">
        <v>17561</v>
      </c>
      <c r="G3734" s="1" t="b">
        <v>1</v>
      </c>
    </row>
    <row r="3735">
      <c r="A3735" s="1">
        <v>49978.0</v>
      </c>
      <c r="B3735" s="1">
        <v>16203.0</v>
      </c>
      <c r="C3735" s="1">
        <v>1.615783661E9</v>
      </c>
      <c r="D3735" s="1">
        <v>4.0</v>
      </c>
      <c r="E3735" s="1" t="b">
        <v>0</v>
      </c>
      <c r="F3735" s="1" t="s">
        <v>17562</v>
      </c>
      <c r="G3735" s="1" t="b">
        <v>1</v>
      </c>
    </row>
    <row r="3736">
      <c r="A3736" s="1">
        <v>49978.0</v>
      </c>
      <c r="B3736" s="1">
        <v>16925.0</v>
      </c>
      <c r="C3736" s="1">
        <v>1.618596003E9</v>
      </c>
      <c r="D3736" s="1">
        <v>4.0</v>
      </c>
      <c r="E3736" s="1" t="b">
        <v>0</v>
      </c>
      <c r="F3736" s="1" t="s">
        <v>17563</v>
      </c>
    </row>
    <row r="3737">
      <c r="A3737" s="1">
        <v>49978.0</v>
      </c>
      <c r="B3737" s="1">
        <v>16216.0</v>
      </c>
      <c r="C3737" s="1">
        <v>1.615818339E9</v>
      </c>
      <c r="D3737" s="1">
        <v>4.0</v>
      </c>
      <c r="E3737" s="1" t="b">
        <v>0</v>
      </c>
      <c r="F3737" s="1" t="s">
        <v>17564</v>
      </c>
    </row>
    <row r="3738">
      <c r="A3738" s="1">
        <v>49978.0</v>
      </c>
      <c r="B3738" s="1">
        <v>16425.0</v>
      </c>
      <c r="C3738" s="1">
        <v>1.616518548E9</v>
      </c>
      <c r="D3738" s="1">
        <v>9.0</v>
      </c>
      <c r="E3738" s="1" t="b">
        <v>0</v>
      </c>
      <c r="F3738" s="1" t="s">
        <v>17565</v>
      </c>
    </row>
    <row r="3739">
      <c r="A3739" s="1">
        <v>49978.0</v>
      </c>
      <c r="B3739" s="1">
        <v>19044.0</v>
      </c>
      <c r="C3739" s="1">
        <v>1.624033344E9</v>
      </c>
      <c r="D3739" s="1">
        <v>4.0</v>
      </c>
      <c r="E3739" s="1" t="b">
        <v>0</v>
      </c>
      <c r="F3739" s="1" t="s">
        <v>17566</v>
      </c>
    </row>
    <row r="3740">
      <c r="A3740" s="1">
        <v>49978.0</v>
      </c>
      <c r="B3740" s="1">
        <v>19545.0</v>
      </c>
      <c r="C3740" s="1">
        <v>1.622983207E9</v>
      </c>
      <c r="D3740" s="1">
        <v>4.0</v>
      </c>
      <c r="E3740" s="1" t="b">
        <v>0</v>
      </c>
      <c r="F3740" s="1" t="s">
        <v>17567</v>
      </c>
    </row>
    <row r="3741">
      <c r="A3741" s="1">
        <v>49978.0</v>
      </c>
      <c r="B3741" s="1">
        <v>19106.0</v>
      </c>
      <c r="C3741" s="1">
        <v>1.622380308E9</v>
      </c>
      <c r="D3741" s="1">
        <v>4.0</v>
      </c>
      <c r="E3741" s="1" t="b">
        <v>0</v>
      </c>
      <c r="F3741" s="1" t="s">
        <v>17568</v>
      </c>
    </row>
    <row r="3742">
      <c r="A3742" s="1">
        <v>49991.0</v>
      </c>
      <c r="B3742" s="1">
        <v>20437.0</v>
      </c>
      <c r="C3742" s="1">
        <v>1.624362723E9</v>
      </c>
      <c r="D3742" s="1">
        <v>9.0</v>
      </c>
      <c r="E3742" s="1" t="b">
        <v>0</v>
      </c>
      <c r="F3742" s="1" t="s">
        <v>17569</v>
      </c>
    </row>
    <row r="3743">
      <c r="A3743" s="1">
        <v>49991.0</v>
      </c>
      <c r="B3743" s="1">
        <v>17704.0</v>
      </c>
      <c r="C3743" s="1">
        <v>1.622345817E9</v>
      </c>
      <c r="D3743" s="1">
        <v>4.0</v>
      </c>
      <c r="E3743" s="1" t="b">
        <v>0</v>
      </c>
      <c r="F3743" s="1" t="s">
        <v>17036</v>
      </c>
    </row>
    <row r="3744">
      <c r="A3744" s="1">
        <v>49991.0</v>
      </c>
      <c r="B3744" s="1">
        <v>20415.0</v>
      </c>
      <c r="C3744" s="1">
        <v>1.624337924E9</v>
      </c>
      <c r="D3744" s="1">
        <v>4.0</v>
      </c>
      <c r="E3744" s="1" t="b">
        <v>0</v>
      </c>
      <c r="F3744" s="1" t="s">
        <v>17570</v>
      </c>
    </row>
    <row r="3745">
      <c r="A3745" s="1">
        <v>49991.0</v>
      </c>
      <c r="B3745" s="1">
        <v>19581.0</v>
      </c>
      <c r="C3745" s="1">
        <v>1.623034806E9</v>
      </c>
      <c r="D3745" s="1">
        <v>4.0</v>
      </c>
      <c r="E3745" s="1" t="b">
        <v>0</v>
      </c>
      <c r="F3745" s="1" t="s">
        <v>17571</v>
      </c>
    </row>
    <row r="3746">
      <c r="A3746" s="1">
        <v>49991.0</v>
      </c>
      <c r="B3746" s="1">
        <v>19764.0</v>
      </c>
      <c r="C3746" s="1">
        <v>1.623263879E9</v>
      </c>
      <c r="D3746" s="1">
        <v>4.0</v>
      </c>
      <c r="E3746" s="1" t="b">
        <v>0</v>
      </c>
      <c r="F3746" s="1" t="s">
        <v>17572</v>
      </c>
    </row>
    <row r="3747">
      <c r="A3747" s="1">
        <v>49991.0</v>
      </c>
      <c r="B3747" s="1">
        <v>17190.0</v>
      </c>
      <c r="C3747" s="1">
        <v>1.619502361E9</v>
      </c>
      <c r="D3747" s="1">
        <v>4.0</v>
      </c>
      <c r="E3747" s="1" t="b">
        <v>0</v>
      </c>
      <c r="F3747" s="1" t="s">
        <v>17573</v>
      </c>
    </row>
    <row r="3748">
      <c r="A3748" s="1">
        <v>49991.0</v>
      </c>
      <c r="B3748" s="1">
        <v>16934.0</v>
      </c>
      <c r="C3748" s="1">
        <v>1.618906786E9</v>
      </c>
      <c r="D3748" s="1">
        <v>1.0</v>
      </c>
      <c r="E3748" s="1" t="b">
        <v>0</v>
      </c>
      <c r="F3748" s="1" t="s">
        <v>17462</v>
      </c>
    </row>
    <row r="3749">
      <c r="A3749" s="1">
        <v>49991.0</v>
      </c>
      <c r="B3749" s="1">
        <v>17487.0</v>
      </c>
      <c r="C3749" s="1">
        <v>1.619887862E9</v>
      </c>
      <c r="D3749" s="1">
        <v>4.0</v>
      </c>
      <c r="E3749" s="1" t="b">
        <v>0</v>
      </c>
      <c r="F3749" s="1" t="s">
        <v>17574</v>
      </c>
    </row>
    <row r="3750">
      <c r="A3750" s="1">
        <v>49991.0</v>
      </c>
      <c r="B3750" s="1">
        <v>17541.0</v>
      </c>
      <c r="C3750" s="1">
        <v>1.620187069E9</v>
      </c>
      <c r="D3750" s="1">
        <v>4.0</v>
      </c>
      <c r="E3750" s="1" t="b">
        <v>0</v>
      </c>
      <c r="F3750" s="1" t="s">
        <v>17575</v>
      </c>
    </row>
    <row r="3751">
      <c r="A3751" s="1">
        <v>49991.0</v>
      </c>
      <c r="B3751" s="1">
        <v>19395.0</v>
      </c>
      <c r="C3751" s="1">
        <v>1.622700442E9</v>
      </c>
      <c r="D3751" s="1">
        <v>4.0</v>
      </c>
      <c r="E3751" s="1" t="b">
        <v>0</v>
      </c>
      <c r="F3751" s="1" t="s">
        <v>17576</v>
      </c>
    </row>
    <row r="3752">
      <c r="A3752" s="1">
        <v>49991.0</v>
      </c>
      <c r="B3752" s="1">
        <v>17103.0</v>
      </c>
      <c r="C3752" s="1">
        <v>1.619080719E9</v>
      </c>
      <c r="D3752" s="1">
        <v>4.0</v>
      </c>
      <c r="E3752" s="1" t="b">
        <v>0</v>
      </c>
      <c r="F3752" s="1" t="s">
        <v>17577</v>
      </c>
    </row>
    <row r="3753">
      <c r="A3753" s="1">
        <v>49991.0</v>
      </c>
      <c r="B3753" s="1">
        <v>16847.0</v>
      </c>
      <c r="C3753" s="1">
        <v>1.618403302E9</v>
      </c>
      <c r="D3753" s="1">
        <v>4.0</v>
      </c>
      <c r="E3753" s="1" t="b">
        <v>0</v>
      </c>
      <c r="F3753" s="1" t="s">
        <v>17578</v>
      </c>
    </row>
    <row r="3754">
      <c r="A3754" s="1">
        <v>49991.0</v>
      </c>
      <c r="B3754" s="1">
        <v>16120.0</v>
      </c>
      <c r="C3754" s="1">
        <v>1.616915406E9</v>
      </c>
      <c r="D3754" s="1">
        <v>1.0</v>
      </c>
      <c r="E3754" s="1" t="b">
        <v>1</v>
      </c>
      <c r="F3754" s="1" t="s">
        <v>17579</v>
      </c>
    </row>
    <row r="3755">
      <c r="A3755" s="1">
        <v>49991.0</v>
      </c>
      <c r="B3755" s="1">
        <v>17027.0</v>
      </c>
      <c r="C3755" s="1">
        <v>1.618908744E9</v>
      </c>
      <c r="D3755" s="1">
        <v>4.0</v>
      </c>
      <c r="E3755" s="1" t="b">
        <v>0</v>
      </c>
      <c r="F3755" s="1" t="s">
        <v>17580</v>
      </c>
    </row>
    <row r="3756">
      <c r="A3756" s="1">
        <v>49991.0</v>
      </c>
      <c r="B3756" s="1">
        <v>19391.0</v>
      </c>
      <c r="C3756" s="1">
        <v>1.6226573E9</v>
      </c>
      <c r="D3756" s="1">
        <v>4.0</v>
      </c>
      <c r="E3756" s="1" t="b">
        <v>0</v>
      </c>
      <c r="F3756" s="1" t="s">
        <v>17581</v>
      </c>
    </row>
    <row r="3757">
      <c r="A3757" s="1">
        <v>49991.0</v>
      </c>
      <c r="B3757" s="1">
        <v>16728.0</v>
      </c>
      <c r="C3757" s="1">
        <v>1.617797157E9</v>
      </c>
      <c r="D3757" s="1">
        <v>4.0</v>
      </c>
      <c r="E3757" s="1" t="b">
        <v>0</v>
      </c>
      <c r="F3757" s="1" t="s">
        <v>17582</v>
      </c>
    </row>
    <row r="3758">
      <c r="A3758" s="1">
        <v>49991.0</v>
      </c>
      <c r="B3758" s="1">
        <v>17300.0</v>
      </c>
      <c r="C3758" s="1">
        <v>1.619517081E9</v>
      </c>
      <c r="D3758" s="1">
        <v>4.0</v>
      </c>
      <c r="E3758" s="1" t="b">
        <v>0</v>
      </c>
      <c r="F3758" s="1" t="s">
        <v>17583</v>
      </c>
    </row>
    <row r="3759">
      <c r="A3759" s="1">
        <v>49991.0</v>
      </c>
      <c r="B3759" s="1">
        <v>17028.0</v>
      </c>
      <c r="C3759" s="1">
        <v>1.618908737E9</v>
      </c>
      <c r="D3759" s="1">
        <v>4.0</v>
      </c>
      <c r="E3759" s="1" t="b">
        <v>0</v>
      </c>
      <c r="F3759" s="1" t="s">
        <v>17584</v>
      </c>
    </row>
    <row r="3760">
      <c r="A3760" s="1">
        <v>49991.0</v>
      </c>
      <c r="B3760" s="1">
        <v>16881.0</v>
      </c>
      <c r="C3760" s="1">
        <v>1.618508824E9</v>
      </c>
      <c r="D3760" s="1">
        <v>4.0</v>
      </c>
      <c r="E3760" s="1" t="b">
        <v>0</v>
      </c>
      <c r="F3760" s="1" t="s">
        <v>17585</v>
      </c>
    </row>
    <row r="3761">
      <c r="A3761" s="1">
        <v>49991.0</v>
      </c>
      <c r="B3761" s="1">
        <v>17495.0</v>
      </c>
      <c r="C3761" s="1">
        <v>1.619956681E9</v>
      </c>
      <c r="D3761" s="1">
        <v>4.0</v>
      </c>
      <c r="E3761" s="1" t="b">
        <v>0</v>
      </c>
      <c r="F3761" s="1" t="s">
        <v>14151</v>
      </c>
    </row>
    <row r="3762">
      <c r="A3762" s="1">
        <v>49991.0</v>
      </c>
      <c r="B3762" s="1">
        <v>20083.0</v>
      </c>
      <c r="C3762" s="1">
        <v>1.623749442E9</v>
      </c>
      <c r="D3762" s="1">
        <v>4.0</v>
      </c>
      <c r="E3762" s="1" t="b">
        <v>0</v>
      </c>
      <c r="F3762" s="1" t="s">
        <v>17586</v>
      </c>
    </row>
    <row r="3763">
      <c r="A3763" s="1">
        <v>49991.0</v>
      </c>
      <c r="B3763" s="1">
        <v>16851.0</v>
      </c>
      <c r="C3763" s="1">
        <v>1.618410895E9</v>
      </c>
      <c r="D3763" s="1">
        <v>4.0</v>
      </c>
      <c r="E3763" s="1" t="b">
        <v>0</v>
      </c>
      <c r="F3763" s="1" t="s">
        <v>17587</v>
      </c>
    </row>
    <row r="3764">
      <c r="A3764" s="1">
        <v>49991.0</v>
      </c>
      <c r="B3764" s="1">
        <v>17306.0</v>
      </c>
      <c r="C3764" s="1">
        <v>1.619517092E9</v>
      </c>
      <c r="D3764" s="1">
        <v>4.0</v>
      </c>
      <c r="E3764" s="1" t="b">
        <v>0</v>
      </c>
      <c r="F3764" s="1" t="s">
        <v>17588</v>
      </c>
    </row>
    <row r="3765">
      <c r="A3765" s="1">
        <v>49991.0</v>
      </c>
      <c r="B3765" s="1">
        <v>19111.0</v>
      </c>
      <c r="C3765" s="1">
        <v>1.62251725E9</v>
      </c>
      <c r="D3765" s="1">
        <v>4.0</v>
      </c>
      <c r="E3765" s="1" t="b">
        <v>0</v>
      </c>
      <c r="F3765" s="1" t="s">
        <v>17589</v>
      </c>
    </row>
    <row r="3766">
      <c r="A3766" s="1">
        <v>49991.0</v>
      </c>
      <c r="B3766" s="1">
        <v>19553.0</v>
      </c>
      <c r="C3766" s="1">
        <v>1.622987534E9</v>
      </c>
      <c r="D3766" s="1">
        <v>4.0</v>
      </c>
      <c r="E3766" s="1" t="b">
        <v>0</v>
      </c>
      <c r="F3766" s="1" t="s">
        <v>17590</v>
      </c>
    </row>
    <row r="3767">
      <c r="A3767" s="1">
        <v>49991.0</v>
      </c>
      <c r="B3767" s="1">
        <v>17342.0</v>
      </c>
      <c r="C3767" s="1">
        <v>1.619517074E9</v>
      </c>
      <c r="D3767" s="1">
        <v>4.0</v>
      </c>
      <c r="E3767" s="1" t="b">
        <v>0</v>
      </c>
      <c r="F3767" s="1" t="s">
        <v>17591</v>
      </c>
    </row>
    <row r="3768">
      <c r="A3768" s="1">
        <v>49991.0</v>
      </c>
      <c r="B3768" s="1">
        <v>18312.0</v>
      </c>
      <c r="C3768" s="1">
        <v>1.621487782E9</v>
      </c>
      <c r="D3768" s="1">
        <v>4.0</v>
      </c>
      <c r="E3768" s="1" t="b">
        <v>0</v>
      </c>
      <c r="F3768" s="1" t="s">
        <v>17592</v>
      </c>
    </row>
    <row r="3769">
      <c r="A3769" s="1">
        <v>49991.0</v>
      </c>
      <c r="B3769" s="1">
        <v>17093.0</v>
      </c>
      <c r="C3769" s="1">
        <v>1.619041486E9</v>
      </c>
      <c r="D3769" s="1">
        <v>4.0</v>
      </c>
      <c r="E3769" s="1" t="b">
        <v>0</v>
      </c>
      <c r="F3769" s="1" t="s">
        <v>17593</v>
      </c>
    </row>
    <row r="3770">
      <c r="A3770" s="1">
        <v>49991.0</v>
      </c>
      <c r="B3770" s="1">
        <v>1739.0</v>
      </c>
      <c r="C3770" s="1">
        <v>1.619517088E9</v>
      </c>
      <c r="D3770" s="1">
        <v>4.0</v>
      </c>
      <c r="E3770" s="1" t="b">
        <v>0</v>
      </c>
      <c r="F3770" s="1" t="s">
        <v>17594</v>
      </c>
    </row>
    <row r="3771">
      <c r="A3771" s="1">
        <v>49991.0</v>
      </c>
      <c r="B3771" s="1">
        <v>19420.0</v>
      </c>
      <c r="C3771" s="1">
        <v>1.622699541E9</v>
      </c>
      <c r="D3771" s="1">
        <v>4.0</v>
      </c>
      <c r="E3771" s="1" t="b">
        <v>0</v>
      </c>
      <c r="F3771" s="1" t="s">
        <v>17595</v>
      </c>
    </row>
    <row r="3772">
      <c r="A3772" s="1">
        <v>49991.0</v>
      </c>
      <c r="B3772" s="1">
        <v>19884.0</v>
      </c>
      <c r="C3772" s="1">
        <v>1.623424372E9</v>
      </c>
      <c r="D3772" s="1">
        <v>4.0</v>
      </c>
      <c r="E3772" s="1" t="b">
        <v>0</v>
      </c>
      <c r="F3772" s="1" t="s">
        <v>17596</v>
      </c>
    </row>
    <row r="3773">
      <c r="A3773" s="1">
        <v>49991.0</v>
      </c>
      <c r="B3773" s="1">
        <v>16958.0</v>
      </c>
      <c r="C3773" s="1">
        <v>1.61898842E9</v>
      </c>
      <c r="D3773" s="1">
        <v>4.0</v>
      </c>
      <c r="E3773" s="1" t="b">
        <v>0</v>
      </c>
      <c r="F3773" s="1" t="s">
        <v>17087</v>
      </c>
    </row>
    <row r="3774">
      <c r="A3774" s="1">
        <v>49991.0</v>
      </c>
      <c r="B3774" s="1">
        <v>17726.0</v>
      </c>
      <c r="C3774" s="1">
        <v>1.620474501E9</v>
      </c>
      <c r="D3774" s="1">
        <v>4.0</v>
      </c>
      <c r="E3774" s="1" t="b">
        <v>0</v>
      </c>
      <c r="F3774" s="1" t="s">
        <v>17597</v>
      </c>
    </row>
    <row r="3775">
      <c r="A3775" s="1">
        <v>49991.0</v>
      </c>
      <c r="B3775" s="1">
        <v>17392.0</v>
      </c>
      <c r="C3775" s="1">
        <v>1.619602483E9</v>
      </c>
      <c r="D3775" s="1">
        <v>4.0</v>
      </c>
      <c r="E3775" s="1" t="b">
        <v>0</v>
      </c>
      <c r="F3775" s="1" t="s">
        <v>17598</v>
      </c>
    </row>
    <row r="3776">
      <c r="A3776" s="1">
        <v>49991.0</v>
      </c>
      <c r="B3776" s="1">
        <v>17254.0</v>
      </c>
      <c r="C3776" s="1">
        <v>1.619502367E9</v>
      </c>
      <c r="D3776" s="1">
        <v>4.0</v>
      </c>
      <c r="E3776" s="1" t="b">
        <v>0</v>
      </c>
      <c r="F3776" s="1" t="s">
        <v>17599</v>
      </c>
    </row>
    <row r="3777">
      <c r="A3777" s="1">
        <v>49991.0</v>
      </c>
      <c r="B3777" s="1">
        <v>19936.0</v>
      </c>
      <c r="C3777" s="1">
        <v>1.623515215E9</v>
      </c>
      <c r="D3777" s="1">
        <v>4.0</v>
      </c>
      <c r="E3777" s="1" t="b">
        <v>0</v>
      </c>
      <c r="F3777" s="1" t="s">
        <v>17600</v>
      </c>
    </row>
    <row r="3778">
      <c r="A3778" s="1">
        <v>49991.0</v>
      </c>
      <c r="B3778" s="1">
        <v>18265.0</v>
      </c>
      <c r="C3778" s="1">
        <v>1.621487793E9</v>
      </c>
      <c r="D3778" s="1">
        <v>4.0</v>
      </c>
      <c r="E3778" s="1" t="b">
        <v>0</v>
      </c>
      <c r="F3778" s="1" t="s">
        <v>17601</v>
      </c>
    </row>
    <row r="3779">
      <c r="A3779" s="1">
        <v>49991.0</v>
      </c>
      <c r="B3779" s="1">
        <v>18413.0</v>
      </c>
      <c r="C3779" s="1">
        <v>1.621542637E9</v>
      </c>
      <c r="D3779" s="1">
        <v>4.0</v>
      </c>
      <c r="E3779" s="1" t="b">
        <v>0</v>
      </c>
      <c r="F3779" s="1" t="s">
        <v>17602</v>
      </c>
    </row>
    <row r="3780">
      <c r="A3780" s="1">
        <v>49991.0</v>
      </c>
      <c r="B3780" s="1">
        <v>20063.0</v>
      </c>
      <c r="C3780" s="1">
        <v>1.623702409E9</v>
      </c>
      <c r="D3780" s="1">
        <v>4.0</v>
      </c>
      <c r="E3780" s="1" t="b">
        <v>0</v>
      </c>
      <c r="F3780" s="1" t="s">
        <v>17603</v>
      </c>
    </row>
    <row r="3781">
      <c r="A3781" s="1">
        <v>49991.0</v>
      </c>
      <c r="B3781" s="1">
        <v>19457.0</v>
      </c>
      <c r="C3781" s="1">
        <v>0.0</v>
      </c>
      <c r="D3781" s="1">
        <v>3.0</v>
      </c>
      <c r="E3781" s="1" t="b">
        <v>0</v>
      </c>
      <c r="F3781" s="1" t="s">
        <v>17604</v>
      </c>
    </row>
    <row r="3782">
      <c r="A3782" s="1">
        <v>49991.0</v>
      </c>
      <c r="B3782" s="1">
        <v>20146.0</v>
      </c>
      <c r="C3782" s="1">
        <v>1.623835182E9</v>
      </c>
      <c r="D3782" s="1">
        <v>4.0</v>
      </c>
      <c r="E3782" s="1" t="b">
        <v>0</v>
      </c>
      <c r="F3782" s="1" t="s">
        <v>17605</v>
      </c>
    </row>
    <row r="3783">
      <c r="A3783" s="1">
        <v>49991.0</v>
      </c>
      <c r="B3783" s="1">
        <v>20000.0</v>
      </c>
      <c r="C3783" s="1">
        <v>1.62360904E9</v>
      </c>
      <c r="D3783" s="1">
        <v>4.0</v>
      </c>
      <c r="E3783" s="1" t="b">
        <v>0</v>
      </c>
      <c r="F3783" s="1" t="s">
        <v>17606</v>
      </c>
    </row>
    <row r="3784">
      <c r="A3784" s="1">
        <v>49991.0</v>
      </c>
      <c r="B3784" s="1">
        <v>17396.0</v>
      </c>
      <c r="C3784" s="1">
        <v>1.61960238E9</v>
      </c>
      <c r="D3784" s="1">
        <v>4.0</v>
      </c>
      <c r="E3784" s="1" t="b">
        <v>0</v>
      </c>
      <c r="F3784" s="1" t="s">
        <v>17607</v>
      </c>
    </row>
    <row r="3785">
      <c r="A3785" s="1">
        <v>49991.0</v>
      </c>
      <c r="B3785" s="1">
        <v>18359.0</v>
      </c>
      <c r="C3785" s="1">
        <v>1.621487812E9</v>
      </c>
      <c r="D3785" s="1">
        <v>4.0</v>
      </c>
      <c r="E3785" s="1" t="b">
        <v>0</v>
      </c>
      <c r="F3785" s="1" t="s">
        <v>17162</v>
      </c>
    </row>
    <row r="3786">
      <c r="A3786" s="1">
        <v>49991.0</v>
      </c>
      <c r="B3786" s="1">
        <v>20133.0</v>
      </c>
      <c r="C3786" s="1">
        <v>0.0</v>
      </c>
      <c r="D3786" s="1">
        <v>3.0</v>
      </c>
      <c r="E3786" s="1" t="b">
        <v>0</v>
      </c>
      <c r="F3786" s="1" t="s">
        <v>17608</v>
      </c>
    </row>
    <row r="3787">
      <c r="A3787" s="1">
        <v>49991.0</v>
      </c>
      <c r="B3787" s="1">
        <v>19119.0</v>
      </c>
      <c r="C3787" s="1">
        <v>1.622394185E9</v>
      </c>
      <c r="D3787" s="1">
        <v>4.0</v>
      </c>
      <c r="E3787" s="1" t="b">
        <v>0</v>
      </c>
      <c r="F3787" s="1" t="s">
        <v>17609</v>
      </c>
    </row>
    <row r="3788">
      <c r="A3788" s="1">
        <v>49991.0</v>
      </c>
      <c r="B3788" s="1">
        <v>19735.0</v>
      </c>
      <c r="C3788" s="1">
        <v>1.623230025E9</v>
      </c>
      <c r="D3788" s="1">
        <v>4.0</v>
      </c>
      <c r="E3788" s="1" t="b">
        <v>0</v>
      </c>
      <c r="F3788" s="1" t="s">
        <v>17610</v>
      </c>
    </row>
    <row r="3789">
      <c r="A3789" s="1">
        <v>49991.0</v>
      </c>
      <c r="B3789" s="1">
        <v>19231.0</v>
      </c>
      <c r="C3789" s="1">
        <v>1.622514468E9</v>
      </c>
      <c r="D3789" s="1">
        <v>4.0</v>
      </c>
      <c r="E3789" s="1" t="b">
        <v>0</v>
      </c>
      <c r="F3789" s="1" t="s">
        <v>17611</v>
      </c>
    </row>
    <row r="3790">
      <c r="A3790" s="1">
        <v>49991.0</v>
      </c>
      <c r="B3790" s="1">
        <v>17258.0</v>
      </c>
      <c r="C3790" s="1">
        <v>1.619517069E9</v>
      </c>
      <c r="D3790" s="1">
        <v>4.0</v>
      </c>
      <c r="E3790" s="1" t="b">
        <v>0</v>
      </c>
      <c r="F3790" s="1" t="s">
        <v>17612</v>
      </c>
    </row>
    <row r="3791">
      <c r="A3791" s="1">
        <v>49991.0</v>
      </c>
      <c r="B3791" s="1">
        <v>20463.0</v>
      </c>
      <c r="C3791" s="1">
        <v>0.0</v>
      </c>
      <c r="D3791" s="1">
        <v>4.0</v>
      </c>
      <c r="E3791" s="1" t="b">
        <v>0</v>
      </c>
      <c r="F3791" s="1" t="s">
        <v>17613</v>
      </c>
    </row>
    <row r="3792">
      <c r="A3792" s="1">
        <v>49991.0</v>
      </c>
      <c r="B3792" s="1">
        <v>19654.0</v>
      </c>
      <c r="C3792" s="1">
        <v>1.623118547E9</v>
      </c>
      <c r="D3792" s="1">
        <v>4.0</v>
      </c>
      <c r="E3792" s="1" t="b">
        <v>0</v>
      </c>
      <c r="F3792" s="1" t="s">
        <v>17614</v>
      </c>
    </row>
    <row r="3793">
      <c r="A3793" s="1">
        <v>49991.0</v>
      </c>
      <c r="B3793" s="1">
        <v>17630.0</v>
      </c>
      <c r="C3793" s="1">
        <v>1.620359082E9</v>
      </c>
      <c r="D3793" s="1">
        <v>4.0</v>
      </c>
      <c r="E3793" s="1" t="b">
        <v>0</v>
      </c>
      <c r="F3793" s="1" t="s">
        <v>17615</v>
      </c>
    </row>
    <row r="3794">
      <c r="A3794" s="1">
        <v>49991.0</v>
      </c>
      <c r="B3794" s="1">
        <v>19879.0</v>
      </c>
      <c r="C3794" s="1">
        <v>1.623428315E9</v>
      </c>
      <c r="D3794" s="1">
        <v>4.0</v>
      </c>
      <c r="E3794" s="1" t="b">
        <v>0</v>
      </c>
      <c r="F3794" s="1" t="s">
        <v>17616</v>
      </c>
    </row>
    <row r="3795">
      <c r="A3795" s="1">
        <v>49991.0</v>
      </c>
      <c r="B3795" s="1">
        <v>19374.0</v>
      </c>
      <c r="C3795" s="1">
        <v>1.622700452E9</v>
      </c>
      <c r="D3795" s="1">
        <v>4.0</v>
      </c>
      <c r="E3795" s="1" t="b">
        <v>0</v>
      </c>
      <c r="F3795" s="1" t="s">
        <v>17617</v>
      </c>
    </row>
    <row r="3796">
      <c r="A3796" s="1">
        <v>49991.0</v>
      </c>
      <c r="B3796" s="1">
        <v>20031.0</v>
      </c>
      <c r="C3796" s="1">
        <v>0.0</v>
      </c>
      <c r="D3796" s="1">
        <v>3.0</v>
      </c>
      <c r="E3796" s="1" t="b">
        <v>0</v>
      </c>
      <c r="F3796" s="1" t="s">
        <v>17618</v>
      </c>
    </row>
    <row r="3797">
      <c r="A3797" s="1">
        <v>49991.0</v>
      </c>
      <c r="B3797" s="1">
        <v>20115.0</v>
      </c>
      <c r="C3797" s="1">
        <v>1.623811319E9</v>
      </c>
      <c r="D3797" s="1">
        <v>4.0</v>
      </c>
      <c r="E3797" s="1" t="b">
        <v>0</v>
      </c>
      <c r="F3797" s="1" t="s">
        <v>17619</v>
      </c>
    </row>
    <row r="3798">
      <c r="A3798" s="1">
        <v>49991.0</v>
      </c>
      <c r="B3798" s="1">
        <v>17697.0</v>
      </c>
      <c r="C3798" s="1">
        <v>1.620445502E9</v>
      </c>
      <c r="D3798" s="1">
        <v>4.0</v>
      </c>
      <c r="E3798" s="1" t="b">
        <v>0</v>
      </c>
      <c r="F3798" s="1" t="s">
        <v>17620</v>
      </c>
    </row>
    <row r="3799">
      <c r="A3799" s="1">
        <v>49991.0</v>
      </c>
      <c r="B3799" s="1">
        <v>20212.0</v>
      </c>
      <c r="C3799" s="1">
        <v>1.623931934E9</v>
      </c>
      <c r="D3799" s="1">
        <v>4.0</v>
      </c>
      <c r="E3799" s="1" t="b">
        <v>0</v>
      </c>
      <c r="F3799" s="1" t="s">
        <v>17621</v>
      </c>
    </row>
    <row r="3800">
      <c r="A3800" s="1">
        <v>49991.0</v>
      </c>
      <c r="B3800" s="1">
        <v>17627.0</v>
      </c>
      <c r="C3800" s="1">
        <v>1.620490828E9</v>
      </c>
      <c r="D3800" s="1">
        <v>4.0</v>
      </c>
      <c r="E3800" s="1" t="b">
        <v>0</v>
      </c>
      <c r="F3800" s="1" t="s">
        <v>17622</v>
      </c>
    </row>
    <row r="3801">
      <c r="A3801" s="1">
        <v>49991.0</v>
      </c>
      <c r="B3801" s="1">
        <v>17715.0</v>
      </c>
      <c r="C3801" s="1">
        <v>1.620466103E9</v>
      </c>
      <c r="D3801" s="1">
        <v>4.0</v>
      </c>
      <c r="E3801" s="1" t="b">
        <v>0</v>
      </c>
      <c r="F3801" s="1" t="s">
        <v>17623</v>
      </c>
    </row>
    <row r="3802">
      <c r="A3802" s="1">
        <v>49991.0</v>
      </c>
      <c r="B3802" s="1">
        <v>19051.0</v>
      </c>
      <c r="C3802" s="1">
        <v>1.622314079E9</v>
      </c>
      <c r="D3802" s="1">
        <v>4.0</v>
      </c>
      <c r="E3802" s="1" t="b">
        <v>0</v>
      </c>
      <c r="F3802" s="1" t="s">
        <v>17624</v>
      </c>
    </row>
    <row r="3803">
      <c r="A3803" s="1">
        <v>49991.0</v>
      </c>
      <c r="B3803" s="1">
        <v>18053.0</v>
      </c>
      <c r="C3803" s="1">
        <v>1.62105611E9</v>
      </c>
      <c r="D3803" s="1">
        <v>4.0</v>
      </c>
      <c r="E3803" s="1" t="b">
        <v>0</v>
      </c>
      <c r="F3803" s="1" t="s">
        <v>17625</v>
      </c>
    </row>
    <row r="3804">
      <c r="A3804" s="1">
        <v>49991.0</v>
      </c>
      <c r="B3804" s="1">
        <v>16894.0</v>
      </c>
      <c r="C3804" s="1">
        <v>1.618508816E9</v>
      </c>
      <c r="D3804" s="1">
        <v>4.0</v>
      </c>
      <c r="E3804" s="1" t="b">
        <v>0</v>
      </c>
      <c r="F3804" s="1" t="s">
        <v>17626</v>
      </c>
    </row>
    <row r="3805">
      <c r="A3805" s="1">
        <v>49991.0</v>
      </c>
      <c r="B3805" s="1">
        <v>18336.0</v>
      </c>
      <c r="C3805" s="1">
        <v>1.621487749E9</v>
      </c>
      <c r="D3805" s="1">
        <v>4.0</v>
      </c>
      <c r="E3805" s="1" t="b">
        <v>0</v>
      </c>
      <c r="F3805" s="1" t="s">
        <v>17627</v>
      </c>
    </row>
    <row r="3806">
      <c r="A3806" s="1">
        <v>49991.0</v>
      </c>
      <c r="B3806" s="1">
        <v>17403.0</v>
      </c>
      <c r="C3806" s="1">
        <v>1.619855736E9</v>
      </c>
      <c r="D3806" s="1">
        <v>4.0</v>
      </c>
      <c r="E3806" s="1" t="b">
        <v>0</v>
      </c>
      <c r="F3806" s="1" t="s">
        <v>17628</v>
      </c>
    </row>
    <row r="3807">
      <c r="A3807" s="1">
        <v>49991.0</v>
      </c>
      <c r="B3807" s="1">
        <v>19162.0</v>
      </c>
      <c r="C3807" s="1">
        <v>1.622452692E9</v>
      </c>
      <c r="D3807" s="1">
        <v>4.0</v>
      </c>
      <c r="E3807" s="1" t="b">
        <v>0</v>
      </c>
      <c r="F3807" s="1" t="s">
        <v>17629</v>
      </c>
    </row>
    <row r="3808">
      <c r="A3808" s="1">
        <v>49991.0</v>
      </c>
      <c r="B3808" s="1">
        <v>20100.0</v>
      </c>
      <c r="C3808" s="1">
        <v>0.0</v>
      </c>
      <c r="D3808" s="1">
        <v>3.0</v>
      </c>
      <c r="E3808" s="1" t="b">
        <v>0</v>
      </c>
      <c r="F3808" s="1" t="s">
        <v>17630</v>
      </c>
    </row>
    <row r="3809">
      <c r="A3809" s="1">
        <v>49991.0</v>
      </c>
      <c r="B3809" s="1">
        <v>19161.0</v>
      </c>
      <c r="C3809" s="1">
        <v>1.622700478E9</v>
      </c>
      <c r="D3809" s="1">
        <v>4.0</v>
      </c>
      <c r="E3809" s="1" t="b">
        <v>0</v>
      </c>
      <c r="F3809" s="1" t="s">
        <v>17631</v>
      </c>
    </row>
    <row r="3810">
      <c r="A3810" s="1">
        <v>49991.0</v>
      </c>
      <c r="B3810" s="1">
        <v>16929.0</v>
      </c>
      <c r="C3810" s="1">
        <v>1.618616132E9</v>
      </c>
      <c r="D3810" s="1">
        <v>4.0</v>
      </c>
      <c r="E3810" s="1" t="b">
        <v>0</v>
      </c>
      <c r="F3810" s="1" t="s">
        <v>17632</v>
      </c>
    </row>
    <row r="3811">
      <c r="A3811" s="1">
        <v>49991.0</v>
      </c>
      <c r="B3811" s="1">
        <v>18521.0</v>
      </c>
      <c r="C3811" s="1">
        <v>1.622345821E9</v>
      </c>
      <c r="D3811" s="1">
        <v>4.0</v>
      </c>
      <c r="E3811" s="1" t="b">
        <v>0</v>
      </c>
      <c r="F3811" s="1" t="s">
        <v>17633</v>
      </c>
    </row>
    <row r="3812">
      <c r="A3812" s="1">
        <v>49991.0</v>
      </c>
      <c r="B3812" s="1">
        <v>18513.0</v>
      </c>
      <c r="C3812" s="1">
        <v>1.622345826E9</v>
      </c>
      <c r="D3812" s="1">
        <v>4.0</v>
      </c>
      <c r="E3812" s="1" t="b">
        <v>0</v>
      </c>
      <c r="F3812" s="1" t="s">
        <v>17634</v>
      </c>
    </row>
    <row r="3813">
      <c r="A3813" s="1">
        <v>49991.0</v>
      </c>
      <c r="B3813" s="1">
        <v>17181.0</v>
      </c>
      <c r="C3813" s="1">
        <v>1.623998541E9</v>
      </c>
      <c r="D3813" s="1">
        <v>4.0</v>
      </c>
      <c r="E3813" s="1" t="b">
        <v>0</v>
      </c>
      <c r="F3813" s="1" t="s">
        <v>17635</v>
      </c>
    </row>
    <row r="3814">
      <c r="A3814" s="1">
        <v>49991.0</v>
      </c>
      <c r="B3814" s="1">
        <v>18093.0</v>
      </c>
      <c r="C3814" s="1">
        <v>1.621159014E9</v>
      </c>
      <c r="D3814" s="1">
        <v>4.0</v>
      </c>
      <c r="E3814" s="1" t="b">
        <v>0</v>
      </c>
      <c r="F3814" s="1" t="s">
        <v>17636</v>
      </c>
    </row>
    <row r="3815">
      <c r="A3815" s="1">
        <v>49991.0</v>
      </c>
      <c r="B3815" s="1">
        <v>18095.0</v>
      </c>
      <c r="C3815" s="1">
        <v>1.62115906E9</v>
      </c>
      <c r="D3815" s="1">
        <v>4.0</v>
      </c>
      <c r="E3815" s="1" t="b">
        <v>0</v>
      </c>
      <c r="F3815" s="1" t="s">
        <v>17637</v>
      </c>
    </row>
    <row r="3816">
      <c r="A3816" s="1">
        <v>49991.0</v>
      </c>
      <c r="B3816" s="1">
        <v>18098.0</v>
      </c>
      <c r="C3816" s="1">
        <v>1.62116384E9</v>
      </c>
      <c r="D3816" s="1">
        <v>4.0</v>
      </c>
      <c r="E3816" s="1" t="b">
        <v>0</v>
      </c>
      <c r="F3816" s="1" t="s">
        <v>17638</v>
      </c>
    </row>
    <row r="3817">
      <c r="A3817" s="1">
        <v>49991.0</v>
      </c>
      <c r="B3817" s="1">
        <v>18105.0</v>
      </c>
      <c r="C3817" s="1">
        <v>1.621163876E9</v>
      </c>
      <c r="D3817" s="1">
        <v>4.0</v>
      </c>
      <c r="E3817" s="1" t="b">
        <v>0</v>
      </c>
      <c r="F3817" s="1" t="s">
        <v>17639</v>
      </c>
    </row>
    <row r="3818">
      <c r="A3818" s="1">
        <v>49991.0</v>
      </c>
      <c r="B3818" s="1">
        <v>18329.0</v>
      </c>
      <c r="C3818" s="1">
        <v>1.621487802E9</v>
      </c>
      <c r="D3818" s="1">
        <v>4.0</v>
      </c>
      <c r="E3818" s="1" t="b">
        <v>0</v>
      </c>
      <c r="F3818" s="1" t="s">
        <v>17640</v>
      </c>
    </row>
    <row r="3819">
      <c r="A3819" s="1">
        <v>49991.0</v>
      </c>
      <c r="B3819" s="1">
        <v>19267.0</v>
      </c>
      <c r="C3819" s="1">
        <v>1.622543328E9</v>
      </c>
      <c r="D3819" s="1">
        <v>4.0</v>
      </c>
      <c r="E3819" s="1" t="b">
        <v>0</v>
      </c>
      <c r="F3819" s="1" t="s">
        <v>17641</v>
      </c>
    </row>
    <row r="3820">
      <c r="A3820" s="1">
        <v>49991.0</v>
      </c>
      <c r="B3820" s="1">
        <v>13315.0</v>
      </c>
      <c r="C3820" s="1">
        <v>1.621759845E9</v>
      </c>
      <c r="D3820" s="1">
        <v>4.0</v>
      </c>
      <c r="E3820" s="1" t="b">
        <v>0</v>
      </c>
      <c r="F3820" s="1" t="s">
        <v>17642</v>
      </c>
    </row>
    <row r="3821">
      <c r="A3821" s="1">
        <v>49991.0</v>
      </c>
      <c r="B3821" s="1">
        <v>18616.0</v>
      </c>
      <c r="C3821" s="1">
        <v>1.621773418E9</v>
      </c>
      <c r="D3821" s="1">
        <v>4.0</v>
      </c>
      <c r="E3821" s="1" t="b">
        <v>0</v>
      </c>
      <c r="F3821" s="1" t="s">
        <v>17643</v>
      </c>
    </row>
    <row r="3822">
      <c r="A3822" s="1">
        <v>49991.0</v>
      </c>
      <c r="B3822" s="1">
        <v>20364.0</v>
      </c>
      <c r="C3822" s="1">
        <v>1.624211951E9</v>
      </c>
      <c r="D3822" s="1">
        <v>4.0</v>
      </c>
      <c r="E3822" s="1" t="b">
        <v>0</v>
      </c>
      <c r="F3822" s="1" t="s">
        <v>17644</v>
      </c>
    </row>
    <row r="3823">
      <c r="A3823" s="1">
        <v>49991.0</v>
      </c>
      <c r="B3823" s="1">
        <v>19266.0</v>
      </c>
      <c r="C3823" s="1">
        <v>1.622543119E9</v>
      </c>
      <c r="D3823" s="1">
        <v>4.0</v>
      </c>
      <c r="E3823" s="1" t="b">
        <v>0</v>
      </c>
      <c r="F3823" s="1" t="s">
        <v>17645</v>
      </c>
    </row>
    <row r="3824">
      <c r="A3824" s="1">
        <v>49991.0</v>
      </c>
      <c r="B3824" s="1">
        <v>18659.0</v>
      </c>
      <c r="C3824" s="1">
        <v>1.622215657E9</v>
      </c>
      <c r="D3824" s="1">
        <v>4.0</v>
      </c>
      <c r="E3824" s="1" t="b">
        <v>0</v>
      </c>
      <c r="F3824" s="1" t="s">
        <v>17646</v>
      </c>
    </row>
    <row r="3825">
      <c r="A3825" s="1">
        <v>49991.0</v>
      </c>
      <c r="B3825" s="1">
        <v>18553.0</v>
      </c>
      <c r="C3825" s="1">
        <v>1.62170066E9</v>
      </c>
      <c r="D3825" s="1">
        <v>4.0</v>
      </c>
      <c r="E3825" s="1" t="b">
        <v>0</v>
      </c>
      <c r="F3825" s="1" t="s">
        <v>17647</v>
      </c>
    </row>
    <row r="3826">
      <c r="A3826" s="1">
        <v>49991.0</v>
      </c>
      <c r="B3826" s="1">
        <v>18639.0</v>
      </c>
      <c r="C3826" s="1">
        <v>1.621790045E9</v>
      </c>
      <c r="D3826" s="1">
        <v>4.0</v>
      </c>
      <c r="E3826" s="1" t="b">
        <v>0</v>
      </c>
      <c r="F3826" s="1" t="s">
        <v>17648</v>
      </c>
    </row>
    <row r="3827">
      <c r="A3827" s="1">
        <v>49991.0</v>
      </c>
      <c r="B3827" s="1">
        <v>18695.0</v>
      </c>
      <c r="C3827" s="1">
        <v>1.622345831E9</v>
      </c>
      <c r="D3827" s="1">
        <v>4.0</v>
      </c>
      <c r="E3827" s="1" t="b">
        <v>0</v>
      </c>
      <c r="F3827" s="1" t="s">
        <v>17649</v>
      </c>
    </row>
    <row r="3828">
      <c r="A3828" s="1">
        <v>49991.0</v>
      </c>
      <c r="B3828" s="1">
        <v>18673.0</v>
      </c>
      <c r="C3828" s="1">
        <v>1.622345834E9</v>
      </c>
      <c r="D3828" s="1">
        <v>4.0</v>
      </c>
      <c r="E3828" s="1" t="b">
        <v>0</v>
      </c>
      <c r="F3828" s="1" t="s">
        <v>17650</v>
      </c>
    </row>
    <row r="3829">
      <c r="A3829" s="1">
        <v>49991.0</v>
      </c>
      <c r="B3829" s="1">
        <v>19778.0</v>
      </c>
      <c r="C3829" s="1">
        <v>1.62330017E9</v>
      </c>
      <c r="D3829" s="1">
        <v>4.0</v>
      </c>
      <c r="E3829" s="1" t="b">
        <v>0</v>
      </c>
      <c r="F3829" s="1" t="s">
        <v>17651</v>
      </c>
    </row>
    <row r="3830">
      <c r="A3830" s="1">
        <v>49991.0</v>
      </c>
      <c r="B3830" s="1">
        <v>19030.0</v>
      </c>
      <c r="C3830" s="1">
        <v>1.622289897E9</v>
      </c>
      <c r="D3830" s="1">
        <v>4.0</v>
      </c>
      <c r="E3830" s="1" t="b">
        <v>0</v>
      </c>
      <c r="F3830" s="1" t="s">
        <v>17652</v>
      </c>
    </row>
    <row r="3831">
      <c r="A3831" s="1">
        <v>49991.0</v>
      </c>
      <c r="B3831" s="1">
        <v>18734.0</v>
      </c>
      <c r="C3831" s="1">
        <v>1.621885074E9</v>
      </c>
      <c r="D3831" s="1">
        <v>9.0</v>
      </c>
      <c r="E3831" s="1" t="b">
        <v>0</v>
      </c>
      <c r="F3831" s="1" t="s">
        <v>17653</v>
      </c>
    </row>
    <row r="3832">
      <c r="A3832" s="1">
        <v>49991.0</v>
      </c>
      <c r="B3832" s="1">
        <v>18745.0</v>
      </c>
      <c r="C3832" s="1">
        <v>1.621918292E9</v>
      </c>
      <c r="D3832" s="1">
        <v>4.0</v>
      </c>
      <c r="E3832" s="1" t="b">
        <v>0</v>
      </c>
      <c r="F3832" s="1" t="s">
        <v>17654</v>
      </c>
    </row>
    <row r="3833">
      <c r="A3833" s="1">
        <v>49991.0</v>
      </c>
      <c r="B3833" s="1">
        <v>19718.0</v>
      </c>
      <c r="C3833" s="1">
        <v>1.623215803E9</v>
      </c>
      <c r="D3833" s="1">
        <v>4.0</v>
      </c>
      <c r="E3833" s="1" t="b">
        <v>0</v>
      </c>
      <c r="F3833" s="1" t="s">
        <v>17655</v>
      </c>
    </row>
    <row r="3834">
      <c r="A3834" s="1">
        <v>49991.0</v>
      </c>
      <c r="B3834" s="1">
        <v>17202.0</v>
      </c>
      <c r="C3834" s="1">
        <v>1.619602487E9</v>
      </c>
      <c r="D3834" s="1">
        <v>4.0</v>
      </c>
      <c r="E3834" s="1" t="b">
        <v>0</v>
      </c>
      <c r="F3834" s="1" t="s">
        <v>17656</v>
      </c>
    </row>
    <row r="3835">
      <c r="A3835" s="1">
        <v>49991.0</v>
      </c>
      <c r="B3835" s="1">
        <v>17406.0</v>
      </c>
      <c r="C3835" s="1">
        <v>1.619602368E9</v>
      </c>
      <c r="D3835" s="1">
        <v>4.0</v>
      </c>
      <c r="E3835" s="1" t="b">
        <v>0</v>
      </c>
      <c r="F3835" s="1" t="s">
        <v>16566</v>
      </c>
    </row>
    <row r="3836">
      <c r="A3836" s="1">
        <v>49991.0</v>
      </c>
      <c r="B3836" s="1">
        <v>19944.0</v>
      </c>
      <c r="C3836" s="1">
        <v>1.623517494E9</v>
      </c>
      <c r="D3836" s="1">
        <v>9.0</v>
      </c>
      <c r="E3836" s="1" t="b">
        <v>0</v>
      </c>
      <c r="F3836" s="1" t="s">
        <v>17657</v>
      </c>
    </row>
    <row r="3837">
      <c r="A3837" s="1">
        <v>49991.0</v>
      </c>
      <c r="B3837" s="1">
        <v>18910.0</v>
      </c>
      <c r="C3837" s="1">
        <v>1.622122789E9</v>
      </c>
      <c r="D3837" s="1">
        <v>4.0</v>
      </c>
      <c r="E3837" s="1" t="b">
        <v>0</v>
      </c>
      <c r="F3837" s="1" t="s">
        <v>17658</v>
      </c>
    </row>
    <row r="3838">
      <c r="A3838" s="1">
        <v>49991.0</v>
      </c>
      <c r="B3838" s="1">
        <v>20131.0</v>
      </c>
      <c r="C3838" s="1">
        <v>1.623824743E9</v>
      </c>
      <c r="D3838" s="1">
        <v>4.0</v>
      </c>
      <c r="E3838" s="1" t="b">
        <v>0</v>
      </c>
      <c r="F3838" s="1" t="s">
        <v>17659</v>
      </c>
    </row>
    <row r="3839">
      <c r="A3839" s="1">
        <v>49991.0</v>
      </c>
      <c r="B3839" s="1">
        <v>19783.0</v>
      </c>
      <c r="C3839" s="1">
        <v>1.623304078E9</v>
      </c>
      <c r="D3839" s="1">
        <v>4.0</v>
      </c>
      <c r="E3839" s="1" t="b">
        <v>0</v>
      </c>
      <c r="F3839" s="1" t="s">
        <v>17660</v>
      </c>
    </row>
    <row r="3840">
      <c r="A3840" s="1">
        <v>49991.0</v>
      </c>
      <c r="B3840" s="1">
        <v>19784.0</v>
      </c>
      <c r="C3840" s="1">
        <v>1.62330487E9</v>
      </c>
      <c r="D3840" s="1">
        <v>4.0</v>
      </c>
      <c r="E3840" s="1" t="b">
        <v>0</v>
      </c>
      <c r="F3840" s="1" t="s">
        <v>17661</v>
      </c>
    </row>
    <row r="3841">
      <c r="A3841" s="1">
        <v>49991.0</v>
      </c>
      <c r="B3841" s="1">
        <v>18303.0</v>
      </c>
      <c r="C3841" s="1">
        <v>1.62148776E9</v>
      </c>
      <c r="D3841" s="1">
        <v>4.0</v>
      </c>
      <c r="E3841" s="1" t="b">
        <v>0</v>
      </c>
      <c r="F3841" s="1" t="s">
        <v>17313</v>
      </c>
    </row>
    <row r="3842">
      <c r="A3842" s="1">
        <v>49991.0</v>
      </c>
      <c r="B3842" s="1">
        <v>18979.0</v>
      </c>
      <c r="C3842" s="1">
        <v>1.622345811E9</v>
      </c>
      <c r="D3842" s="1">
        <v>4.0</v>
      </c>
      <c r="E3842" s="1" t="b">
        <v>0</v>
      </c>
      <c r="F3842" s="1" t="s">
        <v>17662</v>
      </c>
    </row>
    <row r="3843">
      <c r="A3843" s="1">
        <v>49991.0</v>
      </c>
      <c r="B3843" s="1">
        <v>19689.0</v>
      </c>
      <c r="C3843" s="1">
        <v>1.623157321E9</v>
      </c>
      <c r="D3843" s="1">
        <v>4.0</v>
      </c>
      <c r="E3843" s="1" t="b">
        <v>0</v>
      </c>
      <c r="F3843" s="1" t="s">
        <v>17663</v>
      </c>
    </row>
    <row r="3844">
      <c r="A3844" s="1">
        <v>49991.0</v>
      </c>
      <c r="B3844" s="1">
        <v>19762.0</v>
      </c>
      <c r="C3844" s="1">
        <v>1.62326223E9</v>
      </c>
      <c r="D3844" s="1">
        <v>4.0</v>
      </c>
      <c r="E3844" s="1" t="b">
        <v>0</v>
      </c>
      <c r="F3844" s="1" t="s">
        <v>17664</v>
      </c>
    </row>
    <row r="3845">
      <c r="A3845" s="1">
        <v>49992.0</v>
      </c>
      <c r="B3845" s="1">
        <v>17350.0</v>
      </c>
      <c r="C3845" s="1">
        <v>1.619511282E9</v>
      </c>
      <c r="D3845" s="1">
        <v>4.0</v>
      </c>
      <c r="E3845" s="1" t="b">
        <v>0</v>
      </c>
      <c r="F3845" s="1" t="s">
        <v>17665</v>
      </c>
    </row>
    <row r="3846">
      <c r="A3846" s="1">
        <v>49992.0</v>
      </c>
      <c r="B3846" s="1">
        <v>17035.0</v>
      </c>
      <c r="C3846" s="1">
        <v>1.618925289E9</v>
      </c>
      <c r="D3846" s="1">
        <v>4.0</v>
      </c>
      <c r="E3846" s="1" t="b">
        <v>0</v>
      </c>
      <c r="F3846" s="1" t="s">
        <v>17666</v>
      </c>
    </row>
    <row r="3847">
      <c r="A3847" s="1">
        <v>49992.0</v>
      </c>
      <c r="B3847" s="1">
        <v>17052.0</v>
      </c>
      <c r="C3847" s="1">
        <v>1.618984693E9</v>
      </c>
      <c r="D3847" s="1">
        <v>4.0</v>
      </c>
      <c r="E3847" s="1" t="b">
        <v>0</v>
      </c>
      <c r="F3847" s="1" t="s">
        <v>17667</v>
      </c>
    </row>
    <row r="3848">
      <c r="A3848" s="1">
        <v>49992.0</v>
      </c>
      <c r="B3848" s="1">
        <v>17993.0</v>
      </c>
      <c r="C3848" s="1">
        <v>1.620818854E9</v>
      </c>
      <c r="D3848" s="1">
        <v>4.0</v>
      </c>
      <c r="E3848" s="1" t="b">
        <v>0</v>
      </c>
      <c r="F3848" s="1" t="s">
        <v>17668</v>
      </c>
    </row>
    <row r="3849">
      <c r="A3849" s="1">
        <v>49992.0</v>
      </c>
      <c r="B3849" s="1">
        <v>17442.0</v>
      </c>
      <c r="C3849" s="1">
        <v>1.619704444E9</v>
      </c>
      <c r="D3849" s="1">
        <v>4.0</v>
      </c>
      <c r="E3849" s="1" t="b">
        <v>0</v>
      </c>
      <c r="F3849" s="1" t="s">
        <v>17669</v>
      </c>
    </row>
    <row r="3850">
      <c r="A3850" s="1">
        <v>49992.0</v>
      </c>
      <c r="B3850" s="1">
        <v>17310.0</v>
      </c>
      <c r="C3850" s="1">
        <v>1.61942959E9</v>
      </c>
      <c r="D3850" s="1">
        <v>4.0</v>
      </c>
      <c r="E3850" s="1" t="b">
        <v>0</v>
      </c>
      <c r="F3850" s="1" t="s">
        <v>17670</v>
      </c>
    </row>
    <row r="3851">
      <c r="A3851" s="1">
        <v>49992.0</v>
      </c>
      <c r="B3851" s="1">
        <v>18183.0</v>
      </c>
      <c r="C3851" s="1">
        <v>1.621607583E9</v>
      </c>
      <c r="D3851" s="1">
        <v>4.0</v>
      </c>
      <c r="E3851" s="1" t="b">
        <v>0</v>
      </c>
      <c r="F3851" s="1" t="s">
        <v>17671</v>
      </c>
    </row>
    <row r="3852">
      <c r="A3852" s="1">
        <v>49992.0</v>
      </c>
      <c r="B3852" s="1">
        <v>17074.0</v>
      </c>
      <c r="C3852" s="1">
        <v>1.618997299E9</v>
      </c>
      <c r="D3852" s="1">
        <v>4.0</v>
      </c>
      <c r="E3852" s="1" t="b">
        <v>0</v>
      </c>
      <c r="F3852" s="1" t="s">
        <v>17672</v>
      </c>
    </row>
    <row r="3853">
      <c r="A3853" s="1">
        <v>49992.0</v>
      </c>
      <c r="B3853" s="1">
        <v>17596.0</v>
      </c>
      <c r="C3853" s="1">
        <v>1.620288178E9</v>
      </c>
      <c r="D3853" s="1">
        <v>4.0</v>
      </c>
      <c r="E3853" s="1" t="b">
        <v>0</v>
      </c>
      <c r="F3853" s="1" t="s">
        <v>17673</v>
      </c>
    </row>
    <row r="3854">
      <c r="A3854" s="1">
        <v>49992.0</v>
      </c>
      <c r="B3854" s="1">
        <v>18333.0</v>
      </c>
      <c r="C3854" s="1">
        <v>1.621606238E9</v>
      </c>
      <c r="D3854" s="1">
        <v>4.0</v>
      </c>
      <c r="E3854" s="1" t="b">
        <v>0</v>
      </c>
      <c r="F3854" s="1" t="s">
        <v>14056</v>
      </c>
    </row>
    <row r="3855">
      <c r="A3855" s="1">
        <v>49992.0</v>
      </c>
      <c r="B3855" s="1">
        <v>16194.0</v>
      </c>
      <c r="C3855" s="1">
        <v>1.616923484E9</v>
      </c>
      <c r="D3855" s="1">
        <v>1.0</v>
      </c>
      <c r="E3855" s="1" t="b">
        <v>1</v>
      </c>
      <c r="F3855" s="1" t="s">
        <v>17674</v>
      </c>
    </row>
    <row r="3856">
      <c r="A3856" s="1">
        <v>49992.0</v>
      </c>
      <c r="B3856" s="1">
        <v>18504.0</v>
      </c>
      <c r="C3856" s="1">
        <v>1.621667032E9</v>
      </c>
      <c r="D3856" s="1">
        <v>4.0</v>
      </c>
      <c r="E3856" s="1" t="b">
        <v>0</v>
      </c>
      <c r="F3856" s="1" t="s">
        <v>17675</v>
      </c>
    </row>
    <row r="3857">
      <c r="A3857" s="1">
        <v>49992.0</v>
      </c>
      <c r="B3857" s="1">
        <v>17401.0</v>
      </c>
      <c r="C3857" s="1">
        <v>1.619623297E9</v>
      </c>
      <c r="D3857" s="1">
        <v>4.0</v>
      </c>
      <c r="E3857" s="1" t="b">
        <v>0</v>
      </c>
      <c r="F3857" s="1" t="s">
        <v>17676</v>
      </c>
    </row>
    <row r="3858">
      <c r="A3858" s="1">
        <v>49992.0</v>
      </c>
      <c r="B3858" s="1">
        <v>17539.0</v>
      </c>
      <c r="C3858" s="1">
        <v>1.620161794E9</v>
      </c>
      <c r="D3858" s="1">
        <v>4.0</v>
      </c>
      <c r="E3858" s="1" t="b">
        <v>0</v>
      </c>
      <c r="F3858" s="1" t="s">
        <v>17677</v>
      </c>
    </row>
    <row r="3859">
      <c r="A3859" s="1">
        <v>49992.0</v>
      </c>
      <c r="B3859" s="1">
        <v>16982.0</v>
      </c>
      <c r="C3859" s="1">
        <v>1.618758658E9</v>
      </c>
      <c r="D3859" s="1">
        <v>4.0</v>
      </c>
      <c r="E3859" s="1" t="b">
        <v>0</v>
      </c>
      <c r="F3859" s="1" t="s">
        <v>17678</v>
      </c>
    </row>
    <row r="3860">
      <c r="A3860" s="1">
        <v>49992.0</v>
      </c>
      <c r="B3860" s="1">
        <v>17756.0</v>
      </c>
      <c r="C3860" s="1">
        <v>1.620494077E9</v>
      </c>
      <c r="D3860" s="1">
        <v>9.0</v>
      </c>
      <c r="E3860" s="1" t="b">
        <v>0</v>
      </c>
      <c r="F3860" s="1" t="s">
        <v>17679</v>
      </c>
    </row>
    <row r="3861">
      <c r="A3861" s="1">
        <v>49992.0</v>
      </c>
      <c r="B3861" s="1">
        <v>17005.0</v>
      </c>
      <c r="C3861" s="1">
        <v>1.61884799E9</v>
      </c>
      <c r="D3861" s="1">
        <v>4.0</v>
      </c>
      <c r="E3861" s="1" t="b">
        <v>0</v>
      </c>
      <c r="F3861" s="1" t="s">
        <v>17680</v>
      </c>
    </row>
    <row r="3862">
      <c r="A3862" s="1">
        <v>49992.0</v>
      </c>
      <c r="B3862" s="1">
        <v>2977.0</v>
      </c>
      <c r="C3862" s="1">
        <v>1.618641803E9</v>
      </c>
      <c r="D3862" s="1">
        <v>4.0</v>
      </c>
      <c r="E3862" s="1" t="b">
        <v>0</v>
      </c>
      <c r="F3862" s="1" t="s">
        <v>17681</v>
      </c>
    </row>
    <row r="3863">
      <c r="A3863" s="1">
        <v>49992.0</v>
      </c>
      <c r="B3863" s="1">
        <v>16934.0</v>
      </c>
      <c r="C3863" s="1">
        <v>1.61890703E9</v>
      </c>
      <c r="D3863" s="1">
        <v>4.0</v>
      </c>
      <c r="E3863" s="1" t="b">
        <v>0</v>
      </c>
      <c r="F3863" s="1" t="s">
        <v>17462</v>
      </c>
    </row>
    <row r="3864">
      <c r="A3864" s="1">
        <v>49992.0</v>
      </c>
      <c r="B3864" s="1">
        <v>17394.0</v>
      </c>
      <c r="C3864" s="1">
        <v>1.619967774E9</v>
      </c>
      <c r="D3864" s="1">
        <v>4.0</v>
      </c>
      <c r="E3864" s="1" t="b">
        <v>0</v>
      </c>
      <c r="F3864" s="1" t="s">
        <v>17682</v>
      </c>
    </row>
    <row r="3865">
      <c r="A3865" s="1">
        <v>49992.0</v>
      </c>
      <c r="B3865" s="1">
        <v>17712.0</v>
      </c>
      <c r="C3865" s="1">
        <v>1.620462868E9</v>
      </c>
      <c r="D3865" s="1">
        <v>4.0</v>
      </c>
      <c r="E3865" s="1" t="b">
        <v>0</v>
      </c>
      <c r="F3865" s="1" t="s">
        <v>17683</v>
      </c>
    </row>
    <row r="3866">
      <c r="A3866" s="1">
        <v>49992.0</v>
      </c>
      <c r="B3866" s="1">
        <v>17341.0</v>
      </c>
      <c r="C3866" s="1">
        <v>1.619504252E9</v>
      </c>
      <c r="D3866" s="1">
        <v>4.0</v>
      </c>
      <c r="E3866" s="1" t="b">
        <v>0</v>
      </c>
      <c r="F3866" s="1" t="s">
        <v>17684</v>
      </c>
    </row>
    <row r="3867">
      <c r="A3867" s="1">
        <v>49992.0</v>
      </c>
      <c r="B3867" s="1">
        <v>16989.0</v>
      </c>
      <c r="C3867" s="1">
        <v>1.618799939E9</v>
      </c>
      <c r="D3867" s="1">
        <v>4.0</v>
      </c>
      <c r="E3867" s="1" t="b">
        <v>0</v>
      </c>
      <c r="F3867" s="1" t="s">
        <v>17685</v>
      </c>
    </row>
    <row r="3868">
      <c r="A3868" s="1">
        <v>49992.0</v>
      </c>
      <c r="B3868" s="1">
        <v>17053.0</v>
      </c>
      <c r="C3868" s="1">
        <v>1.618984695E9</v>
      </c>
      <c r="D3868" s="1">
        <v>4.0</v>
      </c>
      <c r="E3868" s="1" t="b">
        <v>0</v>
      </c>
      <c r="F3868" s="1" t="s">
        <v>17686</v>
      </c>
    </row>
    <row r="3869">
      <c r="A3869" s="1">
        <v>49992.0</v>
      </c>
      <c r="B3869" s="1">
        <v>17057.0</v>
      </c>
      <c r="C3869" s="1">
        <v>1.618984696E9</v>
      </c>
      <c r="D3869" s="1">
        <v>4.0</v>
      </c>
      <c r="E3869" s="1" t="b">
        <v>0</v>
      </c>
      <c r="F3869" s="1" t="s">
        <v>17687</v>
      </c>
    </row>
    <row r="3870">
      <c r="A3870" s="1">
        <v>49992.0</v>
      </c>
      <c r="B3870" s="1">
        <v>17055.0</v>
      </c>
      <c r="C3870" s="1">
        <v>1.618966017E9</v>
      </c>
      <c r="D3870" s="1">
        <v>4.0</v>
      </c>
      <c r="E3870" s="1" t="b">
        <v>0</v>
      </c>
      <c r="F3870" s="1" t="s">
        <v>17688</v>
      </c>
    </row>
    <row r="3871">
      <c r="A3871" s="1">
        <v>49992.0</v>
      </c>
      <c r="B3871" s="1">
        <v>17540.0</v>
      </c>
      <c r="C3871" s="1">
        <v>1.620178984E9</v>
      </c>
      <c r="D3871" s="1">
        <v>4.0</v>
      </c>
      <c r="E3871" s="1" t="b">
        <v>0</v>
      </c>
      <c r="F3871" s="1" t="s">
        <v>17689</v>
      </c>
    </row>
    <row r="3872">
      <c r="A3872" s="1">
        <v>49992.0</v>
      </c>
      <c r="B3872" s="1">
        <v>18294.0</v>
      </c>
      <c r="C3872" s="1">
        <v>1.62160624E9</v>
      </c>
      <c r="D3872" s="1">
        <v>4.0</v>
      </c>
      <c r="E3872" s="1" t="b">
        <v>0</v>
      </c>
      <c r="F3872" s="1" t="s">
        <v>17690</v>
      </c>
    </row>
    <row r="3873">
      <c r="A3873" s="1">
        <v>49994.0</v>
      </c>
      <c r="B3873" s="1">
        <v>17410.0</v>
      </c>
      <c r="C3873" s="1">
        <v>1.619692038E9</v>
      </c>
      <c r="D3873" s="1">
        <v>4.0</v>
      </c>
      <c r="E3873" s="1" t="b">
        <v>0</v>
      </c>
      <c r="F3873" s="1" t="s">
        <v>17691</v>
      </c>
    </row>
    <row r="3874">
      <c r="A3874" s="1">
        <v>49994.0</v>
      </c>
      <c r="B3874" s="1">
        <v>16934.0</v>
      </c>
      <c r="C3874" s="1">
        <v>1.618906731E9</v>
      </c>
      <c r="D3874" s="1">
        <v>4.0</v>
      </c>
      <c r="E3874" s="1" t="b">
        <v>0</v>
      </c>
      <c r="F3874" s="1" t="s">
        <v>17462</v>
      </c>
    </row>
    <row r="3875">
      <c r="A3875" s="1">
        <v>49994.0</v>
      </c>
      <c r="B3875" s="1">
        <v>18551.0</v>
      </c>
      <c r="C3875" s="1">
        <v>1.621698215E9</v>
      </c>
      <c r="D3875" s="1">
        <v>4.0</v>
      </c>
      <c r="E3875" s="1" t="b">
        <v>0</v>
      </c>
      <c r="F3875" s="1" t="s">
        <v>17692</v>
      </c>
    </row>
    <row r="3876">
      <c r="A3876" s="1">
        <v>49994.0</v>
      </c>
      <c r="B3876" s="1">
        <v>17369.0</v>
      </c>
      <c r="C3876" s="1">
        <v>1.62022317E9</v>
      </c>
      <c r="D3876" s="1">
        <v>4.0</v>
      </c>
      <c r="E3876" s="1" t="b">
        <v>0</v>
      </c>
      <c r="F3876" s="1" t="s">
        <v>17693</v>
      </c>
    </row>
    <row r="3877">
      <c r="A3877" s="1">
        <v>49994.0</v>
      </c>
      <c r="B3877" s="1">
        <v>17185.0</v>
      </c>
      <c r="C3877" s="1">
        <v>1.619173318E9</v>
      </c>
      <c r="D3877" s="1">
        <v>4.0</v>
      </c>
      <c r="E3877" s="1" t="b">
        <v>0</v>
      </c>
      <c r="F3877" s="1" t="s">
        <v>17694</v>
      </c>
    </row>
    <row r="3878">
      <c r="A3878" s="1">
        <v>49994.0</v>
      </c>
      <c r="B3878" s="1">
        <v>20211.0</v>
      </c>
      <c r="C3878" s="1">
        <v>1.62393108E9</v>
      </c>
      <c r="D3878" s="1">
        <v>9.0</v>
      </c>
      <c r="E3878" s="1" t="b">
        <v>0</v>
      </c>
      <c r="F3878" s="1" t="s">
        <v>17695</v>
      </c>
    </row>
    <row r="3879">
      <c r="A3879" s="1">
        <v>49994.0</v>
      </c>
      <c r="B3879" s="1">
        <v>19415.0</v>
      </c>
      <c r="C3879" s="1">
        <v>1.622724964E9</v>
      </c>
      <c r="D3879" s="1">
        <v>4.0</v>
      </c>
      <c r="E3879" s="1" t="b">
        <v>0</v>
      </c>
      <c r="F3879" s="1" t="s">
        <v>17696</v>
      </c>
    </row>
    <row r="3880">
      <c r="A3880" s="1">
        <v>49994.0</v>
      </c>
      <c r="B3880" s="1">
        <v>19038.0</v>
      </c>
      <c r="C3880" s="1">
        <v>1.622297222E9</v>
      </c>
      <c r="D3880" s="1">
        <v>4.0</v>
      </c>
      <c r="E3880" s="1" t="b">
        <v>0</v>
      </c>
      <c r="F3880" s="1" t="s">
        <v>17697</v>
      </c>
    </row>
    <row r="3881">
      <c r="A3881" s="1">
        <v>49994.0</v>
      </c>
      <c r="B3881" s="1">
        <v>19166.0</v>
      </c>
      <c r="C3881" s="1">
        <v>1.622456328E9</v>
      </c>
      <c r="D3881" s="1">
        <v>4.0</v>
      </c>
      <c r="E3881" s="1" t="b">
        <v>0</v>
      </c>
      <c r="F3881" s="1" t="s">
        <v>17698</v>
      </c>
    </row>
    <row r="3882">
      <c r="A3882" s="1">
        <v>49994.0</v>
      </c>
      <c r="B3882" s="1">
        <v>20398.0</v>
      </c>
      <c r="C3882" s="1">
        <v>1.624291745E9</v>
      </c>
      <c r="D3882" s="1">
        <v>4.0</v>
      </c>
      <c r="E3882" s="1" t="b">
        <v>0</v>
      </c>
      <c r="F3882" s="1" t="s">
        <v>17699</v>
      </c>
    </row>
    <row r="3883">
      <c r="A3883" s="1">
        <v>49994.0</v>
      </c>
      <c r="B3883" s="1">
        <v>19210.0</v>
      </c>
      <c r="C3883" s="1">
        <v>1.622477679E9</v>
      </c>
      <c r="D3883" s="1">
        <v>4.0</v>
      </c>
      <c r="E3883" s="1" t="b">
        <v>0</v>
      </c>
      <c r="F3883" s="1" t="s">
        <v>17700</v>
      </c>
    </row>
    <row r="3884">
      <c r="A3884" s="1">
        <v>49994.0</v>
      </c>
      <c r="B3884" s="1">
        <v>19213.0</v>
      </c>
      <c r="C3884" s="1">
        <v>1.622535223E9</v>
      </c>
      <c r="D3884" s="1">
        <v>4.0</v>
      </c>
      <c r="E3884" s="1" t="b">
        <v>0</v>
      </c>
      <c r="F3884" s="1" t="s">
        <v>17701</v>
      </c>
    </row>
    <row r="3885">
      <c r="A3885" s="1">
        <v>49994.0</v>
      </c>
      <c r="B3885" s="1">
        <v>17488.0</v>
      </c>
      <c r="C3885" s="1">
        <v>1.619928491E9</v>
      </c>
      <c r="D3885" s="1">
        <v>4.0</v>
      </c>
      <c r="E3885" s="1" t="b">
        <v>0</v>
      </c>
      <c r="F3885" s="1" t="s">
        <v>17702</v>
      </c>
    </row>
    <row r="3886">
      <c r="A3886" s="1">
        <v>49994.0</v>
      </c>
      <c r="B3886" s="1">
        <v>20143.0</v>
      </c>
      <c r="C3886" s="1">
        <v>1.623832585E9</v>
      </c>
      <c r="D3886" s="1">
        <v>4.0</v>
      </c>
      <c r="E3886" s="1" t="b">
        <v>0</v>
      </c>
      <c r="F3886" s="1" t="s">
        <v>17703</v>
      </c>
    </row>
    <row r="3887">
      <c r="A3887" s="1">
        <v>49994.0</v>
      </c>
      <c r="B3887" s="1">
        <v>17231.0</v>
      </c>
      <c r="C3887" s="1">
        <v>1.619253485E9</v>
      </c>
      <c r="D3887" s="1">
        <v>4.0</v>
      </c>
      <c r="E3887" s="1" t="b">
        <v>0</v>
      </c>
      <c r="F3887" s="1" t="s">
        <v>17704</v>
      </c>
    </row>
    <row r="3888">
      <c r="A3888" s="1">
        <v>49994.0</v>
      </c>
      <c r="B3888" s="1">
        <v>19540.0</v>
      </c>
      <c r="C3888" s="1">
        <v>1.622977047E9</v>
      </c>
      <c r="D3888" s="1">
        <v>4.0</v>
      </c>
      <c r="E3888" s="1" t="b">
        <v>0</v>
      </c>
      <c r="F3888" s="1" t="s">
        <v>17705</v>
      </c>
    </row>
    <row r="3889">
      <c r="A3889" s="1">
        <v>49994.0</v>
      </c>
      <c r="B3889" s="1">
        <v>19812.0</v>
      </c>
      <c r="C3889" s="1">
        <v>1.623333938E9</v>
      </c>
      <c r="D3889" s="1">
        <v>4.0</v>
      </c>
      <c r="E3889" s="1" t="b">
        <v>0</v>
      </c>
      <c r="F3889" s="1" t="s">
        <v>17706</v>
      </c>
    </row>
    <row r="3890">
      <c r="A3890" s="1">
        <v>49994.0</v>
      </c>
      <c r="B3890" s="1">
        <v>20444.0</v>
      </c>
      <c r="C3890" s="1">
        <v>1.624372816E9</v>
      </c>
      <c r="D3890" s="1">
        <v>4.0</v>
      </c>
      <c r="E3890" s="1" t="b">
        <v>0</v>
      </c>
      <c r="F3890" s="1" t="s">
        <v>17707</v>
      </c>
    </row>
    <row r="3891">
      <c r="A3891" s="1">
        <v>49994.0</v>
      </c>
      <c r="B3891" s="1">
        <v>16945.0</v>
      </c>
      <c r="C3891" s="1">
        <v>1.618666062E9</v>
      </c>
      <c r="D3891" s="1">
        <v>4.0</v>
      </c>
      <c r="E3891" s="1" t="b">
        <v>0</v>
      </c>
      <c r="F3891" s="1" t="s">
        <v>17708</v>
      </c>
    </row>
    <row r="3892">
      <c r="A3892" s="1">
        <v>49994.0</v>
      </c>
      <c r="B3892" s="1">
        <v>16930.0</v>
      </c>
      <c r="C3892" s="1">
        <v>1.618632757E9</v>
      </c>
      <c r="D3892" s="1">
        <v>4.0</v>
      </c>
      <c r="E3892" s="1" t="b">
        <v>0</v>
      </c>
      <c r="F3892" s="1" t="s">
        <v>17709</v>
      </c>
    </row>
    <row r="3893">
      <c r="A3893" s="1">
        <v>49994.0</v>
      </c>
      <c r="B3893" s="1">
        <v>18615.0</v>
      </c>
      <c r="C3893" s="1">
        <v>1.621773263E9</v>
      </c>
      <c r="D3893" s="1">
        <v>4.0</v>
      </c>
      <c r="E3893" s="1" t="b">
        <v>0</v>
      </c>
      <c r="F3893" s="1" t="s">
        <v>17710</v>
      </c>
    </row>
    <row r="3894">
      <c r="A3894" s="1">
        <v>49994.0</v>
      </c>
      <c r="B3894" s="1">
        <v>17858.0</v>
      </c>
      <c r="C3894" s="1">
        <v>1.620590863E9</v>
      </c>
      <c r="D3894" s="1">
        <v>4.0</v>
      </c>
      <c r="E3894" s="1" t="b">
        <v>0</v>
      </c>
      <c r="F3894" s="1" t="s">
        <v>15719</v>
      </c>
    </row>
    <row r="3895">
      <c r="A3895" s="1">
        <v>49994.0</v>
      </c>
      <c r="B3895" s="1">
        <v>19931.0</v>
      </c>
      <c r="C3895" s="1">
        <v>1.623512398E9</v>
      </c>
      <c r="D3895" s="1">
        <v>4.0</v>
      </c>
      <c r="E3895" s="1" t="b">
        <v>0</v>
      </c>
      <c r="F3895" s="1" t="s">
        <v>17711</v>
      </c>
    </row>
    <row r="3896">
      <c r="A3896" s="1">
        <v>49994.0</v>
      </c>
      <c r="B3896" s="1">
        <v>20388.0</v>
      </c>
      <c r="C3896" s="1">
        <v>1.624271652E9</v>
      </c>
      <c r="D3896" s="1">
        <v>4.0</v>
      </c>
      <c r="E3896" s="1" t="b">
        <v>0</v>
      </c>
      <c r="F3896" s="1" t="s">
        <v>17712</v>
      </c>
    </row>
    <row r="3897">
      <c r="A3897" s="1">
        <v>49994.0</v>
      </c>
      <c r="B3897" s="1">
        <v>16919.0</v>
      </c>
      <c r="C3897" s="1">
        <v>1.618581266E9</v>
      </c>
      <c r="D3897" s="1">
        <v>4.0</v>
      </c>
      <c r="E3897" s="1" t="b">
        <v>0</v>
      </c>
      <c r="F3897" s="1" t="s">
        <v>17713</v>
      </c>
    </row>
    <row r="3898">
      <c r="A3898" s="1">
        <v>49994.0</v>
      </c>
      <c r="B3898" s="1">
        <v>19078.0</v>
      </c>
      <c r="C3898" s="1">
        <v>1.622456298E9</v>
      </c>
      <c r="D3898" s="1">
        <v>4.0</v>
      </c>
      <c r="E3898" s="1" t="b">
        <v>0</v>
      </c>
      <c r="F3898" s="1" t="s">
        <v>17714</v>
      </c>
    </row>
    <row r="3899">
      <c r="A3899" s="1">
        <v>49994.0</v>
      </c>
      <c r="B3899" s="1">
        <v>19112.0</v>
      </c>
      <c r="C3899" s="1">
        <v>1.622456292E9</v>
      </c>
      <c r="D3899" s="1">
        <v>4.0</v>
      </c>
      <c r="E3899" s="1" t="b">
        <v>0</v>
      </c>
      <c r="F3899" s="1" t="s">
        <v>17715</v>
      </c>
    </row>
    <row r="3900">
      <c r="A3900" s="1">
        <v>49994.0</v>
      </c>
      <c r="B3900" s="1">
        <v>19596.0</v>
      </c>
      <c r="C3900" s="1">
        <v>1.62304912E9</v>
      </c>
      <c r="D3900" s="1">
        <v>4.0</v>
      </c>
      <c r="E3900" s="1" t="b">
        <v>0</v>
      </c>
      <c r="F3900" s="1" t="s">
        <v>17716</v>
      </c>
    </row>
    <row r="3901">
      <c r="A3901" s="1">
        <v>49994.0</v>
      </c>
      <c r="B3901" s="1">
        <v>18933.0</v>
      </c>
      <c r="C3901" s="1">
        <v>1.622171651E9</v>
      </c>
      <c r="D3901" s="1">
        <v>4.0</v>
      </c>
      <c r="E3901" s="1" t="b">
        <v>0</v>
      </c>
      <c r="F3901" s="1" t="s">
        <v>17717</v>
      </c>
    </row>
    <row r="3902">
      <c r="A3902" s="1">
        <v>49994.0</v>
      </c>
      <c r="B3902" s="1">
        <v>20299.0</v>
      </c>
      <c r="C3902" s="1">
        <v>1.624081484E9</v>
      </c>
      <c r="D3902" s="1">
        <v>4.0</v>
      </c>
      <c r="E3902" s="1" t="b">
        <v>0</v>
      </c>
      <c r="F3902" s="1" t="s">
        <v>17718</v>
      </c>
    </row>
    <row r="3903">
      <c r="A3903" s="1">
        <v>49994.0</v>
      </c>
      <c r="B3903" s="1">
        <v>17047.0</v>
      </c>
      <c r="C3903" s="1">
        <v>1.618935516E9</v>
      </c>
      <c r="D3903" s="1">
        <v>4.0</v>
      </c>
      <c r="E3903" s="1" t="b">
        <v>0</v>
      </c>
      <c r="F3903" s="1" t="s">
        <v>16044</v>
      </c>
    </row>
    <row r="3904">
      <c r="A3904" s="1">
        <v>49994.0</v>
      </c>
      <c r="B3904" s="1">
        <v>18339.0</v>
      </c>
      <c r="C3904" s="1">
        <v>1.624070815E9</v>
      </c>
      <c r="D3904" s="1">
        <v>4.0</v>
      </c>
      <c r="E3904" s="1" t="b">
        <v>0</v>
      </c>
      <c r="F3904" s="1" t="s">
        <v>17719</v>
      </c>
    </row>
    <row r="3905">
      <c r="A3905" s="1">
        <v>49994.0</v>
      </c>
      <c r="B3905" s="1">
        <v>17192.0</v>
      </c>
      <c r="C3905" s="1">
        <v>1.619182026E9</v>
      </c>
      <c r="D3905" s="1">
        <v>4.0</v>
      </c>
      <c r="E3905" s="1" t="b">
        <v>0</v>
      </c>
      <c r="F3905" s="1" t="s">
        <v>17720</v>
      </c>
    </row>
    <row r="3906">
      <c r="A3906" s="1">
        <v>49994.0</v>
      </c>
      <c r="B3906" s="1">
        <v>19851.0</v>
      </c>
      <c r="C3906" s="1">
        <v>1.623396479E9</v>
      </c>
      <c r="D3906" s="1">
        <v>4.0</v>
      </c>
      <c r="E3906" s="1" t="b">
        <v>0</v>
      </c>
      <c r="F3906" s="1" t="s">
        <v>17721</v>
      </c>
    </row>
    <row r="3907">
      <c r="A3907" s="1">
        <v>49994.0</v>
      </c>
      <c r="B3907" s="1">
        <v>19896.0</v>
      </c>
      <c r="C3907" s="1">
        <v>1.623431234E9</v>
      </c>
      <c r="D3907" s="1">
        <v>4.0</v>
      </c>
      <c r="E3907" s="1" t="b">
        <v>0</v>
      </c>
      <c r="F3907" s="1" t="s">
        <v>17722</v>
      </c>
    </row>
    <row r="3908">
      <c r="A3908" s="1">
        <v>49994.0</v>
      </c>
      <c r="B3908" s="1">
        <v>20257.0</v>
      </c>
      <c r="C3908" s="1">
        <v>1.623993871E9</v>
      </c>
      <c r="D3908" s="1">
        <v>9.0</v>
      </c>
      <c r="E3908" s="1" t="b">
        <v>0</v>
      </c>
      <c r="F3908" s="1" t="s">
        <v>17723</v>
      </c>
    </row>
    <row r="3909">
      <c r="A3909" s="1">
        <v>49994.0</v>
      </c>
      <c r="B3909" s="1">
        <v>19192.0</v>
      </c>
      <c r="C3909" s="1">
        <v>1.622535224E9</v>
      </c>
      <c r="D3909" s="1">
        <v>4.0</v>
      </c>
      <c r="E3909" s="1" t="b">
        <v>0</v>
      </c>
      <c r="F3909" s="1" t="s">
        <v>17724</v>
      </c>
    </row>
    <row r="3910">
      <c r="A3910" s="1">
        <v>49994.0</v>
      </c>
      <c r="B3910" s="1">
        <v>20028.0</v>
      </c>
      <c r="C3910" s="1">
        <v>1.623668738E9</v>
      </c>
      <c r="D3910" s="1">
        <v>4.0</v>
      </c>
      <c r="E3910" s="1" t="b">
        <v>0</v>
      </c>
      <c r="F3910" s="1" t="s">
        <v>17725</v>
      </c>
    </row>
    <row r="3911">
      <c r="A3911" s="1">
        <v>49994.0</v>
      </c>
      <c r="B3911" s="1">
        <v>19776.0</v>
      </c>
      <c r="C3911" s="1">
        <v>1.623296408E9</v>
      </c>
      <c r="D3911" s="1">
        <v>4.0</v>
      </c>
      <c r="E3911" s="1" t="b">
        <v>0</v>
      </c>
      <c r="F3911" s="1" t="s">
        <v>17726</v>
      </c>
    </row>
    <row r="3912">
      <c r="A3912" s="1">
        <v>49994.0</v>
      </c>
      <c r="B3912" s="1">
        <v>17269.0</v>
      </c>
      <c r="C3912" s="1">
        <v>1.619331372E9</v>
      </c>
      <c r="D3912" s="1">
        <v>4.0</v>
      </c>
      <c r="E3912" s="1" t="b">
        <v>0</v>
      </c>
      <c r="F3912" s="1" t="s">
        <v>17727</v>
      </c>
    </row>
    <row r="3913">
      <c r="A3913" s="1">
        <v>49994.0</v>
      </c>
      <c r="B3913" s="1">
        <v>18823.0</v>
      </c>
      <c r="C3913" s="1">
        <v>1.622010099E9</v>
      </c>
      <c r="D3913" s="1">
        <v>4.0</v>
      </c>
      <c r="E3913" s="1" t="b">
        <v>0</v>
      </c>
      <c r="F3913" s="1" t="s">
        <v>17728</v>
      </c>
    </row>
    <row r="3914">
      <c r="A3914" s="1">
        <v>49994.0</v>
      </c>
      <c r="B3914" s="1">
        <v>17432.0</v>
      </c>
      <c r="C3914" s="1">
        <v>1.619682704E9</v>
      </c>
      <c r="D3914" s="1">
        <v>4.0</v>
      </c>
      <c r="E3914" s="1" t="b">
        <v>0</v>
      </c>
      <c r="F3914" s="1" t="s">
        <v>17729</v>
      </c>
    </row>
    <row r="3915">
      <c r="A3915" s="1">
        <v>49994.0</v>
      </c>
      <c r="B3915" s="1">
        <v>20355.0</v>
      </c>
      <c r="C3915" s="1">
        <v>1.624203133E9</v>
      </c>
      <c r="D3915" s="1">
        <v>4.0</v>
      </c>
      <c r="E3915" s="1" t="b">
        <v>0</v>
      </c>
      <c r="F3915" s="1" t="s">
        <v>17730</v>
      </c>
    </row>
    <row r="3916">
      <c r="A3916" s="1">
        <v>49994.0</v>
      </c>
      <c r="B3916" s="1">
        <v>19981.0</v>
      </c>
      <c r="C3916" s="1">
        <v>1.623589622E9</v>
      </c>
      <c r="D3916" s="1">
        <v>4.0</v>
      </c>
      <c r="E3916" s="1" t="b">
        <v>0</v>
      </c>
      <c r="F3916" s="1" t="s">
        <v>17328</v>
      </c>
    </row>
    <row r="3917">
      <c r="A3917" s="1">
        <v>49994.0</v>
      </c>
      <c r="B3917" s="1">
        <v>16896.0</v>
      </c>
      <c r="C3917" s="1">
        <v>1.618497599E9</v>
      </c>
      <c r="D3917" s="1">
        <v>4.0</v>
      </c>
      <c r="E3917" s="1" t="b">
        <v>0</v>
      </c>
      <c r="F3917" s="1" t="s">
        <v>17731</v>
      </c>
    </row>
    <row r="3918">
      <c r="A3918" s="1">
        <v>49994.0</v>
      </c>
      <c r="B3918" s="1">
        <v>17928.0</v>
      </c>
      <c r="C3918" s="1">
        <v>1.620662488E9</v>
      </c>
      <c r="D3918" s="1">
        <v>4.0</v>
      </c>
      <c r="E3918" s="1" t="b">
        <v>0</v>
      </c>
      <c r="F3918" s="1" t="s">
        <v>17732</v>
      </c>
    </row>
    <row r="3919">
      <c r="A3919" s="1">
        <v>49994.0</v>
      </c>
      <c r="B3919" s="1">
        <v>20286.0</v>
      </c>
      <c r="C3919" s="1">
        <v>1.624037498E9</v>
      </c>
      <c r="D3919" s="1">
        <v>4.0</v>
      </c>
      <c r="E3919" s="1" t="b">
        <v>0</v>
      </c>
      <c r="F3919" s="1" t="s">
        <v>17733</v>
      </c>
    </row>
    <row r="3920">
      <c r="A3920" s="1">
        <v>49994.0</v>
      </c>
      <c r="B3920" s="1">
        <v>17311.0</v>
      </c>
      <c r="C3920" s="1">
        <v>1.619504969E9</v>
      </c>
      <c r="D3920" s="1">
        <v>4.0</v>
      </c>
      <c r="E3920" s="1" t="b">
        <v>0</v>
      </c>
      <c r="F3920" s="1" t="s">
        <v>17734</v>
      </c>
    </row>
    <row r="3921">
      <c r="A3921" s="1">
        <v>49994.0</v>
      </c>
      <c r="B3921" s="1">
        <v>20365.0</v>
      </c>
      <c r="C3921" s="1">
        <v>1.624212411E9</v>
      </c>
      <c r="D3921" s="1">
        <v>4.0</v>
      </c>
      <c r="E3921" s="1" t="b">
        <v>0</v>
      </c>
      <c r="F3921" s="1" t="s">
        <v>17735</v>
      </c>
    </row>
    <row r="3922">
      <c r="A3922" s="1">
        <v>49994.0</v>
      </c>
      <c r="B3922" s="1">
        <v>19940.0</v>
      </c>
      <c r="C3922" s="1">
        <v>1.623515914E9</v>
      </c>
      <c r="D3922" s="1">
        <v>4.0</v>
      </c>
      <c r="E3922" s="1" t="b">
        <v>0</v>
      </c>
      <c r="F3922" s="1" t="s">
        <v>17736</v>
      </c>
    </row>
    <row r="3923">
      <c r="A3923" s="1">
        <v>49994.0</v>
      </c>
      <c r="B3923" s="1">
        <v>19037.0</v>
      </c>
      <c r="C3923" s="1">
        <v>1.622456301E9</v>
      </c>
      <c r="D3923" s="1">
        <v>4.0</v>
      </c>
      <c r="E3923" s="1" t="b">
        <v>0</v>
      </c>
      <c r="F3923" s="1" t="s">
        <v>17737</v>
      </c>
    </row>
    <row r="3924">
      <c r="A3924" s="1">
        <v>49994.0</v>
      </c>
      <c r="B3924" s="1">
        <v>17891.0</v>
      </c>
      <c r="C3924" s="1">
        <v>1.620633362E9</v>
      </c>
      <c r="D3924" s="1">
        <v>4.0</v>
      </c>
      <c r="E3924" s="1" t="b">
        <v>0</v>
      </c>
      <c r="F3924" s="1" t="s">
        <v>17738</v>
      </c>
    </row>
    <row r="3925">
      <c r="A3925" s="1">
        <v>49994.0</v>
      </c>
      <c r="B3925" s="1">
        <v>19455.0</v>
      </c>
      <c r="C3925" s="1">
        <v>1.622726761E9</v>
      </c>
      <c r="D3925" s="1">
        <v>4.0</v>
      </c>
      <c r="E3925" s="1" t="b">
        <v>0</v>
      </c>
      <c r="F3925" s="1" t="s">
        <v>17739</v>
      </c>
    </row>
    <row r="3926">
      <c r="A3926" s="1">
        <v>49994.0</v>
      </c>
      <c r="B3926" s="1">
        <v>16206.0</v>
      </c>
      <c r="C3926" s="1">
        <v>1.616937955E9</v>
      </c>
      <c r="D3926" s="1">
        <v>1.0</v>
      </c>
      <c r="E3926" s="1" t="b">
        <v>1</v>
      </c>
      <c r="F3926" s="1" t="s">
        <v>1264</v>
      </c>
    </row>
    <row r="3927">
      <c r="A3927" s="1">
        <v>49994.0</v>
      </c>
      <c r="B3927" s="1">
        <v>19085.0</v>
      </c>
      <c r="C3927" s="1">
        <v>1.622365191E9</v>
      </c>
      <c r="D3927" s="1">
        <v>9.0</v>
      </c>
      <c r="E3927" s="1" t="b">
        <v>0</v>
      </c>
      <c r="F3927" s="1" t="s">
        <v>17740</v>
      </c>
    </row>
    <row r="3928">
      <c r="A3928" s="1">
        <v>49994.0</v>
      </c>
      <c r="B3928" s="1">
        <v>18736.0</v>
      </c>
      <c r="C3928" s="1">
        <v>1.621887968E9</v>
      </c>
      <c r="D3928" s="1">
        <v>4.0</v>
      </c>
      <c r="E3928" s="1" t="b">
        <v>0</v>
      </c>
      <c r="F3928" s="1" t="s">
        <v>17741</v>
      </c>
    </row>
    <row r="3929">
      <c r="A3929" s="1">
        <v>49994.0</v>
      </c>
      <c r="B3929" s="1">
        <v>20119.0</v>
      </c>
      <c r="C3929" s="1">
        <v>1.62381453E9</v>
      </c>
      <c r="D3929" s="1">
        <v>9.0</v>
      </c>
      <c r="E3929" s="1" t="b">
        <v>0</v>
      </c>
      <c r="F3929" s="1" t="s">
        <v>17742</v>
      </c>
    </row>
    <row r="3930">
      <c r="A3930" s="1">
        <v>49994.0</v>
      </c>
      <c r="B3930" s="1">
        <v>19650.0</v>
      </c>
      <c r="C3930" s="1">
        <v>1.623094702E9</v>
      </c>
      <c r="D3930" s="1">
        <v>9.0</v>
      </c>
      <c r="E3930" s="1" t="b">
        <v>0</v>
      </c>
      <c r="F3930" s="1" t="s">
        <v>17743</v>
      </c>
    </row>
    <row r="3931">
      <c r="A3931" s="1">
        <v>49994.0</v>
      </c>
      <c r="B3931" s="1">
        <v>17034.0</v>
      </c>
      <c r="C3931" s="1">
        <v>1.618922818E9</v>
      </c>
      <c r="D3931" s="1">
        <v>4.0</v>
      </c>
      <c r="E3931" s="1" t="b">
        <v>0</v>
      </c>
      <c r="F3931" s="1" t="s">
        <v>17744</v>
      </c>
    </row>
    <row r="3932">
      <c r="A3932" s="1">
        <v>49994.0</v>
      </c>
      <c r="B3932" s="1">
        <v>17075.0</v>
      </c>
      <c r="C3932" s="1">
        <v>1.619000806E9</v>
      </c>
      <c r="D3932" s="1">
        <v>4.0</v>
      </c>
      <c r="E3932" s="1" t="b">
        <v>0</v>
      </c>
      <c r="F3932" s="1" t="s">
        <v>17745</v>
      </c>
    </row>
    <row r="3933">
      <c r="A3933" s="1">
        <v>49995.0</v>
      </c>
      <c r="B3933" s="1">
        <v>18850.0</v>
      </c>
      <c r="C3933" s="1">
        <v>1.62203949E9</v>
      </c>
      <c r="D3933" s="1">
        <v>9.0</v>
      </c>
      <c r="E3933" s="1" t="b">
        <v>0</v>
      </c>
      <c r="F3933" s="1" t="s">
        <v>15844</v>
      </c>
    </row>
    <row r="3934">
      <c r="A3934" s="1">
        <v>49995.0</v>
      </c>
      <c r="B3934" s="1">
        <v>18489.0</v>
      </c>
      <c r="C3934" s="1">
        <v>1.621661096E9</v>
      </c>
      <c r="D3934" s="1">
        <v>4.0</v>
      </c>
      <c r="E3934" s="1" t="b">
        <v>0</v>
      </c>
      <c r="F3934" s="1" t="s">
        <v>17746</v>
      </c>
    </row>
    <row r="3935">
      <c r="A3935" s="1">
        <v>49995.0</v>
      </c>
      <c r="B3935" s="1">
        <v>17316.0</v>
      </c>
      <c r="C3935" s="1">
        <v>1.619447347E9</v>
      </c>
      <c r="D3935" s="1">
        <v>4.0</v>
      </c>
      <c r="E3935" s="1" t="b">
        <v>0</v>
      </c>
      <c r="F3935" s="1" t="s">
        <v>17747</v>
      </c>
    </row>
    <row r="3936">
      <c r="A3936" s="1">
        <v>49995.0</v>
      </c>
      <c r="B3936" s="1">
        <v>18436.0</v>
      </c>
      <c r="C3936" s="1">
        <v>1.621597735E9</v>
      </c>
      <c r="D3936" s="1">
        <v>4.0</v>
      </c>
      <c r="E3936" s="1" t="b">
        <v>0</v>
      </c>
      <c r="F3936" s="1" t="s">
        <v>17748</v>
      </c>
    </row>
    <row r="3937">
      <c r="A3937" s="1">
        <v>49995.0</v>
      </c>
      <c r="B3937" s="1">
        <v>18609.0</v>
      </c>
      <c r="C3937" s="1">
        <v>1.621767497E9</v>
      </c>
      <c r="D3937" s="1">
        <v>4.0</v>
      </c>
      <c r="E3937" s="1" t="b">
        <v>0</v>
      </c>
      <c r="F3937" s="1" t="s">
        <v>17749</v>
      </c>
    </row>
    <row r="3938">
      <c r="A3938" s="1">
        <v>49995.0</v>
      </c>
      <c r="B3938" s="1">
        <v>20057.0</v>
      </c>
      <c r="C3938" s="1">
        <v>1.623694829E9</v>
      </c>
      <c r="D3938" s="1">
        <v>9.0</v>
      </c>
      <c r="E3938" s="1" t="b">
        <v>0</v>
      </c>
      <c r="F3938" s="1" t="s">
        <v>17750</v>
      </c>
    </row>
    <row r="3939">
      <c r="A3939" s="1">
        <v>49995.0</v>
      </c>
      <c r="B3939" s="1">
        <v>17711.0</v>
      </c>
      <c r="C3939" s="1">
        <v>1.620462529E9</v>
      </c>
      <c r="D3939" s="1">
        <v>4.0</v>
      </c>
      <c r="E3939" s="1" t="b">
        <v>0</v>
      </c>
      <c r="F3939" s="1" t="s">
        <v>17751</v>
      </c>
    </row>
    <row r="3940">
      <c r="A3940" s="1">
        <v>49995.0</v>
      </c>
      <c r="B3940" s="1">
        <v>18603.0</v>
      </c>
      <c r="C3940" s="1">
        <v>1.621763824E9</v>
      </c>
      <c r="D3940" s="1">
        <v>9.0</v>
      </c>
      <c r="E3940" s="1" t="b">
        <v>0</v>
      </c>
      <c r="F3940" s="1" t="s">
        <v>17752</v>
      </c>
    </row>
    <row r="3941">
      <c r="A3941" s="1">
        <v>49995.0</v>
      </c>
      <c r="B3941" s="1">
        <v>17399.0</v>
      </c>
      <c r="C3941" s="1">
        <v>1.619686622E9</v>
      </c>
      <c r="D3941" s="1">
        <v>4.0</v>
      </c>
      <c r="E3941" s="1" t="b">
        <v>0</v>
      </c>
      <c r="F3941" s="1" t="s">
        <v>17753</v>
      </c>
    </row>
    <row r="3942">
      <c r="A3942" s="1">
        <v>49995.0</v>
      </c>
      <c r="B3942" s="1">
        <v>18044.0</v>
      </c>
      <c r="C3942" s="1">
        <v>1.621009277E9</v>
      </c>
      <c r="D3942" s="1">
        <v>4.0</v>
      </c>
      <c r="E3942" s="1" t="b">
        <v>0</v>
      </c>
      <c r="F3942" s="1" t="s">
        <v>17754</v>
      </c>
    </row>
    <row r="3943">
      <c r="A3943" s="1">
        <v>49995.0</v>
      </c>
      <c r="B3943" s="1">
        <v>17345.0</v>
      </c>
      <c r="C3943" s="1">
        <v>1.619504575E9</v>
      </c>
      <c r="D3943" s="1">
        <v>4.0</v>
      </c>
      <c r="E3943" s="1" t="b">
        <v>0</v>
      </c>
      <c r="F3943" s="1" t="s">
        <v>17755</v>
      </c>
    </row>
    <row r="3944">
      <c r="A3944" s="1">
        <v>49995.0</v>
      </c>
      <c r="B3944" s="1">
        <v>18795.0</v>
      </c>
      <c r="C3944" s="1">
        <v>1.621966937E9</v>
      </c>
      <c r="D3944" s="1">
        <v>9.0</v>
      </c>
      <c r="E3944" s="1" t="b">
        <v>0</v>
      </c>
      <c r="F3944" s="1" t="s">
        <v>17756</v>
      </c>
    </row>
    <row r="3945">
      <c r="A3945" s="1">
        <v>49995.0</v>
      </c>
      <c r="B3945" s="1">
        <v>17156.0</v>
      </c>
      <c r="C3945" s="1">
        <v>1.619156604E9</v>
      </c>
      <c r="D3945" s="1">
        <v>4.0</v>
      </c>
      <c r="E3945" s="1" t="b">
        <v>0</v>
      </c>
      <c r="F3945" s="1" t="s">
        <v>17757</v>
      </c>
    </row>
    <row r="3946">
      <c r="A3946" s="1">
        <v>49995.0</v>
      </c>
      <c r="B3946" s="1">
        <v>18629.0</v>
      </c>
      <c r="C3946" s="1">
        <v>1.621789024E9</v>
      </c>
      <c r="D3946" s="1">
        <v>4.0</v>
      </c>
      <c r="E3946" s="1" t="b">
        <v>0</v>
      </c>
      <c r="F3946" s="1" t="s">
        <v>17758</v>
      </c>
    </row>
    <row r="3947">
      <c r="A3947" s="1">
        <v>49995.0</v>
      </c>
      <c r="B3947" s="1">
        <v>18818.0</v>
      </c>
      <c r="C3947" s="1">
        <v>1.622009803E9</v>
      </c>
      <c r="D3947" s="1">
        <v>4.0</v>
      </c>
      <c r="E3947" s="1" t="b">
        <v>0</v>
      </c>
      <c r="F3947" s="1" t="s">
        <v>17759</v>
      </c>
    </row>
    <row r="3948">
      <c r="A3948" s="1">
        <v>49995.0</v>
      </c>
      <c r="B3948" s="1">
        <v>20269.0</v>
      </c>
      <c r="C3948" s="1">
        <v>1.6240077E9</v>
      </c>
      <c r="D3948" s="1">
        <v>4.0</v>
      </c>
      <c r="E3948" s="1" t="b">
        <v>0</v>
      </c>
      <c r="F3948" s="1" t="s">
        <v>17760</v>
      </c>
    </row>
    <row r="3949">
      <c r="A3949" s="1">
        <v>49995.0</v>
      </c>
      <c r="B3949" s="1">
        <v>17801.0</v>
      </c>
      <c r="C3949" s="1">
        <v>1.620541098E9</v>
      </c>
      <c r="D3949" s="1">
        <v>4.0</v>
      </c>
      <c r="E3949" s="1" t="b">
        <v>0</v>
      </c>
      <c r="F3949" s="1" t="s">
        <v>17761</v>
      </c>
    </row>
    <row r="3950">
      <c r="A3950" s="1">
        <v>49995.0</v>
      </c>
      <c r="B3950" s="1">
        <v>17817.0</v>
      </c>
      <c r="C3950" s="1">
        <v>1.620554662E9</v>
      </c>
      <c r="D3950" s="1">
        <v>4.0</v>
      </c>
      <c r="E3950" s="1" t="b">
        <v>0</v>
      </c>
      <c r="F3950" s="1" t="s">
        <v>17762</v>
      </c>
    </row>
    <row r="3951">
      <c r="A3951" s="1">
        <v>49995.0</v>
      </c>
      <c r="B3951" s="1">
        <v>17072.0</v>
      </c>
      <c r="C3951" s="1">
        <v>1.618996295E9</v>
      </c>
      <c r="D3951" s="1">
        <v>4.0</v>
      </c>
      <c r="E3951" s="1" t="b">
        <v>0</v>
      </c>
      <c r="F3951" s="1" t="s">
        <v>17763</v>
      </c>
    </row>
    <row r="3952">
      <c r="A3952" s="1">
        <v>49995.0</v>
      </c>
      <c r="B3952" s="1">
        <v>17920.0</v>
      </c>
      <c r="C3952" s="1">
        <v>1.620653987E9</v>
      </c>
      <c r="D3952" s="1">
        <v>4.0</v>
      </c>
      <c r="E3952" s="1" t="b">
        <v>0</v>
      </c>
      <c r="F3952" s="1" t="s">
        <v>17764</v>
      </c>
    </row>
    <row r="3953">
      <c r="A3953" s="1">
        <v>49995.0</v>
      </c>
      <c r="B3953" s="1">
        <v>17374.0</v>
      </c>
      <c r="C3953" s="1">
        <v>1.619663422E9</v>
      </c>
      <c r="D3953" s="1">
        <v>4.0</v>
      </c>
      <c r="E3953" s="1" t="b">
        <v>0</v>
      </c>
      <c r="F3953" s="1" t="s">
        <v>17765</v>
      </c>
    </row>
    <row r="3954">
      <c r="A3954" s="1">
        <v>49995.0</v>
      </c>
      <c r="B3954" s="1">
        <v>18672.0</v>
      </c>
      <c r="C3954" s="1">
        <v>1.621835716E9</v>
      </c>
      <c r="D3954" s="1">
        <v>4.0</v>
      </c>
      <c r="E3954" s="1" t="b">
        <v>0</v>
      </c>
      <c r="F3954" s="1" t="s">
        <v>17766</v>
      </c>
    </row>
    <row r="3955">
      <c r="A3955" s="1">
        <v>49995.0</v>
      </c>
      <c r="B3955" s="1">
        <v>18175.0</v>
      </c>
      <c r="C3955" s="1">
        <v>1.62118334E9</v>
      </c>
      <c r="D3955" s="1">
        <v>4.0</v>
      </c>
      <c r="E3955" s="1" t="b">
        <v>0</v>
      </c>
      <c r="F3955" s="1" t="s">
        <v>17767</v>
      </c>
    </row>
    <row r="3956">
      <c r="A3956" s="1">
        <v>49995.0</v>
      </c>
      <c r="B3956" s="1">
        <v>18235.0</v>
      </c>
      <c r="C3956" s="1">
        <v>1.621251798E9</v>
      </c>
      <c r="D3956" s="1">
        <v>4.0</v>
      </c>
      <c r="E3956" s="1" t="b">
        <v>0</v>
      </c>
      <c r="F3956" s="1" t="s">
        <v>17768</v>
      </c>
    </row>
    <row r="3957">
      <c r="A3957" s="1">
        <v>49995.0</v>
      </c>
      <c r="B3957" s="1">
        <v>17313.0</v>
      </c>
      <c r="C3957" s="1">
        <v>1.619447349E9</v>
      </c>
      <c r="D3957" s="1">
        <v>4.0</v>
      </c>
      <c r="E3957" s="1" t="b">
        <v>0</v>
      </c>
      <c r="F3957" s="1" t="s">
        <v>17769</v>
      </c>
    </row>
    <row r="3958">
      <c r="A3958" s="1">
        <v>49995.0</v>
      </c>
      <c r="B3958" s="1">
        <v>17162.0</v>
      </c>
      <c r="C3958" s="1">
        <v>1.619154105E9</v>
      </c>
      <c r="D3958" s="1">
        <v>4.0</v>
      </c>
      <c r="E3958" s="1" t="b">
        <v>0</v>
      </c>
      <c r="F3958" s="1" t="s">
        <v>17770</v>
      </c>
    </row>
    <row r="3959">
      <c r="A3959" s="1">
        <v>49995.0</v>
      </c>
      <c r="B3959" s="1">
        <v>17325.0</v>
      </c>
      <c r="C3959" s="1">
        <v>1.619663415E9</v>
      </c>
      <c r="D3959" s="1">
        <v>4.0</v>
      </c>
      <c r="E3959" s="1" t="b">
        <v>0</v>
      </c>
      <c r="F3959" s="1" t="s">
        <v>17771</v>
      </c>
    </row>
    <row r="3960">
      <c r="A3960" s="1">
        <v>49995.0</v>
      </c>
      <c r="B3960" s="1">
        <v>17500.0</v>
      </c>
      <c r="C3960" s="1">
        <v>1.619969963E9</v>
      </c>
      <c r="D3960" s="1">
        <v>4.0</v>
      </c>
      <c r="E3960" s="1" t="b">
        <v>0</v>
      </c>
      <c r="F3960" s="1" t="s">
        <v>17772</v>
      </c>
    </row>
    <row r="3961">
      <c r="A3961" s="1">
        <v>49995.0</v>
      </c>
      <c r="B3961" s="1">
        <v>17032.0</v>
      </c>
      <c r="C3961" s="1">
        <v>1.618916409E9</v>
      </c>
      <c r="D3961" s="1">
        <v>4.0</v>
      </c>
      <c r="E3961" s="1" t="b">
        <v>0</v>
      </c>
      <c r="F3961" s="1" t="s">
        <v>17773</v>
      </c>
    </row>
    <row r="3962">
      <c r="A3962" s="1">
        <v>49995.0</v>
      </c>
      <c r="B3962" s="1">
        <v>18221.0</v>
      </c>
      <c r="C3962" s="1">
        <v>1.621250038E9</v>
      </c>
      <c r="D3962" s="1">
        <v>4.0</v>
      </c>
      <c r="E3962" s="1" t="b">
        <v>0</v>
      </c>
      <c r="F3962" s="1" t="s">
        <v>17774</v>
      </c>
    </row>
    <row r="3963">
      <c r="A3963" s="1">
        <v>49995.0</v>
      </c>
      <c r="B3963" s="1">
        <v>18173.0</v>
      </c>
      <c r="C3963" s="1">
        <v>1.621181269E9</v>
      </c>
      <c r="D3963" s="1">
        <v>4.0</v>
      </c>
      <c r="E3963" s="1" t="b">
        <v>0</v>
      </c>
      <c r="F3963" s="1" t="s">
        <v>17775</v>
      </c>
    </row>
    <row r="3964">
      <c r="A3964" s="1">
        <v>49995.0</v>
      </c>
      <c r="B3964" s="1">
        <v>17529.0</v>
      </c>
      <c r="C3964" s="1">
        <v>1.620147745E9</v>
      </c>
      <c r="D3964" s="1">
        <v>4.0</v>
      </c>
      <c r="E3964" s="1" t="b">
        <v>0</v>
      </c>
      <c r="F3964" s="1" t="s">
        <v>17776</v>
      </c>
    </row>
    <row r="3965">
      <c r="A3965" s="1">
        <v>49995.0</v>
      </c>
      <c r="B3965" s="1">
        <v>18345.0</v>
      </c>
      <c r="C3965" s="1">
        <v>1.621431092E9</v>
      </c>
      <c r="D3965" s="1">
        <v>4.0</v>
      </c>
      <c r="E3965" s="1" t="b">
        <v>0</v>
      </c>
      <c r="F3965" s="1" t="s">
        <v>17777</v>
      </c>
    </row>
    <row r="3966">
      <c r="A3966" s="1">
        <v>49995.0</v>
      </c>
      <c r="B3966" s="1">
        <v>17270.0</v>
      </c>
      <c r="C3966" s="1">
        <v>1.619430344E9</v>
      </c>
      <c r="D3966" s="1">
        <v>4.0</v>
      </c>
      <c r="E3966" s="1" t="b">
        <v>0</v>
      </c>
      <c r="F3966" s="1" t="s">
        <v>17778</v>
      </c>
    </row>
    <row r="3967">
      <c r="A3967" s="1">
        <v>49995.0</v>
      </c>
      <c r="B3967" s="1">
        <v>17429.0</v>
      </c>
      <c r="C3967" s="1">
        <v>1.620127595E9</v>
      </c>
      <c r="D3967" s="1">
        <v>4.0</v>
      </c>
      <c r="E3967" s="1" t="b">
        <v>0</v>
      </c>
      <c r="F3967" s="1" t="s">
        <v>17779</v>
      </c>
    </row>
    <row r="3968">
      <c r="A3968" s="1">
        <v>49995.0</v>
      </c>
      <c r="B3968" s="1">
        <v>18343.0</v>
      </c>
      <c r="C3968" s="1">
        <v>1.621429149E9</v>
      </c>
      <c r="D3968" s="1">
        <v>4.0</v>
      </c>
      <c r="E3968" s="1" t="b">
        <v>0</v>
      </c>
      <c r="F3968" s="1" t="s">
        <v>17780</v>
      </c>
    </row>
    <row r="3969">
      <c r="A3969" s="1">
        <v>49995.0</v>
      </c>
      <c r="B3969" s="1">
        <v>17654.0</v>
      </c>
      <c r="C3969" s="1">
        <v>1.620381177E9</v>
      </c>
      <c r="D3969" s="1">
        <v>4.0</v>
      </c>
      <c r="E3969" s="1" t="b">
        <v>0</v>
      </c>
      <c r="F3969" s="1" t="s">
        <v>17781</v>
      </c>
    </row>
    <row r="3970">
      <c r="A3970" s="1">
        <v>49995.0</v>
      </c>
      <c r="B3970" s="1">
        <v>17566.0</v>
      </c>
      <c r="C3970" s="1">
        <v>1.621160433E9</v>
      </c>
      <c r="D3970" s="1">
        <v>4.0</v>
      </c>
      <c r="E3970" s="1" t="b">
        <v>0</v>
      </c>
      <c r="F3970" s="1" t="s">
        <v>17782</v>
      </c>
    </row>
    <row r="3971">
      <c r="A3971" s="1">
        <v>49995.0</v>
      </c>
      <c r="B3971" s="1">
        <v>16934.0</v>
      </c>
      <c r="C3971" s="1">
        <v>1.61890629E9</v>
      </c>
      <c r="D3971" s="1">
        <v>4.0</v>
      </c>
      <c r="E3971" s="1" t="b">
        <v>0</v>
      </c>
      <c r="F3971" s="1" t="s">
        <v>17462</v>
      </c>
    </row>
    <row r="3972">
      <c r="A3972" s="1">
        <v>49995.0</v>
      </c>
      <c r="B3972" s="1">
        <v>17226.0</v>
      </c>
      <c r="C3972" s="1">
        <v>1.619250793E9</v>
      </c>
      <c r="D3972" s="1">
        <v>4.0</v>
      </c>
      <c r="E3972" s="1" t="b">
        <v>0</v>
      </c>
      <c r="F3972" s="1" t="s">
        <v>17783</v>
      </c>
    </row>
    <row r="3973">
      <c r="A3973" s="1">
        <v>49995.0</v>
      </c>
      <c r="B3973" s="1">
        <v>17038.0</v>
      </c>
      <c r="C3973" s="1">
        <v>1.618926591E9</v>
      </c>
      <c r="D3973" s="1">
        <v>4.0</v>
      </c>
      <c r="E3973" s="1" t="b">
        <v>0</v>
      </c>
      <c r="F3973" s="1" t="s">
        <v>17784</v>
      </c>
    </row>
    <row r="3974">
      <c r="A3974" s="1">
        <v>49995.0</v>
      </c>
      <c r="B3974" s="1">
        <v>16095.0</v>
      </c>
      <c r="C3974" s="1">
        <v>1.616940261E9</v>
      </c>
      <c r="D3974" s="1">
        <v>1.0</v>
      </c>
      <c r="E3974" s="1" t="b">
        <v>1</v>
      </c>
      <c r="F3974" s="1" t="s">
        <v>14117</v>
      </c>
    </row>
    <row r="3975">
      <c r="A3975" s="1">
        <v>49995.0</v>
      </c>
      <c r="B3975" s="1">
        <v>18328.0</v>
      </c>
      <c r="C3975" s="1">
        <v>1.621428357E9</v>
      </c>
      <c r="D3975" s="1">
        <v>4.0</v>
      </c>
      <c r="E3975" s="1" t="b">
        <v>0</v>
      </c>
      <c r="F3975" s="1" t="s">
        <v>17785</v>
      </c>
    </row>
    <row r="3976">
      <c r="A3976" s="1">
        <v>49995.0</v>
      </c>
      <c r="B3976" s="1">
        <v>17758.0</v>
      </c>
      <c r="C3976" s="1">
        <v>1.620494955E9</v>
      </c>
      <c r="D3976" s="1">
        <v>4.0</v>
      </c>
      <c r="E3976" s="1" t="b">
        <v>0</v>
      </c>
      <c r="F3976" s="1" t="s">
        <v>17786</v>
      </c>
    </row>
    <row r="3977">
      <c r="A3977" s="1">
        <v>49995.0</v>
      </c>
      <c r="B3977" s="1">
        <v>17896.0</v>
      </c>
      <c r="C3977" s="1">
        <v>1.62063915E9</v>
      </c>
      <c r="D3977" s="1">
        <v>4.0</v>
      </c>
      <c r="E3977" s="1" t="b">
        <v>0</v>
      </c>
      <c r="F3977" s="1" t="s">
        <v>17787</v>
      </c>
    </row>
    <row r="3978">
      <c r="A3978" s="1">
        <v>49995.0</v>
      </c>
      <c r="B3978" s="1">
        <v>18367.0</v>
      </c>
      <c r="C3978" s="1">
        <v>1.621506334E9</v>
      </c>
      <c r="D3978" s="1">
        <v>4.0</v>
      </c>
      <c r="E3978" s="1" t="b">
        <v>0</v>
      </c>
      <c r="F3978" s="1" t="s">
        <v>17788</v>
      </c>
    </row>
    <row r="3979">
      <c r="A3979" s="1">
        <v>49995.0</v>
      </c>
      <c r="B3979" s="1">
        <v>17795.0</v>
      </c>
      <c r="C3979" s="1">
        <v>1.620537415E9</v>
      </c>
      <c r="D3979" s="1">
        <v>4.0</v>
      </c>
      <c r="E3979" s="1" t="b">
        <v>0</v>
      </c>
      <c r="F3979" s="1" t="s">
        <v>17789</v>
      </c>
    </row>
    <row r="3980">
      <c r="A3980" s="1">
        <v>49995.0</v>
      </c>
      <c r="B3980" s="1">
        <v>18065.0</v>
      </c>
      <c r="C3980" s="1">
        <v>1.621074977E9</v>
      </c>
      <c r="D3980" s="1">
        <v>4.0</v>
      </c>
      <c r="E3980" s="1" t="b">
        <v>0</v>
      </c>
      <c r="F3980" s="1" t="s">
        <v>17790</v>
      </c>
    </row>
    <row r="3981">
      <c r="A3981" s="1">
        <v>49995.0</v>
      </c>
      <c r="B3981" s="1">
        <v>17680.0</v>
      </c>
      <c r="C3981" s="1">
        <v>1.620404034E9</v>
      </c>
      <c r="D3981" s="1">
        <v>4.0</v>
      </c>
      <c r="E3981" s="1" t="b">
        <v>0</v>
      </c>
      <c r="F3981" s="1" t="s">
        <v>17791</v>
      </c>
    </row>
    <row r="3982">
      <c r="A3982" s="1">
        <v>49995.0</v>
      </c>
      <c r="B3982" s="1">
        <v>18234.0</v>
      </c>
      <c r="C3982" s="1">
        <v>1.621251729E9</v>
      </c>
      <c r="D3982" s="1">
        <v>4.0</v>
      </c>
      <c r="E3982" s="1" t="b">
        <v>0</v>
      </c>
      <c r="F3982" s="1" t="s">
        <v>17792</v>
      </c>
    </row>
    <row r="3983">
      <c r="A3983" s="1">
        <v>49995.0</v>
      </c>
      <c r="B3983" s="1">
        <v>17601.0</v>
      </c>
      <c r="C3983" s="1">
        <v>1.620302362E9</v>
      </c>
      <c r="D3983" s="1">
        <v>4.0</v>
      </c>
      <c r="E3983" s="1" t="b">
        <v>0</v>
      </c>
      <c r="F3983" s="1" t="s">
        <v>14767</v>
      </c>
    </row>
    <row r="3984">
      <c r="A3984" s="1">
        <v>49995.0</v>
      </c>
      <c r="B3984" s="1">
        <v>17523.0</v>
      </c>
      <c r="C3984" s="1">
        <v>1.620137744E9</v>
      </c>
      <c r="D3984" s="1">
        <v>9.0</v>
      </c>
      <c r="E3984" s="1" t="b">
        <v>0</v>
      </c>
      <c r="F3984" s="1" t="s">
        <v>17793</v>
      </c>
    </row>
    <row r="3985">
      <c r="A3985" s="1">
        <v>49995.0</v>
      </c>
      <c r="B3985" s="1">
        <v>17292.0</v>
      </c>
      <c r="C3985" s="1">
        <v>1.619447377E9</v>
      </c>
      <c r="D3985" s="1">
        <v>4.0</v>
      </c>
      <c r="E3985" s="1" t="b">
        <v>0</v>
      </c>
      <c r="F3985" s="1" t="s">
        <v>17794</v>
      </c>
    </row>
    <row r="3986">
      <c r="A3986" s="1">
        <v>49995.0</v>
      </c>
      <c r="B3986" s="1">
        <v>17625.0</v>
      </c>
      <c r="C3986" s="1">
        <v>1.620342599E9</v>
      </c>
      <c r="D3986" s="1">
        <v>4.0</v>
      </c>
      <c r="E3986" s="1" t="b">
        <v>0</v>
      </c>
      <c r="F3986" s="1" t="s">
        <v>17795</v>
      </c>
    </row>
    <row r="3987">
      <c r="A3987" s="1">
        <v>49995.0</v>
      </c>
      <c r="B3987" s="1">
        <v>17233.0</v>
      </c>
      <c r="C3987" s="1">
        <v>1.619254177E9</v>
      </c>
      <c r="D3987" s="1">
        <v>4.0</v>
      </c>
      <c r="E3987" s="1" t="b">
        <v>0</v>
      </c>
      <c r="F3987" s="1" t="s">
        <v>17796</v>
      </c>
    </row>
    <row r="3988">
      <c r="A3988" s="1">
        <v>49995.0</v>
      </c>
      <c r="B3988" s="1">
        <v>18356.0</v>
      </c>
      <c r="C3988" s="1">
        <v>1.621489723E9</v>
      </c>
      <c r="D3988" s="1">
        <v>4.0</v>
      </c>
      <c r="E3988" s="1" t="b">
        <v>0</v>
      </c>
      <c r="F3988" s="1" t="s">
        <v>17797</v>
      </c>
    </row>
    <row r="3989">
      <c r="A3989" s="1">
        <v>49995.0</v>
      </c>
      <c r="B3989" s="1">
        <v>18476.0</v>
      </c>
      <c r="C3989" s="1">
        <v>1.621657585E9</v>
      </c>
      <c r="D3989" s="1">
        <v>4.0</v>
      </c>
      <c r="E3989" s="1" t="b">
        <v>0</v>
      </c>
      <c r="F3989" s="1" t="s">
        <v>15719</v>
      </c>
    </row>
    <row r="3990">
      <c r="A3990" s="1">
        <v>49995.0</v>
      </c>
      <c r="B3990" s="1">
        <v>18500.0</v>
      </c>
      <c r="C3990" s="1">
        <v>1.621766411E9</v>
      </c>
      <c r="D3990" s="1">
        <v>4.0</v>
      </c>
      <c r="E3990" s="1" t="b">
        <v>0</v>
      </c>
      <c r="F3990" s="1" t="s">
        <v>17798</v>
      </c>
    </row>
    <row r="3991">
      <c r="A3991" s="1">
        <v>49995.0</v>
      </c>
      <c r="B3991" s="1">
        <v>17079.0</v>
      </c>
      <c r="C3991" s="1">
        <v>1.619687893E9</v>
      </c>
      <c r="D3991" s="1">
        <v>4.0</v>
      </c>
      <c r="E3991" s="1" t="b">
        <v>0</v>
      </c>
      <c r="F3991" s="1" t="s">
        <v>17799</v>
      </c>
    </row>
    <row r="3992">
      <c r="A3992" s="1">
        <v>49996.0</v>
      </c>
      <c r="B3992" s="1">
        <v>17416.0</v>
      </c>
      <c r="C3992" s="1">
        <v>1.619618264E9</v>
      </c>
      <c r="D3992" s="1">
        <v>4.0</v>
      </c>
      <c r="E3992" s="1" t="b">
        <v>0</v>
      </c>
      <c r="F3992" s="1" t="s">
        <v>17800</v>
      </c>
    </row>
    <row r="3993">
      <c r="A3993" s="1">
        <v>49996.0</v>
      </c>
      <c r="B3993" s="1">
        <v>18522.0</v>
      </c>
      <c r="C3993" s="1">
        <v>1.621677887E9</v>
      </c>
      <c r="D3993" s="1">
        <v>4.0</v>
      </c>
      <c r="E3993" s="1" t="b">
        <v>0</v>
      </c>
      <c r="F3993" s="1" t="s">
        <v>17801</v>
      </c>
    </row>
    <row r="3994">
      <c r="A3994" s="1">
        <v>49996.0</v>
      </c>
      <c r="B3994" s="1">
        <v>18592.0</v>
      </c>
      <c r="C3994" s="1">
        <v>1.621753145E9</v>
      </c>
      <c r="D3994" s="1">
        <v>4.0</v>
      </c>
      <c r="E3994" s="1" t="b">
        <v>0</v>
      </c>
      <c r="F3994" s="1" t="s">
        <v>16329</v>
      </c>
    </row>
    <row r="3995">
      <c r="A3995" s="1">
        <v>49996.0</v>
      </c>
      <c r="B3995" s="1">
        <v>16599.0</v>
      </c>
      <c r="C3995" s="1">
        <v>1.621585929E9</v>
      </c>
      <c r="D3995" s="1">
        <v>4.0</v>
      </c>
      <c r="E3995" s="1" t="b">
        <v>0</v>
      </c>
      <c r="F3995" s="1" t="s">
        <v>17802</v>
      </c>
    </row>
    <row r="3996">
      <c r="A3996" s="1">
        <v>49996.0</v>
      </c>
      <c r="B3996" s="1">
        <v>18271.0</v>
      </c>
      <c r="C3996" s="1">
        <v>1.621320934E9</v>
      </c>
      <c r="D3996" s="1">
        <v>4.0</v>
      </c>
      <c r="E3996" s="1" t="b">
        <v>0</v>
      </c>
      <c r="F3996" s="1" t="s">
        <v>17803</v>
      </c>
    </row>
    <row r="3997">
      <c r="A3997" s="1">
        <v>49996.0</v>
      </c>
      <c r="B3997" s="1">
        <v>19841.0</v>
      </c>
      <c r="C3997" s="1">
        <v>1.623386649E9</v>
      </c>
      <c r="D3997" s="1">
        <v>4.0</v>
      </c>
      <c r="E3997" s="1" t="b">
        <v>0</v>
      </c>
      <c r="F3997" s="1" t="s">
        <v>17804</v>
      </c>
    </row>
    <row r="3998">
      <c r="A3998" s="1">
        <v>49996.0</v>
      </c>
      <c r="B3998" s="1">
        <v>17240.0</v>
      </c>
      <c r="C3998" s="1">
        <v>1.619267073E9</v>
      </c>
      <c r="D3998" s="1">
        <v>4.0</v>
      </c>
      <c r="E3998" s="1" t="b">
        <v>0</v>
      </c>
      <c r="F3998" s="1" t="s">
        <v>17805</v>
      </c>
    </row>
    <row r="3999">
      <c r="A3999" s="1">
        <v>49996.0</v>
      </c>
      <c r="B3999" s="1">
        <v>19333.0</v>
      </c>
      <c r="C3999" s="1">
        <v>1.622614566E9</v>
      </c>
      <c r="D3999" s="1">
        <v>4.0</v>
      </c>
      <c r="E3999" s="1" t="b">
        <v>0</v>
      </c>
      <c r="F3999" s="1" t="s">
        <v>17806</v>
      </c>
    </row>
    <row r="4000">
      <c r="A4000" s="1">
        <v>49996.0</v>
      </c>
      <c r="B4000" s="1">
        <v>16195.0</v>
      </c>
      <c r="C4000" s="1">
        <v>1.617016108E9</v>
      </c>
      <c r="D4000" s="1">
        <v>1.0</v>
      </c>
      <c r="E4000" s="1" t="b">
        <v>1</v>
      </c>
      <c r="F4000" s="1" t="s">
        <v>17807</v>
      </c>
    </row>
    <row r="4001">
      <c r="A4001" s="1">
        <v>49996.0</v>
      </c>
      <c r="B4001" s="1">
        <v>19887.0</v>
      </c>
      <c r="C4001" s="1">
        <v>1.623425944E9</v>
      </c>
      <c r="D4001" s="1">
        <v>4.0</v>
      </c>
      <c r="E4001" s="1" t="b">
        <v>0</v>
      </c>
      <c r="F4001" s="1" t="s">
        <v>17808</v>
      </c>
    </row>
    <row r="4002">
      <c r="A4002" s="1">
        <v>49996.0</v>
      </c>
      <c r="B4002" s="1">
        <v>18472.0</v>
      </c>
      <c r="C4002" s="1">
        <v>1.621650783E9</v>
      </c>
      <c r="D4002" s="1">
        <v>4.0</v>
      </c>
      <c r="E4002" s="1" t="b">
        <v>0</v>
      </c>
      <c r="F4002" s="1" t="s">
        <v>17809</v>
      </c>
    </row>
    <row r="4003">
      <c r="A4003" s="1">
        <v>49996.0</v>
      </c>
      <c r="B4003" s="1">
        <v>19325.0</v>
      </c>
      <c r="C4003" s="1">
        <v>1.622612769E9</v>
      </c>
      <c r="D4003" s="1">
        <v>4.0</v>
      </c>
      <c r="E4003" s="1" t="b">
        <v>0</v>
      </c>
      <c r="F4003" s="1" t="s">
        <v>17810</v>
      </c>
    </row>
    <row r="4004">
      <c r="A4004" s="1">
        <v>49996.0</v>
      </c>
      <c r="B4004" s="1">
        <v>19670.0</v>
      </c>
      <c r="C4004" s="1">
        <v>1.623139273E9</v>
      </c>
      <c r="D4004" s="1">
        <v>4.0</v>
      </c>
      <c r="E4004" s="1" t="b">
        <v>0</v>
      </c>
      <c r="F4004" s="1" t="s">
        <v>17811</v>
      </c>
    </row>
    <row r="4005">
      <c r="A4005" s="1">
        <v>49996.0</v>
      </c>
      <c r="B4005" s="1">
        <v>17248.0</v>
      </c>
      <c r="C4005" s="1">
        <v>1.619271783E9</v>
      </c>
      <c r="D4005" s="1">
        <v>4.0</v>
      </c>
      <c r="E4005" s="1" t="b">
        <v>0</v>
      </c>
      <c r="F4005" s="1" t="s">
        <v>17812</v>
      </c>
    </row>
    <row r="4006">
      <c r="A4006" s="1">
        <v>49996.0</v>
      </c>
      <c r="B4006" s="1">
        <v>20380.0</v>
      </c>
      <c r="C4006" s="1">
        <v>1.624258592E9</v>
      </c>
      <c r="D4006" s="1">
        <v>9.0</v>
      </c>
      <c r="E4006" s="1" t="b">
        <v>0</v>
      </c>
      <c r="F4006" s="1" t="s">
        <v>17813</v>
      </c>
    </row>
    <row r="4007">
      <c r="A4007" s="1">
        <v>49996.0</v>
      </c>
      <c r="B4007" s="1">
        <v>19960.0</v>
      </c>
      <c r="C4007" s="1">
        <v>1.62356041E9</v>
      </c>
      <c r="D4007" s="1">
        <v>4.0</v>
      </c>
      <c r="E4007" s="1" t="b">
        <v>0</v>
      </c>
      <c r="F4007" s="1" t="s">
        <v>17814</v>
      </c>
    </row>
    <row r="4008">
      <c r="A4008" s="1">
        <v>49996.0</v>
      </c>
      <c r="B4008" s="1">
        <v>20300.0</v>
      </c>
      <c r="C4008" s="1">
        <v>1.624082386E9</v>
      </c>
      <c r="D4008" s="1">
        <v>4.0</v>
      </c>
      <c r="E4008" s="1" t="b">
        <v>0</v>
      </c>
      <c r="F4008" s="1" t="s">
        <v>17815</v>
      </c>
    </row>
    <row r="4009">
      <c r="A4009" s="1">
        <v>49996.0</v>
      </c>
      <c r="B4009" s="1">
        <v>18742.0</v>
      </c>
      <c r="C4009" s="1">
        <v>1.62191702E9</v>
      </c>
      <c r="D4009" s="1">
        <v>4.0</v>
      </c>
      <c r="E4009" s="1" t="b">
        <v>0</v>
      </c>
      <c r="F4009" s="1" t="s">
        <v>17816</v>
      </c>
    </row>
    <row r="4010">
      <c r="A4010" s="1">
        <v>49996.0</v>
      </c>
      <c r="B4010" s="1">
        <v>19778.0</v>
      </c>
      <c r="C4010" s="1">
        <v>1.623312523E9</v>
      </c>
      <c r="D4010" s="1">
        <v>4.0</v>
      </c>
      <c r="E4010" s="1" t="b">
        <v>0</v>
      </c>
      <c r="F4010" s="1" t="s">
        <v>17651</v>
      </c>
    </row>
    <row r="4011">
      <c r="A4011" s="1">
        <v>49996.0</v>
      </c>
      <c r="B4011" s="1">
        <v>19197.0</v>
      </c>
      <c r="C4011" s="1">
        <v>1.622470088E9</v>
      </c>
      <c r="D4011" s="1">
        <v>4.0</v>
      </c>
      <c r="E4011" s="1" t="b">
        <v>0</v>
      </c>
      <c r="F4011" s="1" t="s">
        <v>17817</v>
      </c>
    </row>
    <row r="4012">
      <c r="A4012" s="1">
        <v>49996.0</v>
      </c>
      <c r="B4012" s="1">
        <v>19524.0</v>
      </c>
      <c r="C4012" s="1">
        <v>1.622962491E9</v>
      </c>
      <c r="D4012" s="1">
        <v>4.0</v>
      </c>
      <c r="E4012" s="1" t="b">
        <v>0</v>
      </c>
      <c r="F4012" s="1" t="s">
        <v>17818</v>
      </c>
    </row>
    <row r="4013">
      <c r="A4013" s="1">
        <v>49996.0</v>
      </c>
      <c r="B4013" s="1">
        <v>20122.0</v>
      </c>
      <c r="C4013" s="1">
        <v>1.623819617E9</v>
      </c>
      <c r="D4013" s="1">
        <v>4.0</v>
      </c>
      <c r="E4013" s="1" t="b">
        <v>0</v>
      </c>
      <c r="F4013" s="1" t="s">
        <v>17819</v>
      </c>
    </row>
    <row r="4014">
      <c r="A4014" s="1">
        <v>49996.0</v>
      </c>
      <c r="B4014" s="1">
        <v>19955.0</v>
      </c>
      <c r="C4014" s="1">
        <v>1.623555249E9</v>
      </c>
      <c r="D4014" s="1">
        <v>4.0</v>
      </c>
      <c r="E4014" s="1" t="b">
        <v>0</v>
      </c>
      <c r="F4014" s="1" t="s">
        <v>17820</v>
      </c>
    </row>
    <row r="4015">
      <c r="A4015" s="1">
        <v>49996.0</v>
      </c>
      <c r="B4015" s="1">
        <v>19953.0</v>
      </c>
      <c r="C4015" s="1">
        <v>1.623548823E9</v>
      </c>
      <c r="D4015" s="1">
        <v>4.0</v>
      </c>
      <c r="E4015" s="1" t="b">
        <v>0</v>
      </c>
      <c r="F4015" s="1" t="s">
        <v>17821</v>
      </c>
    </row>
    <row r="4016">
      <c r="A4016" s="1">
        <v>49996.0</v>
      </c>
      <c r="B4016" s="1">
        <v>19527.0</v>
      </c>
      <c r="C4016" s="1">
        <v>1.6229668E9</v>
      </c>
      <c r="D4016" s="1">
        <v>4.0</v>
      </c>
      <c r="E4016" s="1" t="b">
        <v>0</v>
      </c>
      <c r="F4016" s="1" t="s">
        <v>17822</v>
      </c>
    </row>
    <row r="4017">
      <c r="A4017" s="1">
        <v>49996.0</v>
      </c>
      <c r="B4017" s="1">
        <v>18216.0</v>
      </c>
      <c r="C4017" s="1">
        <v>1.621241475E9</v>
      </c>
      <c r="D4017" s="1">
        <v>4.0</v>
      </c>
      <c r="E4017" s="1" t="b">
        <v>0</v>
      </c>
      <c r="F4017" s="1" t="s">
        <v>17823</v>
      </c>
    </row>
    <row r="4018">
      <c r="A4018" s="1">
        <v>49996.0</v>
      </c>
      <c r="B4018" s="1">
        <v>20128.0</v>
      </c>
      <c r="C4018" s="1">
        <v>1.62382393E9</v>
      </c>
      <c r="D4018" s="1">
        <v>4.0</v>
      </c>
      <c r="E4018" s="1" t="b">
        <v>0</v>
      </c>
      <c r="F4018" s="1" t="s">
        <v>17824</v>
      </c>
    </row>
    <row r="4019">
      <c r="A4019" s="1">
        <v>49996.0</v>
      </c>
      <c r="B4019" s="1">
        <v>19002.0</v>
      </c>
      <c r="C4019" s="1">
        <v>1.622256007E9</v>
      </c>
      <c r="D4019" s="1">
        <v>4.0</v>
      </c>
      <c r="E4019" s="1" t="b">
        <v>0</v>
      </c>
      <c r="F4019" s="1" t="s">
        <v>17825</v>
      </c>
    </row>
    <row r="4020">
      <c r="A4020" s="1">
        <v>49996.0</v>
      </c>
      <c r="B4020" s="1">
        <v>19912.0</v>
      </c>
      <c r="C4020" s="1">
        <v>1.623474887E9</v>
      </c>
      <c r="D4020" s="1">
        <v>4.0</v>
      </c>
      <c r="E4020" s="1" t="b">
        <v>0</v>
      </c>
      <c r="F4020" s="1" t="s">
        <v>17826</v>
      </c>
    </row>
    <row r="4021">
      <c r="A4021" s="1">
        <v>49996.0</v>
      </c>
      <c r="B4021" s="1">
        <v>19941.0</v>
      </c>
      <c r="C4021" s="1">
        <v>1.623516516E9</v>
      </c>
      <c r="D4021" s="1">
        <v>4.0</v>
      </c>
      <c r="E4021" s="1" t="b">
        <v>0</v>
      </c>
      <c r="F4021" s="1" t="s">
        <v>17827</v>
      </c>
    </row>
    <row r="4022">
      <c r="A4022" s="1">
        <v>49996.0</v>
      </c>
      <c r="B4022" s="1">
        <v>19959.0</v>
      </c>
      <c r="C4022" s="1">
        <v>1.623559524E9</v>
      </c>
      <c r="D4022" s="1">
        <v>4.0</v>
      </c>
      <c r="E4022" s="1" t="b">
        <v>0</v>
      </c>
      <c r="F4022" s="1" t="s">
        <v>17828</v>
      </c>
    </row>
    <row r="4023">
      <c r="A4023" s="1">
        <v>49996.0</v>
      </c>
      <c r="B4023" s="1">
        <v>20047.0</v>
      </c>
      <c r="C4023" s="1">
        <v>1.623681107E9</v>
      </c>
      <c r="D4023" s="1">
        <v>4.0</v>
      </c>
      <c r="E4023" s="1" t="b">
        <v>0</v>
      </c>
      <c r="F4023" s="1" t="s">
        <v>17829</v>
      </c>
    </row>
    <row r="4024">
      <c r="A4024" s="1">
        <v>49996.0</v>
      </c>
      <c r="B4024" s="1">
        <v>19580.0</v>
      </c>
      <c r="C4024" s="1">
        <v>1.623033497E9</v>
      </c>
      <c r="D4024" s="1">
        <v>4.0</v>
      </c>
      <c r="E4024" s="1" t="b">
        <v>0</v>
      </c>
      <c r="F4024" s="1" t="s">
        <v>17830</v>
      </c>
    </row>
    <row r="4025">
      <c r="A4025" s="1">
        <v>49996.0</v>
      </c>
      <c r="B4025" s="1">
        <v>18581.0</v>
      </c>
      <c r="C4025" s="1">
        <v>1.621747893E9</v>
      </c>
      <c r="D4025" s="1">
        <v>4.0</v>
      </c>
      <c r="E4025" s="1" t="b">
        <v>0</v>
      </c>
      <c r="F4025" s="1" t="s">
        <v>17831</v>
      </c>
    </row>
    <row r="4026">
      <c r="A4026" s="1">
        <v>49996.0</v>
      </c>
      <c r="B4026" s="1">
        <v>19256.0</v>
      </c>
      <c r="C4026" s="1">
        <v>1.622536063E9</v>
      </c>
      <c r="D4026" s="1">
        <v>9.0</v>
      </c>
      <c r="E4026" s="1" t="b">
        <v>0</v>
      </c>
      <c r="F4026" s="1" t="s">
        <v>17832</v>
      </c>
    </row>
    <row r="4027">
      <c r="A4027" s="1">
        <v>49996.0</v>
      </c>
      <c r="B4027" s="1">
        <v>19158.0</v>
      </c>
      <c r="C4027" s="1">
        <v>1.622448943E9</v>
      </c>
      <c r="D4027" s="1">
        <v>4.0</v>
      </c>
      <c r="E4027" s="1" t="b">
        <v>0</v>
      </c>
      <c r="F4027" s="1" t="s">
        <v>17833</v>
      </c>
    </row>
    <row r="4028">
      <c r="A4028" s="1">
        <v>49996.0</v>
      </c>
      <c r="B4028" s="1">
        <v>19761.0</v>
      </c>
      <c r="C4028" s="1">
        <v>1.623306881E9</v>
      </c>
      <c r="D4028" s="1">
        <v>4.0</v>
      </c>
      <c r="E4028" s="1" t="b">
        <v>0</v>
      </c>
      <c r="F4028" s="1" t="s">
        <v>17834</v>
      </c>
    </row>
    <row r="4029">
      <c r="A4029" s="1">
        <v>49996.0</v>
      </c>
      <c r="B4029" s="1">
        <v>4142.0</v>
      </c>
      <c r="C4029" s="1">
        <v>1.61891406E9</v>
      </c>
      <c r="D4029" s="1">
        <v>4.0</v>
      </c>
      <c r="E4029" s="1" t="b">
        <v>0</v>
      </c>
      <c r="F4029" s="1" t="s">
        <v>17835</v>
      </c>
    </row>
    <row r="4030">
      <c r="A4030" s="1">
        <v>49996.0</v>
      </c>
      <c r="B4030" s="1">
        <v>18671.0</v>
      </c>
      <c r="C4030" s="1">
        <v>1.621834377E9</v>
      </c>
      <c r="D4030" s="1">
        <v>4.0</v>
      </c>
      <c r="E4030" s="1" t="b">
        <v>0</v>
      </c>
      <c r="F4030" s="1" t="s">
        <v>17836</v>
      </c>
    </row>
    <row r="4031">
      <c r="A4031" s="1">
        <v>49996.0</v>
      </c>
      <c r="B4031" s="1">
        <v>20071.0</v>
      </c>
      <c r="C4031" s="1">
        <v>1.62374003E9</v>
      </c>
      <c r="D4031" s="1">
        <v>4.0</v>
      </c>
      <c r="E4031" s="1" t="b">
        <v>0</v>
      </c>
      <c r="F4031" s="1" t="s">
        <v>17837</v>
      </c>
    </row>
    <row r="4032">
      <c r="A4032" s="1">
        <v>49996.0</v>
      </c>
      <c r="B4032" s="1">
        <v>18776.0</v>
      </c>
      <c r="C4032" s="1">
        <v>1.621946759E9</v>
      </c>
      <c r="D4032" s="1">
        <v>4.0</v>
      </c>
      <c r="E4032" s="1" t="b">
        <v>0</v>
      </c>
      <c r="F4032" s="1" t="s">
        <v>17838</v>
      </c>
    </row>
    <row r="4033">
      <c r="A4033" s="1">
        <v>49996.0</v>
      </c>
      <c r="B4033" s="1">
        <v>18226.0</v>
      </c>
      <c r="C4033" s="1">
        <v>1.621244565E9</v>
      </c>
      <c r="D4033" s="1">
        <v>4.0</v>
      </c>
      <c r="E4033" s="1" t="b">
        <v>0</v>
      </c>
      <c r="F4033" s="1" t="s">
        <v>17839</v>
      </c>
    </row>
    <row r="4034">
      <c r="A4034" s="1">
        <v>49996.0</v>
      </c>
      <c r="B4034" s="1">
        <v>20327.0</v>
      </c>
      <c r="C4034" s="1">
        <v>1.62412649E9</v>
      </c>
      <c r="D4034" s="1">
        <v>4.0</v>
      </c>
      <c r="E4034" s="1" t="b">
        <v>0</v>
      </c>
      <c r="F4034" s="1" t="s">
        <v>17840</v>
      </c>
    </row>
    <row r="4035">
      <c r="A4035" s="1">
        <v>49996.0</v>
      </c>
      <c r="B4035" s="1">
        <v>20243.0</v>
      </c>
      <c r="C4035" s="1">
        <v>1.623956016E9</v>
      </c>
      <c r="D4035" s="1">
        <v>4.0</v>
      </c>
      <c r="E4035" s="1" t="b">
        <v>0</v>
      </c>
      <c r="F4035" s="1" t="s">
        <v>17841</v>
      </c>
    </row>
    <row r="4036">
      <c r="A4036" s="1">
        <v>49996.0</v>
      </c>
      <c r="B4036" s="1">
        <v>18125.0</v>
      </c>
      <c r="C4036" s="1">
        <v>1.621152339E9</v>
      </c>
      <c r="D4036" s="1">
        <v>4.0</v>
      </c>
      <c r="E4036" s="1" t="b">
        <v>0</v>
      </c>
      <c r="F4036" s="1" t="s">
        <v>17842</v>
      </c>
    </row>
    <row r="4037">
      <c r="A4037" s="1">
        <v>49996.0</v>
      </c>
      <c r="B4037" s="1">
        <v>17256.0</v>
      </c>
      <c r="C4037" s="1">
        <v>1.623522457E9</v>
      </c>
      <c r="D4037" s="1">
        <v>4.0</v>
      </c>
      <c r="E4037" s="1" t="b">
        <v>0</v>
      </c>
      <c r="F4037" s="1" t="s">
        <v>17843</v>
      </c>
    </row>
    <row r="4038">
      <c r="A4038" s="1">
        <v>49996.0</v>
      </c>
      <c r="B4038" s="1">
        <v>19657.0</v>
      </c>
      <c r="C4038" s="1">
        <v>1.623125479E9</v>
      </c>
      <c r="D4038" s="1">
        <v>4.0</v>
      </c>
      <c r="E4038" s="1" t="b">
        <v>0</v>
      </c>
      <c r="F4038" s="1" t="s">
        <v>17844</v>
      </c>
    </row>
    <row r="4039">
      <c r="A4039" s="1">
        <v>49996.0</v>
      </c>
      <c r="B4039" s="1">
        <v>18331.0</v>
      </c>
      <c r="C4039" s="1">
        <v>1.621414423E9</v>
      </c>
      <c r="D4039" s="1">
        <v>4.0</v>
      </c>
      <c r="E4039" s="1" t="b">
        <v>0</v>
      </c>
      <c r="F4039" s="1" t="s">
        <v>17845</v>
      </c>
    </row>
    <row r="4040">
      <c r="A4040" s="1">
        <v>49996.0</v>
      </c>
      <c r="B4040" s="1">
        <v>20470.0</v>
      </c>
      <c r="C4040" s="1">
        <v>0.0</v>
      </c>
      <c r="D4040" s="1">
        <v>4.0</v>
      </c>
      <c r="E4040" s="1" t="b">
        <v>0</v>
      </c>
      <c r="F4040" s="1" t="s">
        <v>17846</v>
      </c>
    </row>
    <row r="4041">
      <c r="A4041" s="1">
        <v>49996.0</v>
      </c>
      <c r="B4041" s="1">
        <v>20330.0</v>
      </c>
      <c r="C4041" s="1">
        <v>1.624129956E9</v>
      </c>
      <c r="D4041" s="1">
        <v>4.0</v>
      </c>
      <c r="E4041" s="1" t="b">
        <v>0</v>
      </c>
      <c r="F4041" s="1" t="s">
        <v>17847</v>
      </c>
    </row>
    <row r="4042">
      <c r="A4042" s="1">
        <v>49996.0</v>
      </c>
      <c r="B4042" s="1">
        <v>18185.0</v>
      </c>
      <c r="C4042" s="1">
        <v>1.621189827E9</v>
      </c>
      <c r="D4042" s="1">
        <v>4.0</v>
      </c>
      <c r="E4042" s="1" t="b">
        <v>0</v>
      </c>
      <c r="F4042" s="1" t="s">
        <v>17848</v>
      </c>
    </row>
    <row r="4043">
      <c r="A4043" s="1">
        <v>49996.0</v>
      </c>
      <c r="B4043" s="1">
        <v>17415.0</v>
      </c>
      <c r="C4043" s="1">
        <v>1.619614704E9</v>
      </c>
      <c r="D4043" s="1">
        <v>4.0</v>
      </c>
      <c r="E4043" s="1" t="b">
        <v>0</v>
      </c>
      <c r="F4043" s="1" t="s">
        <v>17849</v>
      </c>
    </row>
    <row r="4044">
      <c r="A4044" s="1">
        <v>49996.0</v>
      </c>
      <c r="B4044" s="1">
        <v>19592.0</v>
      </c>
      <c r="C4044" s="1">
        <v>1.62304871E9</v>
      </c>
      <c r="D4044" s="1">
        <v>4.0</v>
      </c>
      <c r="E4044" s="1" t="b">
        <v>0</v>
      </c>
      <c r="F4044" s="1" t="s">
        <v>17850</v>
      </c>
    </row>
    <row r="4045">
      <c r="A4045" s="1">
        <v>49996.0</v>
      </c>
      <c r="B4045" s="1">
        <v>19918.0</v>
      </c>
      <c r="C4045" s="1">
        <v>1.623490871E9</v>
      </c>
      <c r="D4045" s="1">
        <v>4.0</v>
      </c>
      <c r="E4045" s="1" t="b">
        <v>0</v>
      </c>
      <c r="F4045" s="1" t="s">
        <v>17851</v>
      </c>
    </row>
    <row r="4046">
      <c r="A4046" s="1">
        <v>49996.0</v>
      </c>
      <c r="B4046" s="1">
        <v>20215.0</v>
      </c>
      <c r="C4046" s="1">
        <v>1.623933557E9</v>
      </c>
      <c r="D4046" s="1">
        <v>4.0</v>
      </c>
      <c r="E4046" s="1" t="b">
        <v>0</v>
      </c>
      <c r="F4046" s="1" t="s">
        <v>17852</v>
      </c>
    </row>
    <row r="4047">
      <c r="A4047" s="1">
        <v>49996.0</v>
      </c>
      <c r="B4047" s="1">
        <v>19412.0</v>
      </c>
      <c r="C4047" s="1">
        <v>1.62269551E9</v>
      </c>
      <c r="D4047" s="1">
        <v>4.0</v>
      </c>
      <c r="E4047" s="1" t="b">
        <v>0</v>
      </c>
      <c r="F4047" s="1" t="s">
        <v>17853</v>
      </c>
    </row>
    <row r="4048">
      <c r="A4048" s="1">
        <v>49996.0</v>
      </c>
      <c r="B4048" s="1">
        <v>17412.0</v>
      </c>
      <c r="C4048" s="1">
        <v>1.619610287E9</v>
      </c>
      <c r="D4048" s="1">
        <v>4.0</v>
      </c>
      <c r="E4048" s="1" t="b">
        <v>0</v>
      </c>
      <c r="F4048" s="1" t="s">
        <v>17854</v>
      </c>
    </row>
    <row r="4049">
      <c r="A4049" s="1">
        <v>49996.0</v>
      </c>
      <c r="B4049" s="1">
        <v>19668.0</v>
      </c>
      <c r="C4049" s="1">
        <v>1.623138295E9</v>
      </c>
      <c r="D4049" s="1">
        <v>4.0</v>
      </c>
      <c r="E4049" s="1" t="b">
        <v>0</v>
      </c>
      <c r="F4049" s="1" t="s">
        <v>17855</v>
      </c>
    </row>
    <row r="4050">
      <c r="A4050" s="1">
        <v>49996.0</v>
      </c>
      <c r="B4050" s="1">
        <v>18061.0</v>
      </c>
      <c r="C4050" s="1">
        <v>1.621068348E9</v>
      </c>
      <c r="D4050" s="1">
        <v>4.0</v>
      </c>
      <c r="E4050" s="1" t="b">
        <v>0</v>
      </c>
      <c r="F4050" s="1" t="s">
        <v>17856</v>
      </c>
    </row>
    <row r="4051">
      <c r="A4051" s="1">
        <v>49996.0</v>
      </c>
      <c r="B4051" s="1">
        <v>18978.0</v>
      </c>
      <c r="C4051" s="1">
        <v>1.622205588E9</v>
      </c>
      <c r="D4051" s="1">
        <v>4.0</v>
      </c>
      <c r="E4051" s="1" t="b">
        <v>0</v>
      </c>
      <c r="F4051" s="1" t="s">
        <v>17857</v>
      </c>
    </row>
    <row r="4052">
      <c r="A4052" s="1">
        <v>49996.0</v>
      </c>
      <c r="B4052" s="1">
        <v>16934.0</v>
      </c>
      <c r="C4052" s="1">
        <v>1.618908484E9</v>
      </c>
      <c r="D4052" s="1">
        <v>4.0</v>
      </c>
      <c r="E4052" s="1" t="b">
        <v>0</v>
      </c>
      <c r="F4052" s="1" t="s">
        <v>17462</v>
      </c>
    </row>
    <row r="4053">
      <c r="A4053" s="1">
        <v>49996.0</v>
      </c>
      <c r="B4053" s="1">
        <v>17253.0</v>
      </c>
      <c r="C4053" s="1">
        <v>1.620121655E9</v>
      </c>
      <c r="D4053" s="1">
        <v>4.0</v>
      </c>
      <c r="E4053" s="1" t="b">
        <v>0</v>
      </c>
      <c r="F4053" s="1" t="s">
        <v>17858</v>
      </c>
    </row>
    <row r="4054">
      <c r="A4054" s="1">
        <v>49996.0</v>
      </c>
      <c r="B4054" s="1">
        <v>19622.0</v>
      </c>
      <c r="C4054" s="1">
        <v>1.623076987E9</v>
      </c>
      <c r="D4054" s="1">
        <v>4.0</v>
      </c>
      <c r="E4054" s="1" t="b">
        <v>0</v>
      </c>
      <c r="F4054" s="1" t="s">
        <v>17859</v>
      </c>
    </row>
    <row r="4055">
      <c r="A4055" s="1">
        <v>49996.0</v>
      </c>
      <c r="B4055" s="1">
        <v>20375.0</v>
      </c>
      <c r="C4055" s="1">
        <v>1.624257449E9</v>
      </c>
      <c r="D4055" s="1">
        <v>4.0</v>
      </c>
      <c r="E4055" s="1" t="b">
        <v>0</v>
      </c>
      <c r="F4055" s="1" t="s">
        <v>17860</v>
      </c>
    </row>
    <row r="4056">
      <c r="A4056" s="1">
        <v>49996.0</v>
      </c>
      <c r="B4056" s="1">
        <v>20453.0</v>
      </c>
      <c r="C4056" s="1">
        <v>1.624377962E9</v>
      </c>
      <c r="D4056" s="1">
        <v>4.0</v>
      </c>
      <c r="E4056" s="1" t="b">
        <v>0</v>
      </c>
      <c r="F4056" s="1" t="s">
        <v>17861</v>
      </c>
    </row>
    <row r="4057">
      <c r="A4057" s="1">
        <v>49997.0</v>
      </c>
      <c r="B4057" s="1">
        <v>17519.0</v>
      </c>
      <c r="C4057" s="1">
        <v>1.620133369E9</v>
      </c>
      <c r="D4057" s="1">
        <v>4.0</v>
      </c>
      <c r="E4057" s="1" t="b">
        <v>0</v>
      </c>
      <c r="F4057" s="1" t="s">
        <v>17862</v>
      </c>
    </row>
    <row r="4058">
      <c r="A4058" s="1">
        <v>49997.0</v>
      </c>
      <c r="B4058" s="1">
        <v>19883.0</v>
      </c>
      <c r="C4058" s="1">
        <v>1.623424467E9</v>
      </c>
      <c r="D4058" s="1">
        <v>4.0</v>
      </c>
      <c r="E4058" s="1" t="b">
        <v>0</v>
      </c>
      <c r="F4058" s="1" t="s">
        <v>17863</v>
      </c>
    </row>
    <row r="4059">
      <c r="A4059" s="1">
        <v>49997.0</v>
      </c>
      <c r="B4059" s="1">
        <v>18325.0</v>
      </c>
      <c r="C4059" s="1">
        <v>1.621417406E9</v>
      </c>
      <c r="D4059" s="1">
        <v>4.0</v>
      </c>
      <c r="E4059" s="1" t="b">
        <v>0</v>
      </c>
      <c r="F4059" s="1" t="s">
        <v>17864</v>
      </c>
    </row>
    <row r="4060">
      <c r="A4060" s="1">
        <v>49997.0</v>
      </c>
      <c r="B4060" s="1">
        <v>20017.0</v>
      </c>
      <c r="C4060" s="1">
        <v>1.623647931E9</v>
      </c>
      <c r="D4060" s="1">
        <v>4.0</v>
      </c>
      <c r="E4060" s="1" t="b">
        <v>0</v>
      </c>
      <c r="F4060" s="1" t="s">
        <v>17865</v>
      </c>
    </row>
    <row r="4061">
      <c r="A4061" s="1">
        <v>49997.0</v>
      </c>
      <c r="B4061" s="1">
        <v>17651.0</v>
      </c>
      <c r="C4061" s="1">
        <v>1.620376458E9</v>
      </c>
      <c r="D4061" s="1">
        <v>4.0</v>
      </c>
      <c r="E4061" s="1" t="b">
        <v>0</v>
      </c>
      <c r="F4061" s="1" t="s">
        <v>17866</v>
      </c>
    </row>
    <row r="4062">
      <c r="A4062" s="1">
        <v>49997.0</v>
      </c>
      <c r="B4062" s="1">
        <v>18843.0</v>
      </c>
      <c r="C4062" s="1">
        <v>1.622030348E9</v>
      </c>
      <c r="D4062" s="1">
        <v>4.0</v>
      </c>
      <c r="E4062" s="1" t="b">
        <v>0</v>
      </c>
      <c r="F4062" s="1" t="s">
        <v>17867</v>
      </c>
    </row>
    <row r="4063">
      <c r="A4063" s="1">
        <v>49997.0</v>
      </c>
      <c r="B4063" s="1">
        <v>18960.0</v>
      </c>
      <c r="C4063" s="1">
        <v>1.622283464E9</v>
      </c>
      <c r="D4063" s="1">
        <v>4.0</v>
      </c>
      <c r="E4063" s="1" t="b">
        <v>0</v>
      </c>
      <c r="F4063" s="1" t="s">
        <v>15501</v>
      </c>
    </row>
    <row r="4064">
      <c r="A4064" s="1">
        <v>49997.0</v>
      </c>
      <c r="B4064" s="1">
        <v>19831.0</v>
      </c>
      <c r="C4064" s="1">
        <v>1.623352451E9</v>
      </c>
      <c r="D4064" s="1">
        <v>4.0</v>
      </c>
      <c r="E4064" s="1" t="b">
        <v>0</v>
      </c>
      <c r="F4064" s="1" t="s">
        <v>17868</v>
      </c>
    </row>
    <row r="4065">
      <c r="A4065" s="1">
        <v>49997.0</v>
      </c>
      <c r="B4065" s="1">
        <v>20431.0</v>
      </c>
      <c r="C4065" s="1">
        <v>1.624356556E9</v>
      </c>
      <c r="D4065" s="1">
        <v>4.0</v>
      </c>
      <c r="E4065" s="1" t="b">
        <v>0</v>
      </c>
      <c r="F4065" s="1" t="s">
        <v>17869</v>
      </c>
    </row>
    <row r="4066">
      <c r="A4066" s="1">
        <v>49997.0</v>
      </c>
      <c r="B4066" s="1">
        <v>17362.0</v>
      </c>
      <c r="C4066" s="1">
        <v>1.619531584E9</v>
      </c>
      <c r="D4066" s="1">
        <v>4.0</v>
      </c>
      <c r="E4066" s="1" t="b">
        <v>0</v>
      </c>
      <c r="F4066" s="1" t="s">
        <v>17870</v>
      </c>
    </row>
    <row r="4067">
      <c r="A4067" s="1">
        <v>49997.0</v>
      </c>
      <c r="B4067" s="1">
        <v>20410.0</v>
      </c>
      <c r="C4067" s="1">
        <v>1.624304702E9</v>
      </c>
      <c r="D4067" s="1">
        <v>9.0</v>
      </c>
      <c r="E4067" s="1" t="b">
        <v>0</v>
      </c>
      <c r="F4067" s="1" t="s">
        <v>17871</v>
      </c>
    </row>
    <row r="4068">
      <c r="A4068" s="1">
        <v>49997.0</v>
      </c>
      <c r="B4068" s="1">
        <v>17620.0</v>
      </c>
      <c r="C4068" s="1">
        <v>1.620323138E9</v>
      </c>
      <c r="D4068" s="1">
        <v>4.0</v>
      </c>
      <c r="E4068" s="1" t="b">
        <v>0</v>
      </c>
      <c r="F4068" s="1" t="s">
        <v>17872</v>
      </c>
    </row>
    <row r="4069">
      <c r="A4069" s="1">
        <v>49997.0</v>
      </c>
      <c r="B4069" s="1">
        <v>19811.0</v>
      </c>
      <c r="C4069" s="1">
        <v>1.623331335E9</v>
      </c>
      <c r="D4069" s="1">
        <v>4.0</v>
      </c>
      <c r="E4069" s="1" t="b">
        <v>0</v>
      </c>
      <c r="F4069" s="1" t="s">
        <v>17873</v>
      </c>
    </row>
    <row r="4070">
      <c r="A4070" s="1">
        <v>49997.0</v>
      </c>
      <c r="B4070" s="1">
        <v>18518.0</v>
      </c>
      <c r="C4070" s="1">
        <v>1.621677482E9</v>
      </c>
      <c r="D4070" s="1">
        <v>4.0</v>
      </c>
      <c r="E4070" s="1" t="b">
        <v>0</v>
      </c>
      <c r="F4070" s="1" t="s">
        <v>17874</v>
      </c>
    </row>
    <row r="4071">
      <c r="A4071" s="1">
        <v>49997.0</v>
      </c>
      <c r="B4071" s="1">
        <v>17004.0</v>
      </c>
      <c r="C4071" s="1">
        <v>1.618885255E9</v>
      </c>
      <c r="D4071" s="1">
        <v>4.0</v>
      </c>
      <c r="E4071" s="1" t="b">
        <v>0</v>
      </c>
      <c r="F4071" s="1" t="s">
        <v>17875</v>
      </c>
    </row>
    <row r="4072">
      <c r="A4072" s="1">
        <v>49997.0</v>
      </c>
      <c r="B4072" s="1">
        <v>20190.0</v>
      </c>
      <c r="C4072" s="1">
        <v>1.623907048E9</v>
      </c>
      <c r="D4072" s="1">
        <v>4.0</v>
      </c>
      <c r="E4072" s="1" t="b">
        <v>0</v>
      </c>
      <c r="F4072" s="1" t="s">
        <v>17876</v>
      </c>
    </row>
    <row r="4073">
      <c r="A4073" s="1">
        <v>49997.0</v>
      </c>
      <c r="B4073" s="1">
        <v>20304.0</v>
      </c>
      <c r="C4073" s="1">
        <v>1.624089661E9</v>
      </c>
      <c r="D4073" s="1">
        <v>4.0</v>
      </c>
      <c r="E4073" s="1" t="b">
        <v>0</v>
      </c>
      <c r="F4073" s="1" t="s">
        <v>17877</v>
      </c>
    </row>
    <row r="4074">
      <c r="A4074" s="1">
        <v>49997.0</v>
      </c>
      <c r="B4074" s="1">
        <v>19562.0</v>
      </c>
      <c r="C4074" s="1">
        <v>1.622989155E9</v>
      </c>
      <c r="D4074" s="1">
        <v>4.0</v>
      </c>
      <c r="E4074" s="1" t="b">
        <v>0</v>
      </c>
      <c r="F4074" s="1" t="s">
        <v>17878</v>
      </c>
    </row>
    <row r="4075">
      <c r="A4075" s="1">
        <v>49997.0</v>
      </c>
      <c r="B4075" s="1">
        <v>17592.0</v>
      </c>
      <c r="C4075" s="1">
        <v>1.620276802E9</v>
      </c>
      <c r="D4075" s="1">
        <v>4.0</v>
      </c>
      <c r="E4075" s="1" t="b">
        <v>0</v>
      </c>
      <c r="F4075" s="1" t="s">
        <v>17879</v>
      </c>
    </row>
    <row r="4076">
      <c r="A4076" s="1">
        <v>49997.0</v>
      </c>
      <c r="B4076" s="1">
        <v>1273.0</v>
      </c>
      <c r="C4076" s="1">
        <v>1.618482166E9</v>
      </c>
      <c r="D4076" s="1">
        <v>4.0</v>
      </c>
      <c r="E4076" s="1" t="b">
        <v>0</v>
      </c>
      <c r="F4076" s="1" t="s">
        <v>17880</v>
      </c>
    </row>
    <row r="4077">
      <c r="A4077" s="1">
        <v>49997.0</v>
      </c>
      <c r="B4077" s="1">
        <v>19137.0</v>
      </c>
      <c r="C4077" s="1">
        <v>1.622430313E9</v>
      </c>
      <c r="D4077" s="1">
        <v>4.0</v>
      </c>
      <c r="E4077" s="1" t="b">
        <v>0</v>
      </c>
      <c r="F4077" s="1" t="s">
        <v>17881</v>
      </c>
    </row>
    <row r="4078">
      <c r="A4078" s="1">
        <v>49997.0</v>
      </c>
      <c r="B4078" s="1">
        <v>18199.0</v>
      </c>
      <c r="C4078" s="1">
        <v>1.621264892E9</v>
      </c>
      <c r="D4078" s="1">
        <v>4.0</v>
      </c>
      <c r="E4078" s="1" t="b">
        <v>0</v>
      </c>
      <c r="F4078" s="1" t="s">
        <v>17882</v>
      </c>
    </row>
    <row r="4079">
      <c r="A4079" s="1">
        <v>49997.0</v>
      </c>
      <c r="B4079" s="1">
        <v>20297.0</v>
      </c>
      <c r="C4079" s="1">
        <v>1.624076774E9</v>
      </c>
      <c r="D4079" s="1">
        <v>4.0</v>
      </c>
      <c r="E4079" s="1" t="b">
        <v>0</v>
      </c>
      <c r="F4079" s="1" t="s">
        <v>17883</v>
      </c>
    </row>
    <row r="4080">
      <c r="A4080" s="1">
        <v>49997.0</v>
      </c>
      <c r="B4080" s="1">
        <v>17515.0</v>
      </c>
      <c r="C4080" s="1">
        <v>1.620125935E9</v>
      </c>
      <c r="D4080" s="1">
        <v>4.0</v>
      </c>
      <c r="E4080" s="1" t="b">
        <v>0</v>
      </c>
      <c r="F4080" s="1" t="s">
        <v>17884</v>
      </c>
    </row>
    <row r="4081">
      <c r="A4081" s="1">
        <v>49997.0</v>
      </c>
      <c r="B4081" s="1">
        <v>16979.0</v>
      </c>
      <c r="C4081" s="1">
        <v>1.618763025E9</v>
      </c>
      <c r="D4081" s="1">
        <v>4.0</v>
      </c>
      <c r="E4081" s="1" t="b">
        <v>0</v>
      </c>
      <c r="F4081" s="1" t="s">
        <v>17885</v>
      </c>
    </row>
    <row r="4082">
      <c r="A4082" s="1">
        <v>49997.0</v>
      </c>
      <c r="B4082" s="1">
        <v>20274.0</v>
      </c>
      <c r="C4082" s="1">
        <v>1.624015581E9</v>
      </c>
      <c r="D4082" s="1">
        <v>4.0</v>
      </c>
      <c r="E4082" s="1" t="b">
        <v>0</v>
      </c>
      <c r="F4082" s="1" t="s">
        <v>17886</v>
      </c>
    </row>
    <row r="4083">
      <c r="A4083" s="1">
        <v>49997.0</v>
      </c>
      <c r="B4083" s="1">
        <v>20254.0</v>
      </c>
      <c r="C4083" s="1">
        <v>1.623987946E9</v>
      </c>
      <c r="D4083" s="1">
        <v>4.0</v>
      </c>
      <c r="E4083" s="1" t="b">
        <v>0</v>
      </c>
      <c r="F4083" s="1" t="s">
        <v>17887</v>
      </c>
    </row>
    <row r="4084">
      <c r="A4084" s="1">
        <v>49997.0</v>
      </c>
      <c r="B4084" s="1">
        <v>18966.0</v>
      </c>
      <c r="C4084" s="1">
        <v>1.622193776E9</v>
      </c>
      <c r="D4084" s="1">
        <v>4.0</v>
      </c>
      <c r="E4084" s="1" t="b">
        <v>0</v>
      </c>
      <c r="F4084" s="1" t="s">
        <v>17888</v>
      </c>
    </row>
    <row r="4085">
      <c r="A4085" s="1">
        <v>49997.0</v>
      </c>
      <c r="B4085" s="1">
        <v>19120.0</v>
      </c>
      <c r="C4085" s="1">
        <v>1.62240361E9</v>
      </c>
      <c r="D4085" s="1">
        <v>4.0</v>
      </c>
      <c r="E4085" s="1" t="b">
        <v>0</v>
      </c>
      <c r="F4085" s="1" t="s">
        <v>17889</v>
      </c>
    </row>
    <row r="4086">
      <c r="A4086" s="1">
        <v>49997.0</v>
      </c>
      <c r="B4086" s="1">
        <v>17613.0</v>
      </c>
      <c r="C4086" s="1">
        <v>1.620381739E9</v>
      </c>
      <c r="D4086" s="1">
        <v>4.0</v>
      </c>
      <c r="E4086" s="1" t="b">
        <v>0</v>
      </c>
      <c r="F4086" s="1" t="s">
        <v>17890</v>
      </c>
    </row>
    <row r="4087">
      <c r="A4087" s="1">
        <v>49997.0</v>
      </c>
      <c r="B4087" s="1">
        <v>19966.0</v>
      </c>
      <c r="C4087" s="1">
        <v>1.623563786E9</v>
      </c>
      <c r="D4087" s="1">
        <v>4.0</v>
      </c>
      <c r="E4087" s="1" t="b">
        <v>0</v>
      </c>
      <c r="F4087" s="1" t="s">
        <v>17891</v>
      </c>
    </row>
    <row r="4088">
      <c r="A4088" s="1">
        <v>49997.0</v>
      </c>
      <c r="B4088" s="1">
        <v>19008.0</v>
      </c>
      <c r="C4088" s="1">
        <v>1.622303828E9</v>
      </c>
      <c r="D4088" s="1">
        <v>4.0</v>
      </c>
      <c r="E4088" s="1" t="b">
        <v>0</v>
      </c>
      <c r="F4088" s="1" t="s">
        <v>17892</v>
      </c>
    </row>
    <row r="4089">
      <c r="A4089" s="1">
        <v>49997.0</v>
      </c>
      <c r="B4089" s="1">
        <v>17352.0</v>
      </c>
      <c r="C4089" s="1">
        <v>1.619531571E9</v>
      </c>
      <c r="D4089" s="1">
        <v>4.0</v>
      </c>
      <c r="E4089" s="1" t="b">
        <v>0</v>
      </c>
      <c r="F4089" s="1" t="s">
        <v>17893</v>
      </c>
    </row>
    <row r="4090">
      <c r="A4090" s="1">
        <v>49997.0</v>
      </c>
      <c r="B4090" s="1">
        <v>20236.0</v>
      </c>
      <c r="C4090" s="1">
        <v>1.623951633E9</v>
      </c>
      <c r="D4090" s="1">
        <v>4.0</v>
      </c>
      <c r="E4090" s="1" t="b">
        <v>0</v>
      </c>
      <c r="F4090" s="1" t="s">
        <v>17894</v>
      </c>
    </row>
    <row r="4091">
      <c r="A4091" s="1">
        <v>49997.0</v>
      </c>
      <c r="B4091" s="1">
        <v>17480.0</v>
      </c>
      <c r="C4091" s="1">
        <v>1.619865481E9</v>
      </c>
      <c r="D4091" s="1">
        <v>4.0</v>
      </c>
      <c r="E4091" s="1" t="b">
        <v>0</v>
      </c>
      <c r="F4091" s="1" t="s">
        <v>17895</v>
      </c>
    </row>
    <row r="4092">
      <c r="A4092" s="1">
        <v>49997.0</v>
      </c>
      <c r="B4092" s="1">
        <v>17844.0</v>
      </c>
      <c r="C4092" s="1">
        <v>1.6205788E9</v>
      </c>
      <c r="D4092" s="1">
        <v>4.0</v>
      </c>
      <c r="E4092" s="1" t="b">
        <v>0</v>
      </c>
      <c r="F4092" s="1" t="s">
        <v>17896</v>
      </c>
    </row>
    <row r="4093">
      <c r="A4093" s="1">
        <v>49997.0</v>
      </c>
      <c r="B4093" s="1">
        <v>17617.0</v>
      </c>
      <c r="C4093" s="1">
        <v>1.620318039E9</v>
      </c>
      <c r="D4093" s="1">
        <v>9.0</v>
      </c>
      <c r="E4093" s="1" t="b">
        <v>0</v>
      </c>
      <c r="F4093" s="1" t="s">
        <v>17897</v>
      </c>
    </row>
    <row r="4094">
      <c r="A4094" s="1">
        <v>49997.0</v>
      </c>
      <c r="B4094" s="1">
        <v>18678.0</v>
      </c>
      <c r="C4094" s="1">
        <v>1.621871364E9</v>
      </c>
      <c r="D4094" s="1">
        <v>4.0</v>
      </c>
      <c r="E4094" s="1" t="b">
        <v>0</v>
      </c>
      <c r="F4094" s="1" t="s">
        <v>17898</v>
      </c>
    </row>
    <row r="4095">
      <c r="A4095" s="1">
        <v>49997.0</v>
      </c>
      <c r="B4095" s="1">
        <v>16967.0</v>
      </c>
      <c r="C4095" s="1">
        <v>1.618763005E9</v>
      </c>
      <c r="D4095" s="1">
        <v>4.0</v>
      </c>
      <c r="E4095" s="1" t="b">
        <v>0</v>
      </c>
      <c r="F4095" s="1" t="s">
        <v>17899</v>
      </c>
    </row>
    <row r="4096">
      <c r="A4096" s="1">
        <v>49997.0</v>
      </c>
      <c r="B4096" s="1">
        <v>18437.0</v>
      </c>
      <c r="C4096" s="1">
        <v>1.621604595E9</v>
      </c>
      <c r="D4096" s="1">
        <v>4.0</v>
      </c>
      <c r="E4096" s="1" t="b">
        <v>0</v>
      </c>
      <c r="F4096" s="1" t="s">
        <v>16540</v>
      </c>
    </row>
    <row r="4097">
      <c r="A4097" s="1">
        <v>49997.0</v>
      </c>
      <c r="B4097" s="1">
        <v>16836.0</v>
      </c>
      <c r="C4097" s="1">
        <v>1.618400864E9</v>
      </c>
      <c r="D4097" s="1">
        <v>4.0</v>
      </c>
      <c r="E4097" s="1" t="b">
        <v>0</v>
      </c>
      <c r="F4097" s="1" t="s">
        <v>17900</v>
      </c>
    </row>
    <row r="4098">
      <c r="A4098" s="1">
        <v>49997.0</v>
      </c>
      <c r="B4098" s="1">
        <v>20022.0</v>
      </c>
      <c r="C4098" s="1">
        <v>1.62365332E9</v>
      </c>
      <c r="D4098" s="1">
        <v>4.0</v>
      </c>
      <c r="E4098" s="1" t="b">
        <v>0</v>
      </c>
      <c r="F4098" s="1" t="s">
        <v>17901</v>
      </c>
    </row>
    <row r="4099">
      <c r="A4099" s="1">
        <v>49997.0</v>
      </c>
      <c r="B4099" s="1">
        <v>17731.0</v>
      </c>
      <c r="C4099" s="1">
        <v>1.620490667E9</v>
      </c>
      <c r="D4099" s="1">
        <v>4.0</v>
      </c>
      <c r="E4099" s="1" t="b">
        <v>0</v>
      </c>
      <c r="F4099" s="1" t="s">
        <v>17902</v>
      </c>
    </row>
    <row r="4100">
      <c r="A4100" s="1">
        <v>49997.0</v>
      </c>
      <c r="B4100" s="1">
        <v>17923.0</v>
      </c>
      <c r="C4100" s="1">
        <v>1.620656544E9</v>
      </c>
      <c r="D4100" s="1">
        <v>4.0</v>
      </c>
      <c r="E4100" s="1" t="b">
        <v>0</v>
      </c>
      <c r="F4100" s="1" t="s">
        <v>17903</v>
      </c>
    </row>
    <row r="4101">
      <c r="A4101" s="1">
        <v>49997.0</v>
      </c>
      <c r="B4101" s="1">
        <v>16899.0</v>
      </c>
      <c r="C4101" s="1">
        <v>1.618569986E9</v>
      </c>
      <c r="D4101" s="1">
        <v>4.0</v>
      </c>
      <c r="E4101" s="1" t="b">
        <v>0</v>
      </c>
      <c r="F4101" s="1" t="s">
        <v>17904</v>
      </c>
    </row>
    <row r="4102">
      <c r="A4102" s="1">
        <v>49997.0</v>
      </c>
      <c r="B4102" s="1">
        <v>16926.0</v>
      </c>
      <c r="C4102" s="1">
        <v>1.618650298E9</v>
      </c>
      <c r="D4102" s="1">
        <v>4.0</v>
      </c>
      <c r="E4102" s="1" t="b">
        <v>0</v>
      </c>
      <c r="F4102" s="1" t="s">
        <v>17905</v>
      </c>
    </row>
    <row r="4103">
      <c r="A4103" s="1">
        <v>49997.0</v>
      </c>
      <c r="B4103" s="1">
        <v>19275.0</v>
      </c>
      <c r="C4103" s="1">
        <v>1.622565278E9</v>
      </c>
      <c r="D4103" s="1">
        <v>4.0</v>
      </c>
      <c r="E4103" s="1" t="b">
        <v>0</v>
      </c>
      <c r="F4103" s="1" t="s">
        <v>17906</v>
      </c>
    </row>
    <row r="4104">
      <c r="A4104" s="1">
        <v>49997.0</v>
      </c>
      <c r="B4104" s="1">
        <v>19442.0</v>
      </c>
      <c r="C4104" s="1">
        <v>1.622728149E9</v>
      </c>
      <c r="D4104" s="1">
        <v>4.0</v>
      </c>
      <c r="E4104" s="1" t="b">
        <v>0</v>
      </c>
      <c r="F4104" s="1" t="s">
        <v>17907</v>
      </c>
    </row>
    <row r="4105">
      <c r="A4105" s="1">
        <v>49997.0</v>
      </c>
      <c r="B4105" s="1">
        <v>19929.0</v>
      </c>
      <c r="C4105" s="1">
        <v>1.623510833E9</v>
      </c>
      <c r="D4105" s="1">
        <v>4.0</v>
      </c>
      <c r="E4105" s="1" t="b">
        <v>0</v>
      </c>
      <c r="F4105" s="1" t="s">
        <v>17908</v>
      </c>
    </row>
    <row r="4106">
      <c r="A4106" s="1">
        <v>49997.0</v>
      </c>
      <c r="B4106" s="1">
        <v>19648.0</v>
      </c>
      <c r="C4106" s="1">
        <v>1.623090949E9</v>
      </c>
      <c r="D4106" s="1">
        <v>4.0</v>
      </c>
      <c r="E4106" s="1" t="b">
        <v>0</v>
      </c>
      <c r="F4106" s="1" t="s">
        <v>17909</v>
      </c>
    </row>
    <row r="4107">
      <c r="A4107" s="1">
        <v>49997.0</v>
      </c>
      <c r="B4107" s="1">
        <v>20067.0</v>
      </c>
      <c r="C4107" s="1">
        <v>1.62373214E9</v>
      </c>
      <c r="D4107" s="1">
        <v>4.0</v>
      </c>
      <c r="E4107" s="1" t="b">
        <v>0</v>
      </c>
      <c r="F4107" s="1" t="s">
        <v>17910</v>
      </c>
    </row>
    <row r="4108">
      <c r="A4108" s="1">
        <v>49997.0</v>
      </c>
      <c r="B4108" s="1">
        <v>18715.0</v>
      </c>
      <c r="C4108" s="1">
        <v>1.621867871E9</v>
      </c>
      <c r="D4108" s="1">
        <v>4.0</v>
      </c>
      <c r="E4108" s="1" t="b">
        <v>0</v>
      </c>
      <c r="F4108" s="1" t="s">
        <v>17911</v>
      </c>
    </row>
    <row r="4109">
      <c r="A4109" s="1">
        <v>49997.0</v>
      </c>
      <c r="B4109" s="1">
        <v>18717.0</v>
      </c>
      <c r="C4109" s="1">
        <v>1.621869443E9</v>
      </c>
      <c r="D4109" s="1">
        <v>4.0</v>
      </c>
      <c r="E4109" s="1" t="b">
        <v>0</v>
      </c>
      <c r="F4109" s="1" t="s">
        <v>17912</v>
      </c>
    </row>
    <row r="4110">
      <c r="A4110" s="1">
        <v>49997.0</v>
      </c>
      <c r="B4110" s="1">
        <v>19649.0</v>
      </c>
      <c r="C4110" s="1">
        <v>1.623126256E9</v>
      </c>
      <c r="D4110" s="1">
        <v>4.0</v>
      </c>
      <c r="E4110" s="1" t="b">
        <v>0</v>
      </c>
      <c r="F4110" s="1" t="s">
        <v>17913</v>
      </c>
    </row>
    <row r="4111">
      <c r="A4111" s="1">
        <v>49997.0</v>
      </c>
      <c r="B4111" s="1">
        <v>16966.0</v>
      </c>
      <c r="C4111" s="1">
        <v>1.618763289E9</v>
      </c>
      <c r="D4111" s="1">
        <v>4.0</v>
      </c>
      <c r="E4111" s="1" t="b">
        <v>0</v>
      </c>
      <c r="F4111" s="1" t="s">
        <v>17914</v>
      </c>
    </row>
    <row r="4112">
      <c r="A4112" s="1">
        <v>49997.0</v>
      </c>
      <c r="B4112" s="1">
        <v>17241.0</v>
      </c>
      <c r="C4112" s="1">
        <v>1.619279697E9</v>
      </c>
      <c r="D4112" s="1">
        <v>4.0</v>
      </c>
      <c r="E4112" s="1" t="b">
        <v>0</v>
      </c>
      <c r="F4112" s="1" t="s">
        <v>17915</v>
      </c>
    </row>
    <row r="4113">
      <c r="A4113" s="1">
        <v>49997.0</v>
      </c>
      <c r="B4113" s="1">
        <v>18424.0</v>
      </c>
      <c r="C4113" s="1">
        <v>1.621604285E9</v>
      </c>
      <c r="D4113" s="1">
        <v>4.0</v>
      </c>
      <c r="E4113" s="1" t="b">
        <v>0</v>
      </c>
      <c r="F4113" s="1" t="s">
        <v>17916</v>
      </c>
    </row>
    <row r="4114">
      <c r="A4114" s="1">
        <v>49997.0</v>
      </c>
      <c r="B4114" s="1">
        <v>17082.0</v>
      </c>
      <c r="C4114" s="1">
        <v>1.619023314E9</v>
      </c>
      <c r="D4114" s="1">
        <v>4.0</v>
      </c>
      <c r="E4114" s="1" t="b">
        <v>0</v>
      </c>
      <c r="F4114" s="1" t="s">
        <v>17917</v>
      </c>
    </row>
    <row r="4115">
      <c r="A4115" s="1">
        <v>49997.0</v>
      </c>
      <c r="B4115" s="1">
        <v>19195.0</v>
      </c>
      <c r="C4115" s="1">
        <v>1.622469226E9</v>
      </c>
      <c r="D4115" s="1">
        <v>4.0</v>
      </c>
      <c r="E4115" s="1" t="b">
        <v>0</v>
      </c>
      <c r="F4115" s="1" t="s">
        <v>17918</v>
      </c>
    </row>
    <row r="4116">
      <c r="A4116" s="1">
        <v>49997.0</v>
      </c>
      <c r="B4116" s="1">
        <v>18833.0</v>
      </c>
      <c r="C4116" s="1">
        <v>1.622022023E9</v>
      </c>
      <c r="D4116" s="1">
        <v>4.0</v>
      </c>
      <c r="E4116" s="1" t="b">
        <v>0</v>
      </c>
      <c r="F4116" s="1" t="s">
        <v>17919</v>
      </c>
    </row>
    <row r="4117">
      <c r="A4117" s="1">
        <v>49997.0</v>
      </c>
      <c r="B4117" s="1">
        <v>19403.0</v>
      </c>
      <c r="C4117" s="1">
        <v>1.622694437E9</v>
      </c>
      <c r="D4117" s="1">
        <v>4.0</v>
      </c>
      <c r="E4117" s="1" t="b">
        <v>0</v>
      </c>
      <c r="F4117" s="1" t="s">
        <v>17920</v>
      </c>
    </row>
    <row r="4118">
      <c r="A4118" s="1">
        <v>49997.0</v>
      </c>
      <c r="B4118" s="1">
        <v>17479.0</v>
      </c>
      <c r="C4118" s="1">
        <v>1.619857857E9</v>
      </c>
      <c r="D4118" s="1">
        <v>4.0</v>
      </c>
      <c r="E4118" s="1" t="b">
        <v>0</v>
      </c>
      <c r="F4118" s="1" t="s">
        <v>17921</v>
      </c>
    </row>
    <row r="4119">
      <c r="A4119" s="1">
        <v>49997.0</v>
      </c>
      <c r="B4119" s="1">
        <v>18765.0</v>
      </c>
      <c r="C4119" s="1">
        <v>1.621931696E9</v>
      </c>
      <c r="D4119" s="1">
        <v>4.0</v>
      </c>
      <c r="E4119" s="1" t="b">
        <v>0</v>
      </c>
      <c r="F4119" s="1" t="s">
        <v>17922</v>
      </c>
    </row>
    <row r="4120">
      <c r="A4120" s="1">
        <v>49997.0</v>
      </c>
      <c r="B4120" s="1">
        <v>16965.0</v>
      </c>
      <c r="C4120" s="1">
        <v>1.618763096E9</v>
      </c>
      <c r="D4120" s="1">
        <v>4.0</v>
      </c>
      <c r="E4120" s="1" t="b">
        <v>0</v>
      </c>
      <c r="F4120" s="1" t="s">
        <v>17923</v>
      </c>
    </row>
    <row r="4121">
      <c r="A4121" s="1">
        <v>49997.0</v>
      </c>
      <c r="B4121" s="1">
        <v>18264.0</v>
      </c>
      <c r="C4121" s="1">
        <v>1.621307182E9</v>
      </c>
      <c r="D4121" s="1">
        <v>4.0</v>
      </c>
      <c r="E4121" s="1" t="b">
        <v>0</v>
      </c>
      <c r="F4121" s="1" t="s">
        <v>17924</v>
      </c>
    </row>
    <row r="4122">
      <c r="A4122" s="1">
        <v>49997.0</v>
      </c>
      <c r="B4122" s="1">
        <v>18317.0</v>
      </c>
      <c r="C4122" s="1">
        <v>1.621417394E9</v>
      </c>
      <c r="D4122" s="1">
        <v>4.0</v>
      </c>
      <c r="E4122" s="1" t="b">
        <v>0</v>
      </c>
      <c r="F4122" s="1" t="s">
        <v>17925</v>
      </c>
    </row>
    <row r="4123">
      <c r="A4123" s="1">
        <v>49997.0</v>
      </c>
      <c r="B4123" s="1">
        <v>18761.0</v>
      </c>
      <c r="C4123" s="1">
        <v>1.62193426E9</v>
      </c>
      <c r="D4123" s="1">
        <v>4.0</v>
      </c>
      <c r="E4123" s="1" t="b">
        <v>0</v>
      </c>
      <c r="F4123" s="1" t="s">
        <v>17926</v>
      </c>
    </row>
    <row r="4124">
      <c r="A4124" s="1">
        <v>49997.0</v>
      </c>
      <c r="B4124" s="1">
        <v>17356.0</v>
      </c>
      <c r="C4124" s="1">
        <v>1.619531574E9</v>
      </c>
      <c r="D4124" s="1">
        <v>4.0</v>
      </c>
      <c r="E4124" s="1" t="b">
        <v>0</v>
      </c>
      <c r="F4124" s="1" t="s">
        <v>17927</v>
      </c>
    </row>
    <row r="4125">
      <c r="A4125" s="1">
        <v>49997.0</v>
      </c>
      <c r="B4125" s="1">
        <v>17476.0</v>
      </c>
      <c r="C4125" s="1">
        <v>1.619857855E9</v>
      </c>
      <c r="D4125" s="1">
        <v>4.0</v>
      </c>
      <c r="E4125" s="1" t="b">
        <v>0</v>
      </c>
      <c r="F4125" s="1" t="s">
        <v>17928</v>
      </c>
    </row>
    <row r="4126">
      <c r="A4126" s="1">
        <v>49997.0</v>
      </c>
      <c r="B4126" s="1">
        <v>17475.0</v>
      </c>
      <c r="C4126" s="1">
        <v>1.619857845E9</v>
      </c>
      <c r="D4126" s="1">
        <v>4.0</v>
      </c>
      <c r="E4126" s="1" t="b">
        <v>0</v>
      </c>
      <c r="F4126" s="1" t="s">
        <v>17929</v>
      </c>
    </row>
    <row r="4127">
      <c r="A4127" s="1">
        <v>49997.0</v>
      </c>
      <c r="B4127" s="1">
        <v>20202.0</v>
      </c>
      <c r="C4127" s="1">
        <v>1.623923516E9</v>
      </c>
      <c r="D4127" s="1">
        <v>4.0</v>
      </c>
      <c r="E4127" s="1" t="b">
        <v>0</v>
      </c>
      <c r="F4127" s="1" t="s">
        <v>17930</v>
      </c>
    </row>
    <row r="4128">
      <c r="A4128" s="1">
        <v>49997.0</v>
      </c>
      <c r="B4128" s="1">
        <v>17513.0</v>
      </c>
      <c r="C4128" s="1">
        <v>1.620124616E9</v>
      </c>
      <c r="D4128" s="1">
        <v>4.0</v>
      </c>
      <c r="E4128" s="1" t="b">
        <v>0</v>
      </c>
      <c r="F4128" s="1" t="s">
        <v>17931</v>
      </c>
    </row>
    <row r="4129">
      <c r="A4129" s="1">
        <v>49997.0</v>
      </c>
      <c r="B4129" s="1">
        <v>16846.0</v>
      </c>
      <c r="C4129" s="1">
        <v>1.61848218E9</v>
      </c>
      <c r="D4129" s="1">
        <v>4.0</v>
      </c>
      <c r="E4129" s="1" t="b">
        <v>0</v>
      </c>
      <c r="F4129" s="1" t="s">
        <v>17932</v>
      </c>
    </row>
    <row r="4130">
      <c r="A4130" s="1">
        <v>49997.0</v>
      </c>
      <c r="B4130" s="1">
        <v>17506.0</v>
      </c>
      <c r="C4130" s="1">
        <v>1.620061942E9</v>
      </c>
      <c r="D4130" s="1">
        <v>4.0</v>
      </c>
      <c r="E4130" s="1" t="b">
        <v>0</v>
      </c>
      <c r="F4130" s="1" t="s">
        <v>17933</v>
      </c>
    </row>
    <row r="4131">
      <c r="A4131" s="1">
        <v>49997.0</v>
      </c>
      <c r="B4131" s="1">
        <v>17477.0</v>
      </c>
      <c r="C4131" s="1">
        <v>1.619857853E9</v>
      </c>
      <c r="D4131" s="1">
        <v>4.0</v>
      </c>
      <c r="E4131" s="1" t="b">
        <v>0</v>
      </c>
      <c r="F4131" s="1" t="s">
        <v>17934</v>
      </c>
    </row>
    <row r="4132">
      <c r="A4132" s="1">
        <v>49997.0</v>
      </c>
      <c r="B4132" s="1">
        <v>17632.0</v>
      </c>
      <c r="C4132" s="1">
        <v>1.620359959E9</v>
      </c>
      <c r="D4132" s="1">
        <v>4.0</v>
      </c>
      <c r="E4132" s="1" t="b">
        <v>0</v>
      </c>
      <c r="F4132" s="1" t="s">
        <v>17935</v>
      </c>
    </row>
    <row r="4133">
      <c r="A4133" s="1">
        <v>49997.0</v>
      </c>
      <c r="B4133" s="1">
        <v>19948.0</v>
      </c>
      <c r="C4133" s="1">
        <v>1.623519908E9</v>
      </c>
      <c r="D4133" s="1">
        <v>4.0</v>
      </c>
      <c r="E4133" s="1" t="b">
        <v>0</v>
      </c>
      <c r="F4133" s="1" t="s">
        <v>17936</v>
      </c>
    </row>
    <row r="4134">
      <c r="A4134" s="1">
        <v>49997.0</v>
      </c>
      <c r="B4134" s="1">
        <v>18976.0</v>
      </c>
      <c r="C4134" s="1">
        <v>1.622203283E9</v>
      </c>
      <c r="D4134" s="1">
        <v>4.0</v>
      </c>
      <c r="E4134" s="1" t="b">
        <v>0</v>
      </c>
      <c r="F4134" s="1" t="s">
        <v>17937</v>
      </c>
    </row>
    <row r="4135">
      <c r="A4135" s="1">
        <v>49997.0</v>
      </c>
      <c r="B4135" s="1">
        <v>19388.0</v>
      </c>
      <c r="C4135" s="1">
        <v>1.622652876E9</v>
      </c>
      <c r="D4135" s="1">
        <v>4.0</v>
      </c>
      <c r="E4135" s="1" t="b">
        <v>0</v>
      </c>
      <c r="F4135" s="1" t="s">
        <v>17938</v>
      </c>
    </row>
    <row r="4136">
      <c r="A4136" s="1">
        <v>49997.0</v>
      </c>
      <c r="B4136" s="1">
        <v>5419.0</v>
      </c>
      <c r="C4136" s="1">
        <v>1.618658049E9</v>
      </c>
      <c r="D4136" s="1">
        <v>4.0</v>
      </c>
      <c r="E4136" s="1" t="b">
        <v>0</v>
      </c>
      <c r="F4136" s="1" t="s">
        <v>17939</v>
      </c>
    </row>
    <row r="4137">
      <c r="A4137" s="1">
        <v>49997.0</v>
      </c>
      <c r="B4137" s="1">
        <v>19283.0</v>
      </c>
      <c r="C4137" s="1">
        <v>1.622636821E9</v>
      </c>
      <c r="D4137" s="1">
        <v>4.0</v>
      </c>
      <c r="E4137" s="1" t="b">
        <v>0</v>
      </c>
      <c r="F4137" s="1" t="s">
        <v>17940</v>
      </c>
    </row>
    <row r="4138">
      <c r="A4138" s="1">
        <v>49997.0</v>
      </c>
      <c r="B4138" s="1">
        <v>17007.0</v>
      </c>
      <c r="C4138" s="1">
        <v>1.61891006E9</v>
      </c>
      <c r="D4138" s="1">
        <v>4.0</v>
      </c>
      <c r="E4138" s="1" t="b">
        <v>0</v>
      </c>
      <c r="F4138" s="1" t="s">
        <v>17941</v>
      </c>
    </row>
    <row r="4139">
      <c r="A4139" s="1">
        <v>49997.0</v>
      </c>
      <c r="B4139" s="1">
        <v>20273.0</v>
      </c>
      <c r="C4139" s="1">
        <v>1.624014508E9</v>
      </c>
      <c r="D4139" s="1">
        <v>4.0</v>
      </c>
      <c r="E4139" s="1" t="b">
        <v>0</v>
      </c>
      <c r="F4139" s="1" t="s">
        <v>17942</v>
      </c>
    </row>
    <row r="4140">
      <c r="A4140" s="1">
        <v>49997.0</v>
      </c>
      <c r="B4140" s="1">
        <v>17177.0</v>
      </c>
      <c r="C4140" s="1">
        <v>1.61916825E9</v>
      </c>
      <c r="D4140" s="1">
        <v>4.0</v>
      </c>
      <c r="E4140" s="1" t="b">
        <v>0</v>
      </c>
      <c r="F4140" s="1" t="s">
        <v>17943</v>
      </c>
    </row>
    <row r="4141">
      <c r="A4141" s="1">
        <v>49997.0</v>
      </c>
      <c r="B4141" s="1">
        <v>20094.0</v>
      </c>
      <c r="C4141" s="1">
        <v>1.623763443E9</v>
      </c>
      <c r="D4141" s="1">
        <v>4.0</v>
      </c>
      <c r="E4141" s="1" t="b">
        <v>0</v>
      </c>
      <c r="F4141" s="1" t="s">
        <v>17944</v>
      </c>
    </row>
    <row r="4142">
      <c r="A4142" s="1">
        <v>49997.0</v>
      </c>
      <c r="B4142" s="1">
        <v>16004.0</v>
      </c>
      <c r="C4142" s="1">
        <v>1.617025197E9</v>
      </c>
      <c r="D4142" s="1">
        <v>1.0</v>
      </c>
      <c r="E4142" s="1" t="b">
        <v>1</v>
      </c>
      <c r="F4142" s="1" t="s">
        <v>17945</v>
      </c>
    </row>
    <row r="4143">
      <c r="A4143" s="1">
        <v>49997.0</v>
      </c>
      <c r="B4143" s="1">
        <v>16907.0</v>
      </c>
      <c r="C4143" s="1">
        <v>1.618570003E9</v>
      </c>
      <c r="D4143" s="1">
        <v>4.0</v>
      </c>
      <c r="E4143" s="1" t="b">
        <v>0</v>
      </c>
      <c r="F4143" s="1" t="s">
        <v>17946</v>
      </c>
    </row>
    <row r="4144">
      <c r="A4144" s="1">
        <v>49997.0</v>
      </c>
      <c r="B4144" s="1">
        <v>19202.0</v>
      </c>
      <c r="C4144" s="1">
        <v>1.622472772E9</v>
      </c>
      <c r="D4144" s="1">
        <v>4.0</v>
      </c>
      <c r="E4144" s="1" t="b">
        <v>0</v>
      </c>
      <c r="F4144" s="1" t="s">
        <v>17947</v>
      </c>
    </row>
    <row r="4145">
      <c r="A4145" s="1">
        <v>49997.0</v>
      </c>
      <c r="B4145" s="1">
        <v>19261.0</v>
      </c>
      <c r="C4145" s="1">
        <v>1.622539292E9</v>
      </c>
      <c r="D4145" s="1">
        <v>4.0</v>
      </c>
      <c r="E4145" s="1" t="b">
        <v>0</v>
      </c>
      <c r="F4145" s="1" t="s">
        <v>17948</v>
      </c>
    </row>
    <row r="4146">
      <c r="A4146" s="1">
        <v>49997.0</v>
      </c>
      <c r="B4146" s="1">
        <v>16949.0</v>
      </c>
      <c r="C4146" s="1">
        <v>1.618672191E9</v>
      </c>
      <c r="D4146" s="1">
        <v>4.0</v>
      </c>
      <c r="E4146" s="1" t="b">
        <v>0</v>
      </c>
      <c r="F4146" s="1" t="s">
        <v>17949</v>
      </c>
    </row>
    <row r="4147">
      <c r="A4147" s="1">
        <v>49997.0</v>
      </c>
      <c r="B4147" s="1">
        <v>20164.0</v>
      </c>
      <c r="C4147" s="1">
        <v>1.623853146E9</v>
      </c>
      <c r="D4147" s="1">
        <v>4.0</v>
      </c>
      <c r="E4147" s="1" t="b">
        <v>0</v>
      </c>
      <c r="F4147" s="1" t="s">
        <v>17950</v>
      </c>
    </row>
    <row r="4148">
      <c r="A4148" s="1">
        <v>49997.0</v>
      </c>
      <c r="B4148" s="1">
        <v>16848.0</v>
      </c>
      <c r="C4148" s="1">
        <v>1.619168006E9</v>
      </c>
      <c r="D4148" s="1">
        <v>4.0</v>
      </c>
      <c r="E4148" s="1" t="b">
        <v>0</v>
      </c>
      <c r="F4148" s="1" t="s">
        <v>17951</v>
      </c>
    </row>
    <row r="4149">
      <c r="A4149" s="1">
        <v>49997.0</v>
      </c>
      <c r="B4149" s="1">
        <v>17913.0</v>
      </c>
      <c r="C4149" s="1">
        <v>1.620739924E9</v>
      </c>
      <c r="D4149" s="1">
        <v>4.0</v>
      </c>
      <c r="E4149" s="1" t="b">
        <v>0</v>
      </c>
      <c r="F4149" s="1" t="s">
        <v>17952</v>
      </c>
    </row>
    <row r="4150">
      <c r="A4150" s="1">
        <v>49997.0</v>
      </c>
      <c r="B4150" s="1">
        <v>17443.0</v>
      </c>
      <c r="C4150" s="1">
        <v>1.61970641E9</v>
      </c>
      <c r="D4150" s="1">
        <v>4.0</v>
      </c>
      <c r="E4150" s="1" t="b">
        <v>0</v>
      </c>
      <c r="F4150" s="1" t="s">
        <v>17953</v>
      </c>
    </row>
    <row r="4151">
      <c r="A4151" s="1">
        <v>49997.0</v>
      </c>
      <c r="B4151" s="1">
        <v>17440.0</v>
      </c>
      <c r="C4151" s="1">
        <v>1.619700946E9</v>
      </c>
      <c r="D4151" s="1">
        <v>4.0</v>
      </c>
      <c r="E4151" s="1" t="b">
        <v>0</v>
      </c>
      <c r="F4151" s="1" t="s">
        <v>17954</v>
      </c>
    </row>
    <row r="4152">
      <c r="A4152" s="1">
        <v>49997.0</v>
      </c>
      <c r="B4152" s="1">
        <v>17783.0</v>
      </c>
      <c r="C4152" s="1">
        <v>1.620528505E9</v>
      </c>
      <c r="D4152" s="1">
        <v>4.0</v>
      </c>
      <c r="E4152" s="1" t="b">
        <v>0</v>
      </c>
      <c r="F4152" s="1" t="s">
        <v>17955</v>
      </c>
    </row>
    <row r="4153">
      <c r="A4153" s="1">
        <v>49997.0</v>
      </c>
      <c r="B4153" s="1">
        <v>19801.0</v>
      </c>
      <c r="C4153" s="1">
        <v>1.623322492E9</v>
      </c>
      <c r="D4153" s="1">
        <v>4.0</v>
      </c>
      <c r="E4153" s="1" t="b">
        <v>0</v>
      </c>
      <c r="F4153" s="1" t="s">
        <v>17956</v>
      </c>
    </row>
    <row r="4154">
      <c r="A4154" s="1">
        <v>49997.0</v>
      </c>
      <c r="B4154" s="1">
        <v>17176.0</v>
      </c>
      <c r="C4154" s="1">
        <v>1.619185096E9</v>
      </c>
      <c r="D4154" s="1">
        <v>4.0</v>
      </c>
      <c r="E4154" s="1" t="b">
        <v>0</v>
      </c>
      <c r="F4154" s="1" t="s">
        <v>17957</v>
      </c>
    </row>
    <row r="4155">
      <c r="A4155" s="1">
        <v>49997.0</v>
      </c>
      <c r="B4155" s="1">
        <v>17473.0</v>
      </c>
      <c r="C4155" s="1">
        <v>1.619839037E9</v>
      </c>
      <c r="D4155" s="1">
        <v>4.0</v>
      </c>
      <c r="E4155" s="1" t="b">
        <v>0</v>
      </c>
      <c r="F4155" s="1" t="s">
        <v>17958</v>
      </c>
    </row>
    <row r="4156">
      <c r="A4156" s="1">
        <v>49997.0</v>
      </c>
      <c r="B4156" s="1">
        <v>18215.0</v>
      </c>
      <c r="C4156" s="1">
        <v>1.621264878E9</v>
      </c>
      <c r="D4156" s="1">
        <v>4.0</v>
      </c>
      <c r="E4156" s="1" t="b">
        <v>0</v>
      </c>
      <c r="F4156" s="1" t="s">
        <v>17959</v>
      </c>
    </row>
    <row r="4157">
      <c r="A4157" s="1">
        <v>49997.0</v>
      </c>
      <c r="B4157" s="1">
        <v>18946.0</v>
      </c>
      <c r="C4157" s="1">
        <v>1.622183384E9</v>
      </c>
      <c r="D4157" s="1">
        <v>4.0</v>
      </c>
      <c r="E4157" s="1" t="b">
        <v>0</v>
      </c>
      <c r="F4157" s="1" t="s">
        <v>17960</v>
      </c>
    </row>
    <row r="4158">
      <c r="A4158" s="1">
        <v>49997.0</v>
      </c>
      <c r="B4158" s="1">
        <v>16934.0</v>
      </c>
      <c r="C4158" s="1">
        <v>1.618910074E9</v>
      </c>
      <c r="D4158" s="1">
        <v>4.0</v>
      </c>
      <c r="E4158" s="1" t="b">
        <v>0</v>
      </c>
      <c r="F4158" s="1" t="s">
        <v>17462</v>
      </c>
    </row>
    <row r="4159">
      <c r="A4159" s="1">
        <v>49997.0</v>
      </c>
      <c r="B4159" s="1">
        <v>17671.0</v>
      </c>
      <c r="C4159" s="1">
        <v>1.62046329E9</v>
      </c>
      <c r="D4159" s="1">
        <v>4.0</v>
      </c>
      <c r="E4159" s="1" t="b">
        <v>0</v>
      </c>
      <c r="F4159" s="1" t="s">
        <v>17961</v>
      </c>
    </row>
    <row r="4160">
      <c r="A4160" s="1">
        <v>49997.0</v>
      </c>
      <c r="B4160" s="1">
        <v>19168.0</v>
      </c>
      <c r="C4160" s="1">
        <v>1.622456153E9</v>
      </c>
      <c r="D4160" s="1">
        <v>4.0</v>
      </c>
      <c r="E4160" s="1" t="b">
        <v>0</v>
      </c>
      <c r="F4160" s="1" t="s">
        <v>17962</v>
      </c>
    </row>
    <row r="4161">
      <c r="A4161" s="1">
        <v>49997.0</v>
      </c>
      <c r="B4161" s="1">
        <v>17243.0</v>
      </c>
      <c r="C4161" s="1">
        <v>1.619279717E9</v>
      </c>
      <c r="D4161" s="1">
        <v>4.0</v>
      </c>
      <c r="E4161" s="1" t="b">
        <v>0</v>
      </c>
      <c r="F4161" s="1" t="s">
        <v>17963</v>
      </c>
    </row>
    <row r="4162">
      <c r="A4162" s="1">
        <v>49997.0</v>
      </c>
      <c r="B4162" s="1">
        <v>17798.0</v>
      </c>
      <c r="C4162" s="1">
        <v>1.620539785E9</v>
      </c>
      <c r="D4162" s="1">
        <v>4.0</v>
      </c>
      <c r="E4162" s="1" t="b">
        <v>0</v>
      </c>
      <c r="F4162" s="1" t="s">
        <v>17964</v>
      </c>
    </row>
    <row r="4163">
      <c r="A4163" s="1">
        <v>49997.0</v>
      </c>
      <c r="B4163" s="1">
        <v>17286.0</v>
      </c>
      <c r="C4163" s="1">
        <v>1.619364426E9</v>
      </c>
      <c r="D4163" s="1">
        <v>4.0</v>
      </c>
      <c r="E4163" s="1" t="b">
        <v>0</v>
      </c>
      <c r="F4163" s="1" t="s">
        <v>17965</v>
      </c>
    </row>
    <row r="4164">
      <c r="A4164" s="1">
        <v>49997.0</v>
      </c>
      <c r="B4164" s="1">
        <v>20068.0</v>
      </c>
      <c r="C4164" s="1">
        <v>1.623732399E9</v>
      </c>
      <c r="D4164" s="1">
        <v>4.0</v>
      </c>
      <c r="E4164" s="1" t="b">
        <v>0</v>
      </c>
      <c r="F4164" s="1" t="s">
        <v>17966</v>
      </c>
    </row>
    <row r="4165">
      <c r="A4165" s="1">
        <v>49997.0</v>
      </c>
      <c r="B4165" s="1">
        <v>20154.0</v>
      </c>
      <c r="C4165" s="1">
        <v>1.623840853E9</v>
      </c>
      <c r="D4165" s="1">
        <v>9.0</v>
      </c>
      <c r="E4165" s="1" t="b">
        <v>0</v>
      </c>
      <c r="F4165" s="1" t="s">
        <v>17967</v>
      </c>
    </row>
    <row r="4166">
      <c r="A4166" s="1">
        <v>49997.0</v>
      </c>
      <c r="B4166" s="1">
        <v>20173.0</v>
      </c>
      <c r="C4166" s="1">
        <v>1.623865582E9</v>
      </c>
      <c r="D4166" s="1">
        <v>4.0</v>
      </c>
      <c r="E4166" s="1" t="b">
        <v>0</v>
      </c>
      <c r="F4166" s="1" t="s">
        <v>17968</v>
      </c>
    </row>
    <row r="4167">
      <c r="A4167" s="1">
        <v>49997.0</v>
      </c>
      <c r="B4167" s="1">
        <v>20337.0</v>
      </c>
      <c r="C4167" s="1">
        <v>1.624160711E9</v>
      </c>
      <c r="D4167" s="1">
        <v>4.0</v>
      </c>
      <c r="E4167" s="1" t="b">
        <v>0</v>
      </c>
      <c r="F4167" s="1" t="s">
        <v>17969</v>
      </c>
    </row>
    <row r="4168">
      <c r="A4168" s="1">
        <v>49997.0</v>
      </c>
      <c r="B4168" s="1">
        <v>17180.0</v>
      </c>
      <c r="C4168" s="1">
        <v>1.619445424E9</v>
      </c>
      <c r="D4168" s="1">
        <v>4.0</v>
      </c>
      <c r="E4168" s="1" t="b">
        <v>0</v>
      </c>
      <c r="F4168" s="1" t="s">
        <v>17970</v>
      </c>
    </row>
    <row r="4169">
      <c r="A4169" s="1">
        <v>49997.0</v>
      </c>
      <c r="B4169" s="1">
        <v>19603.0</v>
      </c>
      <c r="C4169" s="1">
        <v>1.623057978E9</v>
      </c>
      <c r="D4169" s="1">
        <v>4.0</v>
      </c>
      <c r="E4169" s="1" t="b">
        <v>0</v>
      </c>
      <c r="F4169" s="1" t="s">
        <v>17971</v>
      </c>
    </row>
    <row r="4170">
      <c r="A4170" s="1">
        <v>49997.0</v>
      </c>
      <c r="B4170" s="1">
        <v>20020.0</v>
      </c>
      <c r="C4170" s="1">
        <v>1.623648702E9</v>
      </c>
      <c r="D4170" s="1">
        <v>4.0</v>
      </c>
      <c r="E4170" s="1" t="b">
        <v>0</v>
      </c>
      <c r="F4170" s="1" t="s">
        <v>17972</v>
      </c>
    </row>
    <row r="4171">
      <c r="A4171" s="1">
        <v>49997.0</v>
      </c>
      <c r="B4171" s="1">
        <v>14222.0</v>
      </c>
      <c r="C4171" s="1">
        <v>1.618910072E9</v>
      </c>
      <c r="D4171" s="1">
        <v>4.0</v>
      </c>
      <c r="E4171" s="1" t="b">
        <v>0</v>
      </c>
      <c r="F4171" s="1" t="s">
        <v>17973</v>
      </c>
    </row>
    <row r="4172">
      <c r="A4172" s="1">
        <v>49997.0</v>
      </c>
      <c r="B4172" s="1">
        <v>20006.0</v>
      </c>
      <c r="C4172" s="1">
        <v>1.623612896E9</v>
      </c>
      <c r="D4172" s="1">
        <v>4.0</v>
      </c>
      <c r="E4172" s="1" t="b">
        <v>0</v>
      </c>
      <c r="F4172" s="1" t="s">
        <v>17974</v>
      </c>
    </row>
    <row r="4173">
      <c r="A4173" s="1">
        <v>49997.0</v>
      </c>
      <c r="B4173" s="1">
        <v>19356.0</v>
      </c>
      <c r="C4173" s="1">
        <v>1.622628959E9</v>
      </c>
      <c r="D4173" s="1">
        <v>4.0</v>
      </c>
      <c r="E4173" s="1" t="b">
        <v>0</v>
      </c>
      <c r="F4173" s="1" t="s">
        <v>17975</v>
      </c>
    </row>
    <row r="4174">
      <c r="A4174" s="1">
        <v>49997.0</v>
      </c>
      <c r="B4174" s="1">
        <v>19731.0</v>
      </c>
      <c r="C4174" s="1">
        <v>1.623226735E9</v>
      </c>
      <c r="D4174" s="1">
        <v>4.0</v>
      </c>
      <c r="E4174" s="1" t="b">
        <v>0</v>
      </c>
      <c r="F4174" s="1" t="s">
        <v>17976</v>
      </c>
    </row>
    <row r="4175">
      <c r="A4175" s="1">
        <v>49997.0</v>
      </c>
      <c r="B4175" s="1">
        <v>18866.0</v>
      </c>
      <c r="C4175" s="1">
        <v>1.622056432E9</v>
      </c>
      <c r="D4175" s="1">
        <v>9.0</v>
      </c>
      <c r="E4175" s="1" t="b">
        <v>0</v>
      </c>
      <c r="F4175" s="1" t="s">
        <v>17977</v>
      </c>
    </row>
    <row r="4176">
      <c r="A4176" s="1">
        <v>49997.0</v>
      </c>
      <c r="B4176" s="1">
        <v>17512.0</v>
      </c>
      <c r="C4176" s="1">
        <v>1.620119354E9</v>
      </c>
      <c r="D4176" s="1">
        <v>4.0</v>
      </c>
      <c r="E4176" s="1" t="b">
        <v>0</v>
      </c>
      <c r="F4176" s="1" t="s">
        <v>17978</v>
      </c>
    </row>
    <row r="4177">
      <c r="A4177" s="1">
        <v>49997.0</v>
      </c>
      <c r="B4177" s="1">
        <v>17509.0</v>
      </c>
      <c r="C4177" s="1">
        <v>1.620113569E9</v>
      </c>
      <c r="D4177" s="1">
        <v>4.0</v>
      </c>
      <c r="E4177" s="1" t="b">
        <v>0</v>
      </c>
      <c r="F4177" s="1" t="s">
        <v>17979</v>
      </c>
    </row>
    <row r="4178">
      <c r="A4178" s="1">
        <v>49997.0</v>
      </c>
      <c r="B4178" s="1">
        <v>17478.0</v>
      </c>
      <c r="C4178" s="1">
        <v>1.619857859E9</v>
      </c>
      <c r="D4178" s="1">
        <v>4.0</v>
      </c>
      <c r="E4178" s="1" t="b">
        <v>0</v>
      </c>
      <c r="F4178" s="1" t="s">
        <v>17980</v>
      </c>
    </row>
    <row r="4179">
      <c r="A4179" s="1">
        <v>49998.0</v>
      </c>
      <c r="B4179" s="1">
        <v>19238.0</v>
      </c>
      <c r="C4179" s="1">
        <v>1.622519895E9</v>
      </c>
      <c r="D4179" s="1">
        <v>4.0</v>
      </c>
      <c r="E4179" s="1" t="b">
        <v>0</v>
      </c>
      <c r="F4179" s="1" t="s">
        <v>17981</v>
      </c>
    </row>
    <row r="4180">
      <c r="A4180" s="1">
        <v>49998.0</v>
      </c>
      <c r="B4180" s="1">
        <v>19547.0</v>
      </c>
      <c r="C4180" s="1">
        <v>1.622983632E9</v>
      </c>
      <c r="D4180" s="1">
        <v>4.0</v>
      </c>
      <c r="E4180" s="1" t="b">
        <v>0</v>
      </c>
      <c r="F4180" s="1" t="s">
        <v>17982</v>
      </c>
    </row>
    <row r="4181">
      <c r="A4181" s="1">
        <v>49998.0</v>
      </c>
      <c r="B4181" s="1">
        <v>19720.0</v>
      </c>
      <c r="C4181" s="1">
        <v>1.62321624E9</v>
      </c>
      <c r="D4181" s="1">
        <v>4.0</v>
      </c>
      <c r="E4181" s="1" t="b">
        <v>0</v>
      </c>
      <c r="F4181" s="1" t="s">
        <v>17983</v>
      </c>
    </row>
    <row r="4182">
      <c r="A4182" s="1">
        <v>49998.0</v>
      </c>
      <c r="B4182" s="1">
        <v>18558.0</v>
      </c>
      <c r="C4182" s="1">
        <v>1.621703179E9</v>
      </c>
      <c r="D4182" s="1">
        <v>4.0</v>
      </c>
      <c r="E4182" s="1" t="b">
        <v>0</v>
      </c>
      <c r="F4182" s="1" t="s">
        <v>17984</v>
      </c>
    </row>
    <row r="4183">
      <c r="A4183" s="1">
        <v>49998.0</v>
      </c>
      <c r="B4183" s="1">
        <v>18652.0</v>
      </c>
      <c r="C4183" s="1">
        <v>1.621820219E9</v>
      </c>
      <c r="D4183" s="1">
        <v>4.0</v>
      </c>
      <c r="E4183" s="1" t="b">
        <v>0</v>
      </c>
      <c r="F4183" s="1" t="s">
        <v>17985</v>
      </c>
    </row>
    <row r="4184">
      <c r="A4184" s="1">
        <v>49998.0</v>
      </c>
      <c r="B4184" s="1">
        <v>18363.0</v>
      </c>
      <c r="C4184" s="1">
        <v>1.621507575E9</v>
      </c>
      <c r="D4184" s="1">
        <v>4.0</v>
      </c>
      <c r="E4184" s="1" t="b">
        <v>0</v>
      </c>
      <c r="F4184" s="1" t="s">
        <v>17986</v>
      </c>
    </row>
    <row r="4185">
      <c r="A4185" s="1">
        <v>49998.0</v>
      </c>
      <c r="B4185" s="1">
        <v>18223.0</v>
      </c>
      <c r="C4185" s="1">
        <v>1.621242937E9</v>
      </c>
      <c r="D4185" s="1">
        <v>4.0</v>
      </c>
      <c r="E4185" s="1" t="b">
        <v>0</v>
      </c>
      <c r="F4185" s="1" t="s">
        <v>17987</v>
      </c>
    </row>
    <row r="4186">
      <c r="A4186" s="1">
        <v>49998.0</v>
      </c>
      <c r="B4186" s="1">
        <v>17981.0</v>
      </c>
      <c r="C4186" s="1">
        <v>1.620753042E9</v>
      </c>
      <c r="D4186" s="1">
        <v>4.0</v>
      </c>
      <c r="E4186" s="1" t="b">
        <v>0</v>
      </c>
      <c r="F4186" s="1" t="s">
        <v>17988</v>
      </c>
    </row>
    <row r="4187">
      <c r="A4187" s="1">
        <v>49998.0</v>
      </c>
      <c r="B4187" s="1">
        <v>19880.0</v>
      </c>
      <c r="C4187" s="1">
        <v>1.623422614E9</v>
      </c>
      <c r="D4187" s="1">
        <v>4.0</v>
      </c>
      <c r="E4187" s="1" t="b">
        <v>0</v>
      </c>
      <c r="F4187" s="1" t="s">
        <v>17989</v>
      </c>
    </row>
    <row r="4188">
      <c r="A4188" s="1">
        <v>49998.0</v>
      </c>
      <c r="B4188" s="1">
        <v>17935.0</v>
      </c>
      <c r="C4188" s="1">
        <v>1.620667383E9</v>
      </c>
      <c r="D4188" s="1">
        <v>1.0</v>
      </c>
      <c r="E4188" s="1" t="b">
        <v>0</v>
      </c>
      <c r="F4188" s="1" t="s">
        <v>17990</v>
      </c>
    </row>
    <row r="4189">
      <c r="A4189" s="1">
        <v>49998.0</v>
      </c>
      <c r="B4189" s="1">
        <v>17976.0</v>
      </c>
      <c r="C4189" s="1">
        <v>1.620751254E9</v>
      </c>
      <c r="D4189" s="1">
        <v>4.0</v>
      </c>
      <c r="E4189" s="1" t="b">
        <v>0</v>
      </c>
      <c r="F4189" s="1" t="s">
        <v>17991</v>
      </c>
    </row>
    <row r="4190">
      <c r="A4190" s="1">
        <v>49998.0</v>
      </c>
      <c r="B4190" s="1">
        <v>18888.0</v>
      </c>
      <c r="C4190" s="1">
        <v>1.6220987E9</v>
      </c>
      <c r="D4190" s="1">
        <v>9.0</v>
      </c>
      <c r="E4190" s="1" t="b">
        <v>0</v>
      </c>
      <c r="F4190" s="1" t="s">
        <v>17992</v>
      </c>
    </row>
    <row r="4191">
      <c r="A4191" s="1">
        <v>49998.0</v>
      </c>
      <c r="B4191" s="1">
        <v>19927.0</v>
      </c>
      <c r="C4191" s="1">
        <v>1.623509753E9</v>
      </c>
      <c r="D4191" s="1">
        <v>4.0</v>
      </c>
      <c r="E4191" s="1" t="b">
        <v>0</v>
      </c>
      <c r="F4191" s="1" t="s">
        <v>17993</v>
      </c>
    </row>
    <row r="4192">
      <c r="A4192" s="1">
        <v>49998.0</v>
      </c>
      <c r="B4192" s="1">
        <v>18621.0</v>
      </c>
      <c r="C4192" s="1">
        <v>1.621777849E9</v>
      </c>
      <c r="D4192" s="1">
        <v>4.0</v>
      </c>
      <c r="E4192" s="1" t="b">
        <v>0</v>
      </c>
      <c r="F4192" s="1" t="s">
        <v>17994</v>
      </c>
    </row>
    <row r="4193">
      <c r="A4193" s="1">
        <v>49998.0</v>
      </c>
      <c r="B4193" s="1">
        <v>20333.0</v>
      </c>
      <c r="C4193" s="1">
        <v>1.624147228E9</v>
      </c>
      <c r="D4193" s="1">
        <v>4.0</v>
      </c>
      <c r="E4193" s="1" t="b">
        <v>0</v>
      </c>
      <c r="F4193" s="1" t="s">
        <v>17995</v>
      </c>
    </row>
    <row r="4194">
      <c r="A4194" s="1">
        <v>49998.0</v>
      </c>
      <c r="B4194" s="1">
        <v>17825.0</v>
      </c>
      <c r="C4194" s="1">
        <v>1.620563833E9</v>
      </c>
      <c r="D4194" s="1">
        <v>4.0</v>
      </c>
      <c r="E4194" s="1" t="b">
        <v>0</v>
      </c>
      <c r="F4194" s="1" t="s">
        <v>17996</v>
      </c>
    </row>
    <row r="4195">
      <c r="A4195" s="1">
        <v>49998.0</v>
      </c>
      <c r="B4195" s="1">
        <v>2362.0</v>
      </c>
      <c r="C4195" s="1">
        <v>1.623590851E9</v>
      </c>
      <c r="D4195" s="1">
        <v>4.0</v>
      </c>
      <c r="E4195" s="1" t="b">
        <v>0</v>
      </c>
      <c r="F4195" s="1" t="s">
        <v>17997</v>
      </c>
    </row>
    <row r="4196">
      <c r="A4196" s="1">
        <v>49998.0</v>
      </c>
      <c r="B4196" s="1">
        <v>18579.0</v>
      </c>
      <c r="C4196" s="1">
        <v>1.621747723E9</v>
      </c>
      <c r="D4196" s="1">
        <v>4.0</v>
      </c>
      <c r="E4196" s="1" t="b">
        <v>0</v>
      </c>
      <c r="F4196" s="1" t="s">
        <v>17998</v>
      </c>
    </row>
    <row r="4197">
      <c r="A4197" s="1">
        <v>49998.0</v>
      </c>
      <c r="B4197" s="1">
        <v>19956.0</v>
      </c>
      <c r="C4197" s="1">
        <v>1.623557175E9</v>
      </c>
      <c r="D4197" s="1">
        <v>4.0</v>
      </c>
      <c r="E4197" s="1" t="b">
        <v>0</v>
      </c>
      <c r="F4197" s="1" t="s">
        <v>17999</v>
      </c>
    </row>
    <row r="4198">
      <c r="A4198" s="1">
        <v>49998.0</v>
      </c>
      <c r="B4198" s="1">
        <v>16545.0</v>
      </c>
      <c r="C4198" s="1">
        <v>1.61710919E9</v>
      </c>
      <c r="D4198" s="1">
        <v>1.0</v>
      </c>
      <c r="E4198" s="1" t="b">
        <v>0</v>
      </c>
      <c r="F4198" s="1" t="s">
        <v>18000</v>
      </c>
    </row>
    <row r="4199">
      <c r="A4199" s="1">
        <v>49998.0</v>
      </c>
      <c r="B4199" s="1">
        <v>15896.0</v>
      </c>
      <c r="C4199" s="1">
        <v>1.617049497E9</v>
      </c>
      <c r="D4199" s="1">
        <v>1.0</v>
      </c>
      <c r="E4199" s="1" t="b">
        <v>1</v>
      </c>
      <c r="F4199" s="1" t="s">
        <v>18001</v>
      </c>
    </row>
    <row r="4200">
      <c r="A4200" s="1">
        <v>49998.0</v>
      </c>
      <c r="B4200" s="1">
        <v>18882.0</v>
      </c>
      <c r="C4200" s="1">
        <v>1.62209631E9</v>
      </c>
      <c r="D4200" s="1">
        <v>4.0</v>
      </c>
      <c r="E4200" s="1" t="b">
        <v>0</v>
      </c>
      <c r="F4200" s="1" t="s">
        <v>18002</v>
      </c>
    </row>
    <row r="4201">
      <c r="A4201" s="1">
        <v>49998.0</v>
      </c>
      <c r="B4201" s="1">
        <v>18084.0</v>
      </c>
      <c r="C4201" s="1">
        <v>1.621090122E9</v>
      </c>
      <c r="D4201" s="1">
        <v>4.0</v>
      </c>
      <c r="E4201" s="1" t="b">
        <v>0</v>
      </c>
      <c r="F4201" s="1" t="s">
        <v>18003</v>
      </c>
    </row>
    <row r="4202">
      <c r="A4202" s="1">
        <v>49998.0</v>
      </c>
      <c r="B4202" s="1">
        <v>18243.0</v>
      </c>
      <c r="C4202" s="1">
        <v>1.621261135E9</v>
      </c>
      <c r="D4202" s="1">
        <v>4.0</v>
      </c>
      <c r="E4202" s="1" t="b">
        <v>0</v>
      </c>
      <c r="F4202" s="1" t="s">
        <v>18004</v>
      </c>
    </row>
    <row r="4203">
      <c r="A4203" s="1">
        <v>49998.0</v>
      </c>
      <c r="B4203" s="1">
        <v>17780.0</v>
      </c>
      <c r="C4203" s="1">
        <v>1.620527142E9</v>
      </c>
      <c r="D4203" s="1">
        <v>4.0</v>
      </c>
      <c r="E4203" s="1" t="b">
        <v>0</v>
      </c>
      <c r="F4203" s="1" t="s">
        <v>18005</v>
      </c>
    </row>
    <row r="4204">
      <c r="A4204" s="1">
        <v>49998.0</v>
      </c>
      <c r="B4204" s="1">
        <v>20195.0</v>
      </c>
      <c r="C4204" s="1">
        <v>1.623917489E9</v>
      </c>
      <c r="D4204" s="1">
        <v>4.0</v>
      </c>
      <c r="E4204" s="1" t="b">
        <v>0</v>
      </c>
      <c r="F4204" s="1" t="s">
        <v>18006</v>
      </c>
    </row>
    <row r="4205">
      <c r="A4205" s="1">
        <v>49998.0</v>
      </c>
      <c r="B4205" s="1">
        <v>19897.0</v>
      </c>
      <c r="C4205" s="1">
        <v>1.623432198E9</v>
      </c>
      <c r="D4205" s="1">
        <v>4.0</v>
      </c>
      <c r="E4205" s="1" t="b">
        <v>0</v>
      </c>
      <c r="F4205" s="1" t="s">
        <v>18007</v>
      </c>
    </row>
    <row r="4206">
      <c r="A4206" s="1">
        <v>49998.0</v>
      </c>
      <c r="B4206" s="1">
        <v>18321.0</v>
      </c>
      <c r="C4206" s="1">
        <v>1.62139321E9</v>
      </c>
      <c r="D4206" s="1">
        <v>4.0</v>
      </c>
      <c r="E4206" s="1" t="b">
        <v>0</v>
      </c>
      <c r="F4206" s="1" t="s">
        <v>18008</v>
      </c>
    </row>
    <row r="4207">
      <c r="A4207" s="1">
        <v>49998.0</v>
      </c>
      <c r="B4207" s="1">
        <v>19772.0</v>
      </c>
      <c r="C4207" s="1">
        <v>1.623292038E9</v>
      </c>
      <c r="D4207" s="1">
        <v>4.0</v>
      </c>
      <c r="E4207" s="1" t="b">
        <v>0</v>
      </c>
      <c r="F4207" s="1" t="s">
        <v>18009</v>
      </c>
    </row>
    <row r="4208">
      <c r="A4208" s="1">
        <v>49998.0</v>
      </c>
      <c r="B4208" s="1">
        <v>17734.0</v>
      </c>
      <c r="C4208" s="1">
        <v>1.620492E9</v>
      </c>
      <c r="D4208" s="1">
        <v>4.0</v>
      </c>
      <c r="E4208" s="1" t="b">
        <v>0</v>
      </c>
      <c r="F4208" s="1" t="s">
        <v>18010</v>
      </c>
    </row>
    <row r="4209">
      <c r="A4209" s="1">
        <v>49998.0</v>
      </c>
      <c r="B4209" s="1">
        <v>20309.0</v>
      </c>
      <c r="C4209" s="1">
        <v>1.62409281E9</v>
      </c>
      <c r="D4209" s="1">
        <v>4.0</v>
      </c>
      <c r="E4209" s="1" t="b">
        <v>0</v>
      </c>
      <c r="F4209" s="1" t="s">
        <v>18011</v>
      </c>
    </row>
    <row r="4210">
      <c r="A4210" s="1">
        <v>49998.0</v>
      </c>
      <c r="B4210" s="1">
        <v>18151.0</v>
      </c>
      <c r="C4210" s="1">
        <v>1.62116812E9</v>
      </c>
      <c r="D4210" s="1">
        <v>4.0</v>
      </c>
      <c r="E4210" s="1" t="b">
        <v>0</v>
      </c>
      <c r="F4210" s="1" t="s">
        <v>18012</v>
      </c>
    </row>
    <row r="4211">
      <c r="A4211" s="1">
        <v>49998.0</v>
      </c>
      <c r="B4211" s="1">
        <v>17942.0</v>
      </c>
      <c r="C4211" s="1">
        <v>1.620680324E9</v>
      </c>
      <c r="D4211" s="1">
        <v>9.0</v>
      </c>
      <c r="E4211" s="1" t="b">
        <v>0</v>
      </c>
      <c r="F4211" s="1" t="s">
        <v>15119</v>
      </c>
    </row>
    <row r="4212">
      <c r="A4212" s="1">
        <v>49998.0</v>
      </c>
      <c r="B4212" s="1">
        <v>19314.0</v>
      </c>
      <c r="C4212" s="1">
        <v>1.622602705E9</v>
      </c>
      <c r="D4212" s="1">
        <v>4.0</v>
      </c>
      <c r="E4212" s="1" t="b">
        <v>0</v>
      </c>
      <c r="F4212" s="1" t="s">
        <v>18013</v>
      </c>
    </row>
    <row r="4213">
      <c r="A4213" s="1">
        <v>49998.0</v>
      </c>
      <c r="B4213" s="1">
        <v>19430.0</v>
      </c>
      <c r="C4213" s="1">
        <v>1.622705237E9</v>
      </c>
      <c r="D4213" s="1">
        <v>4.0</v>
      </c>
      <c r="E4213" s="1" t="b">
        <v>0</v>
      </c>
      <c r="F4213" s="1" t="s">
        <v>14071</v>
      </c>
    </row>
    <row r="4214">
      <c r="A4214" s="1">
        <v>49998.0</v>
      </c>
      <c r="B4214" s="1">
        <v>19889.0</v>
      </c>
      <c r="C4214" s="1">
        <v>1.623427314E9</v>
      </c>
      <c r="D4214" s="1">
        <v>4.0</v>
      </c>
      <c r="E4214" s="1" t="b">
        <v>0</v>
      </c>
      <c r="F4214" s="1" t="s">
        <v>18014</v>
      </c>
    </row>
    <row r="4215">
      <c r="A4215" s="1">
        <v>49998.0</v>
      </c>
      <c r="B4215" s="1">
        <v>18554.0</v>
      </c>
      <c r="C4215" s="1">
        <v>1.621700914E9</v>
      </c>
      <c r="D4215" s="1">
        <v>4.0</v>
      </c>
      <c r="E4215" s="1" t="b">
        <v>0</v>
      </c>
      <c r="F4215" s="1" t="s">
        <v>18015</v>
      </c>
    </row>
    <row r="4216">
      <c r="A4216" s="1">
        <v>49998.0</v>
      </c>
      <c r="B4216" s="1">
        <v>18871.0</v>
      </c>
      <c r="C4216" s="1">
        <v>1.622086889E9</v>
      </c>
      <c r="D4216" s="1">
        <v>4.0</v>
      </c>
      <c r="E4216" s="1" t="b">
        <v>0</v>
      </c>
      <c r="F4216" s="1" t="s">
        <v>18016</v>
      </c>
    </row>
    <row r="4217">
      <c r="A4217" s="1">
        <v>49998.0</v>
      </c>
      <c r="B4217" s="1">
        <v>19539.0</v>
      </c>
      <c r="C4217" s="1">
        <v>1.622977388E9</v>
      </c>
      <c r="D4217" s="1">
        <v>4.0</v>
      </c>
      <c r="E4217" s="1" t="b">
        <v>0</v>
      </c>
      <c r="F4217" s="1" t="s">
        <v>18017</v>
      </c>
    </row>
    <row r="4218">
      <c r="A4218" s="1">
        <v>49998.0</v>
      </c>
      <c r="B4218" s="1">
        <v>18323.0</v>
      </c>
      <c r="C4218" s="1">
        <v>1.621396515E9</v>
      </c>
      <c r="D4218" s="1">
        <v>4.0</v>
      </c>
      <c r="E4218" s="1" t="b">
        <v>0</v>
      </c>
      <c r="F4218" s="1" t="s">
        <v>18018</v>
      </c>
    </row>
    <row r="4219">
      <c r="A4219" s="1">
        <v>49998.0</v>
      </c>
      <c r="B4219" s="1">
        <v>18957.0</v>
      </c>
      <c r="C4219" s="1">
        <v>1.622189468E9</v>
      </c>
      <c r="D4219" s="1">
        <v>4.0</v>
      </c>
      <c r="E4219" s="1" t="b">
        <v>0</v>
      </c>
      <c r="F4219" s="1" t="s">
        <v>18019</v>
      </c>
    </row>
    <row r="4220">
      <c r="A4220" s="1">
        <v>49998.0</v>
      </c>
      <c r="B4220" s="1">
        <v>18610.0</v>
      </c>
      <c r="C4220" s="1">
        <v>1.62176738E9</v>
      </c>
      <c r="D4220" s="1">
        <v>4.0</v>
      </c>
      <c r="E4220" s="1" t="b">
        <v>0</v>
      </c>
      <c r="F4220" s="1" t="s">
        <v>18020</v>
      </c>
    </row>
    <row r="4221">
      <c r="A4221" s="1">
        <v>49998.0</v>
      </c>
      <c r="B4221" s="1">
        <v>16934.0</v>
      </c>
      <c r="C4221" s="1">
        <v>1.618920562E9</v>
      </c>
      <c r="D4221" s="1">
        <v>1.0</v>
      </c>
      <c r="E4221" s="1" t="b">
        <v>0</v>
      </c>
      <c r="F4221" s="1" t="s">
        <v>17462</v>
      </c>
    </row>
    <row r="4222">
      <c r="A4222" s="1">
        <v>49998.0</v>
      </c>
      <c r="B4222" s="1">
        <v>20284.0</v>
      </c>
      <c r="C4222" s="1">
        <v>1.624033672E9</v>
      </c>
      <c r="D4222" s="1">
        <v>4.0</v>
      </c>
      <c r="E4222" s="1" t="b">
        <v>0</v>
      </c>
      <c r="F4222" s="1" t="s">
        <v>18021</v>
      </c>
    </row>
    <row r="4223">
      <c r="A4223" s="1">
        <v>49998.0</v>
      </c>
      <c r="B4223" s="1">
        <v>17947.0</v>
      </c>
      <c r="C4223" s="1">
        <v>1.620707625E9</v>
      </c>
      <c r="D4223" s="1">
        <v>4.0</v>
      </c>
      <c r="E4223" s="1" t="b">
        <v>0</v>
      </c>
      <c r="F4223" s="1" t="s">
        <v>18022</v>
      </c>
    </row>
    <row r="4224">
      <c r="A4224" s="1">
        <v>50007.0</v>
      </c>
      <c r="B4224" s="1">
        <v>16750.0</v>
      </c>
      <c r="C4224" s="1">
        <v>1.617945692E9</v>
      </c>
      <c r="D4224" s="1">
        <v>4.0</v>
      </c>
      <c r="E4224" s="1" t="b">
        <v>0</v>
      </c>
      <c r="F4224" s="1" t="s">
        <v>18023</v>
      </c>
    </row>
    <row r="4225">
      <c r="A4225" s="1">
        <v>50007.0</v>
      </c>
      <c r="B4225" s="1">
        <v>16751.0</v>
      </c>
      <c r="C4225" s="1">
        <v>1.617945696E9</v>
      </c>
      <c r="D4225" s="1">
        <v>4.0</v>
      </c>
      <c r="E4225" s="1" t="b">
        <v>0</v>
      </c>
      <c r="F4225" s="1" t="s">
        <v>18024</v>
      </c>
    </row>
    <row r="4226">
      <c r="A4226" s="1">
        <v>50007.0</v>
      </c>
      <c r="B4226" s="1">
        <v>3000.0</v>
      </c>
      <c r="C4226" s="1">
        <v>1.617637367E9</v>
      </c>
      <c r="D4226" s="1">
        <v>4.0</v>
      </c>
      <c r="E4226" s="1" t="b">
        <v>0</v>
      </c>
      <c r="F4226" s="1" t="s">
        <v>14183</v>
      </c>
    </row>
    <row r="4227">
      <c r="A4227" s="1">
        <v>50007.0</v>
      </c>
      <c r="B4227" s="1">
        <v>16320.0</v>
      </c>
      <c r="C4227" s="1">
        <v>1.617547564E9</v>
      </c>
      <c r="D4227" s="1">
        <v>1.0</v>
      </c>
      <c r="E4227" s="1" t="b">
        <v>1</v>
      </c>
      <c r="F4227" s="1" t="s">
        <v>18025</v>
      </c>
    </row>
    <row r="4228">
      <c r="A4228" s="1">
        <v>50007.0</v>
      </c>
      <c r="B4228" s="1">
        <v>16646.0</v>
      </c>
      <c r="C4228" s="1">
        <v>1.617613231E9</v>
      </c>
      <c r="D4228" s="1">
        <v>4.0</v>
      </c>
      <c r="E4228" s="1" t="b">
        <v>0</v>
      </c>
      <c r="F4228" s="1" t="s">
        <v>18026</v>
      </c>
    </row>
    <row r="4229">
      <c r="A4229" s="1">
        <v>50007.0</v>
      </c>
      <c r="B4229" s="1">
        <v>16776.0</v>
      </c>
      <c r="C4229" s="1">
        <v>1.618144577E9</v>
      </c>
      <c r="D4229" s="1">
        <v>4.0</v>
      </c>
      <c r="E4229" s="1" t="b">
        <v>0</v>
      </c>
      <c r="F4229" s="1" t="s">
        <v>18027</v>
      </c>
    </row>
    <row r="4230">
      <c r="A4230" s="1">
        <v>50007.0</v>
      </c>
      <c r="B4230" s="1">
        <v>16934.0</v>
      </c>
      <c r="C4230" s="1">
        <v>1.618907782E9</v>
      </c>
      <c r="D4230" s="1">
        <v>4.0</v>
      </c>
      <c r="E4230" s="1" t="b">
        <v>0</v>
      </c>
      <c r="F4230" s="1" t="s">
        <v>17462</v>
      </c>
    </row>
    <row r="4231">
      <c r="A4231" s="1">
        <v>50015.0</v>
      </c>
      <c r="B4231" s="1">
        <v>15187.0</v>
      </c>
      <c r="C4231" s="1">
        <v>1.618326638E9</v>
      </c>
      <c r="D4231" s="1">
        <v>4.0</v>
      </c>
      <c r="E4231" s="1" t="b">
        <v>0</v>
      </c>
      <c r="F4231" s="1" t="s">
        <v>17481</v>
      </c>
      <c r="G4231" s="1" t="b">
        <v>1</v>
      </c>
    </row>
    <row r="4232">
      <c r="A4232" s="1">
        <v>50015.0</v>
      </c>
      <c r="B4232" s="1">
        <v>17022.0</v>
      </c>
      <c r="C4232" s="1">
        <v>1.618905134E9</v>
      </c>
      <c r="D4232" s="1">
        <v>4.0</v>
      </c>
      <c r="E4232" s="1" t="b">
        <v>0</v>
      </c>
      <c r="F4232" s="1" t="s">
        <v>18028</v>
      </c>
      <c r="G4232" s="1" t="b">
        <v>1</v>
      </c>
    </row>
    <row r="4233">
      <c r="A4233" s="1">
        <v>50015.0</v>
      </c>
      <c r="B4233" s="1">
        <v>20172.0</v>
      </c>
      <c r="C4233" s="1">
        <v>1.623861202E9</v>
      </c>
      <c r="D4233" s="1">
        <v>4.0</v>
      </c>
      <c r="E4233" s="1" t="b">
        <v>0</v>
      </c>
      <c r="F4233" s="1" t="s">
        <v>18029</v>
      </c>
    </row>
    <row r="4234">
      <c r="A4234" s="1">
        <v>50015.0</v>
      </c>
      <c r="B4234" s="1">
        <v>18062.0</v>
      </c>
      <c r="C4234" s="1">
        <v>1.621069743E9</v>
      </c>
      <c r="D4234" s="1">
        <v>4.0</v>
      </c>
      <c r="E4234" s="1" t="b">
        <v>0</v>
      </c>
      <c r="F4234" s="1" t="s">
        <v>18030</v>
      </c>
    </row>
    <row r="4235">
      <c r="A4235" s="1">
        <v>50015.0</v>
      </c>
      <c r="B4235" s="1">
        <v>1273.0</v>
      </c>
      <c r="C4235" s="1">
        <v>1.622010401E9</v>
      </c>
      <c r="D4235" s="1">
        <v>4.0</v>
      </c>
      <c r="E4235" s="1" t="b">
        <v>0</v>
      </c>
      <c r="F4235" s="1" t="s">
        <v>17880</v>
      </c>
    </row>
    <row r="4236">
      <c r="A4236" s="1">
        <v>50015.0</v>
      </c>
      <c r="B4236" s="1">
        <v>18924.0</v>
      </c>
      <c r="C4236" s="1">
        <v>1.622165656E9</v>
      </c>
      <c r="D4236" s="1">
        <v>4.0</v>
      </c>
      <c r="E4236" s="1" t="b">
        <v>0</v>
      </c>
      <c r="F4236" s="1" t="s">
        <v>18031</v>
      </c>
    </row>
    <row r="4237">
      <c r="A4237" s="1">
        <v>50015.0</v>
      </c>
      <c r="B4237" s="1">
        <v>18920.0</v>
      </c>
      <c r="C4237" s="1">
        <v>1.622137247E9</v>
      </c>
      <c r="D4237" s="1">
        <v>4.0</v>
      </c>
      <c r="E4237" s="1" t="b">
        <v>0</v>
      </c>
      <c r="F4237" s="1" t="s">
        <v>18032</v>
      </c>
    </row>
    <row r="4238">
      <c r="A4238" s="1">
        <v>50015.0</v>
      </c>
      <c r="B4238" s="1">
        <v>17580.0</v>
      </c>
      <c r="C4238" s="1">
        <v>1.620237367E9</v>
      </c>
      <c r="D4238" s="1">
        <v>4.0</v>
      </c>
      <c r="E4238" s="1" t="b">
        <v>0</v>
      </c>
      <c r="F4238" s="1" t="s">
        <v>18033</v>
      </c>
    </row>
    <row r="4239">
      <c r="A4239" s="1">
        <v>50015.0</v>
      </c>
      <c r="B4239" s="1">
        <v>17874.0</v>
      </c>
      <c r="C4239" s="1">
        <v>1.620616174E9</v>
      </c>
      <c r="D4239" s="1">
        <v>4.0</v>
      </c>
      <c r="E4239" s="1" t="b">
        <v>0</v>
      </c>
      <c r="F4239" s="1" t="s">
        <v>14307</v>
      </c>
    </row>
    <row r="4240">
      <c r="A4240" s="1">
        <v>50015.0</v>
      </c>
      <c r="B4240" s="1">
        <v>20454.0</v>
      </c>
      <c r="C4240" s="1">
        <v>1.624378815E9</v>
      </c>
      <c r="D4240" s="1">
        <v>4.0</v>
      </c>
      <c r="E4240" s="1" t="b">
        <v>0</v>
      </c>
      <c r="F4240" s="1" t="s">
        <v>18034</v>
      </c>
    </row>
    <row r="4241">
      <c r="A4241" s="1">
        <v>50015.0</v>
      </c>
      <c r="B4241" s="1">
        <v>18195.0</v>
      </c>
      <c r="C4241" s="1">
        <v>1.621220305E9</v>
      </c>
      <c r="D4241" s="1">
        <v>4.0</v>
      </c>
      <c r="E4241" s="1" t="b">
        <v>0</v>
      </c>
      <c r="F4241" s="1" t="s">
        <v>18035</v>
      </c>
    </row>
    <row r="4242">
      <c r="A4242" s="1">
        <v>50015.0</v>
      </c>
      <c r="B4242" s="1">
        <v>16743.0</v>
      </c>
      <c r="C4242" s="1">
        <v>1.618639912E9</v>
      </c>
      <c r="D4242" s="1">
        <v>4.0</v>
      </c>
      <c r="E4242" s="1" t="b">
        <v>0</v>
      </c>
      <c r="F4242" s="1" t="s">
        <v>13986</v>
      </c>
      <c r="G4242" s="1" t="b">
        <v>1</v>
      </c>
    </row>
    <row r="4243">
      <c r="A4243" s="1">
        <v>50015.0</v>
      </c>
      <c r="B4243" s="1">
        <v>20366.0</v>
      </c>
      <c r="C4243" s="1">
        <v>1.62421725E9</v>
      </c>
      <c r="D4243" s="1">
        <v>9.0</v>
      </c>
      <c r="E4243" s="1" t="b">
        <v>0</v>
      </c>
      <c r="F4243" s="1" t="s">
        <v>18036</v>
      </c>
    </row>
    <row r="4244">
      <c r="A4244" s="1">
        <v>50015.0</v>
      </c>
      <c r="B4244" s="1">
        <v>20266.0</v>
      </c>
      <c r="C4244" s="1">
        <v>1.624004636E9</v>
      </c>
      <c r="D4244" s="1">
        <v>4.0</v>
      </c>
      <c r="E4244" s="1" t="b">
        <v>0</v>
      </c>
      <c r="F4244" s="1" t="s">
        <v>18037</v>
      </c>
    </row>
    <row r="4245">
      <c r="A4245" s="1">
        <v>50015.0</v>
      </c>
      <c r="B4245" s="1">
        <v>18355.0</v>
      </c>
      <c r="C4245" s="1">
        <v>1.621472057E9</v>
      </c>
      <c r="D4245" s="1">
        <v>4.0</v>
      </c>
      <c r="E4245" s="1" t="b">
        <v>0</v>
      </c>
      <c r="F4245" s="1" t="s">
        <v>18038</v>
      </c>
    </row>
    <row r="4246">
      <c r="A4246" s="1">
        <v>50015.0</v>
      </c>
      <c r="B4246" s="1">
        <v>17658.0</v>
      </c>
      <c r="C4246" s="1">
        <v>1.620385222E9</v>
      </c>
      <c r="D4246" s="1">
        <v>4.0</v>
      </c>
      <c r="E4246" s="1" t="b">
        <v>0</v>
      </c>
      <c r="F4246" s="1" t="s">
        <v>18039</v>
      </c>
    </row>
    <row r="4247">
      <c r="A4247" s="1">
        <v>50015.0</v>
      </c>
      <c r="B4247" s="1">
        <v>17536.0</v>
      </c>
      <c r="C4247" s="1">
        <v>1.620153648E9</v>
      </c>
      <c r="D4247" s="1">
        <v>4.0</v>
      </c>
      <c r="E4247" s="1" t="b">
        <v>0</v>
      </c>
      <c r="F4247" s="1" t="s">
        <v>18040</v>
      </c>
    </row>
    <row r="4248">
      <c r="A4248" s="1">
        <v>50015.0</v>
      </c>
      <c r="B4248" s="1">
        <v>18640.0</v>
      </c>
      <c r="C4248" s="1">
        <v>1.62179109E9</v>
      </c>
      <c r="D4248" s="1">
        <v>4.0</v>
      </c>
      <c r="E4248" s="1" t="b">
        <v>0</v>
      </c>
      <c r="F4248" s="1" t="s">
        <v>18041</v>
      </c>
    </row>
    <row r="4249">
      <c r="A4249" s="1">
        <v>50015.0</v>
      </c>
      <c r="B4249" s="1">
        <v>18623.0</v>
      </c>
      <c r="C4249" s="1">
        <v>1.621778245E9</v>
      </c>
      <c r="D4249" s="1">
        <v>4.0</v>
      </c>
      <c r="E4249" s="1" t="b">
        <v>0</v>
      </c>
      <c r="F4249" s="1" t="s">
        <v>18042</v>
      </c>
    </row>
    <row r="4250">
      <c r="A4250" s="1">
        <v>50015.0</v>
      </c>
      <c r="B4250" s="1">
        <v>17610.0</v>
      </c>
      <c r="C4250" s="1">
        <v>1.620311813E9</v>
      </c>
      <c r="D4250" s="1">
        <v>4.0</v>
      </c>
      <c r="E4250" s="1" t="b">
        <v>0</v>
      </c>
      <c r="F4250" s="1" t="s">
        <v>18043</v>
      </c>
    </row>
    <row r="4251">
      <c r="A4251" s="1">
        <v>50015.0</v>
      </c>
      <c r="B4251" s="1">
        <v>18063.0</v>
      </c>
      <c r="C4251" s="1">
        <v>1.621072116E9</v>
      </c>
      <c r="D4251" s="1">
        <v>4.0</v>
      </c>
      <c r="E4251" s="1" t="b">
        <v>0</v>
      </c>
      <c r="F4251" s="1" t="s">
        <v>18044</v>
      </c>
    </row>
    <row r="4252">
      <c r="A4252" s="1">
        <v>50015.0</v>
      </c>
      <c r="B4252" s="1">
        <v>19035.0</v>
      </c>
      <c r="C4252" s="1">
        <v>1.622294968E9</v>
      </c>
      <c r="D4252" s="1">
        <v>4.0</v>
      </c>
      <c r="E4252" s="1" t="b">
        <v>0</v>
      </c>
      <c r="F4252" s="1" t="s">
        <v>18045</v>
      </c>
    </row>
    <row r="4253">
      <c r="A4253" s="1">
        <v>50015.0</v>
      </c>
      <c r="B4253" s="1">
        <v>20420.0</v>
      </c>
      <c r="C4253" s="1">
        <v>1.624340574E9</v>
      </c>
      <c r="D4253" s="1">
        <v>4.0</v>
      </c>
      <c r="E4253" s="1" t="b">
        <v>0</v>
      </c>
      <c r="F4253" s="1" t="s">
        <v>18046</v>
      </c>
    </row>
    <row r="4254">
      <c r="A4254" s="1">
        <v>50015.0</v>
      </c>
      <c r="B4254" s="1">
        <v>17603.0</v>
      </c>
      <c r="C4254" s="1">
        <v>1.62030344E9</v>
      </c>
      <c r="D4254" s="1">
        <v>4.0</v>
      </c>
      <c r="E4254" s="1" t="b">
        <v>0</v>
      </c>
      <c r="F4254" s="1" t="s">
        <v>18047</v>
      </c>
    </row>
    <row r="4255">
      <c r="A4255" s="1">
        <v>50015.0</v>
      </c>
      <c r="B4255" s="1">
        <v>17989.0</v>
      </c>
      <c r="C4255" s="1">
        <v>1.62080518E9</v>
      </c>
      <c r="D4255" s="1">
        <v>4.0</v>
      </c>
      <c r="E4255" s="1" t="b">
        <v>0</v>
      </c>
      <c r="F4255" s="1" t="s">
        <v>18048</v>
      </c>
    </row>
    <row r="4256">
      <c r="A4256" s="1">
        <v>50015.0</v>
      </c>
      <c r="B4256" s="1">
        <v>17682.0</v>
      </c>
      <c r="C4256" s="1">
        <v>1.620405633E9</v>
      </c>
      <c r="D4256" s="1">
        <v>4.0</v>
      </c>
      <c r="E4256" s="1" t="b">
        <v>0</v>
      </c>
      <c r="F4256" s="1" t="s">
        <v>18049</v>
      </c>
    </row>
    <row r="4257">
      <c r="A4257" s="1">
        <v>50015.0</v>
      </c>
      <c r="B4257" s="1">
        <v>18120.0</v>
      </c>
      <c r="C4257" s="1">
        <v>1.621146659E9</v>
      </c>
      <c r="D4257" s="1">
        <v>4.0</v>
      </c>
      <c r="E4257" s="1" t="b">
        <v>0</v>
      </c>
      <c r="F4257" s="1" t="s">
        <v>18050</v>
      </c>
      <c r="G4257" s="1" t="b">
        <v>1</v>
      </c>
    </row>
    <row r="4258">
      <c r="A4258" s="1">
        <v>50015.0</v>
      </c>
      <c r="B4258" s="1">
        <v>15799.0</v>
      </c>
      <c r="C4258" s="1">
        <v>1.61785398E9</v>
      </c>
      <c r="D4258" s="1">
        <v>1.0</v>
      </c>
      <c r="E4258" s="1" t="b">
        <v>1</v>
      </c>
      <c r="F4258" s="1" t="s">
        <v>17469</v>
      </c>
    </row>
    <row r="4259">
      <c r="A4259" s="1">
        <v>50015.0</v>
      </c>
      <c r="B4259" s="1">
        <v>18987.0</v>
      </c>
      <c r="C4259" s="1">
        <v>1.622214779E9</v>
      </c>
      <c r="D4259" s="1">
        <v>4.0</v>
      </c>
      <c r="E4259" s="1" t="b">
        <v>0</v>
      </c>
      <c r="F4259" s="1" t="s">
        <v>18051</v>
      </c>
    </row>
    <row r="4260">
      <c r="A4260" s="1">
        <v>50020.0</v>
      </c>
      <c r="B4260" s="1">
        <v>17616.0</v>
      </c>
      <c r="C4260" s="1">
        <v>1.620316952E9</v>
      </c>
      <c r="D4260" s="1">
        <v>4.0</v>
      </c>
      <c r="E4260" s="1" t="b">
        <v>0</v>
      </c>
      <c r="F4260" s="1" t="s">
        <v>18052</v>
      </c>
    </row>
    <row r="4261">
      <c r="A4261" s="1">
        <v>50020.0</v>
      </c>
      <c r="B4261" s="1">
        <v>18060.0</v>
      </c>
      <c r="C4261" s="1">
        <v>1.621151733E9</v>
      </c>
      <c r="D4261" s="1">
        <v>4.0</v>
      </c>
      <c r="E4261" s="1" t="b">
        <v>0</v>
      </c>
      <c r="F4261" s="1" t="s">
        <v>18053</v>
      </c>
    </row>
    <row r="4262">
      <c r="A4262" s="1">
        <v>50020.0</v>
      </c>
      <c r="B4262" s="1">
        <v>18352.0</v>
      </c>
      <c r="C4262" s="1">
        <v>1.621444819E9</v>
      </c>
      <c r="D4262" s="1">
        <v>4.0</v>
      </c>
      <c r="E4262" s="1" t="b">
        <v>0</v>
      </c>
      <c r="F4262" s="1" t="s">
        <v>18054</v>
      </c>
    </row>
    <row r="4263">
      <c r="A4263" s="1">
        <v>50020.0</v>
      </c>
      <c r="B4263" s="1">
        <v>17965.0</v>
      </c>
      <c r="C4263" s="1">
        <v>1.620739591E9</v>
      </c>
      <c r="D4263" s="1">
        <v>4.0</v>
      </c>
      <c r="E4263" s="1" t="b">
        <v>0</v>
      </c>
      <c r="F4263" s="1" t="s">
        <v>18055</v>
      </c>
    </row>
    <row r="4264">
      <c r="A4264" s="1">
        <v>50020.0</v>
      </c>
      <c r="B4264" s="1">
        <v>19494.0</v>
      </c>
      <c r="C4264" s="1">
        <v>0.0</v>
      </c>
      <c r="D4264" s="1">
        <v>3.0</v>
      </c>
      <c r="E4264" s="1" t="b">
        <v>0</v>
      </c>
      <c r="F4264" s="1" t="s">
        <v>18056</v>
      </c>
    </row>
    <row r="4265">
      <c r="A4265" s="1">
        <v>50020.0</v>
      </c>
      <c r="B4265" s="1">
        <v>18556.0</v>
      </c>
      <c r="C4265" s="1">
        <v>1.621743777E9</v>
      </c>
      <c r="D4265" s="1">
        <v>4.0</v>
      </c>
      <c r="E4265" s="1" t="b">
        <v>0</v>
      </c>
      <c r="F4265" s="1" t="s">
        <v>18057</v>
      </c>
    </row>
    <row r="4266">
      <c r="A4266" s="1">
        <v>50020.0</v>
      </c>
      <c r="B4266" s="1">
        <v>19624.0</v>
      </c>
      <c r="C4266" s="1">
        <v>1.623077407E9</v>
      </c>
      <c r="D4266" s="1">
        <v>4.0</v>
      </c>
      <c r="E4266" s="1" t="b">
        <v>0</v>
      </c>
      <c r="F4266" s="1" t="s">
        <v>18058</v>
      </c>
    </row>
    <row r="4267">
      <c r="A4267" s="1">
        <v>50020.0</v>
      </c>
      <c r="B4267" s="1">
        <v>20148.0</v>
      </c>
      <c r="C4267" s="1">
        <v>1.623836084E9</v>
      </c>
      <c r="D4267" s="1">
        <v>4.0</v>
      </c>
      <c r="E4267" s="1" t="b">
        <v>0</v>
      </c>
      <c r="F4267" s="1" t="s">
        <v>18059</v>
      </c>
    </row>
    <row r="4268">
      <c r="A4268" s="1">
        <v>50020.0</v>
      </c>
      <c r="B4268" s="1">
        <v>18724.0</v>
      </c>
      <c r="C4268" s="1">
        <v>1.621875441E9</v>
      </c>
      <c r="D4268" s="1">
        <v>4.0</v>
      </c>
      <c r="E4268" s="1" t="b">
        <v>0</v>
      </c>
      <c r="F4268" s="1" t="s">
        <v>18060</v>
      </c>
    </row>
    <row r="4269">
      <c r="A4269" s="1">
        <v>50020.0</v>
      </c>
      <c r="B4269" s="1">
        <v>18484.0</v>
      </c>
      <c r="C4269" s="1">
        <v>1.621743774E9</v>
      </c>
      <c r="D4269" s="1">
        <v>4.0</v>
      </c>
      <c r="E4269" s="1" t="b">
        <v>0</v>
      </c>
      <c r="F4269" s="1" t="s">
        <v>18061</v>
      </c>
    </row>
    <row r="4270">
      <c r="A4270" s="1">
        <v>50020.0</v>
      </c>
      <c r="B4270" s="1">
        <v>18567.0</v>
      </c>
      <c r="C4270" s="1">
        <v>1.621743785E9</v>
      </c>
      <c r="D4270" s="1">
        <v>4.0</v>
      </c>
      <c r="E4270" s="1" t="b">
        <v>0</v>
      </c>
      <c r="F4270" s="1" t="s">
        <v>18062</v>
      </c>
    </row>
    <row r="4271">
      <c r="A4271" s="1">
        <v>50020.0</v>
      </c>
      <c r="B4271" s="1">
        <v>17590.0</v>
      </c>
      <c r="C4271" s="1">
        <v>1.620270671E9</v>
      </c>
      <c r="D4271" s="1">
        <v>4.0</v>
      </c>
      <c r="E4271" s="1" t="b">
        <v>0</v>
      </c>
      <c r="F4271" s="1" t="s">
        <v>18063</v>
      </c>
    </row>
    <row r="4272">
      <c r="A4272" s="1">
        <v>50020.0</v>
      </c>
      <c r="B4272" s="1">
        <v>16536.0</v>
      </c>
      <c r="C4272" s="1">
        <v>1.618227869E9</v>
      </c>
      <c r="D4272" s="1">
        <v>1.0</v>
      </c>
      <c r="E4272" s="1" t="b">
        <v>1</v>
      </c>
      <c r="F4272" s="1" t="s">
        <v>18064</v>
      </c>
    </row>
    <row r="4273">
      <c r="A4273" s="1">
        <v>50020.0</v>
      </c>
      <c r="B4273" s="1">
        <v>18870.0</v>
      </c>
      <c r="C4273" s="1">
        <v>1.62208468E9</v>
      </c>
      <c r="D4273" s="1">
        <v>4.0</v>
      </c>
      <c r="E4273" s="1" t="b">
        <v>0</v>
      </c>
      <c r="F4273" s="1" t="s">
        <v>18065</v>
      </c>
    </row>
    <row r="4274">
      <c r="A4274" s="1">
        <v>50020.0</v>
      </c>
      <c r="B4274" s="1">
        <v>19548.0</v>
      </c>
      <c r="C4274" s="1">
        <v>1.622984281E9</v>
      </c>
      <c r="D4274" s="1">
        <v>4.0</v>
      </c>
      <c r="E4274" s="1" t="b">
        <v>0</v>
      </c>
      <c r="F4274" s="1" t="s">
        <v>18066</v>
      </c>
    </row>
    <row r="4275">
      <c r="A4275" s="1">
        <v>50020.0</v>
      </c>
      <c r="B4275" s="1">
        <v>16450.0</v>
      </c>
      <c r="C4275" s="1">
        <v>1.618396368E9</v>
      </c>
      <c r="D4275" s="1">
        <v>4.0</v>
      </c>
      <c r="E4275" s="1" t="b">
        <v>0</v>
      </c>
      <c r="F4275" s="1" t="s">
        <v>18067</v>
      </c>
      <c r="G4275" s="1" t="b">
        <v>1</v>
      </c>
    </row>
    <row r="4276">
      <c r="A4276" s="1">
        <v>50020.0</v>
      </c>
      <c r="B4276" s="1">
        <v>18533.0</v>
      </c>
      <c r="C4276" s="1">
        <v>1.621687117E9</v>
      </c>
      <c r="D4276" s="1">
        <v>4.0</v>
      </c>
      <c r="E4276" s="1" t="b">
        <v>0</v>
      </c>
      <c r="F4276" s="1" t="s">
        <v>18068</v>
      </c>
    </row>
    <row r="4277">
      <c r="A4277" s="1">
        <v>50020.0</v>
      </c>
      <c r="B4277" s="1">
        <v>19587.0</v>
      </c>
      <c r="C4277" s="1">
        <v>1.623041896E9</v>
      </c>
      <c r="D4277" s="1">
        <v>4.0</v>
      </c>
      <c r="E4277" s="1" t="b">
        <v>0</v>
      </c>
      <c r="F4277" s="1" t="s">
        <v>18069</v>
      </c>
    </row>
    <row r="4278">
      <c r="A4278" s="1">
        <v>50020.0</v>
      </c>
      <c r="B4278" s="1">
        <v>17833.0</v>
      </c>
      <c r="C4278" s="1">
        <v>1.620567667E9</v>
      </c>
      <c r="D4278" s="1">
        <v>4.0</v>
      </c>
      <c r="E4278" s="1" t="b">
        <v>0</v>
      </c>
      <c r="F4278" s="1" t="s">
        <v>18070</v>
      </c>
    </row>
    <row r="4279">
      <c r="A4279" s="1">
        <v>50020.0</v>
      </c>
      <c r="B4279" s="1">
        <v>18925.0</v>
      </c>
      <c r="C4279" s="1">
        <v>1.622155485E9</v>
      </c>
      <c r="D4279" s="1">
        <v>4.0</v>
      </c>
      <c r="E4279" s="1" t="b">
        <v>0</v>
      </c>
      <c r="F4279" s="1" t="s">
        <v>18071</v>
      </c>
    </row>
    <row r="4280">
      <c r="A4280" s="1">
        <v>50020.0</v>
      </c>
      <c r="B4280" s="1">
        <v>18266.0</v>
      </c>
      <c r="C4280" s="1">
        <v>1.621316239E9</v>
      </c>
      <c r="D4280" s="1">
        <v>4.0</v>
      </c>
      <c r="E4280" s="1" t="b">
        <v>0</v>
      </c>
      <c r="F4280" s="1" t="s">
        <v>18072</v>
      </c>
    </row>
    <row r="4281">
      <c r="A4281" s="1">
        <v>50022.0</v>
      </c>
      <c r="B4281" s="1">
        <v>17544.0</v>
      </c>
      <c r="C4281" s="1">
        <v>1.620197376E9</v>
      </c>
      <c r="D4281" s="1">
        <v>4.0</v>
      </c>
      <c r="E4281" s="1" t="b">
        <v>0</v>
      </c>
      <c r="F4281" s="1" t="s">
        <v>18073</v>
      </c>
    </row>
    <row r="4282">
      <c r="A4282" s="1">
        <v>50022.0</v>
      </c>
      <c r="B4282" s="1">
        <v>18595.0</v>
      </c>
      <c r="C4282" s="1">
        <v>1.621754181E9</v>
      </c>
      <c r="D4282" s="1">
        <v>4.0</v>
      </c>
      <c r="E4282" s="1" t="b">
        <v>0</v>
      </c>
      <c r="F4282" s="1" t="s">
        <v>18074</v>
      </c>
    </row>
    <row r="4283">
      <c r="A4283" s="1">
        <v>50022.0</v>
      </c>
      <c r="B4283" s="1">
        <v>18608.0</v>
      </c>
      <c r="C4283" s="1">
        <v>1.621766668E9</v>
      </c>
      <c r="D4283" s="1">
        <v>4.0</v>
      </c>
      <c r="E4283" s="1" t="b">
        <v>0</v>
      </c>
      <c r="F4283" s="1" t="s">
        <v>18075</v>
      </c>
    </row>
    <row r="4284">
      <c r="A4284" s="1">
        <v>50022.0</v>
      </c>
      <c r="B4284" s="1">
        <v>18340.0</v>
      </c>
      <c r="C4284" s="1">
        <v>1.622353139E9</v>
      </c>
      <c r="D4284" s="1">
        <v>4.0</v>
      </c>
      <c r="E4284" s="1" t="b">
        <v>0</v>
      </c>
      <c r="F4284" s="1" t="s">
        <v>18076</v>
      </c>
    </row>
    <row r="4285">
      <c r="A4285" s="1">
        <v>50022.0</v>
      </c>
      <c r="B4285" s="1">
        <v>18450.0</v>
      </c>
      <c r="C4285" s="1">
        <v>1.621603066E9</v>
      </c>
      <c r="D4285" s="1">
        <v>4.0</v>
      </c>
      <c r="E4285" s="1" t="b">
        <v>0</v>
      </c>
      <c r="F4285" s="1" t="s">
        <v>18077</v>
      </c>
    </row>
    <row r="4286">
      <c r="A4286" s="1">
        <v>50022.0</v>
      </c>
      <c r="B4286" s="1">
        <v>16764.0</v>
      </c>
      <c r="C4286" s="1">
        <v>1.618240358E9</v>
      </c>
      <c r="D4286" s="1">
        <v>1.0</v>
      </c>
      <c r="E4286" s="1" t="b">
        <v>1</v>
      </c>
      <c r="F4286" s="1" t="s">
        <v>18078</v>
      </c>
    </row>
    <row r="4287">
      <c r="A4287" s="1">
        <v>50022.0</v>
      </c>
      <c r="B4287" s="1">
        <v>17573.0</v>
      </c>
      <c r="C4287" s="1">
        <v>1.620250352E9</v>
      </c>
      <c r="D4287" s="1">
        <v>4.0</v>
      </c>
      <c r="E4287" s="1" t="b">
        <v>0</v>
      </c>
      <c r="F4287" s="1" t="s">
        <v>18079</v>
      </c>
    </row>
    <row r="4288">
      <c r="A4288" s="1">
        <v>50022.0</v>
      </c>
      <c r="B4288" s="1">
        <v>20475.0</v>
      </c>
      <c r="C4288" s="1">
        <v>0.0</v>
      </c>
      <c r="D4288" s="1">
        <v>4.0</v>
      </c>
      <c r="E4288" s="1" t="b">
        <v>0</v>
      </c>
      <c r="F4288" s="1" t="s">
        <v>18080</v>
      </c>
    </row>
    <row r="4289">
      <c r="A4289" s="1">
        <v>50022.0</v>
      </c>
      <c r="B4289" s="1">
        <v>19383.0</v>
      </c>
      <c r="C4289" s="1">
        <v>1.622650824E9</v>
      </c>
      <c r="D4289" s="1">
        <v>4.0</v>
      </c>
      <c r="E4289" s="1" t="b">
        <v>0</v>
      </c>
      <c r="F4289" s="1" t="s">
        <v>18081</v>
      </c>
    </row>
    <row r="4290">
      <c r="A4290" s="1">
        <v>50022.0</v>
      </c>
      <c r="B4290" s="1">
        <v>18816.0</v>
      </c>
      <c r="C4290" s="1">
        <v>1.622005983E9</v>
      </c>
      <c r="D4290" s="1">
        <v>4.0</v>
      </c>
      <c r="E4290" s="1" t="b">
        <v>0</v>
      </c>
      <c r="F4290" s="1" t="s">
        <v>18082</v>
      </c>
    </row>
    <row r="4291">
      <c r="A4291" s="1">
        <v>50022.0</v>
      </c>
      <c r="B4291" s="1">
        <v>17585.0</v>
      </c>
      <c r="C4291" s="1">
        <v>1.62027234E9</v>
      </c>
      <c r="D4291" s="1">
        <v>4.0</v>
      </c>
      <c r="E4291" s="1" t="b">
        <v>0</v>
      </c>
      <c r="F4291" s="1" t="s">
        <v>18083</v>
      </c>
    </row>
    <row r="4292">
      <c r="A4292" s="1">
        <v>50022.0</v>
      </c>
      <c r="B4292" s="1">
        <v>19400.0</v>
      </c>
      <c r="C4292" s="1">
        <v>1.622689645E9</v>
      </c>
      <c r="D4292" s="1">
        <v>4.0</v>
      </c>
      <c r="E4292" s="1" t="b">
        <v>0</v>
      </c>
      <c r="F4292" s="1" t="s">
        <v>18084</v>
      </c>
    </row>
    <row r="4293">
      <c r="A4293" s="1">
        <v>50022.0</v>
      </c>
      <c r="B4293" s="1">
        <v>17517.0</v>
      </c>
      <c r="C4293" s="1">
        <v>1.620129457E9</v>
      </c>
      <c r="D4293" s="1">
        <v>4.0</v>
      </c>
      <c r="E4293" s="1" t="b">
        <v>0</v>
      </c>
      <c r="F4293" s="1" t="s">
        <v>18085</v>
      </c>
    </row>
    <row r="4294">
      <c r="A4294" s="1">
        <v>50022.0</v>
      </c>
      <c r="B4294" s="1">
        <v>17576.0</v>
      </c>
      <c r="C4294" s="1">
        <v>1.620234043E9</v>
      </c>
      <c r="D4294" s="1">
        <v>4.0</v>
      </c>
      <c r="E4294" s="1" t="b">
        <v>0</v>
      </c>
      <c r="F4294" s="1" t="s">
        <v>18086</v>
      </c>
    </row>
    <row r="4295">
      <c r="A4295" s="1">
        <v>50022.0</v>
      </c>
      <c r="B4295" s="1">
        <v>17926.0</v>
      </c>
      <c r="C4295" s="1">
        <v>1.62065937E9</v>
      </c>
      <c r="D4295" s="1">
        <v>4.0</v>
      </c>
      <c r="E4295" s="1" t="b">
        <v>0</v>
      </c>
      <c r="F4295" s="1" t="s">
        <v>18087</v>
      </c>
    </row>
    <row r="4296">
      <c r="A4296" s="1">
        <v>50022.0</v>
      </c>
      <c r="B4296" s="1">
        <v>17753.0</v>
      </c>
      <c r="C4296" s="1">
        <v>1.62049398E9</v>
      </c>
      <c r="D4296" s="1">
        <v>4.0</v>
      </c>
      <c r="E4296" s="1" t="b">
        <v>0</v>
      </c>
      <c r="F4296" s="1" t="s">
        <v>18088</v>
      </c>
      <c r="G4296" s="1" t="b">
        <v>1</v>
      </c>
    </row>
    <row r="4297">
      <c r="A4297" s="1">
        <v>50022.0</v>
      </c>
      <c r="B4297" s="1">
        <v>17507.0</v>
      </c>
      <c r="C4297" s="1">
        <v>1.620065108E9</v>
      </c>
      <c r="D4297" s="1">
        <v>4.0</v>
      </c>
      <c r="E4297" s="1" t="b">
        <v>0</v>
      </c>
      <c r="F4297" s="1" t="s">
        <v>18089</v>
      </c>
    </row>
    <row r="4298">
      <c r="A4298" s="1">
        <v>50022.0</v>
      </c>
      <c r="B4298" s="1">
        <v>19091.0</v>
      </c>
      <c r="C4298" s="1">
        <v>1.622391461E9</v>
      </c>
      <c r="D4298" s="1">
        <v>4.0</v>
      </c>
      <c r="E4298" s="1" t="b">
        <v>0</v>
      </c>
      <c r="F4298" s="1" t="s">
        <v>18090</v>
      </c>
    </row>
    <row r="4299">
      <c r="A4299" s="1">
        <v>50022.0</v>
      </c>
      <c r="B4299" s="1">
        <v>18368.0</v>
      </c>
      <c r="C4299" s="1">
        <v>1.621503386E9</v>
      </c>
      <c r="D4299" s="1">
        <v>4.0</v>
      </c>
      <c r="E4299" s="1" t="b">
        <v>0</v>
      </c>
      <c r="F4299" s="1" t="s">
        <v>18091</v>
      </c>
    </row>
    <row r="4300">
      <c r="A4300" s="1">
        <v>50022.0</v>
      </c>
      <c r="B4300" s="1">
        <v>18832.0</v>
      </c>
      <c r="C4300" s="1">
        <v>1.622095017E9</v>
      </c>
      <c r="D4300" s="1">
        <v>4.0</v>
      </c>
      <c r="E4300" s="1" t="b">
        <v>0</v>
      </c>
      <c r="F4300" s="1" t="s">
        <v>18092</v>
      </c>
    </row>
    <row r="4301">
      <c r="A4301" s="1">
        <v>50022.0</v>
      </c>
      <c r="B4301" s="1">
        <v>20197.0</v>
      </c>
      <c r="C4301" s="1">
        <v>1.623919653E9</v>
      </c>
      <c r="D4301" s="1">
        <v>4.0</v>
      </c>
      <c r="E4301" s="1" t="b">
        <v>0</v>
      </c>
      <c r="F4301" s="1" t="s">
        <v>18093</v>
      </c>
    </row>
    <row r="4302">
      <c r="A4302" s="1">
        <v>50022.0</v>
      </c>
      <c r="B4302" s="1">
        <v>19810.0</v>
      </c>
      <c r="C4302" s="1">
        <v>1.623330965E9</v>
      </c>
      <c r="D4302" s="1">
        <v>4.0</v>
      </c>
      <c r="E4302" s="1" t="b">
        <v>0</v>
      </c>
      <c r="F4302" s="1" t="s">
        <v>18094</v>
      </c>
    </row>
    <row r="4303">
      <c r="A4303" s="1">
        <v>50022.0</v>
      </c>
      <c r="B4303" s="1">
        <v>18840.0</v>
      </c>
      <c r="C4303" s="1">
        <v>1.622025805E9</v>
      </c>
      <c r="D4303" s="1">
        <v>4.0</v>
      </c>
      <c r="E4303" s="1" t="b">
        <v>0</v>
      </c>
      <c r="F4303" s="1" t="s">
        <v>14432</v>
      </c>
    </row>
    <row r="4304">
      <c r="A4304" s="1">
        <v>50022.0</v>
      </c>
      <c r="B4304" s="1">
        <v>17608.0</v>
      </c>
      <c r="C4304" s="1">
        <v>1.62031018E9</v>
      </c>
      <c r="D4304" s="1">
        <v>4.0</v>
      </c>
      <c r="E4304" s="1" t="b">
        <v>0</v>
      </c>
      <c r="F4304" s="1" t="s">
        <v>18095</v>
      </c>
    </row>
    <row r="4305">
      <c r="A4305" s="1">
        <v>50022.0</v>
      </c>
      <c r="B4305" s="1">
        <v>18817.0</v>
      </c>
      <c r="C4305" s="1">
        <v>1.622084285E9</v>
      </c>
      <c r="D4305" s="1">
        <v>4.0</v>
      </c>
      <c r="E4305" s="1" t="b">
        <v>0</v>
      </c>
      <c r="F4305" s="1" t="s">
        <v>18096</v>
      </c>
    </row>
    <row r="4306">
      <c r="A4306" s="1">
        <v>50022.0</v>
      </c>
      <c r="B4306" s="1">
        <v>18939.0</v>
      </c>
      <c r="C4306" s="1">
        <v>1.622176018E9</v>
      </c>
      <c r="D4306" s="1">
        <v>4.0</v>
      </c>
      <c r="E4306" s="1" t="b">
        <v>0</v>
      </c>
      <c r="F4306" s="1" t="s">
        <v>18097</v>
      </c>
      <c r="G4306" s="1" t="b">
        <v>1</v>
      </c>
    </row>
    <row r="4307">
      <c r="A4307" s="1">
        <v>50022.0</v>
      </c>
      <c r="B4307" s="1">
        <v>18969.0</v>
      </c>
      <c r="C4307" s="1">
        <v>1.622200967E9</v>
      </c>
      <c r="D4307" s="1">
        <v>4.0</v>
      </c>
      <c r="E4307" s="1" t="b">
        <v>0</v>
      </c>
      <c r="F4307" s="1" t="s">
        <v>18098</v>
      </c>
    </row>
    <row r="4308">
      <c r="A4308" s="1">
        <v>50022.0</v>
      </c>
      <c r="B4308" s="1">
        <v>20113.0</v>
      </c>
      <c r="C4308" s="1">
        <v>1.623808144E9</v>
      </c>
      <c r="D4308" s="1">
        <v>4.0</v>
      </c>
      <c r="E4308" s="1" t="b">
        <v>0</v>
      </c>
      <c r="F4308" s="1" t="s">
        <v>18099</v>
      </c>
    </row>
    <row r="4309">
      <c r="A4309" s="1">
        <v>50022.0</v>
      </c>
      <c r="B4309" s="1">
        <v>20383.0</v>
      </c>
      <c r="C4309" s="1">
        <v>1.624262725E9</v>
      </c>
      <c r="D4309" s="1">
        <v>4.0</v>
      </c>
      <c r="E4309" s="1" t="b">
        <v>0</v>
      </c>
      <c r="F4309" s="1" t="s">
        <v>18100</v>
      </c>
    </row>
    <row r="4310">
      <c r="A4310" s="1">
        <v>50022.0</v>
      </c>
      <c r="B4310" s="1">
        <v>19003.0</v>
      </c>
      <c r="C4310" s="1">
        <v>1.622256898E9</v>
      </c>
      <c r="D4310" s="1">
        <v>4.0</v>
      </c>
      <c r="E4310" s="1" t="b">
        <v>0</v>
      </c>
      <c r="F4310" s="1" t="s">
        <v>18101</v>
      </c>
    </row>
    <row r="4311">
      <c r="A4311" s="1">
        <v>50022.0</v>
      </c>
      <c r="B4311" s="1">
        <v>18286.0</v>
      </c>
      <c r="C4311" s="1">
        <v>1.621321996E9</v>
      </c>
      <c r="D4311" s="1">
        <v>4.0</v>
      </c>
      <c r="E4311" s="1" t="b">
        <v>0</v>
      </c>
      <c r="F4311" s="1" t="s">
        <v>18102</v>
      </c>
    </row>
    <row r="4312">
      <c r="A4312" s="1">
        <v>50022.0</v>
      </c>
      <c r="B4312" s="1">
        <v>18901.0</v>
      </c>
      <c r="C4312" s="1">
        <v>1.622113858E9</v>
      </c>
      <c r="D4312" s="1">
        <v>4.0</v>
      </c>
      <c r="E4312" s="1" t="b">
        <v>0</v>
      </c>
      <c r="F4312" s="1" t="s">
        <v>18103</v>
      </c>
    </row>
    <row r="4313">
      <c r="A4313" s="1">
        <v>50022.0</v>
      </c>
      <c r="B4313" s="1">
        <v>18881.0</v>
      </c>
      <c r="C4313" s="1">
        <v>1.622096199E9</v>
      </c>
      <c r="D4313" s="1">
        <v>4.0</v>
      </c>
      <c r="E4313" s="1" t="b">
        <v>0</v>
      </c>
      <c r="F4313" s="1" t="s">
        <v>18104</v>
      </c>
    </row>
    <row r="4314">
      <c r="A4314" s="1">
        <v>50022.0</v>
      </c>
      <c r="B4314" s="1">
        <v>16932.0</v>
      </c>
      <c r="C4314" s="1">
        <v>1.618641689E9</v>
      </c>
      <c r="D4314" s="1">
        <v>4.0</v>
      </c>
      <c r="E4314" s="1" t="b">
        <v>0</v>
      </c>
      <c r="F4314" s="1" t="s">
        <v>18105</v>
      </c>
      <c r="G4314" s="1" t="b">
        <v>1</v>
      </c>
    </row>
    <row r="4315">
      <c r="A4315" s="1">
        <v>50022.0</v>
      </c>
      <c r="B4315" s="1">
        <v>18347.0</v>
      </c>
      <c r="C4315" s="1">
        <v>1.623939376E9</v>
      </c>
      <c r="D4315" s="1">
        <v>4.0</v>
      </c>
      <c r="E4315" s="1" t="b">
        <v>0</v>
      </c>
      <c r="F4315" s="1" t="s">
        <v>18106</v>
      </c>
    </row>
    <row r="4316">
      <c r="A4316" s="1">
        <v>50022.0</v>
      </c>
      <c r="B4316" s="1">
        <v>20035.0</v>
      </c>
      <c r="C4316" s="1">
        <v>1.623671924E9</v>
      </c>
      <c r="D4316" s="1">
        <v>4.0</v>
      </c>
      <c r="E4316" s="1" t="b">
        <v>0</v>
      </c>
      <c r="F4316" s="1" t="s">
        <v>18107</v>
      </c>
    </row>
    <row r="4317">
      <c r="A4317" s="1">
        <v>50022.0</v>
      </c>
      <c r="B4317" s="1">
        <v>19007.0</v>
      </c>
      <c r="C4317" s="1">
        <v>1.62226338E9</v>
      </c>
      <c r="D4317" s="1">
        <v>4.0</v>
      </c>
      <c r="E4317" s="1" t="b">
        <v>0</v>
      </c>
      <c r="F4317" s="1" t="s">
        <v>18108</v>
      </c>
    </row>
    <row r="4318">
      <c r="A4318" s="1">
        <v>50022.0</v>
      </c>
      <c r="B4318" s="1">
        <v>18144.0</v>
      </c>
      <c r="C4318" s="1">
        <v>1.621165203E9</v>
      </c>
      <c r="D4318" s="1">
        <v>4.0</v>
      </c>
      <c r="E4318" s="1" t="b">
        <v>0</v>
      </c>
      <c r="F4318" s="1" t="s">
        <v>18109</v>
      </c>
    </row>
    <row r="4319">
      <c r="A4319" s="1">
        <v>50022.0</v>
      </c>
      <c r="B4319" s="1">
        <v>18236.0</v>
      </c>
      <c r="C4319" s="1">
        <v>1.62126416E9</v>
      </c>
      <c r="D4319" s="1">
        <v>4.0</v>
      </c>
      <c r="E4319" s="1" t="b">
        <v>0</v>
      </c>
      <c r="F4319" s="1" t="s">
        <v>18110</v>
      </c>
    </row>
    <row r="4320">
      <c r="A4320" s="1">
        <v>50022.0</v>
      </c>
      <c r="B4320" s="1">
        <v>19850.0</v>
      </c>
      <c r="C4320" s="1">
        <v>1.623396268E9</v>
      </c>
      <c r="D4320" s="1">
        <v>4.0</v>
      </c>
      <c r="E4320" s="1" t="b">
        <v>0</v>
      </c>
      <c r="F4320" s="1" t="s">
        <v>18111</v>
      </c>
    </row>
    <row r="4321">
      <c r="A4321" s="1">
        <v>50022.0</v>
      </c>
      <c r="B4321" s="1">
        <v>20481.0</v>
      </c>
      <c r="C4321" s="1">
        <v>0.0</v>
      </c>
      <c r="D4321" s="1">
        <v>4.0</v>
      </c>
      <c r="E4321" s="1" t="b">
        <v>0</v>
      </c>
      <c r="F4321" s="1" t="s">
        <v>18112</v>
      </c>
    </row>
    <row r="4322">
      <c r="A4322" s="1">
        <v>50022.0</v>
      </c>
      <c r="B4322" s="1">
        <v>20072.0</v>
      </c>
      <c r="C4322" s="1">
        <v>1.623740642E9</v>
      </c>
      <c r="D4322" s="1">
        <v>4.0</v>
      </c>
      <c r="E4322" s="1" t="b">
        <v>0</v>
      </c>
      <c r="F4322" s="1" t="s">
        <v>18113</v>
      </c>
      <c r="G4322" s="1" t="b">
        <v>1</v>
      </c>
    </row>
    <row r="4323">
      <c r="A4323" s="1">
        <v>50022.0</v>
      </c>
      <c r="B4323" s="1">
        <v>17543.0</v>
      </c>
      <c r="C4323" s="1">
        <v>1.620190019E9</v>
      </c>
      <c r="D4323" s="1">
        <v>4.0</v>
      </c>
      <c r="E4323" s="1" t="b">
        <v>0</v>
      </c>
      <c r="F4323" s="1" t="s">
        <v>18114</v>
      </c>
    </row>
    <row r="4324">
      <c r="A4324" s="1">
        <v>50022.0</v>
      </c>
      <c r="B4324" s="1">
        <v>19486.0</v>
      </c>
      <c r="C4324" s="1">
        <v>1.622789889E9</v>
      </c>
      <c r="D4324" s="1">
        <v>4.0</v>
      </c>
      <c r="E4324" s="1" t="b">
        <v>0</v>
      </c>
      <c r="F4324" s="1" t="s">
        <v>18115</v>
      </c>
    </row>
    <row r="4325">
      <c r="A4325" s="1">
        <v>50022.0</v>
      </c>
      <c r="B4325" s="1">
        <v>19040.0</v>
      </c>
      <c r="C4325" s="1">
        <v>1.622298377E9</v>
      </c>
      <c r="D4325" s="1">
        <v>4.0</v>
      </c>
      <c r="E4325" s="1" t="b">
        <v>0</v>
      </c>
      <c r="F4325" s="1" t="s">
        <v>18116</v>
      </c>
    </row>
    <row r="4326">
      <c r="A4326" s="1">
        <v>50022.0</v>
      </c>
      <c r="B4326" s="1">
        <v>18224.0</v>
      </c>
      <c r="C4326" s="1">
        <v>1.621247287E9</v>
      </c>
      <c r="D4326" s="1">
        <v>4.0</v>
      </c>
      <c r="E4326" s="1" t="b">
        <v>0</v>
      </c>
      <c r="F4326" s="1" t="s">
        <v>18117</v>
      </c>
    </row>
    <row r="4327">
      <c r="A4327" s="1">
        <v>50022.0</v>
      </c>
      <c r="B4327" s="1">
        <v>18779.0</v>
      </c>
      <c r="C4327" s="1">
        <v>1.621950034E9</v>
      </c>
      <c r="D4327" s="1">
        <v>4.0</v>
      </c>
      <c r="E4327" s="1" t="b">
        <v>0</v>
      </c>
      <c r="F4327" s="1" t="s">
        <v>18118</v>
      </c>
    </row>
    <row r="4328">
      <c r="A4328" s="1">
        <v>50022.0</v>
      </c>
      <c r="B4328" s="1">
        <v>18820.0</v>
      </c>
      <c r="C4328" s="1">
        <v>1.622010207E9</v>
      </c>
      <c r="D4328" s="1">
        <v>4.0</v>
      </c>
      <c r="E4328" s="1" t="b">
        <v>0</v>
      </c>
      <c r="F4328" s="1" t="s">
        <v>18119</v>
      </c>
    </row>
    <row r="4329">
      <c r="A4329" s="1">
        <v>50022.0</v>
      </c>
      <c r="B4329" s="1">
        <v>18693.0</v>
      </c>
      <c r="C4329" s="1">
        <v>1.621853727E9</v>
      </c>
      <c r="D4329" s="1">
        <v>4.0</v>
      </c>
      <c r="E4329" s="1" t="b">
        <v>0</v>
      </c>
      <c r="F4329" s="1" t="s">
        <v>18120</v>
      </c>
    </row>
    <row r="4330">
      <c r="A4330" s="1">
        <v>50022.0</v>
      </c>
      <c r="B4330" s="1">
        <v>19808.0</v>
      </c>
      <c r="C4330" s="1">
        <v>1.623328256E9</v>
      </c>
      <c r="D4330" s="1">
        <v>4.0</v>
      </c>
      <c r="E4330" s="1" t="b">
        <v>0</v>
      </c>
      <c r="F4330" s="1" t="s">
        <v>18121</v>
      </c>
    </row>
    <row r="4331">
      <c r="A4331" s="1">
        <v>50022.0</v>
      </c>
      <c r="B4331" s="1">
        <v>19349.0</v>
      </c>
      <c r="C4331" s="1">
        <v>1.622623746E9</v>
      </c>
      <c r="D4331" s="1">
        <v>4.0</v>
      </c>
      <c r="E4331" s="1" t="b">
        <v>0</v>
      </c>
      <c r="F4331" s="1" t="s">
        <v>18122</v>
      </c>
    </row>
    <row r="4332">
      <c r="A4332" s="1">
        <v>50022.0</v>
      </c>
      <c r="B4332" s="1">
        <v>20228.0</v>
      </c>
      <c r="C4332" s="1">
        <v>1.623944576E9</v>
      </c>
      <c r="D4332" s="1">
        <v>4.0</v>
      </c>
      <c r="E4332" s="1" t="b">
        <v>0</v>
      </c>
      <c r="F4332" s="1" t="s">
        <v>18123</v>
      </c>
    </row>
    <row r="4333">
      <c r="A4333" s="1">
        <v>50022.0</v>
      </c>
      <c r="B4333" s="1">
        <v>18708.0</v>
      </c>
      <c r="C4333" s="1">
        <v>1.621866919E9</v>
      </c>
      <c r="D4333" s="1">
        <v>4.0</v>
      </c>
      <c r="E4333" s="1" t="b">
        <v>0</v>
      </c>
      <c r="F4333" s="1" t="s">
        <v>18124</v>
      </c>
    </row>
    <row r="4334">
      <c r="A4334" s="1">
        <v>50022.0</v>
      </c>
      <c r="B4334" s="1">
        <v>20381.0</v>
      </c>
      <c r="C4334" s="1">
        <v>1.624259751E9</v>
      </c>
      <c r="D4334" s="1">
        <v>4.0</v>
      </c>
      <c r="E4334" s="1" t="b">
        <v>0</v>
      </c>
      <c r="F4334" s="1" t="s">
        <v>18125</v>
      </c>
    </row>
    <row r="4335">
      <c r="A4335" s="1">
        <v>50022.0</v>
      </c>
      <c r="B4335" s="1">
        <v>17574.0</v>
      </c>
      <c r="C4335" s="1">
        <v>1.620263507E9</v>
      </c>
      <c r="D4335" s="1">
        <v>4.0</v>
      </c>
      <c r="E4335" s="1" t="b">
        <v>0</v>
      </c>
      <c r="F4335" s="1" t="s">
        <v>18126</v>
      </c>
    </row>
    <row r="4336">
      <c r="A4336" s="1">
        <v>50022.0</v>
      </c>
      <c r="B4336" s="1">
        <v>19907.0</v>
      </c>
      <c r="C4336" s="1">
        <v>1.623467544E9</v>
      </c>
      <c r="D4336" s="1">
        <v>4.0</v>
      </c>
      <c r="E4336" s="1" t="b">
        <v>0</v>
      </c>
      <c r="F4336" s="1" t="s">
        <v>18127</v>
      </c>
    </row>
    <row r="4337">
      <c r="A4337" s="1">
        <v>50022.0</v>
      </c>
      <c r="B4337" s="1">
        <v>19616.0</v>
      </c>
      <c r="C4337" s="1">
        <v>1.623073843E9</v>
      </c>
      <c r="D4337" s="1">
        <v>4.0</v>
      </c>
      <c r="E4337" s="1" t="b">
        <v>0</v>
      </c>
      <c r="F4337" s="1" t="s">
        <v>18128</v>
      </c>
    </row>
    <row r="4338">
      <c r="A4338" s="1">
        <v>50022.0</v>
      </c>
      <c r="B4338" s="1">
        <v>18516.0</v>
      </c>
      <c r="C4338" s="1">
        <v>1.621674421E9</v>
      </c>
      <c r="D4338" s="1">
        <v>4.0</v>
      </c>
      <c r="E4338" s="1" t="b">
        <v>0</v>
      </c>
      <c r="F4338" s="1" t="s">
        <v>18129</v>
      </c>
    </row>
    <row r="4339">
      <c r="A4339" s="1">
        <v>50022.0</v>
      </c>
      <c r="B4339" s="1">
        <v>19716.0</v>
      </c>
      <c r="C4339" s="1">
        <v>1.623215617E9</v>
      </c>
      <c r="D4339" s="1">
        <v>4.0</v>
      </c>
      <c r="E4339" s="1" t="b">
        <v>0</v>
      </c>
      <c r="F4339" s="1" t="s">
        <v>18130</v>
      </c>
    </row>
    <row r="4340">
      <c r="A4340" s="1">
        <v>50022.0</v>
      </c>
      <c r="B4340" s="1">
        <v>19104.0</v>
      </c>
      <c r="C4340" s="1">
        <v>1.622379393E9</v>
      </c>
      <c r="D4340" s="1">
        <v>4.0</v>
      </c>
      <c r="E4340" s="1" t="b">
        <v>0</v>
      </c>
      <c r="F4340" s="1" t="s">
        <v>18131</v>
      </c>
    </row>
    <row r="4341">
      <c r="A4341" s="1">
        <v>50022.0</v>
      </c>
      <c r="B4341" s="1">
        <v>18692.0</v>
      </c>
      <c r="C4341" s="1">
        <v>1.62185274E9</v>
      </c>
      <c r="D4341" s="1">
        <v>4.0</v>
      </c>
      <c r="E4341" s="1" t="b">
        <v>0</v>
      </c>
      <c r="F4341" s="1" t="s">
        <v>18132</v>
      </c>
    </row>
    <row r="4342">
      <c r="A4342" s="1">
        <v>50022.0</v>
      </c>
      <c r="B4342" s="1">
        <v>19432.0</v>
      </c>
      <c r="C4342" s="1">
        <v>1.622707647E9</v>
      </c>
      <c r="D4342" s="1">
        <v>4.0</v>
      </c>
      <c r="E4342" s="1" t="b">
        <v>0</v>
      </c>
      <c r="F4342" s="1" t="s">
        <v>18133</v>
      </c>
    </row>
    <row r="4343">
      <c r="A4343" s="1">
        <v>50022.0</v>
      </c>
      <c r="B4343" s="1">
        <v>18662.0</v>
      </c>
      <c r="C4343" s="1">
        <v>1.62183116E9</v>
      </c>
      <c r="D4343" s="1">
        <v>4.0</v>
      </c>
      <c r="E4343" s="1" t="b">
        <v>0</v>
      </c>
      <c r="F4343" s="1" t="s">
        <v>18134</v>
      </c>
    </row>
    <row r="4344">
      <c r="A4344" s="1">
        <v>50022.0</v>
      </c>
      <c r="B4344" s="1">
        <v>19848.0</v>
      </c>
      <c r="C4344" s="1">
        <v>1.623393119E9</v>
      </c>
      <c r="D4344" s="1">
        <v>4.0</v>
      </c>
      <c r="E4344" s="1" t="b">
        <v>0</v>
      </c>
      <c r="F4344" s="1" t="s">
        <v>18135</v>
      </c>
    </row>
    <row r="4345">
      <c r="A4345" s="1">
        <v>50022.0</v>
      </c>
      <c r="B4345" s="1">
        <v>20261.0</v>
      </c>
      <c r="C4345" s="1">
        <v>1.623998146E9</v>
      </c>
      <c r="D4345" s="1">
        <v>4.0</v>
      </c>
      <c r="E4345" s="1" t="b">
        <v>0</v>
      </c>
      <c r="F4345" s="1" t="s">
        <v>18136</v>
      </c>
    </row>
    <row r="4346">
      <c r="A4346" s="1">
        <v>50022.0</v>
      </c>
      <c r="B4346" s="1">
        <v>20045.0</v>
      </c>
      <c r="C4346" s="1">
        <v>1.623680589E9</v>
      </c>
      <c r="D4346" s="1">
        <v>4.0</v>
      </c>
      <c r="E4346" s="1" t="b">
        <v>0</v>
      </c>
      <c r="F4346" s="1" t="s">
        <v>18137</v>
      </c>
    </row>
    <row r="4347">
      <c r="A4347" s="1">
        <v>50022.0</v>
      </c>
      <c r="B4347" s="1">
        <v>19297.0</v>
      </c>
      <c r="C4347" s="1">
        <v>1.622568593E9</v>
      </c>
      <c r="D4347" s="1">
        <v>4.0</v>
      </c>
      <c r="E4347" s="1" t="b">
        <v>0</v>
      </c>
      <c r="F4347" s="1" t="s">
        <v>18138</v>
      </c>
    </row>
    <row r="4348">
      <c r="A4348" s="1">
        <v>50022.0</v>
      </c>
      <c r="B4348" s="1">
        <v>16743.0</v>
      </c>
      <c r="C4348" s="1">
        <v>1.618572401E9</v>
      </c>
      <c r="D4348" s="1">
        <v>4.0</v>
      </c>
      <c r="E4348" s="1" t="b">
        <v>0</v>
      </c>
      <c r="F4348" s="1" t="s">
        <v>13986</v>
      </c>
      <c r="G4348" s="1" t="b">
        <v>1</v>
      </c>
    </row>
    <row r="4349">
      <c r="A4349" s="1">
        <v>50022.0</v>
      </c>
      <c r="B4349" s="1">
        <v>17939.0</v>
      </c>
      <c r="C4349" s="1">
        <v>1.621147095E9</v>
      </c>
      <c r="D4349" s="1">
        <v>4.0</v>
      </c>
      <c r="E4349" s="1" t="b">
        <v>0</v>
      </c>
      <c r="F4349" s="1" t="s">
        <v>18139</v>
      </c>
    </row>
    <row r="4350">
      <c r="A4350" s="1">
        <v>50022.0</v>
      </c>
      <c r="B4350" s="1">
        <v>19965.0</v>
      </c>
      <c r="C4350" s="1">
        <v>1.623563777E9</v>
      </c>
      <c r="D4350" s="1">
        <v>4.0</v>
      </c>
      <c r="E4350" s="1" t="b">
        <v>0</v>
      </c>
      <c r="F4350" s="1" t="s">
        <v>18140</v>
      </c>
    </row>
    <row r="4351">
      <c r="A4351" s="1">
        <v>50022.0</v>
      </c>
      <c r="B4351" s="1">
        <v>19713.0</v>
      </c>
      <c r="C4351" s="1">
        <v>1.623209093E9</v>
      </c>
      <c r="D4351" s="1">
        <v>4.0</v>
      </c>
      <c r="E4351" s="1" t="b">
        <v>0</v>
      </c>
      <c r="F4351" s="1" t="s">
        <v>18141</v>
      </c>
    </row>
    <row r="4352">
      <c r="A4352" s="1">
        <v>50022.0</v>
      </c>
      <c r="B4352" s="1">
        <v>18985.0</v>
      </c>
      <c r="C4352" s="1">
        <v>1.622212496E9</v>
      </c>
      <c r="D4352" s="1">
        <v>4.0</v>
      </c>
      <c r="E4352" s="1" t="b">
        <v>0</v>
      </c>
      <c r="F4352" s="1" t="s">
        <v>18142</v>
      </c>
    </row>
    <row r="4353">
      <c r="A4353" s="1">
        <v>50022.0</v>
      </c>
      <c r="B4353" s="1">
        <v>18459.0</v>
      </c>
      <c r="C4353" s="1">
        <v>1.621690255E9</v>
      </c>
      <c r="D4353" s="1">
        <v>4.0</v>
      </c>
      <c r="E4353" s="1" t="b">
        <v>0</v>
      </c>
      <c r="F4353" s="1" t="s">
        <v>18143</v>
      </c>
    </row>
    <row r="4354">
      <c r="A4354" s="1">
        <v>50022.0</v>
      </c>
      <c r="B4354" s="1">
        <v>19964.0</v>
      </c>
      <c r="C4354" s="1">
        <v>1.623563781E9</v>
      </c>
      <c r="D4354" s="1">
        <v>4.0</v>
      </c>
      <c r="E4354" s="1" t="b">
        <v>0</v>
      </c>
      <c r="F4354" s="1" t="s">
        <v>18144</v>
      </c>
    </row>
    <row r="4355">
      <c r="A4355" s="1">
        <v>50022.0</v>
      </c>
      <c r="B4355" s="1">
        <v>18565.0</v>
      </c>
      <c r="C4355" s="1">
        <v>1.621737032E9</v>
      </c>
      <c r="D4355" s="1">
        <v>4.0</v>
      </c>
      <c r="E4355" s="1" t="b">
        <v>0</v>
      </c>
      <c r="F4355" s="1" t="s">
        <v>18145</v>
      </c>
    </row>
    <row r="4356">
      <c r="A4356" s="1">
        <v>50022.0</v>
      </c>
      <c r="B4356" s="1">
        <v>18570.0</v>
      </c>
      <c r="C4356" s="1">
        <v>1.62173708E9</v>
      </c>
      <c r="D4356" s="1">
        <v>4.0</v>
      </c>
      <c r="E4356" s="1" t="b">
        <v>0</v>
      </c>
      <c r="F4356" s="1" t="s">
        <v>18146</v>
      </c>
    </row>
    <row r="4357">
      <c r="A4357" s="1">
        <v>50022.0</v>
      </c>
      <c r="B4357" s="1">
        <v>18403.0</v>
      </c>
      <c r="C4357" s="1">
        <v>1.621535279E9</v>
      </c>
      <c r="D4357" s="1">
        <v>4.0</v>
      </c>
      <c r="E4357" s="1" t="b">
        <v>0</v>
      </c>
      <c r="F4357" s="1" t="s">
        <v>18147</v>
      </c>
    </row>
    <row r="4358">
      <c r="A4358" s="1">
        <v>50022.0</v>
      </c>
      <c r="B4358" s="1">
        <v>20353.0</v>
      </c>
      <c r="C4358" s="1">
        <v>1.624192682E9</v>
      </c>
      <c r="D4358" s="1">
        <v>4.0</v>
      </c>
      <c r="E4358" s="1" t="b">
        <v>0</v>
      </c>
      <c r="F4358" s="1" t="s">
        <v>18148</v>
      </c>
    </row>
    <row r="4359">
      <c r="A4359" s="1">
        <v>50022.0</v>
      </c>
      <c r="B4359" s="1">
        <v>18584.0</v>
      </c>
      <c r="C4359" s="1">
        <v>1.621747941E9</v>
      </c>
      <c r="D4359" s="1">
        <v>4.0</v>
      </c>
      <c r="E4359" s="1" t="b">
        <v>0</v>
      </c>
      <c r="F4359" s="1" t="s">
        <v>18149</v>
      </c>
    </row>
    <row r="4360">
      <c r="A4360" s="1">
        <v>50022.0</v>
      </c>
      <c r="B4360" s="1">
        <v>20393.0</v>
      </c>
      <c r="C4360" s="1">
        <v>1.624283702E9</v>
      </c>
      <c r="D4360" s="1">
        <v>4.0</v>
      </c>
      <c r="E4360" s="1" t="b">
        <v>0</v>
      </c>
      <c r="F4360" s="1" t="s">
        <v>18150</v>
      </c>
    </row>
    <row r="4361">
      <c r="A4361" s="1">
        <v>50022.0</v>
      </c>
      <c r="B4361" s="1">
        <v>18860.0</v>
      </c>
      <c r="C4361" s="1">
        <v>1.622078696E9</v>
      </c>
      <c r="D4361" s="1">
        <v>4.0</v>
      </c>
      <c r="E4361" s="1" t="b">
        <v>0</v>
      </c>
      <c r="F4361" s="1" t="s">
        <v>18151</v>
      </c>
    </row>
    <row r="4362">
      <c r="A4362" s="1">
        <v>50022.0</v>
      </c>
      <c r="B4362" s="1">
        <v>18590.0</v>
      </c>
      <c r="C4362" s="1">
        <v>1.621751168E9</v>
      </c>
      <c r="D4362" s="1">
        <v>4.0</v>
      </c>
      <c r="E4362" s="1" t="b">
        <v>0</v>
      </c>
      <c r="F4362" s="1" t="s">
        <v>18152</v>
      </c>
    </row>
    <row r="4363">
      <c r="A4363" s="1">
        <v>50023.0</v>
      </c>
      <c r="B4363" s="1">
        <v>20061.0</v>
      </c>
      <c r="C4363" s="1">
        <v>1.623700664E9</v>
      </c>
      <c r="D4363" s="1">
        <v>4.0</v>
      </c>
      <c r="E4363" s="1" t="b">
        <v>0</v>
      </c>
      <c r="F4363" s="1" t="s">
        <v>18153</v>
      </c>
    </row>
    <row r="4364">
      <c r="A4364" s="1">
        <v>50023.0</v>
      </c>
      <c r="B4364" s="1">
        <v>20123.0</v>
      </c>
      <c r="C4364" s="1">
        <v>1.623820908E9</v>
      </c>
      <c r="D4364" s="1">
        <v>4.0</v>
      </c>
      <c r="E4364" s="1" t="b">
        <v>0</v>
      </c>
      <c r="F4364" s="1" t="s">
        <v>18154</v>
      </c>
    </row>
    <row r="4365">
      <c r="A4365" s="1">
        <v>50023.0</v>
      </c>
      <c r="B4365" s="1">
        <v>17347.0</v>
      </c>
      <c r="C4365" s="1">
        <v>1.619507623E9</v>
      </c>
      <c r="D4365" s="1">
        <v>4.0</v>
      </c>
      <c r="E4365" s="1" t="b">
        <v>0</v>
      </c>
      <c r="F4365" s="1" t="s">
        <v>18155</v>
      </c>
    </row>
    <row r="4366">
      <c r="A4366" s="1">
        <v>50023.0</v>
      </c>
      <c r="B4366" s="1">
        <v>17086.0</v>
      </c>
      <c r="C4366" s="1">
        <v>1.61901263E9</v>
      </c>
      <c r="D4366" s="1">
        <v>4.0</v>
      </c>
      <c r="E4366" s="1" t="b">
        <v>0</v>
      </c>
      <c r="F4366" s="1" t="s">
        <v>18156</v>
      </c>
    </row>
    <row r="4367">
      <c r="A4367" s="1">
        <v>50023.0</v>
      </c>
      <c r="B4367" s="1">
        <v>19846.0</v>
      </c>
      <c r="C4367" s="1">
        <v>1.623390933E9</v>
      </c>
      <c r="D4367" s="1">
        <v>4.0</v>
      </c>
      <c r="E4367" s="1" t="b">
        <v>0</v>
      </c>
      <c r="F4367" s="1" t="s">
        <v>18157</v>
      </c>
    </row>
    <row r="4368">
      <c r="A4368" s="1">
        <v>50023.0</v>
      </c>
      <c r="B4368" s="1">
        <v>19555.0</v>
      </c>
      <c r="C4368" s="1">
        <v>1.622987527E9</v>
      </c>
      <c r="D4368" s="1">
        <v>4.0</v>
      </c>
      <c r="E4368" s="1" t="b">
        <v>0</v>
      </c>
      <c r="F4368" s="1" t="s">
        <v>18158</v>
      </c>
    </row>
    <row r="4369">
      <c r="A4369" s="1">
        <v>50023.0</v>
      </c>
      <c r="B4369" s="1">
        <v>19290.0</v>
      </c>
      <c r="C4369" s="1">
        <v>1.622560432E9</v>
      </c>
      <c r="D4369" s="1">
        <v>4.0</v>
      </c>
      <c r="E4369" s="1" t="b">
        <v>0</v>
      </c>
      <c r="F4369" s="1" t="s">
        <v>18159</v>
      </c>
    </row>
    <row r="4370">
      <c r="A4370" s="1">
        <v>50023.0</v>
      </c>
      <c r="B4370" s="1">
        <v>19853.0</v>
      </c>
      <c r="C4370" s="1">
        <v>1.623398637E9</v>
      </c>
      <c r="D4370" s="1">
        <v>4.0</v>
      </c>
      <c r="E4370" s="1" t="b">
        <v>0</v>
      </c>
      <c r="F4370" s="1" t="s">
        <v>18160</v>
      </c>
    </row>
    <row r="4371">
      <c r="A4371" s="1">
        <v>50023.0</v>
      </c>
      <c r="B4371" s="1">
        <v>19830.0</v>
      </c>
      <c r="C4371" s="1">
        <v>1.623350774E9</v>
      </c>
      <c r="D4371" s="1">
        <v>4.0</v>
      </c>
      <c r="E4371" s="1" t="b">
        <v>0</v>
      </c>
      <c r="F4371" s="1" t="s">
        <v>18161</v>
      </c>
    </row>
    <row r="4372">
      <c r="A4372" s="1">
        <v>50023.0</v>
      </c>
      <c r="B4372" s="1">
        <v>19532.0</v>
      </c>
      <c r="C4372" s="1">
        <v>1.622972051E9</v>
      </c>
      <c r="D4372" s="1">
        <v>4.0</v>
      </c>
      <c r="E4372" s="1" t="b">
        <v>0</v>
      </c>
      <c r="F4372" s="1" t="s">
        <v>18162</v>
      </c>
    </row>
    <row r="4373">
      <c r="A4373" s="1">
        <v>50023.0</v>
      </c>
      <c r="B4373" s="1">
        <v>20041.0</v>
      </c>
      <c r="C4373" s="1">
        <v>1.623673949E9</v>
      </c>
      <c r="D4373" s="1">
        <v>4.0</v>
      </c>
      <c r="E4373" s="1" t="b">
        <v>0</v>
      </c>
      <c r="F4373" s="1" t="s">
        <v>18163</v>
      </c>
    </row>
    <row r="4374">
      <c r="A4374" s="1">
        <v>50023.0</v>
      </c>
      <c r="B4374" s="1">
        <v>20232.0</v>
      </c>
      <c r="C4374" s="1">
        <v>1.623947013E9</v>
      </c>
      <c r="D4374" s="1">
        <v>4.0</v>
      </c>
      <c r="E4374" s="1" t="b">
        <v>0</v>
      </c>
      <c r="F4374" s="1" t="s">
        <v>18164</v>
      </c>
    </row>
    <row r="4375">
      <c r="A4375" s="1">
        <v>50023.0</v>
      </c>
      <c r="B4375" s="1">
        <v>19446.0</v>
      </c>
      <c r="C4375" s="1">
        <v>1.622724952E9</v>
      </c>
      <c r="D4375" s="1">
        <v>4.0</v>
      </c>
      <c r="E4375" s="1" t="b">
        <v>0</v>
      </c>
      <c r="F4375" s="1" t="s">
        <v>18165</v>
      </c>
    </row>
    <row r="4376">
      <c r="A4376" s="1">
        <v>50023.0</v>
      </c>
      <c r="B4376" s="1">
        <v>20116.0</v>
      </c>
      <c r="C4376" s="1">
        <v>1.623811401E9</v>
      </c>
      <c r="D4376" s="1">
        <v>4.0</v>
      </c>
      <c r="E4376" s="1" t="b">
        <v>0</v>
      </c>
      <c r="F4376" s="1" t="s">
        <v>18166</v>
      </c>
    </row>
    <row r="4377">
      <c r="A4377" s="1">
        <v>50023.0</v>
      </c>
      <c r="B4377" s="1">
        <v>20069.0</v>
      </c>
      <c r="C4377" s="1">
        <v>1.623736124E9</v>
      </c>
      <c r="D4377" s="1">
        <v>4.0</v>
      </c>
      <c r="E4377" s="1" t="b">
        <v>0</v>
      </c>
      <c r="F4377" s="1" t="s">
        <v>16305</v>
      </c>
    </row>
    <row r="4378">
      <c r="A4378" s="1">
        <v>50023.0</v>
      </c>
      <c r="B4378" s="1">
        <v>19875.0</v>
      </c>
      <c r="C4378" s="1">
        <v>1.623420646E9</v>
      </c>
      <c r="D4378" s="1">
        <v>9.0</v>
      </c>
      <c r="E4378" s="1" t="b">
        <v>0</v>
      </c>
      <c r="F4378" s="1" t="s">
        <v>18167</v>
      </c>
    </row>
    <row r="4379">
      <c r="A4379" s="1">
        <v>50023.0</v>
      </c>
      <c r="B4379" s="1">
        <v>20338.0</v>
      </c>
      <c r="C4379" s="1">
        <v>1.624163763E9</v>
      </c>
      <c r="D4379" s="1">
        <v>4.0</v>
      </c>
      <c r="E4379" s="1" t="b">
        <v>0</v>
      </c>
      <c r="F4379" s="1" t="s">
        <v>18168</v>
      </c>
    </row>
    <row r="4380">
      <c r="A4380" s="1">
        <v>50023.0</v>
      </c>
      <c r="B4380" s="1">
        <v>19329.0</v>
      </c>
      <c r="C4380" s="1">
        <v>1.622611888E9</v>
      </c>
      <c r="D4380" s="1">
        <v>4.0</v>
      </c>
      <c r="E4380" s="1" t="b">
        <v>0</v>
      </c>
      <c r="F4380" s="1" t="s">
        <v>14569</v>
      </c>
    </row>
    <row r="4381">
      <c r="A4381" s="1">
        <v>50023.0</v>
      </c>
      <c r="B4381" s="1">
        <v>19786.0</v>
      </c>
      <c r="C4381" s="1">
        <v>1.623306445E9</v>
      </c>
      <c r="D4381" s="1">
        <v>9.0</v>
      </c>
      <c r="E4381" s="1" t="b">
        <v>0</v>
      </c>
      <c r="F4381" s="1" t="s">
        <v>18169</v>
      </c>
    </row>
    <row r="4382">
      <c r="A4382" s="1">
        <v>50023.0</v>
      </c>
      <c r="B4382" s="1">
        <v>20015.0</v>
      </c>
      <c r="C4382" s="1">
        <v>1.623644992E9</v>
      </c>
      <c r="D4382" s="1">
        <v>4.0</v>
      </c>
      <c r="E4382" s="1" t="b">
        <v>0</v>
      </c>
      <c r="F4382" s="1" t="s">
        <v>18170</v>
      </c>
    </row>
    <row r="4383">
      <c r="A4383" s="1">
        <v>50023.0</v>
      </c>
      <c r="B4383" s="1">
        <v>17970.0</v>
      </c>
      <c r="C4383" s="1">
        <v>1.623408461E9</v>
      </c>
      <c r="D4383" s="1">
        <v>4.0</v>
      </c>
      <c r="E4383" s="1" t="b">
        <v>0</v>
      </c>
      <c r="F4383" s="1" t="s">
        <v>15406</v>
      </c>
    </row>
    <row r="4384">
      <c r="A4384" s="1">
        <v>50023.0</v>
      </c>
      <c r="B4384" s="1">
        <v>20219.0</v>
      </c>
      <c r="C4384" s="1">
        <v>1.623938207E9</v>
      </c>
      <c r="D4384" s="1">
        <v>4.0</v>
      </c>
      <c r="E4384" s="1" t="b">
        <v>0</v>
      </c>
      <c r="F4384" s="1" t="s">
        <v>18171</v>
      </c>
    </row>
    <row r="4385">
      <c r="A4385" s="1">
        <v>50023.0</v>
      </c>
      <c r="B4385" s="1">
        <v>19522.0</v>
      </c>
      <c r="C4385" s="1">
        <v>1.622949678E9</v>
      </c>
      <c r="D4385" s="1">
        <v>4.0</v>
      </c>
      <c r="E4385" s="1" t="b">
        <v>0</v>
      </c>
      <c r="F4385" s="1" t="s">
        <v>18172</v>
      </c>
    </row>
    <row r="4386">
      <c r="A4386" s="1">
        <v>50023.0</v>
      </c>
      <c r="B4386" s="1">
        <v>19681.0</v>
      </c>
      <c r="C4386" s="1">
        <v>1.623144679E9</v>
      </c>
      <c r="D4386" s="1">
        <v>4.0</v>
      </c>
      <c r="E4386" s="1" t="b">
        <v>0</v>
      </c>
      <c r="F4386" s="1" t="s">
        <v>18173</v>
      </c>
    </row>
    <row r="4387">
      <c r="A4387" s="1">
        <v>50023.0</v>
      </c>
      <c r="B4387" s="1">
        <v>19724.0</v>
      </c>
      <c r="C4387" s="1">
        <v>1.623218736E9</v>
      </c>
      <c r="D4387" s="1">
        <v>4.0</v>
      </c>
      <c r="E4387" s="1" t="b">
        <v>0</v>
      </c>
      <c r="F4387" s="1" t="s">
        <v>18174</v>
      </c>
    </row>
    <row r="4388">
      <c r="A4388" s="1">
        <v>50023.0</v>
      </c>
      <c r="B4388" s="1">
        <v>19766.0</v>
      </c>
      <c r="C4388" s="1">
        <v>1.623264515E9</v>
      </c>
      <c r="D4388" s="1">
        <v>4.0</v>
      </c>
      <c r="E4388" s="1" t="b">
        <v>0</v>
      </c>
      <c r="F4388" s="1" t="s">
        <v>18175</v>
      </c>
    </row>
    <row r="4389">
      <c r="A4389" s="1">
        <v>50023.0</v>
      </c>
      <c r="B4389" s="1">
        <v>17083.0</v>
      </c>
      <c r="C4389" s="1">
        <v>1.619009869E9</v>
      </c>
      <c r="D4389" s="1">
        <v>4.0</v>
      </c>
      <c r="E4389" s="1" t="b">
        <v>0</v>
      </c>
      <c r="F4389" s="1" t="s">
        <v>18176</v>
      </c>
    </row>
    <row r="4390">
      <c r="A4390" s="1">
        <v>50023.0</v>
      </c>
      <c r="B4390" s="1">
        <v>20193.0</v>
      </c>
      <c r="C4390" s="1">
        <v>1.623923063E9</v>
      </c>
      <c r="D4390" s="1">
        <v>4.0</v>
      </c>
      <c r="E4390" s="1" t="b">
        <v>0</v>
      </c>
      <c r="F4390" s="1" t="s">
        <v>18177</v>
      </c>
    </row>
    <row r="4391">
      <c r="A4391" s="1">
        <v>50023.0</v>
      </c>
      <c r="B4391" s="1">
        <v>17295.0</v>
      </c>
      <c r="C4391" s="1">
        <v>1.619409759E9</v>
      </c>
      <c r="D4391" s="1">
        <v>4.0</v>
      </c>
      <c r="E4391" s="1" t="b">
        <v>0</v>
      </c>
      <c r="F4391" s="1" t="s">
        <v>18178</v>
      </c>
    </row>
    <row r="4392">
      <c r="A4392" s="1">
        <v>50023.0</v>
      </c>
      <c r="B4392" s="1">
        <v>19714.0</v>
      </c>
      <c r="C4392" s="1">
        <v>1.623210346E9</v>
      </c>
      <c r="D4392" s="1">
        <v>4.0</v>
      </c>
      <c r="E4392" s="1" t="b">
        <v>0</v>
      </c>
      <c r="F4392" s="1" t="s">
        <v>18179</v>
      </c>
    </row>
    <row r="4393">
      <c r="A4393" s="1">
        <v>50023.0</v>
      </c>
      <c r="B4393" s="1">
        <v>19286.0</v>
      </c>
      <c r="C4393" s="1">
        <v>1.62255825E9</v>
      </c>
      <c r="D4393" s="1">
        <v>4.0</v>
      </c>
      <c r="E4393" s="1" t="b">
        <v>0</v>
      </c>
      <c r="F4393" s="1" t="s">
        <v>18180</v>
      </c>
    </row>
    <row r="4394">
      <c r="A4394" s="1">
        <v>50023.0</v>
      </c>
      <c r="B4394" s="1">
        <v>20473.0</v>
      </c>
      <c r="C4394" s="1">
        <v>1.62442609E9</v>
      </c>
      <c r="D4394" s="1">
        <v>4.0</v>
      </c>
      <c r="E4394" s="1" t="b">
        <v>0</v>
      </c>
      <c r="F4394" s="1" t="s">
        <v>18181</v>
      </c>
    </row>
    <row r="4395">
      <c r="A4395" s="1">
        <v>50023.0</v>
      </c>
      <c r="B4395" s="1">
        <v>19294.0</v>
      </c>
      <c r="C4395" s="1">
        <v>1.622564353E9</v>
      </c>
      <c r="D4395" s="1">
        <v>4.0</v>
      </c>
      <c r="E4395" s="1" t="b">
        <v>0</v>
      </c>
      <c r="F4395" s="1" t="s">
        <v>18182</v>
      </c>
    </row>
    <row r="4396">
      <c r="A4396" s="1">
        <v>50023.0</v>
      </c>
      <c r="B4396" s="1">
        <v>19792.0</v>
      </c>
      <c r="C4396" s="1">
        <v>1.623312842E9</v>
      </c>
      <c r="D4396" s="1">
        <v>4.0</v>
      </c>
      <c r="E4396" s="1" t="b">
        <v>0</v>
      </c>
      <c r="F4396" s="1" t="s">
        <v>18183</v>
      </c>
    </row>
    <row r="4397">
      <c r="A4397" s="1">
        <v>50023.0</v>
      </c>
      <c r="B4397" s="1">
        <v>19171.0</v>
      </c>
      <c r="C4397" s="1">
        <v>1.62245658E9</v>
      </c>
      <c r="D4397" s="1">
        <v>4.0</v>
      </c>
      <c r="E4397" s="1" t="b">
        <v>0</v>
      </c>
      <c r="F4397" s="1" t="s">
        <v>18184</v>
      </c>
    </row>
    <row r="4398">
      <c r="A4398" s="1">
        <v>50023.0</v>
      </c>
      <c r="B4398" s="1">
        <v>19825.0</v>
      </c>
      <c r="C4398" s="1">
        <v>1.623344897E9</v>
      </c>
      <c r="D4398" s="1">
        <v>4.0</v>
      </c>
      <c r="E4398" s="1" t="b">
        <v>0</v>
      </c>
      <c r="F4398" s="1" t="s">
        <v>18185</v>
      </c>
    </row>
    <row r="4399">
      <c r="A4399" s="1">
        <v>50023.0</v>
      </c>
      <c r="B4399" s="1">
        <v>19083.0</v>
      </c>
      <c r="C4399" s="1">
        <v>1.62236671E9</v>
      </c>
      <c r="D4399" s="1">
        <v>4.0</v>
      </c>
      <c r="E4399" s="1" t="b">
        <v>0</v>
      </c>
      <c r="F4399" s="1" t="s">
        <v>18186</v>
      </c>
    </row>
    <row r="4400">
      <c r="A4400" s="1">
        <v>50023.0</v>
      </c>
      <c r="B4400" s="1">
        <v>20025.0</v>
      </c>
      <c r="C4400" s="1">
        <v>1.6236572E9</v>
      </c>
      <c r="D4400" s="1">
        <v>4.0</v>
      </c>
      <c r="E4400" s="1" t="b">
        <v>0</v>
      </c>
      <c r="F4400" s="1" t="s">
        <v>18187</v>
      </c>
    </row>
    <row r="4401">
      <c r="A4401" s="1">
        <v>50023.0</v>
      </c>
      <c r="B4401" s="1">
        <v>20221.0</v>
      </c>
      <c r="C4401" s="1">
        <v>1.623941011E9</v>
      </c>
      <c r="D4401" s="1">
        <v>4.0</v>
      </c>
      <c r="E4401" s="1" t="b">
        <v>0</v>
      </c>
      <c r="F4401" s="1" t="s">
        <v>18188</v>
      </c>
    </row>
    <row r="4402">
      <c r="A4402" s="1">
        <v>50023.0</v>
      </c>
      <c r="B4402" s="1">
        <v>20385.0</v>
      </c>
      <c r="C4402" s="1">
        <v>1.624269647E9</v>
      </c>
      <c r="D4402" s="1">
        <v>4.0</v>
      </c>
      <c r="E4402" s="1" t="b">
        <v>0</v>
      </c>
      <c r="F4402" s="1" t="s">
        <v>18189</v>
      </c>
    </row>
    <row r="4403">
      <c r="A4403" s="1">
        <v>50023.0</v>
      </c>
      <c r="B4403" s="1">
        <v>20189.0</v>
      </c>
      <c r="C4403" s="1">
        <v>1.623906124E9</v>
      </c>
      <c r="D4403" s="1">
        <v>4.0</v>
      </c>
      <c r="E4403" s="1" t="b">
        <v>0</v>
      </c>
      <c r="F4403" s="1" t="s">
        <v>16212</v>
      </c>
    </row>
    <row r="4404">
      <c r="A4404" s="1">
        <v>50023.0</v>
      </c>
      <c r="B4404" s="1">
        <v>20177.0</v>
      </c>
      <c r="C4404" s="1">
        <v>1.623867024E9</v>
      </c>
      <c r="D4404" s="1">
        <v>4.0</v>
      </c>
      <c r="E4404" s="1" t="b">
        <v>0</v>
      </c>
      <c r="F4404" s="1" t="s">
        <v>18190</v>
      </c>
    </row>
    <row r="4405">
      <c r="A4405" s="1">
        <v>50023.0</v>
      </c>
      <c r="B4405" s="1">
        <v>19306.0</v>
      </c>
      <c r="C4405" s="1">
        <v>1.622598578E9</v>
      </c>
      <c r="D4405" s="1">
        <v>4.0</v>
      </c>
      <c r="E4405" s="1" t="b">
        <v>0</v>
      </c>
      <c r="F4405" s="1" t="s">
        <v>16167</v>
      </c>
    </row>
    <row r="4406">
      <c r="A4406" s="1">
        <v>50023.0</v>
      </c>
      <c r="B4406" s="1">
        <v>19180.0</v>
      </c>
      <c r="C4406" s="1">
        <v>1.622461034E9</v>
      </c>
      <c r="D4406" s="1">
        <v>4.0</v>
      </c>
      <c r="E4406" s="1" t="b">
        <v>0</v>
      </c>
      <c r="F4406" s="1" t="s">
        <v>18191</v>
      </c>
    </row>
    <row r="4407">
      <c r="A4407" s="1">
        <v>50023.0</v>
      </c>
      <c r="B4407" s="1">
        <v>19644.0</v>
      </c>
      <c r="C4407" s="1">
        <v>1.62308739E9</v>
      </c>
      <c r="D4407" s="1">
        <v>4.0</v>
      </c>
      <c r="E4407" s="1" t="b">
        <v>0</v>
      </c>
      <c r="F4407" s="1" t="s">
        <v>18192</v>
      </c>
    </row>
    <row r="4408">
      <c r="A4408" s="1">
        <v>50023.0</v>
      </c>
      <c r="B4408" s="1">
        <v>18766.0</v>
      </c>
      <c r="C4408" s="1">
        <v>1.621932901E9</v>
      </c>
      <c r="D4408" s="1">
        <v>4.0</v>
      </c>
      <c r="E4408" s="1" t="b">
        <v>0</v>
      </c>
      <c r="F4408" s="1" t="s">
        <v>18193</v>
      </c>
    </row>
    <row r="4409">
      <c r="A4409" s="1">
        <v>50023.0</v>
      </c>
      <c r="B4409" s="1">
        <v>17871.0</v>
      </c>
      <c r="C4409" s="1">
        <v>1.620615242E9</v>
      </c>
      <c r="D4409" s="1">
        <v>4.0</v>
      </c>
      <c r="E4409" s="1" t="b">
        <v>0</v>
      </c>
      <c r="F4409" s="1" t="s">
        <v>18194</v>
      </c>
    </row>
    <row r="4410">
      <c r="A4410" s="1">
        <v>50023.0</v>
      </c>
      <c r="B4410" s="1">
        <v>19839.0</v>
      </c>
      <c r="C4410" s="1">
        <v>1.62338856E9</v>
      </c>
      <c r="D4410" s="1">
        <v>4.0</v>
      </c>
      <c r="E4410" s="1" t="b">
        <v>0</v>
      </c>
      <c r="F4410" s="1" t="s">
        <v>18195</v>
      </c>
    </row>
    <row r="4411">
      <c r="A4411" s="1">
        <v>50023.0</v>
      </c>
      <c r="B4411" s="1">
        <v>19671.0</v>
      </c>
      <c r="C4411" s="1">
        <v>1.623139458E9</v>
      </c>
      <c r="D4411" s="1">
        <v>4.0</v>
      </c>
      <c r="E4411" s="1" t="b">
        <v>0</v>
      </c>
      <c r="F4411" s="1" t="s">
        <v>18196</v>
      </c>
    </row>
    <row r="4412">
      <c r="A4412" s="1">
        <v>50023.0</v>
      </c>
      <c r="B4412" s="1">
        <v>20102.0</v>
      </c>
      <c r="C4412" s="1">
        <v>1.623832136E9</v>
      </c>
      <c r="D4412" s="1">
        <v>4.0</v>
      </c>
      <c r="E4412" s="1" t="b">
        <v>0</v>
      </c>
      <c r="F4412" s="1" t="s">
        <v>18197</v>
      </c>
    </row>
    <row r="4413">
      <c r="A4413" s="1">
        <v>50023.0</v>
      </c>
      <c r="B4413" s="1">
        <v>19902.0</v>
      </c>
      <c r="C4413" s="1">
        <v>1.623439699E9</v>
      </c>
      <c r="D4413" s="1">
        <v>4.0</v>
      </c>
      <c r="E4413" s="1" t="b">
        <v>0</v>
      </c>
      <c r="F4413" s="1" t="s">
        <v>18198</v>
      </c>
    </row>
    <row r="4414">
      <c r="A4414" s="1">
        <v>50023.0</v>
      </c>
      <c r="B4414" s="1">
        <v>19930.0</v>
      </c>
      <c r="C4414" s="1">
        <v>1.62351136E9</v>
      </c>
      <c r="D4414" s="1">
        <v>4.0</v>
      </c>
      <c r="E4414" s="1" t="b">
        <v>0</v>
      </c>
      <c r="F4414" s="1" t="s">
        <v>18199</v>
      </c>
    </row>
    <row r="4415">
      <c r="A4415" s="1">
        <v>50023.0</v>
      </c>
      <c r="B4415" s="1">
        <v>19578.0</v>
      </c>
      <c r="C4415" s="1">
        <v>1.623032701E9</v>
      </c>
      <c r="D4415" s="1">
        <v>4.0</v>
      </c>
      <c r="E4415" s="1" t="b">
        <v>0</v>
      </c>
      <c r="F4415" s="1" t="s">
        <v>18200</v>
      </c>
    </row>
    <row r="4416">
      <c r="A4416" s="1">
        <v>50023.0</v>
      </c>
      <c r="B4416" s="1">
        <v>19752.0</v>
      </c>
      <c r="C4416" s="1">
        <v>1.623242181E9</v>
      </c>
      <c r="D4416" s="1">
        <v>4.0</v>
      </c>
      <c r="E4416" s="1" t="b">
        <v>0</v>
      </c>
      <c r="F4416" s="1" t="s">
        <v>18201</v>
      </c>
    </row>
    <row r="4417">
      <c r="A4417" s="1">
        <v>50023.0</v>
      </c>
      <c r="B4417" s="1">
        <v>20049.0</v>
      </c>
      <c r="C4417" s="1">
        <v>1.623684386E9</v>
      </c>
      <c r="D4417" s="1">
        <v>4.0</v>
      </c>
      <c r="E4417" s="1" t="b">
        <v>0</v>
      </c>
      <c r="F4417" s="1" t="s">
        <v>18202</v>
      </c>
    </row>
    <row r="4418">
      <c r="A4418" s="1">
        <v>50023.0</v>
      </c>
      <c r="B4418" s="1">
        <v>17085.0</v>
      </c>
      <c r="C4418" s="1">
        <v>1.619011009E9</v>
      </c>
      <c r="D4418" s="1">
        <v>4.0</v>
      </c>
      <c r="E4418" s="1" t="b">
        <v>0</v>
      </c>
      <c r="F4418" s="1" t="s">
        <v>18203</v>
      </c>
    </row>
    <row r="4419">
      <c r="A4419" s="1">
        <v>50023.0</v>
      </c>
      <c r="B4419" s="1">
        <v>19216.0</v>
      </c>
      <c r="C4419" s="1">
        <v>1.622484545E9</v>
      </c>
      <c r="D4419" s="1">
        <v>4.0</v>
      </c>
      <c r="E4419" s="1" t="b">
        <v>0</v>
      </c>
      <c r="F4419" s="1" t="s">
        <v>18204</v>
      </c>
    </row>
    <row r="4420">
      <c r="A4420" s="1">
        <v>50023.0</v>
      </c>
      <c r="B4420" s="1">
        <v>19422.0</v>
      </c>
      <c r="C4420" s="1">
        <v>1.622701797E9</v>
      </c>
      <c r="D4420" s="1">
        <v>4.0</v>
      </c>
      <c r="E4420" s="1" t="b">
        <v>0</v>
      </c>
      <c r="F4420" s="1" t="s">
        <v>18205</v>
      </c>
    </row>
    <row r="4421">
      <c r="A4421" s="1">
        <v>50023.0</v>
      </c>
      <c r="B4421" s="1">
        <v>19829.0</v>
      </c>
      <c r="C4421" s="1">
        <v>1.623347927E9</v>
      </c>
      <c r="D4421" s="1">
        <v>9.0</v>
      </c>
      <c r="E4421" s="1" t="b">
        <v>0</v>
      </c>
      <c r="F4421" s="1" t="s">
        <v>18206</v>
      </c>
    </row>
    <row r="4422">
      <c r="A4422" s="1">
        <v>50023.0</v>
      </c>
      <c r="B4422" s="1">
        <v>20033.0</v>
      </c>
      <c r="C4422" s="1">
        <v>1.623669807E9</v>
      </c>
      <c r="D4422" s="1">
        <v>4.0</v>
      </c>
      <c r="E4422" s="1" t="b">
        <v>0</v>
      </c>
      <c r="F4422" s="1" t="s">
        <v>16541</v>
      </c>
    </row>
    <row r="4423">
      <c r="A4423" s="1">
        <v>50023.0</v>
      </c>
      <c r="B4423" s="1">
        <v>19121.0</v>
      </c>
      <c r="C4423" s="1">
        <v>1.622395674E9</v>
      </c>
      <c r="D4423" s="1">
        <v>4.0</v>
      </c>
      <c r="E4423" s="1" t="b">
        <v>0</v>
      </c>
      <c r="F4423" s="1" t="s">
        <v>18207</v>
      </c>
    </row>
    <row r="4424">
      <c r="A4424" s="1">
        <v>50023.0</v>
      </c>
      <c r="B4424" s="1">
        <v>19709.0</v>
      </c>
      <c r="C4424" s="1">
        <v>1.623186567E9</v>
      </c>
      <c r="D4424" s="1">
        <v>4.0</v>
      </c>
      <c r="E4424" s="1" t="b">
        <v>0</v>
      </c>
      <c r="F4424" s="1" t="s">
        <v>18208</v>
      </c>
    </row>
    <row r="4425">
      <c r="A4425" s="1">
        <v>50023.0</v>
      </c>
      <c r="B4425" s="1">
        <v>19399.0</v>
      </c>
      <c r="C4425" s="1">
        <v>1.622689935E9</v>
      </c>
      <c r="D4425" s="1">
        <v>4.0</v>
      </c>
      <c r="E4425" s="1" t="b">
        <v>0</v>
      </c>
      <c r="F4425" s="1" t="s">
        <v>18209</v>
      </c>
    </row>
    <row r="4426">
      <c r="A4426" s="1">
        <v>50023.0</v>
      </c>
      <c r="B4426" s="1">
        <v>18721.0</v>
      </c>
      <c r="C4426" s="1">
        <v>1.621872254E9</v>
      </c>
      <c r="D4426" s="1">
        <v>4.0</v>
      </c>
      <c r="E4426" s="1" t="b">
        <v>0</v>
      </c>
      <c r="F4426" s="1" t="s">
        <v>18210</v>
      </c>
    </row>
    <row r="4427">
      <c r="A4427" s="1">
        <v>50023.0</v>
      </c>
      <c r="B4427" s="1">
        <v>19632.0</v>
      </c>
      <c r="C4427" s="1">
        <v>1.623079889E9</v>
      </c>
      <c r="D4427" s="1">
        <v>4.0</v>
      </c>
      <c r="E4427" s="1" t="b">
        <v>0</v>
      </c>
      <c r="F4427" s="1" t="s">
        <v>18211</v>
      </c>
    </row>
    <row r="4428">
      <c r="A4428" s="1">
        <v>50023.0</v>
      </c>
      <c r="B4428" s="1">
        <v>20167.0</v>
      </c>
      <c r="C4428" s="1">
        <v>1.623856252E9</v>
      </c>
      <c r="D4428" s="1">
        <v>4.0</v>
      </c>
      <c r="E4428" s="1" t="b">
        <v>0</v>
      </c>
      <c r="F4428" s="1" t="s">
        <v>18212</v>
      </c>
    </row>
    <row r="4429">
      <c r="A4429" s="1">
        <v>50023.0</v>
      </c>
      <c r="B4429" s="1">
        <v>20018.0</v>
      </c>
      <c r="C4429" s="1">
        <v>1.623648287E9</v>
      </c>
      <c r="D4429" s="1">
        <v>4.0</v>
      </c>
      <c r="E4429" s="1" t="b">
        <v>0</v>
      </c>
      <c r="F4429" s="1" t="s">
        <v>18213</v>
      </c>
    </row>
    <row r="4430">
      <c r="A4430" s="1">
        <v>50023.0</v>
      </c>
      <c r="B4430" s="1">
        <v>20250.0</v>
      </c>
      <c r="C4430" s="1">
        <v>1.623981476E9</v>
      </c>
      <c r="D4430" s="1">
        <v>4.0</v>
      </c>
      <c r="E4430" s="1" t="b">
        <v>0</v>
      </c>
      <c r="F4430" s="1" t="s">
        <v>18214</v>
      </c>
    </row>
    <row r="4431">
      <c r="A4431" s="1">
        <v>50023.0</v>
      </c>
      <c r="B4431" s="1">
        <v>19861.0</v>
      </c>
      <c r="C4431" s="1">
        <v>1.623408571E9</v>
      </c>
      <c r="D4431" s="1">
        <v>4.0</v>
      </c>
      <c r="E4431" s="1" t="b">
        <v>0</v>
      </c>
      <c r="F4431" s="1" t="s">
        <v>18215</v>
      </c>
    </row>
    <row r="4432">
      <c r="A4432" s="1">
        <v>50023.0</v>
      </c>
      <c r="B4432" s="1">
        <v>16450.0</v>
      </c>
      <c r="C4432" s="1">
        <v>1.619013918E9</v>
      </c>
      <c r="D4432" s="1">
        <v>4.0</v>
      </c>
      <c r="E4432" s="1" t="b">
        <v>0</v>
      </c>
      <c r="F4432" s="1" t="s">
        <v>18067</v>
      </c>
      <c r="G4432" s="1" t="b">
        <v>1</v>
      </c>
    </row>
    <row r="4433">
      <c r="A4433" s="1">
        <v>50023.0</v>
      </c>
      <c r="B4433" s="1">
        <v>19485.0</v>
      </c>
      <c r="C4433" s="1">
        <v>1.622789463E9</v>
      </c>
      <c r="D4433" s="1">
        <v>4.0</v>
      </c>
      <c r="E4433" s="1" t="b">
        <v>0</v>
      </c>
      <c r="F4433" s="1" t="s">
        <v>18216</v>
      </c>
    </row>
    <row r="4434">
      <c r="A4434" s="1">
        <v>50023.0</v>
      </c>
      <c r="B4434" s="1">
        <v>17095.0</v>
      </c>
      <c r="C4434" s="1">
        <v>1.619021083E9</v>
      </c>
      <c r="D4434" s="1">
        <v>4.0</v>
      </c>
      <c r="E4434" s="1" t="b">
        <v>0</v>
      </c>
      <c r="F4434" s="1" t="s">
        <v>18217</v>
      </c>
    </row>
    <row r="4435">
      <c r="A4435" s="1">
        <v>50023.0</v>
      </c>
      <c r="B4435" s="1">
        <v>19049.0</v>
      </c>
      <c r="C4435" s="1">
        <v>1.622310609E9</v>
      </c>
      <c r="D4435" s="1">
        <v>4.0</v>
      </c>
      <c r="E4435" s="1" t="b">
        <v>0</v>
      </c>
      <c r="F4435" s="1" t="s">
        <v>18218</v>
      </c>
    </row>
    <row r="4436">
      <c r="A4436" s="1">
        <v>50023.0</v>
      </c>
      <c r="B4436" s="1">
        <v>19951.0</v>
      </c>
      <c r="C4436" s="1">
        <v>1.623531051E9</v>
      </c>
      <c r="D4436" s="1">
        <v>4.0</v>
      </c>
      <c r="E4436" s="1" t="b">
        <v>0</v>
      </c>
      <c r="F4436" s="1" t="s">
        <v>18219</v>
      </c>
    </row>
    <row r="4437">
      <c r="A4437" s="1">
        <v>50023.0</v>
      </c>
      <c r="B4437" s="1">
        <v>17769.0</v>
      </c>
      <c r="C4437" s="1">
        <v>1.620499909E9</v>
      </c>
      <c r="D4437" s="1">
        <v>4.0</v>
      </c>
      <c r="E4437" s="1" t="b">
        <v>0</v>
      </c>
      <c r="F4437" s="1" t="s">
        <v>18220</v>
      </c>
    </row>
    <row r="4438">
      <c r="A4438" s="1">
        <v>50023.0</v>
      </c>
      <c r="B4438" s="1">
        <v>18538.0</v>
      </c>
      <c r="C4438" s="1">
        <v>1.621689431E9</v>
      </c>
      <c r="D4438" s="1">
        <v>4.0</v>
      </c>
      <c r="E4438" s="1" t="b">
        <v>0</v>
      </c>
      <c r="F4438" s="1" t="s">
        <v>18221</v>
      </c>
    </row>
    <row r="4439">
      <c r="A4439" s="1">
        <v>50023.0</v>
      </c>
      <c r="B4439" s="1">
        <v>19971.0</v>
      </c>
      <c r="C4439" s="1">
        <v>1.623573442E9</v>
      </c>
      <c r="D4439" s="1">
        <v>4.0</v>
      </c>
      <c r="E4439" s="1" t="b">
        <v>0</v>
      </c>
      <c r="F4439" s="1" t="s">
        <v>18222</v>
      </c>
    </row>
    <row r="4440">
      <c r="A4440" s="1">
        <v>50023.0</v>
      </c>
      <c r="B4440" s="1">
        <v>20223.0</v>
      </c>
      <c r="C4440" s="1">
        <v>1.623942082E9</v>
      </c>
      <c r="D4440" s="1">
        <v>4.0</v>
      </c>
      <c r="E4440" s="1" t="b">
        <v>0</v>
      </c>
      <c r="F4440" s="1" t="s">
        <v>18223</v>
      </c>
    </row>
    <row r="4441">
      <c r="A4441" s="1">
        <v>50023.0</v>
      </c>
      <c r="B4441" s="1">
        <v>20321.0</v>
      </c>
      <c r="C4441" s="1">
        <v>1.624113405E9</v>
      </c>
      <c r="D4441" s="1">
        <v>4.0</v>
      </c>
      <c r="E4441" s="1" t="b">
        <v>0</v>
      </c>
      <c r="F4441" s="1" t="s">
        <v>18224</v>
      </c>
    </row>
    <row r="4442">
      <c r="A4442" s="1">
        <v>50023.0</v>
      </c>
      <c r="B4442" s="1">
        <v>20201.0</v>
      </c>
      <c r="C4442" s="1">
        <v>1.623923579E9</v>
      </c>
      <c r="D4442" s="1">
        <v>4.0</v>
      </c>
      <c r="E4442" s="1" t="b">
        <v>0</v>
      </c>
      <c r="F4442" s="1" t="s">
        <v>18225</v>
      </c>
    </row>
    <row r="4443">
      <c r="A4443" s="1">
        <v>50023.0</v>
      </c>
      <c r="B4443" s="1">
        <v>19293.0</v>
      </c>
      <c r="C4443" s="1">
        <v>1.62256322E9</v>
      </c>
      <c r="D4443" s="1">
        <v>4.0</v>
      </c>
      <c r="E4443" s="1" t="b">
        <v>0</v>
      </c>
      <c r="F4443" s="1" t="s">
        <v>18226</v>
      </c>
    </row>
    <row r="4444">
      <c r="A4444" s="1">
        <v>50023.0</v>
      </c>
      <c r="B4444" s="1">
        <v>19872.0</v>
      </c>
      <c r="C4444" s="1">
        <v>1.623416818E9</v>
      </c>
      <c r="D4444" s="1">
        <v>4.0</v>
      </c>
      <c r="E4444" s="1" t="b">
        <v>0</v>
      </c>
      <c r="F4444" s="1" t="s">
        <v>18227</v>
      </c>
    </row>
    <row r="4445">
      <c r="A4445" s="1">
        <v>50023.0</v>
      </c>
      <c r="B4445" s="1">
        <v>20147.0</v>
      </c>
      <c r="C4445" s="1">
        <v>1.623851232E9</v>
      </c>
      <c r="D4445" s="1">
        <v>4.0</v>
      </c>
      <c r="E4445" s="1" t="b">
        <v>0</v>
      </c>
      <c r="F4445" s="1" t="s">
        <v>18228</v>
      </c>
    </row>
    <row r="4446">
      <c r="A4446" s="1">
        <v>50023.0</v>
      </c>
      <c r="B4446" s="1">
        <v>19751.0</v>
      </c>
      <c r="C4446" s="1">
        <v>1.623241041E9</v>
      </c>
      <c r="D4446" s="1">
        <v>4.0</v>
      </c>
      <c r="E4446" s="1" t="b">
        <v>0</v>
      </c>
      <c r="F4446" s="1" t="s">
        <v>18229</v>
      </c>
    </row>
    <row r="4447">
      <c r="A4447" s="1">
        <v>50023.0</v>
      </c>
      <c r="B4447" s="1">
        <v>19336.0</v>
      </c>
      <c r="C4447" s="1">
        <v>1.622615703E9</v>
      </c>
      <c r="D4447" s="1">
        <v>4.0</v>
      </c>
      <c r="E4447" s="1" t="b">
        <v>0</v>
      </c>
      <c r="F4447" s="1" t="s">
        <v>18230</v>
      </c>
    </row>
    <row r="4448">
      <c r="A4448" s="1">
        <v>50023.0</v>
      </c>
      <c r="B4448" s="1">
        <v>20008.0</v>
      </c>
      <c r="C4448" s="1">
        <v>1.623622514E9</v>
      </c>
      <c r="D4448" s="1">
        <v>4.0</v>
      </c>
      <c r="E4448" s="1" t="b">
        <v>0</v>
      </c>
      <c r="F4448" s="1" t="s">
        <v>18231</v>
      </c>
    </row>
    <row r="4449">
      <c r="A4449" s="1">
        <v>50023.0</v>
      </c>
      <c r="B4449" s="1">
        <v>19456.0</v>
      </c>
      <c r="C4449" s="1">
        <v>1.622727081E9</v>
      </c>
      <c r="D4449" s="1">
        <v>4.0</v>
      </c>
      <c r="E4449" s="1" t="b">
        <v>0</v>
      </c>
      <c r="F4449" s="1" t="s">
        <v>18232</v>
      </c>
    </row>
    <row r="4450">
      <c r="A4450" s="1">
        <v>50023.0</v>
      </c>
      <c r="B4450" s="1">
        <v>19679.0</v>
      </c>
      <c r="C4450" s="1">
        <v>1.623143216E9</v>
      </c>
      <c r="D4450" s="1">
        <v>4.0</v>
      </c>
      <c r="E4450" s="1" t="b">
        <v>0</v>
      </c>
      <c r="F4450" s="1" t="s">
        <v>18233</v>
      </c>
    </row>
    <row r="4451">
      <c r="A4451" s="1">
        <v>50023.0</v>
      </c>
      <c r="B4451" s="1">
        <v>20170.0</v>
      </c>
      <c r="C4451" s="1">
        <v>1.623860776E9</v>
      </c>
      <c r="D4451" s="1">
        <v>4.0</v>
      </c>
      <c r="E4451" s="1" t="b">
        <v>0</v>
      </c>
      <c r="F4451" s="1" t="s">
        <v>16437</v>
      </c>
    </row>
    <row r="4452">
      <c r="A4452" s="1">
        <v>50023.0</v>
      </c>
      <c r="B4452" s="1">
        <v>19816.0</v>
      </c>
      <c r="C4452" s="1">
        <v>1.623335011E9</v>
      </c>
      <c r="D4452" s="1">
        <v>4.0</v>
      </c>
      <c r="E4452" s="1" t="b">
        <v>0</v>
      </c>
      <c r="F4452" s="1" t="s">
        <v>18234</v>
      </c>
    </row>
    <row r="4453">
      <c r="A4453" s="1">
        <v>50023.0</v>
      </c>
      <c r="B4453" s="1">
        <v>19770.0</v>
      </c>
      <c r="C4453" s="1">
        <v>1.623288093E9</v>
      </c>
      <c r="D4453" s="1">
        <v>4.0</v>
      </c>
      <c r="E4453" s="1" t="b">
        <v>0</v>
      </c>
      <c r="F4453" s="1" t="s">
        <v>18235</v>
      </c>
    </row>
    <row r="4454">
      <c r="A4454" s="1">
        <v>50023.0</v>
      </c>
      <c r="B4454" s="1">
        <v>20255.0</v>
      </c>
      <c r="C4454" s="1">
        <v>1.623993336E9</v>
      </c>
      <c r="D4454" s="1">
        <v>4.0</v>
      </c>
      <c r="E4454" s="1" t="b">
        <v>0</v>
      </c>
      <c r="F4454" s="1" t="s">
        <v>18236</v>
      </c>
    </row>
    <row r="4455">
      <c r="A4455" s="1">
        <v>50023.0</v>
      </c>
      <c r="B4455" s="1">
        <v>19992.0</v>
      </c>
      <c r="C4455" s="1">
        <v>1.623598416E9</v>
      </c>
      <c r="D4455" s="1">
        <v>4.0</v>
      </c>
      <c r="E4455" s="1" t="b">
        <v>0</v>
      </c>
      <c r="F4455" s="1" t="s">
        <v>18237</v>
      </c>
    </row>
    <row r="4456">
      <c r="A4456" s="1">
        <v>50023.0</v>
      </c>
      <c r="B4456" s="1">
        <v>19407.0</v>
      </c>
      <c r="C4456" s="1">
        <v>1.622693981E9</v>
      </c>
      <c r="D4456" s="1">
        <v>4.0</v>
      </c>
      <c r="E4456" s="1" t="b">
        <v>0</v>
      </c>
      <c r="F4456" s="1" t="s">
        <v>18238</v>
      </c>
    </row>
    <row r="4457">
      <c r="A4457" s="1">
        <v>50023.0</v>
      </c>
      <c r="B4457" s="1">
        <v>19721.0</v>
      </c>
      <c r="C4457" s="1">
        <v>1.623217389E9</v>
      </c>
      <c r="D4457" s="1">
        <v>4.0</v>
      </c>
      <c r="E4457" s="1" t="b">
        <v>0</v>
      </c>
      <c r="F4457" s="1" t="s">
        <v>18239</v>
      </c>
    </row>
    <row r="4458">
      <c r="A4458" s="1">
        <v>50023.0</v>
      </c>
      <c r="B4458" s="1">
        <v>20259.0</v>
      </c>
      <c r="C4458" s="1">
        <v>1.623996749E9</v>
      </c>
      <c r="D4458" s="1">
        <v>4.0</v>
      </c>
      <c r="E4458" s="1" t="b">
        <v>0</v>
      </c>
      <c r="F4458" s="1" t="s">
        <v>18240</v>
      </c>
    </row>
    <row r="4459">
      <c r="A4459" s="1">
        <v>50023.0</v>
      </c>
      <c r="B4459" s="1">
        <v>19623.0</v>
      </c>
      <c r="C4459" s="1">
        <v>1.62321758E9</v>
      </c>
      <c r="D4459" s="1">
        <v>4.0</v>
      </c>
      <c r="E4459" s="1" t="b">
        <v>0</v>
      </c>
      <c r="F4459" s="1" t="s">
        <v>18241</v>
      </c>
    </row>
    <row r="4460">
      <c r="A4460" s="1">
        <v>50023.0</v>
      </c>
      <c r="B4460" s="1">
        <v>19991.0</v>
      </c>
      <c r="C4460" s="1">
        <v>1.623598504E9</v>
      </c>
      <c r="D4460" s="1">
        <v>4.0</v>
      </c>
      <c r="E4460" s="1" t="b">
        <v>0</v>
      </c>
      <c r="F4460" s="1" t="s">
        <v>18242</v>
      </c>
    </row>
    <row r="4461">
      <c r="A4461" s="1">
        <v>50023.0</v>
      </c>
      <c r="B4461" s="1">
        <v>19417.0</v>
      </c>
      <c r="C4461" s="1">
        <v>1.62270079E9</v>
      </c>
      <c r="D4461" s="1">
        <v>4.0</v>
      </c>
      <c r="E4461" s="1" t="b">
        <v>0</v>
      </c>
      <c r="F4461" s="1" t="s">
        <v>18243</v>
      </c>
    </row>
    <row r="4462">
      <c r="A4462" s="1">
        <v>50023.0</v>
      </c>
      <c r="B4462" s="1">
        <v>20062.0</v>
      </c>
      <c r="C4462" s="1">
        <v>1.623729088E9</v>
      </c>
      <c r="D4462" s="1">
        <v>4.0</v>
      </c>
      <c r="E4462" s="1" t="b">
        <v>0</v>
      </c>
      <c r="F4462" s="1" t="s">
        <v>18244</v>
      </c>
    </row>
    <row r="4463">
      <c r="A4463" s="1">
        <v>50023.0</v>
      </c>
      <c r="B4463" s="1">
        <v>20092.0</v>
      </c>
      <c r="C4463" s="1">
        <v>1.623762668E9</v>
      </c>
      <c r="D4463" s="1">
        <v>4.0</v>
      </c>
      <c r="E4463" s="1" t="b">
        <v>0</v>
      </c>
      <c r="F4463" s="1" t="s">
        <v>18245</v>
      </c>
    </row>
    <row r="4464">
      <c r="A4464" s="1">
        <v>50023.0</v>
      </c>
      <c r="B4464" s="1">
        <v>19917.0</v>
      </c>
      <c r="C4464" s="1">
        <v>1.62348827E9</v>
      </c>
      <c r="D4464" s="1">
        <v>4.0</v>
      </c>
      <c r="E4464" s="1" t="b">
        <v>0</v>
      </c>
      <c r="F4464" s="1" t="s">
        <v>18246</v>
      </c>
    </row>
    <row r="4465">
      <c r="A4465" s="1">
        <v>50023.0</v>
      </c>
      <c r="B4465" s="1">
        <v>19317.0</v>
      </c>
      <c r="C4465" s="1">
        <v>1.622604099E9</v>
      </c>
      <c r="D4465" s="1">
        <v>4.0</v>
      </c>
      <c r="E4465" s="1" t="b">
        <v>0</v>
      </c>
      <c r="F4465" s="1" t="s">
        <v>18247</v>
      </c>
    </row>
    <row r="4466">
      <c r="A4466" s="1">
        <v>50023.0</v>
      </c>
      <c r="B4466" s="1">
        <v>18769.0</v>
      </c>
      <c r="C4466" s="1">
        <v>1.621943159E9</v>
      </c>
      <c r="D4466" s="1">
        <v>4.0</v>
      </c>
      <c r="E4466" s="1" t="b">
        <v>0</v>
      </c>
      <c r="F4466" s="1" t="s">
        <v>18248</v>
      </c>
    </row>
    <row r="4467">
      <c r="A4467" s="1">
        <v>50023.0</v>
      </c>
      <c r="B4467" s="1">
        <v>19611.0</v>
      </c>
      <c r="C4467" s="1">
        <v>1.623063375E9</v>
      </c>
      <c r="D4467" s="1">
        <v>9.0</v>
      </c>
      <c r="E4467" s="1" t="b">
        <v>0</v>
      </c>
      <c r="F4467" s="1" t="s">
        <v>18249</v>
      </c>
    </row>
    <row r="4468">
      <c r="A4468" s="1">
        <v>50023.0</v>
      </c>
      <c r="B4468" s="1">
        <v>20121.0</v>
      </c>
      <c r="C4468" s="1">
        <v>1.623818888E9</v>
      </c>
      <c r="D4468" s="1">
        <v>4.0</v>
      </c>
      <c r="E4468" s="1" t="b">
        <v>0</v>
      </c>
      <c r="F4468" s="1" t="s">
        <v>18250</v>
      </c>
    </row>
    <row r="4469">
      <c r="A4469" s="1">
        <v>50023.0</v>
      </c>
      <c r="B4469" s="1">
        <v>20272.0</v>
      </c>
      <c r="C4469" s="1">
        <v>1.624012548E9</v>
      </c>
      <c r="D4469" s="1">
        <v>4.0</v>
      </c>
      <c r="E4469" s="1" t="b">
        <v>0</v>
      </c>
      <c r="F4469" s="1" t="s">
        <v>18251</v>
      </c>
    </row>
    <row r="4470">
      <c r="A4470" s="1">
        <v>50023.0</v>
      </c>
      <c r="B4470" s="1">
        <v>20394.0</v>
      </c>
      <c r="C4470" s="1">
        <v>1.624285616E9</v>
      </c>
      <c r="D4470" s="1">
        <v>4.0</v>
      </c>
      <c r="E4470" s="1" t="b">
        <v>0</v>
      </c>
      <c r="F4470" s="1" t="s">
        <v>18252</v>
      </c>
    </row>
    <row r="4471">
      <c r="A4471" s="1">
        <v>50023.0</v>
      </c>
      <c r="B4471" s="1">
        <v>19898.0</v>
      </c>
      <c r="C4471" s="1">
        <v>1.623433112E9</v>
      </c>
      <c r="D4471" s="1">
        <v>4.0</v>
      </c>
      <c r="E4471" s="1" t="b">
        <v>0</v>
      </c>
      <c r="F4471" s="1" t="s">
        <v>18253</v>
      </c>
    </row>
    <row r="4472">
      <c r="A4472" s="1">
        <v>50023.0</v>
      </c>
      <c r="B4472" s="1">
        <v>20126.0</v>
      </c>
      <c r="C4472" s="1">
        <v>1.623822798E9</v>
      </c>
      <c r="D4472" s="1">
        <v>9.0</v>
      </c>
      <c r="E4472" s="1" t="b">
        <v>0</v>
      </c>
      <c r="F4472" s="1" t="s">
        <v>18254</v>
      </c>
    </row>
    <row r="4473">
      <c r="A4473" s="1">
        <v>50023.0</v>
      </c>
      <c r="B4473" s="1">
        <v>19224.0</v>
      </c>
      <c r="C4473" s="1">
        <v>1.622536414E9</v>
      </c>
      <c r="D4473" s="1">
        <v>4.0</v>
      </c>
      <c r="E4473" s="1" t="b">
        <v>0</v>
      </c>
      <c r="F4473" s="1" t="s">
        <v>18255</v>
      </c>
    </row>
    <row r="4474">
      <c r="A4474" s="1">
        <v>50023.0</v>
      </c>
      <c r="B4474" s="1">
        <v>19465.0</v>
      </c>
      <c r="C4474" s="1">
        <v>1.622734365E9</v>
      </c>
      <c r="D4474" s="1">
        <v>4.0</v>
      </c>
      <c r="E4474" s="1" t="b">
        <v>0</v>
      </c>
      <c r="F4474" s="1" t="s">
        <v>18256</v>
      </c>
    </row>
    <row r="4475">
      <c r="A4475" s="1">
        <v>50023.0</v>
      </c>
      <c r="B4475" s="1">
        <v>19826.0</v>
      </c>
      <c r="C4475" s="1">
        <v>1.623344768E9</v>
      </c>
      <c r="D4475" s="1">
        <v>4.0</v>
      </c>
      <c r="E4475" s="1" t="b">
        <v>0</v>
      </c>
      <c r="F4475" s="1" t="s">
        <v>18257</v>
      </c>
    </row>
    <row r="4476">
      <c r="A4476" s="1">
        <v>50023.0</v>
      </c>
      <c r="B4476" s="1">
        <v>17128.0</v>
      </c>
      <c r="C4476" s="1">
        <v>1.619078258E9</v>
      </c>
      <c r="D4476" s="1">
        <v>4.0</v>
      </c>
      <c r="E4476" s="1" t="b">
        <v>0</v>
      </c>
      <c r="F4476" s="1" t="s">
        <v>18258</v>
      </c>
    </row>
    <row r="4477">
      <c r="A4477" s="1">
        <v>50023.0</v>
      </c>
      <c r="B4477" s="1">
        <v>17932.0</v>
      </c>
      <c r="C4477" s="1">
        <v>1.620665001E9</v>
      </c>
      <c r="D4477" s="1">
        <v>4.0</v>
      </c>
      <c r="E4477" s="1" t="b">
        <v>0</v>
      </c>
      <c r="F4477" s="1" t="s">
        <v>18259</v>
      </c>
    </row>
    <row r="4478">
      <c r="A4478" s="1">
        <v>50023.0</v>
      </c>
      <c r="B4478" s="1">
        <v>19888.0</v>
      </c>
      <c r="C4478" s="1">
        <v>1.623427165E9</v>
      </c>
      <c r="D4478" s="1">
        <v>4.0</v>
      </c>
      <c r="E4478" s="1" t="b">
        <v>0</v>
      </c>
      <c r="F4478" s="1" t="s">
        <v>18260</v>
      </c>
    </row>
    <row r="4479">
      <c r="A4479" s="1">
        <v>50023.0</v>
      </c>
      <c r="B4479" s="1">
        <v>19089.0</v>
      </c>
      <c r="C4479" s="1">
        <v>1.622368423E9</v>
      </c>
      <c r="D4479" s="1">
        <v>4.0</v>
      </c>
      <c r="E4479" s="1" t="b">
        <v>0</v>
      </c>
      <c r="F4479" s="1" t="s">
        <v>18261</v>
      </c>
    </row>
    <row r="4480">
      <c r="A4480" s="1">
        <v>50023.0</v>
      </c>
      <c r="B4480" s="1">
        <v>17126.0</v>
      </c>
      <c r="C4480" s="1">
        <v>1.61907366E9</v>
      </c>
      <c r="D4480" s="1">
        <v>4.0</v>
      </c>
      <c r="E4480" s="1" t="b">
        <v>0</v>
      </c>
      <c r="F4480" s="1" t="s">
        <v>18262</v>
      </c>
    </row>
    <row r="4481">
      <c r="A4481" s="1">
        <v>50023.0</v>
      </c>
      <c r="B4481" s="1">
        <v>19595.0</v>
      </c>
      <c r="C4481" s="1">
        <v>1.623048768E9</v>
      </c>
      <c r="D4481" s="1">
        <v>4.0</v>
      </c>
      <c r="E4481" s="1" t="b">
        <v>0</v>
      </c>
      <c r="F4481" s="1" t="s">
        <v>18263</v>
      </c>
    </row>
    <row r="4482">
      <c r="A4482" s="1">
        <v>50023.0</v>
      </c>
      <c r="B4482" s="1">
        <v>19390.0</v>
      </c>
      <c r="C4482" s="1">
        <v>1.622656754E9</v>
      </c>
      <c r="D4482" s="1">
        <v>4.0</v>
      </c>
      <c r="E4482" s="1" t="b">
        <v>0</v>
      </c>
      <c r="F4482" s="1" t="s">
        <v>18264</v>
      </c>
    </row>
    <row r="4483">
      <c r="A4483" s="1">
        <v>50023.0</v>
      </c>
      <c r="B4483" s="1">
        <v>20292.0</v>
      </c>
      <c r="C4483" s="1">
        <v>1.624069894E9</v>
      </c>
      <c r="D4483" s="1">
        <v>4.0</v>
      </c>
      <c r="E4483" s="1" t="b">
        <v>0</v>
      </c>
      <c r="F4483" s="1" t="s">
        <v>18265</v>
      </c>
    </row>
    <row r="4484">
      <c r="A4484" s="1">
        <v>50023.0</v>
      </c>
      <c r="B4484" s="1">
        <v>19646.0</v>
      </c>
      <c r="C4484" s="1">
        <v>1.623089068E9</v>
      </c>
      <c r="D4484" s="1">
        <v>4.0</v>
      </c>
      <c r="E4484" s="1" t="b">
        <v>0</v>
      </c>
      <c r="F4484" s="1" t="s">
        <v>18266</v>
      </c>
    </row>
    <row r="4485">
      <c r="A4485" s="1">
        <v>50023.0</v>
      </c>
      <c r="B4485" s="1">
        <v>19723.0</v>
      </c>
      <c r="C4485" s="1">
        <v>1.623218357E9</v>
      </c>
      <c r="D4485" s="1">
        <v>4.0</v>
      </c>
      <c r="E4485" s="1" t="b">
        <v>0</v>
      </c>
      <c r="F4485" s="1" t="s">
        <v>18267</v>
      </c>
    </row>
    <row r="4486">
      <c r="A4486" s="1">
        <v>50023.0</v>
      </c>
      <c r="B4486" s="1">
        <v>19845.0</v>
      </c>
      <c r="C4486" s="1">
        <v>1.623391265E9</v>
      </c>
      <c r="D4486" s="1">
        <v>4.0</v>
      </c>
      <c r="E4486" s="1" t="b">
        <v>0</v>
      </c>
      <c r="F4486" s="1" t="s">
        <v>18268</v>
      </c>
    </row>
    <row r="4487">
      <c r="A4487" s="1">
        <v>50023.0</v>
      </c>
      <c r="B4487" s="1">
        <v>19281.0</v>
      </c>
      <c r="C4487" s="1">
        <v>1.622555278E9</v>
      </c>
      <c r="D4487" s="1">
        <v>4.0</v>
      </c>
      <c r="E4487" s="1" t="b">
        <v>0</v>
      </c>
      <c r="F4487" s="1" t="s">
        <v>18269</v>
      </c>
    </row>
    <row r="4488">
      <c r="A4488" s="1">
        <v>50023.0</v>
      </c>
      <c r="B4488" s="1">
        <v>17125.0</v>
      </c>
      <c r="C4488" s="1">
        <v>1.619071878E9</v>
      </c>
      <c r="D4488" s="1">
        <v>4.0</v>
      </c>
      <c r="E4488" s="1" t="b">
        <v>0</v>
      </c>
      <c r="F4488" s="1" t="s">
        <v>18270</v>
      </c>
    </row>
    <row r="4489">
      <c r="A4489" s="1">
        <v>50023.0</v>
      </c>
      <c r="B4489" s="1">
        <v>20439.0</v>
      </c>
      <c r="C4489" s="1">
        <v>1.624365723E9</v>
      </c>
      <c r="D4489" s="1">
        <v>4.0</v>
      </c>
      <c r="E4489" s="1" t="b">
        <v>0</v>
      </c>
      <c r="F4489" s="1" t="s">
        <v>18271</v>
      </c>
    </row>
    <row r="4490">
      <c r="A4490" s="1">
        <v>50023.0</v>
      </c>
      <c r="B4490" s="1">
        <v>19064.0</v>
      </c>
      <c r="C4490" s="1">
        <v>1.622355398E9</v>
      </c>
      <c r="D4490" s="1">
        <v>4.0</v>
      </c>
      <c r="E4490" s="1" t="b">
        <v>0</v>
      </c>
      <c r="F4490" s="1" t="s">
        <v>18272</v>
      </c>
    </row>
    <row r="4491">
      <c r="A4491" s="1">
        <v>50023.0</v>
      </c>
      <c r="B4491" s="1">
        <v>20104.0</v>
      </c>
      <c r="C4491" s="1">
        <v>1.623776066E9</v>
      </c>
      <c r="D4491" s="1">
        <v>4.0</v>
      </c>
      <c r="E4491" s="1" t="b">
        <v>0</v>
      </c>
      <c r="F4491" s="1" t="s">
        <v>18273</v>
      </c>
    </row>
    <row r="4492">
      <c r="A4492" s="1">
        <v>50023.0</v>
      </c>
      <c r="B4492" s="1">
        <v>19384.0</v>
      </c>
      <c r="C4492" s="1">
        <v>1.622652675E9</v>
      </c>
      <c r="D4492" s="1">
        <v>4.0</v>
      </c>
      <c r="E4492" s="1" t="b">
        <v>0</v>
      </c>
      <c r="F4492" s="1" t="s">
        <v>18274</v>
      </c>
    </row>
    <row r="4493">
      <c r="A4493" s="1">
        <v>50023.0</v>
      </c>
      <c r="B4493" s="1">
        <v>16633.0</v>
      </c>
      <c r="C4493" s="1">
        <v>1.618290312E9</v>
      </c>
      <c r="D4493" s="1">
        <v>1.0</v>
      </c>
      <c r="E4493" s="1" t="b">
        <v>1</v>
      </c>
      <c r="F4493" s="1" t="s">
        <v>18275</v>
      </c>
    </row>
    <row r="4494">
      <c r="A4494" s="1">
        <v>50023.0</v>
      </c>
      <c r="B4494" s="1">
        <v>19998.0</v>
      </c>
      <c r="C4494" s="1">
        <v>1.623605383E9</v>
      </c>
      <c r="D4494" s="1">
        <v>4.0</v>
      </c>
      <c r="E4494" s="1" t="b">
        <v>0</v>
      </c>
      <c r="F4494" s="1" t="s">
        <v>18276</v>
      </c>
    </row>
    <row r="4495">
      <c r="A4495" s="1">
        <v>50023.0</v>
      </c>
      <c r="B4495" s="1">
        <v>20155.0</v>
      </c>
      <c r="C4495" s="1">
        <v>1.623841428E9</v>
      </c>
      <c r="D4495" s="1">
        <v>4.0</v>
      </c>
      <c r="E4495" s="1" t="b">
        <v>0</v>
      </c>
      <c r="F4495" s="1" t="s">
        <v>18277</v>
      </c>
    </row>
    <row r="4496">
      <c r="A4496" s="1">
        <v>50023.0</v>
      </c>
      <c r="B4496" s="1">
        <v>19818.0</v>
      </c>
      <c r="C4496" s="1">
        <v>1.623336503E9</v>
      </c>
      <c r="D4496" s="1">
        <v>4.0</v>
      </c>
      <c r="E4496" s="1" t="b">
        <v>0</v>
      </c>
      <c r="F4496" s="1" t="s">
        <v>18278</v>
      </c>
    </row>
    <row r="4497">
      <c r="A4497" s="1">
        <v>50023.0</v>
      </c>
      <c r="B4497" s="1">
        <v>19191.0</v>
      </c>
      <c r="C4497" s="1">
        <v>1.622467571E9</v>
      </c>
      <c r="D4497" s="1">
        <v>4.0</v>
      </c>
      <c r="E4497" s="1" t="b">
        <v>0</v>
      </c>
      <c r="F4497" s="1" t="s">
        <v>18279</v>
      </c>
    </row>
    <row r="4498">
      <c r="A4498" s="1">
        <v>50023.0</v>
      </c>
      <c r="B4498" s="1">
        <v>20240.0</v>
      </c>
      <c r="C4498" s="1">
        <v>1.623953359E9</v>
      </c>
      <c r="D4498" s="1">
        <v>4.0</v>
      </c>
      <c r="E4498" s="1" t="b">
        <v>0</v>
      </c>
      <c r="F4498" s="1" t="s">
        <v>18280</v>
      </c>
    </row>
    <row r="4499">
      <c r="A4499" s="1">
        <v>50023.0</v>
      </c>
      <c r="B4499" s="1">
        <v>19530.0</v>
      </c>
      <c r="C4499" s="1">
        <v>1.622972838E9</v>
      </c>
      <c r="D4499" s="1">
        <v>4.0</v>
      </c>
      <c r="E4499" s="1" t="b">
        <v>0</v>
      </c>
      <c r="F4499" s="1" t="s">
        <v>18281</v>
      </c>
    </row>
    <row r="4500">
      <c r="A4500" s="1">
        <v>50023.0</v>
      </c>
      <c r="B4500" s="1">
        <v>19569.0</v>
      </c>
      <c r="C4500" s="1">
        <v>1.622993885E9</v>
      </c>
      <c r="D4500" s="1">
        <v>4.0</v>
      </c>
      <c r="E4500" s="1" t="b">
        <v>0</v>
      </c>
      <c r="F4500" s="1" t="s">
        <v>18282</v>
      </c>
    </row>
    <row r="4501">
      <c r="A4501" s="1">
        <v>50023.0</v>
      </c>
      <c r="B4501" s="1">
        <v>20441.0</v>
      </c>
      <c r="C4501" s="1">
        <v>1.624368243E9</v>
      </c>
      <c r="D4501" s="1">
        <v>4.0</v>
      </c>
      <c r="E4501" s="1" t="b">
        <v>0</v>
      </c>
      <c r="F4501" s="1" t="s">
        <v>18283</v>
      </c>
    </row>
    <row r="4502">
      <c r="A4502" s="1">
        <v>50023.0</v>
      </c>
      <c r="B4502" s="1">
        <v>19005.0</v>
      </c>
      <c r="C4502" s="1">
        <v>1.622261847E9</v>
      </c>
      <c r="D4502" s="1">
        <v>4.0</v>
      </c>
      <c r="E4502" s="1" t="b">
        <v>0</v>
      </c>
      <c r="F4502" s="1" t="s">
        <v>18284</v>
      </c>
    </row>
    <row r="4503">
      <c r="A4503" s="1">
        <v>50026.0</v>
      </c>
      <c r="B4503" s="1">
        <v>17551.0</v>
      </c>
      <c r="C4503" s="1">
        <v>1.620205145E9</v>
      </c>
      <c r="D4503" s="1">
        <v>4.0</v>
      </c>
      <c r="E4503" s="1" t="b">
        <v>0</v>
      </c>
      <c r="F4503" s="1" t="s">
        <v>14324</v>
      </c>
    </row>
    <row r="4504">
      <c r="A4504" s="1">
        <v>50026.0</v>
      </c>
      <c r="B4504" s="1">
        <v>19322.0</v>
      </c>
      <c r="C4504" s="1">
        <v>1.623472511E9</v>
      </c>
      <c r="D4504" s="1">
        <v>4.0</v>
      </c>
      <c r="E4504" s="1" t="b">
        <v>0</v>
      </c>
      <c r="F4504" s="1" t="s">
        <v>18285</v>
      </c>
    </row>
    <row r="4505">
      <c r="A4505" s="1">
        <v>50026.0</v>
      </c>
      <c r="B4505" s="1">
        <v>17555.0</v>
      </c>
      <c r="C4505" s="1">
        <v>1.620209673E9</v>
      </c>
      <c r="D4505" s="1">
        <v>4.0</v>
      </c>
      <c r="E4505" s="1" t="b">
        <v>0</v>
      </c>
      <c r="F4505" s="1" t="s">
        <v>18286</v>
      </c>
      <c r="G4505" s="1" t="b">
        <v>1</v>
      </c>
    </row>
    <row r="4506">
      <c r="A4506" s="1">
        <v>50026.0</v>
      </c>
      <c r="B4506" s="1">
        <v>17998.0</v>
      </c>
      <c r="C4506" s="1">
        <v>1.623472513E9</v>
      </c>
      <c r="D4506" s="1">
        <v>4.0</v>
      </c>
      <c r="E4506" s="1" t="b">
        <v>0</v>
      </c>
      <c r="F4506" s="1" t="s">
        <v>18287</v>
      </c>
    </row>
    <row r="4507">
      <c r="A4507" s="1">
        <v>50026.0</v>
      </c>
      <c r="B4507" s="1">
        <v>16743.0</v>
      </c>
      <c r="C4507" s="1">
        <v>1.61855649E9</v>
      </c>
      <c r="D4507" s="1">
        <v>4.0</v>
      </c>
      <c r="E4507" s="1" t="b">
        <v>0</v>
      </c>
      <c r="F4507" s="1" t="s">
        <v>13986</v>
      </c>
      <c r="G4507" s="1" t="b">
        <v>1</v>
      </c>
    </row>
    <row r="4508">
      <c r="A4508" s="1">
        <v>50026.0</v>
      </c>
      <c r="B4508" s="1">
        <v>17623.0</v>
      </c>
      <c r="C4508" s="1">
        <v>1.620329358E9</v>
      </c>
      <c r="D4508" s="1">
        <v>4.0</v>
      </c>
      <c r="E4508" s="1" t="b">
        <v>0</v>
      </c>
      <c r="F4508" s="1" t="s">
        <v>18288</v>
      </c>
    </row>
    <row r="4509">
      <c r="A4509" s="1">
        <v>50026.0</v>
      </c>
      <c r="B4509" s="1">
        <v>18594.0</v>
      </c>
      <c r="C4509" s="1">
        <v>1.623472508E9</v>
      </c>
      <c r="D4509" s="1">
        <v>4.0</v>
      </c>
      <c r="E4509" s="1" t="b">
        <v>0</v>
      </c>
      <c r="F4509" s="1" t="s">
        <v>18289</v>
      </c>
    </row>
    <row r="4510">
      <c r="A4510" s="1">
        <v>50026.0</v>
      </c>
      <c r="B4510" s="1">
        <v>16767.0</v>
      </c>
      <c r="C4510" s="1">
        <v>1.618314441E9</v>
      </c>
      <c r="D4510" s="1">
        <v>1.0</v>
      </c>
      <c r="E4510" s="1" t="b">
        <v>1</v>
      </c>
      <c r="F4510" s="1" t="s">
        <v>18290</v>
      </c>
    </row>
    <row r="4511">
      <c r="A4511" s="1">
        <v>50026.0</v>
      </c>
      <c r="B4511" s="1">
        <v>18385.0</v>
      </c>
      <c r="C4511" s="1">
        <v>1.62347251E9</v>
      </c>
      <c r="D4511" s="1">
        <v>4.0</v>
      </c>
      <c r="E4511" s="1" t="b">
        <v>0</v>
      </c>
      <c r="F4511" s="1" t="s">
        <v>16442</v>
      </c>
    </row>
    <row r="4512">
      <c r="A4512" s="1">
        <v>50026.0</v>
      </c>
      <c r="B4512" s="1">
        <v>17550.0</v>
      </c>
      <c r="C4512" s="1">
        <v>1.620205517E9</v>
      </c>
      <c r="D4512" s="1">
        <v>4.0</v>
      </c>
      <c r="E4512" s="1" t="b">
        <v>0</v>
      </c>
      <c r="F4512" s="1" t="s">
        <v>18291</v>
      </c>
      <c r="G4512" s="1" t="b">
        <v>1</v>
      </c>
    </row>
    <row r="4513">
      <c r="A4513" s="1">
        <v>50026.0</v>
      </c>
      <c r="B4513" s="1">
        <v>18856.0</v>
      </c>
      <c r="C4513" s="1">
        <v>1.623472515E9</v>
      </c>
      <c r="D4513" s="1">
        <v>4.0</v>
      </c>
      <c r="E4513" s="1" t="b">
        <v>0</v>
      </c>
      <c r="F4513" s="1" t="s">
        <v>15371</v>
      </c>
    </row>
    <row r="4514">
      <c r="A4514" s="1">
        <v>50026.0</v>
      </c>
      <c r="B4514" s="1">
        <v>20280.0</v>
      </c>
      <c r="C4514" s="1">
        <v>1.624027756E9</v>
      </c>
      <c r="D4514" s="1">
        <v>4.0</v>
      </c>
      <c r="E4514" s="1" t="b">
        <v>0</v>
      </c>
      <c r="F4514" s="1" t="s">
        <v>18292</v>
      </c>
    </row>
    <row r="4515">
      <c r="A4515" s="1">
        <v>50026.0</v>
      </c>
      <c r="B4515" s="1">
        <v>18149.0</v>
      </c>
      <c r="C4515" s="1">
        <v>1.621399901E9</v>
      </c>
      <c r="D4515" s="1">
        <v>4.0</v>
      </c>
      <c r="E4515" s="1" t="b">
        <v>0</v>
      </c>
      <c r="F4515" s="1" t="s">
        <v>18293</v>
      </c>
    </row>
    <row r="4516">
      <c r="A4516" s="1">
        <v>50026.0</v>
      </c>
      <c r="B4516" s="1">
        <v>19758.0</v>
      </c>
      <c r="C4516" s="1">
        <v>1.623257689E9</v>
      </c>
      <c r="D4516" s="1">
        <v>4.0</v>
      </c>
      <c r="E4516" s="1" t="b">
        <v>0</v>
      </c>
      <c r="F4516" s="1" t="s">
        <v>18294</v>
      </c>
    </row>
    <row r="4517">
      <c r="A4517" s="1">
        <v>50026.0</v>
      </c>
      <c r="B4517" s="1">
        <v>18315.0</v>
      </c>
      <c r="C4517" s="1">
        <v>1.621357263E9</v>
      </c>
      <c r="D4517" s="1">
        <v>4.0</v>
      </c>
      <c r="E4517" s="1" t="b">
        <v>0</v>
      </c>
      <c r="F4517" s="1" t="s">
        <v>18295</v>
      </c>
    </row>
    <row r="4518">
      <c r="A4518" s="1">
        <v>50026.0</v>
      </c>
      <c r="B4518" s="1">
        <v>17511.0</v>
      </c>
      <c r="C4518" s="1">
        <v>1.620113331E9</v>
      </c>
      <c r="D4518" s="1">
        <v>4.0</v>
      </c>
      <c r="E4518" s="1" t="b">
        <v>0</v>
      </c>
      <c r="F4518" s="1" t="s">
        <v>14324</v>
      </c>
    </row>
    <row r="4519">
      <c r="A4519" s="1">
        <v>50026.0</v>
      </c>
      <c r="B4519" s="1">
        <v>18972.0</v>
      </c>
      <c r="C4519" s="1">
        <v>1.624253112E9</v>
      </c>
      <c r="D4519" s="1">
        <v>4.0</v>
      </c>
      <c r="E4519" s="1" t="b">
        <v>0</v>
      </c>
      <c r="F4519" s="1" t="s">
        <v>18296</v>
      </c>
    </row>
    <row r="4520">
      <c r="A4520" s="1">
        <v>50029.0</v>
      </c>
      <c r="B4520" s="1">
        <v>17547.0</v>
      </c>
      <c r="C4520" s="1">
        <v>1.620200414E9</v>
      </c>
      <c r="D4520" s="1">
        <v>4.0</v>
      </c>
      <c r="E4520" s="1" t="b">
        <v>0</v>
      </c>
      <c r="F4520" s="1" t="s">
        <v>18297</v>
      </c>
    </row>
    <row r="4521">
      <c r="A4521" s="1">
        <v>50029.0</v>
      </c>
      <c r="B4521" s="1">
        <v>18206.0</v>
      </c>
      <c r="C4521" s="1">
        <v>1.621237741E9</v>
      </c>
      <c r="D4521" s="1">
        <v>4.0</v>
      </c>
      <c r="E4521" s="1" t="b">
        <v>0</v>
      </c>
      <c r="F4521" s="1" t="s">
        <v>18298</v>
      </c>
    </row>
    <row r="4522">
      <c r="A4522" s="1">
        <v>50029.0</v>
      </c>
      <c r="B4522" s="1">
        <v>19949.0</v>
      </c>
      <c r="C4522" s="1">
        <v>1.623520171E9</v>
      </c>
      <c r="D4522" s="1">
        <v>9.0</v>
      </c>
      <c r="E4522" s="1" t="b">
        <v>0</v>
      </c>
      <c r="F4522" s="1" t="s">
        <v>18299</v>
      </c>
    </row>
    <row r="4523">
      <c r="A4523" s="1">
        <v>50029.0</v>
      </c>
      <c r="B4523" s="1">
        <v>18359.0</v>
      </c>
      <c r="C4523" s="1">
        <v>1.621963082E9</v>
      </c>
      <c r="D4523" s="1">
        <v>4.0</v>
      </c>
      <c r="E4523" s="1" t="b">
        <v>0</v>
      </c>
      <c r="F4523" s="1" t="s">
        <v>17162</v>
      </c>
    </row>
    <row r="4524">
      <c r="A4524" s="1">
        <v>50029.0</v>
      </c>
      <c r="B4524" s="1">
        <v>18421.0</v>
      </c>
      <c r="C4524" s="1">
        <v>1.621585146E9</v>
      </c>
      <c r="D4524" s="1">
        <v>4.0</v>
      </c>
      <c r="E4524" s="1" t="b">
        <v>0</v>
      </c>
      <c r="F4524" s="1" t="s">
        <v>18300</v>
      </c>
    </row>
    <row r="4525">
      <c r="A4525" s="1">
        <v>50029.0</v>
      </c>
      <c r="B4525" s="1">
        <v>18963.0</v>
      </c>
      <c r="C4525" s="1">
        <v>1.622193425E9</v>
      </c>
      <c r="D4525" s="1">
        <v>4.0</v>
      </c>
      <c r="E4525" s="1" t="b">
        <v>0</v>
      </c>
      <c r="F4525" s="1" t="s">
        <v>18301</v>
      </c>
    </row>
    <row r="4526">
      <c r="A4526" s="1">
        <v>50029.0</v>
      </c>
      <c r="B4526" s="1">
        <v>19782.0</v>
      </c>
      <c r="C4526" s="1">
        <v>1.623302934E9</v>
      </c>
      <c r="D4526" s="1">
        <v>4.0</v>
      </c>
      <c r="E4526" s="1" t="b">
        <v>0</v>
      </c>
      <c r="F4526" s="1" t="s">
        <v>18302</v>
      </c>
    </row>
    <row r="4527">
      <c r="A4527" s="1">
        <v>50029.0</v>
      </c>
      <c r="B4527" s="1">
        <v>19053.0</v>
      </c>
      <c r="C4527" s="1">
        <v>1.622319031E9</v>
      </c>
      <c r="D4527" s="1">
        <v>4.0</v>
      </c>
      <c r="E4527" s="1" t="b">
        <v>0</v>
      </c>
      <c r="F4527" s="1" t="s">
        <v>18303</v>
      </c>
    </row>
    <row r="4528">
      <c r="A4528" s="1">
        <v>50029.0</v>
      </c>
      <c r="B4528" s="1">
        <v>19066.0</v>
      </c>
      <c r="C4528" s="1">
        <v>1.622351011E9</v>
      </c>
      <c r="D4528" s="1">
        <v>4.0</v>
      </c>
      <c r="E4528" s="1" t="b">
        <v>0</v>
      </c>
      <c r="F4528" s="1" t="s">
        <v>18304</v>
      </c>
    </row>
    <row r="4529">
      <c r="A4529" s="1">
        <v>50029.0</v>
      </c>
      <c r="B4529" s="1">
        <v>19413.0</v>
      </c>
      <c r="C4529" s="1">
        <v>1.622695737E9</v>
      </c>
      <c r="D4529" s="1">
        <v>4.0</v>
      </c>
      <c r="E4529" s="1" t="b">
        <v>0</v>
      </c>
      <c r="F4529" s="1" t="s">
        <v>18305</v>
      </c>
    </row>
    <row r="4530">
      <c r="A4530" s="1">
        <v>50029.0</v>
      </c>
      <c r="B4530" s="1">
        <v>19410.0</v>
      </c>
      <c r="C4530" s="1">
        <v>1.622697682E9</v>
      </c>
      <c r="D4530" s="1">
        <v>4.0</v>
      </c>
      <c r="E4530" s="1" t="b">
        <v>0</v>
      </c>
      <c r="F4530" s="1" t="s">
        <v>18306</v>
      </c>
    </row>
    <row r="4531">
      <c r="A4531" s="1">
        <v>50029.0</v>
      </c>
      <c r="B4531" s="1">
        <v>19938.0</v>
      </c>
      <c r="C4531" s="1">
        <v>1.62351552E9</v>
      </c>
      <c r="D4531" s="1">
        <v>9.0</v>
      </c>
      <c r="E4531" s="1" t="b">
        <v>0</v>
      </c>
      <c r="F4531" s="1" t="s">
        <v>18307</v>
      </c>
    </row>
    <row r="4532">
      <c r="A4532" s="1">
        <v>50029.0</v>
      </c>
      <c r="B4532" s="1">
        <v>18069.0</v>
      </c>
      <c r="C4532" s="1">
        <v>1.621077903E9</v>
      </c>
      <c r="D4532" s="1">
        <v>4.0</v>
      </c>
      <c r="E4532" s="1" t="b">
        <v>0</v>
      </c>
      <c r="F4532" s="1" t="s">
        <v>18308</v>
      </c>
    </row>
    <row r="4533">
      <c r="A4533" s="1">
        <v>50029.0</v>
      </c>
      <c r="B4533" s="1">
        <v>18086.0</v>
      </c>
      <c r="C4533" s="1">
        <v>1.621091798E9</v>
      </c>
      <c r="D4533" s="1">
        <v>4.0</v>
      </c>
      <c r="E4533" s="1" t="b">
        <v>0</v>
      </c>
      <c r="F4533" s="1" t="s">
        <v>18309</v>
      </c>
    </row>
    <row r="4534">
      <c r="A4534" s="1">
        <v>50029.0</v>
      </c>
      <c r="B4534" s="1">
        <v>16472.0</v>
      </c>
      <c r="C4534" s="1">
        <v>1.623481972E9</v>
      </c>
      <c r="D4534" s="1">
        <v>4.0</v>
      </c>
      <c r="E4534" s="1" t="b">
        <v>0</v>
      </c>
      <c r="F4534" s="1" t="s">
        <v>18310</v>
      </c>
    </row>
    <row r="4535">
      <c r="A4535" s="1">
        <v>50029.0</v>
      </c>
      <c r="B4535" s="1">
        <v>18456.0</v>
      </c>
      <c r="C4535" s="1">
        <v>1.621610855E9</v>
      </c>
      <c r="D4535" s="1">
        <v>4.0</v>
      </c>
      <c r="E4535" s="1" t="b">
        <v>0</v>
      </c>
      <c r="F4535" s="1" t="s">
        <v>18311</v>
      </c>
    </row>
    <row r="4536">
      <c r="A4536" s="1">
        <v>50029.0</v>
      </c>
      <c r="B4536" s="1">
        <v>20176.0</v>
      </c>
      <c r="C4536" s="1">
        <v>1.623865863E9</v>
      </c>
      <c r="D4536" s="1">
        <v>4.0</v>
      </c>
      <c r="E4536" s="1" t="b">
        <v>0</v>
      </c>
      <c r="F4536" s="1" t="s">
        <v>18312</v>
      </c>
    </row>
    <row r="4537">
      <c r="A4537" s="1">
        <v>50029.0</v>
      </c>
      <c r="B4537" s="1">
        <v>19115.0</v>
      </c>
      <c r="C4537" s="1">
        <v>1.622390353E9</v>
      </c>
      <c r="D4537" s="1">
        <v>4.0</v>
      </c>
      <c r="E4537" s="1" t="b">
        <v>0</v>
      </c>
      <c r="F4537" s="1" t="s">
        <v>18313</v>
      </c>
    </row>
    <row r="4538">
      <c r="A4538" s="1">
        <v>50029.0</v>
      </c>
      <c r="B4538" s="1">
        <v>18599.0</v>
      </c>
      <c r="C4538" s="1">
        <v>1.621758793E9</v>
      </c>
      <c r="D4538" s="1">
        <v>4.0</v>
      </c>
      <c r="E4538" s="1" t="b">
        <v>0</v>
      </c>
      <c r="F4538" s="1" t="s">
        <v>18314</v>
      </c>
    </row>
    <row r="4539">
      <c r="A4539" s="1">
        <v>50029.0</v>
      </c>
      <c r="B4539" s="1">
        <v>18089.0</v>
      </c>
      <c r="C4539" s="1">
        <v>1.621092727E9</v>
      </c>
      <c r="D4539" s="1">
        <v>4.0</v>
      </c>
      <c r="E4539" s="1" t="b">
        <v>0</v>
      </c>
      <c r="F4539" s="1" t="s">
        <v>18315</v>
      </c>
    </row>
    <row r="4540">
      <c r="A4540" s="1">
        <v>50029.0</v>
      </c>
      <c r="B4540" s="1">
        <v>18793.0</v>
      </c>
      <c r="C4540" s="1">
        <v>1.621963675E9</v>
      </c>
      <c r="D4540" s="1">
        <v>4.0</v>
      </c>
      <c r="E4540" s="1" t="b">
        <v>0</v>
      </c>
      <c r="F4540" s="1" t="s">
        <v>18316</v>
      </c>
    </row>
    <row r="4541">
      <c r="A4541" s="1">
        <v>50029.0</v>
      </c>
      <c r="B4541" s="1">
        <v>19344.0</v>
      </c>
      <c r="C4541" s="1">
        <v>1.624437337E9</v>
      </c>
      <c r="D4541" s="1">
        <v>4.0</v>
      </c>
      <c r="E4541" s="1" t="b">
        <v>0</v>
      </c>
      <c r="F4541" s="1" t="s">
        <v>18317</v>
      </c>
    </row>
    <row r="4542">
      <c r="A4542" s="1">
        <v>50029.0</v>
      </c>
      <c r="B4542" s="1">
        <v>17662.0</v>
      </c>
      <c r="C4542" s="1">
        <v>1.620390383E9</v>
      </c>
      <c r="D4542" s="1">
        <v>4.0</v>
      </c>
      <c r="E4542" s="1" t="b">
        <v>0</v>
      </c>
      <c r="F4542" s="1" t="s">
        <v>18318</v>
      </c>
    </row>
    <row r="4543">
      <c r="A4543" s="1">
        <v>50029.0</v>
      </c>
      <c r="B4543" s="1">
        <v>20108.0</v>
      </c>
      <c r="C4543" s="1">
        <v>1.623784487E9</v>
      </c>
      <c r="D4543" s="1">
        <v>4.0</v>
      </c>
      <c r="E4543" s="1" t="b">
        <v>0</v>
      </c>
      <c r="F4543" s="1" t="s">
        <v>18319</v>
      </c>
    </row>
    <row r="4544">
      <c r="A4544" s="1">
        <v>50029.0</v>
      </c>
      <c r="B4544" s="1">
        <v>16637.0</v>
      </c>
      <c r="C4544" s="1">
        <v>1.618387275E9</v>
      </c>
      <c r="D4544" s="1">
        <v>1.0</v>
      </c>
      <c r="E4544" s="1" t="b">
        <v>1</v>
      </c>
      <c r="F4544" s="1" t="s">
        <v>18320</v>
      </c>
    </row>
    <row r="4545">
      <c r="A4545" s="1">
        <v>50029.0</v>
      </c>
      <c r="B4545" s="1">
        <v>19957.0</v>
      </c>
      <c r="C4545" s="1">
        <v>1.623557392E9</v>
      </c>
      <c r="D4545" s="1">
        <v>4.0</v>
      </c>
      <c r="E4545" s="1" t="b">
        <v>0</v>
      </c>
      <c r="F4545" s="1" t="s">
        <v>18321</v>
      </c>
    </row>
    <row r="4546">
      <c r="A4546" s="1">
        <v>50029.0</v>
      </c>
      <c r="B4546" s="1">
        <v>20263.0</v>
      </c>
      <c r="C4546" s="1">
        <v>1.624000326E9</v>
      </c>
      <c r="D4546" s="1">
        <v>4.0</v>
      </c>
      <c r="E4546" s="1" t="b">
        <v>0</v>
      </c>
      <c r="F4546" s="1" t="s">
        <v>18322</v>
      </c>
    </row>
    <row r="4547">
      <c r="A4547" s="1">
        <v>50029.0</v>
      </c>
      <c r="B4547" s="1">
        <v>18658.0</v>
      </c>
      <c r="C4547" s="1">
        <v>1.62243448E9</v>
      </c>
      <c r="D4547" s="1">
        <v>4.0</v>
      </c>
      <c r="E4547" s="1" t="b">
        <v>0</v>
      </c>
      <c r="F4547" s="1" t="s">
        <v>18323</v>
      </c>
    </row>
    <row r="4548">
      <c r="A4548" s="1">
        <v>50029.0</v>
      </c>
      <c r="B4548" s="1">
        <v>18324.0</v>
      </c>
      <c r="C4548" s="1">
        <v>1.621419385E9</v>
      </c>
      <c r="D4548" s="1">
        <v>4.0</v>
      </c>
      <c r="E4548" s="1" t="b">
        <v>0</v>
      </c>
      <c r="F4548" s="1" t="s">
        <v>18324</v>
      </c>
    </row>
    <row r="4549">
      <c r="A4549" s="1">
        <v>50029.0</v>
      </c>
      <c r="B4549" s="1">
        <v>16450.0</v>
      </c>
      <c r="C4549" s="1">
        <v>1.618677368E9</v>
      </c>
      <c r="D4549" s="1">
        <v>4.0</v>
      </c>
      <c r="E4549" s="1" t="b">
        <v>0</v>
      </c>
      <c r="F4549" s="1" t="s">
        <v>18067</v>
      </c>
      <c r="G4549" s="1" t="b">
        <v>1</v>
      </c>
    </row>
    <row r="4550">
      <c r="A4550" s="1">
        <v>50029.0</v>
      </c>
      <c r="B4550" s="1">
        <v>20252.0</v>
      </c>
      <c r="C4550" s="1">
        <v>1.623987203E9</v>
      </c>
      <c r="D4550" s="1">
        <v>4.0</v>
      </c>
      <c r="E4550" s="1" t="b">
        <v>0</v>
      </c>
      <c r="F4550" s="1" t="s">
        <v>18325</v>
      </c>
    </row>
    <row r="4551">
      <c r="A4551" s="1">
        <v>50029.0</v>
      </c>
      <c r="B4551" s="1">
        <v>19659.0</v>
      </c>
      <c r="C4551" s="1">
        <v>1.623127606E9</v>
      </c>
      <c r="D4551" s="1">
        <v>4.0</v>
      </c>
      <c r="E4551" s="1" t="b">
        <v>0</v>
      </c>
      <c r="F4551" s="1" t="s">
        <v>18326</v>
      </c>
    </row>
    <row r="4552">
      <c r="A4552" s="1">
        <v>50029.0</v>
      </c>
      <c r="B4552" s="1">
        <v>19584.0</v>
      </c>
      <c r="C4552" s="1">
        <v>1.623037814E9</v>
      </c>
      <c r="D4552" s="1">
        <v>4.0</v>
      </c>
      <c r="E4552" s="1" t="b">
        <v>0</v>
      </c>
      <c r="F4552" s="1" t="s">
        <v>18327</v>
      </c>
    </row>
    <row r="4553">
      <c r="A4553" s="1">
        <v>50029.0</v>
      </c>
      <c r="B4553" s="1">
        <v>19934.0</v>
      </c>
      <c r="C4553" s="1">
        <v>1.623513439E9</v>
      </c>
      <c r="D4553" s="1">
        <v>4.0</v>
      </c>
      <c r="E4553" s="1" t="b">
        <v>0</v>
      </c>
      <c r="F4553" s="1" t="s">
        <v>18328</v>
      </c>
    </row>
    <row r="4554">
      <c r="A4554" s="1">
        <v>50029.0</v>
      </c>
      <c r="B4554" s="1">
        <v>19232.0</v>
      </c>
      <c r="C4554" s="1">
        <v>1.622515489E9</v>
      </c>
      <c r="D4554" s="1">
        <v>4.0</v>
      </c>
      <c r="E4554" s="1" t="b">
        <v>0</v>
      </c>
      <c r="F4554" s="1" t="s">
        <v>18329</v>
      </c>
    </row>
    <row r="4555">
      <c r="A4555" s="1">
        <v>50029.0</v>
      </c>
      <c r="B4555" s="1">
        <v>19451.0</v>
      </c>
      <c r="C4555" s="1">
        <v>1.622724114E9</v>
      </c>
      <c r="D4555" s="1">
        <v>4.0</v>
      </c>
      <c r="E4555" s="1" t="b">
        <v>0</v>
      </c>
      <c r="F4555" s="1" t="s">
        <v>18330</v>
      </c>
    </row>
    <row r="4556">
      <c r="A4556" s="1">
        <v>50029.0</v>
      </c>
      <c r="B4556" s="1">
        <v>19072.0</v>
      </c>
      <c r="C4556" s="1">
        <v>1.622356578E9</v>
      </c>
      <c r="D4556" s="1">
        <v>4.0</v>
      </c>
      <c r="E4556" s="1" t="b">
        <v>0</v>
      </c>
      <c r="F4556" s="1" t="s">
        <v>18331</v>
      </c>
    </row>
    <row r="4557">
      <c r="A4557" s="1">
        <v>50029.0</v>
      </c>
      <c r="B4557" s="1">
        <v>18756.0</v>
      </c>
      <c r="C4557" s="1">
        <v>1.622555059E9</v>
      </c>
      <c r="D4557" s="1">
        <v>4.0</v>
      </c>
      <c r="E4557" s="1" t="b">
        <v>0</v>
      </c>
      <c r="F4557" s="1" t="s">
        <v>18332</v>
      </c>
    </row>
    <row r="4558">
      <c r="A4558" s="1">
        <v>50029.0</v>
      </c>
      <c r="B4558" s="1">
        <v>18787.0</v>
      </c>
      <c r="C4558" s="1">
        <v>1.62196276E9</v>
      </c>
      <c r="D4558" s="1">
        <v>4.0</v>
      </c>
      <c r="E4558" s="1" t="b">
        <v>0</v>
      </c>
      <c r="F4558" s="1" t="s">
        <v>18333</v>
      </c>
    </row>
    <row r="4559">
      <c r="A4559" s="1">
        <v>50029.0</v>
      </c>
      <c r="B4559" s="1">
        <v>18886.0</v>
      </c>
      <c r="C4559" s="1">
        <v>1.622096601E9</v>
      </c>
      <c r="D4559" s="1">
        <v>4.0</v>
      </c>
      <c r="E4559" s="1" t="b">
        <v>0</v>
      </c>
      <c r="F4559" s="1" t="s">
        <v>18334</v>
      </c>
    </row>
    <row r="4560">
      <c r="A4560" s="1">
        <v>50029.0</v>
      </c>
      <c r="B4560" s="1">
        <v>18601.0</v>
      </c>
      <c r="C4560" s="1">
        <v>1.62176147E9</v>
      </c>
      <c r="D4560" s="1">
        <v>4.0</v>
      </c>
      <c r="E4560" s="1" t="b">
        <v>0</v>
      </c>
      <c r="F4560" s="1" t="s">
        <v>18335</v>
      </c>
    </row>
    <row r="4561">
      <c r="A4561" s="1">
        <v>50029.0</v>
      </c>
      <c r="B4561" s="1">
        <v>19015.0</v>
      </c>
      <c r="C4561" s="1">
        <v>1.622272301E9</v>
      </c>
      <c r="D4561" s="1">
        <v>4.0</v>
      </c>
      <c r="E4561" s="1" t="b">
        <v>0</v>
      </c>
      <c r="F4561" s="1" t="s">
        <v>18336</v>
      </c>
    </row>
    <row r="4562">
      <c r="A4562" s="1">
        <v>50029.0</v>
      </c>
      <c r="B4562" s="1">
        <v>18197.0</v>
      </c>
      <c r="C4562" s="1">
        <v>1.621222879E9</v>
      </c>
      <c r="D4562" s="1">
        <v>4.0</v>
      </c>
      <c r="E4562" s="1" t="b">
        <v>0</v>
      </c>
      <c r="F4562" s="1" t="s">
        <v>18337</v>
      </c>
    </row>
    <row r="4563">
      <c r="A4563" s="1">
        <v>50029.0</v>
      </c>
      <c r="B4563" s="1">
        <v>17692.0</v>
      </c>
      <c r="C4563" s="1">
        <v>1.621754498E9</v>
      </c>
      <c r="D4563" s="1">
        <v>4.0</v>
      </c>
      <c r="E4563" s="1" t="b">
        <v>0</v>
      </c>
      <c r="F4563" s="1" t="s">
        <v>18338</v>
      </c>
    </row>
    <row r="4564">
      <c r="A4564" s="1">
        <v>50029.0</v>
      </c>
      <c r="B4564" s="1">
        <v>19787.0</v>
      </c>
      <c r="C4564" s="1">
        <v>1.623306934E9</v>
      </c>
      <c r="D4564" s="1">
        <v>4.0</v>
      </c>
      <c r="E4564" s="1" t="b">
        <v>0</v>
      </c>
      <c r="F4564" s="1" t="s">
        <v>18339</v>
      </c>
    </row>
    <row r="4565">
      <c r="A4565" s="1">
        <v>50029.0</v>
      </c>
      <c r="B4565" s="1">
        <v>18531.0</v>
      </c>
      <c r="C4565" s="1">
        <v>1.621692391E9</v>
      </c>
      <c r="D4565" s="1">
        <v>4.0</v>
      </c>
      <c r="E4565" s="1" t="b">
        <v>0</v>
      </c>
      <c r="F4565" s="1" t="s">
        <v>18340</v>
      </c>
    </row>
    <row r="4566">
      <c r="A4566" s="1">
        <v>50029.0</v>
      </c>
      <c r="B4566" s="1">
        <v>20399.0</v>
      </c>
      <c r="C4566" s="1">
        <v>1.624297165E9</v>
      </c>
      <c r="D4566" s="1">
        <v>4.0</v>
      </c>
      <c r="E4566" s="1" t="b">
        <v>0</v>
      </c>
      <c r="F4566" s="1" t="s">
        <v>18341</v>
      </c>
    </row>
    <row r="4567">
      <c r="A4567" s="1">
        <v>50029.0</v>
      </c>
      <c r="B4567" s="1">
        <v>20471.0</v>
      </c>
      <c r="C4567" s="1">
        <v>1.624429428E9</v>
      </c>
      <c r="D4567" s="1">
        <v>4.0</v>
      </c>
      <c r="E4567" s="1" t="b">
        <v>0</v>
      </c>
      <c r="F4567" s="1" t="s">
        <v>18342</v>
      </c>
    </row>
    <row r="4568">
      <c r="A4568" s="1">
        <v>50029.0</v>
      </c>
      <c r="B4568" s="1">
        <v>18726.0</v>
      </c>
      <c r="C4568" s="1">
        <v>1.621876747E9</v>
      </c>
      <c r="D4568" s="1">
        <v>4.0</v>
      </c>
      <c r="E4568" s="1" t="b">
        <v>0</v>
      </c>
      <c r="F4568" s="1" t="s">
        <v>18343</v>
      </c>
    </row>
    <row r="4569">
      <c r="A4569" s="1">
        <v>50029.0</v>
      </c>
      <c r="B4569" s="1">
        <v>19734.0</v>
      </c>
      <c r="C4569" s="1">
        <v>1.62322887E9</v>
      </c>
      <c r="D4569" s="1">
        <v>4.0</v>
      </c>
      <c r="E4569" s="1" t="b">
        <v>0</v>
      </c>
      <c r="F4569" s="1" t="s">
        <v>18344</v>
      </c>
    </row>
    <row r="4570">
      <c r="A4570" s="1">
        <v>50029.0</v>
      </c>
      <c r="B4570" s="1">
        <v>18757.0</v>
      </c>
      <c r="C4570" s="1">
        <v>1.621928169E9</v>
      </c>
      <c r="D4570" s="1">
        <v>4.0</v>
      </c>
      <c r="E4570" s="1" t="b">
        <v>0</v>
      </c>
      <c r="F4570" s="1" t="s">
        <v>18345</v>
      </c>
    </row>
    <row r="4571">
      <c r="A4571" s="1">
        <v>50029.0</v>
      </c>
      <c r="B4571" s="1">
        <v>19277.0</v>
      </c>
      <c r="C4571" s="1">
        <v>1.622553178E9</v>
      </c>
      <c r="D4571" s="1">
        <v>4.0</v>
      </c>
      <c r="E4571" s="1" t="b">
        <v>0</v>
      </c>
      <c r="F4571" s="1" t="s">
        <v>18346</v>
      </c>
    </row>
    <row r="4572">
      <c r="A4572" s="1">
        <v>50029.0</v>
      </c>
      <c r="B4572" s="1">
        <v>17664.0</v>
      </c>
      <c r="C4572" s="1">
        <v>1.620641485E9</v>
      </c>
      <c r="D4572" s="1">
        <v>4.0</v>
      </c>
      <c r="E4572" s="1" t="b">
        <v>0</v>
      </c>
      <c r="F4572" s="1" t="s">
        <v>18347</v>
      </c>
    </row>
    <row r="4573">
      <c r="A4573" s="1">
        <v>50029.0</v>
      </c>
      <c r="B4573" s="1">
        <v>18848.0</v>
      </c>
      <c r="C4573" s="1">
        <v>1.622047273E9</v>
      </c>
      <c r="D4573" s="1">
        <v>4.0</v>
      </c>
      <c r="E4573" s="1" t="b">
        <v>0</v>
      </c>
      <c r="F4573" s="1" t="s">
        <v>18348</v>
      </c>
    </row>
    <row r="4574">
      <c r="A4574" s="1">
        <v>50029.0</v>
      </c>
      <c r="B4574" s="1">
        <v>18354.0</v>
      </c>
      <c r="C4574" s="1">
        <v>1.621452679E9</v>
      </c>
      <c r="D4574" s="1">
        <v>4.0</v>
      </c>
      <c r="E4574" s="1" t="b">
        <v>0</v>
      </c>
      <c r="F4574" s="1" t="s">
        <v>18349</v>
      </c>
    </row>
    <row r="4575">
      <c r="A4575" s="1">
        <v>50029.0</v>
      </c>
      <c r="B4575" s="1">
        <v>20241.0</v>
      </c>
      <c r="C4575" s="1">
        <v>1.62395503E9</v>
      </c>
      <c r="D4575" s="1">
        <v>4.0</v>
      </c>
      <c r="E4575" s="1" t="b">
        <v>0</v>
      </c>
      <c r="F4575" s="1" t="s">
        <v>18350</v>
      </c>
    </row>
    <row r="4576">
      <c r="A4576" s="1">
        <v>50029.0</v>
      </c>
      <c r="B4576" s="1">
        <v>18668.0</v>
      </c>
      <c r="C4576" s="1">
        <v>1.621831087E9</v>
      </c>
      <c r="D4576" s="1">
        <v>9.0</v>
      </c>
      <c r="E4576" s="1" t="b">
        <v>0</v>
      </c>
      <c r="F4576" s="1" t="s">
        <v>18351</v>
      </c>
    </row>
    <row r="4577">
      <c r="A4577" s="1">
        <v>50029.0</v>
      </c>
      <c r="B4577" s="1">
        <v>18764.0</v>
      </c>
      <c r="C4577" s="1">
        <v>1.621932327E9</v>
      </c>
      <c r="D4577" s="1">
        <v>4.0</v>
      </c>
      <c r="E4577" s="1" t="b">
        <v>0</v>
      </c>
      <c r="F4577" s="1" t="s">
        <v>18352</v>
      </c>
    </row>
    <row r="4578">
      <c r="A4578" s="1">
        <v>50029.0</v>
      </c>
      <c r="B4578" s="1">
        <v>17652.0</v>
      </c>
      <c r="C4578" s="1">
        <v>1.620376615E9</v>
      </c>
      <c r="D4578" s="1">
        <v>4.0</v>
      </c>
      <c r="E4578" s="1" t="b">
        <v>0</v>
      </c>
      <c r="F4578" s="1" t="s">
        <v>14177</v>
      </c>
    </row>
    <row r="4579">
      <c r="A4579" s="1">
        <v>50029.0</v>
      </c>
      <c r="B4579" s="1">
        <v>18275.0</v>
      </c>
      <c r="C4579" s="1">
        <v>1.621312721E9</v>
      </c>
      <c r="D4579" s="1">
        <v>4.0</v>
      </c>
      <c r="E4579" s="1" t="b">
        <v>0</v>
      </c>
      <c r="F4579" s="1" t="s">
        <v>18353</v>
      </c>
    </row>
    <row r="4580">
      <c r="A4580" s="1">
        <v>50029.0</v>
      </c>
      <c r="B4580" s="1">
        <v>17936.0</v>
      </c>
      <c r="C4580" s="1">
        <v>1.620707862E9</v>
      </c>
      <c r="D4580" s="1">
        <v>4.0</v>
      </c>
      <c r="E4580" s="1" t="b">
        <v>0</v>
      </c>
      <c r="F4580" s="1" t="s">
        <v>18354</v>
      </c>
    </row>
    <row r="4581">
      <c r="A4581" s="1">
        <v>50029.0</v>
      </c>
      <c r="B4581" s="1">
        <v>17885.0</v>
      </c>
      <c r="C4581" s="1">
        <v>1.620625446E9</v>
      </c>
      <c r="D4581" s="1">
        <v>4.0</v>
      </c>
      <c r="E4581" s="1" t="b">
        <v>0</v>
      </c>
      <c r="F4581" s="1" t="s">
        <v>18355</v>
      </c>
    </row>
    <row r="4582">
      <c r="A4582" s="1">
        <v>50029.0</v>
      </c>
      <c r="B4582" s="1">
        <v>19276.0</v>
      </c>
      <c r="C4582" s="1">
        <v>1.622555062E9</v>
      </c>
      <c r="D4582" s="1">
        <v>4.0</v>
      </c>
      <c r="E4582" s="1" t="b">
        <v>0</v>
      </c>
      <c r="F4582" s="1" t="s">
        <v>18356</v>
      </c>
    </row>
    <row r="4583">
      <c r="A4583" s="1">
        <v>50029.0</v>
      </c>
      <c r="B4583" s="1">
        <v>20052.0</v>
      </c>
      <c r="C4583" s="1">
        <v>1.623688541E9</v>
      </c>
      <c r="D4583" s="1">
        <v>4.0</v>
      </c>
      <c r="E4583" s="1" t="b">
        <v>0</v>
      </c>
      <c r="F4583" s="1" t="s">
        <v>18357</v>
      </c>
    </row>
    <row r="4584">
      <c r="A4584" s="1">
        <v>50029.0</v>
      </c>
      <c r="B4584" s="1">
        <v>18681.0</v>
      </c>
      <c r="C4584" s="1">
        <v>1.621841552E9</v>
      </c>
      <c r="D4584" s="1">
        <v>4.0</v>
      </c>
      <c r="E4584" s="1" t="b">
        <v>0</v>
      </c>
      <c r="F4584" s="1" t="s">
        <v>18358</v>
      </c>
    </row>
    <row r="4585">
      <c r="A4585" s="1">
        <v>50029.0</v>
      </c>
      <c r="B4585" s="1">
        <v>17634.0</v>
      </c>
      <c r="C4585" s="1">
        <v>1.62036134E9</v>
      </c>
      <c r="D4585" s="1">
        <v>4.0</v>
      </c>
      <c r="E4585" s="1" t="b">
        <v>0</v>
      </c>
      <c r="F4585" s="1" t="s">
        <v>18359</v>
      </c>
    </row>
    <row r="4586">
      <c r="A4586" s="1">
        <v>50029.0</v>
      </c>
      <c r="B4586" s="1">
        <v>19893.0</v>
      </c>
      <c r="C4586" s="1">
        <v>1.623429664E9</v>
      </c>
      <c r="D4586" s="1">
        <v>4.0</v>
      </c>
      <c r="E4586" s="1" t="b">
        <v>0</v>
      </c>
      <c r="F4586" s="1" t="s">
        <v>18360</v>
      </c>
    </row>
    <row r="4587">
      <c r="A4587" s="1">
        <v>50029.0</v>
      </c>
      <c r="B4587" s="1">
        <v>20070.0</v>
      </c>
      <c r="C4587" s="1">
        <v>1.623744386E9</v>
      </c>
      <c r="D4587" s="1">
        <v>4.0</v>
      </c>
      <c r="E4587" s="1" t="b">
        <v>0</v>
      </c>
      <c r="F4587" s="1" t="s">
        <v>18361</v>
      </c>
    </row>
    <row r="4588">
      <c r="A4588" s="1">
        <v>50029.0</v>
      </c>
      <c r="B4588" s="1">
        <v>18544.0</v>
      </c>
      <c r="C4588" s="1">
        <v>1.62169239E9</v>
      </c>
      <c r="D4588" s="1">
        <v>4.0</v>
      </c>
      <c r="E4588" s="1" t="b">
        <v>0</v>
      </c>
      <c r="F4588" s="1" t="s">
        <v>18362</v>
      </c>
    </row>
    <row r="4589">
      <c r="A4589" s="1">
        <v>50029.0</v>
      </c>
      <c r="B4589" s="1">
        <v>19663.0</v>
      </c>
      <c r="C4589" s="1">
        <v>1.623136978E9</v>
      </c>
      <c r="D4589" s="1">
        <v>4.0</v>
      </c>
      <c r="E4589" s="1" t="b">
        <v>0</v>
      </c>
      <c r="F4589" s="1" t="s">
        <v>18363</v>
      </c>
    </row>
    <row r="4590">
      <c r="A4590" s="1">
        <v>50029.0</v>
      </c>
      <c r="B4590" s="1">
        <v>18072.0</v>
      </c>
      <c r="C4590" s="1">
        <v>1.621490639E9</v>
      </c>
      <c r="D4590" s="1">
        <v>4.0</v>
      </c>
      <c r="E4590" s="1" t="b">
        <v>0</v>
      </c>
      <c r="F4590" s="1" t="s">
        <v>18364</v>
      </c>
    </row>
    <row r="4591">
      <c r="A4591" s="1">
        <v>50029.0</v>
      </c>
      <c r="B4591" s="1">
        <v>18573.0</v>
      </c>
      <c r="C4591" s="1">
        <v>1.62173845E9</v>
      </c>
      <c r="D4591" s="1">
        <v>4.0</v>
      </c>
      <c r="E4591" s="1" t="b">
        <v>0</v>
      </c>
      <c r="F4591" s="1" t="s">
        <v>18365</v>
      </c>
    </row>
    <row r="4592">
      <c r="A4592" s="1">
        <v>50029.0</v>
      </c>
      <c r="B4592" s="1">
        <v>18689.0</v>
      </c>
      <c r="C4592" s="1">
        <v>1.621851637E9</v>
      </c>
      <c r="D4592" s="1">
        <v>4.0</v>
      </c>
      <c r="E4592" s="1" t="b">
        <v>0</v>
      </c>
      <c r="F4592" s="1" t="s">
        <v>18366</v>
      </c>
    </row>
    <row r="4593">
      <c r="A4593" s="1">
        <v>50029.0</v>
      </c>
      <c r="B4593" s="1">
        <v>17577.0</v>
      </c>
      <c r="C4593" s="1">
        <v>1.620234612E9</v>
      </c>
      <c r="D4593" s="1">
        <v>4.0</v>
      </c>
      <c r="E4593" s="1" t="b">
        <v>0</v>
      </c>
      <c r="F4593" s="1" t="s">
        <v>18367</v>
      </c>
    </row>
    <row r="4594">
      <c r="A4594" s="1">
        <v>50029.0</v>
      </c>
      <c r="B4594" s="1">
        <v>17987.0</v>
      </c>
      <c r="C4594" s="1">
        <v>1.620799973E9</v>
      </c>
      <c r="D4594" s="1">
        <v>4.0</v>
      </c>
      <c r="E4594" s="1" t="b">
        <v>0</v>
      </c>
      <c r="F4594" s="1" t="s">
        <v>18368</v>
      </c>
    </row>
    <row r="4595">
      <c r="A4595" s="1">
        <v>50029.0</v>
      </c>
      <c r="B4595" s="1">
        <v>18945.0</v>
      </c>
      <c r="C4595" s="1">
        <v>1.622181927E9</v>
      </c>
      <c r="D4595" s="1">
        <v>4.0</v>
      </c>
      <c r="E4595" s="1" t="b">
        <v>0</v>
      </c>
      <c r="F4595" s="1" t="s">
        <v>18369</v>
      </c>
    </row>
    <row r="4596">
      <c r="A4596" s="1">
        <v>50029.0</v>
      </c>
      <c r="B4596" s="1">
        <v>17883.0</v>
      </c>
      <c r="C4596" s="1">
        <v>1.6206236E9</v>
      </c>
      <c r="D4596" s="1">
        <v>4.0</v>
      </c>
      <c r="E4596" s="1" t="b">
        <v>0</v>
      </c>
      <c r="F4596" s="1" t="s">
        <v>18370</v>
      </c>
    </row>
    <row r="4597">
      <c r="A4597" s="1">
        <v>50029.0</v>
      </c>
      <c r="B4597" s="1">
        <v>17894.0</v>
      </c>
      <c r="C4597" s="1">
        <v>1.620641499E9</v>
      </c>
      <c r="D4597" s="1">
        <v>4.0</v>
      </c>
      <c r="E4597" s="1" t="b">
        <v>0</v>
      </c>
      <c r="F4597" s="1" t="s">
        <v>18371</v>
      </c>
    </row>
    <row r="4598">
      <c r="A4598" s="1">
        <v>50029.0</v>
      </c>
      <c r="B4598" s="1">
        <v>17956.0</v>
      </c>
      <c r="C4598" s="1">
        <v>1.620723241E9</v>
      </c>
      <c r="D4598" s="1">
        <v>4.0</v>
      </c>
      <c r="E4598" s="1" t="b">
        <v>0</v>
      </c>
      <c r="F4598" s="1" t="s">
        <v>18372</v>
      </c>
    </row>
    <row r="4599">
      <c r="A4599" s="1">
        <v>50029.0</v>
      </c>
      <c r="B4599" s="1">
        <v>19797.0</v>
      </c>
      <c r="C4599" s="1">
        <v>1.623319086E9</v>
      </c>
      <c r="D4599" s="1">
        <v>4.0</v>
      </c>
      <c r="E4599" s="1" t="b">
        <v>0</v>
      </c>
      <c r="F4599" s="1" t="s">
        <v>18373</v>
      </c>
    </row>
    <row r="4600">
      <c r="A4600" s="1">
        <v>50029.0</v>
      </c>
      <c r="B4600" s="1">
        <v>18168.0</v>
      </c>
      <c r="C4600" s="1">
        <v>1.621685037E9</v>
      </c>
      <c r="D4600" s="1">
        <v>4.0</v>
      </c>
      <c r="E4600" s="1" t="b">
        <v>0</v>
      </c>
      <c r="F4600" s="1" t="s">
        <v>14487</v>
      </c>
    </row>
    <row r="4601">
      <c r="A4601" s="1">
        <v>50029.0</v>
      </c>
      <c r="B4601" s="1">
        <v>18525.0</v>
      </c>
      <c r="C4601" s="1">
        <v>1.621685436E9</v>
      </c>
      <c r="D4601" s="1">
        <v>4.0</v>
      </c>
      <c r="E4601" s="1" t="b">
        <v>0</v>
      </c>
      <c r="F4601" s="1" t="s">
        <v>18374</v>
      </c>
    </row>
    <row r="4602">
      <c r="A4602" s="1">
        <v>50029.0</v>
      </c>
      <c r="B4602" s="1">
        <v>17604.0</v>
      </c>
      <c r="C4602" s="1">
        <v>1.620305424E9</v>
      </c>
      <c r="D4602" s="1">
        <v>4.0</v>
      </c>
      <c r="E4602" s="1" t="b">
        <v>0</v>
      </c>
      <c r="F4602" s="1" t="s">
        <v>18375</v>
      </c>
    </row>
    <row r="4603">
      <c r="A4603" s="1">
        <v>50029.0</v>
      </c>
      <c r="B4603" s="1">
        <v>16897.0</v>
      </c>
      <c r="C4603" s="1">
        <v>1.618501515E9</v>
      </c>
      <c r="D4603" s="1">
        <v>4.0</v>
      </c>
      <c r="E4603" s="1" t="b">
        <v>0</v>
      </c>
      <c r="F4603" s="1" t="s">
        <v>18376</v>
      </c>
      <c r="G4603" s="1" t="b">
        <v>1</v>
      </c>
    </row>
    <row r="4604">
      <c r="A4604" s="1">
        <v>50030.0</v>
      </c>
      <c r="B4604" s="1">
        <v>20120.0</v>
      </c>
      <c r="C4604" s="1">
        <v>1.623814969E9</v>
      </c>
      <c r="D4604" s="1">
        <v>4.0</v>
      </c>
      <c r="E4604" s="1" t="b">
        <v>0</v>
      </c>
      <c r="F4604" s="1" t="s">
        <v>18377</v>
      </c>
    </row>
    <row r="4605">
      <c r="A4605" s="1">
        <v>50030.0</v>
      </c>
      <c r="B4605" s="1">
        <v>20007.0</v>
      </c>
      <c r="C4605" s="1">
        <v>1.62361641E9</v>
      </c>
      <c r="D4605" s="1">
        <v>4.0</v>
      </c>
      <c r="E4605" s="1" t="b">
        <v>0</v>
      </c>
      <c r="F4605" s="1" t="s">
        <v>18378</v>
      </c>
    </row>
    <row r="4606">
      <c r="A4606" s="1">
        <v>50030.0</v>
      </c>
      <c r="B4606" s="1">
        <v>18026.0</v>
      </c>
      <c r="C4606" s="1">
        <v>1.620929509E9</v>
      </c>
      <c r="D4606" s="1">
        <v>4.0</v>
      </c>
      <c r="E4606" s="1" t="b">
        <v>0</v>
      </c>
      <c r="F4606" s="1" t="s">
        <v>18379</v>
      </c>
    </row>
    <row r="4607">
      <c r="A4607" s="1">
        <v>50030.0</v>
      </c>
      <c r="B4607" s="1">
        <v>17404.0</v>
      </c>
      <c r="C4607" s="1">
        <v>1.619604333E9</v>
      </c>
      <c r="D4607" s="1">
        <v>4.0</v>
      </c>
      <c r="E4607" s="1" t="b">
        <v>0</v>
      </c>
      <c r="F4607" s="1" t="s">
        <v>18380</v>
      </c>
      <c r="G4607" s="1" t="b">
        <v>1</v>
      </c>
    </row>
    <row r="4608">
      <c r="A4608" s="1">
        <v>50030.0</v>
      </c>
      <c r="B4608" s="1">
        <v>19928.0</v>
      </c>
      <c r="C4608" s="1">
        <v>1.623510022E9</v>
      </c>
      <c r="D4608" s="1">
        <v>4.0</v>
      </c>
      <c r="E4608" s="1" t="b">
        <v>0</v>
      </c>
      <c r="F4608" s="1" t="s">
        <v>18381</v>
      </c>
    </row>
    <row r="4609">
      <c r="A4609" s="1">
        <v>50030.0</v>
      </c>
      <c r="B4609" s="1">
        <v>18982.0</v>
      </c>
      <c r="C4609" s="1">
        <v>1.622207383E9</v>
      </c>
      <c r="D4609" s="1">
        <v>4.0</v>
      </c>
      <c r="E4609" s="1" t="b">
        <v>0</v>
      </c>
      <c r="F4609" s="1" t="s">
        <v>18382</v>
      </c>
    </row>
    <row r="4610">
      <c r="A4610" s="1">
        <v>50030.0</v>
      </c>
      <c r="B4610" s="1">
        <v>18940.0</v>
      </c>
      <c r="C4610" s="1">
        <v>1.622176092E9</v>
      </c>
      <c r="D4610" s="1">
        <v>4.0</v>
      </c>
      <c r="E4610" s="1" t="b">
        <v>0</v>
      </c>
      <c r="F4610" s="1" t="s">
        <v>18383</v>
      </c>
    </row>
    <row r="4611">
      <c r="A4611" s="1">
        <v>50030.0</v>
      </c>
      <c r="B4611" s="1">
        <v>19862.0</v>
      </c>
      <c r="C4611" s="1">
        <v>1.623408821E9</v>
      </c>
      <c r="D4611" s="1">
        <v>4.0</v>
      </c>
      <c r="E4611" s="1" t="b">
        <v>0</v>
      </c>
      <c r="F4611" s="1" t="s">
        <v>18384</v>
      </c>
    </row>
    <row r="4612">
      <c r="A4612" s="1">
        <v>50030.0</v>
      </c>
      <c r="B4612" s="1">
        <v>17371.0</v>
      </c>
      <c r="C4612" s="1">
        <v>1.61953037E9</v>
      </c>
      <c r="D4612" s="1">
        <v>4.0</v>
      </c>
      <c r="E4612" s="1" t="b">
        <v>0</v>
      </c>
      <c r="F4612" s="1" t="s">
        <v>18385</v>
      </c>
    </row>
    <row r="4613">
      <c r="A4613" s="1">
        <v>50030.0</v>
      </c>
      <c r="B4613" s="1">
        <v>16865.0</v>
      </c>
      <c r="C4613" s="1">
        <v>1.618500227E9</v>
      </c>
      <c r="D4613" s="1">
        <v>4.0</v>
      </c>
      <c r="E4613" s="1" t="b">
        <v>0</v>
      </c>
      <c r="F4613" s="1" t="s">
        <v>18386</v>
      </c>
    </row>
    <row r="4614">
      <c r="A4614" s="1">
        <v>50030.0</v>
      </c>
      <c r="B4614" s="1">
        <v>17644.0</v>
      </c>
      <c r="C4614" s="1">
        <v>1.620378151E9</v>
      </c>
      <c r="D4614" s="1">
        <v>4.0</v>
      </c>
      <c r="E4614" s="1" t="b">
        <v>0</v>
      </c>
      <c r="F4614" s="1" t="s">
        <v>18387</v>
      </c>
    </row>
    <row r="4615">
      <c r="A4615" s="1">
        <v>50030.0</v>
      </c>
      <c r="B4615" s="1">
        <v>16898.0</v>
      </c>
      <c r="C4615" s="1">
        <v>1.618502376E9</v>
      </c>
      <c r="D4615" s="1">
        <v>4.0</v>
      </c>
      <c r="E4615" s="1" t="b">
        <v>0</v>
      </c>
      <c r="F4615" s="1" t="s">
        <v>18388</v>
      </c>
    </row>
    <row r="4616">
      <c r="A4616" s="1">
        <v>50030.0</v>
      </c>
      <c r="B4616" s="1">
        <v>18066.0</v>
      </c>
      <c r="C4616" s="1">
        <v>1.621075452E9</v>
      </c>
      <c r="D4616" s="1">
        <v>4.0</v>
      </c>
      <c r="E4616" s="1" t="b">
        <v>0</v>
      </c>
      <c r="F4616" s="1" t="s">
        <v>18389</v>
      </c>
      <c r="G4616" s="1" t="b">
        <v>1</v>
      </c>
    </row>
    <row r="4617">
      <c r="A4617" s="1">
        <v>50030.0</v>
      </c>
      <c r="B4617" s="1">
        <v>17561.0</v>
      </c>
      <c r="C4617" s="1">
        <v>1.620213496E9</v>
      </c>
      <c r="D4617" s="1">
        <v>4.0</v>
      </c>
      <c r="E4617" s="1" t="b">
        <v>0</v>
      </c>
      <c r="F4617" s="1" t="s">
        <v>18390</v>
      </c>
    </row>
    <row r="4618">
      <c r="A4618" s="1">
        <v>50030.0</v>
      </c>
      <c r="B4618" s="1">
        <v>16743.0</v>
      </c>
      <c r="C4618" s="1">
        <v>1.618547497E9</v>
      </c>
      <c r="D4618" s="1">
        <v>4.0</v>
      </c>
      <c r="E4618" s="1" t="b">
        <v>0</v>
      </c>
      <c r="F4618" s="1" t="s">
        <v>13986</v>
      </c>
      <c r="G4618" s="1" t="b">
        <v>1</v>
      </c>
    </row>
    <row r="4619">
      <c r="A4619" s="1">
        <v>50030.0</v>
      </c>
      <c r="B4619" s="1">
        <v>19203.0</v>
      </c>
      <c r="C4619" s="1">
        <v>1.622473054E9</v>
      </c>
      <c r="D4619" s="1">
        <v>4.0</v>
      </c>
      <c r="E4619" s="1" t="b">
        <v>0</v>
      </c>
      <c r="F4619" s="1" t="s">
        <v>18391</v>
      </c>
    </row>
    <row r="4620">
      <c r="A4620" s="1">
        <v>50030.0</v>
      </c>
      <c r="B4620" s="1">
        <v>4528.0</v>
      </c>
      <c r="C4620" s="1">
        <v>1.621104288E9</v>
      </c>
      <c r="D4620" s="1">
        <v>4.0</v>
      </c>
      <c r="E4620" s="1" t="b">
        <v>0</v>
      </c>
      <c r="F4620" s="1" t="s">
        <v>18392</v>
      </c>
    </row>
    <row r="4621">
      <c r="A4621" s="1">
        <v>50030.0</v>
      </c>
      <c r="B4621" s="1">
        <v>16838.0</v>
      </c>
      <c r="C4621" s="1">
        <v>1.618395736E9</v>
      </c>
      <c r="D4621" s="1">
        <v>4.0</v>
      </c>
      <c r="E4621" s="1" t="b">
        <v>0</v>
      </c>
      <c r="F4621" s="1" t="s">
        <v>18393</v>
      </c>
      <c r="G4621" s="1" t="b">
        <v>1</v>
      </c>
    </row>
    <row r="4622">
      <c r="A4622" s="1">
        <v>50030.0</v>
      </c>
      <c r="B4622" s="1">
        <v>18052.0</v>
      </c>
      <c r="C4622" s="1">
        <v>1.62105607E9</v>
      </c>
      <c r="D4622" s="1">
        <v>4.0</v>
      </c>
      <c r="E4622" s="1" t="b">
        <v>0</v>
      </c>
      <c r="F4622" s="1" t="s">
        <v>18394</v>
      </c>
    </row>
    <row r="4623">
      <c r="A4623" s="1">
        <v>50030.0</v>
      </c>
      <c r="B4623" s="1">
        <v>18107.0</v>
      </c>
      <c r="C4623" s="1">
        <v>1.621141725E9</v>
      </c>
      <c r="D4623" s="1">
        <v>4.0</v>
      </c>
      <c r="E4623" s="1" t="b">
        <v>0</v>
      </c>
      <c r="F4623" s="1" t="s">
        <v>18395</v>
      </c>
    </row>
    <row r="4624">
      <c r="A4624" s="1">
        <v>50030.0</v>
      </c>
      <c r="B4624" s="1">
        <v>18711.0</v>
      </c>
      <c r="C4624" s="1">
        <v>1.621866325E9</v>
      </c>
      <c r="D4624" s="1">
        <v>4.0</v>
      </c>
      <c r="E4624" s="1" t="b">
        <v>0</v>
      </c>
      <c r="F4624" s="1" t="s">
        <v>18396</v>
      </c>
    </row>
    <row r="4625">
      <c r="A4625" s="1">
        <v>50030.0</v>
      </c>
      <c r="B4625" s="1">
        <v>17793.0</v>
      </c>
      <c r="C4625" s="1">
        <v>1.620535182E9</v>
      </c>
      <c r="D4625" s="1">
        <v>4.0</v>
      </c>
      <c r="E4625" s="1" t="b">
        <v>0</v>
      </c>
      <c r="F4625" s="1" t="s">
        <v>18397</v>
      </c>
    </row>
    <row r="4626">
      <c r="A4626" s="1">
        <v>50030.0</v>
      </c>
      <c r="B4626" s="1">
        <v>18327.0</v>
      </c>
      <c r="C4626" s="1">
        <v>1.621404362E9</v>
      </c>
      <c r="D4626" s="1">
        <v>4.0</v>
      </c>
      <c r="E4626" s="1" t="b">
        <v>0</v>
      </c>
      <c r="F4626" s="1" t="s">
        <v>18398</v>
      </c>
    </row>
    <row r="4627">
      <c r="A4627" s="1">
        <v>50030.0</v>
      </c>
      <c r="B4627" s="1">
        <v>19533.0</v>
      </c>
      <c r="C4627" s="1">
        <v>1.622972572E9</v>
      </c>
      <c r="D4627" s="1">
        <v>4.0</v>
      </c>
      <c r="E4627" s="1" t="b">
        <v>0</v>
      </c>
      <c r="F4627" s="1" t="s">
        <v>18399</v>
      </c>
    </row>
    <row r="4628">
      <c r="A4628" s="1">
        <v>50030.0</v>
      </c>
      <c r="B4628" s="1">
        <v>20141.0</v>
      </c>
      <c r="C4628" s="1">
        <v>1.623830257E9</v>
      </c>
      <c r="D4628" s="1">
        <v>4.0</v>
      </c>
      <c r="E4628" s="1" t="b">
        <v>0</v>
      </c>
      <c r="F4628" s="1" t="s">
        <v>15444</v>
      </c>
    </row>
    <row r="4629">
      <c r="A4629" s="1">
        <v>50030.0</v>
      </c>
      <c r="B4629" s="1">
        <v>17643.0</v>
      </c>
      <c r="C4629" s="1">
        <v>1.620371628E9</v>
      </c>
      <c r="D4629" s="1">
        <v>4.0</v>
      </c>
      <c r="E4629" s="1" t="b">
        <v>0</v>
      </c>
      <c r="F4629" s="1" t="s">
        <v>18400</v>
      </c>
    </row>
    <row r="4630">
      <c r="A4630" s="1">
        <v>50030.0</v>
      </c>
      <c r="B4630" s="1">
        <v>18834.0</v>
      </c>
      <c r="C4630" s="1">
        <v>1.622022018E9</v>
      </c>
      <c r="D4630" s="1">
        <v>4.0</v>
      </c>
      <c r="E4630" s="1" t="b">
        <v>0</v>
      </c>
      <c r="F4630" s="1" t="s">
        <v>18401</v>
      </c>
    </row>
    <row r="4631">
      <c r="A4631" s="1">
        <v>50030.0</v>
      </c>
      <c r="B4631" s="1">
        <v>17368.0</v>
      </c>
      <c r="C4631" s="1">
        <v>1.619528626E9</v>
      </c>
      <c r="D4631" s="1">
        <v>4.0</v>
      </c>
      <c r="E4631" s="1" t="b">
        <v>0</v>
      </c>
      <c r="F4631" s="1" t="s">
        <v>18402</v>
      </c>
    </row>
    <row r="4632">
      <c r="A4632" s="1">
        <v>50030.0</v>
      </c>
      <c r="B4632" s="1">
        <v>18977.0</v>
      </c>
      <c r="C4632" s="1">
        <v>1.622204067E9</v>
      </c>
      <c r="D4632" s="1">
        <v>4.0</v>
      </c>
      <c r="E4632" s="1" t="b">
        <v>0</v>
      </c>
      <c r="F4632" s="1" t="s">
        <v>18403</v>
      </c>
    </row>
    <row r="4633">
      <c r="A4633" s="1">
        <v>50030.0</v>
      </c>
      <c r="B4633" s="1">
        <v>18220.0</v>
      </c>
      <c r="C4633" s="1">
        <v>1.62157841E9</v>
      </c>
      <c r="D4633" s="1">
        <v>4.0</v>
      </c>
      <c r="E4633" s="1" t="b">
        <v>0</v>
      </c>
      <c r="F4633" s="1" t="s">
        <v>16981</v>
      </c>
    </row>
    <row r="4634">
      <c r="A4634" s="1">
        <v>50030.0</v>
      </c>
      <c r="B4634" s="1">
        <v>18140.0</v>
      </c>
      <c r="C4634" s="1">
        <v>1.62123558E9</v>
      </c>
      <c r="D4634" s="1">
        <v>4.0</v>
      </c>
      <c r="E4634" s="1" t="b">
        <v>0</v>
      </c>
      <c r="F4634" s="1" t="s">
        <v>18404</v>
      </c>
    </row>
    <row r="4635">
      <c r="A4635" s="1">
        <v>50030.0</v>
      </c>
      <c r="B4635" s="1">
        <v>18157.0</v>
      </c>
      <c r="C4635" s="1">
        <v>1.621171997E9</v>
      </c>
      <c r="D4635" s="1">
        <v>4.0</v>
      </c>
      <c r="E4635" s="1" t="b">
        <v>0</v>
      </c>
      <c r="F4635" s="1" t="s">
        <v>18405</v>
      </c>
    </row>
    <row r="4636">
      <c r="A4636" s="1">
        <v>50030.0</v>
      </c>
      <c r="B4636" s="1">
        <v>20036.0</v>
      </c>
      <c r="C4636" s="1">
        <v>1.623672508E9</v>
      </c>
      <c r="D4636" s="1">
        <v>4.0</v>
      </c>
      <c r="E4636" s="1" t="b">
        <v>0</v>
      </c>
      <c r="F4636" s="1" t="s">
        <v>18406</v>
      </c>
    </row>
    <row r="4637">
      <c r="A4637" s="1">
        <v>50030.0</v>
      </c>
      <c r="B4637" s="1">
        <v>18024.0</v>
      </c>
      <c r="C4637" s="1">
        <v>1.620928217E9</v>
      </c>
      <c r="D4637" s="1">
        <v>4.0</v>
      </c>
      <c r="E4637" s="1" t="b">
        <v>0</v>
      </c>
      <c r="F4637" s="1" t="s">
        <v>18407</v>
      </c>
    </row>
    <row r="4638">
      <c r="A4638" s="1">
        <v>50030.0</v>
      </c>
      <c r="B4638" s="1">
        <v>20315.0</v>
      </c>
      <c r="C4638" s="1">
        <v>1.624104438E9</v>
      </c>
      <c r="D4638" s="1">
        <v>4.0</v>
      </c>
      <c r="E4638" s="1" t="b">
        <v>0</v>
      </c>
      <c r="F4638" s="1" t="s">
        <v>18408</v>
      </c>
    </row>
    <row r="4639">
      <c r="A4639" s="1">
        <v>50030.0</v>
      </c>
      <c r="B4639" s="1">
        <v>19020.0</v>
      </c>
      <c r="C4639" s="1">
        <v>1.622277493E9</v>
      </c>
      <c r="D4639" s="1">
        <v>4.0</v>
      </c>
      <c r="E4639" s="1" t="b">
        <v>0</v>
      </c>
      <c r="F4639" s="1" t="s">
        <v>18409</v>
      </c>
    </row>
    <row r="4640">
      <c r="A4640" s="1">
        <v>50030.0</v>
      </c>
      <c r="B4640" s="1">
        <v>20289.0</v>
      </c>
      <c r="C4640" s="1">
        <v>1.62404083E9</v>
      </c>
      <c r="D4640" s="1">
        <v>4.0</v>
      </c>
      <c r="E4640" s="1" t="b">
        <v>0</v>
      </c>
      <c r="F4640" s="1" t="s">
        <v>18410</v>
      </c>
    </row>
    <row r="4641">
      <c r="A4641" s="1">
        <v>50030.0</v>
      </c>
      <c r="B4641" s="1">
        <v>18056.0</v>
      </c>
      <c r="C4641" s="1">
        <v>1.621062527E9</v>
      </c>
      <c r="D4641" s="1">
        <v>4.0</v>
      </c>
      <c r="E4641" s="1" t="b">
        <v>0</v>
      </c>
      <c r="F4641" s="1" t="s">
        <v>18411</v>
      </c>
    </row>
    <row r="4642">
      <c r="A4642" s="1">
        <v>50030.0</v>
      </c>
      <c r="B4642" s="1">
        <v>19717.0</v>
      </c>
      <c r="C4642" s="1">
        <v>1.623215591E9</v>
      </c>
      <c r="D4642" s="1">
        <v>4.0</v>
      </c>
      <c r="E4642" s="1" t="b">
        <v>0</v>
      </c>
      <c r="F4642" s="1" t="s">
        <v>18412</v>
      </c>
    </row>
    <row r="4643">
      <c r="A4643" s="1">
        <v>50030.0</v>
      </c>
      <c r="B4643" s="1">
        <v>19952.0</v>
      </c>
      <c r="C4643" s="1">
        <v>1.623536788E9</v>
      </c>
      <c r="D4643" s="1">
        <v>4.0</v>
      </c>
      <c r="E4643" s="1" t="b">
        <v>0</v>
      </c>
      <c r="F4643" s="1" t="s">
        <v>18413</v>
      </c>
    </row>
    <row r="4644">
      <c r="A4644" s="1">
        <v>50030.0</v>
      </c>
      <c r="B4644" s="1">
        <v>19856.0</v>
      </c>
      <c r="C4644" s="1">
        <v>1.623404004E9</v>
      </c>
      <c r="D4644" s="1">
        <v>4.0</v>
      </c>
      <c r="E4644" s="1" t="b">
        <v>0</v>
      </c>
      <c r="F4644" s="1" t="s">
        <v>18414</v>
      </c>
    </row>
    <row r="4645">
      <c r="A4645" s="1">
        <v>50030.0</v>
      </c>
      <c r="B4645" s="1">
        <v>19743.0</v>
      </c>
      <c r="C4645" s="1">
        <v>1.623236313E9</v>
      </c>
      <c r="D4645" s="1">
        <v>4.0</v>
      </c>
      <c r="E4645" s="1" t="b">
        <v>0</v>
      </c>
      <c r="F4645" s="1" t="s">
        <v>18415</v>
      </c>
    </row>
    <row r="4646">
      <c r="A4646" s="1">
        <v>50030.0</v>
      </c>
      <c r="B4646" s="1">
        <v>17813.0</v>
      </c>
      <c r="C4646" s="1">
        <v>1.620550076E9</v>
      </c>
      <c r="D4646" s="1">
        <v>4.0</v>
      </c>
      <c r="E4646" s="1" t="b">
        <v>0</v>
      </c>
      <c r="F4646" s="1" t="s">
        <v>18416</v>
      </c>
    </row>
    <row r="4647">
      <c r="A4647" s="1">
        <v>50030.0</v>
      </c>
      <c r="B4647" s="1">
        <v>20429.0</v>
      </c>
      <c r="C4647" s="1">
        <v>1.624355703E9</v>
      </c>
      <c r="D4647" s="1">
        <v>4.0</v>
      </c>
      <c r="E4647" s="1" t="b">
        <v>0</v>
      </c>
      <c r="F4647" s="1" t="s">
        <v>18417</v>
      </c>
    </row>
    <row r="4648">
      <c r="A4648" s="1">
        <v>50030.0</v>
      </c>
      <c r="B4648" s="1">
        <v>16870.0</v>
      </c>
      <c r="C4648" s="1">
        <v>1.618469613E9</v>
      </c>
      <c r="D4648" s="1">
        <v>4.0</v>
      </c>
      <c r="E4648" s="1" t="b">
        <v>0</v>
      </c>
      <c r="F4648" s="1" t="s">
        <v>18418</v>
      </c>
    </row>
    <row r="4649">
      <c r="A4649" s="1">
        <v>50030.0</v>
      </c>
      <c r="B4649" s="1">
        <v>17460.0</v>
      </c>
      <c r="C4649" s="1">
        <v>1.619774237E9</v>
      </c>
      <c r="D4649" s="1">
        <v>4.0</v>
      </c>
      <c r="E4649" s="1" t="b">
        <v>0</v>
      </c>
      <c r="F4649" s="1" t="s">
        <v>18419</v>
      </c>
    </row>
    <row r="4650">
      <c r="A4650" s="1">
        <v>50030.0</v>
      </c>
      <c r="B4650" s="1">
        <v>18809.0</v>
      </c>
      <c r="C4650" s="1">
        <v>1.622002036E9</v>
      </c>
      <c r="D4650" s="1">
        <v>4.0</v>
      </c>
      <c r="E4650" s="1" t="b">
        <v>0</v>
      </c>
      <c r="F4650" s="1" t="s">
        <v>18420</v>
      </c>
    </row>
    <row r="4651">
      <c r="A4651" s="1">
        <v>50030.0</v>
      </c>
      <c r="B4651" s="1">
        <v>18529.0</v>
      </c>
      <c r="C4651" s="1">
        <v>1.62168456E9</v>
      </c>
      <c r="D4651" s="1">
        <v>4.0</v>
      </c>
      <c r="E4651" s="1" t="b">
        <v>0</v>
      </c>
      <c r="F4651" s="1" t="s">
        <v>18421</v>
      </c>
    </row>
    <row r="4652">
      <c r="A4652" s="1">
        <v>50030.0</v>
      </c>
      <c r="B4652" s="1">
        <v>19642.0</v>
      </c>
      <c r="C4652" s="1">
        <v>1.623088446E9</v>
      </c>
      <c r="D4652" s="1">
        <v>4.0</v>
      </c>
      <c r="E4652" s="1" t="b">
        <v>0</v>
      </c>
      <c r="F4652" s="1" t="s">
        <v>18422</v>
      </c>
    </row>
    <row r="4653">
      <c r="A4653" s="1">
        <v>50030.0</v>
      </c>
      <c r="B4653" s="1">
        <v>16916.0</v>
      </c>
      <c r="C4653" s="1">
        <v>1.618573797E9</v>
      </c>
      <c r="D4653" s="1">
        <v>4.0</v>
      </c>
      <c r="E4653" s="1" t="b">
        <v>0</v>
      </c>
      <c r="F4653" s="1" t="s">
        <v>18423</v>
      </c>
      <c r="G4653" s="1" t="b">
        <v>1</v>
      </c>
    </row>
    <row r="4654">
      <c r="A4654" s="1">
        <v>50030.0</v>
      </c>
      <c r="B4654" s="1">
        <v>18055.0</v>
      </c>
      <c r="C4654" s="1">
        <v>1.621060997E9</v>
      </c>
      <c r="D4654" s="1">
        <v>4.0</v>
      </c>
      <c r="E4654" s="1" t="b">
        <v>0</v>
      </c>
      <c r="F4654" s="1" t="s">
        <v>18424</v>
      </c>
    </row>
    <row r="4655">
      <c r="A4655" s="1">
        <v>50030.0</v>
      </c>
      <c r="B4655" s="1">
        <v>17958.0</v>
      </c>
      <c r="C4655" s="1">
        <v>1.620725897E9</v>
      </c>
      <c r="D4655" s="1">
        <v>4.0</v>
      </c>
      <c r="E4655" s="1" t="b">
        <v>0</v>
      </c>
      <c r="F4655" s="1" t="s">
        <v>18425</v>
      </c>
    </row>
    <row r="4656">
      <c r="A4656" s="1">
        <v>50030.0</v>
      </c>
      <c r="B4656" s="1">
        <v>18655.0</v>
      </c>
      <c r="C4656" s="1">
        <v>1.621839998E9</v>
      </c>
      <c r="D4656" s="1">
        <v>4.0</v>
      </c>
      <c r="E4656" s="1" t="b">
        <v>0</v>
      </c>
      <c r="F4656" s="1" t="s">
        <v>18426</v>
      </c>
    </row>
    <row r="4657">
      <c r="A4657" s="1">
        <v>50030.0</v>
      </c>
      <c r="B4657" s="1">
        <v>19868.0</v>
      </c>
      <c r="C4657" s="1">
        <v>1.623416444E9</v>
      </c>
      <c r="D4657" s="1">
        <v>4.0</v>
      </c>
      <c r="E4657" s="1" t="b">
        <v>0</v>
      </c>
      <c r="F4657" s="1" t="s">
        <v>18427</v>
      </c>
    </row>
    <row r="4658">
      <c r="A4658" s="1">
        <v>50030.0</v>
      </c>
      <c r="B4658" s="1">
        <v>19947.0</v>
      </c>
      <c r="C4658" s="1">
        <v>1.623519376E9</v>
      </c>
      <c r="D4658" s="1">
        <v>4.0</v>
      </c>
      <c r="E4658" s="1" t="b">
        <v>0</v>
      </c>
      <c r="F4658" s="1" t="s">
        <v>18428</v>
      </c>
    </row>
    <row r="4659">
      <c r="A4659" s="1">
        <v>50030.0</v>
      </c>
      <c r="B4659" s="1">
        <v>19160.0</v>
      </c>
      <c r="C4659" s="1">
        <v>1.622452869E9</v>
      </c>
      <c r="D4659" s="1">
        <v>4.0</v>
      </c>
      <c r="E4659" s="1" t="b">
        <v>0</v>
      </c>
      <c r="F4659" s="1" t="s">
        <v>18429</v>
      </c>
    </row>
    <row r="4660">
      <c r="A4660" s="1">
        <v>50030.0</v>
      </c>
      <c r="B4660" s="1">
        <v>20239.0</v>
      </c>
      <c r="C4660" s="1">
        <v>1.624039262E9</v>
      </c>
      <c r="D4660" s="1">
        <v>4.0</v>
      </c>
      <c r="E4660" s="1" t="b">
        <v>0</v>
      </c>
      <c r="F4660" s="1" t="s">
        <v>18430</v>
      </c>
    </row>
    <row r="4661">
      <c r="A4661" s="1">
        <v>50030.0</v>
      </c>
      <c r="B4661" s="1">
        <v>17952.0</v>
      </c>
      <c r="C4661" s="1">
        <v>1.620718197E9</v>
      </c>
      <c r="D4661" s="1">
        <v>4.0</v>
      </c>
      <c r="E4661" s="1" t="b">
        <v>0</v>
      </c>
      <c r="F4661" s="1" t="s">
        <v>18431</v>
      </c>
      <c r="G4661" s="1" t="b">
        <v>1</v>
      </c>
    </row>
    <row r="4662">
      <c r="A4662" s="1">
        <v>50030.0</v>
      </c>
      <c r="B4662" s="1">
        <v>19270.0</v>
      </c>
      <c r="C4662" s="1">
        <v>1.622548456E9</v>
      </c>
      <c r="D4662" s="1">
        <v>4.0</v>
      </c>
      <c r="E4662" s="1" t="b">
        <v>0</v>
      </c>
      <c r="F4662" s="1" t="s">
        <v>18432</v>
      </c>
    </row>
    <row r="4663">
      <c r="A4663" s="1">
        <v>50030.0</v>
      </c>
      <c r="B4663" s="1">
        <v>19996.0</v>
      </c>
      <c r="C4663" s="1">
        <v>1.623603187E9</v>
      </c>
      <c r="D4663" s="1">
        <v>4.0</v>
      </c>
      <c r="E4663" s="1" t="b">
        <v>0</v>
      </c>
      <c r="F4663" s="1" t="s">
        <v>18433</v>
      </c>
    </row>
    <row r="4664">
      <c r="A4664" s="1">
        <v>50030.0</v>
      </c>
      <c r="B4664" s="1">
        <v>16877.0</v>
      </c>
      <c r="C4664" s="1">
        <v>1.620371626E9</v>
      </c>
      <c r="D4664" s="1">
        <v>4.0</v>
      </c>
      <c r="E4664" s="1" t="b">
        <v>0</v>
      </c>
      <c r="F4664" s="1" t="s">
        <v>18434</v>
      </c>
    </row>
    <row r="4665">
      <c r="A4665" s="1">
        <v>50030.0</v>
      </c>
      <c r="B4665" s="1">
        <v>19397.0</v>
      </c>
      <c r="C4665" s="1">
        <v>1.622667593E9</v>
      </c>
      <c r="D4665" s="1">
        <v>4.0</v>
      </c>
      <c r="E4665" s="1" t="b">
        <v>0</v>
      </c>
      <c r="F4665" s="1" t="s">
        <v>18435</v>
      </c>
    </row>
    <row r="4666">
      <c r="A4666" s="1">
        <v>50030.0</v>
      </c>
      <c r="B4666" s="1">
        <v>20186.0</v>
      </c>
      <c r="C4666" s="1">
        <v>1.62390274E9</v>
      </c>
      <c r="D4666" s="1">
        <v>9.0</v>
      </c>
      <c r="E4666" s="1" t="b">
        <v>0</v>
      </c>
      <c r="F4666" s="1" t="s">
        <v>18436</v>
      </c>
    </row>
    <row r="4667">
      <c r="A4667" s="1">
        <v>50030.0</v>
      </c>
      <c r="B4667" s="1">
        <v>19113.0</v>
      </c>
      <c r="C4667" s="1">
        <v>1.622389026E9</v>
      </c>
      <c r="D4667" s="1">
        <v>4.0</v>
      </c>
      <c r="E4667" s="1" t="b">
        <v>0</v>
      </c>
      <c r="F4667" s="1" t="s">
        <v>18437</v>
      </c>
    </row>
    <row r="4668">
      <c r="A4668" s="1">
        <v>50030.0</v>
      </c>
      <c r="B4668" s="1">
        <v>18023.0</v>
      </c>
      <c r="C4668" s="1">
        <v>1.620923872E9</v>
      </c>
      <c r="D4668" s="1">
        <v>4.0</v>
      </c>
      <c r="E4668" s="1" t="b">
        <v>0</v>
      </c>
      <c r="F4668" s="1" t="s">
        <v>18438</v>
      </c>
    </row>
    <row r="4669">
      <c r="A4669" s="1">
        <v>50030.0</v>
      </c>
      <c r="B4669" s="1">
        <v>20391.0</v>
      </c>
      <c r="C4669" s="1">
        <v>1.624277674E9</v>
      </c>
      <c r="D4669" s="1">
        <v>4.0</v>
      </c>
      <c r="E4669" s="1" t="b">
        <v>0</v>
      </c>
      <c r="F4669" s="1" t="s">
        <v>18439</v>
      </c>
    </row>
    <row r="4670">
      <c r="A4670" s="1">
        <v>50030.0</v>
      </c>
      <c r="B4670" s="1">
        <v>19307.0</v>
      </c>
      <c r="C4670" s="1">
        <v>1.622576442E9</v>
      </c>
      <c r="D4670" s="1">
        <v>4.0</v>
      </c>
      <c r="E4670" s="1" t="b">
        <v>0</v>
      </c>
      <c r="F4670" s="1" t="s">
        <v>18440</v>
      </c>
    </row>
    <row r="4671">
      <c r="A4671" s="1">
        <v>50030.0</v>
      </c>
      <c r="B4671" s="1">
        <v>20387.0</v>
      </c>
      <c r="C4671" s="1">
        <v>1.624271679E9</v>
      </c>
      <c r="D4671" s="1">
        <v>4.0</v>
      </c>
      <c r="E4671" s="1" t="b">
        <v>0</v>
      </c>
      <c r="F4671" s="1" t="s">
        <v>18441</v>
      </c>
    </row>
    <row r="4672">
      <c r="A4672" s="1">
        <v>50030.0</v>
      </c>
      <c r="B4672" s="1">
        <v>20402.0</v>
      </c>
      <c r="C4672" s="1">
        <v>1.624295055E9</v>
      </c>
      <c r="D4672" s="1">
        <v>4.0</v>
      </c>
      <c r="E4672" s="1" t="b">
        <v>0</v>
      </c>
      <c r="F4672" s="1" t="s">
        <v>18442</v>
      </c>
    </row>
    <row r="4673">
      <c r="A4673" s="1">
        <v>50030.0</v>
      </c>
      <c r="B4673" s="1">
        <v>18713.0</v>
      </c>
      <c r="C4673" s="1">
        <v>1.622361207E9</v>
      </c>
      <c r="D4673" s="1">
        <v>4.0</v>
      </c>
      <c r="E4673" s="1" t="b">
        <v>0</v>
      </c>
      <c r="F4673" s="1" t="s">
        <v>18443</v>
      </c>
    </row>
    <row r="4674">
      <c r="A4674" s="1">
        <v>50030.0</v>
      </c>
      <c r="B4674" s="1">
        <v>17809.0</v>
      </c>
      <c r="C4674" s="1">
        <v>1.620545123E9</v>
      </c>
      <c r="D4674" s="1">
        <v>4.0</v>
      </c>
      <c r="E4674" s="1" t="b">
        <v>0</v>
      </c>
      <c r="F4674" s="1" t="s">
        <v>18444</v>
      </c>
    </row>
    <row r="4675">
      <c r="A4675" s="1">
        <v>50030.0</v>
      </c>
      <c r="B4675" s="1">
        <v>20277.0</v>
      </c>
      <c r="C4675" s="1">
        <v>1.624023393E9</v>
      </c>
      <c r="D4675" s="1">
        <v>4.0</v>
      </c>
      <c r="E4675" s="1" t="b">
        <v>0</v>
      </c>
      <c r="F4675" s="1" t="s">
        <v>18445</v>
      </c>
    </row>
    <row r="4676">
      <c r="A4676" s="1">
        <v>50030.0</v>
      </c>
      <c r="B4676" s="1">
        <v>20203.0</v>
      </c>
      <c r="C4676" s="1">
        <v>1.623924878E9</v>
      </c>
      <c r="D4676" s="1">
        <v>4.0</v>
      </c>
      <c r="E4676" s="1" t="b">
        <v>0</v>
      </c>
      <c r="F4676" s="1" t="s">
        <v>18446</v>
      </c>
    </row>
    <row r="4677">
      <c r="A4677" s="1">
        <v>50030.0</v>
      </c>
      <c r="B4677" s="1">
        <v>17930.0</v>
      </c>
      <c r="C4677" s="1">
        <v>1.620664318E9</v>
      </c>
      <c r="D4677" s="1">
        <v>4.0</v>
      </c>
      <c r="E4677" s="1" t="b">
        <v>0</v>
      </c>
      <c r="F4677" s="1" t="s">
        <v>18447</v>
      </c>
    </row>
    <row r="4678">
      <c r="A4678" s="1">
        <v>50030.0</v>
      </c>
      <c r="B4678" s="1">
        <v>19877.0</v>
      </c>
      <c r="C4678" s="1">
        <v>1.623419882E9</v>
      </c>
      <c r="D4678" s="1">
        <v>4.0</v>
      </c>
      <c r="E4678" s="1" t="b">
        <v>0</v>
      </c>
      <c r="F4678" s="1" t="s">
        <v>18448</v>
      </c>
      <c r="G4678" s="1" t="b">
        <v>1</v>
      </c>
    </row>
    <row r="4679">
      <c r="A4679" s="1">
        <v>50030.0</v>
      </c>
      <c r="B4679" s="1">
        <v>19823.0</v>
      </c>
      <c r="C4679" s="1">
        <v>1.623342193E9</v>
      </c>
      <c r="D4679" s="1">
        <v>4.0</v>
      </c>
      <c r="E4679" s="1" t="b">
        <v>0</v>
      </c>
      <c r="F4679" s="1" t="s">
        <v>18449</v>
      </c>
    </row>
    <row r="4680">
      <c r="A4680" s="1">
        <v>50030.0</v>
      </c>
      <c r="B4680" s="1">
        <v>18941.0</v>
      </c>
      <c r="C4680" s="1">
        <v>1.622176967E9</v>
      </c>
      <c r="D4680" s="1">
        <v>4.0</v>
      </c>
      <c r="E4680" s="1" t="b">
        <v>0</v>
      </c>
      <c r="F4680" s="1" t="s">
        <v>18450</v>
      </c>
    </row>
    <row r="4681">
      <c r="A4681" s="1">
        <v>50030.0</v>
      </c>
      <c r="B4681" s="1">
        <v>18435.0</v>
      </c>
      <c r="C4681" s="1">
        <v>1.621586275E9</v>
      </c>
      <c r="D4681" s="1">
        <v>4.0</v>
      </c>
      <c r="E4681" s="1" t="b">
        <v>0</v>
      </c>
      <c r="F4681" s="1" t="s">
        <v>18451</v>
      </c>
    </row>
    <row r="4682">
      <c r="A4682" s="1">
        <v>50030.0</v>
      </c>
      <c r="B4682" s="1">
        <v>19767.0</v>
      </c>
      <c r="C4682" s="1">
        <v>1.623264796E9</v>
      </c>
      <c r="D4682" s="1">
        <v>4.0</v>
      </c>
      <c r="E4682" s="1" t="b">
        <v>0</v>
      </c>
      <c r="F4682" s="1" t="s">
        <v>18452</v>
      </c>
    </row>
    <row r="4683">
      <c r="A4683" s="1">
        <v>50030.0</v>
      </c>
      <c r="B4683" s="1">
        <v>17862.0</v>
      </c>
      <c r="C4683" s="1">
        <v>1.620606414E9</v>
      </c>
      <c r="D4683" s="1">
        <v>4.0</v>
      </c>
      <c r="E4683" s="1" t="b">
        <v>0</v>
      </c>
      <c r="F4683" s="1" t="s">
        <v>18453</v>
      </c>
    </row>
    <row r="4684">
      <c r="A4684" s="1">
        <v>50030.0</v>
      </c>
      <c r="B4684" s="1">
        <v>19544.0</v>
      </c>
      <c r="C4684" s="1">
        <v>1.622982504E9</v>
      </c>
      <c r="D4684" s="1">
        <v>4.0</v>
      </c>
      <c r="E4684" s="1" t="b">
        <v>0</v>
      </c>
      <c r="F4684" s="1" t="s">
        <v>18454</v>
      </c>
    </row>
    <row r="4685">
      <c r="A4685" s="1">
        <v>50030.0</v>
      </c>
      <c r="B4685" s="1">
        <v>18980.0</v>
      </c>
      <c r="C4685" s="1">
        <v>1.622206118E9</v>
      </c>
      <c r="D4685" s="1">
        <v>4.0</v>
      </c>
      <c r="E4685" s="1" t="b">
        <v>0</v>
      </c>
      <c r="F4685" s="1" t="s">
        <v>15258</v>
      </c>
    </row>
    <row r="4686">
      <c r="A4686" s="1">
        <v>50030.0</v>
      </c>
      <c r="B4686" s="1">
        <v>18648.0</v>
      </c>
      <c r="C4686" s="1">
        <v>1.621802659E9</v>
      </c>
      <c r="D4686" s="1">
        <v>4.0</v>
      </c>
      <c r="E4686" s="1" t="b">
        <v>0</v>
      </c>
      <c r="F4686" s="1" t="s">
        <v>18455</v>
      </c>
    </row>
    <row r="4687">
      <c r="A4687" s="1">
        <v>50030.0</v>
      </c>
      <c r="B4687" s="1">
        <v>16872.0</v>
      </c>
      <c r="C4687" s="1">
        <v>1.618469615E9</v>
      </c>
      <c r="D4687" s="1">
        <v>4.0</v>
      </c>
      <c r="E4687" s="1" t="b">
        <v>0</v>
      </c>
      <c r="F4687" s="1" t="s">
        <v>18456</v>
      </c>
    </row>
    <row r="4688">
      <c r="A4688" s="1">
        <v>50030.0</v>
      </c>
      <c r="B4688" s="1">
        <v>17622.0</v>
      </c>
      <c r="C4688" s="1">
        <v>1.620369867E9</v>
      </c>
      <c r="D4688" s="1">
        <v>4.0</v>
      </c>
      <c r="E4688" s="1" t="b">
        <v>0</v>
      </c>
      <c r="F4688" s="1" t="s">
        <v>18457</v>
      </c>
    </row>
    <row r="4689">
      <c r="A4689" s="1">
        <v>50030.0</v>
      </c>
      <c r="B4689" s="1">
        <v>19824.0</v>
      </c>
      <c r="C4689" s="1">
        <v>1.623344658E9</v>
      </c>
      <c r="D4689" s="1">
        <v>4.0</v>
      </c>
      <c r="E4689" s="1" t="b">
        <v>0</v>
      </c>
      <c r="F4689" s="1" t="s">
        <v>16751</v>
      </c>
    </row>
    <row r="4690">
      <c r="A4690" s="1">
        <v>50030.0</v>
      </c>
      <c r="B4690" s="1">
        <v>18574.0</v>
      </c>
      <c r="C4690" s="1">
        <v>1.621739327E9</v>
      </c>
      <c r="D4690" s="1">
        <v>4.0</v>
      </c>
      <c r="E4690" s="1" t="b">
        <v>0</v>
      </c>
      <c r="F4690" s="1" t="s">
        <v>18458</v>
      </c>
    </row>
    <row r="4691">
      <c r="A4691" s="1">
        <v>50030.0</v>
      </c>
      <c r="B4691" s="1">
        <v>16867.0</v>
      </c>
      <c r="C4691" s="1">
        <v>1.618455585E9</v>
      </c>
      <c r="D4691" s="1">
        <v>4.0</v>
      </c>
      <c r="E4691" s="1" t="b">
        <v>0</v>
      </c>
      <c r="F4691" s="1" t="s">
        <v>18459</v>
      </c>
      <c r="G4691" s="1" t="b">
        <v>1</v>
      </c>
    </row>
    <row r="4692">
      <c r="A4692" s="1">
        <v>50030.0</v>
      </c>
      <c r="B4692" s="1">
        <v>18792.0</v>
      </c>
      <c r="C4692" s="1">
        <v>1.621963125E9</v>
      </c>
      <c r="D4692" s="1">
        <v>4.0</v>
      </c>
      <c r="E4692" s="1" t="b">
        <v>0</v>
      </c>
      <c r="F4692" s="1" t="s">
        <v>18460</v>
      </c>
    </row>
    <row r="4693">
      <c r="A4693" s="1">
        <v>50030.0</v>
      </c>
      <c r="B4693" s="1">
        <v>17925.0</v>
      </c>
      <c r="C4693" s="1">
        <v>1.620658349E9</v>
      </c>
      <c r="D4693" s="1">
        <v>4.0</v>
      </c>
      <c r="E4693" s="1" t="b">
        <v>0</v>
      </c>
      <c r="F4693" s="1" t="s">
        <v>18461</v>
      </c>
    </row>
    <row r="4694">
      <c r="A4694" s="1">
        <v>50030.0</v>
      </c>
      <c r="B4694" s="1">
        <v>17481.0</v>
      </c>
      <c r="C4694" s="1">
        <v>1.619866741E9</v>
      </c>
      <c r="D4694" s="1">
        <v>4.0</v>
      </c>
      <c r="E4694" s="1" t="b">
        <v>0</v>
      </c>
      <c r="F4694" s="1" t="s">
        <v>18462</v>
      </c>
    </row>
    <row r="4695">
      <c r="A4695" s="1">
        <v>50030.0</v>
      </c>
      <c r="B4695" s="1">
        <v>19164.0</v>
      </c>
      <c r="C4695" s="1">
        <v>1.622452997E9</v>
      </c>
      <c r="D4695" s="1">
        <v>4.0</v>
      </c>
      <c r="E4695" s="1" t="b">
        <v>0</v>
      </c>
      <c r="F4695" s="1" t="s">
        <v>18463</v>
      </c>
    </row>
    <row r="4696">
      <c r="A4696" s="1">
        <v>50030.0</v>
      </c>
      <c r="B4696" s="1">
        <v>20382.0</v>
      </c>
      <c r="C4696" s="1">
        <v>1.62426216E9</v>
      </c>
      <c r="D4696" s="1">
        <v>4.0</v>
      </c>
      <c r="E4696" s="1" t="b">
        <v>0</v>
      </c>
      <c r="F4696" s="1" t="s">
        <v>18464</v>
      </c>
    </row>
    <row r="4697">
      <c r="A4697" s="1">
        <v>50030.0</v>
      </c>
      <c r="B4697" s="1">
        <v>20038.0</v>
      </c>
      <c r="C4697" s="1">
        <v>1.623672612E9</v>
      </c>
      <c r="D4697" s="1">
        <v>4.0</v>
      </c>
      <c r="E4697" s="1" t="b">
        <v>0</v>
      </c>
      <c r="F4697" s="1" t="s">
        <v>18465</v>
      </c>
    </row>
    <row r="4698">
      <c r="A4698" s="1">
        <v>50030.0</v>
      </c>
      <c r="B4698" s="1">
        <v>19140.0</v>
      </c>
      <c r="C4698" s="1">
        <v>1.622433768E9</v>
      </c>
      <c r="D4698" s="1">
        <v>4.0</v>
      </c>
      <c r="E4698" s="1" t="b">
        <v>0</v>
      </c>
      <c r="F4698" s="1" t="s">
        <v>18466</v>
      </c>
    </row>
    <row r="4699">
      <c r="A4699" s="1">
        <v>50030.0</v>
      </c>
      <c r="B4699" s="1">
        <v>18732.0</v>
      </c>
      <c r="C4699" s="1">
        <v>1.621882975E9</v>
      </c>
      <c r="D4699" s="1">
        <v>4.0</v>
      </c>
      <c r="E4699" s="1" t="b">
        <v>0</v>
      </c>
      <c r="F4699" s="1" t="s">
        <v>18467</v>
      </c>
    </row>
    <row r="4700">
      <c r="A4700" s="1">
        <v>50030.0</v>
      </c>
      <c r="B4700" s="1">
        <v>20194.0</v>
      </c>
      <c r="C4700" s="1">
        <v>1.623915699E9</v>
      </c>
      <c r="D4700" s="1">
        <v>4.0</v>
      </c>
      <c r="E4700" s="1" t="b">
        <v>0</v>
      </c>
      <c r="F4700" s="1" t="s">
        <v>18468</v>
      </c>
    </row>
    <row r="4701">
      <c r="A4701" s="1">
        <v>50030.0</v>
      </c>
      <c r="B4701" s="1">
        <v>9383.0</v>
      </c>
      <c r="C4701" s="1">
        <v>1.623766812E9</v>
      </c>
      <c r="D4701" s="1">
        <v>4.0</v>
      </c>
      <c r="E4701" s="1" t="b">
        <v>0</v>
      </c>
      <c r="F4701" s="1" t="s">
        <v>18469</v>
      </c>
    </row>
    <row r="4702">
      <c r="A4702" s="1">
        <v>50030.0</v>
      </c>
      <c r="B4702" s="1">
        <v>18474.0</v>
      </c>
      <c r="C4702" s="1">
        <v>1.621651965E9</v>
      </c>
      <c r="D4702" s="1">
        <v>4.0</v>
      </c>
      <c r="E4702" s="1" t="b">
        <v>0</v>
      </c>
      <c r="F4702" s="1" t="s">
        <v>18470</v>
      </c>
    </row>
    <row r="4703">
      <c r="A4703" s="1">
        <v>50030.0</v>
      </c>
      <c r="B4703" s="1">
        <v>18035.0</v>
      </c>
      <c r="C4703" s="1">
        <v>1.620991555E9</v>
      </c>
      <c r="D4703" s="1">
        <v>4.0</v>
      </c>
      <c r="E4703" s="1" t="b">
        <v>0</v>
      </c>
      <c r="F4703" s="1" t="s">
        <v>18471</v>
      </c>
    </row>
    <row r="4704">
      <c r="A4704" s="1">
        <v>50030.0</v>
      </c>
      <c r="B4704" s="1">
        <v>20160.0</v>
      </c>
      <c r="C4704" s="1">
        <v>1.623850812E9</v>
      </c>
      <c r="D4704" s="1">
        <v>4.0</v>
      </c>
      <c r="E4704" s="1" t="b">
        <v>0</v>
      </c>
      <c r="F4704" s="1" t="s">
        <v>18472</v>
      </c>
    </row>
    <row r="4705">
      <c r="A4705" s="1">
        <v>50030.0</v>
      </c>
      <c r="B4705" s="1">
        <v>16889.0</v>
      </c>
      <c r="C4705" s="1">
        <v>1.618484463E9</v>
      </c>
      <c r="D4705" s="1">
        <v>4.0</v>
      </c>
      <c r="E4705" s="1" t="b">
        <v>0</v>
      </c>
      <c r="F4705" s="1" t="s">
        <v>18473</v>
      </c>
    </row>
    <row r="4706">
      <c r="A4706" s="1">
        <v>50030.0</v>
      </c>
      <c r="B4706" s="1">
        <v>20138.0</v>
      </c>
      <c r="C4706" s="1">
        <v>1.623829027E9</v>
      </c>
      <c r="D4706" s="1">
        <v>4.0</v>
      </c>
      <c r="E4706" s="1" t="b">
        <v>0</v>
      </c>
      <c r="F4706" s="1" t="s">
        <v>18474</v>
      </c>
    </row>
    <row r="4707">
      <c r="A4707" s="1">
        <v>50030.0</v>
      </c>
      <c r="B4707" s="1">
        <v>20460.0</v>
      </c>
      <c r="C4707" s="1">
        <v>1.624386838E9</v>
      </c>
      <c r="D4707" s="1">
        <v>4.0</v>
      </c>
      <c r="E4707" s="1" t="b">
        <v>0</v>
      </c>
      <c r="F4707" s="1" t="s">
        <v>18475</v>
      </c>
    </row>
    <row r="4708">
      <c r="A4708" s="1">
        <v>50030.0</v>
      </c>
      <c r="B4708" s="1">
        <v>18784.0</v>
      </c>
      <c r="C4708" s="1">
        <v>1.621953821E9</v>
      </c>
      <c r="D4708" s="1">
        <v>4.0</v>
      </c>
      <c r="E4708" s="1" t="b">
        <v>0</v>
      </c>
      <c r="F4708" s="1" t="s">
        <v>18476</v>
      </c>
    </row>
    <row r="4709">
      <c r="A4709" s="1">
        <v>50030.0</v>
      </c>
      <c r="B4709" s="1">
        <v>20321.0</v>
      </c>
      <c r="C4709" s="1">
        <v>1.624112498E9</v>
      </c>
      <c r="D4709" s="1">
        <v>4.0</v>
      </c>
      <c r="E4709" s="1" t="b">
        <v>0</v>
      </c>
      <c r="F4709" s="1" t="s">
        <v>18224</v>
      </c>
    </row>
    <row r="4710">
      <c r="A4710" s="1">
        <v>50030.0</v>
      </c>
      <c r="B4710" s="1">
        <v>20091.0</v>
      </c>
      <c r="C4710" s="1">
        <v>1.623759553E9</v>
      </c>
      <c r="D4710" s="1">
        <v>4.0</v>
      </c>
      <c r="E4710" s="1" t="b">
        <v>0</v>
      </c>
      <c r="F4710" s="1" t="s">
        <v>18477</v>
      </c>
    </row>
    <row r="4711">
      <c r="A4711" s="1">
        <v>50030.0</v>
      </c>
      <c r="B4711" s="1">
        <v>17666.0</v>
      </c>
      <c r="C4711" s="1">
        <v>1.620390917E9</v>
      </c>
      <c r="D4711" s="1">
        <v>4.0</v>
      </c>
      <c r="E4711" s="1" t="b">
        <v>0</v>
      </c>
      <c r="F4711" s="1" t="s">
        <v>18478</v>
      </c>
    </row>
    <row r="4712">
      <c r="A4712" s="1">
        <v>50030.0</v>
      </c>
      <c r="B4712" s="1">
        <v>16884.0</v>
      </c>
      <c r="C4712" s="1">
        <v>1.618484458E9</v>
      </c>
      <c r="D4712" s="1">
        <v>4.0</v>
      </c>
      <c r="E4712" s="1" t="b">
        <v>0</v>
      </c>
      <c r="F4712" s="1" t="s">
        <v>18479</v>
      </c>
      <c r="G4712" s="1" t="b">
        <v>1</v>
      </c>
    </row>
    <row r="4713">
      <c r="A4713" s="1">
        <v>50030.0</v>
      </c>
      <c r="B4713" s="1">
        <v>19926.0</v>
      </c>
      <c r="C4713" s="1">
        <v>1.623506905E9</v>
      </c>
      <c r="D4713" s="1">
        <v>4.0</v>
      </c>
      <c r="E4713" s="1" t="b">
        <v>0</v>
      </c>
      <c r="F4713" s="1" t="s">
        <v>18480</v>
      </c>
    </row>
    <row r="4714">
      <c r="A4714" s="1">
        <v>50030.0</v>
      </c>
      <c r="B4714" s="1">
        <v>18020.0</v>
      </c>
      <c r="C4714" s="1">
        <v>1.620916073E9</v>
      </c>
      <c r="D4714" s="1">
        <v>4.0</v>
      </c>
      <c r="E4714" s="1" t="b">
        <v>0</v>
      </c>
      <c r="F4714" s="1" t="s">
        <v>18481</v>
      </c>
    </row>
    <row r="4715">
      <c r="A4715" s="1">
        <v>50030.0</v>
      </c>
      <c r="B4715" s="1">
        <v>19863.0</v>
      </c>
      <c r="C4715" s="1">
        <v>1.623408729E9</v>
      </c>
      <c r="D4715" s="1">
        <v>4.0</v>
      </c>
      <c r="E4715" s="1" t="b">
        <v>0</v>
      </c>
      <c r="F4715" s="1" t="s">
        <v>18482</v>
      </c>
    </row>
    <row r="4716">
      <c r="A4716" s="1">
        <v>50030.0</v>
      </c>
      <c r="B4716" s="1">
        <v>17967.0</v>
      </c>
      <c r="C4716" s="1">
        <v>1.620740855E9</v>
      </c>
      <c r="D4716" s="1">
        <v>4.0</v>
      </c>
      <c r="E4716" s="1" t="b">
        <v>0</v>
      </c>
      <c r="F4716" s="1" t="s">
        <v>18483</v>
      </c>
      <c r="G4716" s="1" t="b">
        <v>1</v>
      </c>
    </row>
    <row r="4717">
      <c r="A4717" s="1">
        <v>50030.0</v>
      </c>
      <c r="B4717" s="1">
        <v>17455.0</v>
      </c>
      <c r="C4717" s="1">
        <v>1.619762672E9</v>
      </c>
      <c r="D4717" s="1">
        <v>4.0</v>
      </c>
      <c r="E4717" s="1" t="b">
        <v>0</v>
      </c>
      <c r="F4717" s="1" t="s">
        <v>18484</v>
      </c>
    </row>
    <row r="4718">
      <c r="A4718" s="1">
        <v>50030.0</v>
      </c>
      <c r="B4718" s="1">
        <v>19997.0</v>
      </c>
      <c r="C4718" s="1">
        <v>1.623604138E9</v>
      </c>
      <c r="D4718" s="1">
        <v>4.0</v>
      </c>
      <c r="E4718" s="1" t="b">
        <v>0</v>
      </c>
      <c r="F4718" s="1" t="s">
        <v>18485</v>
      </c>
    </row>
    <row r="4719">
      <c r="A4719" s="1">
        <v>50030.0</v>
      </c>
      <c r="B4719" s="1">
        <v>16852.0</v>
      </c>
      <c r="C4719" s="1">
        <v>1.618407872E9</v>
      </c>
      <c r="D4719" s="1">
        <v>4.0</v>
      </c>
      <c r="E4719" s="1" t="b">
        <v>0</v>
      </c>
      <c r="F4719" s="1" t="s">
        <v>18486</v>
      </c>
    </row>
    <row r="4720">
      <c r="A4720" s="1">
        <v>50030.0</v>
      </c>
      <c r="B4720" s="1">
        <v>20055.0</v>
      </c>
      <c r="C4720" s="1">
        <v>1.62369605E9</v>
      </c>
      <c r="D4720" s="1">
        <v>4.0</v>
      </c>
      <c r="E4720" s="1" t="b">
        <v>0</v>
      </c>
      <c r="F4720" s="1" t="s">
        <v>18487</v>
      </c>
    </row>
    <row r="4721">
      <c r="A4721" s="1">
        <v>50030.0</v>
      </c>
      <c r="B4721" s="1">
        <v>16906.0</v>
      </c>
      <c r="C4721" s="1">
        <v>1.618569339E9</v>
      </c>
      <c r="D4721" s="1">
        <v>4.0</v>
      </c>
      <c r="E4721" s="1" t="b">
        <v>0</v>
      </c>
      <c r="F4721" s="1" t="s">
        <v>18488</v>
      </c>
    </row>
    <row r="4722">
      <c r="A4722" s="1">
        <v>50030.0</v>
      </c>
      <c r="B4722" s="1">
        <v>20302.0</v>
      </c>
      <c r="C4722" s="1">
        <v>1.624085023E9</v>
      </c>
      <c r="D4722" s="1">
        <v>4.0</v>
      </c>
      <c r="E4722" s="1" t="b">
        <v>0</v>
      </c>
      <c r="F4722" s="1" t="s">
        <v>18489</v>
      </c>
    </row>
    <row r="4723">
      <c r="A4723" s="1">
        <v>50030.0</v>
      </c>
      <c r="B4723" s="1">
        <v>12891.0</v>
      </c>
      <c r="C4723" s="1">
        <v>1.621015174E9</v>
      </c>
      <c r="D4723" s="1">
        <v>4.0</v>
      </c>
      <c r="E4723" s="1" t="b">
        <v>0</v>
      </c>
      <c r="F4723" s="1" t="s">
        <v>18490</v>
      </c>
    </row>
    <row r="4724">
      <c r="A4724" s="1">
        <v>50030.0</v>
      </c>
      <c r="B4724" s="1">
        <v>16841.0</v>
      </c>
      <c r="C4724" s="1">
        <v>1.618400219E9</v>
      </c>
      <c r="D4724" s="1">
        <v>4.0</v>
      </c>
      <c r="E4724" s="1" t="b">
        <v>0</v>
      </c>
      <c r="F4724" s="1" t="s">
        <v>18491</v>
      </c>
      <c r="G4724" s="1" t="b">
        <v>1</v>
      </c>
    </row>
    <row r="4725">
      <c r="A4725" s="1">
        <v>50030.0</v>
      </c>
      <c r="B4725" s="1">
        <v>19095.0</v>
      </c>
      <c r="C4725" s="1">
        <v>1.622371274E9</v>
      </c>
      <c r="D4725" s="1">
        <v>4.0</v>
      </c>
      <c r="E4725" s="1" t="b">
        <v>0</v>
      </c>
      <c r="F4725" s="1" t="s">
        <v>18492</v>
      </c>
    </row>
    <row r="4726">
      <c r="A4726" s="1">
        <v>50030.0</v>
      </c>
      <c r="B4726" s="1">
        <v>19583.0</v>
      </c>
      <c r="C4726" s="1">
        <v>1.623038491E9</v>
      </c>
      <c r="D4726" s="1">
        <v>4.0</v>
      </c>
      <c r="E4726" s="1" t="b">
        <v>0</v>
      </c>
      <c r="F4726" s="1" t="s">
        <v>18493</v>
      </c>
    </row>
    <row r="4727">
      <c r="A4727" s="1">
        <v>50030.0</v>
      </c>
      <c r="B4727" s="1">
        <v>17370.0</v>
      </c>
      <c r="C4727" s="1">
        <v>1.619533833E9</v>
      </c>
      <c r="D4727" s="1">
        <v>4.0</v>
      </c>
      <c r="E4727" s="1" t="b">
        <v>0</v>
      </c>
      <c r="F4727" s="1" t="s">
        <v>18494</v>
      </c>
    </row>
    <row r="4728">
      <c r="A4728" s="1">
        <v>50030.0</v>
      </c>
      <c r="B4728" s="1">
        <v>19508.0</v>
      </c>
      <c r="C4728" s="1">
        <v>1.622876778E9</v>
      </c>
      <c r="D4728" s="1">
        <v>4.0</v>
      </c>
      <c r="E4728" s="1" t="b">
        <v>0</v>
      </c>
      <c r="F4728" s="1" t="s">
        <v>18495</v>
      </c>
    </row>
    <row r="4729">
      <c r="A4729" s="1">
        <v>50030.0</v>
      </c>
      <c r="B4729" s="1">
        <v>20142.0</v>
      </c>
      <c r="C4729" s="1">
        <v>1.623830312E9</v>
      </c>
      <c r="D4729" s="1">
        <v>4.0</v>
      </c>
      <c r="E4729" s="1" t="b">
        <v>0</v>
      </c>
      <c r="F4729" s="1" t="s">
        <v>18496</v>
      </c>
    </row>
    <row r="4730">
      <c r="A4730" s="1">
        <v>50030.0</v>
      </c>
      <c r="B4730" s="1">
        <v>19609.0</v>
      </c>
      <c r="C4730" s="1">
        <v>1.623063416E9</v>
      </c>
      <c r="D4730" s="1">
        <v>4.0</v>
      </c>
      <c r="E4730" s="1" t="b">
        <v>0</v>
      </c>
      <c r="F4730" s="1" t="s">
        <v>18497</v>
      </c>
    </row>
    <row r="4731">
      <c r="A4731" s="1">
        <v>50030.0</v>
      </c>
      <c r="B4731" s="1">
        <v>20034.0</v>
      </c>
      <c r="C4731" s="1">
        <v>1.623670816E9</v>
      </c>
      <c r="D4731" s="1">
        <v>4.0</v>
      </c>
      <c r="E4731" s="1" t="b">
        <v>0</v>
      </c>
      <c r="F4731" s="1" t="s">
        <v>18498</v>
      </c>
    </row>
    <row r="4732">
      <c r="A4732" s="1">
        <v>50030.0</v>
      </c>
      <c r="B4732" s="1">
        <v>17859.0</v>
      </c>
      <c r="C4732" s="1">
        <v>1.620595671E9</v>
      </c>
      <c r="D4732" s="1">
        <v>4.0</v>
      </c>
      <c r="E4732" s="1" t="b">
        <v>0</v>
      </c>
      <c r="F4732" s="1" t="s">
        <v>18499</v>
      </c>
    </row>
    <row r="4733">
      <c r="A4733" s="1">
        <v>50030.0</v>
      </c>
      <c r="B4733" s="1">
        <v>18034.0</v>
      </c>
      <c r="C4733" s="1">
        <v>1.620990535E9</v>
      </c>
      <c r="D4733" s="1">
        <v>4.0</v>
      </c>
      <c r="E4733" s="1" t="b">
        <v>0</v>
      </c>
      <c r="F4733" s="1" t="s">
        <v>18500</v>
      </c>
      <c r="G4733" s="1" t="b">
        <v>1</v>
      </c>
    </row>
    <row r="4734">
      <c r="A4734" s="1">
        <v>50030.0</v>
      </c>
      <c r="B4734" s="1">
        <v>16765.0</v>
      </c>
      <c r="C4734" s="1">
        <v>1.618389271E9</v>
      </c>
      <c r="D4734" s="1">
        <v>1.0</v>
      </c>
      <c r="E4734" s="1" t="b">
        <v>1</v>
      </c>
      <c r="F4734" s="1" t="s">
        <v>18501</v>
      </c>
    </row>
    <row r="4735">
      <c r="A4735" s="1">
        <v>50030.0</v>
      </c>
      <c r="B4735" s="1">
        <v>19541.0</v>
      </c>
      <c r="C4735" s="1">
        <v>1.622980991E9</v>
      </c>
      <c r="D4735" s="1">
        <v>4.0</v>
      </c>
      <c r="E4735" s="1" t="b">
        <v>0</v>
      </c>
      <c r="F4735" s="1" t="s">
        <v>18502</v>
      </c>
    </row>
    <row r="4736">
      <c r="A4736" s="1">
        <v>50030.0</v>
      </c>
      <c r="B4736" s="1">
        <v>19904.0</v>
      </c>
      <c r="C4736" s="1">
        <v>1.623444132E9</v>
      </c>
      <c r="D4736" s="1">
        <v>4.0</v>
      </c>
      <c r="E4736" s="1" t="b">
        <v>0</v>
      </c>
      <c r="F4736" s="1" t="s">
        <v>18503</v>
      </c>
    </row>
    <row r="4737">
      <c r="A4737" s="1">
        <v>50030.0</v>
      </c>
      <c r="B4737" s="1">
        <v>20256.0</v>
      </c>
      <c r="C4737" s="1">
        <v>1.623993659E9</v>
      </c>
      <c r="D4737" s="1">
        <v>4.0</v>
      </c>
      <c r="E4737" s="1" t="b">
        <v>0</v>
      </c>
      <c r="F4737" s="1" t="s">
        <v>18504</v>
      </c>
    </row>
    <row r="4738">
      <c r="A4738" s="1">
        <v>50030.0</v>
      </c>
      <c r="B4738" s="1">
        <v>18636.0</v>
      </c>
      <c r="C4738" s="1">
        <v>1.621947402E9</v>
      </c>
      <c r="D4738" s="1">
        <v>4.0</v>
      </c>
      <c r="E4738" s="1" t="b">
        <v>0</v>
      </c>
      <c r="F4738" s="1" t="s">
        <v>17313</v>
      </c>
    </row>
    <row r="4739">
      <c r="A4739" s="1">
        <v>50030.0</v>
      </c>
      <c r="B4739" s="1">
        <v>16844.0</v>
      </c>
      <c r="C4739" s="1">
        <v>1.618401017E9</v>
      </c>
      <c r="D4739" s="1">
        <v>4.0</v>
      </c>
      <c r="E4739" s="1" t="b">
        <v>0</v>
      </c>
      <c r="F4739" s="1" t="s">
        <v>18505</v>
      </c>
      <c r="G4739" s="1" t="b">
        <v>1</v>
      </c>
    </row>
    <row r="4740">
      <c r="A4740" s="1">
        <v>50030.0</v>
      </c>
      <c r="B4740" s="1">
        <v>20060.0</v>
      </c>
      <c r="C4740" s="1">
        <v>1.623697829E9</v>
      </c>
      <c r="D4740" s="1">
        <v>4.0</v>
      </c>
      <c r="E4740" s="1" t="b">
        <v>0</v>
      </c>
      <c r="F4740" s="1" t="s">
        <v>18506</v>
      </c>
    </row>
    <row r="4741">
      <c r="A4741" s="1">
        <v>50030.0</v>
      </c>
      <c r="B4741" s="1">
        <v>18285.0</v>
      </c>
      <c r="C4741" s="1">
        <v>1.621321254E9</v>
      </c>
      <c r="D4741" s="1">
        <v>4.0</v>
      </c>
      <c r="E4741" s="1" t="b">
        <v>0</v>
      </c>
      <c r="F4741" s="1" t="s">
        <v>18507</v>
      </c>
    </row>
    <row r="4742">
      <c r="A4742" s="1">
        <v>50030.0</v>
      </c>
      <c r="B4742" s="1">
        <v>16839.0</v>
      </c>
      <c r="C4742" s="1">
        <v>1.618397748E9</v>
      </c>
      <c r="D4742" s="1">
        <v>4.0</v>
      </c>
      <c r="E4742" s="1" t="b">
        <v>0</v>
      </c>
      <c r="F4742" s="1" t="s">
        <v>18508</v>
      </c>
      <c r="G4742" s="1" t="b">
        <v>1</v>
      </c>
    </row>
    <row r="4743">
      <c r="A4743" s="1">
        <v>50030.0</v>
      </c>
      <c r="B4743" s="1">
        <v>17905.0</v>
      </c>
      <c r="C4743" s="1">
        <v>1.620646153E9</v>
      </c>
      <c r="D4743" s="1">
        <v>4.0</v>
      </c>
      <c r="E4743" s="1" t="b">
        <v>0</v>
      </c>
      <c r="F4743" s="1" t="s">
        <v>18509</v>
      </c>
    </row>
    <row r="4744">
      <c r="A4744" s="1">
        <v>50030.0</v>
      </c>
      <c r="B4744" s="1">
        <v>18054.0</v>
      </c>
      <c r="C4744" s="1">
        <v>1.621063814E9</v>
      </c>
      <c r="D4744" s="1">
        <v>4.0</v>
      </c>
      <c r="E4744" s="1" t="b">
        <v>0</v>
      </c>
      <c r="F4744" s="1" t="s">
        <v>18510</v>
      </c>
    </row>
    <row r="4745">
      <c r="A4745" s="1">
        <v>50030.0</v>
      </c>
      <c r="B4745" s="1">
        <v>19249.0</v>
      </c>
      <c r="C4745" s="1">
        <v>1.622531505E9</v>
      </c>
      <c r="D4745" s="1">
        <v>4.0</v>
      </c>
      <c r="E4745" s="1" t="b">
        <v>0</v>
      </c>
      <c r="F4745" s="1" t="s">
        <v>18511</v>
      </c>
    </row>
    <row r="4746">
      <c r="A4746" s="1">
        <v>50030.0</v>
      </c>
      <c r="B4746" s="1">
        <v>19076.0</v>
      </c>
      <c r="C4746" s="1">
        <v>1.622358466E9</v>
      </c>
      <c r="D4746" s="1">
        <v>4.0</v>
      </c>
      <c r="E4746" s="1" t="b">
        <v>0</v>
      </c>
      <c r="F4746" s="1" t="s">
        <v>18512</v>
      </c>
    </row>
    <row r="4747">
      <c r="A4747" s="1">
        <v>50030.0</v>
      </c>
      <c r="B4747" s="1">
        <v>19514.0</v>
      </c>
      <c r="C4747" s="1">
        <v>1.622918107E9</v>
      </c>
      <c r="D4747" s="1">
        <v>4.0</v>
      </c>
      <c r="E4747" s="1" t="b">
        <v>0</v>
      </c>
      <c r="F4747" s="1" t="s">
        <v>18513</v>
      </c>
    </row>
    <row r="4748">
      <c r="A4748" s="1">
        <v>50030.0</v>
      </c>
      <c r="B4748" s="1">
        <v>16888.0</v>
      </c>
      <c r="C4748" s="1">
        <v>1.61848446E9</v>
      </c>
      <c r="D4748" s="1">
        <v>4.0</v>
      </c>
      <c r="E4748" s="1" t="b">
        <v>0</v>
      </c>
      <c r="F4748" s="1" t="s">
        <v>18514</v>
      </c>
      <c r="G4748" s="1" t="b">
        <v>1</v>
      </c>
    </row>
    <row r="4749">
      <c r="A4749" s="1">
        <v>50030.0</v>
      </c>
      <c r="B4749" s="1">
        <v>16901.0</v>
      </c>
      <c r="C4749" s="1">
        <v>1.618509001E9</v>
      </c>
      <c r="D4749" s="1">
        <v>4.0</v>
      </c>
      <c r="E4749" s="1" t="b">
        <v>0</v>
      </c>
      <c r="F4749" s="1" t="s">
        <v>18515</v>
      </c>
    </row>
    <row r="4750">
      <c r="A4750" s="1">
        <v>50030.0</v>
      </c>
      <c r="B4750" s="1">
        <v>17389.0</v>
      </c>
      <c r="C4750" s="1">
        <v>1.619580901E9</v>
      </c>
      <c r="D4750" s="1">
        <v>4.0</v>
      </c>
      <c r="E4750" s="1" t="b">
        <v>0</v>
      </c>
      <c r="F4750" s="1" t="s">
        <v>18516</v>
      </c>
      <c r="G4750" s="1" t="b">
        <v>1</v>
      </c>
    </row>
    <row r="4751">
      <c r="A4751" s="1">
        <v>50030.0</v>
      </c>
      <c r="B4751" s="1">
        <v>19910.0</v>
      </c>
      <c r="C4751" s="1">
        <v>1.623747845E9</v>
      </c>
      <c r="D4751" s="1">
        <v>4.0</v>
      </c>
      <c r="E4751" s="1" t="b">
        <v>0</v>
      </c>
      <c r="F4751" s="1" t="s">
        <v>14231</v>
      </c>
    </row>
    <row r="4752">
      <c r="A4752" s="1">
        <v>50030.0</v>
      </c>
      <c r="B4752" s="1">
        <v>19693.0</v>
      </c>
      <c r="C4752" s="1">
        <v>1.623162026E9</v>
      </c>
      <c r="D4752" s="1">
        <v>4.0</v>
      </c>
      <c r="E4752" s="1" t="b">
        <v>0</v>
      </c>
      <c r="F4752" s="1" t="s">
        <v>18517</v>
      </c>
    </row>
    <row r="4753">
      <c r="A4753" s="1">
        <v>50030.0</v>
      </c>
      <c r="B4753" s="1">
        <v>19914.0</v>
      </c>
      <c r="C4753" s="1">
        <v>1.623477625E9</v>
      </c>
      <c r="D4753" s="1">
        <v>4.0</v>
      </c>
      <c r="E4753" s="1" t="b">
        <v>0</v>
      </c>
      <c r="F4753" s="1" t="s">
        <v>18518</v>
      </c>
    </row>
    <row r="4754">
      <c r="A4754" s="1">
        <v>50030.0</v>
      </c>
      <c r="B4754" s="1">
        <v>17709.0</v>
      </c>
      <c r="C4754" s="1">
        <v>1.623682047E9</v>
      </c>
      <c r="D4754" s="1">
        <v>4.0</v>
      </c>
      <c r="E4754" s="1" t="b">
        <v>0</v>
      </c>
      <c r="F4754" s="1" t="s">
        <v>18519</v>
      </c>
      <c r="G4754" s="1" t="b">
        <v>1</v>
      </c>
    </row>
    <row r="4755">
      <c r="A4755" s="1">
        <v>50030.0</v>
      </c>
      <c r="B4755" s="1">
        <v>20153.0</v>
      </c>
      <c r="C4755" s="1">
        <v>1.623840537E9</v>
      </c>
      <c r="D4755" s="1">
        <v>4.0</v>
      </c>
      <c r="E4755" s="1" t="b">
        <v>0</v>
      </c>
      <c r="F4755" s="1" t="s">
        <v>18520</v>
      </c>
    </row>
    <row r="4756">
      <c r="A4756" s="1">
        <v>50030.0</v>
      </c>
      <c r="B4756" s="1">
        <v>19854.0</v>
      </c>
      <c r="C4756" s="1">
        <v>1.62339878E9</v>
      </c>
      <c r="D4756" s="1">
        <v>4.0</v>
      </c>
      <c r="E4756" s="1" t="b">
        <v>0</v>
      </c>
      <c r="F4756" s="1" t="s">
        <v>18521</v>
      </c>
    </row>
    <row r="4757">
      <c r="A4757" s="1">
        <v>50030.0</v>
      </c>
      <c r="B4757" s="1">
        <v>19817.0</v>
      </c>
      <c r="C4757" s="1">
        <v>1.623335826E9</v>
      </c>
      <c r="D4757" s="1">
        <v>4.0</v>
      </c>
      <c r="E4757" s="1" t="b">
        <v>0</v>
      </c>
      <c r="F4757" s="1" t="s">
        <v>18522</v>
      </c>
    </row>
    <row r="4758">
      <c r="A4758" s="1">
        <v>50030.0</v>
      </c>
      <c r="B4758" s="1">
        <v>20326.0</v>
      </c>
      <c r="C4758" s="1">
        <v>1.624122716E9</v>
      </c>
      <c r="D4758" s="1">
        <v>4.0</v>
      </c>
      <c r="E4758" s="1" t="b">
        <v>0</v>
      </c>
      <c r="F4758" s="1" t="s">
        <v>18523</v>
      </c>
    </row>
    <row r="4759">
      <c r="A4759" s="1">
        <v>50030.0</v>
      </c>
      <c r="B4759" s="1">
        <v>19687.0</v>
      </c>
      <c r="C4759" s="1">
        <v>1.623156083E9</v>
      </c>
      <c r="D4759" s="1">
        <v>4.0</v>
      </c>
      <c r="E4759" s="1" t="b">
        <v>0</v>
      </c>
      <c r="F4759" s="1" t="s">
        <v>18524</v>
      </c>
    </row>
    <row r="4760">
      <c r="A4760" s="1">
        <v>50030.0</v>
      </c>
      <c r="B4760" s="1">
        <v>17450.0</v>
      </c>
      <c r="C4760" s="1">
        <v>1.619721766E9</v>
      </c>
      <c r="D4760" s="1">
        <v>4.0</v>
      </c>
      <c r="E4760" s="1" t="b">
        <v>0</v>
      </c>
      <c r="F4760" s="1" t="s">
        <v>18525</v>
      </c>
    </row>
    <row r="4761">
      <c r="A4761" s="1">
        <v>50030.0</v>
      </c>
      <c r="B4761" s="1">
        <v>18698.0</v>
      </c>
      <c r="C4761" s="1">
        <v>1.621857737E9</v>
      </c>
      <c r="D4761" s="1">
        <v>4.0</v>
      </c>
      <c r="E4761" s="1" t="b">
        <v>0</v>
      </c>
      <c r="F4761" s="1" t="s">
        <v>18526</v>
      </c>
    </row>
    <row r="4762">
      <c r="A4762" s="1">
        <v>50030.0</v>
      </c>
      <c r="B4762" s="1">
        <v>16864.0</v>
      </c>
      <c r="C4762" s="1">
        <v>1.618453501E9</v>
      </c>
      <c r="D4762" s="1">
        <v>4.0</v>
      </c>
      <c r="E4762" s="1" t="b">
        <v>0</v>
      </c>
      <c r="F4762" s="1" t="s">
        <v>18527</v>
      </c>
    </row>
    <row r="4763">
      <c r="A4763" s="1">
        <v>50030.0</v>
      </c>
      <c r="B4763" s="1">
        <v>19549.0</v>
      </c>
      <c r="C4763" s="1">
        <v>1.622985072E9</v>
      </c>
      <c r="D4763" s="1">
        <v>4.0</v>
      </c>
      <c r="E4763" s="1" t="b">
        <v>0</v>
      </c>
      <c r="F4763" s="1" t="s">
        <v>18528</v>
      </c>
    </row>
    <row r="4764">
      <c r="A4764" s="1">
        <v>50030.0</v>
      </c>
      <c r="B4764" s="1">
        <v>17851.0</v>
      </c>
      <c r="C4764" s="1">
        <v>1.620581842E9</v>
      </c>
      <c r="D4764" s="1">
        <v>4.0</v>
      </c>
      <c r="E4764" s="1" t="b">
        <v>0</v>
      </c>
      <c r="F4764" s="1" t="s">
        <v>18529</v>
      </c>
    </row>
    <row r="4765">
      <c r="A4765" s="1">
        <v>50030.0</v>
      </c>
      <c r="B4765" s="1">
        <v>17465.0</v>
      </c>
      <c r="C4765" s="1">
        <v>1.619782117E9</v>
      </c>
      <c r="D4765" s="1">
        <v>4.0</v>
      </c>
      <c r="E4765" s="1" t="b">
        <v>0</v>
      </c>
      <c r="F4765" s="1" t="s">
        <v>18530</v>
      </c>
      <c r="G4765" s="1" t="b">
        <v>1</v>
      </c>
    </row>
    <row r="4766">
      <c r="A4766" s="1">
        <v>50030.0</v>
      </c>
      <c r="B4766" s="1">
        <v>17557.0</v>
      </c>
      <c r="C4766" s="1">
        <v>1.620210667E9</v>
      </c>
      <c r="D4766" s="1">
        <v>4.0</v>
      </c>
      <c r="E4766" s="1" t="b">
        <v>0</v>
      </c>
      <c r="F4766" s="1" t="s">
        <v>18531</v>
      </c>
    </row>
    <row r="4767">
      <c r="A4767" s="1">
        <v>50030.0</v>
      </c>
      <c r="B4767" s="1">
        <v>17699.0</v>
      </c>
      <c r="C4767" s="1">
        <v>1.620447229E9</v>
      </c>
      <c r="D4767" s="1">
        <v>4.0</v>
      </c>
      <c r="E4767" s="1" t="b">
        <v>0</v>
      </c>
      <c r="F4767" s="1" t="s">
        <v>18532</v>
      </c>
    </row>
    <row r="4768">
      <c r="A4768" s="1">
        <v>50030.0</v>
      </c>
      <c r="B4768" s="1">
        <v>19032.0</v>
      </c>
      <c r="C4768" s="1">
        <v>1.622290509E9</v>
      </c>
      <c r="D4768" s="1">
        <v>4.0</v>
      </c>
      <c r="E4768" s="1" t="b">
        <v>0</v>
      </c>
      <c r="F4768" s="1" t="s">
        <v>18533</v>
      </c>
    </row>
    <row r="4769">
      <c r="A4769" s="1">
        <v>50030.0</v>
      </c>
      <c r="B4769" s="1">
        <v>19978.0</v>
      </c>
      <c r="C4769" s="1">
        <v>1.623585026E9</v>
      </c>
      <c r="D4769" s="1">
        <v>4.0</v>
      </c>
      <c r="E4769" s="1" t="b">
        <v>0</v>
      </c>
      <c r="F4769" s="1" t="s">
        <v>18534</v>
      </c>
    </row>
    <row r="4770">
      <c r="A4770" s="1">
        <v>50030.0</v>
      </c>
      <c r="B4770" s="1">
        <v>17919.0</v>
      </c>
      <c r="C4770" s="1">
        <v>1.620653649E9</v>
      </c>
      <c r="D4770" s="1">
        <v>4.0</v>
      </c>
      <c r="E4770" s="1" t="b">
        <v>0</v>
      </c>
      <c r="F4770" s="1" t="s">
        <v>18535</v>
      </c>
    </row>
    <row r="4771">
      <c r="A4771" s="1">
        <v>50030.0</v>
      </c>
      <c r="B4771" s="1">
        <v>19795.0</v>
      </c>
      <c r="C4771" s="1">
        <v>1.623317607E9</v>
      </c>
      <c r="D4771" s="1">
        <v>4.0</v>
      </c>
      <c r="E4771" s="1" t="b">
        <v>0</v>
      </c>
      <c r="F4771" s="1" t="s">
        <v>18536</v>
      </c>
    </row>
    <row r="4772">
      <c r="A4772" s="1">
        <v>50030.0</v>
      </c>
      <c r="B4772" s="1">
        <v>17679.0</v>
      </c>
      <c r="C4772" s="1">
        <v>1.620405517E9</v>
      </c>
      <c r="D4772" s="1">
        <v>4.0</v>
      </c>
      <c r="E4772" s="1" t="b">
        <v>0</v>
      </c>
      <c r="F4772" s="1" t="s">
        <v>18537</v>
      </c>
    </row>
    <row r="4773">
      <c r="A4773" s="1">
        <v>50030.0</v>
      </c>
      <c r="B4773" s="1">
        <v>17708.0</v>
      </c>
      <c r="C4773" s="1">
        <v>1.620460331E9</v>
      </c>
      <c r="D4773" s="1">
        <v>4.0</v>
      </c>
      <c r="E4773" s="1" t="b">
        <v>0</v>
      </c>
      <c r="F4773" s="1" t="s">
        <v>18538</v>
      </c>
      <c r="G4773" s="1" t="b">
        <v>1</v>
      </c>
    </row>
    <row r="4774">
      <c r="A4774" s="1">
        <v>50030.0</v>
      </c>
      <c r="B4774" s="1">
        <v>20208.0</v>
      </c>
      <c r="C4774" s="1">
        <v>1.623926768E9</v>
      </c>
      <c r="D4774" s="1">
        <v>4.0</v>
      </c>
      <c r="E4774" s="1" t="b">
        <v>0</v>
      </c>
      <c r="F4774" s="1" t="s">
        <v>18539</v>
      </c>
    </row>
    <row r="4775">
      <c r="A4775" s="1">
        <v>50030.0</v>
      </c>
      <c r="B4775" s="1">
        <v>16875.0</v>
      </c>
      <c r="C4775" s="1">
        <v>1.618472089E9</v>
      </c>
      <c r="D4775" s="1">
        <v>4.0</v>
      </c>
      <c r="E4775" s="1" t="b">
        <v>0</v>
      </c>
      <c r="F4775" s="1" t="s">
        <v>18540</v>
      </c>
    </row>
    <row r="4776">
      <c r="A4776" s="1">
        <v>50030.0</v>
      </c>
      <c r="B4776" s="1">
        <v>20021.0</v>
      </c>
      <c r="C4776" s="1">
        <v>1.623661032E9</v>
      </c>
      <c r="D4776" s="1">
        <v>4.0</v>
      </c>
      <c r="E4776" s="1" t="b">
        <v>0</v>
      </c>
      <c r="F4776" s="1" t="s">
        <v>18541</v>
      </c>
    </row>
    <row r="4777">
      <c r="A4777" s="1">
        <v>50030.0</v>
      </c>
      <c r="B4777" s="1">
        <v>17823.0</v>
      </c>
      <c r="C4777" s="1">
        <v>1.620563236E9</v>
      </c>
      <c r="D4777" s="1">
        <v>4.0</v>
      </c>
      <c r="E4777" s="1" t="b">
        <v>0</v>
      </c>
      <c r="F4777" s="1" t="s">
        <v>18542</v>
      </c>
    </row>
    <row r="4778">
      <c r="A4778" s="1">
        <v>50030.0</v>
      </c>
      <c r="B4778" s="1">
        <v>17373.0</v>
      </c>
      <c r="C4778" s="1">
        <v>1.619533836E9</v>
      </c>
      <c r="D4778" s="1">
        <v>4.0</v>
      </c>
      <c r="E4778" s="1" t="b">
        <v>0</v>
      </c>
      <c r="F4778" s="1" t="s">
        <v>18543</v>
      </c>
    </row>
    <row r="4779">
      <c r="A4779" s="1">
        <v>50030.0</v>
      </c>
      <c r="B4779" s="1">
        <v>18663.0</v>
      </c>
      <c r="C4779" s="1">
        <v>1.621827324E9</v>
      </c>
      <c r="D4779" s="1">
        <v>9.0</v>
      </c>
      <c r="E4779" s="1" t="b">
        <v>0</v>
      </c>
      <c r="F4779" s="1" t="s">
        <v>18544</v>
      </c>
    </row>
    <row r="4780">
      <c r="A4780" s="1">
        <v>50030.0</v>
      </c>
      <c r="B4780" s="1">
        <v>19773.0</v>
      </c>
      <c r="C4780" s="1">
        <v>1.623293389E9</v>
      </c>
      <c r="D4780" s="1">
        <v>4.0</v>
      </c>
      <c r="E4780" s="1" t="b">
        <v>0</v>
      </c>
      <c r="F4780" s="1" t="s">
        <v>18545</v>
      </c>
    </row>
    <row r="4781">
      <c r="A4781" s="1">
        <v>50030.0</v>
      </c>
      <c r="B4781" s="1">
        <v>18059.0</v>
      </c>
      <c r="C4781" s="1">
        <v>1.621067301E9</v>
      </c>
      <c r="D4781" s="1">
        <v>4.0</v>
      </c>
      <c r="E4781" s="1" t="b">
        <v>0</v>
      </c>
      <c r="F4781" s="1" t="s">
        <v>18546</v>
      </c>
    </row>
    <row r="4782">
      <c r="A4782" s="1">
        <v>50030.0</v>
      </c>
      <c r="B4782" s="1">
        <v>16890.0</v>
      </c>
      <c r="C4782" s="1">
        <v>1.618494652E9</v>
      </c>
      <c r="D4782" s="1">
        <v>4.0</v>
      </c>
      <c r="E4782" s="1" t="b">
        <v>0</v>
      </c>
      <c r="F4782" s="1" t="s">
        <v>18547</v>
      </c>
      <c r="G4782" s="1" t="b">
        <v>1</v>
      </c>
    </row>
    <row r="4783">
      <c r="A4783" s="1">
        <v>50030.0</v>
      </c>
      <c r="B4783" s="1">
        <v>18108.0</v>
      </c>
      <c r="C4783" s="1">
        <v>1.621141729E9</v>
      </c>
      <c r="D4783" s="1">
        <v>4.0</v>
      </c>
      <c r="E4783" s="1" t="b">
        <v>0</v>
      </c>
      <c r="F4783" s="1" t="s">
        <v>16014</v>
      </c>
    </row>
    <row r="4784">
      <c r="A4784" s="1">
        <v>50030.0</v>
      </c>
      <c r="B4784" s="1">
        <v>18953.0</v>
      </c>
      <c r="C4784" s="1">
        <v>1.622186916E9</v>
      </c>
      <c r="D4784" s="1">
        <v>4.0</v>
      </c>
      <c r="E4784" s="1" t="b">
        <v>0</v>
      </c>
      <c r="F4784" s="1" t="s">
        <v>18548</v>
      </c>
    </row>
    <row r="4785">
      <c r="A4785" s="1">
        <v>50030.0</v>
      </c>
      <c r="B4785" s="1">
        <v>18083.0</v>
      </c>
      <c r="C4785" s="1">
        <v>1.621089094E9</v>
      </c>
      <c r="D4785" s="1">
        <v>4.0</v>
      </c>
      <c r="E4785" s="1" t="b">
        <v>0</v>
      </c>
      <c r="F4785" s="1" t="s">
        <v>18549</v>
      </c>
    </row>
    <row r="4786">
      <c r="A4786" s="1">
        <v>50030.0</v>
      </c>
      <c r="B4786" s="1">
        <v>19703.0</v>
      </c>
      <c r="C4786" s="1">
        <v>1.62340499E9</v>
      </c>
      <c r="D4786" s="1">
        <v>4.0</v>
      </c>
      <c r="E4786" s="1" t="b">
        <v>0</v>
      </c>
      <c r="F4786" s="1" t="s">
        <v>18550</v>
      </c>
    </row>
    <row r="4787">
      <c r="A4787" s="1">
        <v>50030.0</v>
      </c>
      <c r="B4787" s="1">
        <v>18033.0</v>
      </c>
      <c r="C4787" s="1">
        <v>1.620988887E9</v>
      </c>
      <c r="D4787" s="1">
        <v>4.0</v>
      </c>
      <c r="E4787" s="1" t="b">
        <v>0</v>
      </c>
      <c r="F4787" s="1" t="s">
        <v>18551</v>
      </c>
    </row>
    <row r="4788">
      <c r="A4788" s="1">
        <v>50030.0</v>
      </c>
      <c r="B4788" s="1">
        <v>20433.0</v>
      </c>
      <c r="C4788" s="1">
        <v>1.624360191E9</v>
      </c>
      <c r="D4788" s="1">
        <v>4.0</v>
      </c>
      <c r="E4788" s="1" t="b">
        <v>0</v>
      </c>
      <c r="F4788" s="1" t="s">
        <v>18552</v>
      </c>
    </row>
    <row r="4789">
      <c r="A4789" s="1">
        <v>50030.0</v>
      </c>
      <c r="B4789" s="1">
        <v>17591.0</v>
      </c>
      <c r="C4789" s="1">
        <v>1.620271792E9</v>
      </c>
      <c r="D4789" s="1">
        <v>4.0</v>
      </c>
      <c r="E4789" s="1" t="b">
        <v>0</v>
      </c>
      <c r="F4789" s="1" t="s">
        <v>18553</v>
      </c>
    </row>
    <row r="4790">
      <c r="A4790" s="1">
        <v>50030.0</v>
      </c>
      <c r="B4790" s="1">
        <v>18512.0</v>
      </c>
      <c r="C4790" s="1">
        <v>1.621672833E9</v>
      </c>
      <c r="D4790" s="1">
        <v>4.0</v>
      </c>
      <c r="E4790" s="1" t="b">
        <v>0</v>
      </c>
      <c r="F4790" s="1" t="s">
        <v>18554</v>
      </c>
    </row>
    <row r="4791">
      <c r="A4791" s="1">
        <v>50030.0</v>
      </c>
      <c r="B4791" s="1">
        <v>20162.0</v>
      </c>
      <c r="C4791" s="1">
        <v>1.623851817E9</v>
      </c>
      <c r="D4791" s="1">
        <v>4.0</v>
      </c>
      <c r="E4791" s="1" t="b">
        <v>0</v>
      </c>
      <c r="F4791" s="1" t="s">
        <v>18555</v>
      </c>
    </row>
    <row r="4792">
      <c r="A4792" s="1">
        <v>50030.0</v>
      </c>
      <c r="B4792" s="1">
        <v>17393.0</v>
      </c>
      <c r="C4792" s="1">
        <v>1.619582889E9</v>
      </c>
      <c r="D4792" s="1">
        <v>4.0</v>
      </c>
      <c r="E4792" s="1" t="b">
        <v>0</v>
      </c>
      <c r="F4792" s="1" t="s">
        <v>18556</v>
      </c>
    </row>
    <row r="4793">
      <c r="A4793" s="1">
        <v>50030.0</v>
      </c>
      <c r="B4793" s="1">
        <v>18041.0</v>
      </c>
      <c r="C4793" s="1">
        <v>1.621006084E9</v>
      </c>
      <c r="D4793" s="1">
        <v>4.0</v>
      </c>
      <c r="E4793" s="1" t="b">
        <v>0</v>
      </c>
      <c r="F4793" s="1" t="s">
        <v>18557</v>
      </c>
    </row>
    <row r="4794">
      <c r="A4794" s="1">
        <v>50030.0</v>
      </c>
      <c r="B4794" s="1">
        <v>17367.0</v>
      </c>
      <c r="C4794" s="1">
        <v>1.619528624E9</v>
      </c>
      <c r="D4794" s="1">
        <v>4.0</v>
      </c>
      <c r="E4794" s="1" t="b">
        <v>0</v>
      </c>
      <c r="F4794" s="1" t="s">
        <v>18558</v>
      </c>
    </row>
    <row r="4795">
      <c r="A4795" s="1">
        <v>50030.0</v>
      </c>
      <c r="B4795" s="1">
        <v>20432.0</v>
      </c>
      <c r="C4795" s="1">
        <v>1.62436008E9</v>
      </c>
      <c r="D4795" s="1">
        <v>4.0</v>
      </c>
      <c r="E4795" s="1" t="b">
        <v>0</v>
      </c>
      <c r="F4795" s="1" t="s">
        <v>18559</v>
      </c>
      <c r="G4795" s="1" t="b">
        <v>1</v>
      </c>
    </row>
    <row r="4796">
      <c r="A4796" s="1">
        <v>50030.0</v>
      </c>
      <c r="B4796" s="1">
        <v>20400.0</v>
      </c>
      <c r="C4796" s="1">
        <v>1.624293694E9</v>
      </c>
      <c r="D4796" s="1">
        <v>4.0</v>
      </c>
      <c r="E4796" s="1" t="b">
        <v>0</v>
      </c>
      <c r="F4796" s="1" t="s">
        <v>18560</v>
      </c>
    </row>
    <row r="4797">
      <c r="A4797" s="1">
        <v>50030.0</v>
      </c>
      <c r="B4797" s="1">
        <v>16974.0</v>
      </c>
      <c r="C4797" s="1">
        <v>1.62347146E9</v>
      </c>
      <c r="D4797" s="1">
        <v>4.0</v>
      </c>
      <c r="E4797" s="1" t="b">
        <v>0</v>
      </c>
      <c r="F4797" s="1" t="s">
        <v>18561</v>
      </c>
    </row>
    <row r="4798">
      <c r="A4798" s="1">
        <v>50030.0</v>
      </c>
      <c r="B4798" s="1">
        <v>17492.0</v>
      </c>
      <c r="C4798" s="1">
        <v>1.619937965E9</v>
      </c>
      <c r="D4798" s="1">
        <v>4.0</v>
      </c>
      <c r="E4798" s="1" t="b">
        <v>0</v>
      </c>
      <c r="F4798" s="1" t="s">
        <v>18562</v>
      </c>
      <c r="G4798" s="1" t="b">
        <v>1</v>
      </c>
    </row>
    <row r="4799">
      <c r="A4799" s="1">
        <v>50030.0</v>
      </c>
      <c r="B4799" s="1">
        <v>17395.0</v>
      </c>
      <c r="C4799" s="1">
        <v>1.619584478E9</v>
      </c>
      <c r="D4799" s="1">
        <v>4.0</v>
      </c>
      <c r="E4799" s="1" t="b">
        <v>0</v>
      </c>
      <c r="F4799" s="1" t="s">
        <v>18563</v>
      </c>
    </row>
    <row r="4800">
      <c r="A4800" s="1">
        <v>50030.0</v>
      </c>
      <c r="B4800" s="1">
        <v>16874.0</v>
      </c>
      <c r="C4800" s="1">
        <v>1.618472086E9</v>
      </c>
      <c r="D4800" s="1">
        <v>4.0</v>
      </c>
      <c r="E4800" s="1" t="b">
        <v>0</v>
      </c>
      <c r="F4800" s="1" t="s">
        <v>18564</v>
      </c>
      <c r="G4800" s="1" t="b">
        <v>1</v>
      </c>
    </row>
    <row r="4801">
      <c r="A4801" s="1">
        <v>50030.0</v>
      </c>
      <c r="B4801" s="1">
        <v>20389.0</v>
      </c>
      <c r="C4801" s="1">
        <v>1.624275023E9</v>
      </c>
      <c r="D4801" s="1">
        <v>4.0</v>
      </c>
      <c r="E4801" s="1" t="b">
        <v>0</v>
      </c>
      <c r="F4801" s="1" t="s">
        <v>18565</v>
      </c>
    </row>
    <row r="4802">
      <c r="A4802" s="1">
        <v>50030.0</v>
      </c>
      <c r="B4802" s="1">
        <v>18769.0</v>
      </c>
      <c r="C4802" s="1">
        <v>1.621935155E9</v>
      </c>
      <c r="D4802" s="1">
        <v>4.0</v>
      </c>
      <c r="E4802" s="1" t="b">
        <v>0</v>
      </c>
      <c r="F4802" s="1" t="s">
        <v>18248</v>
      </c>
    </row>
    <row r="4803">
      <c r="A4803" s="1">
        <v>50030.0</v>
      </c>
      <c r="B4803" s="1">
        <v>16893.0</v>
      </c>
      <c r="C4803" s="1">
        <v>1.618488756E9</v>
      </c>
      <c r="D4803" s="1">
        <v>4.0</v>
      </c>
      <c r="E4803" s="1" t="b">
        <v>0</v>
      </c>
      <c r="F4803" s="1" t="s">
        <v>18566</v>
      </c>
    </row>
    <row r="4804">
      <c r="A4804" s="1">
        <v>50030.0</v>
      </c>
      <c r="B4804" s="1">
        <v>17489.0</v>
      </c>
      <c r="C4804" s="1">
        <v>1.619929822E9</v>
      </c>
      <c r="D4804" s="1">
        <v>4.0</v>
      </c>
      <c r="E4804" s="1" t="b">
        <v>0</v>
      </c>
      <c r="F4804" s="1" t="s">
        <v>18567</v>
      </c>
      <c r="G4804" s="1" t="b">
        <v>1</v>
      </c>
    </row>
    <row r="4805">
      <c r="A4805" s="1">
        <v>50030.0</v>
      </c>
      <c r="B4805" s="1">
        <v>20379.0</v>
      </c>
      <c r="C4805" s="1">
        <v>1.624258576E9</v>
      </c>
      <c r="D4805" s="1">
        <v>4.0</v>
      </c>
      <c r="E4805" s="1" t="b">
        <v>0</v>
      </c>
      <c r="F4805" s="1" t="s">
        <v>18568</v>
      </c>
    </row>
    <row r="4806">
      <c r="A4806" s="1">
        <v>50030.0</v>
      </c>
      <c r="B4806" s="1">
        <v>18508.0</v>
      </c>
      <c r="C4806" s="1">
        <v>1.621668792E9</v>
      </c>
      <c r="D4806" s="1">
        <v>4.0</v>
      </c>
      <c r="E4806" s="1" t="b">
        <v>0</v>
      </c>
      <c r="F4806" s="1" t="s">
        <v>18569</v>
      </c>
    </row>
    <row r="4807">
      <c r="A4807" s="1">
        <v>50030.0</v>
      </c>
      <c r="B4807" s="1">
        <v>17449.0</v>
      </c>
      <c r="C4807" s="1">
        <v>1.619721834E9</v>
      </c>
      <c r="D4807" s="1">
        <v>4.0</v>
      </c>
      <c r="E4807" s="1" t="b">
        <v>0</v>
      </c>
      <c r="F4807" s="1" t="s">
        <v>18570</v>
      </c>
    </row>
    <row r="4808">
      <c r="A4808" s="1">
        <v>50030.0</v>
      </c>
      <c r="B4808" s="1">
        <v>18022.0</v>
      </c>
      <c r="C4808" s="1">
        <v>1.620919716E9</v>
      </c>
      <c r="D4808" s="1">
        <v>4.0</v>
      </c>
      <c r="E4808" s="1" t="b">
        <v>0</v>
      </c>
      <c r="F4808" s="1" t="s">
        <v>18571</v>
      </c>
      <c r="G4808" s="1" t="b">
        <v>1</v>
      </c>
    </row>
    <row r="4809">
      <c r="A4809" s="1">
        <v>50030.0</v>
      </c>
      <c r="B4809" s="1">
        <v>18981.0</v>
      </c>
      <c r="C4809" s="1">
        <v>1.622208333E9</v>
      </c>
      <c r="D4809" s="1">
        <v>4.0</v>
      </c>
      <c r="E4809" s="1" t="b">
        <v>0</v>
      </c>
      <c r="F4809" s="1" t="s">
        <v>18572</v>
      </c>
    </row>
    <row r="4810">
      <c r="A4810" s="1">
        <v>50030.0</v>
      </c>
      <c r="B4810" s="1">
        <v>20205.0</v>
      </c>
      <c r="C4810" s="1">
        <v>1.623924365E9</v>
      </c>
      <c r="D4810" s="1">
        <v>4.0</v>
      </c>
      <c r="E4810" s="1" t="b">
        <v>0</v>
      </c>
      <c r="F4810" s="1" t="s">
        <v>18573</v>
      </c>
    </row>
    <row r="4811">
      <c r="A4811" s="1">
        <v>50030.0</v>
      </c>
      <c r="B4811" s="1">
        <v>17647.0</v>
      </c>
      <c r="C4811" s="1">
        <v>1.620378153E9</v>
      </c>
      <c r="D4811" s="1">
        <v>4.0</v>
      </c>
      <c r="E4811" s="1" t="b">
        <v>0</v>
      </c>
      <c r="F4811" s="1" t="s">
        <v>18574</v>
      </c>
      <c r="G4811" s="1" t="b">
        <v>1</v>
      </c>
    </row>
    <row r="4812">
      <c r="A4812" s="1">
        <v>50031.0</v>
      </c>
      <c r="B4812" s="1">
        <v>18310.0</v>
      </c>
      <c r="C4812" s="1">
        <v>1.621353786E9</v>
      </c>
      <c r="D4812" s="1">
        <v>4.0</v>
      </c>
      <c r="E4812" s="1" t="b">
        <v>0</v>
      </c>
      <c r="F4812" s="1" t="s">
        <v>18575</v>
      </c>
    </row>
    <row r="4813">
      <c r="A4813" s="1">
        <v>50031.0</v>
      </c>
      <c r="B4813" s="1">
        <v>17822.0</v>
      </c>
      <c r="C4813" s="1">
        <v>1.620568513E9</v>
      </c>
      <c r="D4813" s="1">
        <v>4.0</v>
      </c>
      <c r="E4813" s="1" t="b">
        <v>0</v>
      </c>
      <c r="F4813" s="1" t="s">
        <v>18576</v>
      </c>
    </row>
    <row r="4814">
      <c r="A4814" s="1">
        <v>50031.0</v>
      </c>
      <c r="B4814" s="1">
        <v>17771.0</v>
      </c>
      <c r="C4814" s="1">
        <v>1.620505445E9</v>
      </c>
      <c r="D4814" s="1">
        <v>4.0</v>
      </c>
      <c r="E4814" s="1" t="b">
        <v>0</v>
      </c>
      <c r="F4814" s="1" t="s">
        <v>17767</v>
      </c>
    </row>
    <row r="4815">
      <c r="A4815" s="1">
        <v>50031.0</v>
      </c>
      <c r="B4815" s="1">
        <v>17369.0</v>
      </c>
      <c r="C4815" s="1">
        <v>1.619538304E9</v>
      </c>
      <c r="D4815" s="1">
        <v>4.0</v>
      </c>
      <c r="E4815" s="1" t="b">
        <v>0</v>
      </c>
      <c r="F4815" s="1" t="s">
        <v>17693</v>
      </c>
    </row>
    <row r="4816">
      <c r="A4816" s="1">
        <v>50031.0</v>
      </c>
      <c r="B4816" s="1">
        <v>16450.0</v>
      </c>
      <c r="C4816" s="1">
        <v>1.618407369E9</v>
      </c>
      <c r="D4816" s="1">
        <v>4.0</v>
      </c>
      <c r="E4816" s="1" t="b">
        <v>0</v>
      </c>
      <c r="F4816" s="1" t="s">
        <v>18067</v>
      </c>
      <c r="G4816" s="1" t="b">
        <v>1</v>
      </c>
    </row>
    <row r="4817">
      <c r="A4817" s="1">
        <v>50031.0</v>
      </c>
      <c r="B4817" s="1">
        <v>19127.0</v>
      </c>
      <c r="C4817" s="1">
        <v>1.622399704E9</v>
      </c>
      <c r="D4817" s="1">
        <v>4.0</v>
      </c>
      <c r="E4817" s="1" t="b">
        <v>0</v>
      </c>
      <c r="F4817" s="1" t="s">
        <v>18577</v>
      </c>
    </row>
    <row r="4818">
      <c r="A4818" s="1">
        <v>50031.0</v>
      </c>
      <c r="B4818" s="1">
        <v>17595.0</v>
      </c>
      <c r="C4818" s="1">
        <v>1.620359836E9</v>
      </c>
      <c r="D4818" s="1">
        <v>4.0</v>
      </c>
      <c r="E4818" s="1" t="b">
        <v>0</v>
      </c>
      <c r="F4818" s="1" t="s">
        <v>18578</v>
      </c>
    </row>
    <row r="4819">
      <c r="A4819" s="1">
        <v>50031.0</v>
      </c>
      <c r="B4819" s="1">
        <v>17569.0</v>
      </c>
      <c r="C4819" s="1">
        <v>1.621932942E9</v>
      </c>
      <c r="D4819" s="1">
        <v>4.0</v>
      </c>
      <c r="E4819" s="1" t="b">
        <v>0</v>
      </c>
      <c r="F4819" s="1" t="s">
        <v>18579</v>
      </c>
    </row>
    <row r="4820">
      <c r="A4820" s="1">
        <v>50031.0</v>
      </c>
      <c r="B4820" s="1">
        <v>17532.0</v>
      </c>
      <c r="C4820" s="1">
        <v>1.620148724E9</v>
      </c>
      <c r="D4820" s="1">
        <v>4.0</v>
      </c>
      <c r="E4820" s="1" t="b">
        <v>0</v>
      </c>
      <c r="F4820" s="1" t="s">
        <v>18580</v>
      </c>
    </row>
    <row r="4821">
      <c r="A4821" s="1">
        <v>50031.0</v>
      </c>
      <c r="B4821" s="1">
        <v>17210.0</v>
      </c>
      <c r="C4821" s="1">
        <v>1.619248866E9</v>
      </c>
      <c r="D4821" s="1">
        <v>4.0</v>
      </c>
      <c r="E4821" s="1" t="b">
        <v>0</v>
      </c>
      <c r="F4821" s="1" t="s">
        <v>18581</v>
      </c>
    </row>
    <row r="4822">
      <c r="A4822" s="1">
        <v>50031.0</v>
      </c>
      <c r="B4822" s="1">
        <v>19519.0</v>
      </c>
      <c r="C4822" s="1">
        <v>1.622993095E9</v>
      </c>
      <c r="D4822" s="1">
        <v>4.0</v>
      </c>
      <c r="E4822" s="1" t="b">
        <v>0</v>
      </c>
      <c r="F4822" s="1" t="s">
        <v>18582</v>
      </c>
    </row>
    <row r="4823">
      <c r="A4823" s="1">
        <v>50031.0</v>
      </c>
      <c r="B4823" s="1">
        <v>18288.0</v>
      </c>
      <c r="C4823" s="1">
        <v>1.621324399E9</v>
      </c>
      <c r="D4823" s="1">
        <v>4.0</v>
      </c>
      <c r="E4823" s="1" t="b">
        <v>0</v>
      </c>
      <c r="F4823" s="1" t="s">
        <v>18583</v>
      </c>
    </row>
    <row r="4824">
      <c r="A4824" s="1">
        <v>50031.0</v>
      </c>
      <c r="B4824" s="1">
        <v>18307.0</v>
      </c>
      <c r="C4824" s="1">
        <v>1.621346853E9</v>
      </c>
      <c r="D4824" s="1">
        <v>4.0</v>
      </c>
      <c r="E4824" s="1" t="b">
        <v>0</v>
      </c>
      <c r="F4824" s="1" t="s">
        <v>18584</v>
      </c>
    </row>
    <row r="4825">
      <c r="A4825" s="1">
        <v>50031.0</v>
      </c>
      <c r="B4825" s="1">
        <v>17941.0</v>
      </c>
      <c r="C4825" s="1">
        <v>1.620675005E9</v>
      </c>
      <c r="D4825" s="1">
        <v>4.0</v>
      </c>
      <c r="E4825" s="1" t="b">
        <v>0</v>
      </c>
      <c r="F4825" s="1" t="s">
        <v>18585</v>
      </c>
    </row>
    <row r="4826">
      <c r="A4826" s="1">
        <v>50031.0</v>
      </c>
      <c r="B4826" s="1">
        <v>17641.0</v>
      </c>
      <c r="C4826" s="1">
        <v>1.620369774E9</v>
      </c>
      <c r="D4826" s="1">
        <v>4.0</v>
      </c>
      <c r="E4826" s="1" t="b">
        <v>0</v>
      </c>
      <c r="F4826" s="1" t="s">
        <v>18586</v>
      </c>
    </row>
    <row r="4827">
      <c r="A4827" s="1">
        <v>50031.0</v>
      </c>
      <c r="B4827" s="1">
        <v>18523.0</v>
      </c>
      <c r="C4827" s="1">
        <v>1.621678476E9</v>
      </c>
      <c r="D4827" s="1">
        <v>4.0</v>
      </c>
      <c r="E4827" s="1" t="b">
        <v>0</v>
      </c>
      <c r="F4827" s="1" t="s">
        <v>18587</v>
      </c>
    </row>
    <row r="4828">
      <c r="A4828" s="1">
        <v>50031.0</v>
      </c>
      <c r="B4828" s="1">
        <v>17819.0</v>
      </c>
      <c r="C4828" s="1">
        <v>1.620560354E9</v>
      </c>
      <c r="D4828" s="1">
        <v>4.0</v>
      </c>
      <c r="E4828" s="1" t="b">
        <v>0</v>
      </c>
      <c r="F4828" s="1" t="s">
        <v>18588</v>
      </c>
    </row>
    <row r="4829">
      <c r="A4829" s="1">
        <v>50031.0</v>
      </c>
      <c r="B4829" s="1">
        <v>18485.0</v>
      </c>
      <c r="C4829" s="1">
        <v>1.621660608E9</v>
      </c>
      <c r="D4829" s="1">
        <v>4.0</v>
      </c>
      <c r="E4829" s="1" t="b">
        <v>0</v>
      </c>
      <c r="F4829" s="1" t="s">
        <v>18589</v>
      </c>
    </row>
    <row r="4830">
      <c r="A4830" s="1">
        <v>50031.0</v>
      </c>
      <c r="B4830" s="1">
        <v>18246.0</v>
      </c>
      <c r="C4830" s="1">
        <v>1.62126647E9</v>
      </c>
      <c r="D4830" s="1">
        <v>4.0</v>
      </c>
      <c r="E4830" s="1" t="b">
        <v>0</v>
      </c>
      <c r="F4830" s="1" t="s">
        <v>18590</v>
      </c>
    </row>
    <row r="4831">
      <c r="A4831" s="1">
        <v>50031.0</v>
      </c>
      <c r="B4831" s="1">
        <v>17650.0</v>
      </c>
      <c r="C4831" s="1">
        <v>1.620394495E9</v>
      </c>
      <c r="D4831" s="1">
        <v>4.0</v>
      </c>
      <c r="E4831" s="1" t="b">
        <v>0</v>
      </c>
      <c r="F4831" s="1" t="s">
        <v>18591</v>
      </c>
    </row>
    <row r="4832">
      <c r="A4832" s="1">
        <v>50031.0</v>
      </c>
      <c r="B4832" s="1">
        <v>17672.0</v>
      </c>
      <c r="C4832" s="1">
        <v>1.620399222E9</v>
      </c>
      <c r="D4832" s="1">
        <v>4.0</v>
      </c>
      <c r="E4832" s="1" t="b">
        <v>0</v>
      </c>
      <c r="F4832" s="1" t="s">
        <v>18592</v>
      </c>
    </row>
    <row r="4833">
      <c r="A4833" s="1">
        <v>50031.0</v>
      </c>
      <c r="B4833" s="1">
        <v>17640.0</v>
      </c>
      <c r="C4833" s="1">
        <v>1.620368304E9</v>
      </c>
      <c r="D4833" s="1">
        <v>4.0</v>
      </c>
      <c r="E4833" s="1" t="b">
        <v>0</v>
      </c>
      <c r="F4833" s="1" t="s">
        <v>18593</v>
      </c>
    </row>
    <row r="4834">
      <c r="A4834" s="1">
        <v>50031.0</v>
      </c>
      <c r="B4834" s="1">
        <v>16525.0</v>
      </c>
      <c r="C4834" s="1">
        <v>1.618403432E9</v>
      </c>
      <c r="D4834" s="1">
        <v>1.0</v>
      </c>
      <c r="E4834" s="1" t="b">
        <v>1</v>
      </c>
      <c r="F4834" s="1" t="s">
        <v>4561</v>
      </c>
    </row>
    <row r="4835">
      <c r="A4835" s="1">
        <v>50031.0</v>
      </c>
      <c r="B4835" s="1">
        <v>18339.0</v>
      </c>
      <c r="C4835" s="1">
        <v>1.62143847E9</v>
      </c>
      <c r="D4835" s="1">
        <v>4.0</v>
      </c>
      <c r="E4835" s="1" t="b">
        <v>0</v>
      </c>
      <c r="F4835" s="1" t="s">
        <v>17719</v>
      </c>
    </row>
    <row r="4836">
      <c r="A4836" s="1">
        <v>50031.0</v>
      </c>
      <c r="B4836" s="1">
        <v>17633.0</v>
      </c>
      <c r="C4836" s="1">
        <v>1.620360665E9</v>
      </c>
      <c r="D4836" s="1">
        <v>4.0</v>
      </c>
      <c r="E4836" s="1" t="b">
        <v>0</v>
      </c>
      <c r="F4836" s="1" t="s">
        <v>18594</v>
      </c>
    </row>
    <row r="4837">
      <c r="A4837" s="1">
        <v>50031.0</v>
      </c>
      <c r="B4837" s="1">
        <v>17227.0</v>
      </c>
      <c r="C4837" s="1">
        <v>1.619250859E9</v>
      </c>
      <c r="D4837" s="1">
        <v>4.0</v>
      </c>
      <c r="E4837" s="1" t="b">
        <v>0</v>
      </c>
      <c r="F4837" s="1" t="s">
        <v>18595</v>
      </c>
    </row>
    <row r="4838">
      <c r="A4838" s="1">
        <v>50031.0</v>
      </c>
      <c r="B4838" s="1">
        <v>17717.0</v>
      </c>
      <c r="C4838" s="1">
        <v>1.620467361E9</v>
      </c>
      <c r="D4838" s="1">
        <v>4.0</v>
      </c>
      <c r="E4838" s="1" t="b">
        <v>0</v>
      </c>
      <c r="F4838" s="1" t="s">
        <v>18596</v>
      </c>
    </row>
    <row r="4839">
      <c r="A4839" s="1">
        <v>50031.0</v>
      </c>
      <c r="B4839" s="1">
        <v>18267.0</v>
      </c>
      <c r="C4839" s="1">
        <v>1.621311817E9</v>
      </c>
      <c r="D4839" s="1">
        <v>4.0</v>
      </c>
      <c r="E4839" s="1" t="b">
        <v>0</v>
      </c>
      <c r="F4839" s="1" t="s">
        <v>18597</v>
      </c>
    </row>
    <row r="4840">
      <c r="A4840" s="1">
        <v>50031.0</v>
      </c>
      <c r="B4840" s="1">
        <v>18527.0</v>
      </c>
      <c r="C4840" s="1">
        <v>1.621683545E9</v>
      </c>
      <c r="D4840" s="1">
        <v>4.0</v>
      </c>
      <c r="E4840" s="1" t="b">
        <v>0</v>
      </c>
      <c r="F4840" s="1" t="s">
        <v>18598</v>
      </c>
    </row>
    <row r="4841">
      <c r="A4841" s="1">
        <v>50031.0</v>
      </c>
      <c r="B4841" s="1">
        <v>18126.0</v>
      </c>
      <c r="C4841" s="1">
        <v>1.621157166E9</v>
      </c>
      <c r="D4841" s="1">
        <v>4.0</v>
      </c>
      <c r="E4841" s="1" t="b">
        <v>0</v>
      </c>
      <c r="F4841" s="1" t="s">
        <v>18599</v>
      </c>
    </row>
    <row r="4842">
      <c r="A4842" s="1">
        <v>50031.0</v>
      </c>
      <c r="B4842" s="1">
        <v>17315.0</v>
      </c>
      <c r="C4842" s="1">
        <v>1.619505727E9</v>
      </c>
      <c r="D4842" s="1">
        <v>4.0</v>
      </c>
      <c r="E4842" s="1" t="b">
        <v>0</v>
      </c>
      <c r="F4842" s="1" t="s">
        <v>18600</v>
      </c>
    </row>
    <row r="4843">
      <c r="A4843" s="1">
        <v>50031.0</v>
      </c>
      <c r="B4843" s="1">
        <v>17332.0</v>
      </c>
      <c r="C4843" s="1">
        <v>1.619505724E9</v>
      </c>
      <c r="D4843" s="1">
        <v>4.0</v>
      </c>
      <c r="E4843" s="1" t="b">
        <v>0</v>
      </c>
      <c r="F4843" s="1" t="s">
        <v>18601</v>
      </c>
    </row>
    <row r="4844">
      <c r="A4844" s="1">
        <v>50031.0</v>
      </c>
      <c r="B4844" s="1">
        <v>17565.0</v>
      </c>
      <c r="C4844" s="1">
        <v>1.620213699E9</v>
      </c>
      <c r="D4844" s="1">
        <v>4.0</v>
      </c>
      <c r="E4844" s="1" t="b">
        <v>0</v>
      </c>
      <c r="F4844" s="1" t="s">
        <v>18602</v>
      </c>
    </row>
    <row r="4845">
      <c r="A4845" s="1">
        <v>50031.0</v>
      </c>
      <c r="B4845" s="1">
        <v>17251.0</v>
      </c>
      <c r="C4845" s="1">
        <v>1.619285977E9</v>
      </c>
      <c r="D4845" s="1">
        <v>4.0</v>
      </c>
      <c r="E4845" s="1" t="b">
        <v>0</v>
      </c>
      <c r="F4845" s="1" t="s">
        <v>18603</v>
      </c>
    </row>
    <row r="4846">
      <c r="A4846" s="1">
        <v>50031.0</v>
      </c>
      <c r="B4846" s="1">
        <v>17247.0</v>
      </c>
      <c r="C4846" s="1">
        <v>1.619276372E9</v>
      </c>
      <c r="D4846" s="1">
        <v>4.0</v>
      </c>
      <c r="E4846" s="1" t="b">
        <v>0</v>
      </c>
      <c r="F4846" s="1" t="s">
        <v>18604</v>
      </c>
    </row>
    <row r="4847">
      <c r="A4847" s="1">
        <v>50031.0</v>
      </c>
      <c r="B4847" s="1">
        <v>18622.0</v>
      </c>
      <c r="C4847" s="1">
        <v>1.62177784E9</v>
      </c>
      <c r="D4847" s="1">
        <v>4.0</v>
      </c>
      <c r="E4847" s="1" t="b">
        <v>0</v>
      </c>
      <c r="F4847" s="1" t="s">
        <v>18605</v>
      </c>
    </row>
    <row r="4848">
      <c r="A4848" s="1">
        <v>50031.0</v>
      </c>
      <c r="B4848" s="1">
        <v>17867.0</v>
      </c>
      <c r="C4848" s="1">
        <v>1.620614131E9</v>
      </c>
      <c r="D4848" s="1">
        <v>4.0</v>
      </c>
      <c r="E4848" s="1" t="b">
        <v>0</v>
      </c>
      <c r="F4848" s="1" t="s">
        <v>18606</v>
      </c>
    </row>
    <row r="4849">
      <c r="A4849" s="1">
        <v>50031.0</v>
      </c>
      <c r="B4849" s="1">
        <v>17768.0</v>
      </c>
      <c r="C4849" s="1">
        <v>1.620499673E9</v>
      </c>
      <c r="D4849" s="1">
        <v>4.0</v>
      </c>
      <c r="E4849" s="1" t="b">
        <v>0</v>
      </c>
      <c r="F4849" s="1" t="s">
        <v>18607</v>
      </c>
    </row>
    <row r="4850">
      <c r="A4850" s="1">
        <v>50031.0</v>
      </c>
      <c r="B4850" s="1">
        <v>18281.0</v>
      </c>
      <c r="C4850" s="1">
        <v>1.62132208E9</v>
      </c>
      <c r="D4850" s="1">
        <v>4.0</v>
      </c>
      <c r="E4850" s="1" t="b">
        <v>0</v>
      </c>
      <c r="F4850" s="1" t="s">
        <v>18608</v>
      </c>
    </row>
    <row r="4851">
      <c r="A4851" s="1">
        <v>50031.0</v>
      </c>
      <c r="B4851" s="1">
        <v>17829.0</v>
      </c>
      <c r="C4851" s="1">
        <v>1.620564964E9</v>
      </c>
      <c r="D4851" s="1">
        <v>4.0</v>
      </c>
      <c r="E4851" s="1" t="b">
        <v>0</v>
      </c>
      <c r="F4851" s="1" t="s">
        <v>18609</v>
      </c>
    </row>
    <row r="4852">
      <c r="A4852" s="1">
        <v>50031.0</v>
      </c>
      <c r="B4852" s="1">
        <v>20026.0</v>
      </c>
      <c r="C4852" s="1">
        <v>1.623657702E9</v>
      </c>
      <c r="D4852" s="1">
        <v>4.0</v>
      </c>
      <c r="E4852" s="1" t="b">
        <v>0</v>
      </c>
      <c r="F4852" s="1" t="s">
        <v>18610</v>
      </c>
    </row>
    <row r="4853">
      <c r="A4853" s="1">
        <v>50031.0</v>
      </c>
      <c r="B4853" s="1">
        <v>18179.0</v>
      </c>
      <c r="C4853" s="1">
        <v>1.621221646E9</v>
      </c>
      <c r="D4853" s="1">
        <v>4.0</v>
      </c>
      <c r="E4853" s="1" t="b">
        <v>0</v>
      </c>
      <c r="F4853" s="1" t="s">
        <v>18611</v>
      </c>
    </row>
    <row r="4854">
      <c r="A4854" s="1">
        <v>50031.0</v>
      </c>
      <c r="B4854" s="1">
        <v>18283.0</v>
      </c>
      <c r="C4854" s="1">
        <v>1.621322083E9</v>
      </c>
      <c r="D4854" s="1">
        <v>4.0</v>
      </c>
      <c r="E4854" s="1" t="b">
        <v>0</v>
      </c>
      <c r="F4854" s="1" t="s">
        <v>18612</v>
      </c>
    </row>
    <row r="4855">
      <c r="A4855" s="1">
        <v>50031.0</v>
      </c>
      <c r="B4855" s="1">
        <v>17800.0</v>
      </c>
      <c r="C4855" s="1">
        <v>1.620540664E9</v>
      </c>
      <c r="D4855" s="1">
        <v>4.0</v>
      </c>
      <c r="E4855" s="1" t="b">
        <v>0</v>
      </c>
      <c r="F4855" s="1" t="s">
        <v>18613</v>
      </c>
    </row>
    <row r="4856">
      <c r="A4856" s="1">
        <v>50031.0</v>
      </c>
      <c r="B4856" s="1">
        <v>18405.0</v>
      </c>
      <c r="C4856" s="1">
        <v>1.621526515E9</v>
      </c>
      <c r="D4856" s="1">
        <v>4.0</v>
      </c>
      <c r="E4856" s="1" t="b">
        <v>0</v>
      </c>
      <c r="F4856" s="1" t="s">
        <v>18614</v>
      </c>
    </row>
    <row r="4857">
      <c r="A4857" s="1">
        <v>50036.0</v>
      </c>
      <c r="B4857" s="1">
        <v>17221.0</v>
      </c>
      <c r="C4857" s="1">
        <v>1.619264264E9</v>
      </c>
      <c r="D4857" s="1">
        <v>4.0</v>
      </c>
      <c r="E4857" s="1" t="b">
        <v>0</v>
      </c>
      <c r="F4857" s="1" t="s">
        <v>18615</v>
      </c>
    </row>
    <row r="4858">
      <c r="A4858" s="1">
        <v>50036.0</v>
      </c>
      <c r="B4858" s="1">
        <v>17266.0</v>
      </c>
      <c r="C4858" s="1">
        <v>1.619323978E9</v>
      </c>
      <c r="D4858" s="1">
        <v>4.0</v>
      </c>
      <c r="E4858" s="1" t="b">
        <v>0</v>
      </c>
      <c r="F4858" s="1" t="s">
        <v>18616</v>
      </c>
    </row>
    <row r="4859">
      <c r="A4859" s="1">
        <v>50036.0</v>
      </c>
      <c r="B4859" s="1">
        <v>18156.0</v>
      </c>
      <c r="C4859" s="1">
        <v>1.621174055E9</v>
      </c>
      <c r="D4859" s="1">
        <v>4.0</v>
      </c>
      <c r="E4859" s="1" t="b">
        <v>0</v>
      </c>
      <c r="F4859" s="1" t="s">
        <v>16978</v>
      </c>
    </row>
    <row r="4860">
      <c r="A4860" s="1">
        <v>50036.0</v>
      </c>
      <c r="B4860" s="1">
        <v>20351.0</v>
      </c>
      <c r="C4860" s="1">
        <v>1.624189876E9</v>
      </c>
      <c r="D4860" s="1">
        <v>4.0</v>
      </c>
      <c r="E4860" s="1" t="b">
        <v>0</v>
      </c>
      <c r="F4860" s="1" t="s">
        <v>18617</v>
      </c>
    </row>
    <row r="4861">
      <c r="A4861" s="1">
        <v>50036.0</v>
      </c>
      <c r="B4861" s="1">
        <v>17222.0</v>
      </c>
      <c r="C4861" s="1">
        <v>1.619246004E9</v>
      </c>
      <c r="D4861" s="1">
        <v>4.0</v>
      </c>
      <c r="E4861" s="1" t="b">
        <v>0</v>
      </c>
      <c r="F4861" s="1" t="s">
        <v>18618</v>
      </c>
    </row>
    <row r="4862">
      <c r="A4862" s="1">
        <v>50036.0</v>
      </c>
      <c r="B4862" s="1">
        <v>17237.0</v>
      </c>
      <c r="C4862" s="1">
        <v>1.619333826E9</v>
      </c>
      <c r="D4862" s="1">
        <v>4.0</v>
      </c>
      <c r="E4862" s="1" t="b">
        <v>0</v>
      </c>
      <c r="F4862" s="1" t="s">
        <v>18619</v>
      </c>
    </row>
    <row r="4863">
      <c r="A4863" s="1">
        <v>50036.0</v>
      </c>
      <c r="B4863" s="1">
        <v>19890.0</v>
      </c>
      <c r="C4863" s="1">
        <v>1.623427576E9</v>
      </c>
      <c r="D4863" s="1">
        <v>4.0</v>
      </c>
      <c r="E4863" s="1" t="b">
        <v>0</v>
      </c>
      <c r="F4863" s="1" t="s">
        <v>18620</v>
      </c>
    </row>
    <row r="4864">
      <c r="A4864" s="1">
        <v>50036.0</v>
      </c>
      <c r="B4864" s="1">
        <v>17153.0</v>
      </c>
      <c r="C4864" s="1">
        <v>1.619267929E9</v>
      </c>
      <c r="D4864" s="1">
        <v>4.0</v>
      </c>
      <c r="E4864" s="1" t="b">
        <v>0</v>
      </c>
      <c r="F4864" s="1" t="s">
        <v>18621</v>
      </c>
    </row>
    <row r="4865">
      <c r="A4865" s="1">
        <v>50036.0</v>
      </c>
      <c r="B4865" s="1">
        <v>17245.0</v>
      </c>
      <c r="C4865" s="1">
        <v>1.619269036E9</v>
      </c>
      <c r="D4865" s="1">
        <v>4.0</v>
      </c>
      <c r="E4865" s="1" t="b">
        <v>0</v>
      </c>
      <c r="F4865" s="1" t="s">
        <v>18622</v>
      </c>
    </row>
    <row r="4866">
      <c r="A4866" s="1">
        <v>50036.0</v>
      </c>
      <c r="B4866" s="1">
        <v>17058.0</v>
      </c>
      <c r="C4866" s="1">
        <v>1.618983848E9</v>
      </c>
      <c r="D4866" s="1">
        <v>4.0</v>
      </c>
      <c r="E4866" s="1" t="b">
        <v>0</v>
      </c>
      <c r="F4866" s="1" t="s">
        <v>18623</v>
      </c>
    </row>
    <row r="4867">
      <c r="A4867" s="1">
        <v>50036.0</v>
      </c>
      <c r="B4867" s="1">
        <v>20482.0</v>
      </c>
      <c r="C4867" s="1">
        <v>0.0</v>
      </c>
      <c r="D4867" s="1">
        <v>4.0</v>
      </c>
      <c r="E4867" s="1" t="b">
        <v>0</v>
      </c>
      <c r="F4867" s="1" t="s">
        <v>18624</v>
      </c>
    </row>
    <row r="4868">
      <c r="A4868" s="1">
        <v>50036.0</v>
      </c>
      <c r="B4868" s="1">
        <v>18470.0</v>
      </c>
      <c r="C4868" s="1">
        <v>1.621648358E9</v>
      </c>
      <c r="D4868" s="1">
        <v>4.0</v>
      </c>
      <c r="E4868" s="1" t="b">
        <v>0</v>
      </c>
      <c r="F4868" s="1" t="s">
        <v>18625</v>
      </c>
    </row>
    <row r="4869">
      <c r="A4869" s="1">
        <v>50036.0</v>
      </c>
      <c r="B4869" s="1">
        <v>17149.0</v>
      </c>
      <c r="C4869" s="1">
        <v>1.61932221E9</v>
      </c>
      <c r="D4869" s="1">
        <v>4.0</v>
      </c>
      <c r="E4869" s="1" t="b">
        <v>0</v>
      </c>
      <c r="F4869" s="1" t="s">
        <v>18626</v>
      </c>
    </row>
    <row r="4870">
      <c r="A4870" s="1">
        <v>50036.0</v>
      </c>
      <c r="B4870" s="1">
        <v>17011.0</v>
      </c>
      <c r="C4870" s="1">
        <v>1.618898535E9</v>
      </c>
      <c r="D4870" s="1">
        <v>4.0</v>
      </c>
      <c r="E4870" s="1" t="b">
        <v>0</v>
      </c>
      <c r="F4870" s="1" t="s">
        <v>18627</v>
      </c>
    </row>
    <row r="4871">
      <c r="A4871" s="1">
        <v>50036.0</v>
      </c>
      <c r="B4871" s="1">
        <v>16860.0</v>
      </c>
      <c r="C4871" s="1">
        <v>1.618483111E9</v>
      </c>
      <c r="D4871" s="1">
        <v>1.0</v>
      </c>
      <c r="E4871" s="1" t="b">
        <v>1</v>
      </c>
      <c r="F4871" s="1" t="s">
        <v>18628</v>
      </c>
    </row>
    <row r="4872">
      <c r="A4872" s="1">
        <v>50036.0</v>
      </c>
      <c r="B4872" s="1">
        <v>17265.0</v>
      </c>
      <c r="C4872" s="1">
        <v>1.619323986E9</v>
      </c>
      <c r="D4872" s="1">
        <v>4.0</v>
      </c>
      <c r="E4872" s="1" t="b">
        <v>0</v>
      </c>
      <c r="F4872" s="1" t="s">
        <v>18629</v>
      </c>
    </row>
    <row r="4873">
      <c r="A4873" s="1">
        <v>50036.0</v>
      </c>
      <c r="B4873" s="1">
        <v>17594.0</v>
      </c>
      <c r="C4873" s="1">
        <v>1.620280196E9</v>
      </c>
      <c r="D4873" s="1">
        <v>9.0</v>
      </c>
      <c r="E4873" s="1" t="b">
        <v>0</v>
      </c>
      <c r="F4873" s="1" t="s">
        <v>17902</v>
      </c>
    </row>
    <row r="4874">
      <c r="A4874" s="1">
        <v>50036.0</v>
      </c>
      <c r="B4874" s="1">
        <v>17209.0</v>
      </c>
      <c r="C4874" s="1">
        <v>1.61923281E9</v>
      </c>
      <c r="D4874" s="1">
        <v>4.0</v>
      </c>
      <c r="E4874" s="1" t="b">
        <v>0</v>
      </c>
      <c r="F4874" s="1" t="s">
        <v>18630</v>
      </c>
    </row>
    <row r="4875">
      <c r="A4875" s="1">
        <v>50036.0</v>
      </c>
      <c r="B4875" s="1">
        <v>18308.0</v>
      </c>
      <c r="C4875" s="1">
        <v>1.621340312E9</v>
      </c>
      <c r="D4875" s="1">
        <v>4.0</v>
      </c>
      <c r="E4875" s="1" t="b">
        <v>0</v>
      </c>
      <c r="F4875" s="1" t="s">
        <v>18631</v>
      </c>
    </row>
    <row r="4876">
      <c r="A4876" s="1">
        <v>50036.0</v>
      </c>
      <c r="B4876" s="1">
        <v>17502.0</v>
      </c>
      <c r="C4876" s="1">
        <v>1.620031799E9</v>
      </c>
      <c r="D4876" s="1">
        <v>4.0</v>
      </c>
      <c r="E4876" s="1" t="b">
        <v>0</v>
      </c>
      <c r="F4876" s="1" t="s">
        <v>18632</v>
      </c>
    </row>
    <row r="4877">
      <c r="A4877" s="1">
        <v>50036.0</v>
      </c>
      <c r="B4877" s="1">
        <v>17150.0</v>
      </c>
      <c r="C4877" s="1">
        <v>1.619113496E9</v>
      </c>
      <c r="D4877" s="1">
        <v>4.0</v>
      </c>
      <c r="E4877" s="1" t="b">
        <v>0</v>
      </c>
      <c r="F4877" s="1" t="s">
        <v>18633</v>
      </c>
    </row>
    <row r="4878">
      <c r="A4878" s="1">
        <v>50036.0</v>
      </c>
      <c r="B4878" s="1">
        <v>17482.0</v>
      </c>
      <c r="C4878" s="1">
        <v>1.620203663E9</v>
      </c>
      <c r="D4878" s="1">
        <v>4.0</v>
      </c>
      <c r="E4878" s="1" t="b">
        <v>0</v>
      </c>
      <c r="F4878" s="1" t="s">
        <v>17266</v>
      </c>
    </row>
    <row r="4879">
      <c r="A4879" s="1">
        <v>50036.0</v>
      </c>
      <c r="B4879" s="1">
        <v>16923.0</v>
      </c>
      <c r="C4879" s="1">
        <v>1.618588537E9</v>
      </c>
      <c r="D4879" s="1">
        <v>4.0</v>
      </c>
      <c r="E4879" s="1" t="b">
        <v>0</v>
      </c>
      <c r="F4879" s="1" t="s">
        <v>18634</v>
      </c>
    </row>
    <row r="4880">
      <c r="A4880" s="1">
        <v>50036.0</v>
      </c>
      <c r="B4880" s="1">
        <v>17675.0</v>
      </c>
      <c r="C4880" s="1">
        <v>1.620400332E9</v>
      </c>
      <c r="D4880" s="1">
        <v>9.0</v>
      </c>
      <c r="E4880" s="1" t="b">
        <v>0</v>
      </c>
      <c r="F4880" s="1" t="s">
        <v>18635</v>
      </c>
    </row>
    <row r="4881">
      <c r="A4881" s="1">
        <v>50036.0</v>
      </c>
      <c r="B4881" s="1">
        <v>18479.0</v>
      </c>
      <c r="C4881" s="1">
        <v>1.621656104E9</v>
      </c>
      <c r="D4881" s="1">
        <v>4.0</v>
      </c>
      <c r="E4881" s="1" t="b">
        <v>0</v>
      </c>
      <c r="F4881" s="1" t="s">
        <v>18636</v>
      </c>
    </row>
    <row r="4882">
      <c r="A4882" s="1">
        <v>50036.0</v>
      </c>
      <c r="B4882" s="1">
        <v>17195.0</v>
      </c>
      <c r="C4882" s="1">
        <v>1.61924071E9</v>
      </c>
      <c r="D4882" s="1">
        <v>4.0</v>
      </c>
      <c r="E4882" s="1" t="b">
        <v>0</v>
      </c>
      <c r="F4882" s="1" t="s">
        <v>18637</v>
      </c>
    </row>
    <row r="4883">
      <c r="A4883" s="1">
        <v>50036.0</v>
      </c>
      <c r="B4883" s="1">
        <v>461.0</v>
      </c>
      <c r="C4883" s="1">
        <v>1.61850021E9</v>
      </c>
      <c r="D4883" s="1">
        <v>4.0</v>
      </c>
      <c r="E4883" s="1" t="b">
        <v>0</v>
      </c>
      <c r="F4883" s="1" t="s">
        <v>14065</v>
      </c>
    </row>
    <row r="4884">
      <c r="A4884" s="1">
        <v>50036.0</v>
      </c>
      <c r="B4884" s="1">
        <v>17242.0</v>
      </c>
      <c r="C4884" s="1">
        <v>1.61926818E9</v>
      </c>
      <c r="D4884" s="1">
        <v>4.0</v>
      </c>
      <c r="E4884" s="1" t="b">
        <v>0</v>
      </c>
      <c r="F4884" s="1" t="s">
        <v>18638</v>
      </c>
    </row>
    <row r="4885">
      <c r="A4885" s="1">
        <v>50036.0</v>
      </c>
      <c r="B4885" s="1">
        <v>17154.0</v>
      </c>
      <c r="C4885" s="1">
        <v>1.619274428E9</v>
      </c>
      <c r="D4885" s="1">
        <v>4.0</v>
      </c>
      <c r="E4885" s="1" t="b">
        <v>0</v>
      </c>
      <c r="F4885" s="1" t="s">
        <v>18639</v>
      </c>
    </row>
    <row r="4886">
      <c r="A4886" s="1">
        <v>50036.0</v>
      </c>
      <c r="B4886" s="1">
        <v>2258.0</v>
      </c>
      <c r="C4886" s="1">
        <v>1.618510763E9</v>
      </c>
      <c r="D4886" s="1">
        <v>4.0</v>
      </c>
      <c r="E4886" s="1" t="b">
        <v>0</v>
      </c>
      <c r="F4886" s="1" t="s">
        <v>14380</v>
      </c>
    </row>
    <row r="4887">
      <c r="A4887" s="1">
        <v>50036.0</v>
      </c>
      <c r="B4887" s="1">
        <v>19497.0</v>
      </c>
      <c r="C4887" s="1">
        <v>1.622813043E9</v>
      </c>
      <c r="D4887" s="1">
        <v>4.0</v>
      </c>
      <c r="E4887" s="1" t="b">
        <v>0</v>
      </c>
      <c r="F4887" s="1" t="s">
        <v>18640</v>
      </c>
    </row>
    <row r="4888">
      <c r="A4888" s="1">
        <v>50036.0</v>
      </c>
      <c r="B4888" s="1">
        <v>19871.0</v>
      </c>
      <c r="C4888" s="1">
        <v>0.0</v>
      </c>
      <c r="D4888" s="1">
        <v>3.0</v>
      </c>
      <c r="E4888" s="1" t="b">
        <v>0</v>
      </c>
      <c r="F4888" s="1" t="s">
        <v>17257</v>
      </c>
    </row>
    <row r="4889">
      <c r="A4889" s="1">
        <v>50036.0</v>
      </c>
      <c r="B4889" s="1">
        <v>3912.0</v>
      </c>
      <c r="C4889" s="1">
        <v>1.618496623E9</v>
      </c>
      <c r="D4889" s="1">
        <v>4.0</v>
      </c>
      <c r="E4889" s="1" t="b">
        <v>0</v>
      </c>
      <c r="F4889" s="1" t="s">
        <v>16534</v>
      </c>
    </row>
    <row r="4890">
      <c r="A4890" s="1">
        <v>50036.0</v>
      </c>
      <c r="B4890" s="1">
        <v>16924.0</v>
      </c>
      <c r="C4890" s="1">
        <v>1.618593001E9</v>
      </c>
      <c r="D4890" s="1">
        <v>4.0</v>
      </c>
      <c r="E4890" s="1" t="b">
        <v>0</v>
      </c>
      <c r="F4890" s="1" t="s">
        <v>18641</v>
      </c>
    </row>
    <row r="4891">
      <c r="A4891" s="1">
        <v>50036.0</v>
      </c>
      <c r="B4891" s="1">
        <v>17013.0</v>
      </c>
      <c r="C4891" s="1">
        <v>1.618902176E9</v>
      </c>
      <c r="D4891" s="1">
        <v>4.0</v>
      </c>
      <c r="E4891" s="1" t="b">
        <v>0</v>
      </c>
      <c r="F4891" s="1" t="s">
        <v>17108</v>
      </c>
    </row>
    <row r="4892">
      <c r="A4892" s="1">
        <v>50036.0</v>
      </c>
      <c r="B4892" s="1">
        <v>580.0</v>
      </c>
      <c r="C4892" s="1">
        <v>1.618536397E9</v>
      </c>
      <c r="D4892" s="1">
        <v>4.0</v>
      </c>
      <c r="E4892" s="1" t="b">
        <v>0</v>
      </c>
      <c r="F4892" s="1" t="s">
        <v>17408</v>
      </c>
    </row>
    <row r="4893">
      <c r="A4893" s="1">
        <v>50036.0</v>
      </c>
      <c r="B4893" s="1">
        <v>17886.0</v>
      </c>
      <c r="C4893" s="1">
        <v>1.620627834E9</v>
      </c>
      <c r="D4893" s="1">
        <v>4.0</v>
      </c>
      <c r="E4893" s="1" t="b">
        <v>0</v>
      </c>
      <c r="F4893" s="1" t="s">
        <v>18642</v>
      </c>
    </row>
    <row r="4894">
      <c r="A4894" s="1">
        <v>50039.0</v>
      </c>
      <c r="B4894" s="1">
        <v>18438.0</v>
      </c>
      <c r="C4894" s="1">
        <v>1.621589744E9</v>
      </c>
      <c r="D4894" s="1">
        <v>4.0</v>
      </c>
      <c r="E4894" s="1" t="b">
        <v>0</v>
      </c>
      <c r="F4894" s="1" t="s">
        <v>18643</v>
      </c>
    </row>
    <row r="4895">
      <c r="A4895" s="1">
        <v>50039.0</v>
      </c>
      <c r="B4895" s="1">
        <v>19368.0</v>
      </c>
      <c r="C4895" s="1">
        <v>1.622637015E9</v>
      </c>
      <c r="D4895" s="1">
        <v>4.0</v>
      </c>
      <c r="E4895" s="1" t="b">
        <v>0</v>
      </c>
      <c r="F4895" s="1" t="s">
        <v>18644</v>
      </c>
    </row>
    <row r="4896">
      <c r="A4896" s="1">
        <v>50039.0</v>
      </c>
      <c r="B4896" s="1">
        <v>16634.0</v>
      </c>
      <c r="C4896" s="1">
        <v>1.624383225E9</v>
      </c>
      <c r="D4896" s="1">
        <v>4.0</v>
      </c>
      <c r="E4896" s="1" t="b">
        <v>0</v>
      </c>
      <c r="F4896" s="1" t="s">
        <v>18645</v>
      </c>
    </row>
    <row r="4897">
      <c r="A4897" s="1">
        <v>50039.0</v>
      </c>
      <c r="B4897" s="1">
        <v>18625.0</v>
      </c>
      <c r="C4897" s="1">
        <v>1.621778714E9</v>
      </c>
      <c r="D4897" s="1">
        <v>4.0</v>
      </c>
      <c r="E4897" s="1" t="b">
        <v>0</v>
      </c>
      <c r="F4897" s="1" t="s">
        <v>18646</v>
      </c>
    </row>
    <row r="4898">
      <c r="A4898" s="1">
        <v>50039.0</v>
      </c>
      <c r="B4898" s="1">
        <v>19426.0</v>
      </c>
      <c r="C4898" s="1">
        <v>1.622703681E9</v>
      </c>
      <c r="D4898" s="1">
        <v>4.0</v>
      </c>
      <c r="E4898" s="1" t="b">
        <v>0</v>
      </c>
      <c r="F4898" s="1" t="s">
        <v>18647</v>
      </c>
    </row>
    <row r="4899">
      <c r="A4899" s="1">
        <v>50039.0</v>
      </c>
      <c r="B4899" s="1">
        <v>18433.0</v>
      </c>
      <c r="C4899" s="1">
        <v>1.621584282E9</v>
      </c>
      <c r="D4899" s="1">
        <v>4.0</v>
      </c>
      <c r="E4899" s="1" t="b">
        <v>0</v>
      </c>
      <c r="F4899" s="1" t="s">
        <v>18648</v>
      </c>
    </row>
    <row r="4900">
      <c r="A4900" s="1">
        <v>50039.0</v>
      </c>
      <c r="B4900" s="1">
        <v>20150.0</v>
      </c>
      <c r="C4900" s="1">
        <v>1.623982208E9</v>
      </c>
      <c r="D4900" s="1">
        <v>4.0</v>
      </c>
      <c r="E4900" s="1" t="b">
        <v>0</v>
      </c>
      <c r="F4900" s="1" t="s">
        <v>18649</v>
      </c>
    </row>
    <row r="4901">
      <c r="A4901" s="1">
        <v>50039.0</v>
      </c>
      <c r="B4901" s="1">
        <v>19513.0</v>
      </c>
      <c r="C4901" s="1">
        <v>1.622950694E9</v>
      </c>
      <c r="D4901" s="1">
        <v>4.0</v>
      </c>
      <c r="E4901" s="1" t="b">
        <v>0</v>
      </c>
      <c r="F4901" s="1" t="s">
        <v>18650</v>
      </c>
    </row>
    <row r="4902">
      <c r="A4902" s="1">
        <v>50039.0</v>
      </c>
      <c r="B4902" s="1">
        <v>17933.0</v>
      </c>
      <c r="C4902" s="1">
        <v>1.620666082E9</v>
      </c>
      <c r="D4902" s="1">
        <v>4.0</v>
      </c>
      <c r="E4902" s="1" t="b">
        <v>0</v>
      </c>
      <c r="F4902" s="1" t="s">
        <v>16970</v>
      </c>
    </row>
    <row r="4903">
      <c r="A4903" s="1">
        <v>50039.0</v>
      </c>
      <c r="B4903" s="1">
        <v>19365.0</v>
      </c>
      <c r="C4903" s="1">
        <v>1.622685925E9</v>
      </c>
      <c r="D4903" s="1">
        <v>4.0</v>
      </c>
      <c r="E4903" s="1" t="b">
        <v>0</v>
      </c>
      <c r="F4903" s="1" t="s">
        <v>18651</v>
      </c>
    </row>
    <row r="4904">
      <c r="A4904" s="1">
        <v>50039.0</v>
      </c>
      <c r="B4904" s="1">
        <v>19789.0</v>
      </c>
      <c r="C4904" s="1">
        <v>1.623309415E9</v>
      </c>
      <c r="D4904" s="1">
        <v>4.0</v>
      </c>
      <c r="E4904" s="1" t="b">
        <v>0</v>
      </c>
      <c r="F4904" s="1" t="s">
        <v>18652</v>
      </c>
    </row>
    <row r="4905">
      <c r="A4905" s="1">
        <v>50039.0</v>
      </c>
      <c r="B4905" s="1">
        <v>17599.0</v>
      </c>
      <c r="C4905" s="1">
        <v>1.620298978E9</v>
      </c>
      <c r="D4905" s="1">
        <v>4.0</v>
      </c>
      <c r="E4905" s="1" t="b">
        <v>0</v>
      </c>
      <c r="F4905" s="1" t="s">
        <v>18653</v>
      </c>
    </row>
    <row r="4906">
      <c r="A4906" s="1">
        <v>50039.0</v>
      </c>
      <c r="B4906" s="1">
        <v>19725.0</v>
      </c>
      <c r="C4906" s="1">
        <v>1.623220179E9</v>
      </c>
      <c r="D4906" s="1">
        <v>4.0</v>
      </c>
      <c r="E4906" s="1" t="b">
        <v>0</v>
      </c>
      <c r="F4906" s="1" t="s">
        <v>18654</v>
      </c>
    </row>
    <row r="4907">
      <c r="A4907" s="1">
        <v>50039.0</v>
      </c>
      <c r="B4907" s="1">
        <v>18836.0</v>
      </c>
      <c r="C4907" s="1">
        <v>1.622022613E9</v>
      </c>
      <c r="D4907" s="1">
        <v>4.0</v>
      </c>
      <c r="E4907" s="1" t="b">
        <v>0</v>
      </c>
      <c r="F4907" s="1" t="s">
        <v>18655</v>
      </c>
    </row>
    <row r="4908">
      <c r="A4908" s="1">
        <v>50039.0</v>
      </c>
      <c r="B4908" s="1">
        <v>16450.0</v>
      </c>
      <c r="C4908" s="1">
        <v>1.624352471E9</v>
      </c>
      <c r="D4908" s="1">
        <v>4.0</v>
      </c>
      <c r="E4908" s="1" t="b">
        <v>0</v>
      </c>
      <c r="F4908" s="1" t="s">
        <v>18067</v>
      </c>
      <c r="G4908" s="1" t="b">
        <v>1</v>
      </c>
    </row>
    <row r="4909">
      <c r="A4909" s="1">
        <v>50039.0</v>
      </c>
      <c r="B4909" s="1">
        <v>20262.0</v>
      </c>
      <c r="C4909" s="1">
        <v>1.6239998E9</v>
      </c>
      <c r="D4909" s="1">
        <v>4.0</v>
      </c>
      <c r="E4909" s="1" t="b">
        <v>0</v>
      </c>
      <c r="F4909" s="1" t="s">
        <v>18656</v>
      </c>
    </row>
    <row r="4910">
      <c r="A4910" s="1">
        <v>50039.0</v>
      </c>
      <c r="B4910" s="1">
        <v>19093.0</v>
      </c>
      <c r="C4910" s="1">
        <v>1.622371617E9</v>
      </c>
      <c r="D4910" s="1">
        <v>4.0</v>
      </c>
      <c r="E4910" s="1" t="b">
        <v>0</v>
      </c>
      <c r="F4910" s="1" t="s">
        <v>14733</v>
      </c>
    </row>
    <row r="4911">
      <c r="A4911" s="1">
        <v>50039.0</v>
      </c>
      <c r="B4911" s="1">
        <v>20129.0</v>
      </c>
      <c r="C4911" s="1">
        <v>1.623824621E9</v>
      </c>
      <c r="D4911" s="1">
        <v>4.0</v>
      </c>
      <c r="E4911" s="1" t="b">
        <v>0</v>
      </c>
      <c r="F4911" s="1" t="s">
        <v>18657</v>
      </c>
    </row>
    <row r="4912">
      <c r="A4912" s="1">
        <v>50039.0</v>
      </c>
      <c r="B4912" s="1">
        <v>19895.0</v>
      </c>
      <c r="C4912" s="1">
        <v>1.6234312E9</v>
      </c>
      <c r="D4912" s="1">
        <v>4.0</v>
      </c>
      <c r="E4912" s="1" t="b">
        <v>0</v>
      </c>
      <c r="F4912" s="1" t="s">
        <v>18658</v>
      </c>
    </row>
    <row r="4913">
      <c r="A4913" s="1">
        <v>50039.0</v>
      </c>
      <c r="B4913" s="1">
        <v>17805.0</v>
      </c>
      <c r="C4913" s="1">
        <v>1.620542837E9</v>
      </c>
      <c r="D4913" s="1">
        <v>4.0</v>
      </c>
      <c r="E4913" s="1" t="b">
        <v>0</v>
      </c>
      <c r="F4913" s="1" t="s">
        <v>18659</v>
      </c>
    </row>
    <row r="4914">
      <c r="A4914" s="1">
        <v>50039.0</v>
      </c>
      <c r="B4914" s="1">
        <v>17892.0</v>
      </c>
      <c r="C4914" s="1">
        <v>1.620634497E9</v>
      </c>
      <c r="D4914" s="1">
        <v>4.0</v>
      </c>
      <c r="E4914" s="1" t="b">
        <v>0</v>
      </c>
      <c r="F4914" s="1" t="s">
        <v>18660</v>
      </c>
    </row>
    <row r="4915">
      <c r="A4915" s="1">
        <v>50039.0</v>
      </c>
      <c r="B4915" s="1">
        <v>18348.0</v>
      </c>
      <c r="C4915" s="1">
        <v>1.623239424E9</v>
      </c>
      <c r="D4915" s="1">
        <v>4.0</v>
      </c>
      <c r="E4915" s="1" t="b">
        <v>0</v>
      </c>
      <c r="F4915" s="1" t="s">
        <v>18661</v>
      </c>
    </row>
    <row r="4916">
      <c r="A4916" s="1">
        <v>50039.0</v>
      </c>
      <c r="B4916" s="1">
        <v>18704.0</v>
      </c>
      <c r="C4916" s="1">
        <v>1.621862729E9</v>
      </c>
      <c r="D4916" s="1">
        <v>4.0</v>
      </c>
      <c r="E4916" s="1" t="b">
        <v>0</v>
      </c>
      <c r="F4916" s="1" t="s">
        <v>18662</v>
      </c>
    </row>
    <row r="4917">
      <c r="A4917" s="1">
        <v>50039.0</v>
      </c>
      <c r="B4917" s="1">
        <v>16658.0</v>
      </c>
      <c r="C4917" s="1">
        <v>1.618643113E9</v>
      </c>
      <c r="D4917" s="1">
        <v>1.0</v>
      </c>
      <c r="E4917" s="1" t="b">
        <v>1</v>
      </c>
      <c r="F4917" s="1" t="s">
        <v>18663</v>
      </c>
    </row>
    <row r="4918">
      <c r="A4918" s="1">
        <v>50039.0</v>
      </c>
      <c r="B4918" s="1">
        <v>18872.0</v>
      </c>
      <c r="C4918" s="1">
        <v>1.622086326E9</v>
      </c>
      <c r="D4918" s="1">
        <v>4.0</v>
      </c>
      <c r="E4918" s="1" t="b">
        <v>0</v>
      </c>
      <c r="F4918" s="1" t="s">
        <v>18664</v>
      </c>
    </row>
    <row r="4919">
      <c r="A4919" s="1">
        <v>50039.0</v>
      </c>
      <c r="B4919" s="1">
        <v>19046.0</v>
      </c>
      <c r="C4919" s="1">
        <v>1.622306678E9</v>
      </c>
      <c r="D4919" s="1">
        <v>4.0</v>
      </c>
      <c r="E4919" s="1" t="b">
        <v>0</v>
      </c>
      <c r="F4919" s="1" t="s">
        <v>18665</v>
      </c>
    </row>
    <row r="4920">
      <c r="A4920" s="1">
        <v>50039.0</v>
      </c>
      <c r="B4920" s="1">
        <v>17283.0</v>
      </c>
      <c r="C4920" s="1">
        <v>1.620296731E9</v>
      </c>
      <c r="D4920" s="1">
        <v>4.0</v>
      </c>
      <c r="E4920" s="1" t="b">
        <v>0</v>
      </c>
      <c r="F4920" s="1" t="s">
        <v>18666</v>
      </c>
    </row>
    <row r="4921">
      <c r="A4921" s="1">
        <v>50039.0</v>
      </c>
      <c r="B4921" s="1">
        <v>19832.0</v>
      </c>
      <c r="C4921" s="1">
        <v>1.623357398E9</v>
      </c>
      <c r="D4921" s="1">
        <v>4.0</v>
      </c>
      <c r="E4921" s="1" t="b">
        <v>0</v>
      </c>
      <c r="F4921" s="1" t="s">
        <v>18667</v>
      </c>
    </row>
    <row r="4922">
      <c r="A4922" s="1">
        <v>50039.0</v>
      </c>
      <c r="B4922" s="1">
        <v>18727.0</v>
      </c>
      <c r="C4922" s="1">
        <v>1.621879353E9</v>
      </c>
      <c r="D4922" s="1">
        <v>4.0</v>
      </c>
      <c r="E4922" s="1" t="b">
        <v>0</v>
      </c>
      <c r="F4922" s="1" t="s">
        <v>18668</v>
      </c>
    </row>
    <row r="4923">
      <c r="A4923" s="1">
        <v>50039.0</v>
      </c>
      <c r="B4923" s="1">
        <v>18526.0</v>
      </c>
      <c r="C4923" s="1">
        <v>1.621682369E9</v>
      </c>
      <c r="D4923" s="1">
        <v>4.0</v>
      </c>
      <c r="E4923" s="1" t="b">
        <v>0</v>
      </c>
      <c r="F4923" s="1" t="s">
        <v>18669</v>
      </c>
    </row>
    <row r="4924">
      <c r="A4924" s="1">
        <v>50039.0</v>
      </c>
      <c r="B4924" s="1">
        <v>19393.0</v>
      </c>
      <c r="C4924" s="1">
        <v>1.62266059E9</v>
      </c>
      <c r="D4924" s="1">
        <v>4.0</v>
      </c>
      <c r="E4924" s="1" t="b">
        <v>0</v>
      </c>
      <c r="F4924" s="1" t="s">
        <v>18670</v>
      </c>
    </row>
    <row r="4925">
      <c r="A4925" s="1">
        <v>50039.0</v>
      </c>
      <c r="B4925" s="1">
        <v>18099.0</v>
      </c>
      <c r="C4925" s="1">
        <v>1.62113507E9</v>
      </c>
      <c r="D4925" s="1">
        <v>4.0</v>
      </c>
      <c r="E4925" s="1" t="b">
        <v>0</v>
      </c>
      <c r="F4925" s="1" t="s">
        <v>18671</v>
      </c>
    </row>
    <row r="4926">
      <c r="A4926" s="1">
        <v>50039.0</v>
      </c>
      <c r="B4926" s="1">
        <v>17703.0</v>
      </c>
      <c r="C4926" s="1">
        <v>1.620470387E9</v>
      </c>
      <c r="D4926" s="1">
        <v>4.0</v>
      </c>
      <c r="E4926" s="1" t="b">
        <v>0</v>
      </c>
      <c r="F4926" s="1" t="s">
        <v>18672</v>
      </c>
    </row>
    <row r="4927">
      <c r="A4927" s="1">
        <v>50041.0</v>
      </c>
      <c r="B4927" s="1">
        <v>17468.0</v>
      </c>
      <c r="C4927" s="1">
        <v>1.619796693E9</v>
      </c>
      <c r="D4927" s="1">
        <v>4.0</v>
      </c>
      <c r="E4927" s="1" t="b">
        <v>0</v>
      </c>
      <c r="F4927" s="1" t="s">
        <v>18673</v>
      </c>
    </row>
    <row r="4928">
      <c r="A4928" s="1">
        <v>50041.0</v>
      </c>
      <c r="B4928" s="1">
        <v>5459.0</v>
      </c>
      <c r="C4928" s="1">
        <v>1.618653442E9</v>
      </c>
      <c r="D4928" s="1">
        <v>1.0</v>
      </c>
      <c r="E4928" s="1" t="b">
        <v>1</v>
      </c>
      <c r="F4928" s="1" t="s">
        <v>14030</v>
      </c>
    </row>
    <row r="4929">
      <c r="A4929" s="1">
        <v>50041.0</v>
      </c>
      <c r="B4929" s="1">
        <v>17879.0</v>
      </c>
      <c r="C4929" s="1">
        <v>1.620621615E9</v>
      </c>
      <c r="D4929" s="1">
        <v>4.0</v>
      </c>
      <c r="E4929" s="1" t="b">
        <v>0</v>
      </c>
      <c r="F4929" s="1" t="s">
        <v>18674</v>
      </c>
    </row>
    <row r="4930">
      <c r="A4930" s="1">
        <v>50041.0</v>
      </c>
      <c r="B4930" s="1">
        <v>17855.0</v>
      </c>
      <c r="C4930" s="1">
        <v>1.620584703E9</v>
      </c>
      <c r="D4930" s="1">
        <v>4.0</v>
      </c>
      <c r="E4930" s="1" t="b">
        <v>0</v>
      </c>
      <c r="F4930" s="1" t="s">
        <v>18675</v>
      </c>
    </row>
    <row r="4931">
      <c r="A4931" s="1">
        <v>50041.0</v>
      </c>
      <c r="B4931" s="1">
        <v>17707.0</v>
      </c>
      <c r="C4931" s="1">
        <v>1.620467236E9</v>
      </c>
      <c r="D4931" s="1">
        <v>4.0</v>
      </c>
      <c r="E4931" s="1" t="b">
        <v>0</v>
      </c>
      <c r="F4931" s="1" t="s">
        <v>18676</v>
      </c>
    </row>
    <row r="4932">
      <c r="A4932" s="1">
        <v>50041.0</v>
      </c>
      <c r="B4932" s="1">
        <v>17485.0</v>
      </c>
      <c r="C4932" s="1">
        <v>1.619872386E9</v>
      </c>
      <c r="D4932" s="1">
        <v>4.0</v>
      </c>
      <c r="E4932" s="1" t="b">
        <v>0</v>
      </c>
      <c r="F4932" s="1" t="s">
        <v>18677</v>
      </c>
    </row>
    <row r="4933">
      <c r="A4933" s="1">
        <v>50041.0</v>
      </c>
      <c r="B4933" s="1">
        <v>17466.0</v>
      </c>
      <c r="C4933" s="1">
        <v>1.619790588E9</v>
      </c>
      <c r="D4933" s="1">
        <v>4.0</v>
      </c>
      <c r="E4933" s="1" t="b">
        <v>0</v>
      </c>
      <c r="F4933" s="1" t="s">
        <v>18678</v>
      </c>
    </row>
    <row r="4934">
      <c r="A4934" s="1">
        <v>50041.0</v>
      </c>
      <c r="B4934" s="1">
        <v>17570.0</v>
      </c>
      <c r="C4934" s="1">
        <v>1.62022753E9</v>
      </c>
      <c r="D4934" s="1">
        <v>4.0</v>
      </c>
      <c r="E4934" s="1" t="b">
        <v>0</v>
      </c>
      <c r="F4934" s="1" t="s">
        <v>18679</v>
      </c>
    </row>
    <row r="4935">
      <c r="A4935" s="1">
        <v>50041.0</v>
      </c>
      <c r="B4935" s="1">
        <v>9294.0</v>
      </c>
      <c r="C4935" s="1">
        <v>1.620555023E9</v>
      </c>
      <c r="D4935" s="1">
        <v>4.0</v>
      </c>
      <c r="E4935" s="1" t="b">
        <v>0</v>
      </c>
      <c r="F4935" s="1" t="s">
        <v>14266</v>
      </c>
    </row>
    <row r="4936">
      <c r="A4936" s="1">
        <v>50041.0</v>
      </c>
      <c r="B4936" s="1">
        <v>17490.0</v>
      </c>
      <c r="C4936" s="1">
        <v>1.619927318E9</v>
      </c>
      <c r="D4936" s="1">
        <v>4.0</v>
      </c>
      <c r="E4936" s="1" t="b">
        <v>0</v>
      </c>
      <c r="F4936" s="1" t="s">
        <v>18680</v>
      </c>
    </row>
    <row r="4937">
      <c r="A4937" s="1">
        <v>50041.0</v>
      </c>
      <c r="B4937" s="1">
        <v>18228.0</v>
      </c>
      <c r="C4937" s="1">
        <v>1.621245305E9</v>
      </c>
      <c r="D4937" s="1">
        <v>4.0</v>
      </c>
      <c r="E4937" s="1" t="b">
        <v>0</v>
      </c>
      <c r="F4937" s="1" t="s">
        <v>18681</v>
      </c>
    </row>
    <row r="4938">
      <c r="A4938" s="1">
        <v>50041.0</v>
      </c>
      <c r="B4938" s="1">
        <v>18233.0</v>
      </c>
      <c r="C4938" s="1">
        <v>1.621334812E9</v>
      </c>
      <c r="D4938" s="1">
        <v>4.0</v>
      </c>
      <c r="E4938" s="1" t="b">
        <v>0</v>
      </c>
      <c r="F4938" s="1" t="s">
        <v>18682</v>
      </c>
    </row>
    <row r="4939">
      <c r="A4939" s="1">
        <v>50041.0</v>
      </c>
      <c r="B4939" s="1">
        <v>18596.0</v>
      </c>
      <c r="C4939" s="1">
        <v>1.622010389E9</v>
      </c>
      <c r="D4939" s="1">
        <v>4.0</v>
      </c>
      <c r="E4939" s="1" t="b">
        <v>0</v>
      </c>
      <c r="F4939" s="1" t="s">
        <v>18683</v>
      </c>
    </row>
    <row r="4940">
      <c r="A4940" s="1">
        <v>50041.0</v>
      </c>
      <c r="B4940" s="1">
        <v>18509.0</v>
      </c>
      <c r="C4940" s="1">
        <v>1.62167036E9</v>
      </c>
      <c r="D4940" s="1">
        <v>4.0</v>
      </c>
      <c r="E4940" s="1" t="b">
        <v>0</v>
      </c>
      <c r="F4940" s="1" t="s">
        <v>18684</v>
      </c>
    </row>
    <row r="4941">
      <c r="A4941" s="1">
        <v>50041.0</v>
      </c>
      <c r="B4941" s="1">
        <v>620.0</v>
      </c>
      <c r="C4941" s="1">
        <v>1.620440559E9</v>
      </c>
      <c r="D4941" s="1">
        <v>4.0</v>
      </c>
      <c r="E4941" s="1" t="b">
        <v>0</v>
      </c>
      <c r="F4941" s="1" t="s">
        <v>14214</v>
      </c>
    </row>
    <row r="4942">
      <c r="A4942" s="1">
        <v>50041.0</v>
      </c>
      <c r="B4942" s="1">
        <v>18298.0</v>
      </c>
      <c r="C4942" s="1">
        <v>1.621331759E9</v>
      </c>
      <c r="D4942" s="1">
        <v>4.0</v>
      </c>
      <c r="E4942" s="1" t="b">
        <v>0</v>
      </c>
      <c r="F4942" s="1" t="s">
        <v>18685</v>
      </c>
    </row>
    <row r="4943">
      <c r="A4943" s="1">
        <v>50041.0</v>
      </c>
      <c r="B4943" s="1">
        <v>15563.0</v>
      </c>
      <c r="C4943" s="1">
        <v>1.620471862E9</v>
      </c>
      <c r="D4943" s="1">
        <v>4.0</v>
      </c>
      <c r="E4943" s="1" t="b">
        <v>0</v>
      </c>
      <c r="F4943" s="1" t="s">
        <v>14005</v>
      </c>
    </row>
    <row r="4944">
      <c r="A4944" s="1">
        <v>50041.0</v>
      </c>
      <c r="B4944" s="1">
        <v>19424.0</v>
      </c>
      <c r="C4944" s="1">
        <v>1.622702681E9</v>
      </c>
      <c r="D4944" s="1">
        <v>4.0</v>
      </c>
      <c r="E4944" s="1" t="b">
        <v>0</v>
      </c>
      <c r="F4944" s="1" t="s">
        <v>18686</v>
      </c>
    </row>
    <row r="4945">
      <c r="A4945" s="1">
        <v>50041.0</v>
      </c>
      <c r="B4945" s="1">
        <v>6163.0</v>
      </c>
      <c r="C4945" s="1">
        <v>1.62041672E9</v>
      </c>
      <c r="D4945" s="1">
        <v>4.0</v>
      </c>
      <c r="E4945" s="1" t="b">
        <v>0</v>
      </c>
      <c r="F4945" s="1" t="s">
        <v>15904</v>
      </c>
    </row>
    <row r="4946">
      <c r="A4946" s="1">
        <v>50041.0</v>
      </c>
      <c r="B4946" s="1">
        <v>17472.0</v>
      </c>
      <c r="C4946" s="1">
        <v>1.619841504E9</v>
      </c>
      <c r="D4946" s="1">
        <v>4.0</v>
      </c>
      <c r="E4946" s="1" t="b">
        <v>0</v>
      </c>
      <c r="F4946" s="1" t="s">
        <v>18687</v>
      </c>
    </row>
    <row r="4947">
      <c r="A4947" s="1">
        <v>50041.0</v>
      </c>
      <c r="B4947" s="1">
        <v>17552.0</v>
      </c>
      <c r="C4947" s="1">
        <v>1.620206152E9</v>
      </c>
      <c r="D4947" s="1">
        <v>4.0</v>
      </c>
      <c r="E4947" s="1" t="b">
        <v>0</v>
      </c>
      <c r="F4947" s="1" t="s">
        <v>18688</v>
      </c>
    </row>
    <row r="4948">
      <c r="A4948" s="1">
        <v>50041.0</v>
      </c>
      <c r="B4948" s="1">
        <v>17567.0</v>
      </c>
      <c r="C4948" s="1">
        <v>1.620215952E9</v>
      </c>
      <c r="D4948" s="1">
        <v>4.0</v>
      </c>
      <c r="E4948" s="1" t="b">
        <v>0</v>
      </c>
      <c r="F4948" s="1" t="s">
        <v>18689</v>
      </c>
    </row>
    <row r="4949">
      <c r="A4949" s="1">
        <v>50041.0</v>
      </c>
      <c r="B4949" s="1">
        <v>17463.0</v>
      </c>
      <c r="C4949" s="1">
        <v>1.619780284E9</v>
      </c>
      <c r="D4949" s="1">
        <v>4.0</v>
      </c>
      <c r="E4949" s="1" t="b">
        <v>0</v>
      </c>
      <c r="F4949" s="1" t="s">
        <v>18690</v>
      </c>
    </row>
    <row r="4950">
      <c r="A4950" s="1">
        <v>50041.0</v>
      </c>
      <c r="B4950" s="1">
        <v>18408.0</v>
      </c>
      <c r="C4950" s="1">
        <v>1.621528929E9</v>
      </c>
      <c r="D4950" s="1">
        <v>4.0</v>
      </c>
      <c r="E4950" s="1" t="b">
        <v>0</v>
      </c>
      <c r="F4950" s="1" t="s">
        <v>18691</v>
      </c>
    </row>
    <row r="4951">
      <c r="A4951" s="1">
        <v>50041.0</v>
      </c>
      <c r="B4951" s="1">
        <v>18300.0</v>
      </c>
      <c r="C4951" s="1">
        <v>1.621333412E9</v>
      </c>
      <c r="D4951" s="1">
        <v>4.0</v>
      </c>
      <c r="E4951" s="1" t="b">
        <v>0</v>
      </c>
      <c r="F4951" s="1" t="s">
        <v>18692</v>
      </c>
    </row>
    <row r="4952">
      <c r="A4952" s="1">
        <v>50041.0</v>
      </c>
      <c r="B4952" s="1">
        <v>19340.0</v>
      </c>
      <c r="C4952" s="1">
        <v>1.623123587E9</v>
      </c>
      <c r="D4952" s="1">
        <v>4.0</v>
      </c>
      <c r="E4952" s="1" t="b">
        <v>0</v>
      </c>
      <c r="F4952" s="1" t="s">
        <v>18693</v>
      </c>
    </row>
    <row r="4953">
      <c r="A4953" s="1">
        <v>50041.0</v>
      </c>
      <c r="B4953" s="1">
        <v>17464.0</v>
      </c>
      <c r="C4953" s="1">
        <v>1.619781155E9</v>
      </c>
      <c r="D4953" s="1">
        <v>4.0</v>
      </c>
      <c r="E4953" s="1" t="b">
        <v>0</v>
      </c>
      <c r="F4953" s="1" t="s">
        <v>18694</v>
      </c>
    </row>
    <row r="4954">
      <c r="A4954" s="1">
        <v>50041.0</v>
      </c>
      <c r="B4954" s="1">
        <v>17787.0</v>
      </c>
      <c r="C4954" s="1">
        <v>1.62053179E9</v>
      </c>
      <c r="D4954" s="1">
        <v>4.0</v>
      </c>
      <c r="E4954" s="1" t="b">
        <v>0</v>
      </c>
      <c r="F4954" s="1" t="s">
        <v>18695</v>
      </c>
    </row>
    <row r="4955">
      <c r="A4955" s="1">
        <v>50041.0</v>
      </c>
      <c r="B4955" s="1">
        <v>16450.0</v>
      </c>
      <c r="C4955" s="1">
        <v>1.618653784E9</v>
      </c>
      <c r="D4955" s="1">
        <v>4.0</v>
      </c>
      <c r="E4955" s="1" t="b">
        <v>0</v>
      </c>
      <c r="F4955" s="1" t="s">
        <v>18067</v>
      </c>
      <c r="G4955" s="1" t="b">
        <v>1</v>
      </c>
    </row>
    <row r="4956">
      <c r="A4956" s="1">
        <v>50043.0</v>
      </c>
      <c r="B4956" s="1">
        <v>19047.0</v>
      </c>
      <c r="C4956" s="1">
        <v>1.622356658E9</v>
      </c>
      <c r="D4956" s="1">
        <v>4.0</v>
      </c>
      <c r="E4956" s="1" t="b">
        <v>0</v>
      </c>
      <c r="F4956" s="1" t="s">
        <v>18696</v>
      </c>
    </row>
    <row r="4957">
      <c r="A4957" s="1">
        <v>50043.0</v>
      </c>
      <c r="B4957" s="1">
        <v>19970.0</v>
      </c>
      <c r="C4957" s="1">
        <v>1.623572464E9</v>
      </c>
      <c r="D4957" s="1">
        <v>4.0</v>
      </c>
      <c r="E4957" s="1" t="b">
        <v>0</v>
      </c>
      <c r="F4957" s="1" t="s">
        <v>18697</v>
      </c>
    </row>
    <row r="4958">
      <c r="A4958" s="1">
        <v>50043.0</v>
      </c>
      <c r="B4958" s="1">
        <v>19157.0</v>
      </c>
      <c r="C4958" s="1">
        <v>1.622448563E9</v>
      </c>
      <c r="D4958" s="1">
        <v>4.0</v>
      </c>
      <c r="E4958" s="1" t="b">
        <v>0</v>
      </c>
      <c r="F4958" s="1" t="s">
        <v>18698</v>
      </c>
    </row>
    <row r="4959">
      <c r="A4959" s="1">
        <v>50043.0</v>
      </c>
      <c r="B4959" s="1">
        <v>19026.0</v>
      </c>
      <c r="C4959" s="1">
        <v>1.62228444E9</v>
      </c>
      <c r="D4959" s="1">
        <v>4.0</v>
      </c>
      <c r="E4959" s="1" t="b">
        <v>0</v>
      </c>
      <c r="F4959" s="1" t="s">
        <v>18699</v>
      </c>
    </row>
    <row r="4960">
      <c r="A4960" s="1">
        <v>50043.0</v>
      </c>
      <c r="B4960" s="1">
        <v>19431.0</v>
      </c>
      <c r="C4960" s="1">
        <v>1.622706697E9</v>
      </c>
      <c r="D4960" s="1">
        <v>4.0</v>
      </c>
      <c r="E4960" s="1" t="b">
        <v>0</v>
      </c>
      <c r="F4960" s="1" t="s">
        <v>18700</v>
      </c>
    </row>
    <row r="4961">
      <c r="A4961" s="1">
        <v>50043.0</v>
      </c>
      <c r="B4961" s="1">
        <v>20348.0</v>
      </c>
      <c r="C4961" s="1">
        <v>1.624183086E9</v>
      </c>
      <c r="D4961" s="1">
        <v>4.0</v>
      </c>
      <c r="E4961" s="1" t="b">
        <v>0</v>
      </c>
      <c r="F4961" s="1" t="s">
        <v>18701</v>
      </c>
    </row>
    <row r="4962">
      <c r="A4962" s="1">
        <v>50043.0</v>
      </c>
      <c r="B4962" s="1">
        <v>20396.0</v>
      </c>
      <c r="C4962" s="1">
        <v>1.624291284E9</v>
      </c>
      <c r="D4962" s="1">
        <v>4.0</v>
      </c>
      <c r="E4962" s="1" t="b">
        <v>0</v>
      </c>
      <c r="F4962" s="1" t="s">
        <v>18702</v>
      </c>
    </row>
    <row r="4963">
      <c r="A4963" s="1">
        <v>50043.0</v>
      </c>
      <c r="B4963" s="1">
        <v>19441.0</v>
      </c>
      <c r="C4963" s="1">
        <v>1.622716519E9</v>
      </c>
      <c r="D4963" s="1">
        <v>4.0</v>
      </c>
      <c r="E4963" s="1" t="b">
        <v>0</v>
      </c>
      <c r="F4963" s="1" t="s">
        <v>15677</v>
      </c>
    </row>
    <row r="4964">
      <c r="A4964" s="1">
        <v>50043.0</v>
      </c>
      <c r="B4964" s="1">
        <v>19056.0</v>
      </c>
      <c r="C4964" s="1">
        <v>1.622343247E9</v>
      </c>
      <c r="D4964" s="1">
        <v>4.0</v>
      </c>
      <c r="E4964" s="1" t="b">
        <v>0</v>
      </c>
      <c r="F4964" s="1" t="s">
        <v>18703</v>
      </c>
    </row>
    <row r="4965">
      <c r="A4965" s="1">
        <v>50043.0</v>
      </c>
      <c r="B4965" s="1">
        <v>20438.0</v>
      </c>
      <c r="C4965" s="1">
        <v>1.624365424E9</v>
      </c>
      <c r="D4965" s="1">
        <v>4.0</v>
      </c>
      <c r="E4965" s="1" t="b">
        <v>0</v>
      </c>
      <c r="F4965" s="1" t="s">
        <v>18704</v>
      </c>
    </row>
    <row r="4966">
      <c r="A4966" s="1">
        <v>50043.0</v>
      </c>
      <c r="B4966" s="1">
        <v>18541.0</v>
      </c>
      <c r="C4966" s="1">
        <v>1.621690493E9</v>
      </c>
      <c r="D4966" s="1">
        <v>4.0</v>
      </c>
      <c r="E4966" s="1" t="b">
        <v>0</v>
      </c>
      <c r="F4966" s="1" t="s">
        <v>18705</v>
      </c>
    </row>
    <row r="4967">
      <c r="A4967" s="1">
        <v>50043.0</v>
      </c>
      <c r="B4967" s="1">
        <v>19531.0</v>
      </c>
      <c r="C4967" s="1">
        <v>1.62297122E9</v>
      </c>
      <c r="D4967" s="1">
        <v>4.0</v>
      </c>
      <c r="E4967" s="1" t="b">
        <v>0</v>
      </c>
      <c r="F4967" s="1" t="s">
        <v>18706</v>
      </c>
    </row>
    <row r="4968">
      <c r="A4968" s="1">
        <v>50043.0</v>
      </c>
      <c r="B4968" s="1">
        <v>19892.0</v>
      </c>
      <c r="C4968" s="1">
        <v>1.62342946E9</v>
      </c>
      <c r="D4968" s="1">
        <v>4.0</v>
      </c>
      <c r="E4968" s="1" t="b">
        <v>0</v>
      </c>
      <c r="F4968" s="1" t="s">
        <v>18707</v>
      </c>
    </row>
    <row r="4969">
      <c r="A4969" s="1">
        <v>50043.0</v>
      </c>
      <c r="B4969" s="1">
        <v>19989.0</v>
      </c>
      <c r="C4969" s="1">
        <v>1.623597596E9</v>
      </c>
      <c r="D4969" s="1">
        <v>4.0</v>
      </c>
      <c r="E4969" s="1" t="b">
        <v>0</v>
      </c>
      <c r="F4969" s="1" t="s">
        <v>18708</v>
      </c>
    </row>
    <row r="4970">
      <c r="A4970" s="1">
        <v>50043.0</v>
      </c>
      <c r="B4970" s="1">
        <v>17842.0</v>
      </c>
      <c r="C4970" s="1">
        <v>1.620578597E9</v>
      </c>
      <c r="D4970" s="1">
        <v>1.0</v>
      </c>
      <c r="E4970" s="1" t="b">
        <v>1</v>
      </c>
      <c r="F4970" s="1" t="s">
        <v>18709</v>
      </c>
    </row>
    <row r="4971">
      <c r="A4971" s="1">
        <v>50043.0</v>
      </c>
      <c r="B4971" s="1">
        <v>19304.0</v>
      </c>
      <c r="C4971" s="1">
        <v>1.622575111E9</v>
      </c>
      <c r="D4971" s="1">
        <v>4.0</v>
      </c>
      <c r="E4971" s="1" t="b">
        <v>0</v>
      </c>
      <c r="F4971" s="1" t="s">
        <v>18710</v>
      </c>
    </row>
    <row r="4972">
      <c r="A4972" s="1">
        <v>50043.0</v>
      </c>
      <c r="B4972" s="1">
        <v>16450.0</v>
      </c>
      <c r="C4972" s="1">
        <v>1.618727387E9</v>
      </c>
      <c r="D4972" s="1">
        <v>4.0</v>
      </c>
      <c r="E4972" s="1" t="b">
        <v>0</v>
      </c>
      <c r="F4972" s="1" t="s">
        <v>18067</v>
      </c>
      <c r="G4972" s="1" t="b">
        <v>1</v>
      </c>
    </row>
    <row r="4973">
      <c r="A4973" s="1">
        <v>50043.0</v>
      </c>
      <c r="B4973" s="1">
        <v>17692.0</v>
      </c>
      <c r="C4973" s="1">
        <v>1.62041841E9</v>
      </c>
      <c r="D4973" s="1">
        <v>4.0</v>
      </c>
      <c r="E4973" s="1" t="b">
        <v>0</v>
      </c>
      <c r="F4973" s="1" t="s">
        <v>18338</v>
      </c>
    </row>
    <row r="4974">
      <c r="A4974" s="1">
        <v>50043.0</v>
      </c>
      <c r="B4974" s="1">
        <v>19865.0</v>
      </c>
      <c r="C4974" s="1">
        <v>1.623409011E9</v>
      </c>
      <c r="D4974" s="1">
        <v>4.0</v>
      </c>
      <c r="E4974" s="1" t="b">
        <v>0</v>
      </c>
      <c r="F4974" s="1" t="s">
        <v>18711</v>
      </c>
    </row>
    <row r="4975">
      <c r="A4975" s="1">
        <v>50043.0</v>
      </c>
      <c r="B4975" s="1">
        <v>20048.0</v>
      </c>
      <c r="C4975" s="1">
        <v>1.623683666E9</v>
      </c>
      <c r="D4975" s="1">
        <v>4.0</v>
      </c>
      <c r="E4975" s="1" t="b">
        <v>0</v>
      </c>
      <c r="F4975" s="1" t="s">
        <v>16110</v>
      </c>
    </row>
    <row r="4976">
      <c r="A4976" s="1">
        <v>50043.0</v>
      </c>
      <c r="B4976" s="1">
        <v>20151.0</v>
      </c>
      <c r="C4976" s="1">
        <v>1.623838552E9</v>
      </c>
      <c r="D4976" s="1">
        <v>4.0</v>
      </c>
      <c r="E4976" s="1" t="b">
        <v>0</v>
      </c>
      <c r="F4976" s="1" t="s">
        <v>18712</v>
      </c>
    </row>
    <row r="4977">
      <c r="A4977" s="1">
        <v>50043.0</v>
      </c>
      <c r="B4977" s="1">
        <v>16659.0</v>
      </c>
      <c r="C4977" s="1">
        <v>1.618665192E9</v>
      </c>
      <c r="D4977" s="1">
        <v>1.0</v>
      </c>
      <c r="E4977" s="1" t="b">
        <v>0</v>
      </c>
      <c r="F4977" s="1" t="s">
        <v>18713</v>
      </c>
      <c r="G4977" s="1" t="b">
        <v>1</v>
      </c>
    </row>
    <row r="4978">
      <c r="A4978" s="1">
        <v>50043.0</v>
      </c>
      <c r="B4978" s="1">
        <v>18813.0</v>
      </c>
      <c r="C4978" s="1">
        <v>1.622025E9</v>
      </c>
      <c r="D4978" s="1">
        <v>4.0</v>
      </c>
      <c r="E4978" s="1" t="b">
        <v>0</v>
      </c>
      <c r="F4978" s="1" t="s">
        <v>18714</v>
      </c>
    </row>
    <row r="4979">
      <c r="A4979" s="1">
        <v>50043.0</v>
      </c>
      <c r="B4979" s="1">
        <v>19728.0</v>
      </c>
      <c r="C4979" s="1">
        <v>1.623223451E9</v>
      </c>
      <c r="D4979" s="1">
        <v>4.0</v>
      </c>
      <c r="E4979" s="1" t="b">
        <v>0</v>
      </c>
      <c r="F4979" s="1" t="s">
        <v>18715</v>
      </c>
    </row>
    <row r="4980">
      <c r="A4980" s="1">
        <v>50043.0</v>
      </c>
      <c r="B4980" s="1">
        <v>19287.0</v>
      </c>
      <c r="C4980" s="1">
        <v>1.622562297E9</v>
      </c>
      <c r="D4980" s="1">
        <v>4.0</v>
      </c>
      <c r="E4980" s="1" t="b">
        <v>0</v>
      </c>
      <c r="F4980" s="1" t="s">
        <v>18716</v>
      </c>
    </row>
    <row r="4981">
      <c r="A4981" s="1">
        <v>50043.0</v>
      </c>
      <c r="B4981" s="1">
        <v>19749.0</v>
      </c>
      <c r="C4981" s="1">
        <v>1.623239737E9</v>
      </c>
      <c r="D4981" s="1">
        <v>4.0</v>
      </c>
      <c r="E4981" s="1" t="b">
        <v>0</v>
      </c>
      <c r="F4981" s="1" t="s">
        <v>18717</v>
      </c>
    </row>
    <row r="4982">
      <c r="A4982" s="1">
        <v>50043.0</v>
      </c>
      <c r="B4982" s="1">
        <v>18475.0</v>
      </c>
      <c r="C4982" s="1">
        <v>1.621653295E9</v>
      </c>
      <c r="D4982" s="1">
        <v>4.0</v>
      </c>
      <c r="E4982" s="1" t="b">
        <v>0</v>
      </c>
      <c r="F4982" s="1" t="s">
        <v>18718</v>
      </c>
    </row>
    <row r="4983">
      <c r="A4983" s="1">
        <v>50043.0</v>
      </c>
      <c r="B4983" s="1">
        <v>19913.0</v>
      </c>
      <c r="C4983" s="1">
        <v>1.62347616E9</v>
      </c>
      <c r="D4983" s="1">
        <v>4.0</v>
      </c>
      <c r="E4983" s="1" t="b">
        <v>0</v>
      </c>
      <c r="F4983" s="1" t="s">
        <v>18719</v>
      </c>
    </row>
    <row r="4984">
      <c r="A4984" s="1">
        <v>50043.0</v>
      </c>
      <c r="B4984" s="1">
        <v>18184.0</v>
      </c>
      <c r="C4984" s="1">
        <v>1.621222275E9</v>
      </c>
      <c r="D4984" s="1">
        <v>4.0</v>
      </c>
      <c r="E4984" s="1" t="b">
        <v>0</v>
      </c>
      <c r="F4984" s="1" t="s">
        <v>18720</v>
      </c>
    </row>
    <row r="4985">
      <c r="A4985" s="1">
        <v>50043.0</v>
      </c>
      <c r="B4985" s="1">
        <v>19995.0</v>
      </c>
      <c r="C4985" s="1">
        <v>1.623602473E9</v>
      </c>
      <c r="D4985" s="1">
        <v>4.0</v>
      </c>
      <c r="E4985" s="1" t="b">
        <v>0</v>
      </c>
      <c r="F4985" s="1" t="s">
        <v>18721</v>
      </c>
    </row>
    <row r="4986">
      <c r="A4986" s="1">
        <v>50043.0</v>
      </c>
      <c r="B4986" s="1">
        <v>19073.0</v>
      </c>
      <c r="C4986" s="1">
        <v>1.622356664E9</v>
      </c>
      <c r="D4986" s="1">
        <v>4.0</v>
      </c>
      <c r="E4986" s="1" t="b">
        <v>0</v>
      </c>
      <c r="F4986" s="1" t="s">
        <v>18722</v>
      </c>
    </row>
    <row r="4987">
      <c r="A4987" s="1">
        <v>50043.0</v>
      </c>
      <c r="B4987" s="1">
        <v>19790.0</v>
      </c>
      <c r="C4987" s="1">
        <v>1.623310731E9</v>
      </c>
      <c r="D4987" s="1">
        <v>4.0</v>
      </c>
      <c r="E4987" s="1" t="b">
        <v>0</v>
      </c>
      <c r="F4987" s="1" t="s">
        <v>18723</v>
      </c>
    </row>
    <row r="4988">
      <c r="A4988" s="1">
        <v>50043.0</v>
      </c>
      <c r="B4988" s="1">
        <v>19886.0</v>
      </c>
      <c r="C4988" s="1">
        <v>1.623425807E9</v>
      </c>
      <c r="D4988" s="1">
        <v>4.0</v>
      </c>
      <c r="E4988" s="1" t="b">
        <v>0</v>
      </c>
      <c r="F4988" s="1" t="s">
        <v>18724</v>
      </c>
    </row>
    <row r="4989">
      <c r="A4989" s="1">
        <v>50043.0</v>
      </c>
      <c r="B4989" s="1">
        <v>18514.0</v>
      </c>
      <c r="C4989" s="1">
        <v>1.621707277E9</v>
      </c>
      <c r="D4989" s="1">
        <v>4.0</v>
      </c>
      <c r="E4989" s="1" t="b">
        <v>0</v>
      </c>
      <c r="F4989" s="1" t="s">
        <v>18725</v>
      </c>
    </row>
    <row r="4990">
      <c r="A4990" s="1">
        <v>50043.0</v>
      </c>
      <c r="B4990" s="1">
        <v>19838.0</v>
      </c>
      <c r="C4990" s="1">
        <v>1.623386512E9</v>
      </c>
      <c r="D4990" s="1">
        <v>4.0</v>
      </c>
      <c r="E4990" s="1" t="b">
        <v>0</v>
      </c>
      <c r="F4990" s="1" t="s">
        <v>18726</v>
      </c>
    </row>
    <row r="4991">
      <c r="A4991" s="1">
        <v>50043.0</v>
      </c>
      <c r="B4991" s="1">
        <v>17824.0</v>
      </c>
      <c r="C4991" s="1">
        <v>1.620578609E9</v>
      </c>
      <c r="D4991" s="1">
        <v>4.0</v>
      </c>
      <c r="E4991" s="1" t="b">
        <v>0</v>
      </c>
      <c r="F4991" s="1" t="s">
        <v>18727</v>
      </c>
    </row>
    <row r="4992">
      <c r="A4992" s="1">
        <v>50043.0</v>
      </c>
      <c r="B4992" s="1">
        <v>20053.0</v>
      </c>
      <c r="C4992" s="1">
        <v>1.623687258E9</v>
      </c>
      <c r="D4992" s="1">
        <v>4.0</v>
      </c>
      <c r="E4992" s="1" t="b">
        <v>0</v>
      </c>
      <c r="F4992" s="1" t="s">
        <v>18728</v>
      </c>
    </row>
    <row r="4993">
      <c r="A4993" s="1">
        <v>50043.0</v>
      </c>
      <c r="B4993" s="1">
        <v>18750.0</v>
      </c>
      <c r="C4993" s="1">
        <v>1.621922985E9</v>
      </c>
      <c r="D4993" s="1">
        <v>9.0</v>
      </c>
      <c r="E4993" s="1" t="b">
        <v>0</v>
      </c>
      <c r="F4993" s="1" t="s">
        <v>18729</v>
      </c>
    </row>
    <row r="4994">
      <c r="A4994" s="1">
        <v>50043.0</v>
      </c>
      <c r="B4994" s="1">
        <v>19874.0</v>
      </c>
      <c r="C4994" s="1">
        <v>1.623418654E9</v>
      </c>
      <c r="D4994" s="1">
        <v>4.0</v>
      </c>
      <c r="E4994" s="1" t="b">
        <v>0</v>
      </c>
      <c r="F4994" s="1" t="s">
        <v>18730</v>
      </c>
    </row>
    <row r="4995">
      <c r="A4995" s="1">
        <v>50043.0</v>
      </c>
      <c r="B4995" s="1">
        <v>17572.0</v>
      </c>
      <c r="C4995" s="1">
        <v>1.620225493E9</v>
      </c>
      <c r="D4995" s="1">
        <v>4.0</v>
      </c>
      <c r="E4995" s="1" t="b">
        <v>0</v>
      </c>
      <c r="F4995" s="1" t="s">
        <v>18731</v>
      </c>
    </row>
    <row r="4996">
      <c r="A4996" s="1">
        <v>50043.0</v>
      </c>
      <c r="B4996" s="1">
        <v>19561.0</v>
      </c>
      <c r="C4996" s="1">
        <v>1.623429464E9</v>
      </c>
      <c r="D4996" s="1">
        <v>4.0</v>
      </c>
      <c r="E4996" s="1" t="b">
        <v>0</v>
      </c>
      <c r="F4996" s="1" t="s">
        <v>18732</v>
      </c>
    </row>
    <row r="4997">
      <c r="A4997" s="1">
        <v>50043.0</v>
      </c>
      <c r="B4997" s="1">
        <v>20334.0</v>
      </c>
      <c r="C4997" s="1">
        <v>1.624150353E9</v>
      </c>
      <c r="D4997" s="1">
        <v>4.0</v>
      </c>
      <c r="E4997" s="1" t="b">
        <v>0</v>
      </c>
      <c r="F4997" s="1" t="s">
        <v>18733</v>
      </c>
    </row>
    <row r="4998">
      <c r="A4998" s="1">
        <v>50043.0</v>
      </c>
      <c r="B4998" s="1">
        <v>20412.0</v>
      </c>
      <c r="C4998" s="1">
        <v>1.624326004E9</v>
      </c>
      <c r="D4998" s="1">
        <v>4.0</v>
      </c>
      <c r="E4998" s="1" t="b">
        <v>0</v>
      </c>
      <c r="F4998" s="1" t="s">
        <v>18734</v>
      </c>
    </row>
    <row r="4999">
      <c r="A4999" s="1">
        <v>50043.0</v>
      </c>
      <c r="B4999" s="1">
        <v>19301.0</v>
      </c>
      <c r="C4999" s="1">
        <v>1.62256986E9</v>
      </c>
      <c r="D4999" s="1">
        <v>4.0</v>
      </c>
      <c r="E4999" s="1" t="b">
        <v>0</v>
      </c>
      <c r="F4999" s="1" t="s">
        <v>18735</v>
      </c>
    </row>
    <row r="5000">
      <c r="A5000" s="1">
        <v>50043.0</v>
      </c>
      <c r="B5000" s="1">
        <v>19159.0</v>
      </c>
      <c r="C5000" s="1">
        <v>1.622455051E9</v>
      </c>
      <c r="D5000" s="1">
        <v>4.0</v>
      </c>
      <c r="E5000" s="1" t="b">
        <v>0</v>
      </c>
      <c r="F5000" s="1" t="s">
        <v>18736</v>
      </c>
    </row>
    <row r="5001">
      <c r="A5001" s="1">
        <v>50043.0</v>
      </c>
      <c r="B5001" s="1">
        <v>20331.0</v>
      </c>
      <c r="C5001" s="1">
        <v>1.624129649E9</v>
      </c>
      <c r="D5001" s="1">
        <v>4.0</v>
      </c>
      <c r="E5001" s="1" t="b">
        <v>0</v>
      </c>
      <c r="F5001" s="1" t="s">
        <v>18737</v>
      </c>
    </row>
    <row r="5002">
      <c r="A5002" s="1">
        <v>50043.0</v>
      </c>
      <c r="B5002" s="1">
        <v>18900.0</v>
      </c>
      <c r="C5002" s="1">
        <v>1.622113901E9</v>
      </c>
      <c r="D5002" s="1">
        <v>4.0</v>
      </c>
      <c r="E5002" s="1" t="b">
        <v>0</v>
      </c>
      <c r="F5002" s="1" t="s">
        <v>18738</v>
      </c>
    </row>
    <row r="5003">
      <c r="A5003" s="1">
        <v>50043.0</v>
      </c>
      <c r="B5003" s="1">
        <v>20485.0</v>
      </c>
      <c r="C5003" s="1">
        <v>0.0</v>
      </c>
      <c r="D5003" s="1">
        <v>4.0</v>
      </c>
      <c r="E5003" s="1" t="b">
        <v>0</v>
      </c>
      <c r="F5003" s="1" t="s">
        <v>18703</v>
      </c>
    </row>
    <row r="5004">
      <c r="A5004" s="1">
        <v>50043.0</v>
      </c>
      <c r="B5004" s="1">
        <v>19188.0</v>
      </c>
      <c r="C5004" s="1">
        <v>1.622465705E9</v>
      </c>
      <c r="D5004" s="1">
        <v>4.0</v>
      </c>
      <c r="E5004" s="1" t="b">
        <v>0</v>
      </c>
      <c r="F5004" s="1" t="s">
        <v>18739</v>
      </c>
    </row>
    <row r="5005">
      <c r="A5005" s="1">
        <v>50043.0</v>
      </c>
      <c r="B5005" s="1">
        <v>17807.0</v>
      </c>
      <c r="C5005" s="1">
        <v>1.620543375E9</v>
      </c>
      <c r="D5005" s="1">
        <v>9.0</v>
      </c>
      <c r="E5005" s="1" t="b">
        <v>0</v>
      </c>
      <c r="F5005" s="1" t="s">
        <v>18740</v>
      </c>
    </row>
    <row r="5006">
      <c r="A5006" s="1">
        <v>50043.0</v>
      </c>
      <c r="B5006" s="1">
        <v>19346.0</v>
      </c>
      <c r="C5006" s="1">
        <v>1.624089685E9</v>
      </c>
      <c r="D5006" s="1">
        <v>4.0</v>
      </c>
      <c r="E5006" s="1" t="b">
        <v>0</v>
      </c>
      <c r="F5006" s="1" t="s">
        <v>18741</v>
      </c>
    </row>
    <row r="5007">
      <c r="A5007" s="1">
        <v>50043.0</v>
      </c>
      <c r="B5007" s="1">
        <v>19958.0</v>
      </c>
      <c r="C5007" s="1">
        <v>1.623558807E9</v>
      </c>
      <c r="D5007" s="1">
        <v>4.0</v>
      </c>
      <c r="E5007" s="1" t="b">
        <v>0</v>
      </c>
      <c r="F5007" s="1" t="s">
        <v>18742</v>
      </c>
    </row>
    <row r="5008">
      <c r="A5008" s="1">
        <v>50043.0</v>
      </c>
      <c r="B5008" s="1">
        <v>19911.0</v>
      </c>
      <c r="C5008" s="1">
        <v>1.623472439E9</v>
      </c>
      <c r="D5008" s="1">
        <v>4.0</v>
      </c>
      <c r="E5008" s="1" t="b">
        <v>0</v>
      </c>
      <c r="F5008" s="1" t="s">
        <v>18743</v>
      </c>
    </row>
    <row r="5009">
      <c r="A5009" s="1">
        <v>50043.0</v>
      </c>
      <c r="B5009" s="1">
        <v>19116.0</v>
      </c>
      <c r="C5009" s="1">
        <v>1.622395686E9</v>
      </c>
      <c r="D5009" s="1">
        <v>4.0</v>
      </c>
      <c r="E5009" s="1" t="b">
        <v>0</v>
      </c>
      <c r="F5009" s="1" t="s">
        <v>18744</v>
      </c>
    </row>
    <row r="5010">
      <c r="A5010" s="1">
        <v>50043.0</v>
      </c>
      <c r="B5010" s="1">
        <v>6938.0</v>
      </c>
      <c r="C5010" s="1">
        <v>1.623573694E9</v>
      </c>
      <c r="D5010" s="1">
        <v>4.0</v>
      </c>
      <c r="E5010" s="1" t="b">
        <v>0</v>
      </c>
      <c r="F5010" s="1" t="s">
        <v>18745</v>
      </c>
    </row>
    <row r="5011">
      <c r="A5011" s="1">
        <v>50043.0</v>
      </c>
      <c r="B5011" s="1">
        <v>19906.0</v>
      </c>
      <c r="C5011" s="1">
        <v>1.623451426E9</v>
      </c>
      <c r="D5011" s="1">
        <v>4.0</v>
      </c>
      <c r="E5011" s="1" t="b">
        <v>0</v>
      </c>
      <c r="F5011" s="1" t="s">
        <v>18746</v>
      </c>
    </row>
    <row r="5012">
      <c r="A5012" s="1">
        <v>50043.0</v>
      </c>
      <c r="B5012" s="1">
        <v>19313.0</v>
      </c>
      <c r="C5012" s="1">
        <v>1.622601572E9</v>
      </c>
      <c r="D5012" s="1">
        <v>4.0</v>
      </c>
      <c r="E5012" s="1" t="b">
        <v>0</v>
      </c>
      <c r="F5012" s="1" t="s">
        <v>16713</v>
      </c>
    </row>
    <row r="5013">
      <c r="A5013" s="1">
        <v>50043.0</v>
      </c>
      <c r="B5013" s="1">
        <v>18103.0</v>
      </c>
      <c r="C5013" s="1">
        <v>1.62113856E9</v>
      </c>
      <c r="D5013" s="1">
        <v>4.0</v>
      </c>
      <c r="E5013" s="1" t="b">
        <v>0</v>
      </c>
      <c r="F5013" s="1" t="s">
        <v>18747</v>
      </c>
    </row>
    <row r="5014">
      <c r="A5014" s="1">
        <v>50043.0</v>
      </c>
      <c r="B5014" s="1">
        <v>19560.0</v>
      </c>
      <c r="C5014" s="1">
        <v>1.622988086E9</v>
      </c>
      <c r="D5014" s="1">
        <v>4.0</v>
      </c>
      <c r="E5014" s="1" t="b">
        <v>0</v>
      </c>
      <c r="F5014" s="1" t="s">
        <v>18748</v>
      </c>
    </row>
    <row r="5015">
      <c r="A5015" s="1">
        <v>50043.0</v>
      </c>
      <c r="B5015" s="1">
        <v>19182.0</v>
      </c>
      <c r="C5015" s="1">
        <v>1.622461605E9</v>
      </c>
      <c r="D5015" s="1">
        <v>4.0</v>
      </c>
      <c r="E5015" s="1" t="b">
        <v>0</v>
      </c>
      <c r="F5015" s="1" t="s">
        <v>18749</v>
      </c>
    </row>
    <row r="5016">
      <c r="A5016" s="1">
        <v>50043.0</v>
      </c>
      <c r="B5016" s="1">
        <v>18528.0</v>
      </c>
      <c r="C5016" s="1">
        <v>1.621683807E9</v>
      </c>
      <c r="D5016" s="1">
        <v>4.0</v>
      </c>
      <c r="E5016" s="1" t="b">
        <v>0</v>
      </c>
      <c r="F5016" s="1" t="s">
        <v>18750</v>
      </c>
    </row>
    <row r="5017">
      <c r="A5017" s="1">
        <v>50043.0</v>
      </c>
      <c r="B5017" s="1">
        <v>19987.0</v>
      </c>
      <c r="C5017" s="1">
        <v>1.623596975E9</v>
      </c>
      <c r="D5017" s="1">
        <v>4.0</v>
      </c>
      <c r="E5017" s="1" t="b">
        <v>0</v>
      </c>
      <c r="F5017" s="1" t="s">
        <v>18751</v>
      </c>
    </row>
    <row r="5018">
      <c r="A5018" s="1">
        <v>50044.0</v>
      </c>
      <c r="B5018" s="1">
        <v>17710.0</v>
      </c>
      <c r="C5018" s="1">
        <v>1.620460856E9</v>
      </c>
      <c r="D5018" s="1">
        <v>4.0</v>
      </c>
      <c r="E5018" s="1" t="b">
        <v>0</v>
      </c>
      <c r="F5018" s="1" t="s">
        <v>18752</v>
      </c>
    </row>
    <row r="5019">
      <c r="A5019" s="1">
        <v>50044.0</v>
      </c>
      <c r="B5019" s="1">
        <v>18936.0</v>
      </c>
      <c r="C5019" s="1">
        <v>1.622179178E9</v>
      </c>
      <c r="D5019" s="1">
        <v>4.0</v>
      </c>
      <c r="E5019" s="1" t="b">
        <v>0</v>
      </c>
      <c r="F5019" s="1" t="s">
        <v>18753</v>
      </c>
    </row>
    <row r="5020">
      <c r="A5020" s="1">
        <v>50044.0</v>
      </c>
      <c r="B5020" s="1">
        <v>19745.0</v>
      </c>
      <c r="C5020" s="1">
        <v>1.623238879E9</v>
      </c>
      <c r="D5020" s="1">
        <v>4.0</v>
      </c>
      <c r="E5020" s="1" t="b">
        <v>0</v>
      </c>
      <c r="F5020" s="1" t="s">
        <v>18754</v>
      </c>
    </row>
    <row r="5021">
      <c r="A5021" s="1">
        <v>50044.0</v>
      </c>
      <c r="B5021" s="1">
        <v>19183.0</v>
      </c>
      <c r="C5021" s="1">
        <v>1.622461745E9</v>
      </c>
      <c r="D5021" s="1">
        <v>4.0</v>
      </c>
      <c r="E5021" s="1" t="b">
        <v>0</v>
      </c>
      <c r="F5021" s="1" t="s">
        <v>18755</v>
      </c>
    </row>
    <row r="5022">
      <c r="A5022" s="1">
        <v>50044.0</v>
      </c>
      <c r="B5022" s="1">
        <v>20011.0</v>
      </c>
      <c r="C5022" s="1">
        <v>1.623637103E9</v>
      </c>
      <c r="D5022" s="1">
        <v>4.0</v>
      </c>
      <c r="E5022" s="1" t="b">
        <v>0</v>
      </c>
      <c r="F5022" s="1" t="s">
        <v>18756</v>
      </c>
    </row>
    <row r="5023">
      <c r="A5023" s="1">
        <v>50044.0</v>
      </c>
      <c r="B5023" s="1">
        <v>18643.0</v>
      </c>
      <c r="C5023" s="1">
        <v>1.621795709E9</v>
      </c>
      <c r="D5023" s="1">
        <v>4.0</v>
      </c>
      <c r="E5023" s="1" t="b">
        <v>0</v>
      </c>
      <c r="F5023" s="1" t="s">
        <v>18757</v>
      </c>
    </row>
    <row r="5024">
      <c r="A5024" s="1">
        <v>50044.0</v>
      </c>
      <c r="B5024" s="1">
        <v>19568.0</v>
      </c>
      <c r="C5024" s="1">
        <v>1.62299268E9</v>
      </c>
      <c r="D5024" s="1">
        <v>4.0</v>
      </c>
      <c r="E5024" s="1" t="b">
        <v>0</v>
      </c>
      <c r="F5024" s="1" t="s">
        <v>18758</v>
      </c>
    </row>
    <row r="5025">
      <c r="A5025" s="1">
        <v>50044.0</v>
      </c>
      <c r="B5025" s="1">
        <v>20323.0</v>
      </c>
      <c r="C5025" s="1">
        <v>1.624118487E9</v>
      </c>
      <c r="D5025" s="1">
        <v>4.0</v>
      </c>
      <c r="E5025" s="1" t="b">
        <v>0</v>
      </c>
      <c r="F5025" s="1" t="s">
        <v>18759</v>
      </c>
    </row>
    <row r="5026">
      <c r="A5026" s="1">
        <v>50044.0</v>
      </c>
      <c r="B5026" s="1">
        <v>19102.0</v>
      </c>
      <c r="C5026" s="1">
        <v>1.622377212E9</v>
      </c>
      <c r="D5026" s="1">
        <v>4.0</v>
      </c>
      <c r="E5026" s="1" t="b">
        <v>0</v>
      </c>
      <c r="F5026" s="1" t="s">
        <v>18760</v>
      </c>
    </row>
    <row r="5027">
      <c r="A5027" s="1">
        <v>50044.0</v>
      </c>
      <c r="B5027" s="1">
        <v>19891.0</v>
      </c>
      <c r="C5027" s="1">
        <v>1.623428184E9</v>
      </c>
      <c r="D5027" s="1">
        <v>4.0</v>
      </c>
      <c r="E5027" s="1" t="b">
        <v>0</v>
      </c>
      <c r="F5027" s="1" t="s">
        <v>18761</v>
      </c>
    </row>
    <row r="5028">
      <c r="A5028" s="1">
        <v>50044.0</v>
      </c>
      <c r="B5028" s="1">
        <v>18289.0</v>
      </c>
      <c r="C5028" s="1">
        <v>1.621325277E9</v>
      </c>
      <c r="D5028" s="1">
        <v>4.0</v>
      </c>
      <c r="E5028" s="1" t="b">
        <v>0</v>
      </c>
      <c r="F5028" s="1" t="s">
        <v>18762</v>
      </c>
    </row>
    <row r="5029">
      <c r="A5029" s="1">
        <v>50044.0</v>
      </c>
      <c r="B5029" s="1">
        <v>16634.0</v>
      </c>
      <c r="C5029" s="1">
        <v>1.621266696E9</v>
      </c>
      <c r="D5029" s="1">
        <v>4.0</v>
      </c>
      <c r="E5029" s="1" t="b">
        <v>0</v>
      </c>
      <c r="F5029" s="1" t="s">
        <v>18645</v>
      </c>
      <c r="G5029" s="1" t="b">
        <v>1</v>
      </c>
    </row>
    <row r="5030">
      <c r="A5030" s="1">
        <v>50044.0</v>
      </c>
      <c r="B5030" s="1">
        <v>18273.0</v>
      </c>
      <c r="C5030" s="1">
        <v>1.621312805E9</v>
      </c>
      <c r="D5030" s="1">
        <v>4.0</v>
      </c>
      <c r="E5030" s="1" t="b">
        <v>0</v>
      </c>
      <c r="F5030" s="1" t="s">
        <v>18763</v>
      </c>
    </row>
    <row r="5031">
      <c r="A5031" s="1">
        <v>50044.0</v>
      </c>
      <c r="B5031" s="1">
        <v>620.0</v>
      </c>
      <c r="C5031" s="1">
        <v>1.623963375E9</v>
      </c>
      <c r="D5031" s="1">
        <v>4.0</v>
      </c>
      <c r="E5031" s="1" t="b">
        <v>0</v>
      </c>
      <c r="F5031" s="1" t="s">
        <v>14214</v>
      </c>
    </row>
    <row r="5032">
      <c r="A5032" s="1">
        <v>50044.0</v>
      </c>
      <c r="B5032" s="1">
        <v>18847.0</v>
      </c>
      <c r="C5032" s="1">
        <v>1.622035132E9</v>
      </c>
      <c r="D5032" s="1">
        <v>4.0</v>
      </c>
      <c r="E5032" s="1" t="b">
        <v>0</v>
      </c>
      <c r="F5032" s="1" t="s">
        <v>18764</v>
      </c>
    </row>
    <row r="5033">
      <c r="A5033" s="1">
        <v>50044.0</v>
      </c>
      <c r="B5033" s="1">
        <v>18725.0</v>
      </c>
      <c r="C5033" s="1">
        <v>1.621875483E9</v>
      </c>
      <c r="D5033" s="1">
        <v>4.0</v>
      </c>
      <c r="E5033" s="1" t="b">
        <v>0</v>
      </c>
      <c r="F5033" s="1" t="s">
        <v>18765</v>
      </c>
    </row>
    <row r="5034">
      <c r="A5034" s="1">
        <v>50044.0</v>
      </c>
      <c r="B5034" s="1">
        <v>18972.0</v>
      </c>
      <c r="C5034" s="1">
        <v>1.622202288E9</v>
      </c>
      <c r="D5034" s="1">
        <v>4.0</v>
      </c>
      <c r="E5034" s="1" t="b">
        <v>0</v>
      </c>
      <c r="F5034" s="1" t="s">
        <v>18296</v>
      </c>
    </row>
    <row r="5035">
      <c r="A5035" s="1">
        <v>50044.0</v>
      </c>
      <c r="B5035" s="1">
        <v>17773.0</v>
      </c>
      <c r="C5035" s="1">
        <v>1.620511956E9</v>
      </c>
      <c r="D5035" s="1">
        <v>4.0</v>
      </c>
      <c r="E5035" s="1" t="b">
        <v>0</v>
      </c>
      <c r="F5035" s="1" t="s">
        <v>18766</v>
      </c>
    </row>
    <row r="5036">
      <c r="A5036" s="1">
        <v>50044.0</v>
      </c>
      <c r="B5036" s="1">
        <v>3000.0</v>
      </c>
      <c r="C5036" s="1">
        <v>1.623423972E9</v>
      </c>
      <c r="D5036" s="1">
        <v>4.0</v>
      </c>
      <c r="E5036" s="1" t="b">
        <v>0</v>
      </c>
      <c r="F5036" s="1" t="s">
        <v>14183</v>
      </c>
      <c r="G5036" s="1" t="b">
        <v>1</v>
      </c>
    </row>
    <row r="5037">
      <c r="A5037" s="1">
        <v>50044.0</v>
      </c>
      <c r="B5037" s="1">
        <v>17950.0</v>
      </c>
      <c r="C5037" s="1">
        <v>1.620717163E9</v>
      </c>
      <c r="D5037" s="1">
        <v>4.0</v>
      </c>
      <c r="E5037" s="1" t="b">
        <v>0</v>
      </c>
      <c r="F5037" s="1" t="s">
        <v>14539</v>
      </c>
    </row>
    <row r="5038">
      <c r="A5038" s="1">
        <v>50044.0</v>
      </c>
      <c r="B5038" s="1">
        <v>19901.0</v>
      </c>
      <c r="C5038" s="1">
        <v>1.623438735E9</v>
      </c>
      <c r="D5038" s="1">
        <v>4.0</v>
      </c>
      <c r="E5038" s="1" t="b">
        <v>0</v>
      </c>
      <c r="F5038" s="1" t="s">
        <v>18767</v>
      </c>
    </row>
    <row r="5039">
      <c r="A5039" s="1">
        <v>50044.0</v>
      </c>
      <c r="B5039" s="1">
        <v>18739.0</v>
      </c>
      <c r="C5039" s="1">
        <v>1.621915276E9</v>
      </c>
      <c r="D5039" s="1">
        <v>4.0</v>
      </c>
      <c r="E5039" s="1" t="b">
        <v>0</v>
      </c>
      <c r="F5039" s="1" t="s">
        <v>18768</v>
      </c>
    </row>
    <row r="5040">
      <c r="A5040" s="1">
        <v>50044.0</v>
      </c>
      <c r="B5040" s="1">
        <v>19538.0</v>
      </c>
      <c r="C5040" s="1">
        <v>1.622977797E9</v>
      </c>
      <c r="D5040" s="1">
        <v>4.0</v>
      </c>
      <c r="E5040" s="1" t="b">
        <v>0</v>
      </c>
      <c r="F5040" s="1" t="s">
        <v>18769</v>
      </c>
    </row>
    <row r="5041">
      <c r="A5041" s="1">
        <v>50044.0</v>
      </c>
      <c r="B5041" s="1">
        <v>16912.0</v>
      </c>
      <c r="C5041" s="1">
        <v>1.618670118E9</v>
      </c>
      <c r="D5041" s="1">
        <v>4.0</v>
      </c>
      <c r="E5041" s="1" t="b">
        <v>0</v>
      </c>
      <c r="F5041" s="1" t="s">
        <v>16918</v>
      </c>
      <c r="G5041" s="1" t="b">
        <v>1</v>
      </c>
    </row>
    <row r="5042">
      <c r="A5042" s="1">
        <v>50044.0</v>
      </c>
      <c r="B5042" s="1">
        <v>19263.0</v>
      </c>
      <c r="C5042" s="1">
        <v>1.622540366E9</v>
      </c>
      <c r="D5042" s="1">
        <v>4.0</v>
      </c>
      <c r="E5042" s="1" t="b">
        <v>0</v>
      </c>
      <c r="F5042" s="1" t="s">
        <v>18770</v>
      </c>
    </row>
    <row r="5043">
      <c r="A5043" s="1">
        <v>50044.0</v>
      </c>
      <c r="B5043" s="1">
        <v>16946.0</v>
      </c>
      <c r="C5043" s="1">
        <v>1.618669361E9</v>
      </c>
      <c r="D5043" s="1">
        <v>1.0</v>
      </c>
      <c r="E5043" s="1" t="b">
        <v>1</v>
      </c>
      <c r="F5043" s="1" t="s">
        <v>18771</v>
      </c>
    </row>
    <row r="5044">
      <c r="A5044" s="1">
        <v>50044.0</v>
      </c>
      <c r="B5044" s="1">
        <v>19122.0</v>
      </c>
      <c r="C5044" s="1">
        <v>1.62239607E9</v>
      </c>
      <c r="D5044" s="1">
        <v>4.0</v>
      </c>
      <c r="E5044" s="1" t="b">
        <v>0</v>
      </c>
      <c r="F5044" s="1" t="s">
        <v>18772</v>
      </c>
    </row>
    <row r="5045">
      <c r="A5045" s="1">
        <v>50044.0</v>
      </c>
      <c r="B5045" s="1">
        <v>20066.0</v>
      </c>
      <c r="C5045" s="1">
        <v>1.623717554E9</v>
      </c>
      <c r="D5045" s="1">
        <v>4.0</v>
      </c>
      <c r="E5045" s="1" t="b">
        <v>0</v>
      </c>
      <c r="F5045" s="1" t="s">
        <v>18773</v>
      </c>
    </row>
    <row r="5046">
      <c r="A5046" s="1">
        <v>50044.0</v>
      </c>
      <c r="B5046" s="1">
        <v>16950.0</v>
      </c>
      <c r="C5046" s="1">
        <v>1.61867005E9</v>
      </c>
      <c r="D5046" s="1">
        <v>4.0</v>
      </c>
      <c r="E5046" s="1" t="b">
        <v>0</v>
      </c>
      <c r="F5046" s="1" t="s">
        <v>18774</v>
      </c>
      <c r="G5046" s="1" t="b">
        <v>1</v>
      </c>
    </row>
    <row r="5047">
      <c r="A5047" s="1">
        <v>50044.0</v>
      </c>
      <c r="B5047" s="1">
        <v>19570.0</v>
      </c>
      <c r="C5047" s="1">
        <v>1.622993755E9</v>
      </c>
      <c r="D5047" s="1">
        <v>4.0</v>
      </c>
      <c r="E5047" s="1" t="b">
        <v>0</v>
      </c>
      <c r="F5047" s="1" t="s">
        <v>18775</v>
      </c>
    </row>
    <row r="5048">
      <c r="A5048" s="1">
        <v>50044.0</v>
      </c>
      <c r="B5048" s="1">
        <v>20030.0</v>
      </c>
      <c r="C5048" s="1">
        <v>1.623664595E9</v>
      </c>
      <c r="D5048" s="1">
        <v>4.0</v>
      </c>
      <c r="E5048" s="1" t="b">
        <v>0</v>
      </c>
      <c r="F5048" s="1" t="s">
        <v>18776</v>
      </c>
    </row>
    <row r="5049">
      <c r="A5049" s="1">
        <v>50046.0</v>
      </c>
      <c r="B5049" s="1">
        <v>16450.0</v>
      </c>
      <c r="C5049" s="1">
        <v>1.618761376E9</v>
      </c>
      <c r="D5049" s="1">
        <v>4.0</v>
      </c>
      <c r="E5049" s="1" t="b">
        <v>0</v>
      </c>
      <c r="F5049" s="1" t="s">
        <v>18067</v>
      </c>
      <c r="G5049" s="1" t="b">
        <v>1</v>
      </c>
    </row>
    <row r="5050">
      <c r="A5050" s="1">
        <v>50046.0</v>
      </c>
      <c r="B5050" s="1">
        <v>17910.0</v>
      </c>
      <c r="C5050" s="1">
        <v>1.62064996E9</v>
      </c>
      <c r="D5050" s="1">
        <v>4.0</v>
      </c>
      <c r="E5050" s="1" t="b">
        <v>0</v>
      </c>
      <c r="F5050" s="1" t="s">
        <v>18777</v>
      </c>
    </row>
    <row r="5051">
      <c r="A5051" s="1">
        <v>50046.0</v>
      </c>
      <c r="B5051" s="1">
        <v>17804.0</v>
      </c>
      <c r="C5051" s="1">
        <v>1.620542556E9</v>
      </c>
      <c r="D5051" s="1">
        <v>4.0</v>
      </c>
      <c r="E5051" s="1" t="b">
        <v>0</v>
      </c>
      <c r="F5051" s="1" t="s">
        <v>18778</v>
      </c>
    </row>
    <row r="5052">
      <c r="A5052" s="1">
        <v>50046.0</v>
      </c>
      <c r="B5052" s="1">
        <v>18361.0</v>
      </c>
      <c r="C5052" s="1">
        <v>1.621525445E9</v>
      </c>
      <c r="D5052" s="1">
        <v>4.0</v>
      </c>
      <c r="E5052" s="1" t="b">
        <v>0</v>
      </c>
      <c r="F5052" s="1" t="s">
        <v>18779</v>
      </c>
      <c r="G5052" s="1" t="b">
        <v>1</v>
      </c>
    </row>
    <row r="5053">
      <c r="A5053" s="1">
        <v>50046.0</v>
      </c>
      <c r="B5053" s="1">
        <v>18984.0</v>
      </c>
      <c r="C5053" s="1">
        <v>1.622212806E9</v>
      </c>
      <c r="D5053" s="1">
        <v>4.0</v>
      </c>
      <c r="E5053" s="1" t="b">
        <v>0</v>
      </c>
      <c r="F5053" s="1" t="s">
        <v>18780</v>
      </c>
    </row>
    <row r="5054">
      <c r="A5054" s="1">
        <v>50046.0</v>
      </c>
      <c r="B5054" s="1">
        <v>17668.0</v>
      </c>
      <c r="C5054" s="1">
        <v>1.62039166E9</v>
      </c>
      <c r="D5054" s="1">
        <v>4.0</v>
      </c>
      <c r="E5054" s="1" t="b">
        <v>0</v>
      </c>
      <c r="F5054" s="1" t="s">
        <v>18781</v>
      </c>
    </row>
    <row r="5055">
      <c r="A5055" s="1">
        <v>50046.0</v>
      </c>
      <c r="B5055" s="1">
        <v>17642.0</v>
      </c>
      <c r="C5055" s="1">
        <v>1.620370401E9</v>
      </c>
      <c r="D5055" s="1">
        <v>4.0</v>
      </c>
      <c r="E5055" s="1" t="b">
        <v>0</v>
      </c>
      <c r="F5055" s="1" t="s">
        <v>18782</v>
      </c>
    </row>
    <row r="5056">
      <c r="A5056" s="1">
        <v>50046.0</v>
      </c>
      <c r="B5056" s="1">
        <v>1680.0</v>
      </c>
      <c r="C5056" s="1">
        <v>1.623574307E9</v>
      </c>
      <c r="D5056" s="1">
        <v>4.0</v>
      </c>
      <c r="E5056" s="1" t="b">
        <v>0</v>
      </c>
      <c r="F5056" s="1" t="s">
        <v>18783</v>
      </c>
    </row>
    <row r="5057">
      <c r="A5057" s="1">
        <v>50046.0</v>
      </c>
      <c r="B5057" s="1">
        <v>18674.0</v>
      </c>
      <c r="C5057" s="1">
        <v>1.62274286E9</v>
      </c>
      <c r="D5057" s="1">
        <v>4.0</v>
      </c>
      <c r="E5057" s="1" t="b">
        <v>0</v>
      </c>
      <c r="F5057" s="1" t="s">
        <v>18784</v>
      </c>
    </row>
    <row r="5058">
      <c r="A5058" s="1">
        <v>50046.0</v>
      </c>
      <c r="B5058" s="1">
        <v>18208.0</v>
      </c>
      <c r="C5058" s="1">
        <v>1.621234082E9</v>
      </c>
      <c r="D5058" s="1">
        <v>4.0</v>
      </c>
      <c r="E5058" s="1" t="b">
        <v>0</v>
      </c>
      <c r="F5058" s="1" t="s">
        <v>18785</v>
      </c>
    </row>
    <row r="5059">
      <c r="A5059" s="1">
        <v>50046.0</v>
      </c>
      <c r="B5059" s="1">
        <v>18943.0</v>
      </c>
      <c r="C5059" s="1">
        <v>1.622181367E9</v>
      </c>
      <c r="D5059" s="1">
        <v>4.0</v>
      </c>
      <c r="E5059" s="1" t="b">
        <v>0</v>
      </c>
      <c r="F5059" s="1" t="s">
        <v>18786</v>
      </c>
    </row>
    <row r="5060">
      <c r="A5060" s="1">
        <v>50046.0</v>
      </c>
      <c r="B5060" s="1">
        <v>3000.0</v>
      </c>
      <c r="C5060" s="1">
        <v>1.621235541E9</v>
      </c>
      <c r="D5060" s="1">
        <v>4.0</v>
      </c>
      <c r="E5060" s="1" t="b">
        <v>0</v>
      </c>
      <c r="F5060" s="1" t="s">
        <v>14183</v>
      </c>
      <c r="G5060" s="1" t="b">
        <v>1</v>
      </c>
    </row>
    <row r="5061">
      <c r="A5061" s="1">
        <v>50046.0</v>
      </c>
      <c r="B5061" s="1">
        <v>18534.0</v>
      </c>
      <c r="C5061" s="1">
        <v>1.621688111E9</v>
      </c>
      <c r="D5061" s="1">
        <v>4.0</v>
      </c>
      <c r="E5061" s="1" t="b">
        <v>0</v>
      </c>
      <c r="F5061" s="1" t="s">
        <v>18787</v>
      </c>
    </row>
    <row r="5062">
      <c r="A5062" s="1">
        <v>50046.0</v>
      </c>
      <c r="B5062" s="1">
        <v>18633.0</v>
      </c>
      <c r="C5062" s="1">
        <v>1.621784335E9</v>
      </c>
      <c r="D5062" s="1">
        <v>4.0</v>
      </c>
      <c r="E5062" s="1" t="b">
        <v>0</v>
      </c>
      <c r="F5062" s="1" t="s">
        <v>18788</v>
      </c>
    </row>
    <row r="5063">
      <c r="A5063" s="1">
        <v>50046.0</v>
      </c>
      <c r="B5063" s="1">
        <v>18357.0</v>
      </c>
      <c r="C5063" s="1">
        <v>1.621476776E9</v>
      </c>
      <c r="D5063" s="1">
        <v>4.0</v>
      </c>
      <c r="E5063" s="1" t="b">
        <v>0</v>
      </c>
      <c r="F5063" s="1" t="s">
        <v>18789</v>
      </c>
    </row>
    <row r="5064">
      <c r="A5064" s="1">
        <v>50046.0</v>
      </c>
      <c r="B5064" s="1">
        <v>18207.0</v>
      </c>
      <c r="C5064" s="1">
        <v>1.621233539E9</v>
      </c>
      <c r="D5064" s="1">
        <v>4.0</v>
      </c>
      <c r="E5064" s="1" t="b">
        <v>0</v>
      </c>
      <c r="F5064" s="1" t="s">
        <v>18790</v>
      </c>
    </row>
    <row r="5065">
      <c r="A5065" s="1">
        <v>50046.0</v>
      </c>
      <c r="B5065" s="1">
        <v>17839.0</v>
      </c>
      <c r="C5065" s="1">
        <v>1.620640481E9</v>
      </c>
      <c r="D5065" s="1">
        <v>4.0</v>
      </c>
      <c r="E5065" s="1" t="b">
        <v>0</v>
      </c>
      <c r="F5065" s="1" t="s">
        <v>18791</v>
      </c>
    </row>
    <row r="5066">
      <c r="A5066" s="1">
        <v>50046.0</v>
      </c>
      <c r="B5066" s="1">
        <v>18359.0</v>
      </c>
      <c r="C5066" s="1">
        <v>1.623644496E9</v>
      </c>
      <c r="D5066" s="1">
        <v>4.0</v>
      </c>
      <c r="E5066" s="1" t="b">
        <v>0</v>
      </c>
      <c r="F5066" s="1" t="s">
        <v>17162</v>
      </c>
    </row>
    <row r="5067">
      <c r="A5067" s="1">
        <v>50046.0</v>
      </c>
      <c r="B5067" s="1">
        <v>17840.0</v>
      </c>
      <c r="C5067" s="1">
        <v>1.62058211E9</v>
      </c>
      <c r="D5067" s="1">
        <v>4.0</v>
      </c>
      <c r="E5067" s="1" t="b">
        <v>0</v>
      </c>
      <c r="F5067" s="1" t="s">
        <v>17140</v>
      </c>
    </row>
    <row r="5068">
      <c r="A5068" s="1">
        <v>50046.0</v>
      </c>
      <c r="B5068" s="1">
        <v>18190.0</v>
      </c>
      <c r="C5068" s="1">
        <v>1.621219305E9</v>
      </c>
      <c r="D5068" s="1">
        <v>4.0</v>
      </c>
      <c r="E5068" s="1" t="b">
        <v>0</v>
      </c>
      <c r="F5068" s="1" t="s">
        <v>18792</v>
      </c>
    </row>
    <row r="5069">
      <c r="A5069" s="1">
        <v>50046.0</v>
      </c>
      <c r="B5069" s="1">
        <v>18788.0</v>
      </c>
      <c r="C5069" s="1">
        <v>1.621961436E9</v>
      </c>
      <c r="D5069" s="1">
        <v>4.0</v>
      </c>
      <c r="E5069" s="1" t="b">
        <v>0</v>
      </c>
      <c r="F5069" s="1" t="s">
        <v>18793</v>
      </c>
      <c r="G5069" s="1" t="b">
        <v>1</v>
      </c>
    </row>
    <row r="5070">
      <c r="A5070" s="1">
        <v>50046.0</v>
      </c>
      <c r="B5070" s="1">
        <v>18684.0</v>
      </c>
      <c r="C5070" s="1">
        <v>1.621845095E9</v>
      </c>
      <c r="D5070" s="1">
        <v>4.0</v>
      </c>
      <c r="E5070" s="1" t="b">
        <v>0</v>
      </c>
      <c r="F5070" s="1" t="s">
        <v>18794</v>
      </c>
    </row>
    <row r="5071">
      <c r="A5071" s="1">
        <v>50046.0</v>
      </c>
      <c r="B5071" s="1">
        <v>16634.0</v>
      </c>
      <c r="C5071" s="1">
        <v>1.618761015E9</v>
      </c>
      <c r="D5071" s="1">
        <v>1.0</v>
      </c>
      <c r="E5071" s="1" t="b">
        <v>1</v>
      </c>
      <c r="F5071" s="1" t="s">
        <v>18645</v>
      </c>
    </row>
    <row r="5072">
      <c r="A5072" s="1">
        <v>50046.0</v>
      </c>
      <c r="B5072" s="1">
        <v>16820.0</v>
      </c>
      <c r="C5072" s="1">
        <v>1.620641519E9</v>
      </c>
      <c r="D5072" s="1">
        <v>4.0</v>
      </c>
      <c r="E5072" s="1" t="b">
        <v>0</v>
      </c>
      <c r="F5072" s="1" t="s">
        <v>17143</v>
      </c>
    </row>
    <row r="5073">
      <c r="A5073" s="1">
        <v>50047.0</v>
      </c>
      <c r="B5073" s="1">
        <v>19652.0</v>
      </c>
      <c r="C5073" s="1">
        <v>1.623105008E9</v>
      </c>
      <c r="D5073" s="1">
        <v>4.0</v>
      </c>
      <c r="E5073" s="1" t="b">
        <v>0</v>
      </c>
      <c r="F5073" s="1" t="s">
        <v>18795</v>
      </c>
    </row>
    <row r="5074">
      <c r="A5074" s="1">
        <v>50047.0</v>
      </c>
      <c r="B5074" s="1">
        <v>19599.0</v>
      </c>
      <c r="C5074" s="1">
        <v>1.623050511E9</v>
      </c>
      <c r="D5074" s="1">
        <v>4.0</v>
      </c>
      <c r="E5074" s="1" t="b">
        <v>0</v>
      </c>
      <c r="F5074" s="1" t="s">
        <v>14696</v>
      </c>
    </row>
    <row r="5075">
      <c r="A5075" s="1">
        <v>50047.0</v>
      </c>
      <c r="B5075" s="1">
        <v>17070.0</v>
      </c>
      <c r="C5075" s="1">
        <v>1.618995026E9</v>
      </c>
      <c r="D5075" s="1">
        <v>4.0</v>
      </c>
      <c r="E5075" s="1" t="b">
        <v>0</v>
      </c>
      <c r="F5075" s="1" t="s">
        <v>18796</v>
      </c>
    </row>
    <row r="5076">
      <c r="A5076" s="1">
        <v>50047.0</v>
      </c>
      <c r="B5076" s="1">
        <v>18445.0</v>
      </c>
      <c r="C5076" s="1">
        <v>1.621598342E9</v>
      </c>
      <c r="D5076" s="1">
        <v>4.0</v>
      </c>
      <c r="E5076" s="1" t="b">
        <v>0</v>
      </c>
      <c r="F5076" s="1" t="s">
        <v>18797</v>
      </c>
    </row>
    <row r="5077">
      <c r="A5077" s="1">
        <v>50047.0</v>
      </c>
      <c r="B5077" s="1">
        <v>17066.0</v>
      </c>
      <c r="C5077" s="1">
        <v>1.618992475E9</v>
      </c>
      <c r="D5077" s="1">
        <v>4.0</v>
      </c>
      <c r="E5077" s="1" t="b">
        <v>0</v>
      </c>
      <c r="F5077" s="1" t="s">
        <v>18798</v>
      </c>
    </row>
    <row r="5078">
      <c r="A5078" s="1">
        <v>50047.0</v>
      </c>
      <c r="B5078" s="1">
        <v>19382.0</v>
      </c>
      <c r="C5078" s="1">
        <v>1.622648397E9</v>
      </c>
      <c r="D5078" s="1">
        <v>4.0</v>
      </c>
      <c r="E5078" s="1" t="b">
        <v>0</v>
      </c>
      <c r="F5078" s="1" t="s">
        <v>18799</v>
      </c>
    </row>
    <row r="5079">
      <c r="A5079" s="1">
        <v>50047.0</v>
      </c>
      <c r="B5079" s="1">
        <v>18948.0</v>
      </c>
      <c r="C5079" s="1">
        <v>1.622185762E9</v>
      </c>
      <c r="D5079" s="1">
        <v>4.0</v>
      </c>
      <c r="E5079" s="1" t="b">
        <v>0</v>
      </c>
      <c r="F5079" s="1" t="s">
        <v>18800</v>
      </c>
    </row>
    <row r="5080">
      <c r="A5080" s="1">
        <v>50047.0</v>
      </c>
      <c r="B5080" s="1">
        <v>20043.0</v>
      </c>
      <c r="C5080" s="1">
        <v>1.623676481E9</v>
      </c>
      <c r="D5080" s="1">
        <v>4.0</v>
      </c>
      <c r="E5080" s="1" t="b">
        <v>0</v>
      </c>
      <c r="F5080" s="1" t="s">
        <v>18801</v>
      </c>
    </row>
    <row r="5081">
      <c r="A5081" s="1">
        <v>50047.0</v>
      </c>
      <c r="B5081" s="1">
        <v>19661.0</v>
      </c>
      <c r="C5081" s="1">
        <v>1.623134329E9</v>
      </c>
      <c r="D5081" s="1">
        <v>4.0</v>
      </c>
      <c r="E5081" s="1" t="b">
        <v>0</v>
      </c>
      <c r="F5081" s="1" t="s">
        <v>18802</v>
      </c>
    </row>
    <row r="5082">
      <c r="A5082" s="1">
        <v>50047.0</v>
      </c>
      <c r="B5082" s="1">
        <v>19423.0</v>
      </c>
      <c r="C5082" s="1">
        <v>1.622702111E9</v>
      </c>
      <c r="D5082" s="1">
        <v>4.0</v>
      </c>
      <c r="E5082" s="1" t="b">
        <v>0</v>
      </c>
      <c r="F5082" s="1" t="s">
        <v>18803</v>
      </c>
    </row>
    <row r="5083">
      <c r="A5083" s="1">
        <v>50047.0</v>
      </c>
      <c r="B5083" s="1">
        <v>17087.0</v>
      </c>
      <c r="C5083" s="1">
        <v>1.619013068E9</v>
      </c>
      <c r="D5083" s="1">
        <v>4.0</v>
      </c>
      <c r="E5083" s="1" t="b">
        <v>0</v>
      </c>
      <c r="F5083" s="1" t="s">
        <v>18804</v>
      </c>
    </row>
    <row r="5084">
      <c r="A5084" s="1">
        <v>50047.0</v>
      </c>
      <c r="B5084" s="1">
        <v>19750.0</v>
      </c>
      <c r="C5084" s="1">
        <v>1.623240838E9</v>
      </c>
      <c r="D5084" s="1">
        <v>4.0</v>
      </c>
      <c r="E5084" s="1" t="b">
        <v>0</v>
      </c>
      <c r="F5084" s="1" t="s">
        <v>18805</v>
      </c>
    </row>
    <row r="5085">
      <c r="A5085" s="1">
        <v>50047.0</v>
      </c>
      <c r="B5085" s="1">
        <v>16912.0</v>
      </c>
      <c r="C5085" s="1">
        <v>1.618992242E9</v>
      </c>
      <c r="D5085" s="1">
        <v>4.0</v>
      </c>
      <c r="E5085" s="1" t="b">
        <v>0</v>
      </c>
      <c r="F5085" s="1" t="s">
        <v>16918</v>
      </c>
      <c r="G5085" s="1" t="b">
        <v>1</v>
      </c>
    </row>
    <row r="5086">
      <c r="A5086" s="1">
        <v>50047.0</v>
      </c>
      <c r="B5086" s="1">
        <v>18406.0</v>
      </c>
      <c r="C5086" s="1">
        <v>1.62153286E9</v>
      </c>
      <c r="D5086" s="1">
        <v>4.0</v>
      </c>
      <c r="E5086" s="1" t="b">
        <v>0</v>
      </c>
      <c r="F5086" s="1" t="s">
        <v>18806</v>
      </c>
    </row>
    <row r="5087">
      <c r="A5087" s="1">
        <v>50047.0</v>
      </c>
      <c r="B5087" s="1">
        <v>19708.0</v>
      </c>
      <c r="C5087" s="1">
        <v>1.623180487E9</v>
      </c>
      <c r="D5087" s="1">
        <v>4.0</v>
      </c>
      <c r="E5087" s="1" t="b">
        <v>0</v>
      </c>
      <c r="F5087" s="1" t="s">
        <v>18807</v>
      </c>
    </row>
    <row r="5088">
      <c r="A5088" s="1">
        <v>50047.0</v>
      </c>
      <c r="B5088" s="1">
        <v>19591.0</v>
      </c>
      <c r="C5088" s="1">
        <v>1.623044424E9</v>
      </c>
      <c r="D5088" s="1">
        <v>4.0</v>
      </c>
      <c r="E5088" s="1" t="b">
        <v>0</v>
      </c>
      <c r="F5088" s="1" t="s">
        <v>18808</v>
      </c>
    </row>
    <row r="5089">
      <c r="A5089" s="1">
        <v>50047.0</v>
      </c>
      <c r="B5089" s="1">
        <v>20064.0</v>
      </c>
      <c r="C5089" s="1">
        <v>1.623702485E9</v>
      </c>
      <c r="D5089" s="1">
        <v>4.0</v>
      </c>
      <c r="E5089" s="1" t="b">
        <v>0</v>
      </c>
      <c r="F5089" s="1" t="s">
        <v>18809</v>
      </c>
    </row>
    <row r="5090">
      <c r="A5090" s="1">
        <v>50047.0</v>
      </c>
      <c r="B5090" s="1">
        <v>19169.0</v>
      </c>
      <c r="C5090" s="1">
        <v>1.622456754E9</v>
      </c>
      <c r="D5090" s="1">
        <v>4.0</v>
      </c>
      <c r="E5090" s="1" t="b">
        <v>0</v>
      </c>
      <c r="F5090" s="1" t="s">
        <v>18810</v>
      </c>
    </row>
    <row r="5091">
      <c r="A5091" s="1">
        <v>50047.0</v>
      </c>
      <c r="B5091" s="1">
        <v>18362.0</v>
      </c>
      <c r="C5091" s="1">
        <v>1.621487978E9</v>
      </c>
      <c r="D5091" s="1">
        <v>4.0</v>
      </c>
      <c r="E5091" s="1" t="b">
        <v>0</v>
      </c>
      <c r="F5091" s="1" t="s">
        <v>18811</v>
      </c>
    </row>
    <row r="5092">
      <c r="A5092" s="1">
        <v>50047.0</v>
      </c>
      <c r="B5092" s="1">
        <v>19484.0</v>
      </c>
      <c r="C5092" s="1">
        <v>1.622788331E9</v>
      </c>
      <c r="D5092" s="1">
        <v>4.0</v>
      </c>
      <c r="E5092" s="1" t="b">
        <v>0</v>
      </c>
      <c r="F5092" s="1" t="s">
        <v>18812</v>
      </c>
    </row>
    <row r="5093">
      <c r="A5093" s="1">
        <v>50047.0</v>
      </c>
      <c r="B5093" s="1">
        <v>18064.0</v>
      </c>
      <c r="C5093" s="1">
        <v>1.621072759E9</v>
      </c>
      <c r="D5093" s="1">
        <v>4.0</v>
      </c>
      <c r="E5093" s="1" t="b">
        <v>0</v>
      </c>
      <c r="F5093" s="1" t="s">
        <v>18813</v>
      </c>
    </row>
    <row r="5094">
      <c r="A5094" s="1">
        <v>50047.0</v>
      </c>
      <c r="B5094" s="1">
        <v>19303.0</v>
      </c>
      <c r="C5094" s="1">
        <v>1.622574211E9</v>
      </c>
      <c r="D5094" s="1">
        <v>4.0</v>
      </c>
      <c r="E5094" s="1" t="b">
        <v>0</v>
      </c>
      <c r="F5094" s="1" t="s">
        <v>18814</v>
      </c>
    </row>
    <row r="5095">
      <c r="A5095" s="1">
        <v>50047.0</v>
      </c>
      <c r="B5095" s="1">
        <v>18961.0</v>
      </c>
      <c r="C5095" s="1">
        <v>1.622191631E9</v>
      </c>
      <c r="D5095" s="1">
        <v>4.0</v>
      </c>
      <c r="E5095" s="1" t="b">
        <v>0</v>
      </c>
      <c r="F5095" s="1" t="s">
        <v>18815</v>
      </c>
    </row>
    <row r="5096">
      <c r="A5096" s="1">
        <v>50047.0</v>
      </c>
      <c r="B5096" s="1">
        <v>19272.0</v>
      </c>
      <c r="C5096" s="1">
        <v>1.622549948E9</v>
      </c>
      <c r="D5096" s="1">
        <v>4.0</v>
      </c>
      <c r="E5096" s="1" t="b">
        <v>0</v>
      </c>
      <c r="F5096" s="1" t="s">
        <v>18816</v>
      </c>
    </row>
    <row r="5097">
      <c r="A5097" s="1">
        <v>50047.0</v>
      </c>
      <c r="B5097" s="1">
        <v>18239.0</v>
      </c>
      <c r="C5097" s="1">
        <v>1.621259545E9</v>
      </c>
      <c r="D5097" s="1">
        <v>4.0</v>
      </c>
      <c r="E5097" s="1" t="b">
        <v>0</v>
      </c>
      <c r="F5097" s="1" t="s">
        <v>18817</v>
      </c>
    </row>
    <row r="5098">
      <c r="A5098" s="1">
        <v>50047.0</v>
      </c>
      <c r="B5098" s="1">
        <v>18785.0</v>
      </c>
      <c r="C5098" s="1">
        <v>1.62195632E9</v>
      </c>
      <c r="D5098" s="1">
        <v>4.0</v>
      </c>
      <c r="E5098" s="1" t="b">
        <v>0</v>
      </c>
      <c r="F5098" s="1" t="s">
        <v>18818</v>
      </c>
    </row>
    <row r="5099">
      <c r="A5099" s="1">
        <v>50047.0</v>
      </c>
      <c r="B5099" s="1">
        <v>18388.0</v>
      </c>
      <c r="C5099" s="1">
        <v>1.621517309E9</v>
      </c>
      <c r="D5099" s="1">
        <v>4.0</v>
      </c>
      <c r="E5099" s="1" t="b">
        <v>0</v>
      </c>
      <c r="F5099" s="1" t="s">
        <v>18819</v>
      </c>
    </row>
    <row r="5100">
      <c r="A5100" s="1">
        <v>50047.0</v>
      </c>
      <c r="B5100" s="1">
        <v>18549.0</v>
      </c>
      <c r="C5100" s="1">
        <v>1.621696004E9</v>
      </c>
      <c r="D5100" s="1">
        <v>4.0</v>
      </c>
      <c r="E5100" s="1" t="b">
        <v>0</v>
      </c>
      <c r="F5100" s="1" t="s">
        <v>18820</v>
      </c>
    </row>
    <row r="5101">
      <c r="A5101" s="1">
        <v>50047.0</v>
      </c>
      <c r="B5101" s="1">
        <v>18365.0</v>
      </c>
      <c r="C5101" s="1">
        <v>1.621493668E9</v>
      </c>
      <c r="D5101" s="1">
        <v>4.0</v>
      </c>
      <c r="E5101" s="1" t="b">
        <v>0</v>
      </c>
      <c r="F5101" s="1" t="s">
        <v>18821</v>
      </c>
    </row>
    <row r="5102">
      <c r="A5102" s="1">
        <v>50047.0</v>
      </c>
      <c r="B5102" s="1">
        <v>18547.0</v>
      </c>
      <c r="C5102" s="1">
        <v>1.621694297E9</v>
      </c>
      <c r="D5102" s="1">
        <v>4.0</v>
      </c>
      <c r="E5102" s="1" t="b">
        <v>0</v>
      </c>
      <c r="F5102" s="1" t="s">
        <v>18822</v>
      </c>
    </row>
    <row r="5103">
      <c r="A5103" s="1">
        <v>50047.0</v>
      </c>
      <c r="B5103" s="1">
        <v>19341.0</v>
      </c>
      <c r="C5103" s="1">
        <v>1.62261929E9</v>
      </c>
      <c r="D5103" s="1">
        <v>4.0</v>
      </c>
      <c r="E5103" s="1" t="b">
        <v>0</v>
      </c>
      <c r="F5103" s="1" t="s">
        <v>18823</v>
      </c>
    </row>
    <row r="5104">
      <c r="A5104" s="1">
        <v>50047.0</v>
      </c>
      <c r="B5104" s="1">
        <v>18568.0</v>
      </c>
      <c r="C5104" s="1">
        <v>1.621735993E9</v>
      </c>
      <c r="D5104" s="1">
        <v>4.0</v>
      </c>
      <c r="E5104" s="1" t="b">
        <v>0</v>
      </c>
      <c r="F5104" s="1" t="s">
        <v>18824</v>
      </c>
    </row>
    <row r="5105">
      <c r="A5105" s="1">
        <v>50047.0</v>
      </c>
      <c r="B5105" s="1">
        <v>18586.0</v>
      </c>
      <c r="C5105" s="1">
        <v>1.621748541E9</v>
      </c>
      <c r="D5105" s="1">
        <v>4.0</v>
      </c>
      <c r="E5105" s="1" t="b">
        <v>0</v>
      </c>
      <c r="F5105" s="1" t="s">
        <v>18825</v>
      </c>
    </row>
    <row r="5106">
      <c r="A5106" s="1">
        <v>50047.0</v>
      </c>
      <c r="B5106" s="1">
        <v>18606.0</v>
      </c>
      <c r="C5106" s="1">
        <v>1.621764706E9</v>
      </c>
      <c r="D5106" s="1">
        <v>4.0</v>
      </c>
      <c r="E5106" s="1" t="b">
        <v>0</v>
      </c>
      <c r="F5106" s="1" t="s">
        <v>18826</v>
      </c>
    </row>
    <row r="5107">
      <c r="A5107" s="1">
        <v>50047.0</v>
      </c>
      <c r="B5107" s="1">
        <v>18613.0</v>
      </c>
      <c r="C5107" s="1">
        <v>1.621770805E9</v>
      </c>
      <c r="D5107" s="1">
        <v>4.0</v>
      </c>
      <c r="E5107" s="1" t="b">
        <v>0</v>
      </c>
      <c r="F5107" s="1" t="s">
        <v>18827</v>
      </c>
    </row>
    <row r="5108">
      <c r="A5108" s="1">
        <v>50047.0</v>
      </c>
      <c r="B5108" s="1">
        <v>16962.0</v>
      </c>
      <c r="C5108" s="1">
        <v>1.618989824E9</v>
      </c>
      <c r="D5108" s="1">
        <v>1.0</v>
      </c>
      <c r="E5108" s="1" t="b">
        <v>1</v>
      </c>
      <c r="F5108" s="1" t="s">
        <v>18828</v>
      </c>
    </row>
    <row r="5109">
      <c r="A5109" s="1">
        <v>50047.0</v>
      </c>
      <c r="B5109" s="1">
        <v>19437.0</v>
      </c>
      <c r="C5109" s="1">
        <v>1.622711507E9</v>
      </c>
      <c r="D5109" s="1">
        <v>4.0</v>
      </c>
      <c r="E5109" s="1" t="b">
        <v>0</v>
      </c>
      <c r="F5109" s="1" t="s">
        <v>18829</v>
      </c>
    </row>
    <row r="5110">
      <c r="A5110" s="1">
        <v>50047.0</v>
      </c>
      <c r="B5110" s="1">
        <v>19534.0</v>
      </c>
      <c r="C5110" s="1">
        <v>1.622973561E9</v>
      </c>
      <c r="D5110" s="1">
        <v>4.0</v>
      </c>
      <c r="E5110" s="1" t="b">
        <v>0</v>
      </c>
      <c r="F5110" s="1" t="s">
        <v>18830</v>
      </c>
    </row>
    <row r="5111">
      <c r="A5111" s="1">
        <v>50047.0</v>
      </c>
      <c r="B5111" s="1">
        <v>19769.0</v>
      </c>
      <c r="C5111" s="1">
        <v>1.623289615E9</v>
      </c>
      <c r="D5111" s="1">
        <v>4.0</v>
      </c>
      <c r="E5111" s="1" t="b">
        <v>0</v>
      </c>
      <c r="F5111" s="1" t="s">
        <v>18831</v>
      </c>
    </row>
    <row r="5112">
      <c r="A5112" s="1">
        <v>50047.0</v>
      </c>
      <c r="B5112" s="1">
        <v>18646.0</v>
      </c>
      <c r="C5112" s="1">
        <v>1.621797784E9</v>
      </c>
      <c r="D5112" s="1">
        <v>4.0</v>
      </c>
      <c r="E5112" s="1" t="b">
        <v>0</v>
      </c>
      <c r="F5112" s="1" t="s">
        <v>18832</v>
      </c>
    </row>
    <row r="5113">
      <c r="A5113" s="1">
        <v>50047.0</v>
      </c>
      <c r="B5113" s="1">
        <v>19493.0</v>
      </c>
      <c r="C5113" s="1">
        <v>1.622802231E9</v>
      </c>
      <c r="D5113" s="1">
        <v>4.0</v>
      </c>
      <c r="E5113" s="1" t="b">
        <v>0</v>
      </c>
      <c r="F5113" s="1" t="s">
        <v>18833</v>
      </c>
    </row>
    <row r="5114">
      <c r="A5114" s="1">
        <v>50047.0</v>
      </c>
      <c r="B5114" s="1">
        <v>18651.0</v>
      </c>
      <c r="C5114" s="1">
        <v>1.621806958E9</v>
      </c>
      <c r="D5114" s="1">
        <v>4.0</v>
      </c>
      <c r="E5114" s="1" t="b">
        <v>0</v>
      </c>
      <c r="F5114" s="1" t="s">
        <v>18834</v>
      </c>
    </row>
    <row r="5115">
      <c r="A5115" s="1">
        <v>50047.0</v>
      </c>
      <c r="B5115" s="1">
        <v>18676.0</v>
      </c>
      <c r="C5115" s="1">
        <v>1.621838657E9</v>
      </c>
      <c r="D5115" s="1">
        <v>4.0</v>
      </c>
      <c r="E5115" s="1" t="b">
        <v>0</v>
      </c>
      <c r="F5115" s="1" t="s">
        <v>18835</v>
      </c>
    </row>
    <row r="5116">
      <c r="A5116" s="1">
        <v>50047.0</v>
      </c>
      <c r="B5116" s="1">
        <v>17096.0</v>
      </c>
      <c r="C5116" s="1">
        <v>1.619023319E9</v>
      </c>
      <c r="D5116" s="1">
        <v>9.0</v>
      </c>
      <c r="E5116" s="1" t="b">
        <v>0</v>
      </c>
      <c r="F5116" s="1" t="s">
        <v>18836</v>
      </c>
    </row>
    <row r="5117">
      <c r="A5117" s="1">
        <v>50047.0</v>
      </c>
      <c r="B5117" s="1">
        <v>18688.0</v>
      </c>
      <c r="C5117" s="1">
        <v>1.621851304E9</v>
      </c>
      <c r="D5117" s="1">
        <v>4.0</v>
      </c>
      <c r="E5117" s="1" t="b">
        <v>0</v>
      </c>
      <c r="F5117" s="1" t="s">
        <v>18837</v>
      </c>
    </row>
    <row r="5118">
      <c r="A5118" s="1">
        <v>50047.0</v>
      </c>
      <c r="B5118" s="1">
        <v>17080.0</v>
      </c>
      <c r="C5118" s="1">
        <v>1.619006126E9</v>
      </c>
      <c r="D5118" s="1">
        <v>9.0</v>
      </c>
      <c r="E5118" s="1" t="b">
        <v>0</v>
      </c>
      <c r="F5118" s="1" t="s">
        <v>18838</v>
      </c>
    </row>
    <row r="5119">
      <c r="A5119" s="1">
        <v>50047.0</v>
      </c>
      <c r="B5119" s="1">
        <v>19440.0</v>
      </c>
      <c r="C5119" s="1">
        <v>1.622715961E9</v>
      </c>
      <c r="D5119" s="1">
        <v>4.0</v>
      </c>
      <c r="E5119" s="1" t="b">
        <v>0</v>
      </c>
      <c r="F5119" s="1" t="s">
        <v>18839</v>
      </c>
    </row>
    <row r="5120">
      <c r="A5120" s="1">
        <v>50047.0</v>
      </c>
      <c r="B5120" s="1">
        <v>18914.0</v>
      </c>
      <c r="C5120" s="1">
        <v>1.622127739E9</v>
      </c>
      <c r="D5120" s="1">
        <v>4.0</v>
      </c>
      <c r="E5120" s="1" t="b">
        <v>0</v>
      </c>
      <c r="F5120" s="1" t="s">
        <v>18840</v>
      </c>
    </row>
    <row r="5121">
      <c r="A5121" s="1">
        <v>50047.0</v>
      </c>
      <c r="B5121" s="1">
        <v>18719.0</v>
      </c>
      <c r="C5121" s="1">
        <v>1.621871767E9</v>
      </c>
      <c r="D5121" s="1">
        <v>4.0</v>
      </c>
      <c r="E5121" s="1" t="b">
        <v>0</v>
      </c>
      <c r="F5121" s="1" t="s">
        <v>18841</v>
      </c>
    </row>
    <row r="5122">
      <c r="A5122" s="1">
        <v>50047.0</v>
      </c>
      <c r="B5122" s="1">
        <v>19151.0</v>
      </c>
      <c r="C5122" s="1">
        <v>1.622451292E9</v>
      </c>
      <c r="D5122" s="1">
        <v>4.0</v>
      </c>
      <c r="E5122" s="1" t="b">
        <v>0</v>
      </c>
      <c r="F5122" s="1" t="s">
        <v>18842</v>
      </c>
    </row>
    <row r="5123">
      <c r="A5123" s="1">
        <v>50047.0</v>
      </c>
      <c r="B5123" s="1">
        <v>19740.0</v>
      </c>
      <c r="C5123" s="1">
        <v>1.623234069E9</v>
      </c>
      <c r="D5123" s="1">
        <v>4.0</v>
      </c>
      <c r="E5123" s="1" t="b">
        <v>0</v>
      </c>
      <c r="F5123" s="1" t="s">
        <v>18843</v>
      </c>
    </row>
    <row r="5124">
      <c r="A5124" s="1">
        <v>50047.0</v>
      </c>
      <c r="B5124" s="1">
        <v>19366.0</v>
      </c>
      <c r="C5124" s="1">
        <v>1.62263797E9</v>
      </c>
      <c r="D5124" s="1">
        <v>4.0</v>
      </c>
      <c r="E5124" s="1" t="b">
        <v>0</v>
      </c>
      <c r="F5124" s="1" t="s">
        <v>18844</v>
      </c>
    </row>
    <row r="5125">
      <c r="A5125" s="1">
        <v>50047.0</v>
      </c>
      <c r="B5125" s="1">
        <v>18775.0</v>
      </c>
      <c r="C5125" s="1">
        <v>1.621946448E9</v>
      </c>
      <c r="D5125" s="1">
        <v>4.0</v>
      </c>
      <c r="E5125" s="1" t="b">
        <v>0</v>
      </c>
      <c r="F5125" s="1" t="s">
        <v>18845</v>
      </c>
    </row>
    <row r="5126">
      <c r="A5126" s="1">
        <v>50047.0</v>
      </c>
      <c r="B5126" s="1">
        <v>19975.0</v>
      </c>
      <c r="C5126" s="1">
        <v>1.623577951E9</v>
      </c>
      <c r="D5126" s="1">
        <v>4.0</v>
      </c>
      <c r="E5126" s="1" t="b">
        <v>0</v>
      </c>
      <c r="F5126" s="1" t="s">
        <v>18846</v>
      </c>
    </row>
    <row r="5127">
      <c r="A5127" s="1">
        <v>50047.0</v>
      </c>
      <c r="B5127" s="1">
        <v>19799.0</v>
      </c>
      <c r="C5127" s="1">
        <v>1.623321752E9</v>
      </c>
      <c r="D5127" s="1">
        <v>4.0</v>
      </c>
      <c r="E5127" s="1" t="b">
        <v>0</v>
      </c>
      <c r="F5127" s="1" t="s">
        <v>18847</v>
      </c>
    </row>
    <row r="5128">
      <c r="A5128" s="1">
        <v>50047.0</v>
      </c>
      <c r="B5128" s="1">
        <v>19785.0</v>
      </c>
      <c r="C5128" s="1">
        <v>1.623304982E9</v>
      </c>
      <c r="D5128" s="1">
        <v>4.0</v>
      </c>
      <c r="E5128" s="1" t="b">
        <v>0</v>
      </c>
      <c r="F5128" s="1" t="s">
        <v>18848</v>
      </c>
    </row>
    <row r="5129">
      <c r="A5129" s="1">
        <v>50047.0</v>
      </c>
      <c r="B5129" s="1">
        <v>19732.0</v>
      </c>
      <c r="C5129" s="1">
        <v>1.62322684E9</v>
      </c>
      <c r="D5129" s="1">
        <v>4.0</v>
      </c>
      <c r="E5129" s="1" t="b">
        <v>0</v>
      </c>
      <c r="F5129" s="1" t="s">
        <v>18849</v>
      </c>
    </row>
    <row r="5130">
      <c r="A5130" s="1">
        <v>50047.0</v>
      </c>
      <c r="B5130" s="1">
        <v>18986.0</v>
      </c>
      <c r="C5130" s="1">
        <v>1.622213205E9</v>
      </c>
      <c r="D5130" s="1">
        <v>4.0</v>
      </c>
      <c r="E5130" s="1" t="b">
        <v>0</v>
      </c>
      <c r="F5130" s="1" t="s">
        <v>18850</v>
      </c>
    </row>
    <row r="5131">
      <c r="A5131" s="1">
        <v>50047.0</v>
      </c>
      <c r="B5131" s="1">
        <v>20483.0</v>
      </c>
      <c r="C5131" s="1">
        <v>0.0</v>
      </c>
      <c r="D5131" s="1">
        <v>4.0</v>
      </c>
      <c r="E5131" s="1" t="b">
        <v>0</v>
      </c>
      <c r="F5131" s="1" t="s">
        <v>18851</v>
      </c>
    </row>
    <row r="5132">
      <c r="A5132" s="1">
        <v>50047.0</v>
      </c>
      <c r="B5132" s="1">
        <v>17527.0</v>
      </c>
      <c r="C5132" s="1">
        <v>1.62014669E9</v>
      </c>
      <c r="D5132" s="1">
        <v>4.0</v>
      </c>
      <c r="E5132" s="1" t="b">
        <v>0</v>
      </c>
      <c r="F5132" s="1" t="s">
        <v>18852</v>
      </c>
    </row>
    <row r="5133">
      <c r="A5133" s="1">
        <v>50047.0</v>
      </c>
      <c r="B5133" s="1">
        <v>19219.0</v>
      </c>
      <c r="C5133" s="1">
        <v>1.622516524E9</v>
      </c>
      <c r="D5133" s="1">
        <v>4.0</v>
      </c>
      <c r="E5133" s="1" t="b">
        <v>0</v>
      </c>
      <c r="F5133" s="1" t="s">
        <v>18853</v>
      </c>
    </row>
    <row r="5134">
      <c r="A5134" s="1">
        <v>50047.0</v>
      </c>
      <c r="B5134" s="1">
        <v>17846.0</v>
      </c>
      <c r="C5134" s="1">
        <v>1.620579613E9</v>
      </c>
      <c r="D5134" s="1">
        <v>4.0</v>
      </c>
      <c r="E5134" s="1" t="b">
        <v>0</v>
      </c>
      <c r="F5134" s="1" t="s">
        <v>18854</v>
      </c>
    </row>
    <row r="5135">
      <c r="A5135" s="1">
        <v>50047.0</v>
      </c>
      <c r="B5135" s="1">
        <v>17518.0</v>
      </c>
      <c r="C5135" s="1">
        <v>1.620131286E9</v>
      </c>
      <c r="D5135" s="1">
        <v>4.0</v>
      </c>
      <c r="E5135" s="1" t="b">
        <v>0</v>
      </c>
      <c r="F5135" s="1" t="s">
        <v>17663</v>
      </c>
    </row>
    <row r="5136">
      <c r="A5136" s="1">
        <v>50048.0</v>
      </c>
      <c r="B5136" s="1">
        <v>17312.0</v>
      </c>
      <c r="C5136" s="1">
        <v>1.619463805E9</v>
      </c>
      <c r="D5136" s="1">
        <v>4.0</v>
      </c>
      <c r="E5136" s="1" t="b">
        <v>0</v>
      </c>
      <c r="F5136" s="1" t="s">
        <v>18855</v>
      </c>
    </row>
    <row r="5137">
      <c r="A5137" s="1">
        <v>50048.0</v>
      </c>
      <c r="B5137" s="1">
        <v>17092.0</v>
      </c>
      <c r="C5137" s="1">
        <v>1.61902066E9</v>
      </c>
      <c r="D5137" s="1">
        <v>4.0</v>
      </c>
      <c r="E5137" s="1" t="b">
        <v>0</v>
      </c>
      <c r="F5137" s="1" t="s">
        <v>18856</v>
      </c>
    </row>
    <row r="5138">
      <c r="A5138" s="1">
        <v>50048.0</v>
      </c>
      <c r="B5138" s="1">
        <v>17619.0</v>
      </c>
      <c r="C5138" s="1">
        <v>1.620320891E9</v>
      </c>
      <c r="D5138" s="1">
        <v>4.0</v>
      </c>
      <c r="E5138" s="1" t="b">
        <v>0</v>
      </c>
      <c r="F5138" s="1" t="s">
        <v>18857</v>
      </c>
    </row>
    <row r="5139">
      <c r="A5139" s="1">
        <v>50048.0</v>
      </c>
      <c r="B5139" s="1">
        <v>17139.0</v>
      </c>
      <c r="C5139" s="1">
        <v>1.619103445E9</v>
      </c>
      <c r="D5139" s="1">
        <v>4.0</v>
      </c>
      <c r="E5139" s="1" t="b">
        <v>0</v>
      </c>
      <c r="F5139" s="1" t="s">
        <v>18858</v>
      </c>
    </row>
    <row r="5140">
      <c r="A5140" s="1">
        <v>50048.0</v>
      </c>
      <c r="B5140" s="1">
        <v>17454.0</v>
      </c>
      <c r="C5140" s="1">
        <v>1.619768475E9</v>
      </c>
      <c r="D5140" s="1">
        <v>4.0</v>
      </c>
      <c r="E5140" s="1" t="b">
        <v>0</v>
      </c>
      <c r="F5140" s="1" t="s">
        <v>18859</v>
      </c>
    </row>
    <row r="5141">
      <c r="A5141" s="1">
        <v>50048.0</v>
      </c>
      <c r="B5141" s="1">
        <v>20409.0</v>
      </c>
      <c r="C5141" s="1">
        <v>1.62429947E9</v>
      </c>
      <c r="D5141" s="1">
        <v>4.0</v>
      </c>
      <c r="E5141" s="1" t="b">
        <v>0</v>
      </c>
      <c r="F5141" s="1" t="s">
        <v>18860</v>
      </c>
    </row>
    <row r="5142">
      <c r="A5142" s="1">
        <v>50048.0</v>
      </c>
      <c r="B5142" s="1">
        <v>20209.0</v>
      </c>
      <c r="C5142" s="1">
        <v>1.623927409E9</v>
      </c>
      <c r="D5142" s="1">
        <v>4.0</v>
      </c>
      <c r="E5142" s="1" t="b">
        <v>0</v>
      </c>
      <c r="F5142" s="1" t="s">
        <v>18861</v>
      </c>
    </row>
    <row r="5143">
      <c r="A5143" s="1">
        <v>50048.0</v>
      </c>
      <c r="B5143" s="1">
        <v>19476.0</v>
      </c>
      <c r="C5143" s="1">
        <v>1.622743313E9</v>
      </c>
      <c r="D5143" s="1">
        <v>4.0</v>
      </c>
      <c r="E5143" s="1" t="b">
        <v>0</v>
      </c>
      <c r="F5143" s="1" t="s">
        <v>18862</v>
      </c>
    </row>
    <row r="5144">
      <c r="A5144" s="1">
        <v>50048.0</v>
      </c>
      <c r="B5144" s="1">
        <v>461.0</v>
      </c>
      <c r="C5144" s="1">
        <v>1.619020212E9</v>
      </c>
      <c r="D5144" s="1">
        <v>4.0</v>
      </c>
      <c r="E5144" s="1" t="b">
        <v>0</v>
      </c>
      <c r="F5144" s="1" t="s">
        <v>14065</v>
      </c>
    </row>
    <row r="5145">
      <c r="A5145" s="1">
        <v>50048.0</v>
      </c>
      <c r="B5145" s="1">
        <v>16947.0</v>
      </c>
      <c r="C5145" s="1">
        <v>1.61900529E9</v>
      </c>
      <c r="D5145" s="1">
        <v>1.0</v>
      </c>
      <c r="E5145" s="1" t="b">
        <v>1</v>
      </c>
      <c r="F5145" s="1" t="s">
        <v>18863</v>
      </c>
    </row>
    <row r="5146">
      <c r="A5146" s="1">
        <v>50048.0</v>
      </c>
      <c r="B5146" s="1">
        <v>17148.0</v>
      </c>
      <c r="C5146" s="1">
        <v>1.61911615E9</v>
      </c>
      <c r="D5146" s="1">
        <v>4.0</v>
      </c>
      <c r="E5146" s="1" t="b">
        <v>0</v>
      </c>
      <c r="F5146" s="1" t="s">
        <v>18864</v>
      </c>
    </row>
    <row r="5147">
      <c r="A5147" s="1">
        <v>50048.0</v>
      </c>
      <c r="B5147" s="1">
        <v>620.0</v>
      </c>
      <c r="C5147" s="1">
        <v>1.622320446E9</v>
      </c>
      <c r="D5147" s="1">
        <v>4.0</v>
      </c>
      <c r="E5147" s="1" t="b">
        <v>0</v>
      </c>
      <c r="F5147" s="1" t="s">
        <v>14214</v>
      </c>
    </row>
    <row r="5148">
      <c r="A5148" s="1">
        <v>50048.0</v>
      </c>
      <c r="B5148" s="1">
        <v>17167.0</v>
      </c>
      <c r="C5148" s="1">
        <v>1.619165033E9</v>
      </c>
      <c r="D5148" s="1">
        <v>4.0</v>
      </c>
      <c r="E5148" s="1" t="b">
        <v>0</v>
      </c>
      <c r="F5148" s="1" t="s">
        <v>18865</v>
      </c>
    </row>
    <row r="5149">
      <c r="A5149" s="1">
        <v>50048.0</v>
      </c>
      <c r="B5149" s="1">
        <v>17428.0</v>
      </c>
      <c r="C5149" s="1">
        <v>1.61967007E9</v>
      </c>
      <c r="D5149" s="1">
        <v>4.0</v>
      </c>
      <c r="E5149" s="1" t="b">
        <v>0</v>
      </c>
      <c r="F5149" s="1" t="s">
        <v>18866</v>
      </c>
    </row>
    <row r="5150">
      <c r="A5150" s="1">
        <v>50048.0</v>
      </c>
      <c r="B5150" s="1">
        <v>19084.0</v>
      </c>
      <c r="C5150" s="1">
        <v>1.62236395E9</v>
      </c>
      <c r="D5150" s="1">
        <v>4.0</v>
      </c>
      <c r="E5150" s="1" t="b">
        <v>0</v>
      </c>
      <c r="F5150" s="1" t="s">
        <v>18867</v>
      </c>
    </row>
    <row r="5151">
      <c r="A5151" s="1">
        <v>50048.0</v>
      </c>
      <c r="B5151" s="1">
        <v>17166.0</v>
      </c>
      <c r="C5151" s="1">
        <v>1.61918449E9</v>
      </c>
      <c r="D5151" s="1">
        <v>4.0</v>
      </c>
      <c r="E5151" s="1" t="b">
        <v>0</v>
      </c>
      <c r="F5151" s="1" t="s">
        <v>18868</v>
      </c>
    </row>
    <row r="5152">
      <c r="A5152" s="1">
        <v>50048.0</v>
      </c>
      <c r="B5152" s="1">
        <v>17163.0</v>
      </c>
      <c r="C5152" s="1">
        <v>1.61916503E9</v>
      </c>
      <c r="D5152" s="1">
        <v>4.0</v>
      </c>
      <c r="E5152" s="1" t="b">
        <v>0</v>
      </c>
      <c r="F5152" s="1" t="s">
        <v>18869</v>
      </c>
    </row>
    <row r="5153">
      <c r="A5153" s="1">
        <v>50048.0</v>
      </c>
      <c r="B5153" s="1">
        <v>17426.0</v>
      </c>
      <c r="C5153" s="1">
        <v>1.61966932E9</v>
      </c>
      <c r="D5153" s="1">
        <v>4.0</v>
      </c>
      <c r="E5153" s="1" t="b">
        <v>0</v>
      </c>
      <c r="F5153" s="1" t="s">
        <v>18870</v>
      </c>
    </row>
    <row r="5154">
      <c r="A5154" s="1">
        <v>50048.0</v>
      </c>
      <c r="B5154" s="1">
        <v>17375.0</v>
      </c>
      <c r="C5154" s="1">
        <v>1.619669321E9</v>
      </c>
      <c r="D5154" s="1">
        <v>4.0</v>
      </c>
      <c r="E5154" s="1" t="b">
        <v>0</v>
      </c>
      <c r="F5154" s="1" t="s">
        <v>18871</v>
      </c>
    </row>
    <row r="5155">
      <c r="A5155" s="1">
        <v>50048.0</v>
      </c>
      <c r="B5155" s="1">
        <v>17700.0</v>
      </c>
      <c r="C5155" s="1">
        <v>1.620449043E9</v>
      </c>
      <c r="D5155" s="1">
        <v>4.0</v>
      </c>
      <c r="E5155" s="1" t="b">
        <v>0</v>
      </c>
      <c r="F5155" s="1" t="s">
        <v>18872</v>
      </c>
    </row>
    <row r="5156">
      <c r="A5156" s="1">
        <v>50048.0</v>
      </c>
      <c r="B5156" s="1">
        <v>17144.0</v>
      </c>
      <c r="C5156" s="1">
        <v>1.619106675E9</v>
      </c>
      <c r="D5156" s="1">
        <v>4.0</v>
      </c>
      <c r="E5156" s="1" t="b">
        <v>0</v>
      </c>
      <c r="F5156" s="1" t="s">
        <v>18873</v>
      </c>
    </row>
    <row r="5157">
      <c r="A5157" s="1">
        <v>50048.0</v>
      </c>
      <c r="B5157" s="1">
        <v>17151.0</v>
      </c>
      <c r="C5157" s="1">
        <v>1.619117376E9</v>
      </c>
      <c r="D5157" s="1">
        <v>4.0</v>
      </c>
      <c r="E5157" s="1" t="b">
        <v>0</v>
      </c>
      <c r="F5157" s="1" t="s">
        <v>18874</v>
      </c>
    </row>
    <row r="5158">
      <c r="A5158" s="1">
        <v>50048.0</v>
      </c>
      <c r="B5158" s="1">
        <v>17197.0</v>
      </c>
      <c r="C5158" s="1">
        <v>1.619254633E9</v>
      </c>
      <c r="D5158" s="1">
        <v>4.0</v>
      </c>
      <c r="E5158" s="1" t="b">
        <v>0</v>
      </c>
      <c r="F5158" s="1" t="s">
        <v>18875</v>
      </c>
    </row>
    <row r="5159">
      <c r="A5159" s="1">
        <v>50048.0</v>
      </c>
      <c r="B5159" s="1">
        <v>17425.0</v>
      </c>
      <c r="C5159" s="1">
        <v>1.619669318E9</v>
      </c>
      <c r="D5159" s="1">
        <v>4.0</v>
      </c>
      <c r="E5159" s="1" t="b">
        <v>0</v>
      </c>
      <c r="F5159" s="1" t="s">
        <v>18876</v>
      </c>
    </row>
    <row r="5160">
      <c r="A5160" s="1">
        <v>50048.0</v>
      </c>
      <c r="B5160" s="1">
        <v>17172.0</v>
      </c>
      <c r="C5160" s="1">
        <v>1.619165034E9</v>
      </c>
      <c r="D5160" s="1">
        <v>4.0</v>
      </c>
      <c r="E5160" s="1" t="b">
        <v>0</v>
      </c>
      <c r="F5160" s="1" t="s">
        <v>18877</v>
      </c>
    </row>
    <row r="5161">
      <c r="A5161" s="1">
        <v>50048.0</v>
      </c>
      <c r="B5161" s="1">
        <v>17434.0</v>
      </c>
      <c r="C5161" s="1">
        <v>1.619687808E9</v>
      </c>
      <c r="D5161" s="1">
        <v>4.0</v>
      </c>
      <c r="E5161" s="1" t="b">
        <v>0</v>
      </c>
      <c r="F5161" s="1" t="s">
        <v>18878</v>
      </c>
    </row>
    <row r="5162">
      <c r="A5162" s="1">
        <v>50048.0</v>
      </c>
      <c r="B5162" s="1">
        <v>17141.0</v>
      </c>
      <c r="C5162" s="1">
        <v>1.619669315E9</v>
      </c>
      <c r="D5162" s="1">
        <v>4.0</v>
      </c>
      <c r="E5162" s="1" t="b">
        <v>0</v>
      </c>
      <c r="F5162" s="1" t="s">
        <v>18879</v>
      </c>
    </row>
    <row r="5163">
      <c r="A5163" s="1">
        <v>50048.0</v>
      </c>
      <c r="B5163" s="1">
        <v>17147.0</v>
      </c>
      <c r="C5163" s="1">
        <v>1.619116148E9</v>
      </c>
      <c r="D5163" s="1">
        <v>4.0</v>
      </c>
      <c r="E5163" s="1" t="b">
        <v>0</v>
      </c>
      <c r="F5163" s="1" t="s">
        <v>18880</v>
      </c>
    </row>
    <row r="5164">
      <c r="A5164" s="1">
        <v>50048.0</v>
      </c>
      <c r="B5164" s="1">
        <v>17104.0</v>
      </c>
      <c r="C5164" s="1">
        <v>1.619029198E9</v>
      </c>
      <c r="D5164" s="1">
        <v>4.0</v>
      </c>
      <c r="E5164" s="1" t="b">
        <v>0</v>
      </c>
      <c r="F5164" s="1" t="s">
        <v>18881</v>
      </c>
    </row>
    <row r="5165">
      <c r="A5165" s="1">
        <v>50048.0</v>
      </c>
      <c r="B5165" s="1">
        <v>17138.0</v>
      </c>
      <c r="C5165" s="1">
        <v>1.619103443E9</v>
      </c>
      <c r="D5165" s="1">
        <v>4.0</v>
      </c>
      <c r="E5165" s="1" t="b">
        <v>0</v>
      </c>
      <c r="F5165" s="1" t="s">
        <v>18882</v>
      </c>
    </row>
    <row r="5166">
      <c r="A5166" s="1">
        <v>50048.0</v>
      </c>
      <c r="B5166" s="1">
        <v>17482.0</v>
      </c>
      <c r="C5166" s="1">
        <v>1.620203094E9</v>
      </c>
      <c r="D5166" s="1">
        <v>4.0</v>
      </c>
      <c r="E5166" s="1" t="b">
        <v>0</v>
      </c>
      <c r="F5166" s="1" t="s">
        <v>17266</v>
      </c>
    </row>
    <row r="5167">
      <c r="A5167" s="1">
        <v>50048.0</v>
      </c>
      <c r="B5167" s="1">
        <v>17957.0</v>
      </c>
      <c r="C5167" s="1">
        <v>1.620732493E9</v>
      </c>
      <c r="D5167" s="1">
        <v>4.0</v>
      </c>
      <c r="E5167" s="1" t="b">
        <v>0</v>
      </c>
      <c r="F5167" s="1" t="s">
        <v>18883</v>
      </c>
    </row>
    <row r="5168">
      <c r="A5168" s="1">
        <v>50048.0</v>
      </c>
      <c r="B5168" s="1">
        <v>17140.0</v>
      </c>
      <c r="C5168" s="1">
        <v>1.619103527E9</v>
      </c>
      <c r="D5168" s="1">
        <v>4.0</v>
      </c>
      <c r="E5168" s="1" t="b">
        <v>0</v>
      </c>
      <c r="F5168" s="1" t="s">
        <v>18884</v>
      </c>
    </row>
    <row r="5169">
      <c r="A5169" s="1">
        <v>50051.0</v>
      </c>
      <c r="B5169" s="1">
        <v>17165.0</v>
      </c>
      <c r="C5169" s="1">
        <v>1.619155375E9</v>
      </c>
      <c r="D5169" s="1">
        <v>9.0</v>
      </c>
      <c r="E5169" s="1" t="b">
        <v>0</v>
      </c>
      <c r="F5169" s="1" t="s">
        <v>18885</v>
      </c>
      <c r="G5169" s="1" t="b">
        <v>1</v>
      </c>
    </row>
    <row r="5170">
      <c r="A5170" s="1">
        <v>50051.0</v>
      </c>
      <c r="B5170" s="1">
        <v>17178.0</v>
      </c>
      <c r="C5170" s="1">
        <v>1.619168569E9</v>
      </c>
      <c r="D5170" s="1">
        <v>4.0</v>
      </c>
      <c r="E5170" s="1" t="b">
        <v>0</v>
      </c>
      <c r="F5170" s="1" t="s">
        <v>18886</v>
      </c>
      <c r="G5170" s="1" t="b">
        <v>1</v>
      </c>
    </row>
    <row r="5171">
      <c r="A5171" s="1">
        <v>50051.0</v>
      </c>
      <c r="B5171" s="1">
        <v>18311.0</v>
      </c>
      <c r="C5171" s="1">
        <v>1.621504998E9</v>
      </c>
      <c r="D5171" s="1">
        <v>4.0</v>
      </c>
      <c r="E5171" s="1" t="b">
        <v>0</v>
      </c>
      <c r="F5171" s="1" t="s">
        <v>18887</v>
      </c>
    </row>
    <row r="5172">
      <c r="A5172" s="1">
        <v>50051.0</v>
      </c>
      <c r="B5172" s="1">
        <v>17164.0</v>
      </c>
      <c r="C5172" s="1">
        <v>1.619155443E9</v>
      </c>
      <c r="D5172" s="1">
        <v>4.0</v>
      </c>
      <c r="E5172" s="1" t="b">
        <v>0</v>
      </c>
      <c r="F5172" s="1" t="s">
        <v>18888</v>
      </c>
      <c r="G5172" s="1" t="b">
        <v>1</v>
      </c>
    </row>
    <row r="5173">
      <c r="A5173" s="1">
        <v>50051.0</v>
      </c>
      <c r="B5173" s="1">
        <v>17161.0</v>
      </c>
      <c r="C5173" s="1">
        <v>1.619153868E9</v>
      </c>
      <c r="D5173" s="1">
        <v>4.0</v>
      </c>
      <c r="E5173" s="1" t="b">
        <v>0</v>
      </c>
      <c r="F5173" s="1" t="s">
        <v>18889</v>
      </c>
      <c r="G5173" s="1" t="b">
        <v>1</v>
      </c>
    </row>
    <row r="5174">
      <c r="A5174" s="1">
        <v>50051.0</v>
      </c>
      <c r="B5174" s="1">
        <v>17159.0</v>
      </c>
      <c r="C5174" s="1">
        <v>1.619153686E9</v>
      </c>
      <c r="D5174" s="1">
        <v>4.0</v>
      </c>
      <c r="E5174" s="1" t="b">
        <v>0</v>
      </c>
      <c r="F5174" s="1" t="s">
        <v>18890</v>
      </c>
      <c r="G5174" s="1" t="b">
        <v>1</v>
      </c>
    </row>
    <row r="5175">
      <c r="A5175" s="1">
        <v>50051.0</v>
      </c>
      <c r="B5175" s="1">
        <v>17174.0</v>
      </c>
      <c r="C5175" s="1">
        <v>1.619161204E9</v>
      </c>
      <c r="D5175" s="1">
        <v>4.0</v>
      </c>
      <c r="E5175" s="1" t="b">
        <v>0</v>
      </c>
      <c r="F5175" s="1" t="s">
        <v>18891</v>
      </c>
      <c r="G5175" s="1" t="b">
        <v>1</v>
      </c>
    </row>
    <row r="5176">
      <c r="A5176" s="1">
        <v>50051.0</v>
      </c>
      <c r="B5176" s="1">
        <v>16912.0</v>
      </c>
      <c r="C5176" s="1">
        <v>1.619092292E9</v>
      </c>
      <c r="D5176" s="1">
        <v>4.0</v>
      </c>
      <c r="E5176" s="1" t="b">
        <v>0</v>
      </c>
      <c r="F5176" s="1" t="s">
        <v>16918</v>
      </c>
      <c r="G5176" s="1" t="b">
        <v>1</v>
      </c>
    </row>
    <row r="5177">
      <c r="A5177" s="1">
        <v>50051.0</v>
      </c>
      <c r="B5177" s="1">
        <v>16968.0</v>
      </c>
      <c r="C5177" s="1">
        <v>1.61909165E9</v>
      </c>
      <c r="D5177" s="1">
        <v>1.0</v>
      </c>
      <c r="E5177" s="1" t="b">
        <v>1</v>
      </c>
      <c r="F5177" s="1" t="s">
        <v>18892</v>
      </c>
    </row>
    <row r="5178">
      <c r="A5178" s="1">
        <v>50052.0</v>
      </c>
      <c r="B5178" s="1">
        <v>20188.0</v>
      </c>
      <c r="C5178" s="1">
        <v>1.62390442E9</v>
      </c>
      <c r="D5178" s="1">
        <v>4.0</v>
      </c>
      <c r="E5178" s="1" t="b">
        <v>0</v>
      </c>
      <c r="F5178" s="1" t="s">
        <v>18893</v>
      </c>
    </row>
    <row r="5179">
      <c r="A5179" s="1">
        <v>50052.0</v>
      </c>
      <c r="B5179" s="1">
        <v>20117.0</v>
      </c>
      <c r="C5179" s="1">
        <v>1.62381196E9</v>
      </c>
      <c r="D5179" s="1">
        <v>4.0</v>
      </c>
      <c r="E5179" s="1" t="b">
        <v>0</v>
      </c>
      <c r="F5179" s="1" t="s">
        <v>18894</v>
      </c>
    </row>
    <row r="5180">
      <c r="A5180" s="1">
        <v>50052.0</v>
      </c>
      <c r="B5180" s="1">
        <v>19843.0</v>
      </c>
      <c r="C5180" s="1">
        <v>1.623388975E9</v>
      </c>
      <c r="D5180" s="1">
        <v>4.0</v>
      </c>
      <c r="E5180" s="1" t="b">
        <v>0</v>
      </c>
      <c r="F5180" s="1" t="s">
        <v>18895</v>
      </c>
    </row>
    <row r="5181">
      <c r="A5181" s="1">
        <v>50052.0</v>
      </c>
      <c r="B5181" s="1">
        <v>20014.0</v>
      </c>
      <c r="C5181" s="1">
        <v>1.623644138E9</v>
      </c>
      <c r="D5181" s="1">
        <v>4.0</v>
      </c>
      <c r="E5181" s="1" t="b">
        <v>0</v>
      </c>
      <c r="F5181" s="1" t="s">
        <v>18896</v>
      </c>
    </row>
    <row r="5182">
      <c r="A5182" s="1">
        <v>50052.0</v>
      </c>
      <c r="B5182" s="1">
        <v>19647.0</v>
      </c>
      <c r="C5182" s="1">
        <v>1.623089966E9</v>
      </c>
      <c r="D5182" s="1">
        <v>4.0</v>
      </c>
      <c r="E5182" s="1" t="b">
        <v>0</v>
      </c>
      <c r="F5182" s="1" t="s">
        <v>18897</v>
      </c>
    </row>
    <row r="5183">
      <c r="A5183" s="1">
        <v>50052.0</v>
      </c>
      <c r="B5183" s="1">
        <v>17956.0</v>
      </c>
      <c r="C5183" s="1">
        <v>1.621012711E9</v>
      </c>
      <c r="D5183" s="1">
        <v>4.0</v>
      </c>
      <c r="E5183" s="1" t="b">
        <v>0</v>
      </c>
      <c r="F5183" s="1" t="s">
        <v>18372</v>
      </c>
    </row>
    <row r="5184">
      <c r="A5184" s="1">
        <v>50052.0</v>
      </c>
      <c r="B5184" s="1">
        <v>19402.0</v>
      </c>
      <c r="C5184" s="1">
        <v>1.623140761E9</v>
      </c>
      <c r="D5184" s="1">
        <v>4.0</v>
      </c>
      <c r="E5184" s="1" t="b">
        <v>0</v>
      </c>
      <c r="F5184" s="1" t="s">
        <v>18898</v>
      </c>
    </row>
    <row r="5185">
      <c r="A5185" s="1">
        <v>50052.0</v>
      </c>
      <c r="B5185" s="1">
        <v>18444.0</v>
      </c>
      <c r="C5185" s="1">
        <v>1.62159744E9</v>
      </c>
      <c r="D5185" s="1">
        <v>4.0</v>
      </c>
      <c r="E5185" s="1" t="b">
        <v>0</v>
      </c>
      <c r="F5185" s="1" t="s">
        <v>18899</v>
      </c>
    </row>
    <row r="5186">
      <c r="A5186" s="1">
        <v>50052.0</v>
      </c>
      <c r="B5186" s="1">
        <v>19355.0</v>
      </c>
      <c r="C5186" s="1">
        <v>1.622628689E9</v>
      </c>
      <c r="D5186" s="1">
        <v>4.0</v>
      </c>
      <c r="E5186" s="1" t="b">
        <v>0</v>
      </c>
      <c r="F5186" s="1" t="s">
        <v>18900</v>
      </c>
    </row>
    <row r="5187">
      <c r="A5187" s="1">
        <v>50052.0</v>
      </c>
      <c r="B5187" s="1">
        <v>20426.0</v>
      </c>
      <c r="C5187" s="1">
        <v>1.62435246E9</v>
      </c>
      <c r="D5187" s="1">
        <v>4.0</v>
      </c>
      <c r="E5187" s="1" t="b">
        <v>0</v>
      </c>
      <c r="F5187" s="1" t="s">
        <v>18901</v>
      </c>
    </row>
    <row r="5188">
      <c r="A5188" s="1">
        <v>50052.0</v>
      </c>
      <c r="B5188" s="1">
        <v>20464.0</v>
      </c>
      <c r="C5188" s="1">
        <v>0.0</v>
      </c>
      <c r="D5188" s="1">
        <v>4.0</v>
      </c>
      <c r="E5188" s="1" t="b">
        <v>0</v>
      </c>
      <c r="F5188" s="1" t="s">
        <v>18902</v>
      </c>
    </row>
    <row r="5189">
      <c r="A5189" s="1">
        <v>50052.0</v>
      </c>
      <c r="B5189" s="1">
        <v>19133.0</v>
      </c>
      <c r="C5189" s="1">
        <v>1.622620848E9</v>
      </c>
      <c r="D5189" s="1">
        <v>4.0</v>
      </c>
      <c r="E5189" s="1" t="b">
        <v>0</v>
      </c>
      <c r="F5189" s="1" t="s">
        <v>18903</v>
      </c>
    </row>
    <row r="5190">
      <c r="A5190" s="1">
        <v>50052.0</v>
      </c>
      <c r="B5190" s="1">
        <v>19939.0</v>
      </c>
      <c r="C5190" s="1">
        <v>1.623515665E9</v>
      </c>
      <c r="D5190" s="1">
        <v>4.0</v>
      </c>
      <c r="E5190" s="1" t="b">
        <v>0</v>
      </c>
      <c r="F5190" s="1" t="s">
        <v>18904</v>
      </c>
    </row>
    <row r="5191">
      <c r="A5191" s="1">
        <v>50052.0</v>
      </c>
      <c r="B5191" s="1">
        <v>19483.0</v>
      </c>
      <c r="C5191" s="1">
        <v>1.622784251E9</v>
      </c>
      <c r="D5191" s="1">
        <v>4.0</v>
      </c>
      <c r="E5191" s="1" t="b">
        <v>0</v>
      </c>
      <c r="F5191" s="1" t="s">
        <v>18905</v>
      </c>
    </row>
    <row r="5192">
      <c r="A5192" s="1">
        <v>50052.0</v>
      </c>
      <c r="B5192" s="1">
        <v>20369.0</v>
      </c>
      <c r="C5192" s="1">
        <v>1.624238951E9</v>
      </c>
      <c r="D5192" s="1">
        <v>4.0</v>
      </c>
      <c r="E5192" s="1" t="b">
        <v>0</v>
      </c>
      <c r="F5192" s="1" t="s">
        <v>18906</v>
      </c>
    </row>
    <row r="5193">
      <c r="A5193" s="1">
        <v>50052.0</v>
      </c>
      <c r="B5193" s="1">
        <v>18897.0</v>
      </c>
      <c r="C5193" s="1">
        <v>1.622112364E9</v>
      </c>
      <c r="D5193" s="1">
        <v>4.0</v>
      </c>
      <c r="E5193" s="1" t="b">
        <v>0</v>
      </c>
      <c r="F5193" s="1" t="s">
        <v>18907</v>
      </c>
    </row>
    <row r="5194">
      <c r="A5194" s="1">
        <v>50052.0</v>
      </c>
      <c r="B5194" s="1">
        <v>18808.0</v>
      </c>
      <c r="C5194" s="1">
        <v>1.622037903E9</v>
      </c>
      <c r="D5194" s="1">
        <v>4.0</v>
      </c>
      <c r="E5194" s="1" t="b">
        <v>0</v>
      </c>
      <c r="F5194" s="1" t="s">
        <v>18908</v>
      </c>
    </row>
    <row r="5195">
      <c r="A5195" s="1">
        <v>50052.0</v>
      </c>
      <c r="B5195" s="1">
        <v>19360.0</v>
      </c>
      <c r="C5195" s="1">
        <v>1.623140772E9</v>
      </c>
      <c r="D5195" s="1">
        <v>4.0</v>
      </c>
      <c r="E5195" s="1" t="b">
        <v>0</v>
      </c>
      <c r="F5195" s="1" t="s">
        <v>18909</v>
      </c>
    </row>
    <row r="5196">
      <c r="A5196" s="1">
        <v>50052.0</v>
      </c>
      <c r="B5196" s="1">
        <v>17902.0</v>
      </c>
      <c r="C5196" s="1">
        <v>1.62064462E9</v>
      </c>
      <c r="D5196" s="1">
        <v>4.0</v>
      </c>
      <c r="E5196" s="1" t="b">
        <v>0</v>
      </c>
      <c r="F5196" s="1" t="s">
        <v>18910</v>
      </c>
    </row>
    <row r="5197">
      <c r="A5197" s="1">
        <v>50052.0</v>
      </c>
      <c r="B5197" s="1">
        <v>19190.0</v>
      </c>
      <c r="C5197" s="1">
        <v>1.622467423E9</v>
      </c>
      <c r="D5197" s="1">
        <v>4.0</v>
      </c>
      <c r="E5197" s="1" t="b">
        <v>0</v>
      </c>
      <c r="F5197" s="1" t="s">
        <v>18911</v>
      </c>
    </row>
    <row r="5198">
      <c r="A5198" s="1">
        <v>50052.0</v>
      </c>
      <c r="B5198" s="1">
        <v>20413.0</v>
      </c>
      <c r="C5198" s="1">
        <v>1.624336951E9</v>
      </c>
      <c r="D5198" s="1">
        <v>4.0</v>
      </c>
      <c r="E5198" s="1" t="b">
        <v>0</v>
      </c>
      <c r="F5198" s="1" t="s">
        <v>18912</v>
      </c>
    </row>
    <row r="5199">
      <c r="A5199" s="1">
        <v>50052.0</v>
      </c>
      <c r="B5199" s="1">
        <v>18488.0</v>
      </c>
      <c r="C5199" s="1">
        <v>1.621661015E9</v>
      </c>
      <c r="D5199" s="1">
        <v>4.0</v>
      </c>
      <c r="E5199" s="1" t="b">
        <v>0</v>
      </c>
      <c r="F5199" s="1" t="s">
        <v>18913</v>
      </c>
    </row>
    <row r="5200">
      <c r="A5200" s="1">
        <v>50052.0</v>
      </c>
      <c r="B5200" s="1">
        <v>19204.0</v>
      </c>
      <c r="C5200" s="1">
        <v>1.622473158E9</v>
      </c>
      <c r="D5200" s="1">
        <v>4.0</v>
      </c>
      <c r="E5200" s="1" t="b">
        <v>0</v>
      </c>
      <c r="F5200" s="1" t="s">
        <v>18914</v>
      </c>
    </row>
    <row r="5201">
      <c r="A5201" s="1">
        <v>50052.0</v>
      </c>
      <c r="B5201" s="1">
        <v>19566.0</v>
      </c>
      <c r="C5201" s="1">
        <v>1.62299023E9</v>
      </c>
      <c r="D5201" s="1">
        <v>4.0</v>
      </c>
      <c r="E5201" s="1" t="b">
        <v>0</v>
      </c>
      <c r="F5201" s="1" t="s">
        <v>18915</v>
      </c>
    </row>
    <row r="5202">
      <c r="A5202" s="1">
        <v>50052.0</v>
      </c>
      <c r="B5202" s="1">
        <v>18950.0</v>
      </c>
      <c r="C5202" s="1">
        <v>1.622205929E9</v>
      </c>
      <c r="D5202" s="1">
        <v>4.0</v>
      </c>
      <c r="E5202" s="1" t="b">
        <v>0</v>
      </c>
      <c r="F5202" s="1" t="s">
        <v>18916</v>
      </c>
    </row>
    <row r="5203">
      <c r="A5203" s="1">
        <v>50052.0</v>
      </c>
      <c r="B5203" s="1">
        <v>19905.0</v>
      </c>
      <c r="C5203" s="1">
        <v>1.623446479E9</v>
      </c>
      <c r="D5203" s="1">
        <v>4.0</v>
      </c>
      <c r="E5203" s="1" t="b">
        <v>0</v>
      </c>
      <c r="F5203" s="1" t="s">
        <v>18917</v>
      </c>
    </row>
    <row r="5204">
      <c r="A5204" s="1">
        <v>50052.0</v>
      </c>
      <c r="B5204" s="1">
        <v>20058.0</v>
      </c>
      <c r="C5204" s="1">
        <v>1.623696126E9</v>
      </c>
      <c r="D5204" s="1">
        <v>4.0</v>
      </c>
      <c r="E5204" s="1" t="b">
        <v>0</v>
      </c>
      <c r="F5204" s="1" t="s">
        <v>18918</v>
      </c>
    </row>
    <row r="5205">
      <c r="A5205" s="1">
        <v>50052.0</v>
      </c>
      <c r="B5205" s="1">
        <v>19134.0</v>
      </c>
      <c r="C5205" s="1">
        <v>1.622427589E9</v>
      </c>
      <c r="D5205" s="1">
        <v>4.0</v>
      </c>
      <c r="E5205" s="1" t="b">
        <v>0</v>
      </c>
      <c r="F5205" s="1" t="s">
        <v>18919</v>
      </c>
    </row>
    <row r="5206">
      <c r="A5206" s="1">
        <v>50052.0</v>
      </c>
      <c r="B5206" s="1">
        <v>19793.0</v>
      </c>
      <c r="C5206" s="1">
        <v>1.623315058E9</v>
      </c>
      <c r="D5206" s="1">
        <v>4.0</v>
      </c>
      <c r="E5206" s="1" t="b">
        <v>0</v>
      </c>
      <c r="F5206" s="1" t="s">
        <v>18920</v>
      </c>
    </row>
    <row r="5207">
      <c r="A5207" s="1">
        <v>50052.0</v>
      </c>
      <c r="B5207" s="1">
        <v>19094.0</v>
      </c>
      <c r="C5207" s="1">
        <v>1.622370674E9</v>
      </c>
      <c r="D5207" s="1">
        <v>4.0</v>
      </c>
      <c r="E5207" s="1" t="b">
        <v>0</v>
      </c>
      <c r="F5207" s="1" t="s">
        <v>18921</v>
      </c>
    </row>
    <row r="5208">
      <c r="A5208" s="1">
        <v>50052.0</v>
      </c>
      <c r="B5208" s="1">
        <v>19946.0</v>
      </c>
      <c r="C5208" s="1">
        <v>1.623519141E9</v>
      </c>
      <c r="D5208" s="1">
        <v>4.0</v>
      </c>
      <c r="E5208" s="1" t="b">
        <v>0</v>
      </c>
      <c r="F5208" s="1" t="s">
        <v>18922</v>
      </c>
    </row>
    <row r="5209">
      <c r="A5209" s="1">
        <v>50052.0</v>
      </c>
      <c r="B5209" s="1">
        <v>19342.0</v>
      </c>
      <c r="C5209" s="1">
        <v>1.622619544E9</v>
      </c>
      <c r="D5209" s="1">
        <v>4.0</v>
      </c>
      <c r="E5209" s="1" t="b">
        <v>0</v>
      </c>
      <c r="F5209" s="1" t="s">
        <v>18923</v>
      </c>
    </row>
    <row r="5210">
      <c r="A5210" s="1">
        <v>50052.0</v>
      </c>
      <c r="B5210" s="1">
        <v>20414.0</v>
      </c>
      <c r="C5210" s="1">
        <v>1.624337769E9</v>
      </c>
      <c r="D5210" s="1">
        <v>4.0</v>
      </c>
      <c r="E5210" s="1" t="b">
        <v>0</v>
      </c>
      <c r="F5210" s="1" t="s">
        <v>18924</v>
      </c>
    </row>
    <row r="5211">
      <c r="A5211" s="1">
        <v>50052.0</v>
      </c>
      <c r="B5211" s="1">
        <v>18915.0</v>
      </c>
      <c r="C5211" s="1">
        <v>1.622129798E9</v>
      </c>
      <c r="D5211" s="1">
        <v>4.0</v>
      </c>
      <c r="E5211" s="1" t="b">
        <v>0</v>
      </c>
      <c r="F5211" s="1" t="s">
        <v>18925</v>
      </c>
    </row>
    <row r="5212">
      <c r="A5212" s="1">
        <v>50052.0</v>
      </c>
      <c r="B5212" s="1">
        <v>18783.0</v>
      </c>
      <c r="C5212" s="1">
        <v>1.621952678E9</v>
      </c>
      <c r="D5212" s="1">
        <v>4.0</v>
      </c>
      <c r="E5212" s="1" t="b">
        <v>0</v>
      </c>
      <c r="F5212" s="1" t="s">
        <v>18926</v>
      </c>
    </row>
    <row r="5213">
      <c r="A5213" s="1">
        <v>50052.0</v>
      </c>
      <c r="B5213" s="1">
        <v>20417.0</v>
      </c>
      <c r="C5213" s="1">
        <v>1.624339444E9</v>
      </c>
      <c r="D5213" s="1">
        <v>4.0</v>
      </c>
      <c r="E5213" s="1" t="b">
        <v>0</v>
      </c>
      <c r="F5213" s="1" t="s">
        <v>18927</v>
      </c>
    </row>
    <row r="5214">
      <c r="A5214" s="1">
        <v>50052.0</v>
      </c>
      <c r="B5214" s="1">
        <v>18876.0</v>
      </c>
      <c r="C5214" s="1">
        <v>1.622089009E9</v>
      </c>
      <c r="D5214" s="1">
        <v>4.0</v>
      </c>
      <c r="E5214" s="1" t="b">
        <v>0</v>
      </c>
      <c r="F5214" s="1" t="s">
        <v>14828</v>
      </c>
    </row>
    <row r="5215">
      <c r="A5215" s="1">
        <v>50052.0</v>
      </c>
      <c r="B5215" s="1">
        <v>20301.0</v>
      </c>
      <c r="C5215" s="1">
        <v>1.624084682E9</v>
      </c>
      <c r="D5215" s="1">
        <v>4.0</v>
      </c>
      <c r="E5215" s="1" t="b">
        <v>0</v>
      </c>
      <c r="F5215" s="1" t="s">
        <v>18928</v>
      </c>
    </row>
    <row r="5216">
      <c r="A5216" s="1">
        <v>50052.0</v>
      </c>
      <c r="B5216" s="1">
        <v>20295.0</v>
      </c>
      <c r="C5216" s="1">
        <v>1.624074589E9</v>
      </c>
      <c r="D5216" s="1">
        <v>4.0</v>
      </c>
      <c r="E5216" s="1" t="b">
        <v>0</v>
      </c>
      <c r="F5216" s="1" t="s">
        <v>18929</v>
      </c>
    </row>
    <row r="5217">
      <c r="A5217" s="1">
        <v>50052.0</v>
      </c>
      <c r="B5217" s="1">
        <v>19676.0</v>
      </c>
      <c r="C5217" s="1">
        <v>1.623142114E9</v>
      </c>
      <c r="D5217" s="1">
        <v>4.0</v>
      </c>
      <c r="E5217" s="1" t="b">
        <v>0</v>
      </c>
      <c r="F5217" s="1" t="s">
        <v>18930</v>
      </c>
    </row>
    <row r="5218">
      <c r="A5218" s="1">
        <v>50052.0</v>
      </c>
      <c r="B5218" s="1">
        <v>19372.0</v>
      </c>
      <c r="C5218" s="1">
        <v>1.622639447E9</v>
      </c>
      <c r="D5218" s="1">
        <v>4.0</v>
      </c>
      <c r="E5218" s="1" t="b">
        <v>0</v>
      </c>
      <c r="F5218" s="1" t="s">
        <v>18931</v>
      </c>
    </row>
    <row r="5219">
      <c r="A5219" s="1">
        <v>50052.0</v>
      </c>
      <c r="B5219" s="1">
        <v>20224.0</v>
      </c>
      <c r="C5219" s="1">
        <v>1.624107627E9</v>
      </c>
      <c r="D5219" s="1">
        <v>4.0</v>
      </c>
      <c r="E5219" s="1" t="b">
        <v>0</v>
      </c>
      <c r="F5219" s="1" t="s">
        <v>18932</v>
      </c>
    </row>
    <row r="5220">
      <c r="A5220" s="1">
        <v>50052.0</v>
      </c>
      <c r="B5220" s="1">
        <v>19920.0</v>
      </c>
      <c r="C5220" s="1">
        <v>1.623493502E9</v>
      </c>
      <c r="D5220" s="1">
        <v>4.0</v>
      </c>
      <c r="E5220" s="1" t="b">
        <v>0</v>
      </c>
      <c r="F5220" s="1" t="s">
        <v>18933</v>
      </c>
    </row>
    <row r="5221">
      <c r="A5221" s="1">
        <v>50052.0</v>
      </c>
      <c r="B5221" s="1">
        <v>19977.0</v>
      </c>
      <c r="C5221" s="1">
        <v>1.623584588E9</v>
      </c>
      <c r="D5221" s="1">
        <v>4.0</v>
      </c>
      <c r="E5221" s="1" t="b">
        <v>0</v>
      </c>
      <c r="F5221" s="1" t="s">
        <v>18934</v>
      </c>
    </row>
    <row r="5222">
      <c r="A5222" s="1">
        <v>50052.0</v>
      </c>
      <c r="B5222" s="1">
        <v>20486.0</v>
      </c>
      <c r="C5222" s="1">
        <v>0.0</v>
      </c>
      <c r="D5222" s="1">
        <v>3.0</v>
      </c>
      <c r="E5222" s="1" t="b">
        <v>0</v>
      </c>
      <c r="F5222" s="1" t="s">
        <v>18935</v>
      </c>
    </row>
    <row r="5223">
      <c r="A5223" s="1">
        <v>50052.0</v>
      </c>
      <c r="B5223" s="1">
        <v>19546.0</v>
      </c>
      <c r="C5223" s="1">
        <v>1.622983375E9</v>
      </c>
      <c r="D5223" s="1">
        <v>4.0</v>
      </c>
      <c r="E5223" s="1" t="b">
        <v>0</v>
      </c>
      <c r="F5223" s="1" t="s">
        <v>18936</v>
      </c>
    </row>
    <row r="5224">
      <c r="A5224" s="1">
        <v>50052.0</v>
      </c>
      <c r="B5224" s="1">
        <v>20260.0</v>
      </c>
      <c r="C5224" s="1">
        <v>1.62399725E9</v>
      </c>
      <c r="D5224" s="1">
        <v>4.0</v>
      </c>
      <c r="E5224" s="1" t="b">
        <v>0</v>
      </c>
      <c r="F5224" s="1" t="s">
        <v>18937</v>
      </c>
    </row>
    <row r="5225">
      <c r="A5225" s="1">
        <v>50052.0</v>
      </c>
      <c r="B5225" s="1">
        <v>17799.0</v>
      </c>
      <c r="C5225" s="1">
        <v>1.620540534E9</v>
      </c>
      <c r="D5225" s="1">
        <v>4.0</v>
      </c>
      <c r="E5225" s="1" t="b">
        <v>0</v>
      </c>
      <c r="F5225" s="1" t="s">
        <v>18938</v>
      </c>
    </row>
    <row r="5226">
      <c r="A5226" s="1">
        <v>50052.0</v>
      </c>
      <c r="B5226" s="1">
        <v>17218.0</v>
      </c>
      <c r="C5226" s="1">
        <v>1.619243544E9</v>
      </c>
      <c r="D5226" s="1">
        <v>4.0</v>
      </c>
      <c r="E5226" s="1" t="b">
        <v>0</v>
      </c>
      <c r="F5226" s="1" t="s">
        <v>18939</v>
      </c>
    </row>
    <row r="5227">
      <c r="A5227" s="1">
        <v>50052.0</v>
      </c>
      <c r="B5227" s="1">
        <v>20361.0</v>
      </c>
      <c r="C5227" s="1">
        <v>1.624207507E9</v>
      </c>
      <c r="D5227" s="1">
        <v>4.0</v>
      </c>
      <c r="E5227" s="1" t="b">
        <v>0</v>
      </c>
      <c r="F5227" s="1" t="s">
        <v>18940</v>
      </c>
    </row>
    <row r="5228">
      <c r="A5228" s="1">
        <v>50052.0</v>
      </c>
      <c r="B5228" s="1">
        <v>17875.0</v>
      </c>
      <c r="C5228" s="1">
        <v>1.620616407E9</v>
      </c>
      <c r="D5228" s="1">
        <v>4.0</v>
      </c>
      <c r="E5228" s="1" t="b">
        <v>0</v>
      </c>
      <c r="F5228" s="1" t="s">
        <v>18941</v>
      </c>
    </row>
    <row r="5229">
      <c r="A5229" s="1">
        <v>50052.0</v>
      </c>
      <c r="B5229" s="1">
        <v>19933.0</v>
      </c>
      <c r="C5229" s="1">
        <v>1.623514924E9</v>
      </c>
      <c r="D5229" s="1">
        <v>4.0</v>
      </c>
      <c r="E5229" s="1" t="b">
        <v>0</v>
      </c>
      <c r="F5229" s="1" t="s">
        <v>18942</v>
      </c>
    </row>
    <row r="5230">
      <c r="A5230" s="1">
        <v>50052.0</v>
      </c>
      <c r="B5230" s="1">
        <v>19993.0</v>
      </c>
      <c r="C5230" s="1">
        <v>1.623600168E9</v>
      </c>
      <c r="D5230" s="1">
        <v>4.0</v>
      </c>
      <c r="E5230" s="1" t="b">
        <v>0</v>
      </c>
      <c r="F5230" s="1" t="s">
        <v>18943</v>
      </c>
    </row>
    <row r="5231">
      <c r="A5231" s="1">
        <v>50052.0</v>
      </c>
      <c r="B5231" s="1">
        <v>20324.0</v>
      </c>
      <c r="C5231" s="1">
        <v>1.624120125E9</v>
      </c>
      <c r="D5231" s="1">
        <v>4.0</v>
      </c>
      <c r="E5231" s="1" t="b">
        <v>0</v>
      </c>
      <c r="F5231" s="1" t="s">
        <v>18944</v>
      </c>
    </row>
    <row r="5232">
      <c r="A5232" s="1">
        <v>50052.0</v>
      </c>
      <c r="B5232" s="1">
        <v>20088.0</v>
      </c>
      <c r="C5232" s="1">
        <v>1.623757555E9</v>
      </c>
      <c r="D5232" s="1">
        <v>4.0</v>
      </c>
      <c r="E5232" s="1" t="b">
        <v>0</v>
      </c>
      <c r="F5232" s="1" t="s">
        <v>18945</v>
      </c>
    </row>
    <row r="5233">
      <c r="A5233" s="1">
        <v>50052.0</v>
      </c>
      <c r="B5233" s="1">
        <v>18557.0</v>
      </c>
      <c r="C5233" s="1">
        <v>1.621702926E9</v>
      </c>
      <c r="D5233" s="1">
        <v>4.0</v>
      </c>
      <c r="E5233" s="1" t="b">
        <v>0</v>
      </c>
      <c r="F5233" s="1" t="s">
        <v>18946</v>
      </c>
    </row>
    <row r="5234">
      <c r="A5234" s="1">
        <v>50052.0</v>
      </c>
      <c r="B5234" s="1">
        <v>16981.0</v>
      </c>
      <c r="C5234" s="1">
        <v>1.619099312E9</v>
      </c>
      <c r="D5234" s="1">
        <v>1.0</v>
      </c>
      <c r="E5234" s="1" t="b">
        <v>1</v>
      </c>
      <c r="F5234" s="1" t="s">
        <v>17955</v>
      </c>
      <c r="G5234" s="1" t="b">
        <v>1</v>
      </c>
    </row>
    <row r="5235">
      <c r="A5235" s="1">
        <v>50052.0</v>
      </c>
      <c r="B5235" s="1">
        <v>16912.0</v>
      </c>
      <c r="C5235" s="1">
        <v>1.619100668E9</v>
      </c>
      <c r="D5235" s="1">
        <v>4.0</v>
      </c>
      <c r="E5235" s="1" t="b">
        <v>0</v>
      </c>
      <c r="F5235" s="1" t="s">
        <v>16918</v>
      </c>
      <c r="G5235" s="1" t="b">
        <v>1</v>
      </c>
    </row>
    <row r="5236">
      <c r="A5236" s="1">
        <v>50052.0</v>
      </c>
      <c r="B5236" s="1">
        <v>19791.0</v>
      </c>
      <c r="C5236" s="1">
        <v>1.6233373E9</v>
      </c>
      <c r="D5236" s="1">
        <v>4.0</v>
      </c>
      <c r="E5236" s="1" t="b">
        <v>0</v>
      </c>
      <c r="F5236" s="1" t="s">
        <v>18947</v>
      </c>
    </row>
    <row r="5237">
      <c r="A5237" s="1">
        <v>50052.0</v>
      </c>
      <c r="B5237" s="1">
        <v>19233.0</v>
      </c>
      <c r="C5237" s="1">
        <v>1.622620842E9</v>
      </c>
      <c r="D5237" s="1">
        <v>4.0</v>
      </c>
      <c r="E5237" s="1" t="b">
        <v>0</v>
      </c>
      <c r="F5237" s="1" t="s">
        <v>18948</v>
      </c>
    </row>
    <row r="5238">
      <c r="A5238" s="1">
        <v>50052.0</v>
      </c>
      <c r="B5238" s="1">
        <v>19607.0</v>
      </c>
      <c r="C5238" s="1">
        <v>1.623060447E9</v>
      </c>
      <c r="D5238" s="1">
        <v>4.0</v>
      </c>
      <c r="E5238" s="1" t="b">
        <v>0</v>
      </c>
      <c r="F5238" s="1" t="s">
        <v>18949</v>
      </c>
    </row>
    <row r="5239">
      <c r="A5239" s="1">
        <v>50052.0</v>
      </c>
      <c r="B5239" s="1">
        <v>19807.0</v>
      </c>
      <c r="C5239" s="1">
        <v>1.623326727E9</v>
      </c>
      <c r="D5239" s="1">
        <v>4.0</v>
      </c>
      <c r="E5239" s="1" t="b">
        <v>0</v>
      </c>
      <c r="F5239" s="1" t="s">
        <v>18950</v>
      </c>
    </row>
    <row r="5240">
      <c r="A5240" s="1">
        <v>50052.0</v>
      </c>
      <c r="B5240" s="1">
        <v>20248.0</v>
      </c>
      <c r="C5240" s="1">
        <v>1.623979648E9</v>
      </c>
      <c r="D5240" s="1">
        <v>4.0</v>
      </c>
      <c r="E5240" s="1" t="b">
        <v>0</v>
      </c>
      <c r="F5240" s="1" t="s">
        <v>18951</v>
      </c>
    </row>
    <row r="5241">
      <c r="A5241" s="1">
        <v>50052.0</v>
      </c>
      <c r="B5241" s="1">
        <v>18675.0</v>
      </c>
      <c r="C5241" s="1">
        <v>1.62183694E9</v>
      </c>
      <c r="D5241" s="1">
        <v>4.0</v>
      </c>
      <c r="E5241" s="1" t="b">
        <v>0</v>
      </c>
      <c r="F5241" s="1" t="s">
        <v>18952</v>
      </c>
    </row>
    <row r="5242">
      <c r="A5242" s="1">
        <v>50052.0</v>
      </c>
      <c r="B5242" s="1">
        <v>19576.0</v>
      </c>
      <c r="C5242" s="1">
        <v>1.623002535E9</v>
      </c>
      <c r="D5242" s="1">
        <v>4.0</v>
      </c>
      <c r="E5242" s="1" t="b">
        <v>0</v>
      </c>
      <c r="F5242" s="1" t="s">
        <v>18953</v>
      </c>
    </row>
    <row r="5243">
      <c r="A5243" s="1">
        <v>50052.0</v>
      </c>
      <c r="B5243" s="1">
        <v>20247.0</v>
      </c>
      <c r="C5243" s="1">
        <v>1.623979438E9</v>
      </c>
      <c r="D5243" s="1">
        <v>4.0</v>
      </c>
      <c r="E5243" s="1" t="b">
        <v>0</v>
      </c>
      <c r="F5243" s="1" t="s">
        <v>18954</v>
      </c>
    </row>
    <row r="5244">
      <c r="A5244" s="1">
        <v>50052.0</v>
      </c>
      <c r="B5244" s="1">
        <v>17792.0</v>
      </c>
      <c r="C5244" s="1">
        <v>1.620535043E9</v>
      </c>
      <c r="D5244" s="1">
        <v>4.0</v>
      </c>
      <c r="E5244" s="1" t="b">
        <v>0</v>
      </c>
      <c r="F5244" s="1" t="s">
        <v>18955</v>
      </c>
    </row>
    <row r="5245">
      <c r="A5245" s="1">
        <v>50052.0</v>
      </c>
      <c r="B5245" s="1">
        <v>20340.0</v>
      </c>
      <c r="C5245" s="1">
        <v>1.624169936E9</v>
      </c>
      <c r="D5245" s="1">
        <v>4.0</v>
      </c>
      <c r="E5245" s="1" t="b">
        <v>0</v>
      </c>
      <c r="F5245" s="1" t="s">
        <v>18956</v>
      </c>
    </row>
    <row r="5246">
      <c r="A5246" s="1">
        <v>50052.0</v>
      </c>
      <c r="B5246" s="1">
        <v>18807.0</v>
      </c>
      <c r="C5246" s="1">
        <v>1.622037887E9</v>
      </c>
      <c r="D5246" s="1">
        <v>4.0</v>
      </c>
      <c r="E5246" s="1" t="b">
        <v>0</v>
      </c>
      <c r="F5246" s="1" t="s">
        <v>18957</v>
      </c>
    </row>
    <row r="5247">
      <c r="A5247" s="1">
        <v>50052.0</v>
      </c>
      <c r="B5247" s="1">
        <v>20002.0</v>
      </c>
      <c r="C5247" s="1">
        <v>1.623608014E9</v>
      </c>
      <c r="D5247" s="1">
        <v>4.0</v>
      </c>
      <c r="E5247" s="1" t="b">
        <v>0</v>
      </c>
      <c r="F5247" s="1" t="s">
        <v>18958</v>
      </c>
    </row>
    <row r="5248">
      <c r="A5248" s="1">
        <v>50052.0</v>
      </c>
      <c r="B5248" s="1">
        <v>18415.0</v>
      </c>
      <c r="C5248" s="1">
        <v>1.621569655E9</v>
      </c>
      <c r="D5248" s="1">
        <v>4.0</v>
      </c>
      <c r="E5248" s="1" t="b">
        <v>0</v>
      </c>
      <c r="F5248" s="1" t="s">
        <v>18959</v>
      </c>
    </row>
    <row r="5249">
      <c r="A5249" s="1">
        <v>50052.0</v>
      </c>
      <c r="B5249" s="1">
        <v>20428.0</v>
      </c>
      <c r="C5249" s="1">
        <v>1.624356191E9</v>
      </c>
      <c r="D5249" s="1">
        <v>4.0</v>
      </c>
      <c r="E5249" s="1" t="b">
        <v>0</v>
      </c>
      <c r="F5249" s="1" t="s">
        <v>18960</v>
      </c>
    </row>
    <row r="5250">
      <c r="A5250" s="1">
        <v>50052.0</v>
      </c>
      <c r="B5250" s="1">
        <v>19626.0</v>
      </c>
      <c r="C5250" s="1">
        <v>1.623078369E9</v>
      </c>
      <c r="D5250" s="1">
        <v>4.0</v>
      </c>
      <c r="E5250" s="1" t="b">
        <v>0</v>
      </c>
      <c r="F5250" s="1" t="s">
        <v>18961</v>
      </c>
    </row>
    <row r="5251">
      <c r="A5251" s="1">
        <v>50052.0</v>
      </c>
      <c r="B5251" s="1">
        <v>19259.0</v>
      </c>
      <c r="C5251" s="1">
        <v>1.622620854E9</v>
      </c>
      <c r="D5251" s="1">
        <v>4.0</v>
      </c>
      <c r="E5251" s="1" t="b">
        <v>0</v>
      </c>
      <c r="F5251" s="1" t="s">
        <v>18962</v>
      </c>
    </row>
    <row r="5252">
      <c r="A5252" s="1">
        <v>50052.0</v>
      </c>
      <c r="B5252" s="1">
        <v>20450.0</v>
      </c>
      <c r="C5252" s="1">
        <v>1.624378163E9</v>
      </c>
      <c r="D5252" s="1">
        <v>4.0</v>
      </c>
      <c r="E5252" s="1" t="b">
        <v>0</v>
      </c>
      <c r="F5252" s="1" t="s">
        <v>18963</v>
      </c>
    </row>
    <row r="5253">
      <c r="A5253" s="1">
        <v>50052.0</v>
      </c>
      <c r="B5253" s="1">
        <v>19702.0</v>
      </c>
      <c r="C5253" s="1">
        <v>1.623172425E9</v>
      </c>
      <c r="D5253" s="1">
        <v>4.0</v>
      </c>
      <c r="E5253" s="1" t="b">
        <v>0</v>
      </c>
      <c r="F5253" s="1" t="s">
        <v>18964</v>
      </c>
    </row>
    <row r="5254">
      <c r="A5254" s="1">
        <v>50052.0</v>
      </c>
      <c r="B5254" s="1">
        <v>19673.0</v>
      </c>
      <c r="C5254" s="1">
        <v>1.623140752E9</v>
      </c>
      <c r="D5254" s="1">
        <v>4.0</v>
      </c>
      <c r="E5254" s="1" t="b">
        <v>0</v>
      </c>
      <c r="F5254" s="1" t="s">
        <v>18965</v>
      </c>
    </row>
    <row r="5255">
      <c r="A5255" s="1">
        <v>50052.0</v>
      </c>
      <c r="B5255" s="1">
        <v>18548.0</v>
      </c>
      <c r="C5255" s="1">
        <v>1.621828975E9</v>
      </c>
      <c r="D5255" s="1">
        <v>4.0</v>
      </c>
      <c r="E5255" s="1" t="b">
        <v>0</v>
      </c>
      <c r="F5255" s="1" t="s">
        <v>18966</v>
      </c>
    </row>
    <row r="5256">
      <c r="A5256" s="1">
        <v>50052.0</v>
      </c>
      <c r="B5256" s="1">
        <v>18759.0</v>
      </c>
      <c r="C5256" s="1">
        <v>1.621928545E9</v>
      </c>
      <c r="D5256" s="1">
        <v>4.0</v>
      </c>
      <c r="E5256" s="1" t="b">
        <v>0</v>
      </c>
      <c r="F5256" s="1" t="s">
        <v>18967</v>
      </c>
    </row>
    <row r="5257">
      <c r="A5257" s="1">
        <v>50052.0</v>
      </c>
      <c r="B5257" s="1">
        <v>19963.0</v>
      </c>
      <c r="C5257" s="1">
        <v>1.623630474E9</v>
      </c>
      <c r="D5257" s="1">
        <v>4.0</v>
      </c>
      <c r="E5257" s="1" t="b">
        <v>0</v>
      </c>
      <c r="F5257" s="1" t="s">
        <v>18968</v>
      </c>
    </row>
    <row r="5258">
      <c r="A5258" s="1">
        <v>50052.0</v>
      </c>
      <c r="B5258" s="1">
        <v>17876.0</v>
      </c>
      <c r="C5258" s="1">
        <v>1.62061759E9</v>
      </c>
      <c r="D5258" s="1">
        <v>4.0</v>
      </c>
      <c r="E5258" s="1" t="b">
        <v>0</v>
      </c>
      <c r="F5258" s="1" t="s">
        <v>18969</v>
      </c>
    </row>
    <row r="5259">
      <c r="A5259" s="1">
        <v>50054.0</v>
      </c>
      <c r="B5259" s="1">
        <v>19212.0</v>
      </c>
      <c r="C5259" s="1">
        <v>1.622480058E9</v>
      </c>
      <c r="D5259" s="1">
        <v>4.0</v>
      </c>
      <c r="E5259" s="1" t="b">
        <v>0</v>
      </c>
      <c r="F5259" s="1" t="s">
        <v>18970</v>
      </c>
    </row>
    <row r="5260">
      <c r="A5260" s="1">
        <v>50054.0</v>
      </c>
      <c r="B5260" s="1">
        <v>19677.0</v>
      </c>
      <c r="C5260" s="1">
        <v>1.623152503E9</v>
      </c>
      <c r="D5260" s="1">
        <v>4.0</v>
      </c>
      <c r="E5260" s="1" t="b">
        <v>0</v>
      </c>
      <c r="F5260" s="1" t="s">
        <v>18971</v>
      </c>
    </row>
    <row r="5261">
      <c r="A5261" s="1">
        <v>50054.0</v>
      </c>
      <c r="B5261" s="1">
        <v>19982.0</v>
      </c>
      <c r="C5261" s="1">
        <v>1.623589856E9</v>
      </c>
      <c r="D5261" s="1">
        <v>4.0</v>
      </c>
      <c r="E5261" s="1" t="b">
        <v>0</v>
      </c>
      <c r="F5261" s="1" t="s">
        <v>18972</v>
      </c>
    </row>
    <row r="5262">
      <c r="A5262" s="1">
        <v>50054.0</v>
      </c>
      <c r="B5262" s="1">
        <v>19715.0</v>
      </c>
      <c r="C5262" s="1">
        <v>1.623213011E9</v>
      </c>
      <c r="D5262" s="1">
        <v>4.0</v>
      </c>
      <c r="E5262" s="1" t="b">
        <v>0</v>
      </c>
      <c r="F5262" s="1" t="s">
        <v>18973</v>
      </c>
    </row>
    <row r="5263">
      <c r="A5263" s="1">
        <v>50054.0</v>
      </c>
      <c r="B5263" s="1">
        <v>17934.0</v>
      </c>
      <c r="C5263" s="1">
        <v>1.620918013E9</v>
      </c>
      <c r="D5263" s="1">
        <v>4.0</v>
      </c>
      <c r="E5263" s="1" t="b">
        <v>0</v>
      </c>
      <c r="F5263" s="1" t="s">
        <v>18974</v>
      </c>
    </row>
    <row r="5264">
      <c r="A5264" s="1">
        <v>50054.0</v>
      </c>
      <c r="B5264" s="1">
        <v>19855.0</v>
      </c>
      <c r="C5264" s="1">
        <v>1.623400885E9</v>
      </c>
      <c r="D5264" s="1">
        <v>4.0</v>
      </c>
      <c r="E5264" s="1" t="b">
        <v>0</v>
      </c>
      <c r="F5264" s="1" t="s">
        <v>18975</v>
      </c>
    </row>
    <row r="5265">
      <c r="A5265" s="1">
        <v>50054.0</v>
      </c>
      <c r="B5265" s="1">
        <v>17850.0</v>
      </c>
      <c r="C5265" s="1">
        <v>1.62058164E9</v>
      </c>
      <c r="D5265" s="1">
        <v>4.0</v>
      </c>
      <c r="E5265" s="1" t="b">
        <v>0</v>
      </c>
      <c r="F5265" s="1" t="s">
        <v>18976</v>
      </c>
    </row>
    <row r="5266">
      <c r="A5266" s="1">
        <v>50054.0</v>
      </c>
      <c r="B5266" s="1">
        <v>19768.0</v>
      </c>
      <c r="C5266" s="1">
        <v>1.623278693E9</v>
      </c>
      <c r="D5266" s="1">
        <v>4.0</v>
      </c>
      <c r="E5266" s="1" t="b">
        <v>0</v>
      </c>
      <c r="F5266" s="1" t="s">
        <v>14633</v>
      </c>
    </row>
    <row r="5267">
      <c r="A5267" s="1">
        <v>50054.0</v>
      </c>
      <c r="B5267" s="1">
        <v>17820.0</v>
      </c>
      <c r="C5267" s="1">
        <v>1.62056238E9</v>
      </c>
      <c r="D5267" s="1">
        <v>4.0</v>
      </c>
      <c r="E5267" s="1" t="b">
        <v>0</v>
      </c>
      <c r="F5267" s="1" t="s">
        <v>18977</v>
      </c>
    </row>
    <row r="5268">
      <c r="A5268" s="1">
        <v>50054.0</v>
      </c>
      <c r="B5268" s="1">
        <v>18276.0</v>
      </c>
      <c r="C5268" s="1">
        <v>1.621326022E9</v>
      </c>
      <c r="D5268" s="1">
        <v>4.0</v>
      </c>
      <c r="E5268" s="1" t="b">
        <v>0</v>
      </c>
      <c r="F5268" s="1" t="s">
        <v>18978</v>
      </c>
    </row>
    <row r="5269">
      <c r="A5269" s="1">
        <v>50054.0</v>
      </c>
      <c r="B5269" s="1">
        <v>17701.0</v>
      </c>
      <c r="C5269" s="1">
        <v>1.620448929E9</v>
      </c>
      <c r="D5269" s="1">
        <v>4.0</v>
      </c>
      <c r="E5269" s="1" t="b">
        <v>0</v>
      </c>
      <c r="F5269" s="1" t="s">
        <v>18979</v>
      </c>
    </row>
    <row r="5270">
      <c r="A5270" s="1">
        <v>50054.0</v>
      </c>
      <c r="B5270" s="1">
        <v>18419.0</v>
      </c>
      <c r="C5270" s="1">
        <v>1.621571671E9</v>
      </c>
      <c r="D5270" s="1">
        <v>4.0</v>
      </c>
      <c r="E5270" s="1" t="b">
        <v>0</v>
      </c>
      <c r="F5270" s="1" t="s">
        <v>18980</v>
      </c>
    </row>
    <row r="5271">
      <c r="A5271" s="1">
        <v>50054.0</v>
      </c>
      <c r="B5271" s="1">
        <v>17888.0</v>
      </c>
      <c r="C5271" s="1">
        <v>1.620628844E9</v>
      </c>
      <c r="D5271" s="1">
        <v>4.0</v>
      </c>
      <c r="E5271" s="1" t="b">
        <v>0</v>
      </c>
      <c r="F5271" s="1" t="s">
        <v>18981</v>
      </c>
    </row>
    <row r="5272">
      <c r="A5272" s="1">
        <v>50054.0</v>
      </c>
      <c r="B5272" s="1">
        <v>18576.0</v>
      </c>
      <c r="C5272" s="1">
        <v>1.621741304E9</v>
      </c>
      <c r="D5272" s="1">
        <v>4.0</v>
      </c>
      <c r="E5272" s="1" t="b">
        <v>0</v>
      </c>
      <c r="F5272" s="1" t="s">
        <v>18982</v>
      </c>
    </row>
    <row r="5273">
      <c r="A5273" s="1">
        <v>50054.0</v>
      </c>
      <c r="B5273" s="1">
        <v>19675.0</v>
      </c>
      <c r="C5273" s="1">
        <v>1.62314164E9</v>
      </c>
      <c r="D5273" s="1">
        <v>4.0</v>
      </c>
      <c r="E5273" s="1" t="b">
        <v>0</v>
      </c>
      <c r="F5273" s="1" t="s">
        <v>18983</v>
      </c>
    </row>
    <row r="5274">
      <c r="A5274" s="1">
        <v>50054.0</v>
      </c>
      <c r="B5274" s="1">
        <v>19844.0</v>
      </c>
      <c r="C5274" s="1">
        <v>1.623389272E9</v>
      </c>
      <c r="D5274" s="1">
        <v>4.0</v>
      </c>
      <c r="E5274" s="1" t="b">
        <v>0</v>
      </c>
      <c r="F5274" s="1" t="s">
        <v>18984</v>
      </c>
    </row>
    <row r="5275">
      <c r="A5275" s="1">
        <v>50054.0</v>
      </c>
      <c r="B5275" s="1">
        <v>18905.0</v>
      </c>
      <c r="C5275" s="1">
        <v>1.622118573E9</v>
      </c>
      <c r="D5275" s="1">
        <v>4.0</v>
      </c>
      <c r="E5275" s="1" t="b">
        <v>0</v>
      </c>
      <c r="F5275" s="1" t="s">
        <v>18985</v>
      </c>
    </row>
    <row r="5276">
      <c r="A5276" s="1">
        <v>50054.0</v>
      </c>
      <c r="B5276" s="1">
        <v>20059.0</v>
      </c>
      <c r="C5276" s="1">
        <v>1.623697456E9</v>
      </c>
      <c r="D5276" s="1">
        <v>4.0</v>
      </c>
      <c r="E5276" s="1" t="b">
        <v>0</v>
      </c>
      <c r="F5276" s="1" t="s">
        <v>18986</v>
      </c>
    </row>
    <row r="5277">
      <c r="A5277" s="1">
        <v>50054.0</v>
      </c>
      <c r="B5277" s="1">
        <v>18127.0</v>
      </c>
      <c r="C5277" s="1">
        <v>1.621167418E9</v>
      </c>
      <c r="D5277" s="1">
        <v>4.0</v>
      </c>
      <c r="E5277" s="1" t="b">
        <v>0</v>
      </c>
      <c r="F5277" s="1" t="s">
        <v>18987</v>
      </c>
    </row>
    <row r="5278">
      <c r="A5278" s="1">
        <v>50054.0</v>
      </c>
      <c r="B5278" s="1">
        <v>17683.0</v>
      </c>
      <c r="C5278" s="1">
        <v>1.620406656E9</v>
      </c>
      <c r="D5278" s="1">
        <v>4.0</v>
      </c>
      <c r="E5278" s="1" t="b">
        <v>0</v>
      </c>
      <c r="F5278" s="1" t="s">
        <v>18988</v>
      </c>
    </row>
    <row r="5279">
      <c r="A5279" s="1">
        <v>50054.0</v>
      </c>
      <c r="B5279" s="1">
        <v>17249.0</v>
      </c>
      <c r="C5279" s="1">
        <v>1.622972943E9</v>
      </c>
      <c r="D5279" s="1">
        <v>4.0</v>
      </c>
      <c r="E5279" s="1" t="b">
        <v>0</v>
      </c>
      <c r="F5279" s="1" t="s">
        <v>18989</v>
      </c>
    </row>
    <row r="5280">
      <c r="A5280" s="1">
        <v>50054.0</v>
      </c>
      <c r="B5280" s="1">
        <v>19798.0</v>
      </c>
      <c r="C5280" s="1">
        <v>1.623345239E9</v>
      </c>
      <c r="D5280" s="1">
        <v>4.0</v>
      </c>
      <c r="E5280" s="1" t="b">
        <v>0</v>
      </c>
      <c r="F5280" s="1" t="s">
        <v>18990</v>
      </c>
    </row>
    <row r="5281">
      <c r="A5281" s="1">
        <v>50054.0</v>
      </c>
      <c r="B5281" s="1">
        <v>17659.0</v>
      </c>
      <c r="C5281" s="1">
        <v>1.620386348E9</v>
      </c>
      <c r="D5281" s="1">
        <v>4.0</v>
      </c>
      <c r="E5281" s="1" t="b">
        <v>0</v>
      </c>
      <c r="F5281" s="1" t="s">
        <v>18991</v>
      </c>
    </row>
    <row r="5282">
      <c r="A5282" s="1">
        <v>50054.0</v>
      </c>
      <c r="B5282" s="1">
        <v>19542.0</v>
      </c>
      <c r="C5282" s="1">
        <v>1.62298076E9</v>
      </c>
      <c r="D5282" s="1">
        <v>4.0</v>
      </c>
      <c r="E5282" s="1" t="b">
        <v>0</v>
      </c>
      <c r="F5282" s="1" t="s">
        <v>18992</v>
      </c>
    </row>
    <row r="5283">
      <c r="A5283" s="1">
        <v>50054.0</v>
      </c>
      <c r="B5283" s="1">
        <v>18908.0</v>
      </c>
      <c r="C5283" s="1">
        <v>1.622121552E9</v>
      </c>
      <c r="D5283" s="1">
        <v>4.0</v>
      </c>
      <c r="E5283" s="1" t="b">
        <v>0</v>
      </c>
      <c r="F5283" s="1" t="s">
        <v>18993</v>
      </c>
    </row>
    <row r="5284">
      <c r="A5284" s="1">
        <v>50054.0</v>
      </c>
      <c r="B5284" s="1">
        <v>18290.0</v>
      </c>
      <c r="C5284" s="1">
        <v>1.621326016E9</v>
      </c>
      <c r="D5284" s="1">
        <v>4.0</v>
      </c>
      <c r="E5284" s="1" t="b">
        <v>0</v>
      </c>
      <c r="F5284" s="1" t="s">
        <v>18994</v>
      </c>
    </row>
    <row r="5285">
      <c r="A5285" s="1">
        <v>50054.0</v>
      </c>
      <c r="B5285" s="1">
        <v>17834.0</v>
      </c>
      <c r="C5285" s="1">
        <v>1.620568513E9</v>
      </c>
      <c r="D5285" s="1">
        <v>4.0</v>
      </c>
      <c r="E5285" s="1" t="b">
        <v>0</v>
      </c>
      <c r="F5285" s="1" t="s">
        <v>18995</v>
      </c>
    </row>
    <row r="5286">
      <c r="A5286" s="1">
        <v>50054.0</v>
      </c>
      <c r="B5286" s="1">
        <v>17796.0</v>
      </c>
      <c r="C5286" s="1">
        <v>1.620538783E9</v>
      </c>
      <c r="D5286" s="1">
        <v>1.0</v>
      </c>
      <c r="E5286" s="1" t="b">
        <v>0</v>
      </c>
      <c r="F5286" s="1" t="s">
        <v>18996</v>
      </c>
      <c r="G5286" s="1" t="b">
        <v>1</v>
      </c>
    </row>
    <row r="5287">
      <c r="A5287" s="1">
        <v>50054.0</v>
      </c>
      <c r="B5287" s="1">
        <v>19057.0</v>
      </c>
      <c r="C5287" s="1">
        <v>1.622343587E9</v>
      </c>
      <c r="D5287" s="1">
        <v>4.0</v>
      </c>
      <c r="E5287" s="1" t="b">
        <v>0</v>
      </c>
      <c r="F5287" s="1" t="s">
        <v>18997</v>
      </c>
    </row>
    <row r="5288">
      <c r="A5288" s="1">
        <v>50054.0</v>
      </c>
      <c r="B5288" s="1">
        <v>20040.0</v>
      </c>
      <c r="C5288" s="1">
        <v>1.623673754E9</v>
      </c>
      <c r="D5288" s="1">
        <v>4.0</v>
      </c>
      <c r="E5288" s="1" t="b">
        <v>0</v>
      </c>
      <c r="F5288" s="1" t="s">
        <v>18998</v>
      </c>
    </row>
    <row r="5289">
      <c r="A5289" s="1">
        <v>50054.0</v>
      </c>
      <c r="B5289" s="1">
        <v>20081.0</v>
      </c>
      <c r="C5289" s="1">
        <v>1.623752927E9</v>
      </c>
      <c r="D5289" s="1">
        <v>4.0</v>
      </c>
      <c r="E5289" s="1" t="b">
        <v>0</v>
      </c>
      <c r="F5289" s="1" t="s">
        <v>18999</v>
      </c>
    </row>
    <row r="5290">
      <c r="A5290" s="1">
        <v>50054.0</v>
      </c>
      <c r="B5290" s="1">
        <v>18043.0</v>
      </c>
      <c r="C5290" s="1">
        <v>1.621008925E9</v>
      </c>
      <c r="D5290" s="1">
        <v>4.0</v>
      </c>
      <c r="E5290" s="1" t="b">
        <v>0</v>
      </c>
      <c r="F5290" s="1" t="s">
        <v>19000</v>
      </c>
    </row>
    <row r="5291">
      <c r="A5291" s="1">
        <v>50054.0</v>
      </c>
      <c r="B5291" s="1">
        <v>19478.0</v>
      </c>
      <c r="C5291" s="1">
        <v>1.622748194E9</v>
      </c>
      <c r="D5291" s="1">
        <v>4.0</v>
      </c>
      <c r="E5291" s="1" t="b">
        <v>0</v>
      </c>
      <c r="F5291" s="1" t="s">
        <v>19001</v>
      </c>
    </row>
    <row r="5292">
      <c r="A5292" s="1">
        <v>50054.0</v>
      </c>
      <c r="B5292" s="1">
        <v>17847.0</v>
      </c>
      <c r="C5292" s="1">
        <v>1.620580057E9</v>
      </c>
      <c r="D5292" s="1">
        <v>4.0</v>
      </c>
      <c r="E5292" s="1" t="b">
        <v>0</v>
      </c>
      <c r="F5292" s="1" t="s">
        <v>19002</v>
      </c>
    </row>
    <row r="5293">
      <c r="A5293" s="1">
        <v>50054.0</v>
      </c>
      <c r="B5293" s="1">
        <v>17895.0</v>
      </c>
      <c r="C5293" s="1">
        <v>1.620636321E9</v>
      </c>
      <c r="D5293" s="1">
        <v>4.0</v>
      </c>
      <c r="E5293" s="1" t="b">
        <v>0</v>
      </c>
      <c r="F5293" s="1" t="s">
        <v>19003</v>
      </c>
    </row>
    <row r="5294">
      <c r="A5294" s="1">
        <v>50054.0</v>
      </c>
      <c r="B5294" s="1">
        <v>19152.0</v>
      </c>
      <c r="C5294" s="1">
        <v>1.62244613E9</v>
      </c>
      <c r="D5294" s="1">
        <v>4.0</v>
      </c>
      <c r="E5294" s="1" t="b">
        <v>0</v>
      </c>
      <c r="F5294" s="1" t="s">
        <v>19004</v>
      </c>
    </row>
    <row r="5295">
      <c r="A5295" s="1">
        <v>50054.0</v>
      </c>
      <c r="B5295" s="1">
        <v>17695.0</v>
      </c>
      <c r="C5295" s="1">
        <v>1.620441829E9</v>
      </c>
      <c r="D5295" s="1">
        <v>4.0</v>
      </c>
      <c r="E5295" s="1" t="b">
        <v>0</v>
      </c>
      <c r="F5295" s="1" t="s">
        <v>19005</v>
      </c>
    </row>
    <row r="5296">
      <c r="A5296" s="1">
        <v>50054.0</v>
      </c>
      <c r="B5296" s="1">
        <v>19636.0</v>
      </c>
      <c r="C5296" s="1">
        <v>1.62308098E9</v>
      </c>
      <c r="D5296" s="1">
        <v>4.0</v>
      </c>
      <c r="E5296" s="1" t="b">
        <v>0</v>
      </c>
      <c r="F5296" s="1" t="s">
        <v>19006</v>
      </c>
    </row>
    <row r="5297">
      <c r="A5297" s="1">
        <v>50054.0</v>
      </c>
      <c r="B5297" s="1">
        <v>18263.0</v>
      </c>
      <c r="C5297" s="1">
        <v>1.621272434E9</v>
      </c>
      <c r="D5297" s="1">
        <v>4.0</v>
      </c>
      <c r="E5297" s="1" t="b">
        <v>0</v>
      </c>
      <c r="F5297" s="1" t="s">
        <v>19007</v>
      </c>
    </row>
    <row r="5298">
      <c r="A5298" s="1">
        <v>50054.0</v>
      </c>
      <c r="B5298" s="1">
        <v>19945.0</v>
      </c>
      <c r="C5298" s="1">
        <v>1.623518673E9</v>
      </c>
      <c r="D5298" s="1">
        <v>4.0</v>
      </c>
      <c r="E5298" s="1" t="b">
        <v>0</v>
      </c>
      <c r="F5298" s="1" t="s">
        <v>19008</v>
      </c>
    </row>
    <row r="5299">
      <c r="A5299" s="1">
        <v>50054.0</v>
      </c>
      <c r="B5299" s="1">
        <v>17263.0</v>
      </c>
      <c r="C5299" s="1">
        <v>1.620303315E9</v>
      </c>
      <c r="D5299" s="1">
        <v>4.0</v>
      </c>
      <c r="E5299" s="1" t="b">
        <v>0</v>
      </c>
      <c r="F5299" s="1" t="s">
        <v>19009</v>
      </c>
    </row>
    <row r="5300">
      <c r="A5300" s="1">
        <v>50054.0</v>
      </c>
      <c r="B5300" s="1">
        <v>17970.0</v>
      </c>
      <c r="C5300" s="1">
        <v>1.620918006E9</v>
      </c>
      <c r="D5300" s="1">
        <v>4.0</v>
      </c>
      <c r="E5300" s="1" t="b">
        <v>0</v>
      </c>
      <c r="F5300" s="1" t="s">
        <v>15406</v>
      </c>
    </row>
    <row r="5301">
      <c r="A5301" s="1">
        <v>50054.0</v>
      </c>
      <c r="B5301" s="1">
        <v>19347.0</v>
      </c>
      <c r="C5301" s="1">
        <v>1.622623053E9</v>
      </c>
      <c r="D5301" s="1">
        <v>4.0</v>
      </c>
      <c r="E5301" s="1" t="b">
        <v>0</v>
      </c>
      <c r="F5301" s="1" t="s">
        <v>19010</v>
      </c>
    </row>
    <row r="5302">
      <c r="A5302" s="1">
        <v>50054.0</v>
      </c>
      <c r="B5302" s="1">
        <v>19067.0</v>
      </c>
      <c r="C5302" s="1">
        <v>1.622351932E9</v>
      </c>
      <c r="D5302" s="1">
        <v>4.0</v>
      </c>
      <c r="E5302" s="1" t="b">
        <v>0</v>
      </c>
      <c r="F5302" s="1" t="s">
        <v>19011</v>
      </c>
    </row>
    <row r="5303">
      <c r="A5303" s="1">
        <v>50054.0</v>
      </c>
      <c r="B5303" s="1">
        <v>17714.0</v>
      </c>
      <c r="C5303" s="1">
        <v>1.620465746E9</v>
      </c>
      <c r="D5303" s="1">
        <v>4.0</v>
      </c>
      <c r="E5303" s="1" t="b">
        <v>0</v>
      </c>
      <c r="F5303" s="1" t="s">
        <v>19012</v>
      </c>
    </row>
    <row r="5304">
      <c r="A5304" s="1">
        <v>50054.0</v>
      </c>
      <c r="B5304" s="1">
        <v>19086.0</v>
      </c>
      <c r="C5304" s="1">
        <v>1.622365517E9</v>
      </c>
      <c r="D5304" s="1">
        <v>4.0</v>
      </c>
      <c r="E5304" s="1" t="b">
        <v>0</v>
      </c>
      <c r="F5304" s="1" t="s">
        <v>19013</v>
      </c>
    </row>
    <row r="5305">
      <c r="A5305" s="1">
        <v>50054.0</v>
      </c>
      <c r="B5305" s="1">
        <v>18412.0</v>
      </c>
      <c r="C5305" s="1">
        <v>1.621530772E9</v>
      </c>
      <c r="D5305" s="1">
        <v>4.0</v>
      </c>
      <c r="E5305" s="1" t="b">
        <v>0</v>
      </c>
      <c r="F5305" s="1" t="s">
        <v>19014</v>
      </c>
    </row>
    <row r="5306">
      <c r="A5306" s="1">
        <v>50054.0</v>
      </c>
      <c r="B5306" s="1">
        <v>19205.0</v>
      </c>
      <c r="C5306" s="1">
        <v>1.622473216E9</v>
      </c>
      <c r="D5306" s="1">
        <v>9.0</v>
      </c>
      <c r="E5306" s="1" t="b">
        <v>0</v>
      </c>
      <c r="F5306" s="1" t="s">
        <v>19015</v>
      </c>
    </row>
    <row r="5307">
      <c r="A5307" s="1">
        <v>50054.0</v>
      </c>
      <c r="B5307" s="1">
        <v>17788.0</v>
      </c>
      <c r="C5307" s="1">
        <v>1.620538779E9</v>
      </c>
      <c r="D5307" s="1">
        <v>4.0</v>
      </c>
      <c r="E5307" s="1" t="b">
        <v>0</v>
      </c>
      <c r="F5307" s="1" t="s">
        <v>19016</v>
      </c>
    </row>
    <row r="5308">
      <c r="A5308" s="1">
        <v>50054.0</v>
      </c>
      <c r="B5308" s="1">
        <v>16196.0</v>
      </c>
      <c r="C5308" s="1">
        <v>1.62091801E9</v>
      </c>
      <c r="D5308" s="1">
        <v>4.0</v>
      </c>
      <c r="E5308" s="1" t="b">
        <v>0</v>
      </c>
      <c r="F5308" s="1" t="s">
        <v>17556</v>
      </c>
    </row>
    <row r="5309">
      <c r="A5309" s="1">
        <v>50054.0</v>
      </c>
      <c r="B5309" s="1">
        <v>18440.0</v>
      </c>
      <c r="C5309" s="1">
        <v>1.621591306E9</v>
      </c>
      <c r="D5309" s="1">
        <v>4.0</v>
      </c>
      <c r="E5309" s="1" t="b">
        <v>0</v>
      </c>
      <c r="F5309" s="1" t="s">
        <v>19017</v>
      </c>
    </row>
    <row r="5310">
      <c r="A5310" s="1">
        <v>50054.0</v>
      </c>
      <c r="B5310" s="1">
        <v>17869.0</v>
      </c>
      <c r="C5310" s="1">
        <v>1.620614888E9</v>
      </c>
      <c r="D5310" s="1">
        <v>4.0</v>
      </c>
      <c r="E5310" s="1" t="b">
        <v>0</v>
      </c>
      <c r="F5310" s="1" t="s">
        <v>19018</v>
      </c>
    </row>
    <row r="5311">
      <c r="A5311" s="1">
        <v>50054.0</v>
      </c>
      <c r="B5311" s="1">
        <v>18176.0</v>
      </c>
      <c r="C5311" s="1">
        <v>1.621184704E9</v>
      </c>
      <c r="D5311" s="1">
        <v>4.0</v>
      </c>
      <c r="E5311" s="1" t="b">
        <v>0</v>
      </c>
      <c r="F5311" s="1" t="s">
        <v>19019</v>
      </c>
    </row>
    <row r="5312">
      <c r="A5312" s="1">
        <v>50054.0</v>
      </c>
      <c r="B5312" s="1">
        <v>17898.0</v>
      </c>
      <c r="C5312" s="1">
        <v>1.620647465E9</v>
      </c>
      <c r="D5312" s="1">
        <v>4.0</v>
      </c>
      <c r="E5312" s="1" t="b">
        <v>0</v>
      </c>
      <c r="F5312" s="1" t="s">
        <v>19020</v>
      </c>
    </row>
    <row r="5313">
      <c r="A5313" s="1">
        <v>50054.0</v>
      </c>
      <c r="B5313" s="1">
        <v>17803.0</v>
      </c>
      <c r="C5313" s="1">
        <v>1.620541662E9</v>
      </c>
      <c r="D5313" s="1">
        <v>4.0</v>
      </c>
      <c r="E5313" s="1" t="b">
        <v>0</v>
      </c>
      <c r="F5313" s="1" t="s">
        <v>14150</v>
      </c>
    </row>
    <row r="5314">
      <c r="A5314" s="1">
        <v>50054.0</v>
      </c>
      <c r="B5314" s="1">
        <v>18032.0</v>
      </c>
      <c r="C5314" s="1">
        <v>1.620987268E9</v>
      </c>
      <c r="D5314" s="1">
        <v>9.0</v>
      </c>
      <c r="E5314" s="1" t="b">
        <v>0</v>
      </c>
      <c r="F5314" s="1" t="s">
        <v>15406</v>
      </c>
    </row>
    <row r="5315">
      <c r="A5315" s="1">
        <v>50054.0</v>
      </c>
      <c r="B5315" s="1">
        <v>18225.0</v>
      </c>
      <c r="C5315" s="1">
        <v>1.621245212E9</v>
      </c>
      <c r="D5315" s="1">
        <v>4.0</v>
      </c>
      <c r="E5315" s="1" t="b">
        <v>0</v>
      </c>
      <c r="F5315" s="1" t="s">
        <v>19021</v>
      </c>
    </row>
    <row r="5316">
      <c r="A5316" s="1">
        <v>50054.0</v>
      </c>
      <c r="B5316" s="1">
        <v>19123.0</v>
      </c>
      <c r="C5316" s="1">
        <v>1.622396925E9</v>
      </c>
      <c r="D5316" s="1">
        <v>4.0</v>
      </c>
      <c r="E5316" s="1" t="b">
        <v>0</v>
      </c>
      <c r="F5316" s="1" t="s">
        <v>19022</v>
      </c>
    </row>
    <row r="5317">
      <c r="A5317" s="1">
        <v>50054.0</v>
      </c>
      <c r="B5317" s="1">
        <v>18074.0</v>
      </c>
      <c r="C5317" s="1">
        <v>1.621080105E9</v>
      </c>
      <c r="D5317" s="1">
        <v>4.0</v>
      </c>
      <c r="E5317" s="1" t="b">
        <v>0</v>
      </c>
      <c r="F5317" s="1" t="s">
        <v>19023</v>
      </c>
    </row>
    <row r="5318">
      <c r="A5318" s="1">
        <v>50054.0</v>
      </c>
      <c r="B5318" s="1">
        <v>19016.0</v>
      </c>
      <c r="C5318" s="1">
        <v>1.622356867E9</v>
      </c>
      <c r="D5318" s="1">
        <v>4.0</v>
      </c>
      <c r="E5318" s="1" t="b">
        <v>0</v>
      </c>
      <c r="F5318" s="1" t="s">
        <v>19024</v>
      </c>
    </row>
    <row r="5319">
      <c r="A5319" s="1">
        <v>50054.0</v>
      </c>
      <c r="B5319" s="1">
        <v>18304.0</v>
      </c>
      <c r="C5319" s="1">
        <v>1.621335422E9</v>
      </c>
      <c r="D5319" s="1">
        <v>4.0</v>
      </c>
      <c r="E5319" s="1" t="b">
        <v>0</v>
      </c>
      <c r="F5319" s="1" t="s">
        <v>19025</v>
      </c>
    </row>
    <row r="5320">
      <c r="A5320" s="1">
        <v>50054.0</v>
      </c>
      <c r="B5320" s="1">
        <v>19052.0</v>
      </c>
      <c r="C5320" s="1">
        <v>1.622314497E9</v>
      </c>
      <c r="D5320" s="1">
        <v>4.0</v>
      </c>
      <c r="E5320" s="1" t="b">
        <v>0</v>
      </c>
      <c r="F5320" s="1" t="s">
        <v>19026</v>
      </c>
    </row>
    <row r="5321">
      <c r="A5321" s="1">
        <v>50054.0</v>
      </c>
      <c r="B5321" s="1">
        <v>18988.0</v>
      </c>
      <c r="C5321" s="1">
        <v>1.622215746E9</v>
      </c>
      <c r="D5321" s="1">
        <v>4.0</v>
      </c>
      <c r="E5321" s="1" t="b">
        <v>0</v>
      </c>
      <c r="F5321" s="1" t="s">
        <v>19027</v>
      </c>
    </row>
    <row r="5322">
      <c r="A5322" s="1">
        <v>50054.0</v>
      </c>
      <c r="B5322" s="1">
        <v>19023.0</v>
      </c>
      <c r="C5322" s="1">
        <v>1.622282438E9</v>
      </c>
      <c r="D5322" s="1">
        <v>4.0</v>
      </c>
      <c r="E5322" s="1" t="b">
        <v>0</v>
      </c>
      <c r="F5322" s="1" t="s">
        <v>19028</v>
      </c>
    </row>
    <row r="5323">
      <c r="A5323" s="1">
        <v>50054.0</v>
      </c>
      <c r="B5323" s="1">
        <v>18204.0</v>
      </c>
      <c r="C5323" s="1">
        <v>1.621245209E9</v>
      </c>
      <c r="D5323" s="1">
        <v>4.0</v>
      </c>
      <c r="E5323" s="1" t="b">
        <v>0</v>
      </c>
      <c r="F5323" s="1" t="s">
        <v>19029</v>
      </c>
    </row>
    <row r="5324">
      <c r="A5324" s="1">
        <v>50054.0</v>
      </c>
      <c r="B5324" s="1">
        <v>19126.0</v>
      </c>
      <c r="C5324" s="1">
        <v>1.622397663E9</v>
      </c>
      <c r="D5324" s="1">
        <v>4.0</v>
      </c>
      <c r="E5324" s="1" t="b">
        <v>0</v>
      </c>
      <c r="F5324" s="1" t="s">
        <v>19030</v>
      </c>
    </row>
    <row r="5325">
      <c r="A5325" s="1">
        <v>50054.0</v>
      </c>
      <c r="B5325" s="1">
        <v>19719.0</v>
      </c>
      <c r="C5325" s="1">
        <v>1.623215778E9</v>
      </c>
      <c r="D5325" s="1">
        <v>4.0</v>
      </c>
      <c r="E5325" s="1" t="b">
        <v>0</v>
      </c>
      <c r="F5325" s="1" t="s">
        <v>19031</v>
      </c>
    </row>
    <row r="5326">
      <c r="A5326" s="1">
        <v>50054.0</v>
      </c>
      <c r="B5326" s="1">
        <v>19427.0</v>
      </c>
      <c r="C5326" s="1">
        <v>1.622703354E9</v>
      </c>
      <c r="D5326" s="1">
        <v>4.0</v>
      </c>
      <c r="E5326" s="1" t="b">
        <v>0</v>
      </c>
      <c r="F5326" s="1" t="s">
        <v>19032</v>
      </c>
    </row>
    <row r="5327">
      <c r="A5327" s="1">
        <v>50054.0</v>
      </c>
      <c r="B5327" s="1">
        <v>18506.0</v>
      </c>
      <c r="C5327" s="1">
        <v>1.621668227E9</v>
      </c>
      <c r="D5327" s="1">
        <v>4.0</v>
      </c>
      <c r="E5327" s="1" t="b">
        <v>0</v>
      </c>
      <c r="F5327" s="1" t="s">
        <v>19033</v>
      </c>
    </row>
    <row r="5328">
      <c r="A5328" s="1">
        <v>50054.0</v>
      </c>
      <c r="B5328" s="1">
        <v>19698.0</v>
      </c>
      <c r="C5328" s="1">
        <v>1.623168231E9</v>
      </c>
      <c r="D5328" s="1">
        <v>4.0</v>
      </c>
      <c r="E5328" s="1" t="b">
        <v>0</v>
      </c>
      <c r="F5328" s="1" t="s">
        <v>19034</v>
      </c>
    </row>
    <row r="5329">
      <c r="A5329" s="1">
        <v>50054.0</v>
      </c>
      <c r="B5329" s="1">
        <v>19594.0</v>
      </c>
      <c r="C5329" s="1">
        <v>1.623047746E9</v>
      </c>
      <c r="D5329" s="1">
        <v>4.0</v>
      </c>
      <c r="E5329" s="1" t="b">
        <v>0</v>
      </c>
      <c r="F5329" s="1" t="s">
        <v>19035</v>
      </c>
    </row>
    <row r="5330">
      <c r="A5330" s="1">
        <v>50054.0</v>
      </c>
      <c r="B5330" s="1">
        <v>17837.0</v>
      </c>
      <c r="C5330" s="1">
        <v>1.620571368E9</v>
      </c>
      <c r="D5330" s="1">
        <v>4.0</v>
      </c>
      <c r="E5330" s="1" t="b">
        <v>0</v>
      </c>
      <c r="F5330" s="1" t="s">
        <v>19036</v>
      </c>
      <c r="G5330" s="1" t="b">
        <v>1</v>
      </c>
    </row>
    <row r="5331">
      <c r="A5331" s="1">
        <v>50054.0</v>
      </c>
      <c r="B5331" s="1">
        <v>19878.0</v>
      </c>
      <c r="C5331" s="1">
        <v>1.623421445E9</v>
      </c>
      <c r="D5331" s="1">
        <v>4.0</v>
      </c>
      <c r="E5331" s="1" t="b">
        <v>0</v>
      </c>
      <c r="F5331" s="1" t="s">
        <v>19037</v>
      </c>
    </row>
    <row r="5332">
      <c r="A5332" s="1">
        <v>50054.0</v>
      </c>
      <c r="B5332" s="1">
        <v>18927.0</v>
      </c>
      <c r="C5332" s="1">
        <v>1.622168512E9</v>
      </c>
      <c r="D5332" s="1">
        <v>4.0</v>
      </c>
      <c r="E5332" s="1" t="b">
        <v>0</v>
      </c>
      <c r="F5332" s="1" t="s">
        <v>19038</v>
      </c>
    </row>
    <row r="5333">
      <c r="A5333" s="1">
        <v>50054.0</v>
      </c>
      <c r="B5333" s="1">
        <v>19621.0</v>
      </c>
      <c r="C5333" s="1">
        <v>1.623072739E9</v>
      </c>
      <c r="D5333" s="1">
        <v>4.0</v>
      </c>
      <c r="E5333" s="1" t="b">
        <v>0</v>
      </c>
      <c r="F5333" s="1" t="s">
        <v>19039</v>
      </c>
    </row>
    <row r="5334">
      <c r="A5334" s="1">
        <v>50054.0</v>
      </c>
      <c r="B5334" s="1">
        <v>20098.0</v>
      </c>
      <c r="C5334" s="1">
        <v>1.623767198E9</v>
      </c>
      <c r="D5334" s="1">
        <v>4.0</v>
      </c>
      <c r="E5334" s="1" t="b">
        <v>0</v>
      </c>
      <c r="F5334" s="1" t="s">
        <v>19040</v>
      </c>
    </row>
    <row r="5335">
      <c r="A5335" s="1">
        <v>50054.0</v>
      </c>
      <c r="B5335" s="1">
        <v>18067.0</v>
      </c>
      <c r="C5335" s="1">
        <v>1.621076688E9</v>
      </c>
      <c r="D5335" s="1">
        <v>4.0</v>
      </c>
      <c r="E5335" s="1" t="b">
        <v>0</v>
      </c>
      <c r="F5335" s="1" t="s">
        <v>19041</v>
      </c>
    </row>
    <row r="5336">
      <c r="A5336" s="1">
        <v>50054.0</v>
      </c>
      <c r="B5336" s="1">
        <v>17029.0</v>
      </c>
      <c r="C5336" s="1">
        <v>1.619267831E9</v>
      </c>
      <c r="D5336" s="1">
        <v>1.0</v>
      </c>
      <c r="E5336" s="1" t="b">
        <v>1</v>
      </c>
      <c r="F5336" s="1" t="s">
        <v>19042</v>
      </c>
    </row>
    <row r="5337">
      <c r="A5337" s="1">
        <v>50054.0</v>
      </c>
      <c r="B5337" s="1">
        <v>19245.0</v>
      </c>
      <c r="C5337" s="1">
        <v>1.622528575E9</v>
      </c>
      <c r="D5337" s="1">
        <v>4.0</v>
      </c>
      <c r="E5337" s="1" t="b">
        <v>0</v>
      </c>
      <c r="F5337" s="1" t="s">
        <v>19043</v>
      </c>
    </row>
    <row r="5338">
      <c r="A5338" s="1">
        <v>50054.0</v>
      </c>
      <c r="B5338" s="1">
        <v>17703.0</v>
      </c>
      <c r="C5338" s="1">
        <v>1.620573844E9</v>
      </c>
      <c r="D5338" s="1">
        <v>4.0</v>
      </c>
      <c r="E5338" s="1" t="b">
        <v>0</v>
      </c>
      <c r="F5338" s="1" t="s">
        <v>18672</v>
      </c>
    </row>
    <row r="5339">
      <c r="A5339" s="1">
        <v>50054.0</v>
      </c>
      <c r="B5339" s="1">
        <v>19962.0</v>
      </c>
      <c r="C5339" s="1">
        <v>1.623561704E9</v>
      </c>
      <c r="D5339" s="1">
        <v>4.0</v>
      </c>
      <c r="E5339" s="1" t="b">
        <v>0</v>
      </c>
      <c r="F5339" s="1" t="s">
        <v>19044</v>
      </c>
    </row>
    <row r="5340">
      <c r="A5340" s="1">
        <v>50054.0</v>
      </c>
      <c r="B5340" s="1">
        <v>17678.0</v>
      </c>
      <c r="C5340" s="1">
        <v>1.620402374E9</v>
      </c>
      <c r="D5340" s="1">
        <v>4.0</v>
      </c>
      <c r="E5340" s="1" t="b">
        <v>0</v>
      </c>
      <c r="F5340" s="1" t="s">
        <v>19045</v>
      </c>
    </row>
    <row r="5341">
      <c r="A5341" s="1">
        <v>50054.0</v>
      </c>
      <c r="B5341" s="1">
        <v>19135.0</v>
      </c>
      <c r="C5341" s="1">
        <v>1.622428751E9</v>
      </c>
      <c r="D5341" s="1">
        <v>4.0</v>
      </c>
      <c r="E5341" s="1" t="b">
        <v>0</v>
      </c>
      <c r="F5341" s="1" t="s">
        <v>19046</v>
      </c>
    </row>
    <row r="5342">
      <c r="A5342" s="1">
        <v>50054.0</v>
      </c>
      <c r="B5342" s="1">
        <v>18970.0</v>
      </c>
      <c r="C5342" s="1">
        <v>1.622200708E9</v>
      </c>
      <c r="D5342" s="1">
        <v>4.0</v>
      </c>
      <c r="E5342" s="1" t="b">
        <v>0</v>
      </c>
      <c r="F5342" s="1" t="s">
        <v>19047</v>
      </c>
    </row>
    <row r="5343">
      <c r="A5343" s="1">
        <v>50054.0</v>
      </c>
      <c r="B5343" s="1">
        <v>19103.0</v>
      </c>
      <c r="C5343" s="1">
        <v>1.622437088E9</v>
      </c>
      <c r="D5343" s="1">
        <v>4.0</v>
      </c>
      <c r="E5343" s="1" t="b">
        <v>0</v>
      </c>
      <c r="F5343" s="1" t="s">
        <v>19048</v>
      </c>
    </row>
    <row r="5344">
      <c r="A5344" s="1">
        <v>50054.0</v>
      </c>
      <c r="B5344" s="1">
        <v>19983.0</v>
      </c>
      <c r="C5344" s="1">
        <v>1.6235909E9</v>
      </c>
      <c r="D5344" s="1">
        <v>4.0</v>
      </c>
      <c r="E5344" s="1" t="b">
        <v>0</v>
      </c>
      <c r="F5344" s="1" t="s">
        <v>19049</v>
      </c>
    </row>
    <row r="5345">
      <c r="A5345" s="1">
        <v>50054.0</v>
      </c>
      <c r="B5345" s="1">
        <v>18830.0</v>
      </c>
      <c r="C5345" s="1">
        <v>1.622016064E9</v>
      </c>
      <c r="D5345" s="1">
        <v>4.0</v>
      </c>
      <c r="E5345" s="1" t="b">
        <v>0</v>
      </c>
      <c r="F5345" s="1" t="s">
        <v>19050</v>
      </c>
    </row>
    <row r="5346">
      <c r="A5346" s="1">
        <v>50054.0</v>
      </c>
      <c r="B5346" s="1">
        <v>18227.0</v>
      </c>
      <c r="C5346" s="1">
        <v>1.621245213E9</v>
      </c>
      <c r="D5346" s="1">
        <v>4.0</v>
      </c>
      <c r="E5346" s="1" t="b">
        <v>0</v>
      </c>
      <c r="F5346" s="1" t="s">
        <v>19051</v>
      </c>
    </row>
    <row r="5347">
      <c r="A5347" s="1">
        <v>50054.0</v>
      </c>
      <c r="B5347" s="1">
        <v>16912.0</v>
      </c>
      <c r="C5347" s="1">
        <v>1.619268558E9</v>
      </c>
      <c r="D5347" s="1">
        <v>4.0</v>
      </c>
      <c r="E5347" s="1" t="b">
        <v>0</v>
      </c>
      <c r="F5347" s="1" t="s">
        <v>16918</v>
      </c>
      <c r="G5347" s="1" t="b">
        <v>1</v>
      </c>
    </row>
    <row r="5348">
      <c r="A5348" s="1">
        <v>50054.0</v>
      </c>
      <c r="B5348" s="1">
        <v>20009.0</v>
      </c>
      <c r="C5348" s="1">
        <v>1.623629177E9</v>
      </c>
      <c r="D5348" s="1">
        <v>4.0</v>
      </c>
      <c r="E5348" s="1" t="b">
        <v>0</v>
      </c>
      <c r="F5348" s="1" t="s">
        <v>19052</v>
      </c>
    </row>
    <row r="5349">
      <c r="A5349" s="1">
        <v>50065.0</v>
      </c>
      <c r="B5349" s="1">
        <v>18929.0</v>
      </c>
      <c r="C5349" s="1">
        <v>1.622170095E9</v>
      </c>
      <c r="D5349" s="1">
        <v>4.0</v>
      </c>
      <c r="E5349" s="1" t="b">
        <v>0</v>
      </c>
      <c r="F5349" s="1" t="s">
        <v>19053</v>
      </c>
    </row>
    <row r="5350">
      <c r="A5350" s="1">
        <v>50065.0</v>
      </c>
      <c r="B5350" s="1">
        <v>16658.0</v>
      </c>
      <c r="C5350" s="1">
        <v>1.620317769E9</v>
      </c>
      <c r="D5350" s="1">
        <v>4.0</v>
      </c>
      <c r="E5350" s="1" t="b">
        <v>0</v>
      </c>
      <c r="F5350" s="1" t="s">
        <v>18663</v>
      </c>
      <c r="G5350" s="1" t="b">
        <v>1</v>
      </c>
    </row>
    <row r="5351">
      <c r="A5351" s="1">
        <v>50065.0</v>
      </c>
      <c r="B5351" s="1">
        <v>19250.0</v>
      </c>
      <c r="C5351" s="1">
        <v>1.622532006E9</v>
      </c>
      <c r="D5351" s="1">
        <v>9.0</v>
      </c>
      <c r="E5351" s="1" t="b">
        <v>0</v>
      </c>
      <c r="F5351" s="1" t="s">
        <v>19054</v>
      </c>
    </row>
    <row r="5352">
      <c r="A5352" s="1">
        <v>50065.0</v>
      </c>
      <c r="B5352" s="1">
        <v>16743.0</v>
      </c>
      <c r="C5352" s="1">
        <v>1.620114463E9</v>
      </c>
      <c r="D5352" s="1">
        <v>4.0</v>
      </c>
      <c r="E5352" s="1" t="b">
        <v>0</v>
      </c>
      <c r="F5352" s="1" t="s">
        <v>13986</v>
      </c>
      <c r="G5352" s="1" t="b">
        <v>1</v>
      </c>
    </row>
    <row r="5353">
      <c r="A5353" s="1">
        <v>50065.0</v>
      </c>
      <c r="B5353" s="1">
        <v>19141.0</v>
      </c>
      <c r="C5353" s="1">
        <v>1.622435991E9</v>
      </c>
      <c r="D5353" s="1">
        <v>4.0</v>
      </c>
      <c r="E5353" s="1" t="b">
        <v>0</v>
      </c>
      <c r="F5353" s="1" t="s">
        <v>19055</v>
      </c>
    </row>
    <row r="5354">
      <c r="A5354" s="1">
        <v>50065.0</v>
      </c>
      <c r="B5354" s="1">
        <v>18097.0</v>
      </c>
      <c r="C5354" s="1">
        <v>1.621328448E9</v>
      </c>
      <c r="D5354" s="1">
        <v>4.0</v>
      </c>
      <c r="E5354" s="1" t="b">
        <v>0</v>
      </c>
      <c r="F5354" s="1" t="s">
        <v>19056</v>
      </c>
    </row>
    <row r="5355">
      <c r="A5355" s="1">
        <v>50065.0</v>
      </c>
      <c r="B5355" s="1">
        <v>19006.0</v>
      </c>
      <c r="C5355" s="1">
        <v>1.622262574E9</v>
      </c>
      <c r="D5355" s="1">
        <v>4.0</v>
      </c>
      <c r="E5355" s="1" t="b">
        <v>0</v>
      </c>
      <c r="F5355" s="1" t="s">
        <v>19057</v>
      </c>
    </row>
    <row r="5356">
      <c r="A5356" s="1">
        <v>50065.0</v>
      </c>
      <c r="B5356" s="1">
        <v>19327.0</v>
      </c>
      <c r="C5356" s="1">
        <v>1.622611061E9</v>
      </c>
      <c r="D5356" s="1">
        <v>4.0</v>
      </c>
      <c r="E5356" s="1" t="b">
        <v>0</v>
      </c>
      <c r="F5356" s="1" t="s">
        <v>19058</v>
      </c>
    </row>
    <row r="5357">
      <c r="A5357" s="1">
        <v>50065.0</v>
      </c>
      <c r="B5357" s="1">
        <v>19558.0</v>
      </c>
      <c r="C5357" s="1">
        <v>1.622987903E9</v>
      </c>
      <c r="D5357" s="1">
        <v>4.0</v>
      </c>
      <c r="E5357" s="1" t="b">
        <v>0</v>
      </c>
      <c r="F5357" s="1" t="s">
        <v>19059</v>
      </c>
    </row>
    <row r="5358">
      <c r="A5358" s="1">
        <v>50065.0</v>
      </c>
      <c r="B5358" s="1">
        <v>18441.0</v>
      </c>
      <c r="C5358" s="1">
        <v>1.621592721E9</v>
      </c>
      <c r="D5358" s="1">
        <v>4.0</v>
      </c>
      <c r="E5358" s="1" t="b">
        <v>0</v>
      </c>
      <c r="F5358" s="1" t="s">
        <v>19060</v>
      </c>
    </row>
    <row r="5359">
      <c r="A5359" s="1">
        <v>50065.0</v>
      </c>
      <c r="B5359" s="1">
        <v>19760.0</v>
      </c>
      <c r="C5359" s="1">
        <v>1.623260967E9</v>
      </c>
      <c r="D5359" s="1">
        <v>4.0</v>
      </c>
      <c r="E5359" s="1" t="b">
        <v>0</v>
      </c>
      <c r="F5359" s="1" t="s">
        <v>19061</v>
      </c>
    </row>
    <row r="5360">
      <c r="A5360" s="1">
        <v>50065.0</v>
      </c>
      <c r="B5360" s="1">
        <v>18104.0</v>
      </c>
      <c r="C5360" s="1">
        <v>1.621145208E9</v>
      </c>
      <c r="D5360" s="1">
        <v>4.0</v>
      </c>
      <c r="E5360" s="1" t="b">
        <v>0</v>
      </c>
      <c r="F5360" s="1" t="s">
        <v>15233</v>
      </c>
    </row>
    <row r="5361">
      <c r="A5361" s="1">
        <v>50065.0</v>
      </c>
      <c r="B5361" s="1">
        <v>19074.0</v>
      </c>
      <c r="C5361" s="1">
        <v>1.622357872E9</v>
      </c>
      <c r="D5361" s="1">
        <v>4.0</v>
      </c>
      <c r="E5361" s="1" t="b">
        <v>0</v>
      </c>
      <c r="F5361" s="1" t="s">
        <v>19062</v>
      </c>
    </row>
    <row r="5362">
      <c r="A5362" s="1">
        <v>50065.0</v>
      </c>
      <c r="B5362" s="1">
        <v>18172.0</v>
      </c>
      <c r="C5362" s="1">
        <v>1.62118311E9</v>
      </c>
      <c r="D5362" s="1">
        <v>4.0</v>
      </c>
      <c r="E5362" s="1" t="b">
        <v>0</v>
      </c>
      <c r="F5362" s="1" t="s">
        <v>19063</v>
      </c>
      <c r="G5362" s="1" t="b">
        <v>1</v>
      </c>
    </row>
    <row r="5363">
      <c r="A5363" s="1">
        <v>50065.0</v>
      </c>
      <c r="B5363" s="1">
        <v>3000.0</v>
      </c>
      <c r="C5363" s="1">
        <v>1.621101873E9</v>
      </c>
      <c r="D5363" s="1">
        <v>4.0</v>
      </c>
      <c r="E5363" s="1" t="b">
        <v>0</v>
      </c>
      <c r="F5363" s="1" t="s">
        <v>14183</v>
      </c>
      <c r="G5363" s="1" t="b">
        <v>1</v>
      </c>
    </row>
    <row r="5364">
      <c r="A5364" s="1">
        <v>50065.0</v>
      </c>
      <c r="B5364" s="1">
        <v>16795.0</v>
      </c>
      <c r="C5364" s="1">
        <v>1.620108598E9</v>
      </c>
      <c r="D5364" s="1">
        <v>1.0</v>
      </c>
      <c r="E5364" s="1" t="b">
        <v>1</v>
      </c>
      <c r="F5364" s="1" t="s">
        <v>19064</v>
      </c>
    </row>
    <row r="5365">
      <c r="A5365" s="1">
        <v>50065.0</v>
      </c>
      <c r="B5365" s="1">
        <v>18404.0</v>
      </c>
      <c r="C5365" s="1">
        <v>1.621526502E9</v>
      </c>
      <c r="D5365" s="1">
        <v>4.0</v>
      </c>
      <c r="E5365" s="1" t="b">
        <v>0</v>
      </c>
      <c r="F5365" s="1" t="s">
        <v>19065</v>
      </c>
    </row>
    <row r="5366">
      <c r="A5366" s="1">
        <v>50065.0</v>
      </c>
      <c r="B5366" s="1">
        <v>19099.0</v>
      </c>
      <c r="C5366" s="1">
        <v>1.622373824E9</v>
      </c>
      <c r="D5366" s="1">
        <v>4.0</v>
      </c>
      <c r="E5366" s="1" t="b">
        <v>0</v>
      </c>
      <c r="F5366" s="1" t="s">
        <v>19066</v>
      </c>
    </row>
    <row r="5367">
      <c r="A5367" s="1">
        <v>50065.0</v>
      </c>
      <c r="B5367" s="1">
        <v>18178.0</v>
      </c>
      <c r="C5367" s="1">
        <v>1.621191398E9</v>
      </c>
      <c r="D5367" s="1">
        <v>4.0</v>
      </c>
      <c r="E5367" s="1" t="b">
        <v>0</v>
      </c>
      <c r="F5367" s="1" t="s">
        <v>19067</v>
      </c>
    </row>
    <row r="5368">
      <c r="A5368" s="1">
        <v>50065.0</v>
      </c>
      <c r="B5368" s="1">
        <v>18536.0</v>
      </c>
      <c r="C5368" s="1">
        <v>1.621689986E9</v>
      </c>
      <c r="D5368" s="1">
        <v>4.0</v>
      </c>
      <c r="E5368" s="1" t="b">
        <v>0</v>
      </c>
      <c r="F5368" s="1" t="s">
        <v>14303</v>
      </c>
    </row>
    <row r="5369">
      <c r="A5369" s="1">
        <v>50065.0</v>
      </c>
      <c r="B5369" s="1">
        <v>19405.0</v>
      </c>
      <c r="C5369" s="1">
        <v>1.622694214E9</v>
      </c>
      <c r="D5369" s="1">
        <v>4.0</v>
      </c>
      <c r="E5369" s="1" t="b">
        <v>0</v>
      </c>
      <c r="F5369" s="1" t="s">
        <v>19068</v>
      </c>
    </row>
    <row r="5370">
      <c r="A5370" s="1">
        <v>50065.0</v>
      </c>
      <c r="B5370" s="1">
        <v>18627.0</v>
      </c>
      <c r="C5370" s="1">
        <v>1.621780292E9</v>
      </c>
      <c r="D5370" s="1">
        <v>4.0</v>
      </c>
      <c r="E5370" s="1" t="b">
        <v>0</v>
      </c>
      <c r="F5370" s="1" t="s">
        <v>19069</v>
      </c>
    </row>
    <row r="5371">
      <c r="A5371" s="1">
        <v>50065.0</v>
      </c>
      <c r="B5371" s="1">
        <v>18214.0</v>
      </c>
      <c r="C5371" s="1">
        <v>1.621249036E9</v>
      </c>
      <c r="D5371" s="1">
        <v>4.0</v>
      </c>
      <c r="E5371" s="1" t="b">
        <v>0</v>
      </c>
      <c r="F5371" s="1" t="s">
        <v>19070</v>
      </c>
    </row>
    <row r="5372">
      <c r="A5372" s="1">
        <v>50065.0</v>
      </c>
      <c r="B5372" s="1">
        <v>18938.0</v>
      </c>
      <c r="C5372" s="1">
        <v>1.622176222E9</v>
      </c>
      <c r="D5372" s="1">
        <v>4.0</v>
      </c>
      <c r="E5372" s="1" t="b">
        <v>0</v>
      </c>
      <c r="F5372" s="1" t="s">
        <v>19071</v>
      </c>
    </row>
    <row r="5373">
      <c r="A5373" s="1">
        <v>50065.0</v>
      </c>
      <c r="B5373" s="1">
        <v>18387.0</v>
      </c>
      <c r="C5373" s="1">
        <v>1.62152752E9</v>
      </c>
      <c r="D5373" s="1">
        <v>4.0</v>
      </c>
      <c r="E5373" s="1" t="b">
        <v>0</v>
      </c>
      <c r="F5373" s="1" t="s">
        <v>19072</v>
      </c>
    </row>
    <row r="5374">
      <c r="A5374" s="1">
        <v>50065.0</v>
      </c>
      <c r="B5374" s="1">
        <v>18155.0</v>
      </c>
      <c r="C5374" s="1">
        <v>1.621172751E9</v>
      </c>
      <c r="D5374" s="1">
        <v>4.0</v>
      </c>
      <c r="E5374" s="1" t="b">
        <v>0</v>
      </c>
      <c r="F5374" s="1" t="s">
        <v>19073</v>
      </c>
    </row>
    <row r="5375">
      <c r="A5375" s="1">
        <v>50065.0</v>
      </c>
      <c r="B5375" s="1">
        <v>17847.0</v>
      </c>
      <c r="C5375" s="1">
        <v>1.622091109E9</v>
      </c>
      <c r="D5375" s="1">
        <v>4.0</v>
      </c>
      <c r="E5375" s="1" t="b">
        <v>0</v>
      </c>
      <c r="F5375" s="1" t="s">
        <v>19002</v>
      </c>
    </row>
    <row r="5376">
      <c r="A5376" s="1">
        <v>50065.0</v>
      </c>
      <c r="B5376" s="1">
        <v>18322.0</v>
      </c>
      <c r="C5376" s="1">
        <v>1.62139708E9</v>
      </c>
      <c r="D5376" s="1">
        <v>4.0</v>
      </c>
      <c r="E5376" s="1" t="b">
        <v>0</v>
      </c>
      <c r="F5376" s="1" t="s">
        <v>19074</v>
      </c>
    </row>
    <row r="5377">
      <c r="A5377" s="1">
        <v>50065.0</v>
      </c>
      <c r="B5377" s="1">
        <v>19691.0</v>
      </c>
      <c r="C5377" s="1">
        <v>1.623163768E9</v>
      </c>
      <c r="D5377" s="1">
        <v>4.0</v>
      </c>
      <c r="E5377" s="1" t="b">
        <v>0</v>
      </c>
      <c r="F5377" s="1" t="s">
        <v>19075</v>
      </c>
    </row>
    <row r="5378">
      <c r="A5378" s="1">
        <v>50065.0</v>
      </c>
      <c r="B5378" s="1">
        <v>20253.0</v>
      </c>
      <c r="C5378" s="1">
        <v>1.623987976E9</v>
      </c>
      <c r="D5378" s="1">
        <v>4.0</v>
      </c>
      <c r="E5378" s="1" t="b">
        <v>0</v>
      </c>
      <c r="F5378" s="1" t="s">
        <v>19076</v>
      </c>
    </row>
    <row r="5379">
      <c r="A5379" s="1">
        <v>50065.0</v>
      </c>
      <c r="B5379" s="1">
        <v>18268.0</v>
      </c>
      <c r="C5379" s="1">
        <v>1.621311631E9</v>
      </c>
      <c r="D5379" s="1">
        <v>4.0</v>
      </c>
      <c r="E5379" s="1" t="b">
        <v>0</v>
      </c>
      <c r="F5379" s="1" t="s">
        <v>19077</v>
      </c>
    </row>
    <row r="5380">
      <c r="A5380" s="1">
        <v>50065.0</v>
      </c>
      <c r="B5380" s="1">
        <v>18895.0</v>
      </c>
      <c r="C5380" s="1">
        <v>1.622111127E9</v>
      </c>
      <c r="D5380" s="1">
        <v>4.0</v>
      </c>
      <c r="E5380" s="1" t="b">
        <v>0</v>
      </c>
      <c r="F5380" s="1" t="s">
        <v>19078</v>
      </c>
    </row>
    <row r="5381">
      <c r="A5381" s="1">
        <v>50065.0</v>
      </c>
      <c r="B5381" s="1">
        <v>18217.0</v>
      </c>
      <c r="C5381" s="1">
        <v>1.621249019E9</v>
      </c>
      <c r="D5381" s="1">
        <v>4.0</v>
      </c>
      <c r="E5381" s="1" t="b">
        <v>0</v>
      </c>
      <c r="F5381" s="1" t="s">
        <v>19079</v>
      </c>
    </row>
    <row r="5382">
      <c r="A5382" s="1">
        <v>50065.0</v>
      </c>
      <c r="B5382" s="1">
        <v>19228.0</v>
      </c>
      <c r="C5382" s="1">
        <v>1.62252036E9</v>
      </c>
      <c r="D5382" s="1">
        <v>4.0</v>
      </c>
      <c r="E5382" s="1" t="b">
        <v>0</v>
      </c>
      <c r="F5382" s="1" t="s">
        <v>16835</v>
      </c>
    </row>
    <row r="5383">
      <c r="A5383" s="1">
        <v>50065.0</v>
      </c>
      <c r="B5383" s="1">
        <v>19425.0</v>
      </c>
      <c r="C5383" s="1">
        <v>1.622702686E9</v>
      </c>
      <c r="D5383" s="1">
        <v>4.0</v>
      </c>
      <c r="E5383" s="1" t="b">
        <v>0</v>
      </c>
      <c r="F5383" s="1" t="s">
        <v>19080</v>
      </c>
    </row>
    <row r="5384">
      <c r="A5384" s="1">
        <v>50065.0</v>
      </c>
      <c r="B5384" s="1">
        <v>18302.0</v>
      </c>
      <c r="C5384" s="1">
        <v>1.621345429E9</v>
      </c>
      <c r="D5384" s="1">
        <v>4.0</v>
      </c>
      <c r="E5384" s="1" t="b">
        <v>0</v>
      </c>
      <c r="F5384" s="1" t="s">
        <v>19081</v>
      </c>
    </row>
    <row r="5385">
      <c r="A5385" s="1">
        <v>50065.0</v>
      </c>
      <c r="B5385" s="1">
        <v>18341.0</v>
      </c>
      <c r="C5385" s="1">
        <v>1.621436958E9</v>
      </c>
      <c r="D5385" s="1">
        <v>4.0</v>
      </c>
      <c r="E5385" s="1" t="b">
        <v>0</v>
      </c>
      <c r="F5385" s="1" t="s">
        <v>19082</v>
      </c>
    </row>
    <row r="5386">
      <c r="A5386" s="1">
        <v>50065.0</v>
      </c>
      <c r="B5386" s="1">
        <v>19318.0</v>
      </c>
      <c r="C5386" s="1">
        <v>1.622605759E9</v>
      </c>
      <c r="D5386" s="1">
        <v>4.0</v>
      </c>
      <c r="E5386" s="1" t="b">
        <v>0</v>
      </c>
      <c r="F5386" s="1" t="s">
        <v>19083</v>
      </c>
    </row>
    <row r="5387">
      <c r="A5387" s="1">
        <v>50065.0</v>
      </c>
      <c r="B5387" s="1">
        <v>19526.0</v>
      </c>
      <c r="C5387" s="1">
        <v>1.62296617E9</v>
      </c>
      <c r="D5387" s="1">
        <v>4.0</v>
      </c>
      <c r="E5387" s="1" t="b">
        <v>0</v>
      </c>
      <c r="F5387" s="1" t="s">
        <v>19084</v>
      </c>
    </row>
    <row r="5388">
      <c r="A5388" s="1">
        <v>50065.0</v>
      </c>
      <c r="B5388" s="1">
        <v>18169.0</v>
      </c>
      <c r="C5388" s="1">
        <v>1.621179866E9</v>
      </c>
      <c r="D5388" s="1">
        <v>4.0</v>
      </c>
      <c r="E5388" s="1" t="b">
        <v>0</v>
      </c>
      <c r="F5388" s="1" t="s">
        <v>19085</v>
      </c>
    </row>
    <row r="5389">
      <c r="A5389" s="1">
        <v>50065.0</v>
      </c>
      <c r="B5389" s="1">
        <v>18771.0</v>
      </c>
      <c r="C5389" s="1">
        <v>1.621939107E9</v>
      </c>
      <c r="D5389" s="1">
        <v>4.0</v>
      </c>
      <c r="E5389" s="1" t="b">
        <v>0</v>
      </c>
      <c r="F5389" s="1" t="s">
        <v>19086</v>
      </c>
    </row>
    <row r="5390">
      <c r="A5390" s="1">
        <v>50065.0</v>
      </c>
      <c r="B5390" s="1">
        <v>19255.0</v>
      </c>
      <c r="C5390" s="1">
        <v>1.622536065E9</v>
      </c>
      <c r="D5390" s="1">
        <v>4.0</v>
      </c>
      <c r="E5390" s="1" t="b">
        <v>0</v>
      </c>
      <c r="F5390" s="1" t="s">
        <v>19087</v>
      </c>
    </row>
    <row r="5391">
      <c r="A5391" s="1">
        <v>50065.0</v>
      </c>
      <c r="B5391" s="1">
        <v>19656.0</v>
      </c>
      <c r="C5391" s="1">
        <v>1.623122579E9</v>
      </c>
      <c r="D5391" s="1">
        <v>4.0</v>
      </c>
      <c r="E5391" s="1" t="b">
        <v>0</v>
      </c>
      <c r="F5391" s="1" t="s">
        <v>19088</v>
      </c>
    </row>
    <row r="5392">
      <c r="A5392" s="1">
        <v>50065.0</v>
      </c>
      <c r="B5392" s="1">
        <v>11734.0</v>
      </c>
      <c r="C5392" s="1">
        <v>1.621650636E9</v>
      </c>
      <c r="D5392" s="1">
        <v>4.0</v>
      </c>
      <c r="E5392" s="1" t="b">
        <v>0</v>
      </c>
      <c r="F5392" s="1" t="s">
        <v>19089</v>
      </c>
    </row>
    <row r="5393">
      <c r="A5393" s="1">
        <v>50065.0</v>
      </c>
      <c r="B5393" s="1">
        <v>18461.0</v>
      </c>
      <c r="C5393" s="1">
        <v>1.621614442E9</v>
      </c>
      <c r="D5393" s="1">
        <v>4.0</v>
      </c>
      <c r="E5393" s="1" t="b">
        <v>0</v>
      </c>
      <c r="F5393" s="1" t="s">
        <v>19090</v>
      </c>
    </row>
    <row r="5394">
      <c r="A5394" s="1">
        <v>50065.0</v>
      </c>
      <c r="B5394" s="1">
        <v>18369.0</v>
      </c>
      <c r="C5394" s="1">
        <v>1.62150087E9</v>
      </c>
      <c r="D5394" s="1">
        <v>4.0</v>
      </c>
      <c r="E5394" s="1" t="b">
        <v>0</v>
      </c>
      <c r="F5394" s="1" t="s">
        <v>19091</v>
      </c>
    </row>
    <row r="5395">
      <c r="A5395" s="1">
        <v>50065.0</v>
      </c>
      <c r="B5395" s="1">
        <v>17943.0</v>
      </c>
      <c r="C5395" s="1">
        <v>1.620680768E9</v>
      </c>
      <c r="D5395" s="1">
        <v>4.0</v>
      </c>
      <c r="E5395" s="1" t="b">
        <v>0</v>
      </c>
      <c r="F5395" s="1" t="s">
        <v>19092</v>
      </c>
    </row>
    <row r="5396">
      <c r="A5396" s="1">
        <v>50065.0</v>
      </c>
      <c r="B5396" s="1">
        <v>19285.0</v>
      </c>
      <c r="C5396" s="1">
        <v>1.62255699E9</v>
      </c>
      <c r="D5396" s="1">
        <v>4.0</v>
      </c>
      <c r="E5396" s="1" t="b">
        <v>0</v>
      </c>
      <c r="F5396" s="1" t="s">
        <v>19093</v>
      </c>
    </row>
    <row r="5397">
      <c r="A5397" s="1">
        <v>50065.0</v>
      </c>
      <c r="B5397" s="1">
        <v>19054.0</v>
      </c>
      <c r="C5397" s="1">
        <v>1.622344378E9</v>
      </c>
      <c r="D5397" s="1">
        <v>4.0</v>
      </c>
      <c r="E5397" s="1" t="b">
        <v>0</v>
      </c>
      <c r="F5397" s="1" t="s">
        <v>19094</v>
      </c>
    </row>
    <row r="5398">
      <c r="A5398" s="1">
        <v>50065.0</v>
      </c>
      <c r="B5398" s="1">
        <v>18921.0</v>
      </c>
      <c r="C5398" s="1">
        <v>1.622141333E9</v>
      </c>
      <c r="D5398" s="1">
        <v>4.0</v>
      </c>
      <c r="E5398" s="1" t="b">
        <v>0</v>
      </c>
      <c r="F5398" s="1" t="s">
        <v>19095</v>
      </c>
    </row>
    <row r="5399">
      <c r="A5399" s="1">
        <v>50065.0</v>
      </c>
      <c r="B5399" s="1">
        <v>19149.0</v>
      </c>
      <c r="C5399" s="1">
        <v>1.622443063E9</v>
      </c>
      <c r="D5399" s="1">
        <v>4.0</v>
      </c>
      <c r="E5399" s="1" t="b">
        <v>0</v>
      </c>
      <c r="F5399" s="1" t="s">
        <v>19096</v>
      </c>
    </row>
    <row r="5400">
      <c r="A5400" s="1">
        <v>50065.0</v>
      </c>
      <c r="B5400" s="1">
        <v>19048.0</v>
      </c>
      <c r="C5400" s="1">
        <v>1.622309026E9</v>
      </c>
      <c r="D5400" s="1">
        <v>4.0</v>
      </c>
      <c r="E5400" s="1" t="b">
        <v>0</v>
      </c>
      <c r="F5400" s="1" t="s">
        <v>19097</v>
      </c>
    </row>
    <row r="5401">
      <c r="A5401" s="1">
        <v>50065.0</v>
      </c>
      <c r="B5401" s="1">
        <v>18326.0</v>
      </c>
      <c r="C5401" s="1">
        <v>1.621405042E9</v>
      </c>
      <c r="D5401" s="1">
        <v>4.0</v>
      </c>
      <c r="E5401" s="1" t="b">
        <v>0</v>
      </c>
      <c r="F5401" s="1" t="s">
        <v>19098</v>
      </c>
    </row>
    <row r="5402">
      <c r="A5402" s="1">
        <v>50065.0</v>
      </c>
      <c r="B5402" s="1">
        <v>19394.0</v>
      </c>
      <c r="C5402" s="1">
        <v>1.622661122E9</v>
      </c>
      <c r="D5402" s="1">
        <v>4.0</v>
      </c>
      <c r="E5402" s="1" t="b">
        <v>0</v>
      </c>
      <c r="F5402" s="1" t="s">
        <v>19099</v>
      </c>
    </row>
    <row r="5403">
      <c r="A5403" s="1">
        <v>50065.0</v>
      </c>
      <c r="B5403" s="1">
        <v>19641.0</v>
      </c>
      <c r="C5403" s="1">
        <v>1.623125738E9</v>
      </c>
      <c r="D5403" s="1">
        <v>4.0</v>
      </c>
      <c r="E5403" s="1" t="b">
        <v>0</v>
      </c>
      <c r="F5403" s="1" t="s">
        <v>19100</v>
      </c>
    </row>
    <row r="5404">
      <c r="A5404" s="1">
        <v>50065.0</v>
      </c>
      <c r="B5404" s="1">
        <v>17579.0</v>
      </c>
      <c r="C5404" s="1">
        <v>1.620237122E9</v>
      </c>
      <c r="D5404" s="1">
        <v>4.0</v>
      </c>
      <c r="E5404" s="1" t="b">
        <v>0</v>
      </c>
      <c r="F5404" s="1" t="s">
        <v>19101</v>
      </c>
      <c r="G5404" s="1" t="b">
        <v>1</v>
      </c>
    </row>
    <row r="5405">
      <c r="A5405" s="1">
        <v>50065.0</v>
      </c>
      <c r="B5405" s="1">
        <v>19165.0</v>
      </c>
      <c r="C5405" s="1">
        <v>1.6224544E9</v>
      </c>
      <c r="D5405" s="1">
        <v>4.0</v>
      </c>
      <c r="E5405" s="1" t="b">
        <v>0</v>
      </c>
      <c r="F5405" s="1" t="s">
        <v>19102</v>
      </c>
    </row>
    <row r="5406">
      <c r="A5406" s="1">
        <v>50065.0</v>
      </c>
      <c r="B5406" s="1">
        <v>17915.0</v>
      </c>
      <c r="C5406" s="1">
        <v>1.620716064E9</v>
      </c>
      <c r="D5406" s="1">
        <v>4.0</v>
      </c>
      <c r="E5406" s="1" t="b">
        <v>0</v>
      </c>
      <c r="F5406" s="1" t="s">
        <v>19103</v>
      </c>
    </row>
    <row r="5407">
      <c r="A5407" s="1">
        <v>50066.0</v>
      </c>
      <c r="B5407" s="1">
        <v>18087.0</v>
      </c>
      <c r="C5407" s="1">
        <v>1.621424369E9</v>
      </c>
      <c r="D5407" s="1">
        <v>4.0</v>
      </c>
      <c r="E5407" s="1" t="b">
        <v>0</v>
      </c>
      <c r="F5407" s="1" t="s">
        <v>19104</v>
      </c>
    </row>
    <row r="5408">
      <c r="A5408" s="1">
        <v>50066.0</v>
      </c>
      <c r="B5408" s="1">
        <v>18342.0</v>
      </c>
      <c r="C5408" s="1">
        <v>1.621432725E9</v>
      </c>
      <c r="D5408" s="1">
        <v>4.0</v>
      </c>
      <c r="E5408" s="1" t="b">
        <v>0</v>
      </c>
      <c r="F5408" s="1" t="s">
        <v>19105</v>
      </c>
    </row>
    <row r="5409">
      <c r="A5409" s="1">
        <v>50066.0</v>
      </c>
      <c r="B5409" s="1">
        <v>18346.0</v>
      </c>
      <c r="C5409" s="1">
        <v>1.621436268E9</v>
      </c>
      <c r="D5409" s="1">
        <v>4.0</v>
      </c>
      <c r="E5409" s="1" t="b">
        <v>0</v>
      </c>
      <c r="F5409" s="1" t="s">
        <v>19106</v>
      </c>
    </row>
    <row r="5410">
      <c r="A5410" s="1">
        <v>50066.0</v>
      </c>
      <c r="B5410" s="1">
        <v>18071.0</v>
      </c>
      <c r="C5410" s="1">
        <v>1.621077639E9</v>
      </c>
      <c r="D5410" s="1">
        <v>4.0</v>
      </c>
      <c r="E5410" s="1" t="b">
        <v>0</v>
      </c>
      <c r="F5410" s="1" t="s">
        <v>19107</v>
      </c>
    </row>
    <row r="5411">
      <c r="A5411" s="1">
        <v>50066.0</v>
      </c>
      <c r="B5411" s="1">
        <v>18004.0</v>
      </c>
      <c r="C5411" s="1">
        <v>1.620842921E9</v>
      </c>
      <c r="D5411" s="1">
        <v>4.0</v>
      </c>
      <c r="E5411" s="1" t="b">
        <v>0</v>
      </c>
      <c r="F5411" s="1" t="s">
        <v>19108</v>
      </c>
    </row>
    <row r="5412">
      <c r="A5412" s="1">
        <v>50066.0</v>
      </c>
      <c r="B5412" s="1">
        <v>18277.0</v>
      </c>
      <c r="C5412" s="1">
        <v>1.621316838E9</v>
      </c>
      <c r="D5412" s="1">
        <v>4.0</v>
      </c>
      <c r="E5412" s="1" t="b">
        <v>0</v>
      </c>
      <c r="F5412" s="1" t="s">
        <v>19109</v>
      </c>
    </row>
    <row r="5413">
      <c r="A5413" s="1">
        <v>50066.0</v>
      </c>
      <c r="B5413" s="1">
        <v>15194.0</v>
      </c>
      <c r="C5413" s="1">
        <v>1.620196232E9</v>
      </c>
      <c r="D5413" s="1">
        <v>4.0</v>
      </c>
      <c r="E5413" s="1" t="b">
        <v>0</v>
      </c>
      <c r="F5413" s="1" t="s">
        <v>17278</v>
      </c>
    </row>
    <row r="5414">
      <c r="A5414" s="1">
        <v>50066.0</v>
      </c>
      <c r="B5414" s="1">
        <v>17940.0</v>
      </c>
      <c r="C5414" s="1">
        <v>1.620697085E9</v>
      </c>
      <c r="D5414" s="1">
        <v>4.0</v>
      </c>
      <c r="E5414" s="1" t="b">
        <v>0</v>
      </c>
      <c r="F5414" s="1" t="s">
        <v>19110</v>
      </c>
      <c r="G5414" s="1" t="b">
        <v>1</v>
      </c>
    </row>
    <row r="5415">
      <c r="A5415" s="1">
        <v>50066.0</v>
      </c>
      <c r="B5415" s="1">
        <v>18116.0</v>
      </c>
      <c r="C5415" s="1">
        <v>1.621147668E9</v>
      </c>
      <c r="D5415" s="1">
        <v>4.0</v>
      </c>
      <c r="E5415" s="1" t="b">
        <v>0</v>
      </c>
      <c r="F5415" s="1" t="s">
        <v>19111</v>
      </c>
    </row>
    <row r="5416">
      <c r="A5416" s="1">
        <v>50066.0</v>
      </c>
      <c r="B5416" s="1">
        <v>17830.0</v>
      </c>
      <c r="C5416" s="1">
        <v>1.620565786E9</v>
      </c>
      <c r="D5416" s="1">
        <v>1.0</v>
      </c>
      <c r="E5416" s="1" t="b">
        <v>0</v>
      </c>
      <c r="F5416" s="1" t="s">
        <v>19112</v>
      </c>
    </row>
    <row r="5417">
      <c r="A5417" s="1">
        <v>50066.0</v>
      </c>
      <c r="B5417" s="1">
        <v>18094.0</v>
      </c>
      <c r="C5417" s="1">
        <v>1.621099017E9</v>
      </c>
      <c r="D5417" s="1">
        <v>4.0</v>
      </c>
      <c r="E5417" s="1" t="b">
        <v>0</v>
      </c>
      <c r="F5417" s="1" t="s">
        <v>19113</v>
      </c>
      <c r="G5417" s="1" t="b">
        <v>1</v>
      </c>
    </row>
    <row r="5418">
      <c r="A5418" s="1">
        <v>50066.0</v>
      </c>
      <c r="B5418" s="1">
        <v>18030.0</v>
      </c>
      <c r="C5418" s="1">
        <v>1.620983424E9</v>
      </c>
      <c r="D5418" s="1">
        <v>4.0</v>
      </c>
      <c r="E5418" s="1" t="b">
        <v>0</v>
      </c>
      <c r="F5418" s="1" t="s">
        <v>19114</v>
      </c>
    </row>
    <row r="5419">
      <c r="A5419" s="1">
        <v>50066.0</v>
      </c>
      <c r="B5419" s="1">
        <v>18252.0</v>
      </c>
      <c r="C5419" s="1">
        <v>1.621266247E9</v>
      </c>
      <c r="D5419" s="1">
        <v>4.0</v>
      </c>
      <c r="E5419" s="1" t="b">
        <v>0</v>
      </c>
      <c r="F5419" s="1" t="s">
        <v>19115</v>
      </c>
    </row>
    <row r="5420">
      <c r="A5420" s="1">
        <v>50066.0</v>
      </c>
      <c r="B5420" s="1">
        <v>18316.0</v>
      </c>
      <c r="C5420" s="1">
        <v>1.62136103E9</v>
      </c>
      <c r="D5420" s="1">
        <v>4.0</v>
      </c>
      <c r="E5420" s="1" t="b">
        <v>0</v>
      </c>
      <c r="F5420" s="1" t="s">
        <v>19116</v>
      </c>
    </row>
    <row r="5421">
      <c r="A5421" s="1">
        <v>50066.0</v>
      </c>
      <c r="B5421" s="1">
        <v>17968.0</v>
      </c>
      <c r="C5421" s="1">
        <v>1.620748325E9</v>
      </c>
      <c r="D5421" s="1">
        <v>4.0</v>
      </c>
      <c r="E5421" s="1" t="b">
        <v>0</v>
      </c>
      <c r="F5421" s="1" t="s">
        <v>19117</v>
      </c>
    </row>
    <row r="5422">
      <c r="A5422" s="1">
        <v>50066.0</v>
      </c>
      <c r="B5422" s="1">
        <v>17546.0</v>
      </c>
      <c r="C5422" s="1">
        <v>1.620476988E9</v>
      </c>
      <c r="D5422" s="1">
        <v>1.0</v>
      </c>
      <c r="E5422" s="1" t="b">
        <v>0</v>
      </c>
      <c r="F5422" s="1" t="s">
        <v>19118</v>
      </c>
      <c r="G5422" s="1" t="b">
        <v>1</v>
      </c>
    </row>
    <row r="5423">
      <c r="A5423" s="1">
        <v>50066.0</v>
      </c>
      <c r="B5423" s="1">
        <v>17944.0</v>
      </c>
      <c r="C5423" s="1">
        <v>1.620700668E9</v>
      </c>
      <c r="D5423" s="1">
        <v>4.0</v>
      </c>
      <c r="E5423" s="1" t="b">
        <v>0</v>
      </c>
      <c r="F5423" s="1" t="s">
        <v>19119</v>
      </c>
    </row>
    <row r="5424">
      <c r="A5424" s="1">
        <v>50066.0</v>
      </c>
      <c r="B5424" s="1">
        <v>17514.0</v>
      </c>
      <c r="C5424" s="1">
        <v>1.62012619E9</v>
      </c>
      <c r="D5424" s="1">
        <v>1.0</v>
      </c>
      <c r="E5424" s="1" t="b">
        <v>1</v>
      </c>
      <c r="F5424" s="1" t="s">
        <v>19120</v>
      </c>
      <c r="G5424" s="1" t="b">
        <v>1</v>
      </c>
    </row>
    <row r="5425">
      <c r="A5425" s="1">
        <v>50066.0</v>
      </c>
      <c r="B5425" s="1">
        <v>20082.0</v>
      </c>
      <c r="C5425" s="1">
        <v>1.623749201E9</v>
      </c>
      <c r="D5425" s="1">
        <v>4.0</v>
      </c>
      <c r="E5425" s="1" t="b">
        <v>0</v>
      </c>
      <c r="F5425" s="1" t="s">
        <v>19121</v>
      </c>
    </row>
    <row r="5426">
      <c r="A5426" s="1">
        <v>50066.0</v>
      </c>
      <c r="B5426" s="1">
        <v>18335.0</v>
      </c>
      <c r="C5426" s="1">
        <v>1.621424378E9</v>
      </c>
      <c r="D5426" s="1">
        <v>4.0</v>
      </c>
      <c r="E5426" s="1" t="b">
        <v>0</v>
      </c>
      <c r="F5426" s="1" t="s">
        <v>19122</v>
      </c>
    </row>
    <row r="5427">
      <c r="A5427" s="1">
        <v>50066.0</v>
      </c>
      <c r="B5427" s="1">
        <v>18251.0</v>
      </c>
      <c r="C5427" s="1">
        <v>1.621266137E9</v>
      </c>
      <c r="D5427" s="1">
        <v>4.0</v>
      </c>
      <c r="E5427" s="1" t="b">
        <v>0</v>
      </c>
      <c r="F5427" s="1" t="s">
        <v>19123</v>
      </c>
    </row>
    <row r="5428">
      <c r="A5428" s="1">
        <v>50066.0</v>
      </c>
      <c r="B5428" s="1">
        <v>18334.0</v>
      </c>
      <c r="C5428" s="1">
        <v>1.621424353E9</v>
      </c>
      <c r="D5428" s="1">
        <v>4.0</v>
      </c>
      <c r="E5428" s="1" t="b">
        <v>0</v>
      </c>
      <c r="F5428" s="1" t="s">
        <v>19124</v>
      </c>
    </row>
    <row r="5429">
      <c r="A5429" s="1">
        <v>50066.0</v>
      </c>
      <c r="B5429" s="1">
        <v>18261.0</v>
      </c>
      <c r="C5429" s="1">
        <v>1.621424419E9</v>
      </c>
      <c r="D5429" s="1">
        <v>4.0</v>
      </c>
      <c r="E5429" s="1" t="b">
        <v>0</v>
      </c>
      <c r="F5429" s="1" t="s">
        <v>19125</v>
      </c>
    </row>
    <row r="5430">
      <c r="A5430" s="1">
        <v>50066.0</v>
      </c>
      <c r="B5430" s="1">
        <v>18147.0</v>
      </c>
      <c r="C5430" s="1">
        <v>1.62117878E9</v>
      </c>
      <c r="D5430" s="1">
        <v>4.0</v>
      </c>
      <c r="E5430" s="1" t="b">
        <v>0</v>
      </c>
      <c r="F5430" s="1" t="s">
        <v>19126</v>
      </c>
    </row>
    <row r="5431">
      <c r="A5431" s="1">
        <v>50066.0</v>
      </c>
      <c r="B5431" s="1">
        <v>17922.0</v>
      </c>
      <c r="C5431" s="1">
        <v>1.620657131E9</v>
      </c>
      <c r="D5431" s="1">
        <v>4.0</v>
      </c>
      <c r="E5431" s="1" t="b">
        <v>0</v>
      </c>
      <c r="F5431" s="1" t="s">
        <v>19127</v>
      </c>
    </row>
    <row r="5432">
      <c r="A5432" s="1">
        <v>50066.0</v>
      </c>
      <c r="B5432" s="1">
        <v>18076.0</v>
      </c>
      <c r="C5432" s="1">
        <v>1.621424361E9</v>
      </c>
      <c r="D5432" s="1">
        <v>4.0</v>
      </c>
      <c r="E5432" s="1" t="b">
        <v>0</v>
      </c>
      <c r="F5432" s="1" t="s">
        <v>19128</v>
      </c>
    </row>
    <row r="5433">
      <c r="A5433" s="1">
        <v>50066.0</v>
      </c>
      <c r="B5433" s="1">
        <v>18258.0</v>
      </c>
      <c r="C5433" s="1">
        <v>1.621268479E9</v>
      </c>
      <c r="D5433" s="1">
        <v>4.0</v>
      </c>
      <c r="E5433" s="1" t="b">
        <v>0</v>
      </c>
      <c r="F5433" s="1" t="s">
        <v>19129</v>
      </c>
    </row>
    <row r="5434">
      <c r="A5434" s="1">
        <v>50066.0</v>
      </c>
      <c r="B5434" s="1">
        <v>18314.0</v>
      </c>
      <c r="C5434" s="1">
        <v>1.621361012E9</v>
      </c>
      <c r="D5434" s="1">
        <v>4.0</v>
      </c>
      <c r="E5434" s="1" t="b">
        <v>0</v>
      </c>
      <c r="F5434" s="1" t="s">
        <v>19130</v>
      </c>
    </row>
    <row r="5435">
      <c r="A5435" s="1">
        <v>50066.0</v>
      </c>
      <c r="B5435" s="1">
        <v>17959.0</v>
      </c>
      <c r="C5435" s="1">
        <v>1.620726164E9</v>
      </c>
      <c r="D5435" s="1">
        <v>4.0</v>
      </c>
      <c r="E5435" s="1" t="b">
        <v>0</v>
      </c>
      <c r="F5435" s="1" t="s">
        <v>19131</v>
      </c>
    </row>
    <row r="5436">
      <c r="A5436" s="1">
        <v>50066.0</v>
      </c>
      <c r="B5436" s="1">
        <v>18247.0</v>
      </c>
      <c r="C5436" s="1">
        <v>1.621265021E9</v>
      </c>
      <c r="D5436" s="1">
        <v>4.0</v>
      </c>
      <c r="E5436" s="1" t="b">
        <v>0</v>
      </c>
      <c r="F5436" s="1" t="s">
        <v>19132</v>
      </c>
    </row>
    <row r="5437">
      <c r="A5437" s="1">
        <v>50066.0</v>
      </c>
      <c r="B5437" s="1">
        <v>18029.0</v>
      </c>
      <c r="C5437" s="1">
        <v>1.62096093E9</v>
      </c>
      <c r="D5437" s="1">
        <v>9.0</v>
      </c>
      <c r="E5437" s="1" t="b">
        <v>0</v>
      </c>
      <c r="F5437" s="1" t="s">
        <v>19133</v>
      </c>
    </row>
    <row r="5438">
      <c r="A5438" s="1">
        <v>50066.0</v>
      </c>
      <c r="B5438" s="1">
        <v>18253.0</v>
      </c>
      <c r="C5438" s="1">
        <v>1.62126626E9</v>
      </c>
      <c r="D5438" s="1">
        <v>4.0</v>
      </c>
      <c r="E5438" s="1" t="b">
        <v>0</v>
      </c>
      <c r="F5438" s="1" t="s">
        <v>19134</v>
      </c>
    </row>
    <row r="5439">
      <c r="A5439" s="1">
        <v>50066.0</v>
      </c>
      <c r="B5439" s="1">
        <v>18092.0</v>
      </c>
      <c r="C5439" s="1">
        <v>1.621099019E9</v>
      </c>
      <c r="D5439" s="1">
        <v>4.0</v>
      </c>
      <c r="E5439" s="1" t="b">
        <v>0</v>
      </c>
      <c r="F5439" s="1" t="s">
        <v>19135</v>
      </c>
    </row>
    <row r="5440">
      <c r="A5440" s="1">
        <v>50066.0</v>
      </c>
      <c r="B5440" s="1">
        <v>18085.0</v>
      </c>
      <c r="C5440" s="1">
        <v>1.6210925E9</v>
      </c>
      <c r="D5440" s="1">
        <v>4.0</v>
      </c>
      <c r="E5440" s="1" t="b">
        <v>0</v>
      </c>
      <c r="F5440" s="1" t="s">
        <v>19136</v>
      </c>
    </row>
    <row r="5441">
      <c r="A5441" s="1">
        <v>50066.0</v>
      </c>
      <c r="B5441" s="1">
        <v>20207.0</v>
      </c>
      <c r="C5441" s="1">
        <v>1.623927022E9</v>
      </c>
      <c r="D5441" s="1">
        <v>4.0</v>
      </c>
      <c r="E5441" s="1" t="b">
        <v>0</v>
      </c>
      <c r="F5441" s="1" t="s">
        <v>19137</v>
      </c>
    </row>
    <row r="5442">
      <c r="A5442" s="1">
        <v>50066.0</v>
      </c>
      <c r="B5442" s="1">
        <v>18272.0</v>
      </c>
      <c r="C5442" s="1">
        <v>1.621309652E9</v>
      </c>
      <c r="D5442" s="1">
        <v>4.0</v>
      </c>
      <c r="E5442" s="1" t="b">
        <v>0</v>
      </c>
      <c r="F5442" s="1" t="s">
        <v>19138</v>
      </c>
    </row>
    <row r="5443">
      <c r="A5443" s="1">
        <v>50066.0</v>
      </c>
      <c r="B5443" s="1">
        <v>18255.0</v>
      </c>
      <c r="C5443" s="1">
        <v>1.621268104E9</v>
      </c>
      <c r="D5443" s="1">
        <v>1.0</v>
      </c>
      <c r="E5443" s="1" t="b">
        <v>0</v>
      </c>
      <c r="F5443" s="1" t="s">
        <v>19139</v>
      </c>
    </row>
    <row r="5444">
      <c r="A5444" s="1">
        <v>50066.0</v>
      </c>
      <c r="B5444" s="1">
        <v>18449.0</v>
      </c>
      <c r="C5444" s="1">
        <v>1.621602062E9</v>
      </c>
      <c r="D5444" s="1">
        <v>4.0</v>
      </c>
      <c r="E5444" s="1" t="b">
        <v>0</v>
      </c>
      <c r="F5444" s="1" t="s">
        <v>19140</v>
      </c>
    </row>
    <row r="5445">
      <c r="A5445" s="1">
        <v>50066.0</v>
      </c>
      <c r="B5445" s="1">
        <v>17963.0</v>
      </c>
      <c r="C5445" s="1">
        <v>1.620735697E9</v>
      </c>
      <c r="D5445" s="1">
        <v>4.0</v>
      </c>
      <c r="E5445" s="1" t="b">
        <v>0</v>
      </c>
      <c r="F5445" s="1" t="s">
        <v>19141</v>
      </c>
    </row>
    <row r="5446">
      <c r="A5446" s="1">
        <v>50066.0</v>
      </c>
      <c r="B5446" s="1">
        <v>18003.0</v>
      </c>
      <c r="C5446" s="1">
        <v>1.621147671E9</v>
      </c>
      <c r="D5446" s="1">
        <v>4.0</v>
      </c>
      <c r="E5446" s="1" t="b">
        <v>0</v>
      </c>
      <c r="F5446" s="1" t="s">
        <v>19142</v>
      </c>
    </row>
    <row r="5447">
      <c r="A5447" s="1">
        <v>50066.0</v>
      </c>
      <c r="B5447" s="1">
        <v>3912.0</v>
      </c>
      <c r="C5447" s="1">
        <v>1.620697103E9</v>
      </c>
      <c r="D5447" s="1">
        <v>4.0</v>
      </c>
      <c r="E5447" s="1" t="b">
        <v>0</v>
      </c>
      <c r="F5447" s="1" t="s">
        <v>16534</v>
      </c>
    </row>
    <row r="5448">
      <c r="A5448" s="1">
        <v>50066.0</v>
      </c>
      <c r="B5448" s="1">
        <v>18338.0</v>
      </c>
      <c r="C5448" s="1">
        <v>1.622017877E9</v>
      </c>
      <c r="D5448" s="1">
        <v>4.0</v>
      </c>
      <c r="E5448" s="1" t="b">
        <v>0</v>
      </c>
      <c r="F5448" s="1" t="s">
        <v>19143</v>
      </c>
    </row>
    <row r="5449">
      <c r="A5449" s="1">
        <v>50066.0</v>
      </c>
      <c r="B5449" s="1">
        <v>17979.0</v>
      </c>
      <c r="C5449" s="1">
        <v>1.620752052E9</v>
      </c>
      <c r="D5449" s="1">
        <v>4.0</v>
      </c>
      <c r="E5449" s="1" t="b">
        <v>0</v>
      </c>
      <c r="F5449" s="1" t="s">
        <v>19144</v>
      </c>
    </row>
    <row r="5450">
      <c r="A5450" s="1">
        <v>50066.0</v>
      </c>
      <c r="B5450" s="1">
        <v>18330.0</v>
      </c>
      <c r="C5450" s="1">
        <v>1.621410912E9</v>
      </c>
      <c r="D5450" s="1">
        <v>4.0</v>
      </c>
      <c r="E5450" s="1" t="b">
        <v>0</v>
      </c>
      <c r="F5450" s="1" t="s">
        <v>19145</v>
      </c>
    </row>
    <row r="5451">
      <c r="A5451" s="1">
        <v>50066.0</v>
      </c>
      <c r="B5451" s="1">
        <v>17911.0</v>
      </c>
      <c r="C5451" s="1">
        <v>1.620650172E9</v>
      </c>
      <c r="D5451" s="1">
        <v>4.0</v>
      </c>
      <c r="E5451" s="1" t="b">
        <v>0</v>
      </c>
      <c r="F5451" s="1" t="s">
        <v>19146</v>
      </c>
    </row>
    <row r="5452">
      <c r="A5452" s="1">
        <v>50066.0</v>
      </c>
      <c r="B5452" s="1">
        <v>18250.0</v>
      </c>
      <c r="C5452" s="1">
        <v>1.621266749E9</v>
      </c>
      <c r="D5452" s="1">
        <v>4.0</v>
      </c>
      <c r="E5452" s="1" t="b">
        <v>0</v>
      </c>
      <c r="F5452" s="1" t="s">
        <v>19147</v>
      </c>
    </row>
    <row r="5453">
      <c r="A5453" s="1">
        <v>50066.0</v>
      </c>
      <c r="B5453" s="1">
        <v>18767.0</v>
      </c>
      <c r="C5453" s="1">
        <v>1.621942949E9</v>
      </c>
      <c r="D5453" s="1">
        <v>4.0</v>
      </c>
      <c r="E5453" s="1" t="b">
        <v>0</v>
      </c>
      <c r="F5453" s="1" t="s">
        <v>19148</v>
      </c>
    </row>
    <row r="5454">
      <c r="A5454" s="1">
        <v>50066.0</v>
      </c>
      <c r="B5454" s="1">
        <v>18256.0</v>
      </c>
      <c r="C5454" s="1">
        <v>1.621268186E9</v>
      </c>
      <c r="D5454" s="1">
        <v>4.0</v>
      </c>
      <c r="E5454" s="1" t="b">
        <v>0</v>
      </c>
      <c r="F5454" s="1" t="s">
        <v>19149</v>
      </c>
    </row>
    <row r="5455">
      <c r="A5455" s="1">
        <v>50066.0</v>
      </c>
      <c r="B5455" s="1">
        <v>18332.0</v>
      </c>
      <c r="C5455" s="1">
        <v>1.621424389E9</v>
      </c>
      <c r="D5455" s="1">
        <v>4.0</v>
      </c>
      <c r="E5455" s="1" t="b">
        <v>0</v>
      </c>
      <c r="F5455" s="1" t="s">
        <v>19150</v>
      </c>
    </row>
    <row r="5456">
      <c r="A5456" s="1">
        <v>50066.0</v>
      </c>
      <c r="B5456" s="1">
        <v>18082.0</v>
      </c>
      <c r="C5456" s="1">
        <v>1.621088751E9</v>
      </c>
      <c r="D5456" s="1">
        <v>4.0</v>
      </c>
      <c r="E5456" s="1" t="b">
        <v>0</v>
      </c>
      <c r="F5456" s="1" t="s">
        <v>19151</v>
      </c>
    </row>
    <row r="5457">
      <c r="A5457" s="1">
        <v>50066.0</v>
      </c>
      <c r="B5457" s="1">
        <v>18073.0</v>
      </c>
      <c r="C5457" s="1">
        <v>1.621079483E9</v>
      </c>
      <c r="D5457" s="1">
        <v>4.0</v>
      </c>
      <c r="E5457" s="1" t="b">
        <v>0</v>
      </c>
      <c r="F5457" s="1" t="s">
        <v>19152</v>
      </c>
    </row>
    <row r="5458">
      <c r="A5458" s="1">
        <v>50066.0</v>
      </c>
      <c r="B5458" s="1">
        <v>18260.0</v>
      </c>
      <c r="C5458" s="1">
        <v>1.621270916E9</v>
      </c>
      <c r="D5458" s="1">
        <v>4.0</v>
      </c>
      <c r="E5458" s="1" t="b">
        <v>0</v>
      </c>
      <c r="F5458" s="1" t="s">
        <v>19153</v>
      </c>
    </row>
    <row r="5459">
      <c r="A5459" s="1">
        <v>50066.0</v>
      </c>
      <c r="B5459" s="1">
        <v>17909.0</v>
      </c>
      <c r="C5459" s="1">
        <v>1.620649342E9</v>
      </c>
      <c r="D5459" s="1">
        <v>4.0</v>
      </c>
      <c r="E5459" s="1" t="b">
        <v>0</v>
      </c>
      <c r="F5459" s="1" t="s">
        <v>19154</v>
      </c>
    </row>
    <row r="5460">
      <c r="A5460" s="1">
        <v>50066.0</v>
      </c>
      <c r="B5460" s="1">
        <v>19434.0</v>
      </c>
      <c r="C5460" s="1">
        <v>1.62270977E9</v>
      </c>
      <c r="D5460" s="1">
        <v>1.0</v>
      </c>
      <c r="E5460" s="1" t="b">
        <v>0</v>
      </c>
      <c r="F5460" s="1" t="s">
        <v>19155</v>
      </c>
      <c r="G5460" s="1" t="b">
        <v>1</v>
      </c>
    </row>
    <row r="5461">
      <c r="A5461" s="1">
        <v>50066.0</v>
      </c>
      <c r="B5461" s="1">
        <v>18229.0</v>
      </c>
      <c r="C5461" s="1">
        <v>1.621246982E9</v>
      </c>
      <c r="D5461" s="1">
        <v>4.0</v>
      </c>
      <c r="E5461" s="1" t="b">
        <v>0</v>
      </c>
      <c r="F5461" s="1" t="s">
        <v>19156</v>
      </c>
    </row>
    <row r="5462">
      <c r="A5462" s="1">
        <v>50066.0</v>
      </c>
      <c r="B5462" s="1">
        <v>18039.0</v>
      </c>
      <c r="C5462" s="1">
        <v>1.621002859E9</v>
      </c>
      <c r="D5462" s="1">
        <v>4.0</v>
      </c>
      <c r="E5462" s="1" t="b">
        <v>0</v>
      </c>
      <c r="F5462" s="1" t="s">
        <v>19157</v>
      </c>
    </row>
    <row r="5463">
      <c r="A5463" s="1">
        <v>50066.0</v>
      </c>
      <c r="B5463" s="1">
        <v>18254.0</v>
      </c>
      <c r="C5463" s="1">
        <v>1.621266759E9</v>
      </c>
      <c r="D5463" s="1">
        <v>4.0</v>
      </c>
      <c r="E5463" s="1" t="b">
        <v>0</v>
      </c>
      <c r="F5463" s="1" t="s">
        <v>19158</v>
      </c>
    </row>
    <row r="5464">
      <c r="A5464" s="1">
        <v>50066.0</v>
      </c>
      <c r="B5464" s="1">
        <v>17482.0</v>
      </c>
      <c r="C5464" s="1">
        <v>1.620200984E9</v>
      </c>
      <c r="D5464" s="1">
        <v>1.0</v>
      </c>
      <c r="E5464" s="1" t="b">
        <v>0</v>
      </c>
      <c r="F5464" s="1" t="s">
        <v>17266</v>
      </c>
      <c r="G5464" s="1" t="b">
        <v>1</v>
      </c>
    </row>
    <row r="5465">
      <c r="A5465" s="1">
        <v>50066.0</v>
      </c>
      <c r="B5465" s="1">
        <v>18077.0</v>
      </c>
      <c r="C5465" s="1">
        <v>1.621084015E9</v>
      </c>
      <c r="D5465" s="1">
        <v>4.0</v>
      </c>
      <c r="E5465" s="1" t="b">
        <v>0</v>
      </c>
      <c r="F5465" s="1" t="s">
        <v>19159</v>
      </c>
    </row>
    <row r="5466">
      <c r="A5466" s="1">
        <v>50069.0</v>
      </c>
      <c r="B5466" s="1">
        <v>3912.0</v>
      </c>
      <c r="C5466" s="1">
        <v>1.621851835E9</v>
      </c>
      <c r="D5466" s="1">
        <v>4.0</v>
      </c>
      <c r="E5466" s="1" t="b">
        <v>0</v>
      </c>
      <c r="F5466" s="1" t="s">
        <v>16534</v>
      </c>
      <c r="G5466" s="1" t="b">
        <v>1</v>
      </c>
    </row>
    <row r="5467">
      <c r="A5467" s="1">
        <v>50069.0</v>
      </c>
      <c r="B5467" s="1">
        <v>18028.0</v>
      </c>
      <c r="C5467" s="1">
        <v>1.621847102E9</v>
      </c>
      <c r="D5467" s="1">
        <v>4.0</v>
      </c>
      <c r="E5467" s="1" t="b">
        <v>0</v>
      </c>
      <c r="F5467" s="1" t="s">
        <v>19160</v>
      </c>
      <c r="G5467" s="1" t="b">
        <v>1</v>
      </c>
    </row>
    <row r="5468">
      <c r="A5468" s="1">
        <v>50069.0</v>
      </c>
      <c r="B5468" s="1">
        <v>17482.0</v>
      </c>
      <c r="C5468" s="1">
        <v>1.620300601E9</v>
      </c>
      <c r="D5468" s="1">
        <v>4.0</v>
      </c>
      <c r="E5468" s="1" t="b">
        <v>0</v>
      </c>
      <c r="F5468" s="1" t="s">
        <v>17266</v>
      </c>
      <c r="G5468" s="1" t="b">
        <v>1</v>
      </c>
    </row>
    <row r="5469">
      <c r="A5469" s="1">
        <v>50069.0</v>
      </c>
      <c r="B5469" s="1">
        <v>15194.0</v>
      </c>
      <c r="C5469" s="1">
        <v>1.621847191E9</v>
      </c>
      <c r="D5469" s="1">
        <v>4.0</v>
      </c>
      <c r="E5469" s="1" t="b">
        <v>0</v>
      </c>
      <c r="F5469" s="1" t="s">
        <v>17278</v>
      </c>
      <c r="G5469" s="1" t="b">
        <v>1</v>
      </c>
    </row>
    <row r="5470">
      <c r="A5470" s="1">
        <v>50069.0</v>
      </c>
      <c r="B5470" s="1">
        <v>5321.0</v>
      </c>
      <c r="C5470" s="1">
        <v>0.0</v>
      </c>
      <c r="D5470" s="1">
        <v>3.0</v>
      </c>
      <c r="E5470" s="1" t="b">
        <v>0</v>
      </c>
      <c r="F5470" s="1" t="s">
        <v>15446</v>
      </c>
    </row>
    <row r="5471">
      <c r="A5471" s="1">
        <v>50069.0</v>
      </c>
      <c r="B5471" s="1">
        <v>19859.0</v>
      </c>
      <c r="C5471" s="1">
        <v>0.0</v>
      </c>
      <c r="D5471" s="1">
        <v>3.0</v>
      </c>
      <c r="E5471" s="1" t="b">
        <v>0</v>
      </c>
      <c r="F5471" s="1" t="s">
        <v>19161</v>
      </c>
    </row>
    <row r="5472">
      <c r="A5472" s="1">
        <v>50069.0</v>
      </c>
      <c r="B5472" s="1">
        <v>18009.0</v>
      </c>
      <c r="C5472" s="1">
        <v>1.620873713E9</v>
      </c>
      <c r="D5472" s="1">
        <v>4.0</v>
      </c>
      <c r="E5472" s="1" t="b">
        <v>0</v>
      </c>
      <c r="F5472" s="1" t="s">
        <v>19162</v>
      </c>
      <c r="G5472" s="1" t="b">
        <v>1</v>
      </c>
    </row>
    <row r="5473">
      <c r="A5473" s="1">
        <v>50069.0</v>
      </c>
      <c r="B5473" s="1">
        <v>17558.0</v>
      </c>
      <c r="C5473" s="1">
        <v>1.620299903E9</v>
      </c>
      <c r="D5473" s="1">
        <v>1.0</v>
      </c>
      <c r="E5473" s="1" t="b">
        <v>1</v>
      </c>
      <c r="F5473" s="1" t="s">
        <v>19163</v>
      </c>
    </row>
    <row r="5474">
      <c r="A5474" s="1">
        <v>50073.0</v>
      </c>
      <c r="B5474" s="1">
        <v>17763.0</v>
      </c>
      <c r="C5474" s="1">
        <v>1.620497852E9</v>
      </c>
      <c r="D5474" s="1">
        <v>4.0</v>
      </c>
      <c r="E5474" s="1" t="b">
        <v>0</v>
      </c>
      <c r="F5474" s="1" t="s">
        <v>19164</v>
      </c>
    </row>
    <row r="5475">
      <c r="A5475" s="1">
        <v>50073.0</v>
      </c>
      <c r="B5475" s="1">
        <v>18964.0</v>
      </c>
      <c r="C5475" s="1">
        <v>1.622193315E9</v>
      </c>
      <c r="D5475" s="1">
        <v>4.0</v>
      </c>
      <c r="E5475" s="1" t="b">
        <v>0</v>
      </c>
      <c r="F5475" s="1" t="s">
        <v>19165</v>
      </c>
    </row>
    <row r="5476">
      <c r="A5476" s="1">
        <v>50073.0</v>
      </c>
      <c r="B5476" s="1">
        <v>16795.0</v>
      </c>
      <c r="C5476" s="1">
        <v>1.622447937E9</v>
      </c>
      <c r="D5476" s="1">
        <v>4.0</v>
      </c>
      <c r="E5476" s="1" t="b">
        <v>0</v>
      </c>
      <c r="F5476" s="1" t="s">
        <v>19064</v>
      </c>
      <c r="G5476" s="1" t="b">
        <v>1</v>
      </c>
    </row>
    <row r="5477">
      <c r="A5477" s="1">
        <v>50073.0</v>
      </c>
      <c r="B5477" s="1">
        <v>18088.0</v>
      </c>
      <c r="C5477" s="1">
        <v>1.621107372E9</v>
      </c>
      <c r="D5477" s="1">
        <v>4.0</v>
      </c>
      <c r="E5477" s="1" t="b">
        <v>0</v>
      </c>
      <c r="F5477" s="1" t="s">
        <v>19166</v>
      </c>
    </row>
    <row r="5478">
      <c r="A5478" s="1">
        <v>50073.0</v>
      </c>
      <c r="B5478" s="1">
        <v>17241.0</v>
      </c>
      <c r="C5478" s="1">
        <v>1.62264408E9</v>
      </c>
      <c r="D5478" s="1">
        <v>4.0</v>
      </c>
      <c r="E5478" s="1" t="b">
        <v>0</v>
      </c>
      <c r="F5478" s="1" t="s">
        <v>17915</v>
      </c>
    </row>
    <row r="5479">
      <c r="A5479" s="1">
        <v>50073.0</v>
      </c>
      <c r="B5479" s="1">
        <v>19110.0</v>
      </c>
      <c r="C5479" s="1">
        <v>1.622385422E9</v>
      </c>
      <c r="D5479" s="1">
        <v>4.0</v>
      </c>
      <c r="E5479" s="1" t="b">
        <v>0</v>
      </c>
      <c r="F5479" s="1" t="s">
        <v>19167</v>
      </c>
    </row>
    <row r="5480">
      <c r="A5480" s="1">
        <v>50073.0</v>
      </c>
      <c r="B5480" s="1">
        <v>18535.0</v>
      </c>
      <c r="C5480" s="1">
        <v>1.621688021E9</v>
      </c>
      <c r="D5480" s="1">
        <v>4.0</v>
      </c>
      <c r="E5480" s="1" t="b">
        <v>0</v>
      </c>
      <c r="F5480" s="1" t="s">
        <v>19168</v>
      </c>
    </row>
    <row r="5481">
      <c r="A5481" s="1">
        <v>50073.0</v>
      </c>
      <c r="B5481" s="1">
        <v>17872.0</v>
      </c>
      <c r="C5481" s="1">
        <v>1.62075133E9</v>
      </c>
      <c r="D5481" s="1">
        <v>4.0</v>
      </c>
      <c r="E5481" s="1" t="b">
        <v>0</v>
      </c>
      <c r="F5481" s="1" t="s">
        <v>19169</v>
      </c>
    </row>
    <row r="5482">
      <c r="A5482" s="1">
        <v>50073.0</v>
      </c>
      <c r="B5482" s="1">
        <v>20251.0</v>
      </c>
      <c r="C5482" s="1">
        <v>1.623982927E9</v>
      </c>
      <c r="D5482" s="1">
        <v>4.0</v>
      </c>
      <c r="E5482" s="1" t="b">
        <v>0</v>
      </c>
      <c r="F5482" s="1" t="s">
        <v>19170</v>
      </c>
    </row>
    <row r="5483">
      <c r="A5483" s="1">
        <v>50073.0</v>
      </c>
      <c r="B5483" s="1">
        <v>17985.0</v>
      </c>
      <c r="C5483" s="1">
        <v>1.620892796E9</v>
      </c>
      <c r="D5483" s="1">
        <v>4.0</v>
      </c>
      <c r="E5483" s="1" t="b">
        <v>0</v>
      </c>
      <c r="F5483" s="1" t="s">
        <v>19171</v>
      </c>
    </row>
    <row r="5484">
      <c r="A5484" s="1">
        <v>50073.0</v>
      </c>
      <c r="B5484" s="1">
        <v>18495.0</v>
      </c>
      <c r="C5484" s="1">
        <v>1.621664506E9</v>
      </c>
      <c r="D5484" s="1">
        <v>4.0</v>
      </c>
      <c r="E5484" s="1" t="b">
        <v>0</v>
      </c>
      <c r="F5484" s="1" t="s">
        <v>19172</v>
      </c>
    </row>
    <row r="5485">
      <c r="A5485" s="1">
        <v>50073.0</v>
      </c>
      <c r="B5485" s="1">
        <v>17750.0</v>
      </c>
      <c r="C5485" s="1">
        <v>1.620497841E9</v>
      </c>
      <c r="D5485" s="1">
        <v>4.0</v>
      </c>
      <c r="E5485" s="1" t="b">
        <v>0</v>
      </c>
      <c r="F5485" s="1" t="s">
        <v>19173</v>
      </c>
    </row>
    <row r="5486">
      <c r="A5486" s="1">
        <v>50073.0</v>
      </c>
      <c r="B5486" s="1">
        <v>17929.0</v>
      </c>
      <c r="C5486" s="1">
        <v>1.620663927E9</v>
      </c>
      <c r="D5486" s="1">
        <v>4.0</v>
      </c>
      <c r="E5486" s="1" t="b">
        <v>0</v>
      </c>
      <c r="F5486" s="1" t="s">
        <v>19174</v>
      </c>
    </row>
    <row r="5487">
      <c r="A5487" s="1">
        <v>50073.0</v>
      </c>
      <c r="B5487" s="1">
        <v>6768.0</v>
      </c>
      <c r="C5487" s="1">
        <v>1.621593003E9</v>
      </c>
      <c r="D5487" s="1">
        <v>4.0</v>
      </c>
      <c r="E5487" s="1" t="b">
        <v>0</v>
      </c>
      <c r="F5487" s="1" t="s">
        <v>19175</v>
      </c>
    </row>
    <row r="5488">
      <c r="A5488" s="1">
        <v>50073.0</v>
      </c>
      <c r="B5488" s="1">
        <v>17880.0</v>
      </c>
      <c r="C5488" s="1">
        <v>1.620623537E9</v>
      </c>
      <c r="D5488" s="1">
        <v>4.0</v>
      </c>
      <c r="E5488" s="1" t="b">
        <v>0</v>
      </c>
      <c r="F5488" s="1" t="s">
        <v>19176</v>
      </c>
    </row>
    <row r="5489">
      <c r="A5489" s="1">
        <v>50073.0</v>
      </c>
      <c r="B5489" s="1">
        <v>3000.0</v>
      </c>
      <c r="C5489" s="1">
        <v>1.620448158E9</v>
      </c>
      <c r="D5489" s="1">
        <v>1.0</v>
      </c>
      <c r="E5489" s="1" t="b">
        <v>1</v>
      </c>
      <c r="F5489" s="1" t="s">
        <v>14183</v>
      </c>
    </row>
    <row r="5490">
      <c r="A5490" s="1">
        <v>50073.0</v>
      </c>
      <c r="B5490" s="1">
        <v>17743.0</v>
      </c>
      <c r="C5490" s="1">
        <v>1.620497831E9</v>
      </c>
      <c r="D5490" s="1">
        <v>4.0</v>
      </c>
      <c r="E5490" s="1" t="b">
        <v>0</v>
      </c>
      <c r="F5490" s="1" t="s">
        <v>19177</v>
      </c>
    </row>
    <row r="5491">
      <c r="A5491" s="1">
        <v>50073.0</v>
      </c>
      <c r="B5491" s="1">
        <v>19507.0</v>
      </c>
      <c r="C5491" s="1">
        <v>1.622869847E9</v>
      </c>
      <c r="D5491" s="1">
        <v>4.0</v>
      </c>
      <c r="E5491" s="1" t="b">
        <v>0</v>
      </c>
      <c r="F5491" s="1" t="s">
        <v>19178</v>
      </c>
    </row>
    <row r="5492">
      <c r="A5492" s="1">
        <v>50073.0</v>
      </c>
      <c r="B5492" s="1">
        <v>17865.0</v>
      </c>
      <c r="C5492" s="1">
        <v>1.620692458E9</v>
      </c>
      <c r="D5492" s="1">
        <v>4.0</v>
      </c>
      <c r="E5492" s="1" t="b">
        <v>0</v>
      </c>
      <c r="F5492" s="1" t="s">
        <v>19179</v>
      </c>
    </row>
    <row r="5493">
      <c r="A5493" s="1">
        <v>50073.0</v>
      </c>
      <c r="B5493" s="1">
        <v>20278.0</v>
      </c>
      <c r="C5493" s="1">
        <v>1.624023886E9</v>
      </c>
      <c r="D5493" s="1">
        <v>4.0</v>
      </c>
      <c r="E5493" s="1" t="b">
        <v>0</v>
      </c>
      <c r="F5493" s="1" t="s">
        <v>19180</v>
      </c>
    </row>
    <row r="5494">
      <c r="A5494" s="1">
        <v>50073.0</v>
      </c>
      <c r="B5494" s="1">
        <v>17951.0</v>
      </c>
      <c r="C5494" s="1">
        <v>1.620751328E9</v>
      </c>
      <c r="D5494" s="1">
        <v>4.0</v>
      </c>
      <c r="E5494" s="1" t="b">
        <v>0</v>
      </c>
      <c r="F5494" s="1" t="s">
        <v>19181</v>
      </c>
    </row>
    <row r="5495">
      <c r="A5495" s="1">
        <v>50073.0</v>
      </c>
      <c r="B5495" s="1">
        <v>1728.0</v>
      </c>
      <c r="C5495" s="1">
        <v>1.620463083E9</v>
      </c>
      <c r="D5495" s="1">
        <v>4.0</v>
      </c>
      <c r="E5495" s="1" t="b">
        <v>0</v>
      </c>
      <c r="F5495" s="1" t="s">
        <v>14040</v>
      </c>
    </row>
    <row r="5496">
      <c r="A5496" s="1">
        <v>50073.0</v>
      </c>
      <c r="B5496" s="1">
        <v>17907.0</v>
      </c>
      <c r="C5496" s="1">
        <v>1.620668831E9</v>
      </c>
      <c r="D5496" s="1">
        <v>4.0</v>
      </c>
      <c r="E5496" s="1" t="b">
        <v>0</v>
      </c>
      <c r="F5496" s="1" t="s">
        <v>19182</v>
      </c>
    </row>
    <row r="5497">
      <c r="A5497" s="1">
        <v>50073.0</v>
      </c>
      <c r="B5497" s="1">
        <v>17779.0</v>
      </c>
      <c r="C5497" s="1">
        <v>1.620528853E9</v>
      </c>
      <c r="D5497" s="1">
        <v>4.0</v>
      </c>
      <c r="E5497" s="1" t="b">
        <v>0</v>
      </c>
      <c r="F5497" s="1" t="s">
        <v>19183</v>
      </c>
    </row>
    <row r="5498">
      <c r="A5498" s="1">
        <v>50073.0</v>
      </c>
      <c r="B5498" s="1">
        <v>17606.0</v>
      </c>
      <c r="C5498" s="1">
        <v>1.620622012E9</v>
      </c>
      <c r="D5498" s="1">
        <v>4.0</v>
      </c>
      <c r="E5498" s="1" t="b">
        <v>0</v>
      </c>
      <c r="F5498" s="1" t="s">
        <v>19184</v>
      </c>
    </row>
    <row r="5499">
      <c r="A5499" s="1">
        <v>50073.0</v>
      </c>
      <c r="B5499" s="1">
        <v>18007.0</v>
      </c>
      <c r="C5499" s="1">
        <v>1.620872204E9</v>
      </c>
      <c r="D5499" s="1">
        <v>4.0</v>
      </c>
      <c r="E5499" s="1" t="b">
        <v>0</v>
      </c>
      <c r="F5499" s="1" t="s">
        <v>19185</v>
      </c>
    </row>
    <row r="5500">
      <c r="A5500" s="1">
        <v>50073.0</v>
      </c>
      <c r="B5500" s="1">
        <v>18008.0</v>
      </c>
      <c r="C5500" s="1">
        <v>1.620915858E9</v>
      </c>
      <c r="D5500" s="1">
        <v>4.0</v>
      </c>
      <c r="E5500" s="1" t="b">
        <v>0</v>
      </c>
      <c r="F5500" s="1" t="s">
        <v>19186</v>
      </c>
    </row>
    <row r="5501">
      <c r="A5501" s="1">
        <v>50073.0</v>
      </c>
      <c r="B5501" s="1">
        <v>19466.0</v>
      </c>
      <c r="C5501" s="1">
        <v>1.622735475E9</v>
      </c>
      <c r="D5501" s="1">
        <v>4.0</v>
      </c>
      <c r="E5501" s="1" t="b">
        <v>0</v>
      </c>
      <c r="F5501" s="1" t="s">
        <v>19187</v>
      </c>
    </row>
    <row r="5502">
      <c r="A5502" s="1">
        <v>50073.0</v>
      </c>
      <c r="B5502" s="1">
        <v>18025.0</v>
      </c>
      <c r="C5502" s="1">
        <v>1.620951395E9</v>
      </c>
      <c r="D5502" s="1">
        <v>4.0</v>
      </c>
      <c r="E5502" s="1" t="b">
        <v>0</v>
      </c>
      <c r="F5502" s="1" t="s">
        <v>18674</v>
      </c>
    </row>
    <row r="5503">
      <c r="A5503" s="1">
        <v>50073.0</v>
      </c>
      <c r="B5503" s="1">
        <v>17882.0</v>
      </c>
      <c r="C5503" s="1">
        <v>1.620623805E9</v>
      </c>
      <c r="D5503" s="1">
        <v>4.0</v>
      </c>
      <c r="E5503" s="1" t="b">
        <v>0</v>
      </c>
      <c r="F5503" s="1" t="s">
        <v>19188</v>
      </c>
    </row>
    <row r="5504">
      <c r="A5504" s="1">
        <v>50073.0</v>
      </c>
      <c r="B5504" s="1">
        <v>17751.0</v>
      </c>
      <c r="C5504" s="1">
        <v>1.620497838E9</v>
      </c>
      <c r="D5504" s="1">
        <v>4.0</v>
      </c>
      <c r="E5504" s="1" t="b">
        <v>0</v>
      </c>
      <c r="F5504" s="1" t="s">
        <v>19189</v>
      </c>
    </row>
    <row r="5505">
      <c r="A5505" s="1">
        <v>50073.0</v>
      </c>
      <c r="B5505" s="1">
        <v>18928.0</v>
      </c>
      <c r="C5505" s="1">
        <v>1.62216946E9</v>
      </c>
      <c r="D5505" s="1">
        <v>4.0</v>
      </c>
      <c r="E5505" s="1" t="b">
        <v>0</v>
      </c>
      <c r="F5505" s="1" t="s">
        <v>19190</v>
      </c>
    </row>
    <row r="5506">
      <c r="A5506" s="1">
        <v>50073.0</v>
      </c>
      <c r="B5506" s="1">
        <v>17904.0</v>
      </c>
      <c r="C5506" s="1">
        <v>1.621439053E9</v>
      </c>
      <c r="D5506" s="1">
        <v>4.0</v>
      </c>
      <c r="E5506" s="1" t="b">
        <v>0</v>
      </c>
      <c r="F5506" s="1" t="s">
        <v>19191</v>
      </c>
    </row>
    <row r="5507">
      <c r="A5507" s="1">
        <v>50073.0</v>
      </c>
      <c r="B5507" s="1">
        <v>18559.0</v>
      </c>
      <c r="C5507" s="1">
        <v>1.622169462E9</v>
      </c>
      <c r="D5507" s="1">
        <v>4.0</v>
      </c>
      <c r="E5507" s="1" t="b">
        <v>0</v>
      </c>
      <c r="F5507" s="1" t="s">
        <v>19192</v>
      </c>
    </row>
    <row r="5508">
      <c r="A5508" s="1">
        <v>50073.0</v>
      </c>
      <c r="B5508" s="1">
        <v>17845.0</v>
      </c>
      <c r="C5508" s="1">
        <v>1.620581538E9</v>
      </c>
      <c r="D5508" s="1">
        <v>4.0</v>
      </c>
      <c r="E5508" s="1" t="b">
        <v>0</v>
      </c>
      <c r="F5508" s="1" t="s">
        <v>19193</v>
      </c>
    </row>
    <row r="5509">
      <c r="A5509" s="1">
        <v>50073.0</v>
      </c>
      <c r="B5509" s="1">
        <v>17785.0</v>
      </c>
      <c r="C5509" s="1">
        <v>1.620530314E9</v>
      </c>
      <c r="D5509" s="1">
        <v>4.0</v>
      </c>
      <c r="E5509" s="1" t="b">
        <v>0</v>
      </c>
      <c r="F5509" s="1" t="s">
        <v>19194</v>
      </c>
    </row>
    <row r="5510">
      <c r="A5510" s="1">
        <v>50073.0</v>
      </c>
      <c r="B5510" s="1">
        <v>16215.0</v>
      </c>
      <c r="C5510" s="1">
        <v>1.620660932E9</v>
      </c>
      <c r="D5510" s="1">
        <v>4.0</v>
      </c>
      <c r="E5510" s="1" t="b">
        <v>0</v>
      </c>
      <c r="F5510" s="1" t="s">
        <v>19195</v>
      </c>
    </row>
    <row r="5511">
      <c r="A5511" s="1">
        <v>50073.0</v>
      </c>
      <c r="B5511" s="1">
        <v>17760.0</v>
      </c>
      <c r="C5511" s="1">
        <v>1.620497847E9</v>
      </c>
      <c r="D5511" s="1">
        <v>4.0</v>
      </c>
      <c r="E5511" s="1" t="b">
        <v>0</v>
      </c>
      <c r="F5511" s="1" t="s">
        <v>19196</v>
      </c>
    </row>
    <row r="5512">
      <c r="A5512" s="1">
        <v>50073.0</v>
      </c>
      <c r="B5512" s="1">
        <v>16840.0</v>
      </c>
      <c r="C5512" s="1">
        <v>1.620528855E9</v>
      </c>
      <c r="D5512" s="1">
        <v>4.0</v>
      </c>
      <c r="E5512" s="1" t="b">
        <v>0</v>
      </c>
      <c r="F5512" s="1" t="s">
        <v>19197</v>
      </c>
    </row>
    <row r="5513">
      <c r="A5513" s="1">
        <v>50073.0</v>
      </c>
      <c r="B5513" s="1">
        <v>17877.0</v>
      </c>
      <c r="C5513" s="1">
        <v>1.620620535E9</v>
      </c>
      <c r="D5513" s="1">
        <v>4.0</v>
      </c>
      <c r="E5513" s="1" t="b">
        <v>0</v>
      </c>
      <c r="F5513" s="1" t="s">
        <v>19198</v>
      </c>
    </row>
    <row r="5514">
      <c r="A5514" s="1">
        <v>50073.0</v>
      </c>
      <c r="B5514" s="1">
        <v>18934.0</v>
      </c>
      <c r="C5514" s="1">
        <v>1.622171868E9</v>
      </c>
      <c r="D5514" s="1">
        <v>4.0</v>
      </c>
      <c r="E5514" s="1" t="b">
        <v>0</v>
      </c>
      <c r="F5514" s="1" t="s">
        <v>19199</v>
      </c>
    </row>
    <row r="5515">
      <c r="A5515" s="1">
        <v>50073.0</v>
      </c>
      <c r="B5515" s="1">
        <v>19352.0</v>
      </c>
      <c r="C5515" s="1">
        <v>1.622643496E9</v>
      </c>
      <c r="D5515" s="1">
        <v>4.0</v>
      </c>
      <c r="E5515" s="1" t="b">
        <v>0</v>
      </c>
      <c r="F5515" s="1" t="s">
        <v>19200</v>
      </c>
    </row>
    <row r="5516">
      <c r="A5516" s="1">
        <v>50073.0</v>
      </c>
      <c r="B5516" s="1">
        <v>18193.0</v>
      </c>
      <c r="C5516" s="1">
        <v>1.621220488E9</v>
      </c>
      <c r="D5516" s="1">
        <v>4.0</v>
      </c>
      <c r="E5516" s="1" t="b">
        <v>0</v>
      </c>
      <c r="F5516" s="1" t="s">
        <v>19201</v>
      </c>
    </row>
    <row r="5517">
      <c r="A5517" s="1">
        <v>50073.0</v>
      </c>
      <c r="B5517" s="1">
        <v>16946.0</v>
      </c>
      <c r="C5517" s="1">
        <v>1.623428349E9</v>
      </c>
      <c r="D5517" s="1">
        <v>4.0</v>
      </c>
      <c r="E5517" s="1" t="b">
        <v>0</v>
      </c>
      <c r="F5517" s="1" t="s">
        <v>18771</v>
      </c>
      <c r="G5517" s="1" t="b">
        <v>1</v>
      </c>
    </row>
    <row r="5518">
      <c r="A5518" s="1">
        <v>50073.0</v>
      </c>
      <c r="B5518" s="1">
        <v>17946.0</v>
      </c>
      <c r="C5518" s="1">
        <v>1.621528966E9</v>
      </c>
      <c r="D5518" s="1">
        <v>4.0</v>
      </c>
      <c r="E5518" s="1" t="b">
        <v>0</v>
      </c>
      <c r="F5518" s="1" t="s">
        <v>19202</v>
      </c>
    </row>
    <row r="5519">
      <c r="A5519" s="1">
        <v>50073.0</v>
      </c>
      <c r="B5519" s="1">
        <v>16743.0</v>
      </c>
      <c r="C5519" s="1">
        <v>1.620969549E9</v>
      </c>
      <c r="D5519" s="1">
        <v>4.0</v>
      </c>
      <c r="E5519" s="1" t="b">
        <v>0</v>
      </c>
      <c r="F5519" s="1" t="s">
        <v>13986</v>
      </c>
      <c r="G5519" s="1" t="b">
        <v>1</v>
      </c>
    </row>
    <row r="5520">
      <c r="A5520" s="1">
        <v>50073.0</v>
      </c>
      <c r="B5520" s="1">
        <v>19699.0</v>
      </c>
      <c r="C5520" s="1">
        <v>1.623170431E9</v>
      </c>
      <c r="D5520" s="1">
        <v>4.0</v>
      </c>
      <c r="E5520" s="1" t="b">
        <v>0</v>
      </c>
      <c r="F5520" s="1" t="s">
        <v>19203</v>
      </c>
    </row>
    <row r="5521">
      <c r="A5521" s="1">
        <v>50073.0</v>
      </c>
      <c r="B5521" s="1">
        <v>18360.0</v>
      </c>
      <c r="C5521" s="1">
        <v>1.621528964E9</v>
      </c>
      <c r="D5521" s="1">
        <v>4.0</v>
      </c>
      <c r="E5521" s="1" t="b">
        <v>0</v>
      </c>
      <c r="F5521" s="1" t="s">
        <v>19204</v>
      </c>
    </row>
    <row r="5522">
      <c r="A5522" s="1">
        <v>50073.0</v>
      </c>
      <c r="B5522" s="1">
        <v>18010.0</v>
      </c>
      <c r="C5522" s="1">
        <v>1.620879235E9</v>
      </c>
      <c r="D5522" s="1">
        <v>4.0</v>
      </c>
      <c r="E5522" s="1" t="b">
        <v>0</v>
      </c>
      <c r="F5522" s="1" t="s">
        <v>19205</v>
      </c>
    </row>
    <row r="5523">
      <c r="A5523" s="1">
        <v>50073.0</v>
      </c>
      <c r="B5523" s="1">
        <v>18198.0</v>
      </c>
      <c r="C5523" s="1">
        <v>1.621231046E9</v>
      </c>
      <c r="D5523" s="1">
        <v>4.0</v>
      </c>
      <c r="E5523" s="1" t="b">
        <v>0</v>
      </c>
      <c r="F5523" s="1" t="s">
        <v>19206</v>
      </c>
    </row>
    <row r="5524">
      <c r="A5524" s="1">
        <v>50073.0</v>
      </c>
      <c r="B5524" s="1">
        <v>17766.0</v>
      </c>
      <c r="C5524" s="1">
        <v>1.62052886E9</v>
      </c>
      <c r="D5524" s="1">
        <v>4.0</v>
      </c>
      <c r="E5524" s="1" t="b">
        <v>0</v>
      </c>
      <c r="F5524" s="1" t="s">
        <v>19207</v>
      </c>
    </row>
    <row r="5525">
      <c r="A5525" s="1">
        <v>50073.0</v>
      </c>
      <c r="B5525" s="1">
        <v>19070.0</v>
      </c>
      <c r="C5525" s="1">
        <v>1.622354784E9</v>
      </c>
      <c r="D5525" s="1">
        <v>9.0</v>
      </c>
      <c r="E5525" s="1" t="b">
        <v>0</v>
      </c>
      <c r="F5525" s="1" t="s">
        <v>19208</v>
      </c>
    </row>
    <row r="5526">
      <c r="A5526" s="1">
        <v>50073.0</v>
      </c>
      <c r="B5526" s="1">
        <v>17607.0</v>
      </c>
      <c r="C5526" s="1">
        <v>1.620617095E9</v>
      </c>
      <c r="D5526" s="1">
        <v>4.0</v>
      </c>
      <c r="E5526" s="1" t="b">
        <v>0</v>
      </c>
      <c r="F5526" s="1" t="s">
        <v>19209</v>
      </c>
    </row>
    <row r="5527">
      <c r="A5527" s="1">
        <v>50073.0</v>
      </c>
      <c r="B5527" s="1">
        <v>17765.0</v>
      </c>
      <c r="C5527" s="1">
        <v>1.620528858E9</v>
      </c>
      <c r="D5527" s="1">
        <v>4.0</v>
      </c>
      <c r="E5527" s="1" t="b">
        <v>0</v>
      </c>
      <c r="F5527" s="1" t="s">
        <v>19210</v>
      </c>
    </row>
    <row r="5528">
      <c r="A5528" s="1">
        <v>50073.0</v>
      </c>
      <c r="B5528" s="1">
        <v>20024.0</v>
      </c>
      <c r="C5528" s="1">
        <v>1.623656759E9</v>
      </c>
      <c r="D5528" s="1">
        <v>4.0</v>
      </c>
      <c r="E5528" s="1" t="b">
        <v>0</v>
      </c>
      <c r="F5528" s="1" t="s">
        <v>19211</v>
      </c>
    </row>
    <row r="5529">
      <c r="A5529" s="1">
        <v>50073.0</v>
      </c>
      <c r="B5529" s="1">
        <v>17746.0</v>
      </c>
      <c r="C5529" s="1">
        <v>1.620497834E9</v>
      </c>
      <c r="D5529" s="1">
        <v>4.0</v>
      </c>
      <c r="E5529" s="1" t="b">
        <v>0</v>
      </c>
      <c r="F5529" s="1" t="s">
        <v>18459</v>
      </c>
    </row>
    <row r="5530">
      <c r="A5530" s="1">
        <v>50073.0</v>
      </c>
      <c r="B5530" s="1">
        <v>17744.0</v>
      </c>
      <c r="C5530" s="1">
        <v>1.620497832E9</v>
      </c>
      <c r="D5530" s="1">
        <v>4.0</v>
      </c>
      <c r="E5530" s="1" t="b">
        <v>0</v>
      </c>
      <c r="F5530" s="1" t="s">
        <v>19212</v>
      </c>
    </row>
    <row r="5531">
      <c r="A5531" s="1">
        <v>50073.0</v>
      </c>
      <c r="B5531" s="1">
        <v>17741.0</v>
      </c>
      <c r="C5531" s="1">
        <v>1.620497829E9</v>
      </c>
      <c r="D5531" s="1">
        <v>4.0</v>
      </c>
      <c r="E5531" s="1" t="b">
        <v>0</v>
      </c>
      <c r="F5531" s="1" t="s">
        <v>6554</v>
      </c>
    </row>
    <row r="5532">
      <c r="A5532" s="1">
        <v>50073.0</v>
      </c>
      <c r="B5532" s="1">
        <v>17994.0</v>
      </c>
      <c r="C5532" s="1">
        <v>1.620826834E9</v>
      </c>
      <c r="D5532" s="1">
        <v>4.0</v>
      </c>
      <c r="E5532" s="1" t="b">
        <v>0</v>
      </c>
      <c r="F5532" s="1" t="s">
        <v>19213</v>
      </c>
    </row>
    <row r="5533">
      <c r="A5533" s="1">
        <v>50073.0</v>
      </c>
      <c r="B5533" s="1">
        <v>17977.0</v>
      </c>
      <c r="C5533" s="1">
        <v>1.620751816E9</v>
      </c>
      <c r="D5533" s="1">
        <v>4.0</v>
      </c>
      <c r="E5533" s="1" t="b">
        <v>0</v>
      </c>
      <c r="F5533" s="1" t="s">
        <v>19214</v>
      </c>
    </row>
    <row r="5534">
      <c r="A5534" s="1">
        <v>50073.0</v>
      </c>
      <c r="B5534" s="1">
        <v>17738.0</v>
      </c>
      <c r="C5534" s="1">
        <v>1.62049782E9</v>
      </c>
      <c r="D5534" s="1">
        <v>4.0</v>
      </c>
      <c r="E5534" s="1" t="b">
        <v>0</v>
      </c>
      <c r="F5534" s="1" t="s">
        <v>19215</v>
      </c>
    </row>
    <row r="5535">
      <c r="A5535" s="1">
        <v>50073.0</v>
      </c>
      <c r="B5535" s="1">
        <v>17742.0</v>
      </c>
      <c r="C5535" s="1">
        <v>1.620497826E9</v>
      </c>
      <c r="D5535" s="1">
        <v>4.0</v>
      </c>
      <c r="E5535" s="1" t="b">
        <v>0</v>
      </c>
      <c r="F5535" s="1" t="s">
        <v>19216</v>
      </c>
    </row>
    <row r="5536">
      <c r="A5536" s="1">
        <v>50073.0</v>
      </c>
      <c r="B5536" s="1">
        <v>3203.0</v>
      </c>
      <c r="C5536" s="1">
        <v>1.622471484E9</v>
      </c>
      <c r="D5536" s="1">
        <v>4.0</v>
      </c>
      <c r="E5536" s="1" t="b">
        <v>0</v>
      </c>
      <c r="F5536" s="1" t="s">
        <v>17925</v>
      </c>
    </row>
    <row r="5537">
      <c r="A5537" s="1">
        <v>50073.0</v>
      </c>
      <c r="B5537" s="1">
        <v>18000.0</v>
      </c>
      <c r="C5537" s="1">
        <v>1.620833596E9</v>
      </c>
      <c r="D5537" s="1">
        <v>4.0</v>
      </c>
      <c r="E5537" s="1" t="b">
        <v>0</v>
      </c>
      <c r="F5537" s="1" t="s">
        <v>19217</v>
      </c>
    </row>
    <row r="5538">
      <c r="A5538" s="1">
        <v>50073.0</v>
      </c>
      <c r="B5538" s="1">
        <v>17912.0</v>
      </c>
      <c r="C5538" s="1">
        <v>1.620655102E9</v>
      </c>
      <c r="D5538" s="1">
        <v>4.0</v>
      </c>
      <c r="E5538" s="1" t="b">
        <v>0</v>
      </c>
      <c r="F5538" s="1" t="s">
        <v>19218</v>
      </c>
    </row>
    <row r="5539">
      <c r="A5539" s="1">
        <v>50073.0</v>
      </c>
      <c r="B5539" s="1">
        <v>17790.0</v>
      </c>
      <c r="C5539" s="1">
        <v>1.620554192E9</v>
      </c>
      <c r="D5539" s="1">
        <v>4.0</v>
      </c>
      <c r="E5539" s="1" t="b">
        <v>0</v>
      </c>
      <c r="F5539" s="1" t="s">
        <v>19219</v>
      </c>
    </row>
    <row r="5540">
      <c r="A5540" s="1">
        <v>50073.0</v>
      </c>
      <c r="B5540" s="1">
        <v>17974.0</v>
      </c>
      <c r="C5540" s="1">
        <v>1.620751326E9</v>
      </c>
      <c r="D5540" s="1">
        <v>4.0</v>
      </c>
      <c r="E5540" s="1" t="b">
        <v>0</v>
      </c>
      <c r="F5540" s="1" t="s">
        <v>19220</v>
      </c>
    </row>
    <row r="5541">
      <c r="A5541" s="1">
        <v>50073.0</v>
      </c>
      <c r="B5541" s="1">
        <v>20276.0</v>
      </c>
      <c r="C5541" s="1">
        <v>1.624022915E9</v>
      </c>
      <c r="D5541" s="1">
        <v>9.0</v>
      </c>
      <c r="E5541" s="1" t="b">
        <v>0</v>
      </c>
      <c r="F5541" s="1" t="s">
        <v>19221</v>
      </c>
    </row>
    <row r="5542">
      <c r="A5542" s="1">
        <v>50073.0</v>
      </c>
      <c r="B5542" s="1">
        <v>17786.0</v>
      </c>
      <c r="C5542" s="1">
        <v>1.620530237E9</v>
      </c>
      <c r="D5542" s="1">
        <v>4.0</v>
      </c>
      <c r="E5542" s="1" t="b">
        <v>0</v>
      </c>
      <c r="F5542" s="1" t="s">
        <v>19222</v>
      </c>
    </row>
    <row r="5543">
      <c r="A5543" s="1">
        <v>50073.0</v>
      </c>
      <c r="B5543" s="1">
        <v>17761.0</v>
      </c>
      <c r="C5543" s="1">
        <v>1.620497849E9</v>
      </c>
      <c r="D5543" s="1">
        <v>4.0</v>
      </c>
      <c r="E5543" s="1" t="b">
        <v>0</v>
      </c>
      <c r="F5543" s="1" t="s">
        <v>19223</v>
      </c>
    </row>
    <row r="5544">
      <c r="A5544" s="1">
        <v>50073.0</v>
      </c>
      <c r="B5544" s="1">
        <v>16634.0</v>
      </c>
      <c r="C5544" s="1">
        <v>1.621236383E9</v>
      </c>
      <c r="D5544" s="1">
        <v>4.0</v>
      </c>
      <c r="E5544" s="1" t="b">
        <v>0</v>
      </c>
      <c r="F5544" s="1" t="s">
        <v>18645</v>
      </c>
      <c r="G5544" s="1" t="b">
        <v>1</v>
      </c>
    </row>
    <row r="5545">
      <c r="A5545" s="1">
        <v>50073.0</v>
      </c>
      <c r="B5545" s="1">
        <v>19615.0</v>
      </c>
      <c r="C5545" s="1">
        <v>1.623242872E9</v>
      </c>
      <c r="D5545" s="1">
        <v>4.0</v>
      </c>
      <c r="E5545" s="1" t="b">
        <v>0</v>
      </c>
      <c r="F5545" s="1" t="s">
        <v>19224</v>
      </c>
    </row>
    <row r="5546">
      <c r="A5546" s="1">
        <v>50073.0</v>
      </c>
      <c r="B5546" s="1">
        <v>17998.0</v>
      </c>
      <c r="C5546" s="1">
        <v>1.620827341E9</v>
      </c>
      <c r="D5546" s="1">
        <v>4.0</v>
      </c>
      <c r="E5546" s="1" t="b">
        <v>0</v>
      </c>
      <c r="F5546" s="1" t="s">
        <v>18287</v>
      </c>
    </row>
    <row r="5547">
      <c r="A5547" s="1">
        <v>50073.0</v>
      </c>
      <c r="B5547" s="1">
        <v>17973.0</v>
      </c>
      <c r="C5547" s="1">
        <v>1.620751323E9</v>
      </c>
      <c r="D5547" s="1">
        <v>4.0</v>
      </c>
      <c r="E5547" s="1" t="b">
        <v>0</v>
      </c>
      <c r="F5547" s="1" t="s">
        <v>19225</v>
      </c>
    </row>
    <row r="5548">
      <c r="A5548" s="1">
        <v>50073.0</v>
      </c>
      <c r="B5548" s="1">
        <v>17854.0</v>
      </c>
      <c r="C5548" s="1">
        <v>1.620585617E9</v>
      </c>
      <c r="D5548" s="1">
        <v>4.0</v>
      </c>
      <c r="E5548" s="1" t="b">
        <v>0</v>
      </c>
      <c r="F5548" s="1" t="s">
        <v>19226</v>
      </c>
    </row>
    <row r="5549">
      <c r="A5549" s="1">
        <v>50073.0</v>
      </c>
      <c r="B5549" s="1">
        <v>17740.0</v>
      </c>
      <c r="C5549" s="1">
        <v>1.620497824E9</v>
      </c>
      <c r="D5549" s="1">
        <v>4.0</v>
      </c>
      <c r="E5549" s="1" t="b">
        <v>0</v>
      </c>
      <c r="F5549" s="1" t="s">
        <v>19227</v>
      </c>
    </row>
    <row r="5550">
      <c r="A5550" s="1">
        <v>50073.0</v>
      </c>
      <c r="B5550" s="1">
        <v>17789.0</v>
      </c>
      <c r="C5550" s="1">
        <v>1.620534192E9</v>
      </c>
      <c r="D5550" s="1">
        <v>4.0</v>
      </c>
      <c r="E5550" s="1" t="b">
        <v>0</v>
      </c>
      <c r="F5550" s="1" t="s">
        <v>19228</v>
      </c>
    </row>
    <row r="5551">
      <c r="A5551" s="1">
        <v>50073.0</v>
      </c>
      <c r="B5551" s="1">
        <v>20484.0</v>
      </c>
      <c r="C5551" s="1">
        <v>0.0</v>
      </c>
      <c r="D5551" s="1">
        <v>4.0</v>
      </c>
      <c r="E5551" s="1" t="b">
        <v>0</v>
      </c>
      <c r="F5551" s="1" t="s">
        <v>19229</v>
      </c>
    </row>
    <row r="5552">
      <c r="A5552" s="1">
        <v>50073.0</v>
      </c>
      <c r="B5552" s="1">
        <v>19380.0</v>
      </c>
      <c r="C5552" s="1">
        <v>1.622646316E9</v>
      </c>
      <c r="D5552" s="1">
        <v>4.0</v>
      </c>
      <c r="E5552" s="1" t="b">
        <v>0</v>
      </c>
      <c r="F5552" s="1" t="s">
        <v>19230</v>
      </c>
    </row>
    <row r="5553">
      <c r="A5553" s="1">
        <v>50073.0</v>
      </c>
      <c r="B5553" s="1">
        <v>17778.0</v>
      </c>
      <c r="C5553" s="1">
        <v>1.620528851E9</v>
      </c>
      <c r="D5553" s="1">
        <v>4.0</v>
      </c>
      <c r="E5553" s="1" t="b">
        <v>0</v>
      </c>
      <c r="F5553" s="1" t="s">
        <v>19231</v>
      </c>
    </row>
    <row r="5554">
      <c r="A5554" s="1">
        <v>50073.0</v>
      </c>
      <c r="B5554" s="1">
        <v>19757.0</v>
      </c>
      <c r="C5554" s="1">
        <v>1.623255827E9</v>
      </c>
      <c r="D5554" s="1">
        <v>4.0</v>
      </c>
      <c r="E5554" s="1" t="b">
        <v>0</v>
      </c>
      <c r="F5554" s="1" t="s">
        <v>19232</v>
      </c>
    </row>
    <row r="5555">
      <c r="A5555" s="1">
        <v>50073.0</v>
      </c>
      <c r="B5555" s="1">
        <v>18174.0</v>
      </c>
      <c r="C5555" s="1">
        <v>1.621257488E9</v>
      </c>
      <c r="D5555" s="1">
        <v>4.0</v>
      </c>
      <c r="E5555" s="1" t="b">
        <v>0</v>
      </c>
      <c r="F5555" s="1" t="s">
        <v>19233</v>
      </c>
    </row>
    <row r="5556">
      <c r="A5556" s="1">
        <v>50073.0</v>
      </c>
      <c r="B5556" s="1">
        <v>17333.0</v>
      </c>
      <c r="C5556" s="1">
        <v>1.620497822E9</v>
      </c>
      <c r="D5556" s="1">
        <v>4.0</v>
      </c>
      <c r="E5556" s="1" t="b">
        <v>0</v>
      </c>
      <c r="F5556" s="1" t="s">
        <v>15852</v>
      </c>
    </row>
    <row r="5557">
      <c r="A5557" s="1">
        <v>50073.0</v>
      </c>
      <c r="B5557" s="1">
        <v>17818.0</v>
      </c>
      <c r="C5557" s="1">
        <v>1.620576164E9</v>
      </c>
      <c r="D5557" s="1">
        <v>4.0</v>
      </c>
      <c r="E5557" s="1" t="b">
        <v>0</v>
      </c>
      <c r="F5557" s="1" t="s">
        <v>19234</v>
      </c>
    </row>
    <row r="5558">
      <c r="A5558" s="1">
        <v>50073.0</v>
      </c>
      <c r="B5558" s="1">
        <v>17873.0</v>
      </c>
      <c r="C5558" s="1">
        <v>1.620660849E9</v>
      </c>
      <c r="D5558" s="1">
        <v>4.0</v>
      </c>
      <c r="E5558" s="1" t="b">
        <v>0</v>
      </c>
      <c r="F5558" s="1" t="s">
        <v>19235</v>
      </c>
    </row>
    <row r="5559">
      <c r="A5559" s="1">
        <v>50073.0</v>
      </c>
      <c r="B5559" s="1">
        <v>17749.0</v>
      </c>
      <c r="C5559" s="1">
        <v>1.620497836E9</v>
      </c>
      <c r="D5559" s="1">
        <v>4.0</v>
      </c>
      <c r="E5559" s="1" t="b">
        <v>0</v>
      </c>
      <c r="F5559" s="1" t="s">
        <v>19236</v>
      </c>
    </row>
    <row r="5560">
      <c r="A5560" s="1">
        <v>50073.0</v>
      </c>
      <c r="B5560" s="1">
        <v>18230.0</v>
      </c>
      <c r="C5560" s="1">
        <v>1.622187253E9</v>
      </c>
      <c r="D5560" s="1">
        <v>4.0</v>
      </c>
      <c r="E5560" s="1" t="b">
        <v>0</v>
      </c>
      <c r="F5560" s="1" t="s">
        <v>19237</v>
      </c>
    </row>
    <row r="5561">
      <c r="A5561" s="1">
        <v>50073.0</v>
      </c>
      <c r="B5561" s="1">
        <v>17995.0</v>
      </c>
      <c r="C5561" s="1">
        <v>1.620819579E9</v>
      </c>
      <c r="D5561" s="1">
        <v>4.0</v>
      </c>
      <c r="E5561" s="1" t="b">
        <v>0</v>
      </c>
      <c r="F5561" s="1" t="s">
        <v>19238</v>
      </c>
    </row>
    <row r="5562">
      <c r="A5562" s="1">
        <v>50073.0</v>
      </c>
      <c r="B5562" s="1">
        <v>17969.0</v>
      </c>
      <c r="C5562" s="1">
        <v>1.620749931E9</v>
      </c>
      <c r="D5562" s="1">
        <v>4.0</v>
      </c>
      <c r="E5562" s="1" t="b">
        <v>0</v>
      </c>
      <c r="F5562" s="1" t="s">
        <v>19239</v>
      </c>
    </row>
    <row r="5563">
      <c r="A5563" s="1">
        <v>50073.0</v>
      </c>
      <c r="B5563" s="1">
        <v>19669.0</v>
      </c>
      <c r="C5563" s="1">
        <v>1.623138367E9</v>
      </c>
      <c r="D5563" s="1">
        <v>4.0</v>
      </c>
      <c r="E5563" s="1" t="b">
        <v>0</v>
      </c>
      <c r="F5563" s="1" t="s">
        <v>19240</v>
      </c>
    </row>
    <row r="5564">
      <c r="A5564" s="1">
        <v>50073.0</v>
      </c>
      <c r="B5564" s="1">
        <v>17508.0</v>
      </c>
      <c r="C5564" s="1">
        <v>1.62053419E9</v>
      </c>
      <c r="D5564" s="1">
        <v>4.0</v>
      </c>
      <c r="E5564" s="1" t="b">
        <v>0</v>
      </c>
      <c r="F5564" s="1" t="s">
        <v>19241</v>
      </c>
    </row>
    <row r="5565">
      <c r="A5565" s="1">
        <v>50073.0</v>
      </c>
      <c r="B5565" s="1">
        <v>5695.0</v>
      </c>
      <c r="C5565" s="1">
        <v>1.621235441E9</v>
      </c>
      <c r="D5565" s="1">
        <v>4.0</v>
      </c>
      <c r="E5565" s="1" t="b">
        <v>0</v>
      </c>
      <c r="F5565" s="1" t="s">
        <v>19242</v>
      </c>
      <c r="G5565" s="1" t="b">
        <v>1</v>
      </c>
    </row>
    <row r="5566">
      <c r="A5566" s="1">
        <v>50073.0</v>
      </c>
      <c r="B5566" s="1">
        <v>17906.0</v>
      </c>
      <c r="C5566" s="1">
        <v>1.62065507E9</v>
      </c>
      <c r="D5566" s="1">
        <v>4.0</v>
      </c>
      <c r="E5566" s="1" t="b">
        <v>0</v>
      </c>
      <c r="F5566" s="1" t="s">
        <v>19243</v>
      </c>
    </row>
    <row r="5567">
      <c r="A5567" s="1">
        <v>50073.0</v>
      </c>
      <c r="B5567" s="1">
        <v>17757.0</v>
      </c>
      <c r="C5567" s="1">
        <v>1.620497846E9</v>
      </c>
      <c r="D5567" s="1">
        <v>4.0</v>
      </c>
      <c r="E5567" s="1" t="b">
        <v>0</v>
      </c>
      <c r="F5567" s="1" t="s">
        <v>19244</v>
      </c>
    </row>
    <row r="5568">
      <c r="A5568" s="1">
        <v>50073.0</v>
      </c>
      <c r="B5568" s="1">
        <v>17755.0</v>
      </c>
      <c r="C5568" s="1">
        <v>1.620497844E9</v>
      </c>
      <c r="D5568" s="1">
        <v>4.0</v>
      </c>
      <c r="E5568" s="1" t="b">
        <v>0</v>
      </c>
      <c r="F5568" s="1" t="s">
        <v>19245</v>
      </c>
    </row>
    <row r="5569">
      <c r="A5569" s="1">
        <v>50073.0</v>
      </c>
      <c r="B5569" s="1">
        <v>18205.0</v>
      </c>
      <c r="C5569" s="1">
        <v>1.621231895E9</v>
      </c>
      <c r="D5569" s="1">
        <v>4.0</v>
      </c>
      <c r="E5569" s="1" t="b">
        <v>0</v>
      </c>
      <c r="F5569" s="1" t="s">
        <v>19246</v>
      </c>
    </row>
    <row r="5570">
      <c r="A5570" s="1">
        <v>50073.0</v>
      </c>
      <c r="B5570" s="1">
        <v>19316.0</v>
      </c>
      <c r="C5570" s="1">
        <v>1.622604086E9</v>
      </c>
      <c r="D5570" s="1">
        <v>4.0</v>
      </c>
      <c r="E5570" s="1" t="b">
        <v>0</v>
      </c>
      <c r="F5570" s="1" t="s">
        <v>19247</v>
      </c>
    </row>
    <row r="5571">
      <c r="A5571" s="1">
        <v>50076.0</v>
      </c>
      <c r="B5571" s="1">
        <v>18762.0</v>
      </c>
      <c r="C5571" s="1">
        <v>1.621931065E9</v>
      </c>
      <c r="D5571" s="1">
        <v>4.0</v>
      </c>
      <c r="E5571" s="1" t="b">
        <v>0</v>
      </c>
      <c r="F5571" s="1" t="s">
        <v>19248</v>
      </c>
    </row>
    <row r="5572">
      <c r="A5572" s="1">
        <v>50076.0</v>
      </c>
      <c r="B5572" s="1">
        <v>18906.0</v>
      </c>
      <c r="C5572" s="1">
        <v>1.622122834E9</v>
      </c>
      <c r="D5572" s="1">
        <v>4.0</v>
      </c>
      <c r="E5572" s="1" t="b">
        <v>0</v>
      </c>
      <c r="F5572" s="1" t="s">
        <v>19249</v>
      </c>
    </row>
    <row r="5573">
      <c r="A5573" s="1">
        <v>50076.0</v>
      </c>
      <c r="B5573" s="1">
        <v>18420.0</v>
      </c>
      <c r="C5573" s="1">
        <v>1.621595779E9</v>
      </c>
      <c r="D5573" s="1">
        <v>4.0</v>
      </c>
      <c r="E5573" s="1" t="b">
        <v>0</v>
      </c>
      <c r="F5573" s="1" t="s">
        <v>19250</v>
      </c>
    </row>
    <row r="5574">
      <c r="A5574" s="1">
        <v>50076.0</v>
      </c>
      <c r="B5574" s="1">
        <v>19201.0</v>
      </c>
      <c r="C5574" s="1">
        <v>1.622472753E9</v>
      </c>
      <c r="D5574" s="1">
        <v>4.0</v>
      </c>
      <c r="E5574" s="1" t="b">
        <v>0</v>
      </c>
      <c r="F5574" s="1" t="s">
        <v>18245</v>
      </c>
    </row>
    <row r="5575">
      <c r="A5575" s="1">
        <v>50076.0</v>
      </c>
      <c r="B5575" s="1">
        <v>18490.0</v>
      </c>
      <c r="C5575" s="1">
        <v>1.621661057E9</v>
      </c>
      <c r="D5575" s="1">
        <v>4.0</v>
      </c>
      <c r="E5575" s="1" t="b">
        <v>0</v>
      </c>
      <c r="F5575" s="1" t="s">
        <v>19251</v>
      </c>
    </row>
    <row r="5576">
      <c r="A5576" s="1">
        <v>50076.0</v>
      </c>
      <c r="B5576" s="1">
        <v>18580.0</v>
      </c>
      <c r="C5576" s="1">
        <v>1.62174707E9</v>
      </c>
      <c r="D5576" s="1">
        <v>4.0</v>
      </c>
      <c r="E5576" s="1" t="b">
        <v>0</v>
      </c>
      <c r="F5576" s="1" t="s">
        <v>19252</v>
      </c>
    </row>
    <row r="5577">
      <c r="A5577" s="1">
        <v>50076.0</v>
      </c>
      <c r="B5577" s="1">
        <v>19321.0</v>
      </c>
      <c r="C5577" s="1">
        <v>1.62260892E9</v>
      </c>
      <c r="D5577" s="1">
        <v>4.0</v>
      </c>
      <c r="E5577" s="1" t="b">
        <v>0</v>
      </c>
      <c r="F5577" s="1" t="s">
        <v>19253</v>
      </c>
    </row>
    <row r="5578">
      <c r="A5578" s="1">
        <v>50076.0</v>
      </c>
      <c r="B5578" s="1">
        <v>18635.0</v>
      </c>
      <c r="C5578" s="1">
        <v>1.621785486E9</v>
      </c>
      <c r="D5578" s="1">
        <v>4.0</v>
      </c>
      <c r="E5578" s="1" t="b">
        <v>0</v>
      </c>
      <c r="F5578" s="1" t="s">
        <v>19254</v>
      </c>
    </row>
    <row r="5579">
      <c r="A5579" s="1">
        <v>50076.0</v>
      </c>
      <c r="B5579" s="1">
        <v>18631.0</v>
      </c>
      <c r="C5579" s="1">
        <v>1.621783733E9</v>
      </c>
      <c r="D5579" s="1">
        <v>4.0</v>
      </c>
      <c r="E5579" s="1" t="b">
        <v>0</v>
      </c>
      <c r="F5579" s="1" t="s">
        <v>19255</v>
      </c>
    </row>
    <row r="5580">
      <c r="A5580" s="1">
        <v>50076.0</v>
      </c>
      <c r="B5580" s="1">
        <v>19310.0</v>
      </c>
      <c r="C5580" s="1">
        <v>1.622596242E9</v>
      </c>
      <c r="D5580" s="1">
        <v>4.0</v>
      </c>
      <c r="E5580" s="1" t="b">
        <v>0</v>
      </c>
      <c r="F5580" s="1" t="s">
        <v>19256</v>
      </c>
    </row>
    <row r="5581">
      <c r="A5581" s="1">
        <v>50076.0</v>
      </c>
      <c r="B5581" s="1">
        <v>18630.0</v>
      </c>
      <c r="C5581" s="1">
        <v>1.621783153E9</v>
      </c>
      <c r="D5581" s="1">
        <v>4.0</v>
      </c>
      <c r="E5581" s="1" t="b">
        <v>0</v>
      </c>
      <c r="F5581" s="1" t="s">
        <v>19257</v>
      </c>
    </row>
    <row r="5582">
      <c r="A5582" s="1">
        <v>50076.0</v>
      </c>
      <c r="B5582" s="1">
        <v>18624.0</v>
      </c>
      <c r="C5582" s="1">
        <v>1.621778419E9</v>
      </c>
      <c r="D5582" s="1">
        <v>4.0</v>
      </c>
      <c r="E5582" s="1" t="b">
        <v>0</v>
      </c>
      <c r="F5582" s="1" t="s">
        <v>19258</v>
      </c>
    </row>
    <row r="5583">
      <c r="A5583" s="1">
        <v>50076.0</v>
      </c>
      <c r="B5583" s="1">
        <v>18626.0</v>
      </c>
      <c r="C5583" s="1">
        <v>1.621779537E9</v>
      </c>
      <c r="D5583" s="1">
        <v>4.0</v>
      </c>
      <c r="E5583" s="1" t="b">
        <v>0</v>
      </c>
      <c r="F5583" s="1" t="s">
        <v>19259</v>
      </c>
    </row>
    <row r="5584">
      <c r="A5584" s="1">
        <v>50076.0</v>
      </c>
      <c r="B5584" s="1">
        <v>19375.0</v>
      </c>
      <c r="C5584" s="1">
        <v>1.622702005E9</v>
      </c>
      <c r="D5584" s="1">
        <v>4.0</v>
      </c>
      <c r="E5584" s="1" t="b">
        <v>0</v>
      </c>
      <c r="F5584" s="1" t="s">
        <v>19260</v>
      </c>
    </row>
    <row r="5585">
      <c r="A5585" s="1">
        <v>50076.0</v>
      </c>
      <c r="B5585" s="1">
        <v>18417.0</v>
      </c>
      <c r="C5585" s="1">
        <v>1.621595708E9</v>
      </c>
      <c r="D5585" s="1">
        <v>4.0</v>
      </c>
      <c r="E5585" s="1" t="b">
        <v>0</v>
      </c>
      <c r="F5585" s="1" t="s">
        <v>19261</v>
      </c>
    </row>
    <row r="5586">
      <c r="A5586" s="1">
        <v>50076.0</v>
      </c>
      <c r="B5586" s="1">
        <v>18716.0</v>
      </c>
      <c r="C5586" s="1">
        <v>1.621869099E9</v>
      </c>
      <c r="D5586" s="1">
        <v>4.0</v>
      </c>
      <c r="E5586" s="1" t="b">
        <v>0</v>
      </c>
      <c r="F5586" s="1" t="s">
        <v>19262</v>
      </c>
    </row>
    <row r="5587">
      <c r="A5587" s="1">
        <v>50076.0</v>
      </c>
      <c r="B5587" s="1">
        <v>18560.0</v>
      </c>
      <c r="C5587" s="1">
        <v>1.621710616E9</v>
      </c>
      <c r="D5587" s="1">
        <v>4.0</v>
      </c>
      <c r="E5587" s="1" t="b">
        <v>0</v>
      </c>
      <c r="F5587" s="1" t="s">
        <v>19263</v>
      </c>
    </row>
    <row r="5588">
      <c r="A5588" s="1">
        <v>50076.0</v>
      </c>
      <c r="B5588" s="1">
        <v>18713.0</v>
      </c>
      <c r="C5588" s="1">
        <v>1.621869097E9</v>
      </c>
      <c r="D5588" s="1">
        <v>4.0</v>
      </c>
      <c r="E5588" s="1" t="b">
        <v>0</v>
      </c>
      <c r="F5588" s="1" t="s">
        <v>18443</v>
      </c>
    </row>
    <row r="5589">
      <c r="A5589" s="1">
        <v>50076.0</v>
      </c>
      <c r="B5589" s="1">
        <v>18714.0</v>
      </c>
      <c r="C5589" s="1">
        <v>1.621867692E9</v>
      </c>
      <c r="D5589" s="1">
        <v>4.0</v>
      </c>
      <c r="E5589" s="1" t="b">
        <v>0</v>
      </c>
      <c r="F5589" s="1" t="s">
        <v>19264</v>
      </c>
    </row>
    <row r="5590">
      <c r="A5590" s="1">
        <v>50076.0</v>
      </c>
      <c r="B5590" s="1">
        <v>19036.0</v>
      </c>
      <c r="C5590" s="1">
        <v>1.622296202E9</v>
      </c>
      <c r="D5590" s="1">
        <v>4.0</v>
      </c>
      <c r="E5590" s="1" t="b">
        <v>0</v>
      </c>
      <c r="F5590" s="1" t="s">
        <v>19265</v>
      </c>
    </row>
    <row r="5591">
      <c r="A5591" s="1">
        <v>50076.0</v>
      </c>
      <c r="B5591" s="1">
        <v>19125.0</v>
      </c>
      <c r="C5591" s="1">
        <v>1.622397294E9</v>
      </c>
      <c r="D5591" s="1">
        <v>4.0</v>
      </c>
      <c r="E5591" s="1" t="b">
        <v>0</v>
      </c>
      <c r="F5591" s="1" t="s">
        <v>19266</v>
      </c>
    </row>
    <row r="5592">
      <c r="A5592" s="1">
        <v>50076.0</v>
      </c>
      <c r="B5592" s="1">
        <v>18712.0</v>
      </c>
      <c r="C5592" s="1">
        <v>1.621866533E9</v>
      </c>
      <c r="D5592" s="1">
        <v>4.0</v>
      </c>
      <c r="E5592" s="1" t="b">
        <v>0</v>
      </c>
      <c r="F5592" s="1" t="s">
        <v>19267</v>
      </c>
    </row>
    <row r="5593">
      <c r="A5593" s="1">
        <v>50076.0</v>
      </c>
      <c r="B5593" s="1">
        <v>18753.0</v>
      </c>
      <c r="C5593" s="1">
        <v>1.621925351E9</v>
      </c>
      <c r="D5593" s="1">
        <v>4.0</v>
      </c>
      <c r="E5593" s="1" t="b">
        <v>0</v>
      </c>
      <c r="F5593" s="1" t="s">
        <v>19268</v>
      </c>
    </row>
    <row r="5594">
      <c r="A5594" s="1">
        <v>50076.0</v>
      </c>
      <c r="B5594" s="1">
        <v>18705.0</v>
      </c>
      <c r="C5594" s="1">
        <v>1.621861497E9</v>
      </c>
      <c r="D5594" s="1">
        <v>4.0</v>
      </c>
      <c r="E5594" s="1" t="b">
        <v>0</v>
      </c>
      <c r="F5594" s="1" t="s">
        <v>19269</v>
      </c>
    </row>
    <row r="5595">
      <c r="A5595" s="1">
        <v>50076.0</v>
      </c>
      <c r="B5595" s="1">
        <v>18951.0</v>
      </c>
      <c r="C5595" s="1">
        <v>1.62218676E9</v>
      </c>
      <c r="D5595" s="1">
        <v>4.0</v>
      </c>
      <c r="E5595" s="1" t="b">
        <v>0</v>
      </c>
      <c r="F5595" s="1" t="s">
        <v>19270</v>
      </c>
    </row>
    <row r="5596">
      <c r="A5596" s="1">
        <v>50076.0</v>
      </c>
      <c r="B5596" s="1">
        <v>18702.0</v>
      </c>
      <c r="C5596" s="1">
        <v>1.621859793E9</v>
      </c>
      <c r="D5596" s="1">
        <v>4.0</v>
      </c>
      <c r="E5596" s="1" t="b">
        <v>0</v>
      </c>
      <c r="F5596" s="1" t="s">
        <v>19271</v>
      </c>
    </row>
    <row r="5597">
      <c r="A5597" s="1">
        <v>50076.0</v>
      </c>
      <c r="B5597" s="1">
        <v>19746.0</v>
      </c>
      <c r="C5597" s="1">
        <v>1.623238896E9</v>
      </c>
      <c r="D5597" s="1">
        <v>4.0</v>
      </c>
      <c r="E5597" s="1" t="b">
        <v>0</v>
      </c>
      <c r="F5597" s="1" t="s">
        <v>19272</v>
      </c>
    </row>
    <row r="5598">
      <c r="A5598" s="1">
        <v>50076.0</v>
      </c>
      <c r="B5598" s="1">
        <v>19105.0</v>
      </c>
      <c r="C5598" s="1">
        <v>1.622379142E9</v>
      </c>
      <c r="D5598" s="1">
        <v>4.0</v>
      </c>
      <c r="E5598" s="1" t="b">
        <v>0</v>
      </c>
      <c r="F5598" s="1" t="s">
        <v>19273</v>
      </c>
    </row>
    <row r="5599">
      <c r="A5599" s="1">
        <v>50076.0</v>
      </c>
      <c r="B5599" s="1">
        <v>19031.0</v>
      </c>
      <c r="C5599" s="1">
        <v>1.622290042E9</v>
      </c>
      <c r="D5599" s="1">
        <v>4.0</v>
      </c>
      <c r="E5599" s="1" t="b">
        <v>0</v>
      </c>
      <c r="F5599" s="1" t="s">
        <v>19274</v>
      </c>
    </row>
    <row r="5600">
      <c r="A5600" s="1">
        <v>50076.0</v>
      </c>
      <c r="B5600" s="1">
        <v>18572.0</v>
      </c>
      <c r="C5600" s="1">
        <v>1.621737596E9</v>
      </c>
      <c r="D5600" s="1">
        <v>4.0</v>
      </c>
      <c r="E5600" s="1" t="b">
        <v>0</v>
      </c>
      <c r="F5600" s="1" t="s">
        <v>19275</v>
      </c>
    </row>
    <row r="5601">
      <c r="A5601" s="1">
        <v>50076.0</v>
      </c>
      <c r="B5601" s="1">
        <v>19109.0</v>
      </c>
      <c r="C5601" s="1">
        <v>1.62238265E9</v>
      </c>
      <c r="D5601" s="1">
        <v>4.0</v>
      </c>
      <c r="E5601" s="1" t="b">
        <v>0</v>
      </c>
      <c r="F5601" s="1" t="s">
        <v>19276</v>
      </c>
    </row>
    <row r="5602">
      <c r="A5602" s="1">
        <v>50076.0</v>
      </c>
      <c r="B5602" s="1">
        <v>19041.0</v>
      </c>
      <c r="C5602" s="1">
        <v>1.62230668E9</v>
      </c>
      <c r="D5602" s="1">
        <v>4.0</v>
      </c>
      <c r="E5602" s="1" t="b">
        <v>0</v>
      </c>
      <c r="F5602" s="1" t="s">
        <v>17416</v>
      </c>
    </row>
    <row r="5603">
      <c r="A5603" s="1">
        <v>50076.0</v>
      </c>
      <c r="B5603" s="1">
        <v>18913.0</v>
      </c>
      <c r="C5603" s="1">
        <v>1.622126661E9</v>
      </c>
      <c r="D5603" s="1">
        <v>4.0</v>
      </c>
      <c r="E5603" s="1" t="b">
        <v>0</v>
      </c>
      <c r="F5603" s="1" t="s">
        <v>19277</v>
      </c>
    </row>
    <row r="5604">
      <c r="A5604" s="1">
        <v>50076.0</v>
      </c>
      <c r="B5604" s="1">
        <v>19004.0</v>
      </c>
      <c r="C5604" s="1">
        <v>1.622257462E9</v>
      </c>
      <c r="D5604" s="1">
        <v>4.0</v>
      </c>
      <c r="E5604" s="1" t="b">
        <v>0</v>
      </c>
      <c r="F5604" s="1" t="s">
        <v>19278</v>
      </c>
    </row>
    <row r="5605">
      <c r="A5605" s="1">
        <v>50076.0</v>
      </c>
      <c r="B5605" s="1">
        <v>19264.0</v>
      </c>
      <c r="C5605" s="1">
        <v>1.622541126E9</v>
      </c>
      <c r="D5605" s="1">
        <v>4.0</v>
      </c>
      <c r="E5605" s="1" t="b">
        <v>0</v>
      </c>
      <c r="F5605" s="1" t="s">
        <v>19279</v>
      </c>
    </row>
    <row r="5606">
      <c r="A5606" s="1">
        <v>50076.0</v>
      </c>
      <c r="B5606" s="1">
        <v>19363.0</v>
      </c>
      <c r="C5606" s="1">
        <v>1.622633846E9</v>
      </c>
      <c r="D5606" s="1">
        <v>4.0</v>
      </c>
      <c r="E5606" s="1" t="b">
        <v>0</v>
      </c>
      <c r="F5606" s="1" t="s">
        <v>19280</v>
      </c>
    </row>
    <row r="5607">
      <c r="A5607" s="1">
        <v>50076.0</v>
      </c>
      <c r="B5607" s="1">
        <v>18588.0</v>
      </c>
      <c r="C5607" s="1">
        <v>1.621749164E9</v>
      </c>
      <c r="D5607" s="1">
        <v>4.0</v>
      </c>
      <c r="E5607" s="1" t="b">
        <v>0</v>
      </c>
      <c r="F5607" s="1" t="s">
        <v>19281</v>
      </c>
    </row>
    <row r="5608">
      <c r="A5608" s="1">
        <v>50076.0</v>
      </c>
      <c r="B5608" s="1">
        <v>18563.0</v>
      </c>
      <c r="C5608" s="1">
        <v>1.621749605E9</v>
      </c>
      <c r="D5608" s="1">
        <v>4.0</v>
      </c>
      <c r="E5608" s="1" t="b">
        <v>0</v>
      </c>
      <c r="F5608" s="1" t="s">
        <v>19282</v>
      </c>
    </row>
    <row r="5609">
      <c r="A5609" s="1">
        <v>50076.0</v>
      </c>
      <c r="B5609" s="1">
        <v>18930.0</v>
      </c>
      <c r="C5609" s="1">
        <v>1.622170077E9</v>
      </c>
      <c r="D5609" s="1">
        <v>4.0</v>
      </c>
      <c r="E5609" s="1" t="b">
        <v>0</v>
      </c>
      <c r="F5609" s="1" t="s">
        <v>19283</v>
      </c>
    </row>
    <row r="5610">
      <c r="A5610" s="1">
        <v>50076.0</v>
      </c>
      <c r="B5610" s="1">
        <v>18583.0</v>
      </c>
      <c r="C5610" s="1">
        <v>1.621747491E9</v>
      </c>
      <c r="D5610" s="1">
        <v>4.0</v>
      </c>
      <c r="E5610" s="1" t="b">
        <v>0</v>
      </c>
      <c r="F5610" s="1" t="s">
        <v>19284</v>
      </c>
    </row>
    <row r="5611">
      <c r="A5611" s="1">
        <v>50076.0</v>
      </c>
      <c r="B5611" s="1">
        <v>18669.0</v>
      </c>
      <c r="C5611" s="1">
        <v>1.62183181E9</v>
      </c>
      <c r="D5611" s="1">
        <v>4.0</v>
      </c>
      <c r="E5611" s="1" t="b">
        <v>0</v>
      </c>
      <c r="F5611" s="1" t="s">
        <v>19285</v>
      </c>
    </row>
    <row r="5612">
      <c r="A5612" s="1">
        <v>50076.0</v>
      </c>
      <c r="B5612" s="1">
        <v>18418.0</v>
      </c>
      <c r="C5612" s="1">
        <v>1.621595713E9</v>
      </c>
      <c r="D5612" s="1">
        <v>4.0</v>
      </c>
      <c r="E5612" s="1" t="b">
        <v>0</v>
      </c>
      <c r="F5612" s="1" t="s">
        <v>19286</v>
      </c>
    </row>
    <row r="5613">
      <c r="A5613" s="1">
        <v>50076.0</v>
      </c>
      <c r="B5613" s="1">
        <v>19139.0</v>
      </c>
      <c r="C5613" s="1">
        <v>1.622598816E9</v>
      </c>
      <c r="D5613" s="1">
        <v>4.0</v>
      </c>
      <c r="E5613" s="1" t="b">
        <v>0</v>
      </c>
      <c r="F5613" s="1" t="s">
        <v>19287</v>
      </c>
    </row>
    <row r="5614">
      <c r="A5614" s="1">
        <v>50076.0</v>
      </c>
      <c r="B5614" s="1">
        <v>19129.0</v>
      </c>
      <c r="C5614" s="1">
        <v>1.622403166E9</v>
      </c>
      <c r="D5614" s="1">
        <v>4.0</v>
      </c>
      <c r="E5614" s="1" t="b">
        <v>0</v>
      </c>
      <c r="F5614" s="1" t="s">
        <v>19288</v>
      </c>
    </row>
    <row r="5615">
      <c r="A5615" s="1">
        <v>50076.0</v>
      </c>
      <c r="B5615" s="1">
        <v>18439.0</v>
      </c>
      <c r="C5615" s="1">
        <v>1.621595732E9</v>
      </c>
      <c r="D5615" s="1">
        <v>4.0</v>
      </c>
      <c r="E5615" s="1" t="b">
        <v>0</v>
      </c>
      <c r="F5615" s="1" t="s">
        <v>19289</v>
      </c>
    </row>
    <row r="5616">
      <c r="A5616" s="1">
        <v>50076.0</v>
      </c>
      <c r="B5616" s="1">
        <v>18589.0</v>
      </c>
      <c r="C5616" s="1">
        <v>1.621749974E9</v>
      </c>
      <c r="D5616" s="1">
        <v>4.0</v>
      </c>
      <c r="E5616" s="1" t="b">
        <v>0</v>
      </c>
      <c r="F5616" s="1" t="s">
        <v>19290</v>
      </c>
    </row>
    <row r="5617">
      <c r="A5617" s="1">
        <v>50076.0</v>
      </c>
      <c r="B5617" s="1">
        <v>18507.0</v>
      </c>
      <c r="C5617" s="1">
        <v>1.621670104E9</v>
      </c>
      <c r="D5617" s="1">
        <v>4.0</v>
      </c>
      <c r="E5617" s="1" t="b">
        <v>0</v>
      </c>
      <c r="F5617" s="1" t="s">
        <v>19291</v>
      </c>
    </row>
    <row r="5618">
      <c r="A5618" s="1">
        <v>50076.0</v>
      </c>
      <c r="B5618" s="1">
        <v>19362.0</v>
      </c>
      <c r="C5618" s="1">
        <v>1.622632704E9</v>
      </c>
      <c r="D5618" s="1">
        <v>9.0</v>
      </c>
      <c r="E5618" s="1" t="b">
        <v>0</v>
      </c>
      <c r="F5618" s="1" t="s">
        <v>19292</v>
      </c>
    </row>
    <row r="5619">
      <c r="A5619" s="1">
        <v>50076.0</v>
      </c>
      <c r="B5619" s="1">
        <v>18700.0</v>
      </c>
      <c r="C5619" s="1">
        <v>1.62185816E9</v>
      </c>
      <c r="D5619" s="1">
        <v>4.0</v>
      </c>
      <c r="E5619" s="1" t="b">
        <v>0</v>
      </c>
      <c r="F5619" s="1" t="s">
        <v>19293</v>
      </c>
    </row>
    <row r="5620">
      <c r="A5620" s="1">
        <v>50076.0</v>
      </c>
      <c r="B5620" s="1">
        <v>18935.0</v>
      </c>
      <c r="C5620" s="1">
        <v>1.622171926E9</v>
      </c>
      <c r="D5620" s="1">
        <v>4.0</v>
      </c>
      <c r="E5620" s="1" t="b">
        <v>0</v>
      </c>
      <c r="F5620" s="1" t="s">
        <v>19294</v>
      </c>
    </row>
    <row r="5621">
      <c r="A5621" s="1">
        <v>50076.0</v>
      </c>
      <c r="B5621" s="1">
        <v>18416.0</v>
      </c>
      <c r="C5621" s="1">
        <v>1.621595707E9</v>
      </c>
      <c r="D5621" s="1">
        <v>4.0</v>
      </c>
      <c r="E5621" s="1" t="b">
        <v>0</v>
      </c>
      <c r="F5621" s="1" t="s">
        <v>19295</v>
      </c>
    </row>
    <row r="5622">
      <c r="A5622" s="1">
        <v>50076.0</v>
      </c>
      <c r="B5622" s="1">
        <v>19222.0</v>
      </c>
      <c r="C5622" s="1">
        <v>1.622489284E9</v>
      </c>
      <c r="D5622" s="1">
        <v>4.0</v>
      </c>
      <c r="E5622" s="1" t="b">
        <v>0</v>
      </c>
      <c r="F5622" s="1" t="s">
        <v>19296</v>
      </c>
    </row>
    <row r="5623">
      <c r="A5623" s="1">
        <v>50076.0</v>
      </c>
      <c r="B5623" s="1">
        <v>19302.0</v>
      </c>
      <c r="C5623" s="1">
        <v>1.622572878E9</v>
      </c>
      <c r="D5623" s="1">
        <v>4.0</v>
      </c>
      <c r="E5623" s="1" t="b">
        <v>0</v>
      </c>
      <c r="F5623" s="1" t="s">
        <v>19297</v>
      </c>
    </row>
    <row r="5624">
      <c r="A5624" s="1">
        <v>50076.0</v>
      </c>
      <c r="B5624" s="1">
        <v>18577.0</v>
      </c>
      <c r="C5624" s="1">
        <v>1.621745337E9</v>
      </c>
      <c r="D5624" s="1">
        <v>4.0</v>
      </c>
      <c r="E5624" s="1" t="b">
        <v>0</v>
      </c>
      <c r="F5624" s="1" t="s">
        <v>19298</v>
      </c>
    </row>
    <row r="5625">
      <c r="A5625" s="1">
        <v>50076.0</v>
      </c>
      <c r="B5625" s="1">
        <v>18532.0</v>
      </c>
      <c r="C5625" s="1">
        <v>1.621686333E9</v>
      </c>
      <c r="D5625" s="1">
        <v>4.0</v>
      </c>
      <c r="E5625" s="1" t="b">
        <v>0</v>
      </c>
      <c r="F5625" s="1" t="s">
        <v>19299</v>
      </c>
    </row>
    <row r="5626">
      <c r="A5626" s="1">
        <v>50076.0</v>
      </c>
      <c r="B5626" s="1">
        <v>18539.0</v>
      </c>
      <c r="C5626" s="1">
        <v>1.621689576E9</v>
      </c>
      <c r="D5626" s="1">
        <v>4.0</v>
      </c>
      <c r="E5626" s="1" t="b">
        <v>0</v>
      </c>
      <c r="F5626" s="1" t="s">
        <v>19300</v>
      </c>
    </row>
    <row r="5627">
      <c r="A5627" s="1">
        <v>50076.0</v>
      </c>
      <c r="B5627" s="1">
        <v>19138.0</v>
      </c>
      <c r="C5627" s="1">
        <v>1.622431917E9</v>
      </c>
      <c r="D5627" s="1">
        <v>4.0</v>
      </c>
      <c r="E5627" s="1" t="b">
        <v>0</v>
      </c>
      <c r="F5627" s="1" t="s">
        <v>19301</v>
      </c>
    </row>
    <row r="5628">
      <c r="A5628" s="1">
        <v>50076.0</v>
      </c>
      <c r="B5628" s="1">
        <v>18853.0</v>
      </c>
      <c r="C5628" s="1">
        <v>1.622047655E9</v>
      </c>
      <c r="D5628" s="1">
        <v>4.0</v>
      </c>
      <c r="E5628" s="1" t="b">
        <v>0</v>
      </c>
      <c r="F5628" s="1" t="s">
        <v>19302</v>
      </c>
    </row>
    <row r="5629">
      <c r="A5629" s="1">
        <v>50076.0</v>
      </c>
      <c r="B5629" s="1">
        <v>19240.0</v>
      </c>
      <c r="C5629" s="1">
        <v>1.622522221E9</v>
      </c>
      <c r="D5629" s="1">
        <v>4.0</v>
      </c>
      <c r="E5629" s="1" t="b">
        <v>0</v>
      </c>
      <c r="F5629" s="1" t="s">
        <v>19303</v>
      </c>
    </row>
    <row r="5630">
      <c r="A5630" s="1">
        <v>50076.0</v>
      </c>
      <c r="B5630" s="1">
        <v>19346.0</v>
      </c>
      <c r="C5630" s="1">
        <v>1.622621884E9</v>
      </c>
      <c r="D5630" s="1">
        <v>4.0</v>
      </c>
      <c r="E5630" s="1" t="b">
        <v>0</v>
      </c>
      <c r="F5630" s="1" t="s">
        <v>18741</v>
      </c>
    </row>
    <row r="5631">
      <c r="A5631" s="1">
        <v>50076.0</v>
      </c>
      <c r="B5631" s="1">
        <v>18686.0</v>
      </c>
      <c r="C5631" s="1">
        <v>1.621849144E9</v>
      </c>
      <c r="D5631" s="1">
        <v>4.0</v>
      </c>
      <c r="E5631" s="1" t="b">
        <v>0</v>
      </c>
      <c r="F5631" s="1" t="s">
        <v>19304</v>
      </c>
    </row>
    <row r="5632">
      <c r="A5632" s="1">
        <v>50076.0</v>
      </c>
      <c r="B5632" s="1">
        <v>17360.0</v>
      </c>
      <c r="C5632" s="1">
        <v>1.620486713E9</v>
      </c>
      <c r="D5632" s="1">
        <v>4.0</v>
      </c>
      <c r="E5632" s="1" t="b">
        <v>0</v>
      </c>
      <c r="F5632" s="1" t="s">
        <v>19305</v>
      </c>
    </row>
    <row r="5633">
      <c r="A5633" s="1">
        <v>50076.0</v>
      </c>
      <c r="B5633" s="1">
        <v>18511.0</v>
      </c>
      <c r="C5633" s="1">
        <v>1.621670809E9</v>
      </c>
      <c r="D5633" s="1">
        <v>4.0</v>
      </c>
      <c r="E5633" s="1" t="b">
        <v>0</v>
      </c>
      <c r="F5633" s="1" t="s">
        <v>19306</v>
      </c>
    </row>
    <row r="5634">
      <c r="A5634" s="1">
        <v>50076.0</v>
      </c>
      <c r="B5634" s="1">
        <v>18612.0</v>
      </c>
      <c r="C5634" s="1">
        <v>1.62177068E9</v>
      </c>
      <c r="D5634" s="1">
        <v>4.0</v>
      </c>
      <c r="E5634" s="1" t="b">
        <v>0</v>
      </c>
      <c r="F5634" s="1" t="s">
        <v>19307</v>
      </c>
    </row>
    <row r="5635">
      <c r="A5635" s="1">
        <v>50076.0</v>
      </c>
      <c r="B5635" s="1">
        <v>18677.0</v>
      </c>
      <c r="C5635" s="1">
        <v>1.621841284E9</v>
      </c>
      <c r="D5635" s="1">
        <v>4.0</v>
      </c>
      <c r="E5635" s="1" t="b">
        <v>0</v>
      </c>
      <c r="F5635" s="1" t="s">
        <v>19308</v>
      </c>
    </row>
    <row r="5636">
      <c r="A5636" s="1">
        <v>50076.0</v>
      </c>
      <c r="B5636" s="1">
        <v>17838.0</v>
      </c>
      <c r="C5636" s="1">
        <v>1.622419565E9</v>
      </c>
      <c r="D5636" s="1">
        <v>4.0</v>
      </c>
      <c r="E5636" s="1" t="b">
        <v>0</v>
      </c>
      <c r="F5636" s="1" t="s">
        <v>17687</v>
      </c>
    </row>
    <row r="5637">
      <c r="A5637" s="1">
        <v>50076.0</v>
      </c>
      <c r="B5637" s="1">
        <v>18670.0</v>
      </c>
      <c r="C5637" s="1">
        <v>1.621832873E9</v>
      </c>
      <c r="D5637" s="1">
        <v>4.0</v>
      </c>
      <c r="E5637" s="1" t="b">
        <v>0</v>
      </c>
      <c r="F5637" s="1" t="s">
        <v>19309</v>
      </c>
    </row>
    <row r="5638">
      <c r="A5638" s="1">
        <v>50076.0</v>
      </c>
      <c r="B5638" s="1">
        <v>17181.0</v>
      </c>
      <c r="C5638" s="1">
        <v>1.620482421E9</v>
      </c>
      <c r="D5638" s="1">
        <v>1.0</v>
      </c>
      <c r="E5638" s="1" t="b">
        <v>1</v>
      </c>
      <c r="F5638" s="1" t="s">
        <v>17635</v>
      </c>
      <c r="G5638" s="1" t="b">
        <v>1</v>
      </c>
    </row>
    <row r="5639">
      <c r="A5639" s="1">
        <v>50076.0</v>
      </c>
      <c r="B5639" s="1">
        <v>18653.0</v>
      </c>
      <c r="C5639" s="1">
        <v>1.621831813E9</v>
      </c>
      <c r="D5639" s="1">
        <v>4.0</v>
      </c>
      <c r="E5639" s="1" t="b">
        <v>0</v>
      </c>
      <c r="F5639" s="1" t="s">
        <v>19310</v>
      </c>
    </row>
    <row r="5640">
      <c r="A5640" s="1">
        <v>50076.0</v>
      </c>
      <c r="B5640" s="1">
        <v>18431.0</v>
      </c>
      <c r="C5640" s="1">
        <v>1.621595702E9</v>
      </c>
      <c r="D5640" s="1">
        <v>4.0</v>
      </c>
      <c r="E5640" s="1" t="b">
        <v>0</v>
      </c>
      <c r="F5640" s="1" t="s">
        <v>15276</v>
      </c>
    </row>
    <row r="5641">
      <c r="A5641" s="1">
        <v>50076.0</v>
      </c>
      <c r="B5641" s="1">
        <v>18666.0</v>
      </c>
      <c r="C5641" s="1">
        <v>1.621829683E9</v>
      </c>
      <c r="D5641" s="1">
        <v>4.0</v>
      </c>
      <c r="E5641" s="1" t="b">
        <v>0</v>
      </c>
      <c r="F5641" s="1" t="s">
        <v>19311</v>
      </c>
    </row>
    <row r="5642">
      <c r="A5642" s="1">
        <v>50076.0</v>
      </c>
      <c r="B5642" s="1">
        <v>16912.0</v>
      </c>
      <c r="C5642" s="1">
        <v>1.623754989E9</v>
      </c>
      <c r="D5642" s="1">
        <v>4.0</v>
      </c>
      <c r="E5642" s="1" t="b">
        <v>0</v>
      </c>
      <c r="F5642" s="1" t="s">
        <v>16918</v>
      </c>
      <c r="G5642" s="1" t="b">
        <v>1</v>
      </c>
    </row>
    <row r="5643">
      <c r="A5643" s="1">
        <v>50076.0</v>
      </c>
      <c r="B5643" s="1">
        <v>18665.0</v>
      </c>
      <c r="C5643" s="1">
        <v>1.621828322E9</v>
      </c>
      <c r="D5643" s="1">
        <v>4.0</v>
      </c>
      <c r="E5643" s="1" t="b">
        <v>0</v>
      </c>
      <c r="F5643" s="1" t="s">
        <v>19312</v>
      </c>
    </row>
    <row r="5644">
      <c r="A5644" s="1">
        <v>50076.0</v>
      </c>
      <c r="B5644" s="1">
        <v>18664.0</v>
      </c>
      <c r="C5644" s="1">
        <v>1.621827508E9</v>
      </c>
      <c r="D5644" s="1">
        <v>4.0</v>
      </c>
      <c r="E5644" s="1" t="b">
        <v>0</v>
      </c>
      <c r="F5644" s="1" t="s">
        <v>19313</v>
      </c>
    </row>
    <row r="5645">
      <c r="A5645" s="1">
        <v>50076.0</v>
      </c>
      <c r="B5645" s="1">
        <v>18657.0</v>
      </c>
      <c r="C5645" s="1">
        <v>1.621825609E9</v>
      </c>
      <c r="D5645" s="1">
        <v>4.0</v>
      </c>
      <c r="E5645" s="1" t="b">
        <v>0</v>
      </c>
      <c r="F5645" s="1" t="s">
        <v>19314</v>
      </c>
    </row>
    <row r="5646">
      <c r="A5646" s="1">
        <v>50076.0</v>
      </c>
      <c r="B5646" s="1">
        <v>18562.0</v>
      </c>
      <c r="C5646" s="1">
        <v>1.621711196E9</v>
      </c>
      <c r="D5646" s="1">
        <v>4.0</v>
      </c>
      <c r="E5646" s="1" t="b">
        <v>0</v>
      </c>
      <c r="F5646" s="1" t="s">
        <v>19315</v>
      </c>
    </row>
    <row r="5647">
      <c r="A5647" s="1">
        <v>50076.0</v>
      </c>
      <c r="B5647" s="1">
        <v>19326.0</v>
      </c>
      <c r="C5647" s="1">
        <v>1.622610888E9</v>
      </c>
      <c r="D5647" s="1">
        <v>4.0</v>
      </c>
      <c r="E5647" s="1" t="b">
        <v>0</v>
      </c>
      <c r="F5647" s="1" t="s">
        <v>19316</v>
      </c>
    </row>
    <row r="5648">
      <c r="A5648" s="1">
        <v>50076.0</v>
      </c>
      <c r="B5648" s="1">
        <v>18827.0</v>
      </c>
      <c r="C5648" s="1">
        <v>1.622013662E9</v>
      </c>
      <c r="D5648" s="1">
        <v>4.0</v>
      </c>
      <c r="E5648" s="1" t="b">
        <v>0</v>
      </c>
      <c r="F5648" s="1" t="s">
        <v>19317</v>
      </c>
    </row>
    <row r="5649">
      <c r="A5649" s="1">
        <v>50076.0</v>
      </c>
      <c r="B5649" s="1">
        <v>18803.0</v>
      </c>
      <c r="C5649" s="1">
        <v>1.621973044E9</v>
      </c>
      <c r="D5649" s="1">
        <v>4.0</v>
      </c>
      <c r="E5649" s="1" t="b">
        <v>0</v>
      </c>
      <c r="F5649" s="1" t="s">
        <v>19318</v>
      </c>
    </row>
    <row r="5650">
      <c r="A5650" s="1">
        <v>50076.0</v>
      </c>
      <c r="B5650" s="1">
        <v>19088.0</v>
      </c>
      <c r="C5650" s="1">
        <v>1.622367889E9</v>
      </c>
      <c r="D5650" s="1">
        <v>4.0</v>
      </c>
      <c r="E5650" s="1" t="b">
        <v>0</v>
      </c>
      <c r="F5650" s="1" t="s">
        <v>19319</v>
      </c>
    </row>
    <row r="5651">
      <c r="A5651" s="1">
        <v>50076.0</v>
      </c>
      <c r="B5651" s="1">
        <v>19311.0</v>
      </c>
      <c r="C5651" s="1">
        <v>1.622598804E9</v>
      </c>
      <c r="D5651" s="1">
        <v>4.0</v>
      </c>
      <c r="E5651" s="1" t="b">
        <v>0</v>
      </c>
      <c r="F5651" s="1" t="s">
        <v>19320</v>
      </c>
    </row>
    <row r="5652">
      <c r="A5652" s="1">
        <v>50076.0</v>
      </c>
      <c r="B5652" s="1">
        <v>18647.0</v>
      </c>
      <c r="C5652" s="1">
        <v>1.621800605E9</v>
      </c>
      <c r="D5652" s="1">
        <v>4.0</v>
      </c>
      <c r="E5652" s="1" t="b">
        <v>0</v>
      </c>
      <c r="F5652" s="1" t="s">
        <v>19321</v>
      </c>
    </row>
    <row r="5653">
      <c r="A5653" s="1">
        <v>50076.0</v>
      </c>
      <c r="B5653" s="1">
        <v>19045.0</v>
      </c>
      <c r="C5653" s="1">
        <v>1.622306678E9</v>
      </c>
      <c r="D5653" s="1">
        <v>4.0</v>
      </c>
      <c r="E5653" s="1" t="b">
        <v>0</v>
      </c>
      <c r="F5653" s="1" t="s">
        <v>19322</v>
      </c>
    </row>
    <row r="5654">
      <c r="A5654" s="1">
        <v>50076.0</v>
      </c>
      <c r="B5654" s="1">
        <v>19100.0</v>
      </c>
      <c r="C5654" s="1">
        <v>1.622375792E9</v>
      </c>
      <c r="D5654" s="1">
        <v>4.0</v>
      </c>
      <c r="E5654" s="1" t="b">
        <v>0</v>
      </c>
      <c r="F5654" s="1" t="s">
        <v>19323</v>
      </c>
    </row>
    <row r="5655">
      <c r="A5655" s="1">
        <v>50076.0</v>
      </c>
      <c r="B5655" s="1">
        <v>18654.0</v>
      </c>
      <c r="C5655" s="1">
        <v>1.621823738E9</v>
      </c>
      <c r="D5655" s="1">
        <v>4.0</v>
      </c>
      <c r="E5655" s="1" t="b">
        <v>0</v>
      </c>
      <c r="F5655" s="1" t="s">
        <v>19324</v>
      </c>
    </row>
    <row r="5656">
      <c r="A5656" s="1">
        <v>50076.0</v>
      </c>
      <c r="B5656" s="1">
        <v>19339.0</v>
      </c>
      <c r="C5656" s="1">
        <v>1.622617174E9</v>
      </c>
      <c r="D5656" s="1">
        <v>4.0</v>
      </c>
      <c r="E5656" s="1" t="b">
        <v>0</v>
      </c>
      <c r="F5656" s="1" t="s">
        <v>19325</v>
      </c>
    </row>
    <row r="5657">
      <c r="A5657" s="1">
        <v>50076.0</v>
      </c>
      <c r="B5657" s="1">
        <v>18641.0</v>
      </c>
      <c r="C5657" s="1">
        <v>1.621792822E9</v>
      </c>
      <c r="D5657" s="1">
        <v>4.0</v>
      </c>
      <c r="E5657" s="1" t="b">
        <v>0</v>
      </c>
      <c r="F5657" s="1" t="s">
        <v>19326</v>
      </c>
    </row>
    <row r="5658">
      <c r="A5658" s="1">
        <v>50076.0</v>
      </c>
      <c r="B5658" s="1">
        <v>18524.0</v>
      </c>
      <c r="C5658" s="1">
        <v>1.621678965E9</v>
      </c>
      <c r="D5658" s="1">
        <v>4.0</v>
      </c>
      <c r="E5658" s="1" t="b">
        <v>0</v>
      </c>
      <c r="F5658" s="1" t="s">
        <v>19327</v>
      </c>
    </row>
    <row r="5659">
      <c r="A5659" s="1">
        <v>50076.0</v>
      </c>
      <c r="B5659" s="1">
        <v>18917.0</v>
      </c>
      <c r="C5659" s="1">
        <v>1.622727483E9</v>
      </c>
      <c r="D5659" s="1">
        <v>4.0</v>
      </c>
      <c r="E5659" s="1" t="b">
        <v>0</v>
      </c>
      <c r="F5659" s="1" t="s">
        <v>19328</v>
      </c>
    </row>
    <row r="5660">
      <c r="A5660" s="1">
        <v>50076.0</v>
      </c>
      <c r="B5660" s="1">
        <v>18874.0</v>
      </c>
      <c r="C5660" s="1">
        <v>1.622096267E9</v>
      </c>
      <c r="D5660" s="1">
        <v>4.0</v>
      </c>
      <c r="E5660" s="1" t="b">
        <v>0</v>
      </c>
      <c r="F5660" s="1" t="s">
        <v>18899</v>
      </c>
    </row>
    <row r="5661">
      <c r="A5661" s="1">
        <v>50078.0</v>
      </c>
      <c r="B5661" s="1">
        <v>17961.0</v>
      </c>
      <c r="C5661" s="1">
        <v>1.620725929E9</v>
      </c>
      <c r="D5661" s="1">
        <v>9.0</v>
      </c>
      <c r="E5661" s="1" t="b">
        <v>0</v>
      </c>
      <c r="F5661" s="1" t="s">
        <v>19329</v>
      </c>
      <c r="G5661" s="1" t="b">
        <v>1</v>
      </c>
    </row>
    <row r="5662">
      <c r="A5662" s="1">
        <v>50078.0</v>
      </c>
      <c r="B5662" s="1">
        <v>17767.0</v>
      </c>
      <c r="C5662" s="1">
        <v>1.620499202E9</v>
      </c>
      <c r="D5662" s="1">
        <v>9.0</v>
      </c>
      <c r="E5662" s="1" t="b">
        <v>0</v>
      </c>
      <c r="F5662" s="1" t="s">
        <v>19330</v>
      </c>
    </row>
    <row r="5663">
      <c r="A5663" s="1">
        <v>50078.0</v>
      </c>
      <c r="B5663" s="1">
        <v>17445.0</v>
      </c>
      <c r="C5663" s="1">
        <v>1.620497709E9</v>
      </c>
      <c r="D5663" s="1">
        <v>1.0</v>
      </c>
      <c r="E5663" s="1" t="b">
        <v>1</v>
      </c>
      <c r="F5663" s="1" t="s">
        <v>19331</v>
      </c>
    </row>
    <row r="5664">
      <c r="A5664" s="1">
        <v>50078.0</v>
      </c>
      <c r="B5664" s="1">
        <v>18333.0</v>
      </c>
      <c r="C5664" s="1">
        <v>1.62179458E9</v>
      </c>
      <c r="D5664" s="1">
        <v>4.0</v>
      </c>
      <c r="E5664" s="1" t="b">
        <v>0</v>
      </c>
      <c r="F5664" s="1" t="s">
        <v>14056</v>
      </c>
    </row>
    <row r="5665">
      <c r="A5665" s="1">
        <v>50078.0</v>
      </c>
      <c r="B5665" s="1">
        <v>16743.0</v>
      </c>
      <c r="C5665" s="1">
        <v>1.624295167E9</v>
      </c>
      <c r="D5665" s="1">
        <v>4.0</v>
      </c>
      <c r="E5665" s="1" t="b">
        <v>0</v>
      </c>
      <c r="F5665" s="1" t="s">
        <v>13986</v>
      </c>
      <c r="G5665" s="1" t="b">
        <v>1</v>
      </c>
    </row>
    <row r="5666">
      <c r="A5666" s="1">
        <v>50078.0</v>
      </c>
      <c r="B5666" s="1">
        <v>17810.0</v>
      </c>
      <c r="C5666" s="1">
        <v>1.622306146E9</v>
      </c>
      <c r="D5666" s="1">
        <v>1.0</v>
      </c>
      <c r="E5666" s="1" t="b">
        <v>0</v>
      </c>
      <c r="F5666" s="1" t="s">
        <v>19332</v>
      </c>
      <c r="G5666" s="1" t="b">
        <v>1</v>
      </c>
    </row>
    <row r="5667">
      <c r="A5667" s="1">
        <v>50078.0</v>
      </c>
      <c r="B5667" s="1">
        <v>18884.0</v>
      </c>
      <c r="C5667" s="1">
        <v>1.622097469E9</v>
      </c>
      <c r="D5667" s="1">
        <v>4.0</v>
      </c>
      <c r="E5667" s="1" t="b">
        <v>0</v>
      </c>
      <c r="F5667" s="1" t="s">
        <v>19333</v>
      </c>
    </row>
    <row r="5668">
      <c r="A5668" s="1">
        <v>50078.0</v>
      </c>
      <c r="B5668" s="1">
        <v>17776.0</v>
      </c>
      <c r="C5668" s="1">
        <v>1.620516799E9</v>
      </c>
      <c r="D5668" s="1">
        <v>4.0</v>
      </c>
      <c r="E5668" s="1" t="b">
        <v>0</v>
      </c>
      <c r="F5668" s="1" t="s">
        <v>19334</v>
      </c>
      <c r="G5668" s="1" t="b">
        <v>1</v>
      </c>
    </row>
    <row r="5669">
      <c r="A5669" s="1">
        <v>50078.0</v>
      </c>
      <c r="B5669" s="1">
        <v>18189.0</v>
      </c>
      <c r="C5669" s="1">
        <v>1.621230254E9</v>
      </c>
      <c r="D5669" s="1">
        <v>4.0</v>
      </c>
      <c r="E5669" s="1" t="b">
        <v>0</v>
      </c>
      <c r="F5669" s="1" t="s">
        <v>19335</v>
      </c>
      <c r="G5669" s="1" t="b">
        <v>1</v>
      </c>
    </row>
    <row r="5670">
      <c r="A5670" s="1">
        <v>50078.0</v>
      </c>
      <c r="B5670" s="1">
        <v>17960.0</v>
      </c>
      <c r="C5670" s="1">
        <v>1.62072596E9</v>
      </c>
      <c r="D5670" s="1">
        <v>4.0</v>
      </c>
      <c r="E5670" s="1" t="b">
        <v>0</v>
      </c>
      <c r="F5670" s="1" t="s">
        <v>19336</v>
      </c>
      <c r="G5670" s="1" t="b">
        <v>1</v>
      </c>
    </row>
    <row r="5671">
      <c r="A5671" s="1">
        <v>50082.0</v>
      </c>
      <c r="B5671" s="1">
        <v>17733.0</v>
      </c>
      <c r="C5671" s="1">
        <v>1.620737627E9</v>
      </c>
      <c r="D5671" s="1">
        <v>1.0</v>
      </c>
      <c r="E5671" s="1" t="b">
        <v>1</v>
      </c>
      <c r="F5671" s="1" t="s">
        <v>19337</v>
      </c>
    </row>
    <row r="5672">
      <c r="A5672" s="1">
        <v>50082.0</v>
      </c>
      <c r="B5672" s="1">
        <v>18371.0</v>
      </c>
      <c r="C5672" s="1">
        <v>1.621577993E9</v>
      </c>
      <c r="D5672" s="1">
        <v>4.0</v>
      </c>
      <c r="E5672" s="1" t="b">
        <v>0</v>
      </c>
      <c r="F5672" s="1" t="s">
        <v>19338</v>
      </c>
      <c r="G5672" s="1" t="b">
        <v>1</v>
      </c>
    </row>
    <row r="5673">
      <c r="A5673" s="1">
        <v>50082.0</v>
      </c>
      <c r="B5673" s="1">
        <v>3912.0</v>
      </c>
      <c r="C5673" s="1">
        <v>1.620738435E9</v>
      </c>
      <c r="D5673" s="1">
        <v>4.0</v>
      </c>
      <c r="E5673" s="1" t="b">
        <v>0</v>
      </c>
      <c r="F5673" s="1" t="s">
        <v>16534</v>
      </c>
      <c r="G5673" s="1" t="b">
        <v>1</v>
      </c>
    </row>
    <row r="5674">
      <c r="A5674" s="1">
        <v>50082.0</v>
      </c>
      <c r="B5674" s="1">
        <v>15194.0</v>
      </c>
      <c r="C5674" s="1">
        <v>1.620738642E9</v>
      </c>
      <c r="D5674" s="1">
        <v>4.0</v>
      </c>
      <c r="E5674" s="1" t="b">
        <v>0</v>
      </c>
      <c r="F5674" s="1" t="s">
        <v>17278</v>
      </c>
    </row>
    <row r="5675">
      <c r="A5675" s="1">
        <v>50082.0</v>
      </c>
      <c r="B5675" s="1">
        <v>17482.0</v>
      </c>
      <c r="C5675" s="1">
        <v>1.620740744E9</v>
      </c>
      <c r="D5675" s="1">
        <v>4.0</v>
      </c>
      <c r="E5675" s="1" t="b">
        <v>0</v>
      </c>
      <c r="F5675" s="1" t="s">
        <v>17266</v>
      </c>
      <c r="G5675" s="1" t="b">
        <v>1</v>
      </c>
    </row>
    <row r="5676">
      <c r="A5676" s="1">
        <v>50082.0</v>
      </c>
      <c r="B5676" s="1">
        <v>17964.0</v>
      </c>
      <c r="C5676" s="1">
        <v>1.622120643E9</v>
      </c>
      <c r="D5676" s="1">
        <v>4.0</v>
      </c>
      <c r="E5676" s="1" t="b">
        <v>0</v>
      </c>
      <c r="F5676" s="1" t="s">
        <v>19339</v>
      </c>
      <c r="G5676" s="1" t="b">
        <v>1</v>
      </c>
    </row>
    <row r="5677">
      <c r="A5677" s="1">
        <v>50083.0</v>
      </c>
      <c r="B5677" s="1">
        <v>17482.0</v>
      </c>
      <c r="C5677" s="1">
        <v>1.620749553E9</v>
      </c>
      <c r="D5677" s="1">
        <v>4.0</v>
      </c>
      <c r="E5677" s="1" t="b">
        <v>0</v>
      </c>
      <c r="F5677" s="1" t="s">
        <v>17266</v>
      </c>
      <c r="G5677" s="1" t="b">
        <v>1</v>
      </c>
    </row>
    <row r="5678">
      <c r="A5678" s="1">
        <v>50083.0</v>
      </c>
      <c r="B5678" s="1">
        <v>18028.0</v>
      </c>
      <c r="C5678" s="1">
        <v>1.622305739E9</v>
      </c>
      <c r="D5678" s="1">
        <v>4.0</v>
      </c>
      <c r="E5678" s="1" t="b">
        <v>0</v>
      </c>
      <c r="F5678" s="1" t="s">
        <v>19160</v>
      </c>
      <c r="G5678" s="1" t="b">
        <v>1</v>
      </c>
    </row>
    <row r="5679">
      <c r="A5679" s="1">
        <v>50083.0</v>
      </c>
      <c r="B5679" s="1">
        <v>3912.0</v>
      </c>
      <c r="C5679" s="1">
        <v>1.620744495E9</v>
      </c>
      <c r="D5679" s="1">
        <v>4.0</v>
      </c>
      <c r="E5679" s="1" t="b">
        <v>0</v>
      </c>
      <c r="F5679" s="1" t="s">
        <v>16534</v>
      </c>
      <c r="G5679" s="1" t="b">
        <v>1</v>
      </c>
    </row>
    <row r="5680">
      <c r="A5680" s="1">
        <v>50083.0</v>
      </c>
      <c r="B5680" s="1">
        <v>15194.0</v>
      </c>
      <c r="C5680" s="1">
        <v>1.620742122E9</v>
      </c>
      <c r="D5680" s="1">
        <v>4.0</v>
      </c>
      <c r="E5680" s="1" t="b">
        <v>0</v>
      </c>
      <c r="F5680" s="1" t="s">
        <v>17278</v>
      </c>
    </row>
    <row r="5681">
      <c r="A5681" s="1">
        <v>50083.0</v>
      </c>
      <c r="B5681" s="1">
        <v>17966.0</v>
      </c>
      <c r="C5681" s="1">
        <v>1.620741636E9</v>
      </c>
      <c r="D5681" s="1">
        <v>1.0</v>
      </c>
      <c r="E5681" s="1" t="b">
        <v>1</v>
      </c>
      <c r="F5681" s="1" t="s">
        <v>19340</v>
      </c>
    </row>
    <row r="5682">
      <c r="A5682" s="1">
        <v>50092.0</v>
      </c>
      <c r="B5682" s="1">
        <v>17732.0</v>
      </c>
      <c r="C5682" s="1">
        <v>1.621165024E9</v>
      </c>
      <c r="D5682" s="1">
        <v>1.0</v>
      </c>
      <c r="E5682" s="1" t="b">
        <v>1</v>
      </c>
      <c r="F5682" s="1" t="s">
        <v>19341</v>
      </c>
    </row>
    <row r="5683">
      <c r="A5683" s="1">
        <v>50092.0</v>
      </c>
      <c r="B5683" s="1">
        <v>18167.0</v>
      </c>
      <c r="C5683" s="1">
        <v>1.62118094E9</v>
      </c>
      <c r="D5683" s="1">
        <v>4.0</v>
      </c>
      <c r="E5683" s="1" t="b">
        <v>0</v>
      </c>
      <c r="F5683" s="1" t="s">
        <v>19342</v>
      </c>
      <c r="G5683" s="1" t="b">
        <v>1</v>
      </c>
    </row>
    <row r="5684">
      <c r="A5684" s="1">
        <v>50092.0</v>
      </c>
      <c r="B5684" s="1">
        <v>18146.0</v>
      </c>
      <c r="C5684" s="1">
        <v>1.621175751E9</v>
      </c>
      <c r="D5684" s="1">
        <v>4.0</v>
      </c>
      <c r="E5684" s="1" t="b">
        <v>0</v>
      </c>
      <c r="F5684" s="1" t="s">
        <v>19343</v>
      </c>
      <c r="G5684" s="1" t="b">
        <v>1</v>
      </c>
    </row>
    <row r="5685">
      <c r="A5685" s="1">
        <v>50092.0</v>
      </c>
      <c r="B5685" s="1">
        <v>18180.0</v>
      </c>
      <c r="C5685" s="1">
        <v>1.621186993E9</v>
      </c>
      <c r="D5685" s="1">
        <v>4.0</v>
      </c>
      <c r="E5685" s="1" t="b">
        <v>0</v>
      </c>
      <c r="F5685" s="1" t="s">
        <v>19344</v>
      </c>
      <c r="G5685" s="1" t="b">
        <v>1</v>
      </c>
    </row>
    <row r="5686">
      <c r="A5686" s="1">
        <v>50092.0</v>
      </c>
      <c r="B5686" s="1">
        <v>18763.0</v>
      </c>
      <c r="C5686" s="1">
        <v>1.621931341E9</v>
      </c>
      <c r="D5686" s="1">
        <v>4.0</v>
      </c>
      <c r="E5686" s="1" t="b">
        <v>0</v>
      </c>
      <c r="F5686" s="1" t="s">
        <v>19345</v>
      </c>
      <c r="G5686" s="1" t="b">
        <v>1</v>
      </c>
    </row>
    <row r="5687">
      <c r="A5687" s="1">
        <v>50092.0</v>
      </c>
      <c r="B5687" s="1">
        <v>18158.0</v>
      </c>
      <c r="C5687" s="1">
        <v>1.6211719E9</v>
      </c>
      <c r="D5687" s="1">
        <v>4.0</v>
      </c>
      <c r="E5687" s="1" t="b">
        <v>0</v>
      </c>
      <c r="F5687" s="1" t="s">
        <v>19346</v>
      </c>
      <c r="G5687" s="1" t="b">
        <v>1</v>
      </c>
    </row>
    <row r="5688">
      <c r="A5688" s="1">
        <v>50092.0</v>
      </c>
      <c r="B5688" s="1">
        <v>16743.0</v>
      </c>
      <c r="C5688" s="1">
        <v>1.624295961E9</v>
      </c>
      <c r="D5688" s="1">
        <v>4.0</v>
      </c>
      <c r="E5688" s="1" t="b">
        <v>0</v>
      </c>
      <c r="F5688" s="1" t="s">
        <v>13986</v>
      </c>
      <c r="G5688" s="1" t="b">
        <v>1</v>
      </c>
    </row>
    <row r="5689">
      <c r="A5689" s="1">
        <v>50092.0</v>
      </c>
      <c r="B5689" s="1">
        <v>20461.0</v>
      </c>
      <c r="C5689" s="1">
        <v>0.0</v>
      </c>
      <c r="D5689" s="1">
        <v>4.0</v>
      </c>
      <c r="E5689" s="1" t="b">
        <v>0</v>
      </c>
      <c r="F5689" s="1" t="s">
        <v>19347</v>
      </c>
    </row>
    <row r="5690">
      <c r="A5690" s="1">
        <v>50092.0</v>
      </c>
      <c r="B5690" s="1">
        <v>18177.0</v>
      </c>
      <c r="C5690" s="1">
        <v>1.621185173E9</v>
      </c>
      <c r="D5690" s="1">
        <v>4.0</v>
      </c>
      <c r="E5690" s="1" t="b">
        <v>0</v>
      </c>
      <c r="F5690" s="1" t="s">
        <v>19348</v>
      </c>
      <c r="G5690" s="1" t="b">
        <v>1</v>
      </c>
    </row>
    <row r="5691">
      <c r="A5691" s="1">
        <v>50092.0</v>
      </c>
      <c r="B5691" s="1">
        <v>18162.0</v>
      </c>
      <c r="C5691" s="1">
        <v>1.621174729E9</v>
      </c>
      <c r="D5691" s="1">
        <v>4.0</v>
      </c>
      <c r="E5691" s="1" t="b">
        <v>0</v>
      </c>
      <c r="F5691" s="1" t="s">
        <v>19349</v>
      </c>
      <c r="G5691" s="1" t="b">
        <v>1</v>
      </c>
    </row>
    <row r="5692">
      <c r="A5692" s="1">
        <v>50092.0</v>
      </c>
      <c r="B5692" s="1">
        <v>19252.0</v>
      </c>
      <c r="C5692" s="1">
        <v>1.62253239E9</v>
      </c>
      <c r="D5692" s="1">
        <v>4.0</v>
      </c>
      <c r="E5692" s="1" t="b">
        <v>0</v>
      </c>
      <c r="F5692" s="1" t="s">
        <v>19350</v>
      </c>
    </row>
    <row r="5693">
      <c r="A5693" s="1">
        <v>50092.0</v>
      </c>
      <c r="B5693" s="1">
        <v>18150.0</v>
      </c>
      <c r="C5693" s="1">
        <v>1.621167103E9</v>
      </c>
      <c r="D5693" s="1">
        <v>4.0</v>
      </c>
      <c r="E5693" s="1" t="b">
        <v>0</v>
      </c>
      <c r="F5693" s="1" t="s">
        <v>19351</v>
      </c>
      <c r="G5693" s="1" t="b">
        <v>1</v>
      </c>
    </row>
    <row r="5694">
      <c r="A5694" s="1">
        <v>50094.0</v>
      </c>
      <c r="B5694" s="1">
        <v>20408.0</v>
      </c>
      <c r="C5694" s="1">
        <v>1.624298763E9</v>
      </c>
      <c r="D5694" s="1">
        <v>4.0</v>
      </c>
      <c r="E5694" s="1" t="b">
        <v>0</v>
      </c>
      <c r="F5694" s="1" t="s">
        <v>19352</v>
      </c>
    </row>
    <row r="5695">
      <c r="A5695" s="1">
        <v>50094.0</v>
      </c>
      <c r="B5695" s="1">
        <v>18919.0</v>
      </c>
      <c r="C5695" s="1">
        <v>1.622182654E9</v>
      </c>
      <c r="D5695" s="1">
        <v>4.0</v>
      </c>
      <c r="E5695" s="1" t="b">
        <v>0</v>
      </c>
      <c r="F5695" s="1" t="s">
        <v>19353</v>
      </c>
    </row>
    <row r="5696">
      <c r="A5696" s="1">
        <v>50094.0</v>
      </c>
      <c r="B5696" s="1">
        <v>19251.0</v>
      </c>
      <c r="C5696" s="1">
        <v>1.622532283E9</v>
      </c>
      <c r="D5696" s="1">
        <v>4.0</v>
      </c>
      <c r="E5696" s="1" t="b">
        <v>0</v>
      </c>
      <c r="F5696" s="1" t="s">
        <v>19354</v>
      </c>
    </row>
    <row r="5697">
      <c r="A5697" s="1">
        <v>50094.0</v>
      </c>
      <c r="B5697" s="1">
        <v>18359.0</v>
      </c>
      <c r="C5697" s="1">
        <v>1.623316074E9</v>
      </c>
      <c r="D5697" s="1">
        <v>4.0</v>
      </c>
      <c r="E5697" s="1" t="b">
        <v>0</v>
      </c>
      <c r="F5697" s="1" t="s">
        <v>17162</v>
      </c>
    </row>
    <row r="5698">
      <c r="A5698" s="1">
        <v>50094.0</v>
      </c>
      <c r="B5698" s="1">
        <v>18896.0</v>
      </c>
      <c r="C5698" s="1">
        <v>1.622111138E9</v>
      </c>
      <c r="D5698" s="1">
        <v>4.0</v>
      </c>
      <c r="E5698" s="1" t="b">
        <v>0</v>
      </c>
      <c r="F5698" s="1" t="s">
        <v>19355</v>
      </c>
    </row>
    <row r="5699">
      <c r="A5699" s="1">
        <v>50094.0</v>
      </c>
      <c r="B5699" s="1">
        <v>19408.0</v>
      </c>
      <c r="C5699" s="1">
        <v>1.622693728E9</v>
      </c>
      <c r="D5699" s="1">
        <v>4.0</v>
      </c>
      <c r="E5699" s="1" t="b">
        <v>0</v>
      </c>
      <c r="F5699" s="1" t="s">
        <v>19356</v>
      </c>
    </row>
    <row r="5700">
      <c r="A5700" s="1">
        <v>50094.0</v>
      </c>
      <c r="B5700" s="1">
        <v>18931.0</v>
      </c>
      <c r="C5700" s="1">
        <v>1.622219989E9</v>
      </c>
      <c r="D5700" s="1">
        <v>4.0</v>
      </c>
      <c r="E5700" s="1" t="b">
        <v>0</v>
      </c>
      <c r="F5700" s="1" t="s">
        <v>16336</v>
      </c>
    </row>
    <row r="5701">
      <c r="A5701" s="1">
        <v>50094.0</v>
      </c>
      <c r="B5701" s="1">
        <v>18530.0</v>
      </c>
      <c r="C5701" s="1">
        <v>1.621687926E9</v>
      </c>
      <c r="D5701" s="1">
        <v>4.0</v>
      </c>
      <c r="E5701" s="1" t="b">
        <v>0</v>
      </c>
      <c r="F5701" s="1" t="s">
        <v>19357</v>
      </c>
    </row>
    <row r="5702">
      <c r="A5702" s="1">
        <v>50094.0</v>
      </c>
      <c r="B5702" s="1">
        <v>20469.0</v>
      </c>
      <c r="C5702" s="1">
        <v>0.0</v>
      </c>
      <c r="D5702" s="1">
        <v>4.0</v>
      </c>
      <c r="E5702" s="1" t="b">
        <v>0</v>
      </c>
      <c r="F5702" s="1" t="s">
        <v>19358</v>
      </c>
    </row>
    <row r="5703">
      <c r="A5703" s="1">
        <v>50094.0</v>
      </c>
      <c r="B5703" s="1">
        <v>18868.0</v>
      </c>
      <c r="C5703" s="1">
        <v>1.622065784E9</v>
      </c>
      <c r="D5703" s="1">
        <v>4.0</v>
      </c>
      <c r="E5703" s="1" t="b">
        <v>0</v>
      </c>
      <c r="F5703" s="1" t="s">
        <v>19359</v>
      </c>
    </row>
    <row r="5704">
      <c r="A5704" s="1">
        <v>50094.0</v>
      </c>
      <c r="B5704" s="1">
        <v>18857.0</v>
      </c>
      <c r="C5704" s="1">
        <v>1.622048556E9</v>
      </c>
      <c r="D5704" s="1">
        <v>4.0</v>
      </c>
      <c r="E5704" s="1" t="b">
        <v>0</v>
      </c>
      <c r="F5704" s="1" t="s">
        <v>19360</v>
      </c>
    </row>
    <row r="5705">
      <c r="A5705" s="1">
        <v>50094.0</v>
      </c>
      <c r="B5705" s="1">
        <v>19189.0</v>
      </c>
      <c r="C5705" s="1">
        <v>1.622490707E9</v>
      </c>
      <c r="D5705" s="1">
        <v>4.0</v>
      </c>
      <c r="E5705" s="1" t="b">
        <v>0</v>
      </c>
      <c r="F5705" s="1" t="s">
        <v>19361</v>
      </c>
    </row>
    <row r="5706">
      <c r="A5706" s="1">
        <v>50094.0</v>
      </c>
      <c r="B5706" s="1">
        <v>19899.0</v>
      </c>
      <c r="C5706" s="1">
        <v>1.623433417E9</v>
      </c>
      <c r="D5706" s="1">
        <v>4.0</v>
      </c>
      <c r="E5706" s="1" t="b">
        <v>0</v>
      </c>
      <c r="F5706" s="1" t="s">
        <v>19362</v>
      </c>
    </row>
    <row r="5707">
      <c r="A5707" s="1">
        <v>50094.0</v>
      </c>
      <c r="B5707" s="1">
        <v>17709.0</v>
      </c>
      <c r="C5707" s="1">
        <v>1.621246788E9</v>
      </c>
      <c r="D5707" s="1">
        <v>1.0</v>
      </c>
      <c r="E5707" s="1" t="b">
        <v>1</v>
      </c>
      <c r="F5707" s="1" t="s">
        <v>18519</v>
      </c>
    </row>
    <row r="5708">
      <c r="A5708" s="1">
        <v>50094.0</v>
      </c>
      <c r="B5708" s="1">
        <v>18731.0</v>
      </c>
      <c r="C5708" s="1">
        <v>1.621882696E9</v>
      </c>
      <c r="D5708" s="1">
        <v>4.0</v>
      </c>
      <c r="E5708" s="1" t="b">
        <v>0</v>
      </c>
      <c r="F5708" s="1" t="s">
        <v>19363</v>
      </c>
    </row>
    <row r="5709">
      <c r="A5709" s="1">
        <v>50094.0</v>
      </c>
      <c r="B5709" s="1">
        <v>18582.0</v>
      </c>
      <c r="C5709" s="1">
        <v>1.621751126E9</v>
      </c>
      <c r="D5709" s="1">
        <v>4.0</v>
      </c>
      <c r="E5709" s="1" t="b">
        <v>0</v>
      </c>
      <c r="F5709" s="1" t="s">
        <v>16938</v>
      </c>
    </row>
    <row r="5710">
      <c r="A5710" s="1">
        <v>50094.0</v>
      </c>
      <c r="B5710" s="1">
        <v>19972.0</v>
      </c>
      <c r="C5710" s="1">
        <v>1.623574384E9</v>
      </c>
      <c r="D5710" s="1">
        <v>4.0</v>
      </c>
      <c r="E5710" s="1" t="b">
        <v>0</v>
      </c>
      <c r="F5710" s="1" t="s">
        <v>19364</v>
      </c>
    </row>
    <row r="5711">
      <c r="A5711" s="1">
        <v>50094.0</v>
      </c>
      <c r="B5711" s="1">
        <v>19059.0</v>
      </c>
      <c r="C5711" s="1">
        <v>1.622345626E9</v>
      </c>
      <c r="D5711" s="1">
        <v>4.0</v>
      </c>
      <c r="E5711" s="1" t="b">
        <v>0</v>
      </c>
      <c r="F5711" s="1" t="s">
        <v>19365</v>
      </c>
    </row>
    <row r="5712">
      <c r="A5712" s="1">
        <v>50094.0</v>
      </c>
      <c r="B5712" s="1">
        <v>18691.0</v>
      </c>
      <c r="C5712" s="1">
        <v>1.621852145E9</v>
      </c>
      <c r="D5712" s="1">
        <v>4.0</v>
      </c>
      <c r="E5712" s="1" t="b">
        <v>0</v>
      </c>
      <c r="F5712" s="1" t="s">
        <v>19366</v>
      </c>
    </row>
    <row r="5713">
      <c r="A5713" s="1">
        <v>50094.0</v>
      </c>
      <c r="B5713" s="1">
        <v>19401.0</v>
      </c>
      <c r="C5713" s="1">
        <v>1.622690645E9</v>
      </c>
      <c r="D5713" s="1">
        <v>4.0</v>
      </c>
      <c r="E5713" s="1" t="b">
        <v>0</v>
      </c>
      <c r="F5713" s="1" t="s">
        <v>19367</v>
      </c>
    </row>
    <row r="5714">
      <c r="A5714" s="1">
        <v>50094.0</v>
      </c>
      <c r="B5714" s="1">
        <v>18989.0</v>
      </c>
      <c r="C5714" s="1">
        <v>1.62221696E9</v>
      </c>
      <c r="D5714" s="1">
        <v>4.0</v>
      </c>
      <c r="E5714" s="1" t="b">
        <v>0</v>
      </c>
      <c r="F5714" s="1" t="s">
        <v>19368</v>
      </c>
    </row>
    <row r="5715">
      <c r="A5715" s="1">
        <v>50094.0</v>
      </c>
      <c r="B5715" s="1">
        <v>18682.0</v>
      </c>
      <c r="C5715" s="1">
        <v>1.621848365E9</v>
      </c>
      <c r="D5715" s="1">
        <v>4.0</v>
      </c>
      <c r="E5715" s="1" t="b">
        <v>0</v>
      </c>
      <c r="F5715" s="1" t="s">
        <v>19369</v>
      </c>
    </row>
    <row r="5716">
      <c r="A5716" s="1">
        <v>50094.0</v>
      </c>
      <c r="B5716" s="1">
        <v>19034.0</v>
      </c>
      <c r="C5716" s="1">
        <v>1.622311154E9</v>
      </c>
      <c r="D5716" s="1">
        <v>4.0</v>
      </c>
      <c r="E5716" s="1" t="b">
        <v>0</v>
      </c>
      <c r="F5716" s="1" t="s">
        <v>19370</v>
      </c>
    </row>
    <row r="5717">
      <c r="A5717" s="1">
        <v>50094.0</v>
      </c>
      <c r="B5717" s="1">
        <v>19069.0</v>
      </c>
      <c r="C5717" s="1">
        <v>1.623335456E9</v>
      </c>
      <c r="D5717" s="1">
        <v>4.0</v>
      </c>
      <c r="E5717" s="1" t="b">
        <v>0</v>
      </c>
      <c r="F5717" s="1" t="s">
        <v>19371</v>
      </c>
    </row>
    <row r="5718">
      <c r="A5718" s="1">
        <v>50094.0</v>
      </c>
      <c r="B5718" s="1">
        <v>19771.0</v>
      </c>
      <c r="C5718" s="1">
        <v>1.623289932E9</v>
      </c>
      <c r="D5718" s="1">
        <v>4.0</v>
      </c>
      <c r="E5718" s="1" t="b">
        <v>0</v>
      </c>
      <c r="F5718" s="1" t="s">
        <v>19372</v>
      </c>
    </row>
    <row r="5719">
      <c r="A5719" s="1">
        <v>50094.0</v>
      </c>
      <c r="B5719" s="1">
        <v>20328.0</v>
      </c>
      <c r="C5719" s="1">
        <v>1.624127272E9</v>
      </c>
      <c r="D5719" s="1">
        <v>4.0</v>
      </c>
      <c r="E5719" s="1" t="b">
        <v>0</v>
      </c>
      <c r="F5719" s="1" t="s">
        <v>19373</v>
      </c>
    </row>
    <row r="5720">
      <c r="A5720" s="1">
        <v>50094.0</v>
      </c>
      <c r="B5720" s="1">
        <v>18642.0</v>
      </c>
      <c r="C5720" s="1">
        <v>1.621794331E9</v>
      </c>
      <c r="D5720" s="1">
        <v>4.0</v>
      </c>
      <c r="E5720" s="1" t="b">
        <v>0</v>
      </c>
      <c r="F5720" s="1" t="s">
        <v>19374</v>
      </c>
    </row>
    <row r="5721">
      <c r="A5721" s="1">
        <v>50094.0</v>
      </c>
      <c r="B5721" s="1">
        <v>18384.0</v>
      </c>
      <c r="C5721" s="1">
        <v>1.621515028E9</v>
      </c>
      <c r="D5721" s="1">
        <v>4.0</v>
      </c>
      <c r="E5721" s="1" t="b">
        <v>0</v>
      </c>
      <c r="F5721" s="1" t="s">
        <v>19375</v>
      </c>
    </row>
    <row r="5722">
      <c r="A5722" s="1">
        <v>50094.0</v>
      </c>
      <c r="B5722" s="1">
        <v>18473.0</v>
      </c>
      <c r="C5722" s="1">
        <v>1.621651621E9</v>
      </c>
      <c r="D5722" s="1">
        <v>4.0</v>
      </c>
      <c r="E5722" s="1" t="b">
        <v>0</v>
      </c>
      <c r="F5722" s="1" t="s">
        <v>19376</v>
      </c>
    </row>
    <row r="5723">
      <c r="A5723" s="1">
        <v>50094.0</v>
      </c>
      <c r="B5723" s="1">
        <v>16860.0</v>
      </c>
      <c r="C5723" s="1">
        <v>1.621297724E9</v>
      </c>
      <c r="D5723" s="1">
        <v>4.0</v>
      </c>
      <c r="E5723" s="1" t="b">
        <v>0</v>
      </c>
      <c r="F5723" s="1" t="s">
        <v>18628</v>
      </c>
    </row>
    <row r="5724">
      <c r="A5724" s="1">
        <v>50094.0</v>
      </c>
      <c r="B5724" s="1">
        <v>19565.0</v>
      </c>
      <c r="C5724" s="1">
        <v>1.622989886E9</v>
      </c>
      <c r="D5724" s="1">
        <v>4.0</v>
      </c>
      <c r="E5724" s="1" t="b">
        <v>0</v>
      </c>
      <c r="F5724" s="1" t="s">
        <v>19377</v>
      </c>
    </row>
    <row r="5725">
      <c r="A5725" s="1">
        <v>50094.0</v>
      </c>
      <c r="B5725" s="1">
        <v>20187.0</v>
      </c>
      <c r="C5725" s="1">
        <v>1.623903191E9</v>
      </c>
      <c r="D5725" s="1">
        <v>4.0</v>
      </c>
      <c r="E5725" s="1" t="b">
        <v>0</v>
      </c>
      <c r="F5725" s="1" t="s">
        <v>19378</v>
      </c>
    </row>
    <row r="5726">
      <c r="A5726" s="1">
        <v>50094.0</v>
      </c>
      <c r="B5726" s="1">
        <v>20076.0</v>
      </c>
      <c r="C5726" s="1">
        <v>1.623745537E9</v>
      </c>
      <c r="D5726" s="1">
        <v>4.0</v>
      </c>
      <c r="E5726" s="1" t="b">
        <v>0</v>
      </c>
      <c r="F5726" s="1" t="s">
        <v>19379</v>
      </c>
    </row>
    <row r="5727">
      <c r="A5727" s="1">
        <v>50094.0</v>
      </c>
      <c r="B5727" s="1">
        <v>18649.0</v>
      </c>
      <c r="C5727" s="1">
        <v>1.621802419E9</v>
      </c>
      <c r="D5727" s="1">
        <v>4.0</v>
      </c>
      <c r="E5727" s="1" t="b">
        <v>0</v>
      </c>
      <c r="F5727" s="1" t="s">
        <v>19380</v>
      </c>
    </row>
    <row r="5728">
      <c r="A5728" s="1">
        <v>50094.0</v>
      </c>
      <c r="B5728" s="1">
        <v>20134.0</v>
      </c>
      <c r="C5728" s="1">
        <v>1.623833207E9</v>
      </c>
      <c r="D5728" s="1">
        <v>4.0</v>
      </c>
      <c r="E5728" s="1" t="b">
        <v>0</v>
      </c>
      <c r="F5728" s="1" t="s">
        <v>19381</v>
      </c>
    </row>
    <row r="5729">
      <c r="A5729" s="1">
        <v>50094.0</v>
      </c>
      <c r="B5729" s="1">
        <v>20192.0</v>
      </c>
      <c r="C5729" s="1">
        <v>1.623910473E9</v>
      </c>
      <c r="D5729" s="1">
        <v>4.0</v>
      </c>
      <c r="E5729" s="1" t="b">
        <v>0</v>
      </c>
      <c r="F5729" s="1" t="s">
        <v>19382</v>
      </c>
    </row>
    <row r="5730">
      <c r="A5730" s="1">
        <v>50094.0</v>
      </c>
      <c r="B5730" s="1">
        <v>20056.0</v>
      </c>
      <c r="C5730" s="1">
        <v>1.62369482E9</v>
      </c>
      <c r="D5730" s="1">
        <v>4.0</v>
      </c>
      <c r="E5730" s="1" t="b">
        <v>0</v>
      </c>
      <c r="F5730" s="1" t="s">
        <v>19383</v>
      </c>
    </row>
    <row r="5731">
      <c r="A5731" s="1">
        <v>50094.0</v>
      </c>
      <c r="B5731" s="1">
        <v>20106.0</v>
      </c>
      <c r="C5731" s="1">
        <v>1.623776457E9</v>
      </c>
      <c r="D5731" s="1">
        <v>4.0</v>
      </c>
      <c r="E5731" s="1" t="b">
        <v>0</v>
      </c>
      <c r="F5731" s="1" t="s">
        <v>19384</v>
      </c>
    </row>
    <row r="5732">
      <c r="A5732" s="1">
        <v>50094.0</v>
      </c>
      <c r="B5732" s="1">
        <v>20448.0</v>
      </c>
      <c r="C5732" s="1">
        <v>1.624420305E9</v>
      </c>
      <c r="D5732" s="1">
        <v>4.0</v>
      </c>
      <c r="E5732" s="1" t="b">
        <v>0</v>
      </c>
      <c r="F5732" s="1" t="s">
        <v>19385</v>
      </c>
    </row>
    <row r="5733">
      <c r="A5733" s="1">
        <v>50094.0</v>
      </c>
      <c r="B5733" s="1">
        <v>18674.0</v>
      </c>
      <c r="C5733" s="1">
        <v>1.621836518E9</v>
      </c>
      <c r="D5733" s="1">
        <v>4.0</v>
      </c>
      <c r="E5733" s="1" t="b">
        <v>0</v>
      </c>
      <c r="F5733" s="1" t="s">
        <v>18784</v>
      </c>
    </row>
    <row r="5734">
      <c r="A5734" s="1">
        <v>50094.0</v>
      </c>
      <c r="B5734" s="1">
        <v>18952.0</v>
      </c>
      <c r="C5734" s="1">
        <v>1.622219994E9</v>
      </c>
      <c r="D5734" s="1">
        <v>4.0</v>
      </c>
      <c r="E5734" s="1" t="b">
        <v>0</v>
      </c>
      <c r="F5734" s="1" t="s">
        <v>19386</v>
      </c>
    </row>
    <row r="5735">
      <c r="A5735" s="1">
        <v>50094.0</v>
      </c>
      <c r="B5735" s="1">
        <v>18829.0</v>
      </c>
      <c r="C5735" s="1">
        <v>1.622026353E9</v>
      </c>
      <c r="D5735" s="1">
        <v>4.0</v>
      </c>
      <c r="E5735" s="1" t="b">
        <v>0</v>
      </c>
      <c r="F5735" s="1" t="s">
        <v>19387</v>
      </c>
    </row>
    <row r="5736">
      <c r="A5736" s="1">
        <v>50094.0</v>
      </c>
      <c r="B5736" s="1">
        <v>19058.0</v>
      </c>
      <c r="C5736" s="1">
        <v>1.622344383E9</v>
      </c>
      <c r="D5736" s="1">
        <v>4.0</v>
      </c>
      <c r="E5736" s="1" t="b">
        <v>0</v>
      </c>
      <c r="F5736" s="1" t="s">
        <v>19388</v>
      </c>
    </row>
    <row r="5737">
      <c r="A5737" s="1">
        <v>50094.0</v>
      </c>
      <c r="B5737" s="1">
        <v>20296.0</v>
      </c>
      <c r="C5737" s="1">
        <v>1.624077237E9</v>
      </c>
      <c r="D5737" s="1">
        <v>4.0</v>
      </c>
      <c r="E5737" s="1" t="b">
        <v>0</v>
      </c>
      <c r="F5737" s="1" t="s">
        <v>19389</v>
      </c>
    </row>
    <row r="5738">
      <c r="A5738" s="1">
        <v>50094.0</v>
      </c>
      <c r="B5738" s="1">
        <v>20367.0</v>
      </c>
      <c r="C5738" s="1">
        <v>1.624219661E9</v>
      </c>
      <c r="D5738" s="1">
        <v>4.0</v>
      </c>
      <c r="E5738" s="1" t="b">
        <v>0</v>
      </c>
      <c r="F5738" s="1" t="s">
        <v>19390</v>
      </c>
    </row>
    <row r="5739">
      <c r="A5739" s="1">
        <v>50094.0</v>
      </c>
      <c r="B5739" s="1">
        <v>20392.0</v>
      </c>
      <c r="C5739" s="1">
        <v>1.624295216E9</v>
      </c>
      <c r="D5739" s="1">
        <v>4.0</v>
      </c>
      <c r="E5739" s="1" t="b">
        <v>0</v>
      </c>
      <c r="F5739" s="1" t="s">
        <v>19391</v>
      </c>
    </row>
    <row r="5740">
      <c r="A5740" s="1">
        <v>50094.0</v>
      </c>
      <c r="B5740" s="1">
        <v>18620.0</v>
      </c>
      <c r="C5740" s="1">
        <v>1.621780749E9</v>
      </c>
      <c r="D5740" s="1">
        <v>4.0</v>
      </c>
      <c r="E5740" s="1" t="b">
        <v>0</v>
      </c>
      <c r="F5740" s="1" t="s">
        <v>19392</v>
      </c>
    </row>
    <row r="5741">
      <c r="A5741" s="1">
        <v>50094.0</v>
      </c>
      <c r="B5741" s="1">
        <v>20032.0</v>
      </c>
      <c r="C5741" s="1">
        <v>1.623669314E9</v>
      </c>
      <c r="D5741" s="1">
        <v>4.0</v>
      </c>
      <c r="E5741" s="1" t="b">
        <v>0</v>
      </c>
      <c r="F5741" s="1" t="s">
        <v>19393</v>
      </c>
    </row>
    <row r="5742">
      <c r="A5742" s="1">
        <v>50094.0</v>
      </c>
      <c r="B5742" s="1">
        <v>18478.0</v>
      </c>
      <c r="C5742" s="1">
        <v>1.621655109E9</v>
      </c>
      <c r="D5742" s="1">
        <v>4.0</v>
      </c>
      <c r="E5742" s="1" t="b">
        <v>0</v>
      </c>
      <c r="F5742" s="1" t="s">
        <v>19394</v>
      </c>
    </row>
    <row r="5743">
      <c r="A5743" s="1">
        <v>50094.0</v>
      </c>
      <c r="B5743" s="1">
        <v>18923.0</v>
      </c>
      <c r="C5743" s="1">
        <v>1.622146414E9</v>
      </c>
      <c r="D5743" s="1">
        <v>4.0</v>
      </c>
      <c r="E5743" s="1" t="b">
        <v>0</v>
      </c>
      <c r="F5743" s="1" t="s">
        <v>19395</v>
      </c>
    </row>
    <row r="5744">
      <c r="A5744" s="1">
        <v>50094.0</v>
      </c>
      <c r="B5744" s="1">
        <v>18849.0</v>
      </c>
      <c r="C5744" s="1">
        <v>1.622036982E9</v>
      </c>
      <c r="D5744" s="1">
        <v>4.0</v>
      </c>
      <c r="E5744" s="1" t="b">
        <v>0</v>
      </c>
      <c r="F5744" s="1" t="s">
        <v>19396</v>
      </c>
    </row>
    <row r="5745">
      <c r="A5745" s="1">
        <v>50094.0</v>
      </c>
      <c r="B5745" s="1">
        <v>18826.0</v>
      </c>
      <c r="C5745" s="1">
        <v>1.622013782E9</v>
      </c>
      <c r="D5745" s="1">
        <v>4.0</v>
      </c>
      <c r="E5745" s="1" t="b">
        <v>0</v>
      </c>
      <c r="F5745" s="1" t="s">
        <v>19397</v>
      </c>
    </row>
    <row r="5746">
      <c r="A5746" s="1">
        <v>50094.0</v>
      </c>
      <c r="B5746" s="1">
        <v>18587.0</v>
      </c>
      <c r="C5746" s="1">
        <v>1.621749077E9</v>
      </c>
      <c r="D5746" s="1">
        <v>4.0</v>
      </c>
      <c r="E5746" s="1" t="b">
        <v>0</v>
      </c>
      <c r="F5746" s="1" t="s">
        <v>19398</v>
      </c>
    </row>
    <row r="5747">
      <c r="A5747" s="1">
        <v>50094.0</v>
      </c>
      <c r="B5747" s="1">
        <v>18845.0</v>
      </c>
      <c r="C5747" s="1">
        <v>1.622031345E9</v>
      </c>
      <c r="D5747" s="1">
        <v>4.0</v>
      </c>
      <c r="E5747" s="1" t="b">
        <v>0</v>
      </c>
      <c r="F5747" s="1" t="s">
        <v>19399</v>
      </c>
    </row>
    <row r="5748">
      <c r="A5748" s="1">
        <v>50094.0</v>
      </c>
      <c r="B5748" s="1">
        <v>19153.0</v>
      </c>
      <c r="C5748" s="1">
        <v>1.622446508E9</v>
      </c>
      <c r="D5748" s="1">
        <v>4.0</v>
      </c>
      <c r="E5748" s="1" t="b">
        <v>0</v>
      </c>
      <c r="F5748" s="1" t="s">
        <v>19400</v>
      </c>
    </row>
    <row r="5749">
      <c r="A5749" s="1">
        <v>50094.0</v>
      </c>
      <c r="B5749" s="1">
        <v>17360.0</v>
      </c>
      <c r="C5749" s="1">
        <v>1.621868999E9</v>
      </c>
      <c r="D5749" s="1">
        <v>9.0</v>
      </c>
      <c r="E5749" s="1" t="b">
        <v>0</v>
      </c>
      <c r="F5749" s="1" t="s">
        <v>19305</v>
      </c>
    </row>
    <row r="5750">
      <c r="A5750" s="1">
        <v>50094.0</v>
      </c>
      <c r="B5750" s="1">
        <v>18477.0</v>
      </c>
      <c r="C5750" s="1">
        <v>1.621654523E9</v>
      </c>
      <c r="D5750" s="1">
        <v>4.0</v>
      </c>
      <c r="E5750" s="1" t="b">
        <v>0</v>
      </c>
      <c r="F5750" s="1" t="s">
        <v>19401</v>
      </c>
    </row>
    <row r="5751">
      <c r="A5751" s="1">
        <v>50094.0</v>
      </c>
      <c r="B5751" s="1">
        <v>19781.0</v>
      </c>
      <c r="C5751" s="1">
        <v>1.623301023E9</v>
      </c>
      <c r="D5751" s="1">
        <v>4.0</v>
      </c>
      <c r="E5751" s="1" t="b">
        <v>0</v>
      </c>
      <c r="F5751" s="1" t="s">
        <v>19402</v>
      </c>
    </row>
    <row r="5752">
      <c r="A5752" s="1">
        <v>50094.0</v>
      </c>
      <c r="B5752" s="1">
        <v>18902.0</v>
      </c>
      <c r="C5752" s="1">
        <v>1.62211512E9</v>
      </c>
      <c r="D5752" s="1">
        <v>4.0</v>
      </c>
      <c r="E5752" s="1" t="b">
        <v>0</v>
      </c>
      <c r="F5752" s="1" t="s">
        <v>19403</v>
      </c>
    </row>
    <row r="5753">
      <c r="A5753" s="1">
        <v>50094.0</v>
      </c>
      <c r="B5753" s="1">
        <v>19444.0</v>
      </c>
      <c r="C5753" s="1">
        <v>1.622719105E9</v>
      </c>
      <c r="D5753" s="1">
        <v>4.0</v>
      </c>
      <c r="E5753" s="1" t="b">
        <v>0</v>
      </c>
      <c r="F5753" s="1" t="s">
        <v>16856</v>
      </c>
    </row>
    <row r="5754">
      <c r="A5754" s="1">
        <v>50094.0</v>
      </c>
      <c r="B5754" s="1">
        <v>18735.0</v>
      </c>
      <c r="C5754" s="1">
        <v>1.621886713E9</v>
      </c>
      <c r="D5754" s="1">
        <v>4.0</v>
      </c>
      <c r="E5754" s="1" t="b">
        <v>0</v>
      </c>
      <c r="F5754" s="1" t="s">
        <v>19404</v>
      </c>
    </row>
    <row r="5755">
      <c r="A5755" s="1">
        <v>50094.0</v>
      </c>
      <c r="B5755" s="1">
        <v>20229.0</v>
      </c>
      <c r="C5755" s="1">
        <v>1.623945038E9</v>
      </c>
      <c r="D5755" s="1">
        <v>4.0</v>
      </c>
      <c r="E5755" s="1" t="b">
        <v>0</v>
      </c>
      <c r="F5755" s="1" t="s">
        <v>19405</v>
      </c>
    </row>
    <row r="5756">
      <c r="A5756" s="1">
        <v>50094.0</v>
      </c>
      <c r="B5756" s="1">
        <v>19438.0</v>
      </c>
      <c r="C5756" s="1">
        <v>1.622716509E9</v>
      </c>
      <c r="D5756" s="1">
        <v>4.0</v>
      </c>
      <c r="E5756" s="1" t="b">
        <v>0</v>
      </c>
      <c r="F5756" s="1" t="s">
        <v>19406</v>
      </c>
    </row>
    <row r="5757">
      <c r="A5757" s="1">
        <v>50094.0</v>
      </c>
      <c r="B5757" s="1">
        <v>18376.0</v>
      </c>
      <c r="C5757" s="1">
        <v>1.621515017E9</v>
      </c>
      <c r="D5757" s="1">
        <v>4.0</v>
      </c>
      <c r="E5757" s="1" t="b">
        <v>0</v>
      </c>
      <c r="F5757" s="1" t="s">
        <v>19407</v>
      </c>
    </row>
    <row r="5758">
      <c r="A5758" s="1">
        <v>50094.0</v>
      </c>
      <c r="B5758" s="1">
        <v>18569.0</v>
      </c>
      <c r="C5758" s="1">
        <v>1.621737276E9</v>
      </c>
      <c r="D5758" s="1">
        <v>4.0</v>
      </c>
      <c r="E5758" s="1" t="b">
        <v>0</v>
      </c>
      <c r="F5758" s="1" t="s">
        <v>19408</v>
      </c>
    </row>
    <row r="5759">
      <c r="A5759" s="1">
        <v>50094.0</v>
      </c>
      <c r="B5759" s="1">
        <v>20073.0</v>
      </c>
      <c r="C5759" s="1">
        <v>1.62374758E9</v>
      </c>
      <c r="D5759" s="1">
        <v>4.0</v>
      </c>
      <c r="E5759" s="1" t="b">
        <v>0</v>
      </c>
      <c r="F5759" s="1" t="s">
        <v>19409</v>
      </c>
    </row>
    <row r="5760">
      <c r="A5760" s="1">
        <v>50094.0</v>
      </c>
      <c r="B5760" s="1">
        <v>18777.0</v>
      </c>
      <c r="C5760" s="1">
        <v>1.621947194E9</v>
      </c>
      <c r="D5760" s="1">
        <v>4.0</v>
      </c>
      <c r="E5760" s="1" t="b">
        <v>0</v>
      </c>
      <c r="F5760" s="1" t="s">
        <v>19410</v>
      </c>
    </row>
    <row r="5761">
      <c r="A5761" s="1">
        <v>50094.0</v>
      </c>
      <c r="B5761" s="1">
        <v>19075.0</v>
      </c>
      <c r="C5761" s="1">
        <v>1.622358482E9</v>
      </c>
      <c r="D5761" s="1">
        <v>4.0</v>
      </c>
      <c r="E5761" s="1" t="b">
        <v>0</v>
      </c>
      <c r="F5761" s="1" t="s">
        <v>19411</v>
      </c>
    </row>
    <row r="5762">
      <c r="A5762" s="1">
        <v>50094.0</v>
      </c>
      <c r="B5762" s="1">
        <v>19490.0</v>
      </c>
      <c r="C5762" s="1">
        <v>1.622797184E9</v>
      </c>
      <c r="D5762" s="1">
        <v>4.0</v>
      </c>
      <c r="E5762" s="1" t="b">
        <v>0</v>
      </c>
      <c r="F5762" s="1" t="s">
        <v>19412</v>
      </c>
    </row>
    <row r="5763">
      <c r="A5763" s="1">
        <v>50094.0</v>
      </c>
      <c r="B5763" s="1">
        <v>18758.0</v>
      </c>
      <c r="C5763" s="1">
        <v>1.621928613E9</v>
      </c>
      <c r="D5763" s="1">
        <v>4.0</v>
      </c>
      <c r="E5763" s="1" t="b">
        <v>0</v>
      </c>
      <c r="F5763" s="1" t="s">
        <v>19413</v>
      </c>
    </row>
    <row r="5764">
      <c r="A5764" s="1">
        <v>50094.0</v>
      </c>
      <c r="B5764" s="1">
        <v>18773.0</v>
      </c>
      <c r="C5764" s="1">
        <v>1.621948932E9</v>
      </c>
      <c r="D5764" s="1">
        <v>4.0</v>
      </c>
      <c r="E5764" s="1" t="b">
        <v>0</v>
      </c>
      <c r="F5764" s="1" t="s">
        <v>19414</v>
      </c>
    </row>
    <row r="5765">
      <c r="A5765" s="1">
        <v>50094.0</v>
      </c>
      <c r="B5765" s="1">
        <v>16658.0</v>
      </c>
      <c r="C5765" s="1">
        <v>1.621268829E9</v>
      </c>
      <c r="D5765" s="1">
        <v>4.0</v>
      </c>
      <c r="E5765" s="1" t="b">
        <v>0</v>
      </c>
      <c r="F5765" s="1" t="s">
        <v>18663</v>
      </c>
    </row>
    <row r="5766">
      <c r="A5766" s="1">
        <v>50094.0</v>
      </c>
      <c r="B5766" s="1">
        <v>17970.0</v>
      </c>
      <c r="C5766" s="1">
        <v>1.623394051E9</v>
      </c>
      <c r="D5766" s="1">
        <v>4.0</v>
      </c>
      <c r="E5766" s="1" t="b">
        <v>0</v>
      </c>
      <c r="F5766" s="1" t="s">
        <v>15406</v>
      </c>
    </row>
    <row r="5767">
      <c r="A5767" s="1">
        <v>50094.0</v>
      </c>
      <c r="B5767" s="1">
        <v>19332.0</v>
      </c>
      <c r="C5767" s="1">
        <v>1.622614124E9</v>
      </c>
      <c r="D5767" s="1">
        <v>4.0</v>
      </c>
      <c r="E5767" s="1" t="b">
        <v>0</v>
      </c>
      <c r="F5767" s="1" t="s">
        <v>19415</v>
      </c>
    </row>
    <row r="5768">
      <c r="A5768" s="1">
        <v>50094.0</v>
      </c>
      <c r="B5768" s="1">
        <v>16525.0</v>
      </c>
      <c r="C5768" s="1">
        <v>1.621253329E9</v>
      </c>
      <c r="D5768" s="1">
        <v>4.0</v>
      </c>
      <c r="E5768" s="1" t="b">
        <v>0</v>
      </c>
      <c r="F5768" s="1" t="s">
        <v>4561</v>
      </c>
    </row>
    <row r="5769">
      <c r="A5769" s="1">
        <v>50094.0</v>
      </c>
      <c r="B5769" s="1">
        <v>18877.0</v>
      </c>
      <c r="C5769" s="1">
        <v>1.622137447E9</v>
      </c>
      <c r="D5769" s="1">
        <v>4.0</v>
      </c>
      <c r="E5769" s="1" t="b">
        <v>0</v>
      </c>
      <c r="F5769" s="1" t="s">
        <v>19416</v>
      </c>
    </row>
    <row r="5770">
      <c r="A5770" s="1">
        <v>50094.0</v>
      </c>
      <c r="B5770" s="1">
        <v>18699.0</v>
      </c>
      <c r="C5770" s="1">
        <v>1.621857879E9</v>
      </c>
      <c r="D5770" s="1">
        <v>9.0</v>
      </c>
      <c r="E5770" s="1" t="b">
        <v>0</v>
      </c>
      <c r="F5770" s="1" t="s">
        <v>19417</v>
      </c>
    </row>
    <row r="5771">
      <c r="A5771" s="1">
        <v>50094.0</v>
      </c>
      <c r="B5771" s="1">
        <v>20140.0</v>
      </c>
      <c r="C5771" s="1">
        <v>1.623828849E9</v>
      </c>
      <c r="D5771" s="1">
        <v>4.0</v>
      </c>
      <c r="E5771" s="1" t="b">
        <v>0</v>
      </c>
      <c r="F5771" s="1" t="s">
        <v>19418</v>
      </c>
    </row>
    <row r="5772">
      <c r="A5772" s="1">
        <v>50094.0</v>
      </c>
      <c r="B5772" s="1">
        <v>19174.0</v>
      </c>
      <c r="C5772" s="1">
        <v>1.622457804E9</v>
      </c>
      <c r="D5772" s="1">
        <v>4.0</v>
      </c>
      <c r="E5772" s="1" t="b">
        <v>0</v>
      </c>
      <c r="F5772" s="1" t="s">
        <v>19419</v>
      </c>
    </row>
    <row r="5773">
      <c r="A5773" s="1">
        <v>50094.0</v>
      </c>
      <c r="B5773" s="1">
        <v>19043.0</v>
      </c>
      <c r="C5773" s="1">
        <v>1.622304584E9</v>
      </c>
      <c r="D5773" s="1">
        <v>4.0</v>
      </c>
      <c r="E5773" s="1" t="b">
        <v>0</v>
      </c>
      <c r="F5773" s="1" t="s">
        <v>19420</v>
      </c>
    </row>
    <row r="5774">
      <c r="A5774" s="1">
        <v>50094.0</v>
      </c>
      <c r="B5774" s="1">
        <v>19328.0</v>
      </c>
      <c r="C5774" s="1">
        <v>1.622611197E9</v>
      </c>
      <c r="D5774" s="1">
        <v>4.0</v>
      </c>
      <c r="E5774" s="1" t="b">
        <v>0</v>
      </c>
      <c r="F5774" s="1" t="s">
        <v>19421</v>
      </c>
    </row>
    <row r="5775">
      <c r="A5775" s="1">
        <v>50094.0</v>
      </c>
      <c r="B5775" s="1">
        <v>18879.0</v>
      </c>
      <c r="C5775" s="1">
        <v>1.622091226E9</v>
      </c>
      <c r="D5775" s="1">
        <v>4.0</v>
      </c>
      <c r="E5775" s="1" t="b">
        <v>0</v>
      </c>
      <c r="F5775" s="1" t="s">
        <v>19422</v>
      </c>
    </row>
    <row r="5776">
      <c r="A5776" s="1">
        <v>50094.0</v>
      </c>
      <c r="B5776" s="1">
        <v>20085.0</v>
      </c>
      <c r="C5776" s="1">
        <v>1.623750728E9</v>
      </c>
      <c r="D5776" s="1">
        <v>4.0</v>
      </c>
      <c r="E5776" s="1" t="b">
        <v>0</v>
      </c>
      <c r="F5776" s="1" t="s">
        <v>19423</v>
      </c>
    </row>
    <row r="5777">
      <c r="A5777" s="1">
        <v>50094.0</v>
      </c>
      <c r="B5777" s="1">
        <v>16743.0</v>
      </c>
      <c r="C5777" s="1">
        <v>1.623427034E9</v>
      </c>
      <c r="D5777" s="1">
        <v>4.0</v>
      </c>
      <c r="E5777" s="1" t="b">
        <v>0</v>
      </c>
      <c r="F5777" s="1" t="s">
        <v>13986</v>
      </c>
      <c r="G5777" s="1" t="b">
        <v>1</v>
      </c>
    </row>
    <row r="5778">
      <c r="A5778" s="1">
        <v>50094.0</v>
      </c>
      <c r="B5778" s="1">
        <v>18697.0</v>
      </c>
      <c r="C5778" s="1">
        <v>1.621857132E9</v>
      </c>
      <c r="D5778" s="1">
        <v>4.0</v>
      </c>
      <c r="E5778" s="1" t="b">
        <v>0</v>
      </c>
      <c r="F5778" s="1" t="s">
        <v>19424</v>
      </c>
    </row>
    <row r="5779">
      <c r="A5779" s="1">
        <v>50104.0</v>
      </c>
      <c r="B5779" s="1">
        <v>19922.0</v>
      </c>
      <c r="C5779" s="1">
        <v>1.623496901E9</v>
      </c>
      <c r="D5779" s="1">
        <v>4.0</v>
      </c>
      <c r="E5779" s="1" t="b">
        <v>0</v>
      </c>
      <c r="F5779" s="1" t="s">
        <v>19425</v>
      </c>
    </row>
    <row r="5780">
      <c r="A5780" s="1">
        <v>50104.0</v>
      </c>
      <c r="B5780" s="1">
        <v>20042.0</v>
      </c>
      <c r="C5780" s="1">
        <v>1.623676386E9</v>
      </c>
      <c r="D5780" s="1">
        <v>4.0</v>
      </c>
      <c r="E5780" s="1" t="b">
        <v>0</v>
      </c>
      <c r="F5780" s="1" t="s">
        <v>19426</v>
      </c>
    </row>
    <row r="5781">
      <c r="A5781" s="1">
        <v>50104.0</v>
      </c>
      <c r="B5781" s="1">
        <v>19999.0</v>
      </c>
      <c r="C5781" s="1">
        <v>1.62360675E9</v>
      </c>
      <c r="D5781" s="1">
        <v>4.0</v>
      </c>
      <c r="E5781" s="1" t="b">
        <v>0</v>
      </c>
      <c r="F5781" s="1" t="s">
        <v>19427</v>
      </c>
    </row>
    <row r="5782">
      <c r="A5782" s="1">
        <v>50104.0</v>
      </c>
      <c r="B5782" s="1">
        <v>20118.0</v>
      </c>
      <c r="C5782" s="1">
        <v>1.623816058E9</v>
      </c>
      <c r="D5782" s="1">
        <v>4.0</v>
      </c>
      <c r="E5782" s="1" t="b">
        <v>0</v>
      </c>
      <c r="F5782" s="1" t="s">
        <v>19428</v>
      </c>
    </row>
    <row r="5783">
      <c r="A5783" s="1">
        <v>50104.0</v>
      </c>
      <c r="B5783" s="1">
        <v>20422.0</v>
      </c>
      <c r="C5783" s="1">
        <v>1.624343087E9</v>
      </c>
      <c r="D5783" s="1">
        <v>4.0</v>
      </c>
      <c r="E5783" s="1" t="b">
        <v>0</v>
      </c>
      <c r="F5783" s="1" t="s">
        <v>15154</v>
      </c>
    </row>
    <row r="5784">
      <c r="A5784" s="1">
        <v>50104.0</v>
      </c>
      <c r="B5784" s="1">
        <v>20019.0</v>
      </c>
      <c r="C5784" s="1">
        <v>1.623648104E9</v>
      </c>
      <c r="D5784" s="1">
        <v>4.0</v>
      </c>
      <c r="E5784" s="1" t="b">
        <v>0</v>
      </c>
      <c r="F5784" s="1" t="s">
        <v>19429</v>
      </c>
    </row>
    <row r="5785">
      <c r="A5785" s="1">
        <v>50104.0</v>
      </c>
      <c r="B5785" s="1">
        <v>16974.0</v>
      </c>
      <c r="C5785" s="1">
        <v>1.621261334E9</v>
      </c>
      <c r="D5785" s="1">
        <v>1.0</v>
      </c>
      <c r="E5785" s="1" t="b">
        <v>1</v>
      </c>
      <c r="F5785" s="1" t="s">
        <v>18561</v>
      </c>
      <c r="G5785" s="1" t="b">
        <v>1</v>
      </c>
    </row>
    <row r="5786">
      <c r="A5786" s="1">
        <v>50104.0</v>
      </c>
      <c r="B5786" s="1">
        <v>20124.0</v>
      </c>
      <c r="C5786" s="1">
        <v>1.623821205E9</v>
      </c>
      <c r="D5786" s="1">
        <v>4.0</v>
      </c>
      <c r="E5786" s="1" t="b">
        <v>0</v>
      </c>
      <c r="F5786" s="1" t="s">
        <v>19430</v>
      </c>
    </row>
    <row r="5787">
      <c r="A5787" s="1">
        <v>50104.0</v>
      </c>
      <c r="B5787" s="1">
        <v>19614.0</v>
      </c>
      <c r="C5787" s="1">
        <v>1.623065125E9</v>
      </c>
      <c r="D5787" s="1">
        <v>4.0</v>
      </c>
      <c r="E5787" s="1" t="b">
        <v>0</v>
      </c>
      <c r="F5787" s="1" t="s">
        <v>19431</v>
      </c>
    </row>
    <row r="5788">
      <c r="A5788" s="1">
        <v>50104.0</v>
      </c>
      <c r="B5788" s="1">
        <v>19803.0</v>
      </c>
      <c r="C5788" s="1">
        <v>1.62332423E9</v>
      </c>
      <c r="D5788" s="1">
        <v>4.0</v>
      </c>
      <c r="E5788" s="1" t="b">
        <v>0</v>
      </c>
      <c r="F5788" s="1" t="s">
        <v>14677</v>
      </c>
    </row>
    <row r="5789">
      <c r="A5789" s="1">
        <v>50104.0</v>
      </c>
      <c r="B5789" s="1">
        <v>19253.0</v>
      </c>
      <c r="C5789" s="1">
        <v>1.62253338E9</v>
      </c>
      <c r="D5789" s="1">
        <v>4.0</v>
      </c>
      <c r="E5789" s="1" t="b">
        <v>0</v>
      </c>
      <c r="F5789" s="1" t="s">
        <v>19432</v>
      </c>
      <c r="G5789" s="1" t="b">
        <v>1</v>
      </c>
    </row>
    <row r="5790">
      <c r="A5790" s="1">
        <v>50104.0</v>
      </c>
      <c r="B5790" s="1">
        <v>19967.0</v>
      </c>
      <c r="C5790" s="1">
        <v>1.624124776E9</v>
      </c>
      <c r="D5790" s="1">
        <v>9.0</v>
      </c>
      <c r="E5790" s="1" t="b">
        <v>0</v>
      </c>
      <c r="F5790" s="1" t="s">
        <v>17055</v>
      </c>
    </row>
    <row r="5791">
      <c r="A5791" s="1">
        <v>50104.0</v>
      </c>
      <c r="B5791" s="1">
        <v>19620.0</v>
      </c>
      <c r="C5791" s="1">
        <v>1.623154721E9</v>
      </c>
      <c r="D5791" s="1">
        <v>4.0</v>
      </c>
      <c r="E5791" s="1" t="b">
        <v>0</v>
      </c>
      <c r="F5791" s="1" t="s">
        <v>19433</v>
      </c>
    </row>
    <row r="5792">
      <c r="A5792" s="1">
        <v>50104.0</v>
      </c>
      <c r="B5792" s="1">
        <v>19753.0</v>
      </c>
      <c r="C5792" s="1">
        <v>1.623242315E9</v>
      </c>
      <c r="D5792" s="1">
        <v>4.0</v>
      </c>
      <c r="E5792" s="1" t="b">
        <v>0</v>
      </c>
      <c r="F5792" s="1" t="s">
        <v>19434</v>
      </c>
    </row>
    <row r="5793">
      <c r="A5793" s="1">
        <v>50104.0</v>
      </c>
      <c r="B5793" s="1">
        <v>19909.0</v>
      </c>
      <c r="C5793" s="1">
        <v>1.623470322E9</v>
      </c>
      <c r="D5793" s="1">
        <v>4.0</v>
      </c>
      <c r="E5793" s="1" t="b">
        <v>0</v>
      </c>
      <c r="F5793" s="1" t="s">
        <v>19435</v>
      </c>
    </row>
    <row r="5794">
      <c r="A5794" s="1">
        <v>50104.0</v>
      </c>
      <c r="B5794" s="1">
        <v>20230.0</v>
      </c>
      <c r="C5794" s="1">
        <v>1.623944814E9</v>
      </c>
      <c r="D5794" s="1">
        <v>4.0</v>
      </c>
      <c r="E5794" s="1" t="b">
        <v>0</v>
      </c>
      <c r="F5794" s="1" t="s">
        <v>19436</v>
      </c>
    </row>
    <row r="5795">
      <c r="A5795" s="1">
        <v>50104.0</v>
      </c>
      <c r="B5795" s="1">
        <v>20093.0</v>
      </c>
      <c r="C5795" s="1">
        <v>1.623763104E9</v>
      </c>
      <c r="D5795" s="1">
        <v>4.0</v>
      </c>
      <c r="E5795" s="1" t="b">
        <v>0</v>
      </c>
      <c r="F5795" s="1" t="s">
        <v>19437</v>
      </c>
    </row>
    <row r="5796">
      <c r="A5796" s="1">
        <v>50104.0</v>
      </c>
      <c r="B5796" s="1">
        <v>19550.0</v>
      </c>
      <c r="C5796" s="1">
        <v>1.622990068E9</v>
      </c>
      <c r="D5796" s="1">
        <v>4.0</v>
      </c>
      <c r="E5796" s="1" t="b">
        <v>0</v>
      </c>
      <c r="F5796" s="1" t="s">
        <v>15258</v>
      </c>
    </row>
    <row r="5797">
      <c r="A5797" s="1">
        <v>50104.0</v>
      </c>
      <c r="B5797" s="1">
        <v>20478.0</v>
      </c>
      <c r="C5797" s="1">
        <v>0.0</v>
      </c>
      <c r="D5797" s="1">
        <v>4.0</v>
      </c>
      <c r="E5797" s="1" t="b">
        <v>0</v>
      </c>
      <c r="F5797" s="1" t="s">
        <v>19438</v>
      </c>
    </row>
    <row r="5798">
      <c r="A5798" s="1">
        <v>50104.0</v>
      </c>
      <c r="B5798" s="1">
        <v>19345.0</v>
      </c>
      <c r="C5798" s="1">
        <v>1.622695092E9</v>
      </c>
      <c r="D5798" s="1">
        <v>4.0</v>
      </c>
      <c r="E5798" s="1" t="b">
        <v>0</v>
      </c>
      <c r="F5798" s="1" t="s">
        <v>19439</v>
      </c>
    </row>
    <row r="5799">
      <c r="A5799" s="1">
        <v>50104.0</v>
      </c>
      <c r="B5799" s="1">
        <v>19598.0</v>
      </c>
      <c r="C5799" s="1">
        <v>1.623234176E9</v>
      </c>
      <c r="D5799" s="1">
        <v>4.0</v>
      </c>
      <c r="E5799" s="1" t="b">
        <v>0</v>
      </c>
      <c r="F5799" s="1" t="s">
        <v>19440</v>
      </c>
    </row>
    <row r="5800">
      <c r="A5800" s="1">
        <v>50104.0</v>
      </c>
      <c r="B5800" s="1">
        <v>19608.0</v>
      </c>
      <c r="C5800" s="1">
        <v>1.623061791E9</v>
      </c>
      <c r="D5800" s="1">
        <v>4.0</v>
      </c>
      <c r="E5800" s="1" t="b">
        <v>0</v>
      </c>
      <c r="F5800" s="1" t="s">
        <v>19441</v>
      </c>
    </row>
    <row r="5801">
      <c r="A5801" s="1">
        <v>50104.0</v>
      </c>
      <c r="B5801" s="1">
        <v>19942.0</v>
      </c>
      <c r="C5801" s="1">
        <v>1.623517317E9</v>
      </c>
      <c r="D5801" s="1">
        <v>4.0</v>
      </c>
      <c r="E5801" s="1" t="b">
        <v>0</v>
      </c>
      <c r="F5801" s="1" t="s">
        <v>19442</v>
      </c>
    </row>
    <row r="5802">
      <c r="A5802" s="1">
        <v>50104.0</v>
      </c>
      <c r="B5802" s="1">
        <v>19820.0</v>
      </c>
      <c r="C5802" s="1">
        <v>1.623339782E9</v>
      </c>
      <c r="D5802" s="1">
        <v>4.0</v>
      </c>
      <c r="E5802" s="1" t="b">
        <v>0</v>
      </c>
      <c r="F5802" s="1" t="s">
        <v>19443</v>
      </c>
    </row>
    <row r="5803">
      <c r="A5803" s="1">
        <v>50104.0</v>
      </c>
      <c r="B5803" s="1">
        <v>19535.0</v>
      </c>
      <c r="C5803" s="1">
        <v>1.622973673E9</v>
      </c>
      <c r="D5803" s="1">
        <v>4.0</v>
      </c>
      <c r="E5803" s="1" t="b">
        <v>0</v>
      </c>
      <c r="F5803" s="1" t="s">
        <v>19444</v>
      </c>
    </row>
    <row r="5804">
      <c r="A5804" s="1">
        <v>50104.0</v>
      </c>
      <c r="B5804" s="1">
        <v>20234.0</v>
      </c>
      <c r="C5804" s="1">
        <v>1.623949368E9</v>
      </c>
      <c r="D5804" s="1">
        <v>4.0</v>
      </c>
      <c r="E5804" s="1" t="b">
        <v>0</v>
      </c>
      <c r="F5804" s="1" t="s">
        <v>19445</v>
      </c>
    </row>
    <row r="5805">
      <c r="A5805" s="1">
        <v>50104.0</v>
      </c>
      <c r="B5805" s="1">
        <v>20347.0</v>
      </c>
      <c r="C5805" s="1">
        <v>1.624180221E9</v>
      </c>
      <c r="D5805" s="1">
        <v>4.0</v>
      </c>
      <c r="E5805" s="1" t="b">
        <v>0</v>
      </c>
      <c r="F5805" s="1" t="s">
        <v>19446</v>
      </c>
    </row>
    <row r="5806">
      <c r="A5806" s="1">
        <v>50104.0</v>
      </c>
      <c r="B5806" s="1">
        <v>19468.0</v>
      </c>
      <c r="C5806" s="1">
        <v>1.622736744E9</v>
      </c>
      <c r="D5806" s="1">
        <v>4.0</v>
      </c>
      <c r="E5806" s="1" t="b">
        <v>0</v>
      </c>
      <c r="F5806" s="1" t="s">
        <v>15544</v>
      </c>
    </row>
    <row r="5807">
      <c r="A5807" s="1">
        <v>50104.0</v>
      </c>
      <c r="B5807" s="1">
        <v>19925.0</v>
      </c>
      <c r="C5807" s="1">
        <v>1.623503457E9</v>
      </c>
      <c r="D5807" s="1">
        <v>4.0</v>
      </c>
      <c r="E5807" s="1" t="b">
        <v>0</v>
      </c>
      <c r="F5807" s="1" t="s">
        <v>19447</v>
      </c>
    </row>
    <row r="5808">
      <c r="A5808" s="1">
        <v>50104.0</v>
      </c>
      <c r="B5808" s="1">
        <v>20427.0</v>
      </c>
      <c r="C5808" s="1">
        <v>1.624354041E9</v>
      </c>
      <c r="D5808" s="1">
        <v>4.0</v>
      </c>
      <c r="E5808" s="1" t="b">
        <v>0</v>
      </c>
      <c r="F5808" s="1" t="s">
        <v>19448</v>
      </c>
    </row>
    <row r="5809">
      <c r="A5809" s="1">
        <v>50104.0</v>
      </c>
      <c r="B5809" s="1">
        <v>19700.0</v>
      </c>
      <c r="C5809" s="1">
        <v>1.623172168E9</v>
      </c>
      <c r="D5809" s="1">
        <v>4.0</v>
      </c>
      <c r="E5809" s="1" t="b">
        <v>0</v>
      </c>
      <c r="F5809" s="1" t="s">
        <v>19449</v>
      </c>
    </row>
    <row r="5810">
      <c r="A5810" s="1">
        <v>50104.0</v>
      </c>
      <c r="B5810" s="1">
        <v>17040.0</v>
      </c>
      <c r="C5810" s="1">
        <v>1.621261591E9</v>
      </c>
      <c r="D5810" s="1">
        <v>4.0</v>
      </c>
      <c r="E5810" s="1" t="b">
        <v>0</v>
      </c>
      <c r="F5810" s="1" t="s">
        <v>19450</v>
      </c>
      <c r="G5810" s="1" t="b">
        <v>1</v>
      </c>
    </row>
    <row r="5811">
      <c r="A5811" s="1">
        <v>50104.0</v>
      </c>
      <c r="B5811" s="1">
        <v>16912.0</v>
      </c>
      <c r="C5811" s="1">
        <v>1.62126188E9</v>
      </c>
      <c r="D5811" s="1">
        <v>4.0</v>
      </c>
      <c r="E5811" s="1" t="b">
        <v>0</v>
      </c>
      <c r="F5811" s="1" t="s">
        <v>16918</v>
      </c>
      <c r="G5811" s="1" t="b">
        <v>1</v>
      </c>
    </row>
    <row r="5812">
      <c r="A5812" s="1">
        <v>50104.0</v>
      </c>
      <c r="B5812" s="1">
        <v>19737.0</v>
      </c>
      <c r="C5812" s="1">
        <v>1.623234206E9</v>
      </c>
      <c r="D5812" s="1">
        <v>4.0</v>
      </c>
      <c r="E5812" s="1" t="b">
        <v>0</v>
      </c>
      <c r="F5812" s="1" t="s">
        <v>19451</v>
      </c>
    </row>
    <row r="5813">
      <c r="A5813" s="1">
        <v>50104.0</v>
      </c>
      <c r="B5813" s="1">
        <v>20004.0</v>
      </c>
      <c r="C5813" s="1">
        <v>1.623608382E9</v>
      </c>
      <c r="D5813" s="1">
        <v>4.0</v>
      </c>
      <c r="E5813" s="1" t="b">
        <v>0</v>
      </c>
      <c r="F5813" s="1" t="s">
        <v>19452</v>
      </c>
    </row>
    <row r="5814">
      <c r="A5814" s="1">
        <v>50104.0</v>
      </c>
      <c r="B5814" s="1">
        <v>20105.0</v>
      </c>
      <c r="C5814" s="1">
        <v>1.623776135E9</v>
      </c>
      <c r="D5814" s="1">
        <v>4.0</v>
      </c>
      <c r="E5814" s="1" t="b">
        <v>0</v>
      </c>
      <c r="F5814" s="1" t="s">
        <v>19453</v>
      </c>
    </row>
    <row r="5815">
      <c r="A5815" s="1">
        <v>50104.0</v>
      </c>
      <c r="B5815" s="1">
        <v>19954.0</v>
      </c>
      <c r="C5815" s="1">
        <v>1.623551294E9</v>
      </c>
      <c r="D5815" s="1">
        <v>4.0</v>
      </c>
      <c r="E5815" s="1" t="b">
        <v>0</v>
      </c>
      <c r="F5815" s="1" t="s">
        <v>19454</v>
      </c>
    </row>
    <row r="5816">
      <c r="A5816" s="1">
        <v>50104.0</v>
      </c>
      <c r="B5816" s="1">
        <v>19961.0</v>
      </c>
      <c r="C5816" s="1">
        <v>1.623567149E9</v>
      </c>
      <c r="D5816" s="1">
        <v>4.0</v>
      </c>
      <c r="E5816" s="1" t="b">
        <v>0</v>
      </c>
      <c r="F5816" s="1" t="s">
        <v>19455</v>
      </c>
      <c r="G5816" s="1" t="b">
        <v>1</v>
      </c>
    </row>
    <row r="5817">
      <c r="A5817" s="1">
        <v>50104.0</v>
      </c>
      <c r="B5817" s="1">
        <v>19800.0</v>
      </c>
      <c r="C5817" s="1">
        <v>1.623322049E9</v>
      </c>
      <c r="D5817" s="1">
        <v>4.0</v>
      </c>
      <c r="E5817" s="1" t="b">
        <v>0</v>
      </c>
      <c r="F5817" s="1" t="s">
        <v>19456</v>
      </c>
    </row>
    <row r="5818">
      <c r="A5818" s="1">
        <v>50104.0</v>
      </c>
      <c r="B5818" s="1">
        <v>20404.0</v>
      </c>
      <c r="C5818" s="1">
        <v>1.62429688E9</v>
      </c>
      <c r="D5818" s="1">
        <v>4.0</v>
      </c>
      <c r="E5818" s="1" t="b">
        <v>0</v>
      </c>
      <c r="F5818" s="1" t="s">
        <v>19457</v>
      </c>
    </row>
    <row r="5819">
      <c r="A5819" s="1">
        <v>50104.0</v>
      </c>
      <c r="B5819" s="1">
        <v>19271.0</v>
      </c>
      <c r="C5819" s="1">
        <v>1.622548026E9</v>
      </c>
      <c r="D5819" s="1">
        <v>4.0</v>
      </c>
      <c r="E5819" s="1" t="b">
        <v>0</v>
      </c>
      <c r="F5819" s="1" t="s">
        <v>19458</v>
      </c>
      <c r="G5819" s="1" t="b">
        <v>1</v>
      </c>
    </row>
    <row r="5820">
      <c r="A5820" s="1">
        <v>50104.0</v>
      </c>
      <c r="B5820" s="1">
        <v>20182.0</v>
      </c>
      <c r="C5820" s="1">
        <v>1.623898924E9</v>
      </c>
      <c r="D5820" s="1">
        <v>4.0</v>
      </c>
      <c r="E5820" s="1" t="b">
        <v>0</v>
      </c>
      <c r="F5820" s="1" t="s">
        <v>19459</v>
      </c>
    </row>
    <row r="5821">
      <c r="A5821" s="1">
        <v>50104.0</v>
      </c>
      <c r="B5821" s="1">
        <v>20354.0</v>
      </c>
      <c r="C5821" s="1">
        <v>1.624198637E9</v>
      </c>
      <c r="D5821" s="1">
        <v>4.0</v>
      </c>
      <c r="E5821" s="1" t="b">
        <v>0</v>
      </c>
      <c r="F5821" s="1" t="s">
        <v>19460</v>
      </c>
    </row>
    <row r="5822">
      <c r="A5822" s="1">
        <v>50104.0</v>
      </c>
      <c r="B5822" s="1">
        <v>20372.0</v>
      </c>
      <c r="C5822" s="1">
        <v>1.62425178E9</v>
      </c>
      <c r="D5822" s="1">
        <v>4.0</v>
      </c>
      <c r="E5822" s="1" t="b">
        <v>0</v>
      </c>
      <c r="F5822" s="1" t="s">
        <v>19461</v>
      </c>
    </row>
    <row r="5823">
      <c r="A5823" s="1">
        <v>50104.0</v>
      </c>
      <c r="B5823" s="1">
        <v>20210.0</v>
      </c>
      <c r="C5823" s="1">
        <v>1.623972396E9</v>
      </c>
      <c r="D5823" s="1">
        <v>4.0</v>
      </c>
      <c r="E5823" s="1" t="b">
        <v>0</v>
      </c>
      <c r="F5823" s="1" t="s">
        <v>19462</v>
      </c>
    </row>
    <row r="5824">
      <c r="A5824" s="1">
        <v>50104.0</v>
      </c>
      <c r="B5824" s="1">
        <v>19377.0</v>
      </c>
      <c r="C5824" s="1">
        <v>1.622644017E9</v>
      </c>
      <c r="D5824" s="1">
        <v>4.0</v>
      </c>
      <c r="E5824" s="1" t="b">
        <v>0</v>
      </c>
      <c r="F5824" s="1" t="s">
        <v>19463</v>
      </c>
    </row>
    <row r="5825">
      <c r="A5825" s="1">
        <v>50110.0</v>
      </c>
      <c r="B5825" s="1">
        <v>18384.0</v>
      </c>
      <c r="C5825" s="1">
        <v>1.623212587E9</v>
      </c>
      <c r="D5825" s="1">
        <v>4.0</v>
      </c>
      <c r="E5825" s="1" t="b">
        <v>0</v>
      </c>
      <c r="F5825" s="1" t="s">
        <v>19375</v>
      </c>
    </row>
    <row r="5826">
      <c r="A5826" s="1">
        <v>50110.0</v>
      </c>
      <c r="B5826" s="1">
        <v>19852.0</v>
      </c>
      <c r="C5826" s="1">
        <v>1.623398122E9</v>
      </c>
      <c r="D5826" s="1">
        <v>4.0</v>
      </c>
      <c r="E5826" s="1" t="b">
        <v>0</v>
      </c>
      <c r="F5826" s="1" t="s">
        <v>19464</v>
      </c>
    </row>
    <row r="5827">
      <c r="A5827" s="1">
        <v>50110.0</v>
      </c>
      <c r="B5827" s="1">
        <v>19279.0</v>
      </c>
      <c r="C5827" s="1">
        <v>1.622554346E9</v>
      </c>
      <c r="D5827" s="1">
        <v>4.0</v>
      </c>
      <c r="E5827" s="1" t="b">
        <v>0</v>
      </c>
      <c r="F5827" s="1" t="s">
        <v>19465</v>
      </c>
    </row>
    <row r="5828">
      <c r="A5828" s="1">
        <v>50110.0</v>
      </c>
      <c r="B5828" s="1">
        <v>19571.0</v>
      </c>
      <c r="C5828" s="1">
        <v>1.622996571E9</v>
      </c>
      <c r="D5828" s="1">
        <v>4.0</v>
      </c>
      <c r="E5828" s="1" t="b">
        <v>0</v>
      </c>
      <c r="F5828" s="1" t="s">
        <v>19466</v>
      </c>
    </row>
    <row r="5829">
      <c r="A5829" s="1">
        <v>50110.0</v>
      </c>
      <c r="B5829" s="1">
        <v>19409.0</v>
      </c>
      <c r="C5829" s="1">
        <v>1.622697743E9</v>
      </c>
      <c r="D5829" s="1">
        <v>4.0</v>
      </c>
      <c r="E5829" s="1" t="b">
        <v>0</v>
      </c>
      <c r="F5829" s="1" t="s">
        <v>19467</v>
      </c>
    </row>
    <row r="5830">
      <c r="A5830" s="1">
        <v>50110.0</v>
      </c>
      <c r="B5830" s="1">
        <v>16912.0</v>
      </c>
      <c r="C5830" s="1">
        <v>1.623991098E9</v>
      </c>
      <c r="D5830" s="1">
        <v>4.0</v>
      </c>
      <c r="E5830" s="1" t="b">
        <v>0</v>
      </c>
      <c r="F5830" s="1" t="s">
        <v>16918</v>
      </c>
      <c r="G5830" s="1" t="b">
        <v>1</v>
      </c>
    </row>
    <row r="5831">
      <c r="A5831" s="1">
        <v>50110.0</v>
      </c>
      <c r="B5831" s="1">
        <v>20003.0</v>
      </c>
      <c r="C5831" s="1">
        <v>1.623608257E9</v>
      </c>
      <c r="D5831" s="1">
        <v>4.0</v>
      </c>
      <c r="E5831" s="1" t="b">
        <v>0</v>
      </c>
      <c r="F5831" s="1" t="s">
        <v>19468</v>
      </c>
    </row>
    <row r="5832">
      <c r="A5832" s="1">
        <v>50110.0</v>
      </c>
      <c r="B5832" s="1">
        <v>20027.0</v>
      </c>
      <c r="C5832" s="1">
        <v>1.623658205E9</v>
      </c>
      <c r="D5832" s="1">
        <v>4.0</v>
      </c>
      <c r="E5832" s="1" t="b">
        <v>0</v>
      </c>
      <c r="F5832" s="1" t="s">
        <v>19469</v>
      </c>
    </row>
    <row r="5833">
      <c r="A5833" s="1">
        <v>50110.0</v>
      </c>
      <c r="B5833" s="1">
        <v>18339.0</v>
      </c>
      <c r="C5833" s="1">
        <v>1.623428427E9</v>
      </c>
      <c r="D5833" s="1">
        <v>4.0</v>
      </c>
      <c r="E5833" s="1" t="b">
        <v>0</v>
      </c>
      <c r="F5833" s="1" t="s">
        <v>17719</v>
      </c>
    </row>
    <row r="5834">
      <c r="A5834" s="1">
        <v>50110.0</v>
      </c>
      <c r="B5834" s="1">
        <v>19163.0</v>
      </c>
      <c r="C5834" s="1">
        <v>1.622452826E9</v>
      </c>
      <c r="D5834" s="1">
        <v>4.0</v>
      </c>
      <c r="E5834" s="1" t="b">
        <v>0</v>
      </c>
      <c r="F5834" s="1" t="s">
        <v>19470</v>
      </c>
    </row>
    <row r="5835">
      <c r="A5835" s="1">
        <v>50110.0</v>
      </c>
      <c r="B5835" s="1">
        <v>14905.0</v>
      </c>
      <c r="C5835" s="1">
        <v>1.623212592E9</v>
      </c>
      <c r="D5835" s="1">
        <v>4.0</v>
      </c>
      <c r="E5835" s="1" t="b">
        <v>0</v>
      </c>
      <c r="F5835" s="1" t="s">
        <v>16124</v>
      </c>
    </row>
    <row r="5836">
      <c r="A5836" s="1">
        <v>50110.0</v>
      </c>
      <c r="B5836" s="1">
        <v>18824.0</v>
      </c>
      <c r="C5836" s="1">
        <v>1.622012286E9</v>
      </c>
      <c r="D5836" s="1">
        <v>4.0</v>
      </c>
      <c r="E5836" s="1" t="b">
        <v>0</v>
      </c>
      <c r="F5836" s="1" t="s">
        <v>19471</v>
      </c>
    </row>
    <row r="5837">
      <c r="A5837" s="1">
        <v>50110.0</v>
      </c>
      <c r="B5837" s="1">
        <v>17716.0</v>
      </c>
      <c r="C5837" s="1">
        <v>1.621433549E9</v>
      </c>
      <c r="D5837" s="1">
        <v>1.0</v>
      </c>
      <c r="E5837" s="1" t="b">
        <v>1</v>
      </c>
      <c r="F5837" s="1" t="s">
        <v>19472</v>
      </c>
    </row>
    <row r="5838">
      <c r="A5838" s="1">
        <v>50110.0</v>
      </c>
      <c r="B5838" s="1">
        <v>18972.0</v>
      </c>
      <c r="C5838" s="1">
        <v>1.623517008E9</v>
      </c>
      <c r="D5838" s="1">
        <v>4.0</v>
      </c>
      <c r="E5838" s="1" t="b">
        <v>0</v>
      </c>
      <c r="F5838" s="1" t="s">
        <v>18296</v>
      </c>
    </row>
    <row r="5839">
      <c r="A5839" s="1">
        <v>50110.0</v>
      </c>
      <c r="B5839" s="1">
        <v>20029.0</v>
      </c>
      <c r="C5839" s="1">
        <v>1.623662334E9</v>
      </c>
      <c r="D5839" s="1">
        <v>4.0</v>
      </c>
      <c r="E5839" s="1" t="b">
        <v>0</v>
      </c>
      <c r="F5839" s="1" t="s">
        <v>19473</v>
      </c>
    </row>
    <row r="5840">
      <c r="A5840" s="1">
        <v>50110.0</v>
      </c>
      <c r="B5840" s="1">
        <v>18831.0</v>
      </c>
      <c r="C5840" s="1">
        <v>1.622020087E9</v>
      </c>
      <c r="D5840" s="1">
        <v>4.0</v>
      </c>
      <c r="E5840" s="1" t="b">
        <v>0</v>
      </c>
      <c r="F5840" s="1" t="s">
        <v>19474</v>
      </c>
    </row>
    <row r="5841">
      <c r="A5841" s="1">
        <v>50113.0</v>
      </c>
      <c r="B5841" s="1">
        <v>18371.0</v>
      </c>
      <c r="C5841" s="1">
        <v>1.622201562E9</v>
      </c>
      <c r="D5841" s="1">
        <v>4.0</v>
      </c>
      <c r="E5841" s="1" t="b">
        <v>0</v>
      </c>
      <c r="F5841" s="1" t="s">
        <v>19338</v>
      </c>
    </row>
    <row r="5842">
      <c r="A5842" s="1">
        <v>50113.0</v>
      </c>
      <c r="B5842" s="1">
        <v>17264.0</v>
      </c>
      <c r="C5842" s="1">
        <v>1.62408997E9</v>
      </c>
      <c r="D5842" s="1">
        <v>4.0</v>
      </c>
      <c r="E5842" s="1" t="b">
        <v>0</v>
      </c>
      <c r="F5842" s="1" t="s">
        <v>19475</v>
      </c>
    </row>
    <row r="5843">
      <c r="A5843" s="1">
        <v>50113.0</v>
      </c>
      <c r="B5843" s="1">
        <v>1210.0</v>
      </c>
      <c r="C5843" s="1">
        <v>1.624173142E9</v>
      </c>
      <c r="D5843" s="1">
        <v>4.0</v>
      </c>
      <c r="E5843" s="1" t="b">
        <v>0</v>
      </c>
      <c r="F5843" s="1" t="s">
        <v>19476</v>
      </c>
    </row>
    <row r="5844">
      <c r="A5844" s="1">
        <v>50113.0</v>
      </c>
      <c r="B5844" s="1">
        <v>19184.0</v>
      </c>
      <c r="C5844" s="1">
        <v>1.622481235E9</v>
      </c>
      <c r="D5844" s="1">
        <v>4.0</v>
      </c>
      <c r="E5844" s="1" t="b">
        <v>0</v>
      </c>
      <c r="F5844" s="1" t="s">
        <v>19477</v>
      </c>
    </row>
    <row r="5845">
      <c r="A5845" s="1">
        <v>50113.0</v>
      </c>
      <c r="B5845" s="1">
        <v>18907.0</v>
      </c>
      <c r="C5845" s="1">
        <v>1.622121215E9</v>
      </c>
      <c r="D5845" s="1">
        <v>4.0</v>
      </c>
      <c r="E5845" s="1" t="b">
        <v>0</v>
      </c>
      <c r="F5845" s="1" t="s">
        <v>19478</v>
      </c>
    </row>
    <row r="5846">
      <c r="A5846" s="1">
        <v>50113.0</v>
      </c>
      <c r="B5846" s="1">
        <v>18975.0</v>
      </c>
      <c r="C5846" s="1">
        <v>1.622202509E9</v>
      </c>
      <c r="D5846" s="1">
        <v>4.0</v>
      </c>
      <c r="E5846" s="1" t="b">
        <v>0</v>
      </c>
      <c r="F5846" s="1" t="s">
        <v>19479</v>
      </c>
    </row>
    <row r="5847">
      <c r="A5847" s="1">
        <v>50113.0</v>
      </c>
      <c r="B5847" s="1">
        <v>16456.0</v>
      </c>
      <c r="C5847" s="1">
        <v>1.624173297E9</v>
      </c>
      <c r="D5847" s="1">
        <v>4.0</v>
      </c>
      <c r="E5847" s="1" t="b">
        <v>0</v>
      </c>
      <c r="F5847" s="1" t="s">
        <v>19480</v>
      </c>
    </row>
    <row r="5848">
      <c r="A5848" s="1">
        <v>50113.0</v>
      </c>
      <c r="B5848" s="1">
        <v>18028.0</v>
      </c>
      <c r="C5848" s="1">
        <v>1.622039801E9</v>
      </c>
      <c r="D5848" s="1">
        <v>4.0</v>
      </c>
      <c r="E5848" s="1" t="b">
        <v>0</v>
      </c>
      <c r="F5848" s="1" t="s">
        <v>19160</v>
      </c>
      <c r="G5848" s="1" t="b">
        <v>1</v>
      </c>
    </row>
    <row r="5849">
      <c r="A5849" s="1">
        <v>50113.0</v>
      </c>
      <c r="B5849" s="1">
        <v>17814.0</v>
      </c>
      <c r="C5849" s="1">
        <v>1.622480014E9</v>
      </c>
      <c r="D5849" s="1">
        <v>4.0</v>
      </c>
      <c r="E5849" s="1" t="b">
        <v>0</v>
      </c>
      <c r="F5849" s="1" t="s">
        <v>19481</v>
      </c>
    </row>
    <row r="5850">
      <c r="A5850" s="1">
        <v>50113.0</v>
      </c>
      <c r="B5850" s="1">
        <v>19385.0</v>
      </c>
      <c r="C5850" s="1">
        <v>1.622652033E9</v>
      </c>
      <c r="D5850" s="1">
        <v>4.0</v>
      </c>
      <c r="E5850" s="1" t="b">
        <v>0</v>
      </c>
      <c r="F5850" s="1" t="s">
        <v>19482</v>
      </c>
    </row>
    <row r="5851">
      <c r="A5851" s="1">
        <v>50113.0</v>
      </c>
      <c r="B5851" s="1">
        <v>17482.0</v>
      </c>
      <c r="C5851" s="1">
        <v>1.622039799E9</v>
      </c>
      <c r="D5851" s="1">
        <v>4.0</v>
      </c>
      <c r="E5851" s="1" t="b">
        <v>0</v>
      </c>
      <c r="F5851" s="1" t="s">
        <v>17266</v>
      </c>
      <c r="G5851" s="1" t="b">
        <v>1</v>
      </c>
    </row>
    <row r="5852">
      <c r="A5852" s="1">
        <v>50113.0</v>
      </c>
      <c r="B5852" s="1">
        <v>15194.0</v>
      </c>
      <c r="C5852" s="1">
        <v>1.622039797E9</v>
      </c>
      <c r="D5852" s="1">
        <v>4.0</v>
      </c>
      <c r="E5852" s="1" t="b">
        <v>0</v>
      </c>
      <c r="F5852" s="1" t="s">
        <v>17278</v>
      </c>
    </row>
    <row r="5853">
      <c r="A5853" s="1">
        <v>50113.0</v>
      </c>
      <c r="B5853" s="1">
        <v>17964.0</v>
      </c>
      <c r="C5853" s="1">
        <v>1.622039793E9</v>
      </c>
      <c r="D5853" s="1">
        <v>4.0</v>
      </c>
      <c r="E5853" s="1" t="b">
        <v>0</v>
      </c>
      <c r="F5853" s="1" t="s">
        <v>19339</v>
      </c>
    </row>
    <row r="5854">
      <c r="A5854" s="1">
        <v>50113.0</v>
      </c>
      <c r="B5854" s="1">
        <v>19206.0</v>
      </c>
      <c r="C5854" s="1">
        <v>1.622474462E9</v>
      </c>
      <c r="D5854" s="1">
        <v>4.0</v>
      </c>
      <c r="E5854" s="1" t="b">
        <v>0</v>
      </c>
      <c r="F5854" s="1" t="s">
        <v>19483</v>
      </c>
    </row>
    <row r="5855">
      <c r="A5855" s="1">
        <v>50113.0</v>
      </c>
      <c r="B5855" s="1">
        <v>17949.0</v>
      </c>
      <c r="C5855" s="1">
        <v>1.622613367E9</v>
      </c>
      <c r="D5855" s="1">
        <v>4.0</v>
      </c>
      <c r="E5855" s="1" t="b">
        <v>0</v>
      </c>
      <c r="F5855" s="1" t="s">
        <v>19484</v>
      </c>
    </row>
    <row r="5856">
      <c r="A5856" s="1">
        <v>50113.0</v>
      </c>
      <c r="B5856" s="1">
        <v>18244.0</v>
      </c>
      <c r="C5856" s="1">
        <v>1.621576163E9</v>
      </c>
      <c r="D5856" s="1">
        <v>1.0</v>
      </c>
      <c r="E5856" s="1" t="b">
        <v>1</v>
      </c>
      <c r="F5856" s="1" t="s">
        <v>19485</v>
      </c>
    </row>
    <row r="5857">
      <c r="A5857" s="1">
        <v>50113.0</v>
      </c>
      <c r="B5857" s="1">
        <v>17948.0</v>
      </c>
      <c r="C5857" s="1">
        <v>1.622267678E9</v>
      </c>
      <c r="D5857" s="1">
        <v>4.0</v>
      </c>
      <c r="E5857" s="1" t="b">
        <v>0</v>
      </c>
      <c r="F5857" s="1" t="s">
        <v>19486</v>
      </c>
    </row>
    <row r="5858">
      <c r="A5858" s="1">
        <v>50113.0</v>
      </c>
      <c r="B5858" s="1">
        <v>19433.0</v>
      </c>
      <c r="C5858" s="1">
        <v>1.622708044E9</v>
      </c>
      <c r="D5858" s="1">
        <v>4.0</v>
      </c>
      <c r="E5858" s="1" t="b">
        <v>0</v>
      </c>
      <c r="F5858" s="1" t="s">
        <v>19487</v>
      </c>
    </row>
    <row r="5859">
      <c r="A5859" s="1">
        <v>50113.0</v>
      </c>
      <c r="B5859" s="1">
        <v>19414.0</v>
      </c>
      <c r="C5859" s="1">
        <v>1.622696396E9</v>
      </c>
      <c r="D5859" s="1">
        <v>4.0</v>
      </c>
      <c r="E5859" s="1" t="b">
        <v>0</v>
      </c>
      <c r="F5859" s="1" t="s">
        <v>19488</v>
      </c>
    </row>
    <row r="5860">
      <c r="A5860" s="1">
        <v>50113.0</v>
      </c>
      <c r="B5860" s="1">
        <v>20344.0</v>
      </c>
      <c r="C5860" s="1">
        <v>1.624175518E9</v>
      </c>
      <c r="D5860" s="1">
        <v>4.0</v>
      </c>
      <c r="E5860" s="1" t="b">
        <v>0</v>
      </c>
      <c r="F5860" s="1" t="s">
        <v>19489</v>
      </c>
    </row>
    <row r="5861">
      <c r="A5861" s="1">
        <v>50113.0</v>
      </c>
      <c r="B5861" s="1">
        <v>11297.0</v>
      </c>
      <c r="C5861" s="1">
        <v>1.62409101E9</v>
      </c>
      <c r="D5861" s="1">
        <v>4.0</v>
      </c>
      <c r="E5861" s="1" t="b">
        <v>0</v>
      </c>
      <c r="F5861" s="1" t="s">
        <v>19490</v>
      </c>
    </row>
    <row r="5862">
      <c r="A5862" s="1">
        <v>50113.0</v>
      </c>
      <c r="B5862" s="1">
        <v>17657.0</v>
      </c>
      <c r="C5862" s="1">
        <v>1.622702383E9</v>
      </c>
      <c r="D5862" s="1">
        <v>4.0</v>
      </c>
      <c r="E5862" s="1" t="b">
        <v>0</v>
      </c>
      <c r="F5862" s="1" t="s">
        <v>19491</v>
      </c>
    </row>
    <row r="5863">
      <c r="A5863" s="1">
        <v>50113.0</v>
      </c>
      <c r="B5863" s="1">
        <v>17118.0</v>
      </c>
      <c r="C5863" s="1">
        <v>1.62408923E9</v>
      </c>
      <c r="D5863" s="1">
        <v>4.0</v>
      </c>
      <c r="E5863" s="1" t="b">
        <v>0</v>
      </c>
      <c r="F5863" s="1" t="s">
        <v>19492</v>
      </c>
    </row>
    <row r="5864">
      <c r="A5864" s="1">
        <v>50113.0</v>
      </c>
      <c r="B5864" s="1">
        <v>17387.0</v>
      </c>
      <c r="C5864" s="1">
        <v>1.624090555E9</v>
      </c>
      <c r="D5864" s="1">
        <v>4.0</v>
      </c>
      <c r="E5864" s="1" t="b">
        <v>0</v>
      </c>
      <c r="F5864" s="1" t="s">
        <v>19493</v>
      </c>
    </row>
    <row r="5865">
      <c r="A5865" s="1">
        <v>50113.0</v>
      </c>
      <c r="B5865" s="1">
        <v>17938.0</v>
      </c>
      <c r="C5865" s="1">
        <v>1.622611621E9</v>
      </c>
      <c r="D5865" s="1">
        <v>4.0</v>
      </c>
      <c r="E5865" s="1" t="b">
        <v>0</v>
      </c>
      <c r="F5865" s="1" t="s">
        <v>19494</v>
      </c>
    </row>
    <row r="5866">
      <c r="A5866" s="1">
        <v>50113.0</v>
      </c>
      <c r="B5866" s="1">
        <v>18942.0</v>
      </c>
      <c r="C5866" s="1">
        <v>1.622178929E9</v>
      </c>
      <c r="D5866" s="1">
        <v>9.0</v>
      </c>
      <c r="E5866" s="1" t="b">
        <v>0</v>
      </c>
      <c r="F5866" s="1" t="s">
        <v>19495</v>
      </c>
    </row>
    <row r="5867">
      <c r="A5867" s="1">
        <v>50113.0</v>
      </c>
      <c r="B5867" s="1">
        <v>16533.0</v>
      </c>
      <c r="C5867" s="1">
        <v>1.624170383E9</v>
      </c>
      <c r="D5867" s="1">
        <v>4.0</v>
      </c>
      <c r="E5867" s="1" t="b">
        <v>0</v>
      </c>
      <c r="F5867" s="1" t="s">
        <v>15148</v>
      </c>
    </row>
    <row r="5868">
      <c r="A5868" s="1">
        <v>50113.0</v>
      </c>
      <c r="B5868" s="1">
        <v>17171.0</v>
      </c>
      <c r="C5868" s="1">
        <v>1.62408983E9</v>
      </c>
      <c r="D5868" s="1">
        <v>4.0</v>
      </c>
      <c r="E5868" s="1" t="b">
        <v>0</v>
      </c>
      <c r="F5868" s="1" t="s">
        <v>19496</v>
      </c>
    </row>
    <row r="5869">
      <c r="A5869" s="1">
        <v>50113.0</v>
      </c>
      <c r="B5869" s="1">
        <v>18944.0</v>
      </c>
      <c r="C5869" s="1">
        <v>1.622201553E9</v>
      </c>
      <c r="D5869" s="1">
        <v>4.0</v>
      </c>
      <c r="E5869" s="1" t="b">
        <v>0</v>
      </c>
      <c r="F5869" s="1" t="s">
        <v>19497</v>
      </c>
    </row>
    <row r="5870">
      <c r="A5870" s="1">
        <v>50113.0</v>
      </c>
      <c r="B5870" s="1">
        <v>20308.0</v>
      </c>
      <c r="C5870" s="1">
        <v>1.624092725E9</v>
      </c>
      <c r="D5870" s="1">
        <v>4.0</v>
      </c>
      <c r="E5870" s="1" t="b">
        <v>0</v>
      </c>
      <c r="F5870" s="1" t="s">
        <v>19498</v>
      </c>
    </row>
    <row r="5871">
      <c r="A5871" s="1">
        <v>50113.0</v>
      </c>
      <c r="B5871" s="1">
        <v>19860.0</v>
      </c>
      <c r="C5871" s="1">
        <v>1.623828123E9</v>
      </c>
      <c r="D5871" s="1">
        <v>4.0</v>
      </c>
      <c r="E5871" s="1" t="b">
        <v>0</v>
      </c>
      <c r="F5871" s="1" t="s">
        <v>19499</v>
      </c>
      <c r="G5871" s="1" t="b">
        <v>1</v>
      </c>
    </row>
    <row r="5872">
      <c r="A5872" s="1">
        <v>50113.0</v>
      </c>
      <c r="B5872" s="1">
        <v>19065.0</v>
      </c>
      <c r="C5872" s="1">
        <v>1.622350006E9</v>
      </c>
      <c r="D5872" s="1">
        <v>4.0</v>
      </c>
      <c r="E5872" s="1" t="b">
        <v>0</v>
      </c>
      <c r="F5872" s="1" t="s">
        <v>19500</v>
      </c>
    </row>
    <row r="5873">
      <c r="A5873" s="1">
        <v>50113.0</v>
      </c>
      <c r="B5873" s="1">
        <v>18967.0</v>
      </c>
      <c r="C5873" s="1">
        <v>1.622201557E9</v>
      </c>
      <c r="D5873" s="1">
        <v>4.0</v>
      </c>
      <c r="E5873" s="1" t="b">
        <v>0</v>
      </c>
      <c r="F5873" s="1" t="s">
        <v>19501</v>
      </c>
    </row>
    <row r="5874">
      <c r="A5874" s="1">
        <v>50113.0</v>
      </c>
      <c r="B5874" s="1">
        <v>3250.0</v>
      </c>
      <c r="C5874" s="1">
        <v>1.624171904E9</v>
      </c>
      <c r="D5874" s="1">
        <v>4.0</v>
      </c>
      <c r="E5874" s="1" t="b">
        <v>0</v>
      </c>
      <c r="F5874" s="1" t="s">
        <v>19502</v>
      </c>
    </row>
    <row r="5875">
      <c r="A5875" s="1">
        <v>50113.0</v>
      </c>
      <c r="B5875" s="1">
        <v>17256.0</v>
      </c>
      <c r="C5875" s="1">
        <v>0.0</v>
      </c>
      <c r="D5875" s="1">
        <v>3.0</v>
      </c>
      <c r="E5875" s="1" t="b">
        <v>0</v>
      </c>
      <c r="F5875" s="1" t="s">
        <v>17843</v>
      </c>
    </row>
    <row r="5876">
      <c r="A5876" s="1">
        <v>50119.0</v>
      </c>
      <c r="B5876" s="1">
        <v>18305.0</v>
      </c>
      <c r="C5876" s="1">
        <v>1.621841713E9</v>
      </c>
      <c r="D5876" s="1">
        <v>1.0</v>
      </c>
      <c r="E5876" s="1" t="b">
        <v>1</v>
      </c>
      <c r="F5876" s="1" t="s">
        <v>19503</v>
      </c>
    </row>
    <row r="5877">
      <c r="A5877" s="1">
        <v>50119.0</v>
      </c>
      <c r="B5877" s="1">
        <v>17482.0</v>
      </c>
      <c r="C5877" s="1">
        <v>1.621926083E9</v>
      </c>
      <c r="D5877" s="1">
        <v>4.0</v>
      </c>
      <c r="E5877" s="1" t="b">
        <v>0</v>
      </c>
      <c r="F5877" s="1" t="s">
        <v>17266</v>
      </c>
      <c r="G5877" s="1" t="b">
        <v>1</v>
      </c>
    </row>
    <row r="5878">
      <c r="A5878" s="1">
        <v>50119.0</v>
      </c>
      <c r="B5878" s="1">
        <v>18755.0</v>
      </c>
      <c r="C5878" s="1">
        <v>1.62192714E9</v>
      </c>
      <c r="D5878" s="1">
        <v>4.0</v>
      </c>
      <c r="E5878" s="1" t="b">
        <v>0</v>
      </c>
      <c r="F5878" s="1" t="s">
        <v>19504</v>
      </c>
      <c r="G5878" s="1" t="b">
        <v>1</v>
      </c>
    </row>
    <row r="5879">
      <c r="A5879" s="1">
        <v>50119.0</v>
      </c>
      <c r="B5879" s="1">
        <v>18028.0</v>
      </c>
      <c r="C5879" s="1">
        <v>1.621855516E9</v>
      </c>
      <c r="D5879" s="1">
        <v>4.0</v>
      </c>
      <c r="E5879" s="1" t="b">
        <v>0</v>
      </c>
      <c r="F5879" s="1" t="s">
        <v>19160</v>
      </c>
      <c r="G5879" s="1" t="b">
        <v>1</v>
      </c>
    </row>
    <row r="5880">
      <c r="A5880" s="1">
        <v>50119.0</v>
      </c>
      <c r="B5880" s="1">
        <v>18922.0</v>
      </c>
      <c r="C5880" s="1">
        <v>1.622149639E9</v>
      </c>
      <c r="D5880" s="1">
        <v>4.0</v>
      </c>
      <c r="E5880" s="1" t="b">
        <v>0</v>
      </c>
      <c r="F5880" s="1" t="s">
        <v>19505</v>
      </c>
      <c r="G5880" s="1" t="b">
        <v>1</v>
      </c>
    </row>
    <row r="5881">
      <c r="A5881" s="1">
        <v>50119.0</v>
      </c>
      <c r="B5881" s="1">
        <v>17964.0</v>
      </c>
      <c r="C5881" s="1">
        <v>1.621925975E9</v>
      </c>
      <c r="D5881" s="1">
        <v>4.0</v>
      </c>
      <c r="E5881" s="1" t="b">
        <v>0</v>
      </c>
      <c r="F5881" s="1" t="s">
        <v>19339</v>
      </c>
      <c r="G5881" s="1" t="b">
        <v>1</v>
      </c>
    </row>
    <row r="5882">
      <c r="A5882" s="1">
        <v>50119.0</v>
      </c>
      <c r="B5882" s="1">
        <v>15194.0</v>
      </c>
      <c r="C5882" s="1">
        <v>1.621842522E9</v>
      </c>
      <c r="D5882" s="1">
        <v>4.0</v>
      </c>
      <c r="E5882" s="1" t="b">
        <v>0</v>
      </c>
      <c r="F5882" s="1" t="s">
        <v>17278</v>
      </c>
    </row>
    <row r="5883">
      <c r="A5883" s="1">
        <v>50119.0</v>
      </c>
      <c r="B5883" s="1">
        <v>19381.0</v>
      </c>
      <c r="C5883" s="1">
        <v>1.623678509E9</v>
      </c>
      <c r="D5883" s="1">
        <v>4.0</v>
      </c>
      <c r="E5883" s="1" t="b">
        <v>0</v>
      </c>
      <c r="F5883" s="1" t="s">
        <v>19506</v>
      </c>
      <c r="G5883" s="1" t="b">
        <v>1</v>
      </c>
    </row>
    <row r="5884">
      <c r="A5884" s="1">
        <v>50122.0</v>
      </c>
      <c r="B5884" s="1">
        <v>18371.0</v>
      </c>
      <c r="C5884" s="1">
        <v>1.621923793E9</v>
      </c>
      <c r="D5884" s="1">
        <v>4.0</v>
      </c>
      <c r="E5884" s="1" t="b">
        <v>0</v>
      </c>
      <c r="F5884" s="1" t="s">
        <v>19338</v>
      </c>
      <c r="G5884" s="1" t="b">
        <v>1</v>
      </c>
    </row>
    <row r="5885">
      <c r="A5885" s="1">
        <v>50122.0</v>
      </c>
      <c r="B5885" s="1">
        <v>18709.0</v>
      </c>
      <c r="C5885" s="1">
        <v>1.621864775E9</v>
      </c>
      <c r="D5885" s="1">
        <v>9.0</v>
      </c>
      <c r="E5885" s="1" t="b">
        <v>0</v>
      </c>
      <c r="F5885" s="1" t="s">
        <v>15463</v>
      </c>
      <c r="G5885" s="1" t="b">
        <v>1</v>
      </c>
    </row>
    <row r="5886">
      <c r="A5886" s="1">
        <v>50122.0</v>
      </c>
      <c r="B5886" s="1">
        <v>15194.0</v>
      </c>
      <c r="C5886" s="1">
        <v>1.622111654E9</v>
      </c>
      <c r="D5886" s="1">
        <v>4.0</v>
      </c>
      <c r="E5886" s="1" t="b">
        <v>0</v>
      </c>
      <c r="F5886" s="1" t="s">
        <v>17278</v>
      </c>
    </row>
    <row r="5887">
      <c r="A5887" s="1">
        <v>50122.0</v>
      </c>
      <c r="B5887" s="1">
        <v>17964.0</v>
      </c>
      <c r="C5887" s="1">
        <v>1.621864254E9</v>
      </c>
      <c r="D5887" s="1">
        <v>4.0</v>
      </c>
      <c r="E5887" s="1" t="b">
        <v>0</v>
      </c>
      <c r="F5887" s="1" t="s">
        <v>19339</v>
      </c>
      <c r="G5887" s="1" t="b">
        <v>1</v>
      </c>
    </row>
    <row r="5888">
      <c r="A5888" s="1">
        <v>50122.0</v>
      </c>
      <c r="B5888" s="1">
        <v>17482.0</v>
      </c>
      <c r="C5888" s="1">
        <v>1.621923667E9</v>
      </c>
      <c r="D5888" s="1">
        <v>4.0</v>
      </c>
      <c r="E5888" s="1" t="b">
        <v>0</v>
      </c>
      <c r="F5888" s="1" t="s">
        <v>17266</v>
      </c>
      <c r="G5888" s="1" t="b">
        <v>1</v>
      </c>
    </row>
    <row r="5889">
      <c r="A5889" s="1">
        <v>50122.0</v>
      </c>
      <c r="B5889" s="1">
        <v>18723.0</v>
      </c>
      <c r="C5889" s="1">
        <v>1.622200868E9</v>
      </c>
      <c r="D5889" s="1">
        <v>4.0</v>
      </c>
      <c r="E5889" s="1" t="b">
        <v>0</v>
      </c>
      <c r="F5889" s="1" t="s">
        <v>19507</v>
      </c>
      <c r="G5889" s="1" t="b">
        <v>1</v>
      </c>
    </row>
    <row r="5890">
      <c r="A5890" s="1">
        <v>50122.0</v>
      </c>
      <c r="B5890" s="1">
        <v>18707.0</v>
      </c>
      <c r="C5890" s="1">
        <v>1.621863731E9</v>
      </c>
      <c r="D5890" s="1">
        <v>1.0</v>
      </c>
      <c r="E5890" s="1" t="b">
        <v>1</v>
      </c>
      <c r="F5890" s="1" t="s">
        <v>19508</v>
      </c>
    </row>
    <row r="5891">
      <c r="A5891" s="1">
        <v>50123.0</v>
      </c>
      <c r="B5891" s="1">
        <v>19860.0</v>
      </c>
      <c r="C5891" s="1">
        <v>1.624294461E9</v>
      </c>
      <c r="D5891" s="1">
        <v>4.0</v>
      </c>
      <c r="E5891" s="1" t="b">
        <v>0</v>
      </c>
      <c r="F5891" s="1" t="s">
        <v>19499</v>
      </c>
    </row>
    <row r="5892">
      <c r="A5892" s="1">
        <v>50123.0</v>
      </c>
      <c r="B5892" s="1">
        <v>18789.0</v>
      </c>
      <c r="C5892" s="1">
        <v>1.621962091E9</v>
      </c>
      <c r="D5892" s="1">
        <v>4.0</v>
      </c>
      <c r="E5892" s="1" t="b">
        <v>0</v>
      </c>
      <c r="F5892" s="1" t="s">
        <v>19509</v>
      </c>
      <c r="G5892" s="1" t="b">
        <v>1</v>
      </c>
    </row>
    <row r="5893">
      <c r="A5893" s="1">
        <v>50123.0</v>
      </c>
      <c r="B5893" s="1">
        <v>20407.0</v>
      </c>
      <c r="C5893" s="1">
        <v>1.624298101E9</v>
      </c>
      <c r="D5893" s="1">
        <v>4.0</v>
      </c>
      <c r="E5893" s="1" t="b">
        <v>0</v>
      </c>
      <c r="F5893" s="1" t="s">
        <v>19510</v>
      </c>
    </row>
    <row r="5894">
      <c r="A5894" s="1">
        <v>50123.0</v>
      </c>
      <c r="B5894" s="1">
        <v>20452.0</v>
      </c>
      <c r="C5894" s="1">
        <v>1.624377067E9</v>
      </c>
      <c r="D5894" s="1">
        <v>4.0</v>
      </c>
      <c r="E5894" s="1" t="b">
        <v>0</v>
      </c>
      <c r="F5894" s="1" t="s">
        <v>19511</v>
      </c>
    </row>
    <row r="5895">
      <c r="A5895" s="1">
        <v>50123.0</v>
      </c>
      <c r="B5895" s="1">
        <v>17982.0</v>
      </c>
      <c r="C5895" s="1">
        <v>1.621929825E9</v>
      </c>
      <c r="D5895" s="1">
        <v>1.0</v>
      </c>
      <c r="E5895" s="1" t="b">
        <v>1</v>
      </c>
      <c r="F5895" s="1" t="s">
        <v>16146</v>
      </c>
    </row>
    <row r="5896">
      <c r="A5896" s="1">
        <v>50123.0</v>
      </c>
      <c r="B5896" s="1">
        <v>18790.0</v>
      </c>
      <c r="C5896" s="1">
        <v>1.621962415E9</v>
      </c>
      <c r="D5896" s="1">
        <v>4.0</v>
      </c>
      <c r="E5896" s="1" t="b">
        <v>0</v>
      </c>
      <c r="F5896" s="1" t="s">
        <v>15253</v>
      </c>
      <c r="G5896" s="1" t="b">
        <v>1</v>
      </c>
    </row>
    <row r="5897">
      <c r="A5897" s="1">
        <v>50123.0</v>
      </c>
      <c r="B5897" s="1">
        <v>17482.0</v>
      </c>
      <c r="C5897" s="1">
        <v>1.623152347E9</v>
      </c>
      <c r="D5897" s="1">
        <v>4.0</v>
      </c>
      <c r="E5897" s="1" t="b">
        <v>0</v>
      </c>
      <c r="F5897" s="1" t="s">
        <v>17266</v>
      </c>
      <c r="G5897" s="1" t="b">
        <v>1</v>
      </c>
    </row>
    <row r="5898">
      <c r="A5898" s="1">
        <v>50123.0</v>
      </c>
      <c r="B5898" s="1">
        <v>18371.0</v>
      </c>
      <c r="C5898" s="1">
        <v>1.621962548E9</v>
      </c>
      <c r="D5898" s="1">
        <v>4.0</v>
      </c>
      <c r="E5898" s="1" t="b">
        <v>0</v>
      </c>
      <c r="F5898" s="1" t="s">
        <v>19338</v>
      </c>
      <c r="G5898" s="1" t="b">
        <v>1</v>
      </c>
    </row>
    <row r="5899">
      <c r="A5899" s="1">
        <v>50123.0</v>
      </c>
      <c r="B5899" s="1">
        <v>17964.0</v>
      </c>
      <c r="C5899" s="1">
        <v>1.621961311E9</v>
      </c>
      <c r="D5899" s="1">
        <v>4.0</v>
      </c>
      <c r="E5899" s="1" t="b">
        <v>0</v>
      </c>
      <c r="F5899" s="1" t="s">
        <v>19339</v>
      </c>
      <c r="G5899" s="1" t="b">
        <v>1</v>
      </c>
    </row>
    <row r="5900">
      <c r="A5900" s="1">
        <v>50123.0</v>
      </c>
      <c r="B5900" s="1">
        <v>18811.0</v>
      </c>
      <c r="C5900" s="1">
        <v>1.622003539E9</v>
      </c>
      <c r="D5900" s="1">
        <v>4.0</v>
      </c>
      <c r="E5900" s="1" t="b">
        <v>0</v>
      </c>
      <c r="F5900" s="1" t="s">
        <v>19512</v>
      </c>
      <c r="G5900" s="1" t="b">
        <v>1</v>
      </c>
    </row>
    <row r="5901">
      <c r="A5901" s="1">
        <v>50127.0</v>
      </c>
      <c r="B5901" s="1">
        <v>2258.0</v>
      </c>
      <c r="C5901" s="1">
        <v>1.622445546E9</v>
      </c>
      <c r="D5901" s="1">
        <v>4.0</v>
      </c>
      <c r="E5901" s="1" t="b">
        <v>0</v>
      </c>
      <c r="F5901" s="1" t="s">
        <v>14380</v>
      </c>
      <c r="G5901" s="1" t="b">
        <v>1</v>
      </c>
    </row>
    <row r="5902">
      <c r="A5902" s="1">
        <v>50127.0</v>
      </c>
      <c r="B5902" s="1">
        <v>17914.0</v>
      </c>
      <c r="C5902" s="1">
        <v>1.622023416E9</v>
      </c>
      <c r="D5902" s="1">
        <v>1.0</v>
      </c>
      <c r="E5902" s="1" t="b">
        <v>1</v>
      </c>
      <c r="F5902" s="1" t="s">
        <v>14296</v>
      </c>
    </row>
    <row r="5903">
      <c r="A5903" s="1">
        <v>50127.0</v>
      </c>
      <c r="B5903" s="1">
        <v>620.0</v>
      </c>
      <c r="C5903" s="1">
        <v>1.622274317E9</v>
      </c>
      <c r="D5903" s="1">
        <v>4.0</v>
      </c>
      <c r="E5903" s="1" t="b">
        <v>0</v>
      </c>
      <c r="F5903" s="1" t="s">
        <v>14214</v>
      </c>
      <c r="G5903" s="1" t="b">
        <v>1</v>
      </c>
    </row>
    <row r="5904">
      <c r="A5904" s="1">
        <v>50127.0</v>
      </c>
      <c r="B5904" s="1">
        <v>18016.0</v>
      </c>
      <c r="C5904" s="1">
        <v>1.622445552E9</v>
      </c>
      <c r="D5904" s="1">
        <v>4.0</v>
      </c>
      <c r="E5904" s="1" t="b">
        <v>0</v>
      </c>
      <c r="F5904" s="1" t="s">
        <v>19513</v>
      </c>
      <c r="G5904" s="1" t="b">
        <v>1</v>
      </c>
    </row>
    <row r="5905">
      <c r="A5905" s="1">
        <v>50127.0</v>
      </c>
      <c r="B5905" s="1">
        <v>18619.0</v>
      </c>
      <c r="C5905" s="1">
        <v>1.622268539E9</v>
      </c>
      <c r="D5905" s="1">
        <v>4.0</v>
      </c>
      <c r="E5905" s="1" t="b">
        <v>0</v>
      </c>
      <c r="F5905" s="1" t="s">
        <v>19514</v>
      </c>
    </row>
    <row r="5906">
      <c r="A5906" s="1">
        <v>50129.0</v>
      </c>
      <c r="B5906" s="1">
        <v>18878.0</v>
      </c>
      <c r="C5906" s="1">
        <v>1.622090479E9</v>
      </c>
      <c r="D5906" s="1">
        <v>4.0</v>
      </c>
      <c r="E5906" s="1" t="b">
        <v>0</v>
      </c>
      <c r="F5906" s="1" t="s">
        <v>19515</v>
      </c>
    </row>
    <row r="5907">
      <c r="A5907" s="1">
        <v>50129.0</v>
      </c>
      <c r="B5907" s="1">
        <v>18371.0</v>
      </c>
      <c r="C5907" s="1">
        <v>1.62384071E9</v>
      </c>
      <c r="D5907" s="1">
        <v>4.0</v>
      </c>
      <c r="E5907" s="1" t="b">
        <v>0</v>
      </c>
      <c r="F5907" s="1" t="s">
        <v>19338</v>
      </c>
      <c r="G5907" s="1" t="b">
        <v>1</v>
      </c>
    </row>
    <row r="5908">
      <c r="A5908" s="1">
        <v>50129.0</v>
      </c>
      <c r="B5908" s="1">
        <v>18891.0</v>
      </c>
      <c r="C5908" s="1">
        <v>1.622103712E9</v>
      </c>
      <c r="D5908" s="1">
        <v>4.0</v>
      </c>
      <c r="E5908" s="1" t="b">
        <v>0</v>
      </c>
      <c r="F5908" s="1" t="s">
        <v>19516</v>
      </c>
    </row>
    <row r="5909">
      <c r="A5909" s="1">
        <v>50129.0</v>
      </c>
      <c r="B5909" s="1">
        <v>18885.0</v>
      </c>
      <c r="C5909" s="1">
        <v>1.622096467E9</v>
      </c>
      <c r="D5909" s="1">
        <v>4.0</v>
      </c>
      <c r="E5909" s="1" t="b">
        <v>0</v>
      </c>
      <c r="F5909" s="1" t="s">
        <v>19517</v>
      </c>
    </row>
    <row r="5910">
      <c r="A5910" s="1">
        <v>50129.0</v>
      </c>
      <c r="B5910" s="1">
        <v>18883.0</v>
      </c>
      <c r="C5910" s="1">
        <v>1.622096576E9</v>
      </c>
      <c r="D5910" s="1">
        <v>4.0</v>
      </c>
      <c r="E5910" s="1" t="b">
        <v>0</v>
      </c>
      <c r="F5910" s="1" t="s">
        <v>19518</v>
      </c>
    </row>
    <row r="5911">
      <c r="A5911" s="1">
        <v>50129.0</v>
      </c>
      <c r="B5911" s="1">
        <v>18861.0</v>
      </c>
      <c r="C5911" s="1">
        <v>1.622053925E9</v>
      </c>
      <c r="D5911" s="1">
        <v>1.0</v>
      </c>
      <c r="E5911" s="1" t="b">
        <v>1</v>
      </c>
      <c r="F5911" s="1" t="s">
        <v>19519</v>
      </c>
      <c r="G5911" s="1" t="b">
        <v>1</v>
      </c>
    </row>
    <row r="5912">
      <c r="A5912" s="1">
        <v>50129.0</v>
      </c>
      <c r="B5912" s="1">
        <v>20281.0</v>
      </c>
      <c r="C5912" s="1">
        <v>1.624193253E9</v>
      </c>
      <c r="D5912" s="1">
        <v>4.0</v>
      </c>
      <c r="E5912" s="1" t="b">
        <v>0</v>
      </c>
      <c r="F5912" s="1" t="s">
        <v>19520</v>
      </c>
    </row>
    <row r="5913">
      <c r="A5913" s="1">
        <v>50129.0</v>
      </c>
      <c r="B5913" s="1">
        <v>18873.0</v>
      </c>
      <c r="C5913" s="1">
        <v>1.622087011E9</v>
      </c>
      <c r="D5913" s="1">
        <v>4.0</v>
      </c>
      <c r="E5913" s="1" t="b">
        <v>0</v>
      </c>
      <c r="F5913" s="1" t="s">
        <v>19521</v>
      </c>
    </row>
    <row r="5914">
      <c r="A5914" s="1">
        <v>50129.0</v>
      </c>
      <c r="B5914" s="1">
        <v>17482.0</v>
      </c>
      <c r="C5914" s="1">
        <v>1.624027415E9</v>
      </c>
      <c r="D5914" s="1">
        <v>4.0</v>
      </c>
      <c r="E5914" s="1" t="b">
        <v>0</v>
      </c>
      <c r="F5914" s="1" t="s">
        <v>17266</v>
      </c>
      <c r="G5914" s="1" t="b">
        <v>1</v>
      </c>
    </row>
    <row r="5915">
      <c r="A5915" s="1">
        <v>50129.0</v>
      </c>
      <c r="B5915" s="1">
        <v>20290.0</v>
      </c>
      <c r="C5915" s="1">
        <v>1.624056903E9</v>
      </c>
      <c r="D5915" s="1">
        <v>9.0</v>
      </c>
      <c r="E5915" s="1" t="b">
        <v>0</v>
      </c>
      <c r="F5915" s="1" t="s">
        <v>19522</v>
      </c>
    </row>
    <row r="5916">
      <c r="A5916" s="1">
        <v>50129.0</v>
      </c>
      <c r="B5916" s="1">
        <v>20320.0</v>
      </c>
      <c r="C5916" s="1">
        <v>1.624111571E9</v>
      </c>
      <c r="D5916" s="1">
        <v>4.0</v>
      </c>
      <c r="E5916" s="1" t="b">
        <v>0</v>
      </c>
      <c r="F5916" s="1" t="s">
        <v>19523</v>
      </c>
    </row>
    <row r="5917">
      <c r="A5917" s="1">
        <v>50129.0</v>
      </c>
      <c r="B5917" s="1">
        <v>18887.0</v>
      </c>
      <c r="C5917" s="1">
        <v>1.622096993E9</v>
      </c>
      <c r="D5917" s="1">
        <v>4.0</v>
      </c>
      <c r="E5917" s="1" t="b">
        <v>0</v>
      </c>
      <c r="F5917" s="1" t="s">
        <v>19524</v>
      </c>
    </row>
    <row r="5918">
      <c r="A5918" s="1">
        <v>50129.0</v>
      </c>
      <c r="B5918" s="1">
        <v>18903.0</v>
      </c>
      <c r="C5918" s="1">
        <v>1.622116045E9</v>
      </c>
      <c r="D5918" s="1">
        <v>4.0</v>
      </c>
      <c r="E5918" s="1" t="b">
        <v>0</v>
      </c>
      <c r="F5918" s="1" t="s">
        <v>19525</v>
      </c>
    </row>
    <row r="5919">
      <c r="A5919" s="1">
        <v>50129.0</v>
      </c>
      <c r="B5919" s="1">
        <v>19039.0</v>
      </c>
      <c r="C5919" s="1">
        <v>1.6222974E9</v>
      </c>
      <c r="D5919" s="1">
        <v>4.0</v>
      </c>
      <c r="E5919" s="1" t="b">
        <v>0</v>
      </c>
      <c r="F5919" s="1" t="s">
        <v>19526</v>
      </c>
    </row>
    <row r="5920">
      <c r="A5920" s="1">
        <v>50129.0</v>
      </c>
      <c r="B5920" s="1">
        <v>18863.0</v>
      </c>
      <c r="C5920" s="1">
        <v>1.622054334E9</v>
      </c>
      <c r="D5920" s="1">
        <v>4.0</v>
      </c>
      <c r="E5920" s="1" t="b">
        <v>0</v>
      </c>
      <c r="F5920" s="1" t="s">
        <v>19527</v>
      </c>
    </row>
    <row r="5921">
      <c r="A5921" s="1">
        <v>50129.0</v>
      </c>
      <c r="B5921" s="1">
        <v>17964.0</v>
      </c>
      <c r="C5921" s="1">
        <v>1.62227396E9</v>
      </c>
      <c r="D5921" s="1">
        <v>4.0</v>
      </c>
      <c r="E5921" s="1" t="b">
        <v>0</v>
      </c>
      <c r="F5921" s="1" t="s">
        <v>19339</v>
      </c>
      <c r="G5921" s="1" t="b">
        <v>1</v>
      </c>
    </row>
    <row r="5922">
      <c r="A5922" s="1">
        <v>50136.0</v>
      </c>
      <c r="B5922" s="1">
        <v>20238.0</v>
      </c>
      <c r="C5922" s="1">
        <v>1.623952293E9</v>
      </c>
      <c r="D5922" s="1">
        <v>4.0</v>
      </c>
      <c r="E5922" s="1" t="b">
        <v>0</v>
      </c>
      <c r="F5922" s="1" t="s">
        <v>19528</v>
      </c>
    </row>
    <row r="5923">
      <c r="A5923" s="1">
        <v>50136.0</v>
      </c>
      <c r="B5923" s="1">
        <v>20096.0</v>
      </c>
      <c r="C5923" s="1">
        <v>1.623764657E9</v>
      </c>
      <c r="D5923" s="1">
        <v>4.0</v>
      </c>
      <c r="E5923" s="1" t="b">
        <v>0</v>
      </c>
      <c r="F5923" s="1" t="s">
        <v>19529</v>
      </c>
    </row>
    <row r="5924">
      <c r="A5924" s="1">
        <v>50136.0</v>
      </c>
      <c r="B5924" s="1">
        <v>20467.0</v>
      </c>
      <c r="C5924" s="1">
        <v>1.624432255E9</v>
      </c>
      <c r="D5924" s="1">
        <v>4.0</v>
      </c>
      <c r="E5924" s="1" t="b">
        <v>0</v>
      </c>
      <c r="F5924" s="1" t="s">
        <v>19530</v>
      </c>
    </row>
    <row r="5925">
      <c r="A5925" s="1">
        <v>50136.0</v>
      </c>
      <c r="B5925" s="1">
        <v>20349.0</v>
      </c>
      <c r="C5925" s="1">
        <v>1.624183679E9</v>
      </c>
      <c r="D5925" s="1">
        <v>4.0</v>
      </c>
      <c r="E5925" s="1" t="b">
        <v>0</v>
      </c>
      <c r="F5925" s="1" t="s">
        <v>19531</v>
      </c>
    </row>
    <row r="5926">
      <c r="A5926" s="1">
        <v>50136.0</v>
      </c>
      <c r="B5926" s="1">
        <v>20312.0</v>
      </c>
      <c r="C5926" s="1">
        <v>1.62410125E9</v>
      </c>
      <c r="D5926" s="1">
        <v>9.0</v>
      </c>
      <c r="E5926" s="1" t="b">
        <v>0</v>
      </c>
      <c r="F5926" s="1" t="s">
        <v>19532</v>
      </c>
    </row>
    <row r="5927">
      <c r="A5927" s="1">
        <v>50136.0</v>
      </c>
      <c r="B5927" s="1">
        <v>20080.0</v>
      </c>
      <c r="C5927" s="1">
        <v>1.623748493E9</v>
      </c>
      <c r="D5927" s="1">
        <v>4.0</v>
      </c>
      <c r="E5927" s="1" t="b">
        <v>0</v>
      </c>
      <c r="F5927" s="1" t="s">
        <v>19533</v>
      </c>
    </row>
    <row r="5928">
      <c r="A5928" s="1">
        <v>50136.0</v>
      </c>
      <c r="B5928" s="1">
        <v>20357.0</v>
      </c>
      <c r="C5928" s="1">
        <v>1.624205249E9</v>
      </c>
      <c r="D5928" s="1">
        <v>4.0</v>
      </c>
      <c r="E5928" s="1" t="b">
        <v>0</v>
      </c>
      <c r="F5928" s="1" t="s">
        <v>19534</v>
      </c>
    </row>
    <row r="5929">
      <c r="A5929" s="1">
        <v>50136.0</v>
      </c>
      <c r="B5929" s="1">
        <v>20384.0</v>
      </c>
      <c r="C5929" s="1">
        <v>1.624263759E9</v>
      </c>
      <c r="D5929" s="1">
        <v>4.0</v>
      </c>
      <c r="E5929" s="1" t="b">
        <v>0</v>
      </c>
      <c r="F5929" s="1" t="s">
        <v>19535</v>
      </c>
    </row>
    <row r="5930">
      <c r="A5930" s="1">
        <v>50136.0</v>
      </c>
      <c r="B5930" s="1">
        <v>20358.0</v>
      </c>
      <c r="C5930" s="1">
        <v>1.624205354E9</v>
      </c>
      <c r="D5930" s="1">
        <v>4.0</v>
      </c>
      <c r="E5930" s="1" t="b">
        <v>0</v>
      </c>
      <c r="F5930" s="1" t="s">
        <v>19536</v>
      </c>
    </row>
    <row r="5931">
      <c r="A5931" s="1">
        <v>50136.0</v>
      </c>
      <c r="B5931" s="1">
        <v>17406.0</v>
      </c>
      <c r="C5931" s="1">
        <v>1.624126476E9</v>
      </c>
      <c r="D5931" s="1">
        <v>4.0</v>
      </c>
      <c r="E5931" s="1" t="b">
        <v>0</v>
      </c>
      <c r="F5931" s="1" t="s">
        <v>16566</v>
      </c>
    </row>
    <row r="5932">
      <c r="A5932" s="1">
        <v>50136.0</v>
      </c>
      <c r="B5932" s="1">
        <v>20159.0</v>
      </c>
      <c r="C5932" s="1">
        <v>1.623850362E9</v>
      </c>
      <c r="D5932" s="1">
        <v>4.0</v>
      </c>
      <c r="E5932" s="1" t="b">
        <v>0</v>
      </c>
      <c r="F5932" s="1" t="s">
        <v>19537</v>
      </c>
    </row>
    <row r="5933">
      <c r="A5933" s="1">
        <v>50136.0</v>
      </c>
      <c r="B5933" s="1">
        <v>20169.0</v>
      </c>
      <c r="C5933" s="1">
        <v>1.623859567E9</v>
      </c>
      <c r="D5933" s="1">
        <v>4.0</v>
      </c>
      <c r="E5933" s="1" t="b">
        <v>0</v>
      </c>
      <c r="F5933" s="1" t="s">
        <v>19538</v>
      </c>
    </row>
    <row r="5934">
      <c r="A5934" s="1">
        <v>50136.0</v>
      </c>
      <c r="B5934" s="1">
        <v>20183.0</v>
      </c>
      <c r="C5934" s="1">
        <v>1.623900592E9</v>
      </c>
      <c r="D5934" s="1">
        <v>4.0</v>
      </c>
      <c r="E5934" s="1" t="b">
        <v>0</v>
      </c>
      <c r="F5934" s="1" t="s">
        <v>19539</v>
      </c>
    </row>
    <row r="5935">
      <c r="A5935" s="1">
        <v>50136.0</v>
      </c>
      <c r="B5935" s="1">
        <v>20226.0</v>
      </c>
      <c r="C5935" s="1">
        <v>1.623944192E9</v>
      </c>
      <c r="D5935" s="1">
        <v>4.0</v>
      </c>
      <c r="E5935" s="1" t="b">
        <v>0</v>
      </c>
      <c r="F5935" s="1" t="s">
        <v>19540</v>
      </c>
    </row>
    <row r="5936">
      <c r="A5936" s="1">
        <v>50136.0</v>
      </c>
      <c r="B5936" s="1">
        <v>20185.0</v>
      </c>
      <c r="C5936" s="1">
        <v>1.623901832E9</v>
      </c>
      <c r="D5936" s="1">
        <v>4.0</v>
      </c>
      <c r="E5936" s="1" t="b">
        <v>0</v>
      </c>
      <c r="F5936" s="1" t="s">
        <v>19541</v>
      </c>
    </row>
    <row r="5937">
      <c r="A5937" s="1">
        <v>50136.0</v>
      </c>
      <c r="B5937" s="1">
        <v>20411.0</v>
      </c>
      <c r="C5937" s="1">
        <v>1.624318931E9</v>
      </c>
      <c r="D5937" s="1">
        <v>4.0</v>
      </c>
      <c r="E5937" s="1" t="b">
        <v>0</v>
      </c>
      <c r="F5937" s="1" t="s">
        <v>16987</v>
      </c>
    </row>
    <row r="5938">
      <c r="A5938" s="1">
        <v>50136.0</v>
      </c>
      <c r="B5938" s="1">
        <v>20270.0</v>
      </c>
      <c r="C5938" s="1">
        <v>1.624118998E9</v>
      </c>
      <c r="D5938" s="1">
        <v>4.0</v>
      </c>
      <c r="E5938" s="1" t="b">
        <v>0</v>
      </c>
      <c r="F5938" s="1" t="s">
        <v>19542</v>
      </c>
    </row>
    <row r="5939">
      <c r="A5939" s="1">
        <v>50136.0</v>
      </c>
      <c r="B5939" s="1">
        <v>20307.0</v>
      </c>
      <c r="C5939" s="1">
        <v>1.624090896E9</v>
      </c>
      <c r="D5939" s="1">
        <v>4.0</v>
      </c>
      <c r="E5939" s="1" t="b">
        <v>0</v>
      </c>
      <c r="F5939" s="1" t="s">
        <v>19543</v>
      </c>
    </row>
    <row r="5940">
      <c r="A5940" s="1">
        <v>50136.0</v>
      </c>
      <c r="B5940" s="1">
        <v>20171.0</v>
      </c>
      <c r="C5940" s="1">
        <v>1.623861359E9</v>
      </c>
      <c r="D5940" s="1">
        <v>4.0</v>
      </c>
      <c r="E5940" s="1" t="b">
        <v>0</v>
      </c>
      <c r="F5940" s="1" t="s">
        <v>19544</v>
      </c>
    </row>
    <row r="5941">
      <c r="A5941" s="1">
        <v>50136.0</v>
      </c>
      <c r="B5941" s="1">
        <v>19242.0</v>
      </c>
      <c r="C5941" s="1">
        <v>1.622522701E9</v>
      </c>
      <c r="D5941" s="1">
        <v>4.0</v>
      </c>
      <c r="E5941" s="1" t="b">
        <v>0</v>
      </c>
      <c r="F5941" s="1" t="s">
        <v>19545</v>
      </c>
      <c r="G5941" s="1" t="b">
        <v>1</v>
      </c>
    </row>
    <row r="5942">
      <c r="A5942" s="1">
        <v>50136.0</v>
      </c>
      <c r="B5942" s="1">
        <v>20423.0</v>
      </c>
      <c r="C5942" s="1">
        <v>1.624345445E9</v>
      </c>
      <c r="D5942" s="1">
        <v>4.0</v>
      </c>
      <c r="E5942" s="1" t="b">
        <v>0</v>
      </c>
      <c r="F5942" s="1" t="s">
        <v>19546</v>
      </c>
    </row>
    <row r="5943">
      <c r="A5943" s="1">
        <v>50136.0</v>
      </c>
      <c r="B5943" s="1">
        <v>20249.0</v>
      </c>
      <c r="C5943" s="1">
        <v>1.623981276E9</v>
      </c>
      <c r="D5943" s="1">
        <v>4.0</v>
      </c>
      <c r="E5943" s="1" t="b">
        <v>0</v>
      </c>
      <c r="F5943" s="1" t="s">
        <v>19547</v>
      </c>
    </row>
    <row r="5944">
      <c r="A5944" s="1">
        <v>50136.0</v>
      </c>
      <c r="B5944" s="1">
        <v>20079.0</v>
      </c>
      <c r="C5944" s="1">
        <v>1.623747525E9</v>
      </c>
      <c r="D5944" s="1">
        <v>4.0</v>
      </c>
      <c r="E5944" s="1" t="b">
        <v>0</v>
      </c>
      <c r="F5944" s="1" t="s">
        <v>19548</v>
      </c>
    </row>
    <row r="5945">
      <c r="A5945" s="1">
        <v>50136.0</v>
      </c>
      <c r="B5945" s="1">
        <v>20244.0</v>
      </c>
      <c r="C5945" s="1">
        <v>1.623963741E9</v>
      </c>
      <c r="D5945" s="1">
        <v>4.0</v>
      </c>
      <c r="E5945" s="1" t="b">
        <v>0</v>
      </c>
      <c r="F5945" s="1" t="s">
        <v>19549</v>
      </c>
    </row>
    <row r="5946">
      <c r="A5946" s="1">
        <v>50136.0</v>
      </c>
      <c r="B5946" s="1">
        <v>16887.0</v>
      </c>
      <c r="C5946" s="1">
        <v>1.623951797E9</v>
      </c>
      <c r="D5946" s="1">
        <v>4.0</v>
      </c>
      <c r="E5946" s="1" t="b">
        <v>0</v>
      </c>
      <c r="F5946" s="1" t="s">
        <v>16384</v>
      </c>
    </row>
    <row r="5947">
      <c r="A5947" s="1">
        <v>50136.0</v>
      </c>
      <c r="B5947" s="1">
        <v>20111.0</v>
      </c>
      <c r="C5947" s="1">
        <v>1.623793115E9</v>
      </c>
      <c r="D5947" s="1">
        <v>4.0</v>
      </c>
      <c r="E5947" s="1" t="b">
        <v>0</v>
      </c>
      <c r="F5947" s="1" t="s">
        <v>19550</v>
      </c>
    </row>
    <row r="5948">
      <c r="A5948" s="1">
        <v>50136.0</v>
      </c>
      <c r="B5948" s="1">
        <v>20097.0</v>
      </c>
      <c r="C5948" s="1">
        <v>1.623766643E9</v>
      </c>
      <c r="D5948" s="1">
        <v>4.0</v>
      </c>
      <c r="E5948" s="1" t="b">
        <v>0</v>
      </c>
      <c r="F5948" s="1" t="s">
        <v>19551</v>
      </c>
    </row>
    <row r="5949">
      <c r="A5949" s="1">
        <v>50136.0</v>
      </c>
      <c r="B5949" s="1">
        <v>20325.0</v>
      </c>
      <c r="C5949" s="1">
        <v>1.624432264E9</v>
      </c>
      <c r="D5949" s="1">
        <v>4.0</v>
      </c>
      <c r="E5949" s="1" t="b">
        <v>0</v>
      </c>
      <c r="F5949" s="1" t="s">
        <v>19552</v>
      </c>
    </row>
    <row r="5950">
      <c r="A5950" s="1">
        <v>50136.0</v>
      </c>
      <c r="B5950" s="1">
        <v>20149.0</v>
      </c>
      <c r="C5950" s="1">
        <v>1.623836888E9</v>
      </c>
      <c r="D5950" s="1">
        <v>4.0</v>
      </c>
      <c r="E5950" s="1" t="b">
        <v>0</v>
      </c>
      <c r="F5950" s="1" t="s">
        <v>19553</v>
      </c>
    </row>
    <row r="5951">
      <c r="A5951" s="1">
        <v>50136.0</v>
      </c>
      <c r="B5951" s="1">
        <v>20474.0</v>
      </c>
      <c r="C5951" s="1">
        <v>0.0</v>
      </c>
      <c r="D5951" s="1">
        <v>4.0</v>
      </c>
      <c r="E5951" s="1" t="b">
        <v>0</v>
      </c>
      <c r="F5951" s="1" t="s">
        <v>19554</v>
      </c>
    </row>
    <row r="5952">
      <c r="A5952" s="1">
        <v>50136.0</v>
      </c>
      <c r="B5952" s="1">
        <v>19625.0</v>
      </c>
      <c r="C5952" s="1">
        <v>1.623745982E9</v>
      </c>
      <c r="D5952" s="1">
        <v>4.0</v>
      </c>
      <c r="E5952" s="1" t="b">
        <v>0</v>
      </c>
      <c r="F5952" s="1" t="s">
        <v>16370</v>
      </c>
    </row>
    <row r="5953">
      <c r="A5953" s="1">
        <v>50136.0</v>
      </c>
      <c r="B5953" s="1">
        <v>20487.0</v>
      </c>
      <c r="C5953" s="1">
        <v>1.624435498E9</v>
      </c>
      <c r="D5953" s="1">
        <v>4.0</v>
      </c>
      <c r="E5953" s="1" t="b">
        <v>0</v>
      </c>
      <c r="F5953" s="1" t="s">
        <v>19555</v>
      </c>
    </row>
    <row r="5954">
      <c r="A5954" s="1">
        <v>50136.0</v>
      </c>
      <c r="B5954" s="1">
        <v>20305.0</v>
      </c>
      <c r="C5954" s="1">
        <v>1.624089743E9</v>
      </c>
      <c r="D5954" s="1">
        <v>4.0</v>
      </c>
      <c r="E5954" s="1" t="b">
        <v>0</v>
      </c>
      <c r="F5954" s="1" t="s">
        <v>19556</v>
      </c>
    </row>
    <row r="5955">
      <c r="A5955" s="1">
        <v>50136.0</v>
      </c>
      <c r="B5955" s="1">
        <v>18543.0</v>
      </c>
      <c r="C5955" s="1">
        <v>1.622286493E9</v>
      </c>
      <c r="D5955" s="1">
        <v>1.0</v>
      </c>
      <c r="E5955" s="1" t="b">
        <v>1</v>
      </c>
      <c r="F5955" s="1" t="s">
        <v>16815</v>
      </c>
    </row>
    <row r="5956">
      <c r="A5956" s="1">
        <v>50136.0</v>
      </c>
      <c r="B5956" s="1">
        <v>20356.0</v>
      </c>
      <c r="C5956" s="1">
        <v>1.624204191E9</v>
      </c>
      <c r="D5956" s="1">
        <v>4.0</v>
      </c>
      <c r="E5956" s="1" t="b">
        <v>0</v>
      </c>
      <c r="F5956" s="1" t="s">
        <v>19557</v>
      </c>
    </row>
    <row r="5957">
      <c r="A5957" s="1">
        <v>50136.0</v>
      </c>
      <c r="B5957" s="1">
        <v>19499.0</v>
      </c>
      <c r="C5957" s="1">
        <v>1.622814648E9</v>
      </c>
      <c r="D5957" s="1">
        <v>4.0</v>
      </c>
      <c r="E5957" s="1" t="b">
        <v>0</v>
      </c>
      <c r="F5957" s="1" t="s">
        <v>19558</v>
      </c>
      <c r="G5957" s="1" t="b">
        <v>1</v>
      </c>
    </row>
    <row r="5958">
      <c r="A5958" s="1">
        <v>50136.0</v>
      </c>
      <c r="B5958" s="1">
        <v>20476.0</v>
      </c>
      <c r="C5958" s="1">
        <v>0.0</v>
      </c>
      <c r="D5958" s="1">
        <v>4.0</v>
      </c>
      <c r="E5958" s="1" t="b">
        <v>0</v>
      </c>
      <c r="F5958" s="1" t="s">
        <v>19559</v>
      </c>
    </row>
    <row r="5959">
      <c r="A5959" s="1">
        <v>50136.0</v>
      </c>
      <c r="B5959" s="1">
        <v>20370.0</v>
      </c>
      <c r="C5959" s="1">
        <v>1.624246585E9</v>
      </c>
      <c r="D5959" s="1">
        <v>4.0</v>
      </c>
      <c r="E5959" s="1" t="b">
        <v>0</v>
      </c>
      <c r="F5959" s="1" t="s">
        <v>19560</v>
      </c>
    </row>
    <row r="5960">
      <c r="A5960" s="1">
        <v>50136.0</v>
      </c>
      <c r="B5960" s="1">
        <v>20231.0</v>
      </c>
      <c r="C5960" s="1">
        <v>1.623945032E9</v>
      </c>
      <c r="D5960" s="1">
        <v>4.0</v>
      </c>
      <c r="E5960" s="1" t="b">
        <v>0</v>
      </c>
      <c r="F5960" s="1" t="s">
        <v>19561</v>
      </c>
    </row>
    <row r="5961">
      <c r="A5961" s="1">
        <v>50136.0</v>
      </c>
      <c r="B5961" s="1">
        <v>19458.0</v>
      </c>
      <c r="C5961" s="1">
        <v>1.622729172E9</v>
      </c>
      <c r="D5961" s="1">
        <v>4.0</v>
      </c>
      <c r="E5961" s="1" t="b">
        <v>0</v>
      </c>
      <c r="F5961" s="1" t="s">
        <v>19562</v>
      </c>
      <c r="G5961" s="1" t="b">
        <v>1</v>
      </c>
    </row>
    <row r="5962">
      <c r="A5962" s="1">
        <v>50136.0</v>
      </c>
      <c r="B5962" s="1">
        <v>19474.0</v>
      </c>
      <c r="C5962" s="1">
        <v>1.62274204E9</v>
      </c>
      <c r="D5962" s="1">
        <v>4.0</v>
      </c>
      <c r="E5962" s="1" t="b">
        <v>0</v>
      </c>
      <c r="F5962" s="1" t="s">
        <v>19563</v>
      </c>
      <c r="G5962" s="1" t="b">
        <v>1</v>
      </c>
    </row>
    <row r="5963">
      <c r="A5963" s="1">
        <v>50136.0</v>
      </c>
      <c r="B5963" s="1">
        <v>20378.0</v>
      </c>
      <c r="C5963" s="1">
        <v>1.624258416E9</v>
      </c>
      <c r="D5963" s="1">
        <v>4.0</v>
      </c>
      <c r="E5963" s="1" t="b">
        <v>0</v>
      </c>
      <c r="F5963" s="1" t="s">
        <v>19564</v>
      </c>
    </row>
    <row r="5964">
      <c r="A5964" s="1">
        <v>50136.0</v>
      </c>
      <c r="B5964" s="1">
        <v>20077.0</v>
      </c>
      <c r="C5964" s="1">
        <v>1.623745619E9</v>
      </c>
      <c r="D5964" s="1">
        <v>4.0</v>
      </c>
      <c r="E5964" s="1" t="b">
        <v>0</v>
      </c>
      <c r="F5964" s="1" t="s">
        <v>19565</v>
      </c>
    </row>
    <row r="5965">
      <c r="A5965" s="1">
        <v>50136.0</v>
      </c>
      <c r="B5965" s="1">
        <v>20436.0</v>
      </c>
      <c r="C5965" s="1">
        <v>1.624362474E9</v>
      </c>
      <c r="D5965" s="1">
        <v>4.0</v>
      </c>
      <c r="E5965" s="1" t="b">
        <v>0</v>
      </c>
      <c r="F5965" s="1" t="s">
        <v>19566</v>
      </c>
    </row>
    <row r="5966">
      <c r="A5966" s="1">
        <v>50136.0</v>
      </c>
      <c r="B5966" s="1">
        <v>20434.0</v>
      </c>
      <c r="C5966" s="1">
        <v>1.624361261E9</v>
      </c>
      <c r="D5966" s="1">
        <v>4.0</v>
      </c>
      <c r="E5966" s="1" t="b">
        <v>0</v>
      </c>
      <c r="F5966" s="1" t="s">
        <v>19567</v>
      </c>
    </row>
    <row r="5967">
      <c r="A5967" s="1">
        <v>50136.0</v>
      </c>
      <c r="B5967" s="1">
        <v>18617.0</v>
      </c>
      <c r="C5967" s="1">
        <v>1.623649302E9</v>
      </c>
      <c r="D5967" s="1">
        <v>1.0</v>
      </c>
      <c r="E5967" s="1" t="b">
        <v>0</v>
      </c>
      <c r="F5967" s="1" t="s">
        <v>19568</v>
      </c>
    </row>
    <row r="5968">
      <c r="A5968" s="1">
        <v>50136.0</v>
      </c>
      <c r="B5968" s="1">
        <v>20213.0</v>
      </c>
      <c r="C5968" s="1">
        <v>1.623932536E9</v>
      </c>
      <c r="D5968" s="1">
        <v>4.0</v>
      </c>
      <c r="E5968" s="1" t="b">
        <v>0</v>
      </c>
      <c r="F5968" s="1" t="s">
        <v>19569</v>
      </c>
    </row>
    <row r="5969">
      <c r="A5969" s="1">
        <v>50136.0</v>
      </c>
      <c r="B5969" s="1">
        <v>20107.0</v>
      </c>
      <c r="C5969" s="1">
        <v>1.62377921E9</v>
      </c>
      <c r="D5969" s="1">
        <v>4.0</v>
      </c>
      <c r="E5969" s="1" t="b">
        <v>0</v>
      </c>
      <c r="F5969" s="1" t="s">
        <v>19570</v>
      </c>
    </row>
    <row r="5970">
      <c r="A5970" s="1">
        <v>50136.0</v>
      </c>
      <c r="B5970" s="1">
        <v>20424.0</v>
      </c>
      <c r="C5970" s="1">
        <v>1.624349571E9</v>
      </c>
      <c r="D5970" s="1">
        <v>4.0</v>
      </c>
      <c r="E5970" s="1" t="b">
        <v>0</v>
      </c>
      <c r="F5970" s="1" t="s">
        <v>19571</v>
      </c>
    </row>
    <row r="5971">
      <c r="A5971" s="1">
        <v>50136.0</v>
      </c>
      <c r="B5971" s="1">
        <v>18534.0</v>
      </c>
      <c r="C5971" s="1">
        <v>1.623899814E9</v>
      </c>
      <c r="D5971" s="1">
        <v>4.0</v>
      </c>
      <c r="E5971" s="1" t="b">
        <v>0</v>
      </c>
      <c r="F5971" s="1" t="s">
        <v>18787</v>
      </c>
    </row>
    <row r="5972">
      <c r="A5972" s="1">
        <v>50136.0</v>
      </c>
      <c r="B5972" s="1">
        <v>20339.0</v>
      </c>
      <c r="C5972" s="1">
        <v>1.624167682E9</v>
      </c>
      <c r="D5972" s="1">
        <v>4.0</v>
      </c>
      <c r="E5972" s="1" t="b">
        <v>0</v>
      </c>
      <c r="F5972" s="1" t="s">
        <v>19572</v>
      </c>
    </row>
    <row r="5973">
      <c r="A5973" s="1">
        <v>50136.0</v>
      </c>
      <c r="B5973" s="1">
        <v>17692.0</v>
      </c>
      <c r="C5973" s="1">
        <v>1.624044674E9</v>
      </c>
      <c r="D5973" s="1">
        <v>4.0</v>
      </c>
      <c r="E5973" s="1" t="b">
        <v>0</v>
      </c>
      <c r="F5973" s="1" t="s">
        <v>18338</v>
      </c>
    </row>
    <row r="5974">
      <c r="A5974" s="1">
        <v>50136.0</v>
      </c>
      <c r="B5974" s="1">
        <v>20285.0</v>
      </c>
      <c r="C5974" s="1">
        <v>1.624035952E9</v>
      </c>
      <c r="D5974" s="1">
        <v>4.0</v>
      </c>
      <c r="E5974" s="1" t="b">
        <v>0</v>
      </c>
      <c r="F5974" s="1" t="s">
        <v>19573</v>
      </c>
    </row>
    <row r="5975">
      <c r="A5975" s="1">
        <v>50136.0</v>
      </c>
      <c r="B5975" s="1">
        <v>18619.0</v>
      </c>
      <c r="C5975" s="1">
        <v>1.622311505E9</v>
      </c>
      <c r="D5975" s="1">
        <v>4.0</v>
      </c>
      <c r="E5975" s="1" t="b">
        <v>0</v>
      </c>
      <c r="F5975" s="1" t="s">
        <v>19514</v>
      </c>
    </row>
    <row r="5976">
      <c r="A5976" s="1">
        <v>50136.0</v>
      </c>
      <c r="B5976" s="1">
        <v>20084.0</v>
      </c>
      <c r="C5976" s="1">
        <v>1.623750239E9</v>
      </c>
      <c r="D5976" s="1">
        <v>4.0</v>
      </c>
      <c r="E5976" s="1" t="b">
        <v>0</v>
      </c>
      <c r="F5976" s="1" t="s">
        <v>19574</v>
      </c>
    </row>
    <row r="5977">
      <c r="A5977" s="1">
        <v>50136.0</v>
      </c>
      <c r="B5977" s="1">
        <v>20101.0</v>
      </c>
      <c r="C5977" s="1">
        <v>1.623772248E9</v>
      </c>
      <c r="D5977" s="1">
        <v>4.0</v>
      </c>
      <c r="E5977" s="1" t="b">
        <v>0</v>
      </c>
      <c r="F5977" s="1" t="s">
        <v>19575</v>
      </c>
    </row>
    <row r="5978">
      <c r="A5978" s="1">
        <v>50143.0</v>
      </c>
      <c r="B5978" s="1">
        <v>20110.0</v>
      </c>
      <c r="C5978" s="1">
        <v>1.623790377E9</v>
      </c>
      <c r="D5978" s="1">
        <v>4.0</v>
      </c>
      <c r="E5978" s="1" t="b">
        <v>0</v>
      </c>
      <c r="F5978" s="1" t="s">
        <v>19576</v>
      </c>
    </row>
    <row r="5979">
      <c r="A5979" s="1">
        <v>50143.0</v>
      </c>
      <c r="B5979" s="1">
        <v>20444.0</v>
      </c>
      <c r="C5979" s="1">
        <v>0.0</v>
      </c>
      <c r="D5979" s="1">
        <v>4.0</v>
      </c>
      <c r="E5979" s="1" t="b">
        <v>0</v>
      </c>
      <c r="F5979" s="1" t="s">
        <v>17707</v>
      </c>
    </row>
    <row r="5980">
      <c r="A5980" s="1">
        <v>50143.0</v>
      </c>
      <c r="B5980" s="1">
        <v>16743.0</v>
      </c>
      <c r="C5980" s="1">
        <v>1.622442873E9</v>
      </c>
      <c r="D5980" s="1">
        <v>4.0</v>
      </c>
      <c r="E5980" s="1" t="b">
        <v>0</v>
      </c>
      <c r="F5980" s="1" t="s">
        <v>13986</v>
      </c>
      <c r="G5980" s="1" t="b">
        <v>1</v>
      </c>
    </row>
    <row r="5981">
      <c r="A5981" s="1">
        <v>50143.0</v>
      </c>
      <c r="B5981" s="1">
        <v>19796.0</v>
      </c>
      <c r="C5981" s="1">
        <v>1.623322874E9</v>
      </c>
      <c r="D5981" s="1">
        <v>4.0</v>
      </c>
      <c r="E5981" s="1" t="b">
        <v>0</v>
      </c>
      <c r="F5981" s="1" t="s">
        <v>19577</v>
      </c>
    </row>
    <row r="5982">
      <c r="A5982" s="1">
        <v>50143.0</v>
      </c>
      <c r="B5982" s="1">
        <v>17382.0</v>
      </c>
      <c r="C5982" s="1">
        <v>1.622437685E9</v>
      </c>
      <c r="D5982" s="1">
        <v>1.0</v>
      </c>
      <c r="E5982" s="1" t="b">
        <v>1</v>
      </c>
      <c r="F5982" s="1" t="s">
        <v>19578</v>
      </c>
    </row>
    <row r="5983">
      <c r="A5983" s="1">
        <v>50143.0</v>
      </c>
      <c r="B5983" s="1">
        <v>20156.0</v>
      </c>
      <c r="C5983" s="1">
        <v>1.623931706E9</v>
      </c>
      <c r="D5983" s="1">
        <v>4.0</v>
      </c>
      <c r="E5983" s="1" t="b">
        <v>0</v>
      </c>
      <c r="F5983" s="1" t="s">
        <v>19579</v>
      </c>
    </row>
    <row r="5984">
      <c r="A5984" s="1">
        <v>50143.0</v>
      </c>
      <c r="B5984" s="1">
        <v>19814.0</v>
      </c>
      <c r="C5984" s="1">
        <v>1.62333447E9</v>
      </c>
      <c r="D5984" s="1">
        <v>4.0</v>
      </c>
      <c r="E5984" s="1" t="b">
        <v>0</v>
      </c>
      <c r="F5984" s="1" t="s">
        <v>19580</v>
      </c>
    </row>
    <row r="5985">
      <c r="A5985" s="1">
        <v>50143.0</v>
      </c>
      <c r="B5985" s="1">
        <v>19967.0</v>
      </c>
      <c r="C5985" s="1">
        <v>1.624171615E9</v>
      </c>
      <c r="D5985" s="1">
        <v>4.0</v>
      </c>
      <c r="E5985" s="1" t="b">
        <v>0</v>
      </c>
      <c r="F5985" s="1" t="s">
        <v>17055</v>
      </c>
    </row>
    <row r="5986">
      <c r="A5986" s="1">
        <v>50143.0</v>
      </c>
      <c r="B5986" s="1">
        <v>19849.0</v>
      </c>
      <c r="C5986" s="1">
        <v>1.623405553E9</v>
      </c>
      <c r="D5986" s="1">
        <v>4.0</v>
      </c>
      <c r="E5986" s="1" t="b">
        <v>0</v>
      </c>
      <c r="F5986" s="1" t="s">
        <v>15671</v>
      </c>
      <c r="G5986" s="1" t="b">
        <v>1</v>
      </c>
    </row>
    <row r="5987">
      <c r="A5987" s="1">
        <v>50143.0</v>
      </c>
      <c r="B5987" s="1">
        <v>19847.0</v>
      </c>
      <c r="C5987" s="1">
        <v>1.623393349E9</v>
      </c>
      <c r="D5987" s="1">
        <v>4.0</v>
      </c>
      <c r="E5987" s="1" t="b">
        <v>0</v>
      </c>
      <c r="F5987" s="1" t="s">
        <v>19581</v>
      </c>
      <c r="G5987" s="1" t="b">
        <v>1</v>
      </c>
    </row>
    <row r="5988">
      <c r="A5988" s="1">
        <v>50143.0</v>
      </c>
      <c r="B5988" s="1">
        <v>20163.0</v>
      </c>
      <c r="C5988" s="1">
        <v>1.623856476E9</v>
      </c>
      <c r="D5988" s="1">
        <v>4.0</v>
      </c>
      <c r="E5988" s="1" t="b">
        <v>0</v>
      </c>
      <c r="F5988" s="1" t="s">
        <v>19582</v>
      </c>
    </row>
    <row r="5989">
      <c r="A5989" s="1">
        <v>50146.0</v>
      </c>
      <c r="B5989" s="1">
        <v>19859.0</v>
      </c>
      <c r="C5989" s="1">
        <v>1.623930628E9</v>
      </c>
      <c r="D5989" s="1">
        <v>4.0</v>
      </c>
      <c r="E5989" s="1" t="b">
        <v>0</v>
      </c>
      <c r="F5989" s="1" t="s">
        <v>19161</v>
      </c>
      <c r="G5989" s="1" t="b">
        <v>1</v>
      </c>
    </row>
    <row r="5990">
      <c r="A5990" s="1">
        <v>50146.0</v>
      </c>
      <c r="B5990" s="1">
        <v>18619.0</v>
      </c>
      <c r="C5990" s="1">
        <v>1.622459498E9</v>
      </c>
      <c r="D5990" s="1">
        <v>4.0</v>
      </c>
      <c r="E5990" s="1" t="b">
        <v>0</v>
      </c>
      <c r="F5990" s="1" t="s">
        <v>19514</v>
      </c>
    </row>
    <row r="5991">
      <c r="A5991" s="1">
        <v>50146.0</v>
      </c>
      <c r="B5991" s="1">
        <v>18058.0</v>
      </c>
      <c r="C5991" s="1">
        <v>1.622459058E9</v>
      </c>
      <c r="D5991" s="1">
        <v>1.0</v>
      </c>
      <c r="E5991" s="1" t="b">
        <v>1</v>
      </c>
      <c r="F5991" s="1" t="s">
        <v>19583</v>
      </c>
    </row>
    <row r="5992">
      <c r="A5992" s="1">
        <v>50146.0</v>
      </c>
      <c r="B5992" s="1">
        <v>19176.0</v>
      </c>
      <c r="C5992" s="1">
        <v>1.622459564E9</v>
      </c>
      <c r="D5992" s="1">
        <v>4.0</v>
      </c>
      <c r="E5992" s="1" t="b">
        <v>0</v>
      </c>
      <c r="F5992" s="1" t="s">
        <v>19584</v>
      </c>
      <c r="G5992" s="1" t="b">
        <v>1</v>
      </c>
    </row>
    <row r="5993">
      <c r="A5993" s="1">
        <v>50146.0</v>
      </c>
      <c r="B5993" s="1">
        <v>19175.0</v>
      </c>
      <c r="C5993" s="1">
        <v>1.622459505E9</v>
      </c>
      <c r="D5993" s="1">
        <v>4.0</v>
      </c>
      <c r="E5993" s="1" t="b">
        <v>0</v>
      </c>
      <c r="F5993" s="1" t="s">
        <v>19584</v>
      </c>
      <c r="G5993" s="1" t="b">
        <v>1</v>
      </c>
    </row>
    <row r="5994">
      <c r="A5994" s="1">
        <v>50146.0</v>
      </c>
      <c r="B5994" s="1">
        <v>18016.0</v>
      </c>
      <c r="C5994" s="1">
        <v>1.622459238E9</v>
      </c>
      <c r="D5994" s="1">
        <v>4.0</v>
      </c>
      <c r="E5994" s="1" t="b">
        <v>0</v>
      </c>
      <c r="F5994" s="1" t="s">
        <v>19513</v>
      </c>
      <c r="G5994" s="1" t="b">
        <v>1</v>
      </c>
    </row>
    <row r="5995">
      <c r="A5995" s="1">
        <v>50146.0</v>
      </c>
      <c r="B5995" s="1">
        <v>18617.0</v>
      </c>
      <c r="C5995" s="1">
        <v>1.622459483E9</v>
      </c>
      <c r="D5995" s="1">
        <v>4.0</v>
      </c>
      <c r="E5995" s="1" t="b">
        <v>0</v>
      </c>
      <c r="F5995" s="1" t="s">
        <v>19568</v>
      </c>
      <c r="G5995" s="1" t="b">
        <v>1</v>
      </c>
    </row>
    <row r="5996">
      <c r="A5996" s="1">
        <v>50147.0</v>
      </c>
      <c r="B5996" s="1">
        <v>19215.0</v>
      </c>
      <c r="C5996" s="1">
        <v>1.622484068E9</v>
      </c>
      <c r="D5996" s="1">
        <v>4.0</v>
      </c>
      <c r="E5996" s="1" t="b">
        <v>0</v>
      </c>
      <c r="F5996" s="1" t="s">
        <v>19585</v>
      </c>
      <c r="G5996" s="1" t="b">
        <v>1</v>
      </c>
    </row>
    <row r="5997">
      <c r="A5997" s="1">
        <v>50147.0</v>
      </c>
      <c r="B5997" s="1">
        <v>18619.0</v>
      </c>
      <c r="C5997" s="1">
        <v>1.622483544E9</v>
      </c>
      <c r="D5997" s="1">
        <v>4.0</v>
      </c>
      <c r="E5997" s="1" t="b">
        <v>0</v>
      </c>
      <c r="F5997" s="1" t="s">
        <v>19514</v>
      </c>
    </row>
    <row r="5998">
      <c r="A5998" s="1">
        <v>50147.0</v>
      </c>
      <c r="B5998" s="1">
        <v>18016.0</v>
      </c>
      <c r="C5998" s="1">
        <v>1.622466912E9</v>
      </c>
      <c r="D5998" s="1">
        <v>4.0</v>
      </c>
      <c r="E5998" s="1" t="b">
        <v>0</v>
      </c>
      <c r="F5998" s="1" t="s">
        <v>19513</v>
      </c>
      <c r="G5998" s="1" t="b">
        <v>1</v>
      </c>
    </row>
    <row r="5999">
      <c r="A5999" s="1">
        <v>50147.0</v>
      </c>
      <c r="B5999" s="1">
        <v>19209.0</v>
      </c>
      <c r="C5999" s="1">
        <v>1.622476712E9</v>
      </c>
      <c r="D5999" s="1">
        <v>4.0</v>
      </c>
      <c r="E5999" s="1" t="b">
        <v>0</v>
      </c>
      <c r="F5999" s="1" t="s">
        <v>19586</v>
      </c>
      <c r="G5999" s="1" t="b">
        <v>1</v>
      </c>
    </row>
    <row r="6000">
      <c r="A6000" s="1">
        <v>50147.0</v>
      </c>
      <c r="B6000" s="1">
        <v>18348.0</v>
      </c>
      <c r="C6000" s="1">
        <v>1.622466778E9</v>
      </c>
      <c r="D6000" s="1">
        <v>1.0</v>
      </c>
      <c r="E6000" s="1" t="b">
        <v>1</v>
      </c>
      <c r="F6000" s="1" t="s">
        <v>18661</v>
      </c>
    </row>
    <row r="6001">
      <c r="A6001" s="1">
        <v>50147.0</v>
      </c>
      <c r="B6001" s="1">
        <v>19243.0</v>
      </c>
      <c r="C6001" s="1">
        <v>1.62252344E9</v>
      </c>
      <c r="D6001" s="1">
        <v>4.0</v>
      </c>
      <c r="E6001" s="1" t="b">
        <v>0</v>
      </c>
      <c r="F6001" s="1" t="s">
        <v>19587</v>
      </c>
      <c r="G6001" s="1" t="b">
        <v>1</v>
      </c>
    </row>
    <row r="6002">
      <c r="A6002" s="1">
        <v>50147.0</v>
      </c>
      <c r="B6002" s="1">
        <v>19211.0</v>
      </c>
      <c r="C6002" s="1">
        <v>1.622477997E9</v>
      </c>
      <c r="D6002" s="1">
        <v>4.0</v>
      </c>
      <c r="E6002" s="1" t="b">
        <v>0</v>
      </c>
      <c r="F6002" s="1" t="s">
        <v>19588</v>
      </c>
      <c r="G6002" s="1" t="b">
        <v>1</v>
      </c>
    </row>
    <row r="6003">
      <c r="A6003" s="1">
        <v>50147.0</v>
      </c>
      <c r="B6003" s="1">
        <v>18617.0</v>
      </c>
      <c r="C6003" s="1">
        <v>1.622467457E9</v>
      </c>
      <c r="D6003" s="1">
        <v>4.0</v>
      </c>
      <c r="E6003" s="1" t="b">
        <v>0</v>
      </c>
      <c r="F6003" s="1" t="s">
        <v>19568</v>
      </c>
      <c r="G6003" s="1" t="b">
        <v>1</v>
      </c>
    </row>
    <row r="6004">
      <c r="A6004" s="1">
        <v>50147.0</v>
      </c>
      <c r="B6004" s="1">
        <v>19214.0</v>
      </c>
      <c r="C6004" s="1">
        <v>1.622482998E9</v>
      </c>
      <c r="D6004" s="1">
        <v>4.0</v>
      </c>
      <c r="E6004" s="1" t="b">
        <v>0</v>
      </c>
      <c r="F6004" s="1" t="s">
        <v>19589</v>
      </c>
      <c r="G6004" s="1" t="b">
        <v>1</v>
      </c>
    </row>
    <row r="6005">
      <c r="A6005" s="1">
        <v>50148.0</v>
      </c>
      <c r="B6005" s="1">
        <v>19194.0</v>
      </c>
      <c r="C6005" s="1">
        <v>1.622468451E9</v>
      </c>
      <c r="D6005" s="1">
        <v>9.0</v>
      </c>
      <c r="E6005" s="1" t="b">
        <v>0</v>
      </c>
      <c r="F6005" s="1" t="s">
        <v>19590</v>
      </c>
      <c r="G6005" s="1" t="b">
        <v>1</v>
      </c>
    </row>
    <row r="6006">
      <c r="A6006" s="1">
        <v>50148.0</v>
      </c>
      <c r="B6006" s="1">
        <v>18617.0</v>
      </c>
      <c r="C6006" s="1">
        <v>1.622468175E9</v>
      </c>
      <c r="D6006" s="1">
        <v>4.0</v>
      </c>
      <c r="E6006" s="1" t="b">
        <v>0</v>
      </c>
      <c r="F6006" s="1" t="s">
        <v>19568</v>
      </c>
      <c r="G6006" s="1" t="b">
        <v>1</v>
      </c>
    </row>
    <row r="6007">
      <c r="A6007" s="1">
        <v>50148.0</v>
      </c>
      <c r="B6007" s="1">
        <v>18016.0</v>
      </c>
      <c r="C6007" s="1">
        <v>1.622468087E9</v>
      </c>
      <c r="D6007" s="1">
        <v>4.0</v>
      </c>
      <c r="E6007" s="1" t="b">
        <v>0</v>
      </c>
      <c r="F6007" s="1" t="s">
        <v>19513</v>
      </c>
      <c r="G6007" s="1" t="b">
        <v>1</v>
      </c>
    </row>
    <row r="6008">
      <c r="A6008" s="1">
        <v>50148.0</v>
      </c>
      <c r="B6008" s="1">
        <v>18068.0</v>
      </c>
      <c r="C6008" s="1">
        <v>1.622467676E9</v>
      </c>
      <c r="D6008" s="1">
        <v>1.0</v>
      </c>
      <c r="E6008" s="1" t="b">
        <v>1</v>
      </c>
      <c r="F6008" s="1" t="s">
        <v>19591</v>
      </c>
    </row>
    <row r="6009">
      <c r="A6009" s="1">
        <v>50148.0</v>
      </c>
      <c r="B6009" s="1">
        <v>19193.0</v>
      </c>
      <c r="C6009" s="1">
        <v>1.622468398E9</v>
      </c>
      <c r="D6009" s="1">
        <v>9.0</v>
      </c>
      <c r="E6009" s="1" t="b">
        <v>0</v>
      </c>
      <c r="F6009" s="1" t="s">
        <v>19592</v>
      </c>
      <c r="G6009" s="1" t="b">
        <v>1</v>
      </c>
    </row>
    <row r="6010">
      <c r="A6010" s="1">
        <v>50148.0</v>
      </c>
      <c r="B6010" s="1">
        <v>19196.0</v>
      </c>
      <c r="C6010" s="1">
        <v>1.622469345E9</v>
      </c>
      <c r="D6010" s="1">
        <v>4.0</v>
      </c>
      <c r="E6010" s="1" t="b">
        <v>0</v>
      </c>
      <c r="F6010" s="1" t="s">
        <v>19593</v>
      </c>
      <c r="G6010" s="1" t="b">
        <v>1</v>
      </c>
    </row>
    <row r="6011">
      <c r="A6011" s="1">
        <v>50149.0</v>
      </c>
      <c r="B6011" s="1">
        <v>19488.0</v>
      </c>
      <c r="C6011" s="1">
        <v>1.622795616E9</v>
      </c>
      <c r="D6011" s="1">
        <v>4.0</v>
      </c>
      <c r="E6011" s="1" t="b">
        <v>0</v>
      </c>
      <c r="F6011" s="1" t="s">
        <v>17604</v>
      </c>
      <c r="G6011" s="1" t="b">
        <v>1</v>
      </c>
    </row>
    <row r="6012">
      <c r="A6012" s="1">
        <v>50149.0</v>
      </c>
      <c r="B6012" s="1">
        <v>19501.0</v>
      </c>
      <c r="C6012" s="1">
        <v>1.622818095E9</v>
      </c>
      <c r="D6012" s="1">
        <v>4.0</v>
      </c>
      <c r="E6012" s="1" t="b">
        <v>0</v>
      </c>
      <c r="F6012" s="1" t="s">
        <v>19594</v>
      </c>
      <c r="G6012" s="1" t="b">
        <v>1</v>
      </c>
    </row>
    <row r="6013">
      <c r="A6013" s="1">
        <v>50149.0</v>
      </c>
      <c r="B6013" s="1">
        <v>19498.0</v>
      </c>
      <c r="C6013" s="1">
        <v>1.622814145E9</v>
      </c>
      <c r="D6013" s="1">
        <v>4.0</v>
      </c>
      <c r="E6013" s="1" t="b">
        <v>0</v>
      </c>
      <c r="F6013" s="1" t="s">
        <v>19595</v>
      </c>
      <c r="G6013" s="1" t="b">
        <v>1</v>
      </c>
    </row>
    <row r="6014">
      <c r="A6014" s="1">
        <v>50149.0</v>
      </c>
      <c r="B6014" s="1">
        <v>19859.0</v>
      </c>
      <c r="C6014" s="1">
        <v>1.623838946E9</v>
      </c>
      <c r="D6014" s="1">
        <v>4.0</v>
      </c>
      <c r="E6014" s="1" t="b">
        <v>0</v>
      </c>
      <c r="F6014" s="1" t="s">
        <v>19161</v>
      </c>
      <c r="G6014" s="1" t="b">
        <v>1</v>
      </c>
    </row>
    <row r="6015">
      <c r="A6015" s="1">
        <v>50149.0</v>
      </c>
      <c r="B6015" s="1">
        <v>19489.0</v>
      </c>
      <c r="C6015" s="1">
        <v>1.622796079E9</v>
      </c>
      <c r="D6015" s="1">
        <v>4.0</v>
      </c>
      <c r="E6015" s="1" t="b">
        <v>0</v>
      </c>
      <c r="F6015" s="1" t="s">
        <v>19596</v>
      </c>
      <c r="G6015" s="1" t="b">
        <v>1</v>
      </c>
    </row>
    <row r="6016">
      <c r="A6016" s="1">
        <v>50149.0</v>
      </c>
      <c r="B6016" s="1">
        <v>19487.0</v>
      </c>
      <c r="C6016" s="1">
        <v>1.622794247E9</v>
      </c>
      <c r="D6016" s="1">
        <v>4.0</v>
      </c>
      <c r="E6016" s="1" t="b">
        <v>0</v>
      </c>
      <c r="F6016" s="1" t="s">
        <v>19597</v>
      </c>
      <c r="G6016" s="1" t="b">
        <v>1</v>
      </c>
    </row>
    <row r="6017">
      <c r="A6017" s="1">
        <v>50149.0</v>
      </c>
      <c r="B6017" s="1">
        <v>19028.0</v>
      </c>
      <c r="C6017" s="1">
        <v>1.622525684E9</v>
      </c>
      <c r="D6017" s="1">
        <v>1.0</v>
      </c>
      <c r="E6017" s="1" t="b">
        <v>1</v>
      </c>
      <c r="F6017" s="1" t="s">
        <v>19598</v>
      </c>
    </row>
    <row r="6018">
      <c r="A6018" s="1">
        <v>50150.0</v>
      </c>
      <c r="B6018" s="1">
        <v>19585.0</v>
      </c>
      <c r="C6018" s="1">
        <v>1.623081952E9</v>
      </c>
      <c r="D6018" s="1">
        <v>4.0</v>
      </c>
      <c r="E6018" s="1" t="b">
        <v>0</v>
      </c>
      <c r="F6018" s="1" t="s">
        <v>19599</v>
      </c>
      <c r="G6018" s="1" t="b">
        <v>1</v>
      </c>
    </row>
    <row r="6019">
      <c r="A6019" s="1">
        <v>50150.0</v>
      </c>
      <c r="B6019" s="1">
        <v>19411.0</v>
      </c>
      <c r="C6019" s="1">
        <v>1.622697704E9</v>
      </c>
      <c r="D6019" s="1">
        <v>4.0</v>
      </c>
      <c r="E6019" s="1" t="b">
        <v>0</v>
      </c>
      <c r="F6019" s="1" t="s">
        <v>19600</v>
      </c>
      <c r="G6019" s="1" t="b">
        <v>1</v>
      </c>
    </row>
    <row r="6020">
      <c r="A6020" s="1">
        <v>50150.0</v>
      </c>
      <c r="B6020" s="1">
        <v>19330.0</v>
      </c>
      <c r="C6020" s="1">
        <v>1.622617649E9</v>
      </c>
      <c r="D6020" s="1">
        <v>4.0</v>
      </c>
      <c r="E6020" s="1" t="b">
        <v>0</v>
      </c>
      <c r="F6020" s="1" t="s">
        <v>19601</v>
      </c>
      <c r="G6020" s="1" t="b">
        <v>1</v>
      </c>
    </row>
    <row r="6021">
      <c r="A6021" s="1">
        <v>50150.0</v>
      </c>
      <c r="B6021" s="1">
        <v>18782.0</v>
      </c>
      <c r="C6021" s="1">
        <v>1.622526021E9</v>
      </c>
      <c r="D6021" s="1">
        <v>1.0</v>
      </c>
      <c r="E6021" s="1" t="b">
        <v>1</v>
      </c>
      <c r="F6021" s="1" t="s">
        <v>19602</v>
      </c>
    </row>
    <row r="6022">
      <c r="A6022" s="1">
        <v>50150.0</v>
      </c>
      <c r="B6022" s="1">
        <v>19640.0</v>
      </c>
      <c r="C6022" s="1">
        <v>1.62308481E9</v>
      </c>
      <c r="D6022" s="1">
        <v>4.0</v>
      </c>
      <c r="E6022" s="1" t="b">
        <v>0</v>
      </c>
      <c r="F6022" s="1" t="s">
        <v>19603</v>
      </c>
      <c r="G6022" s="1" t="b">
        <v>1</v>
      </c>
    </row>
    <row r="6023">
      <c r="A6023" s="1">
        <v>50150.0</v>
      </c>
      <c r="B6023" s="1">
        <v>18619.0</v>
      </c>
      <c r="C6023" s="1">
        <v>1.622527993E9</v>
      </c>
      <c r="D6023" s="1">
        <v>4.0</v>
      </c>
      <c r="E6023" s="1" t="b">
        <v>0</v>
      </c>
      <c r="F6023" s="1" t="s">
        <v>19514</v>
      </c>
    </row>
    <row r="6024">
      <c r="A6024" s="1">
        <v>50150.0</v>
      </c>
      <c r="B6024" s="1">
        <v>19860.0</v>
      </c>
      <c r="C6024" s="1">
        <v>1.624435415E9</v>
      </c>
      <c r="D6024" s="1">
        <v>4.0</v>
      </c>
      <c r="E6024" s="1" t="b">
        <v>0</v>
      </c>
      <c r="F6024" s="1" t="s">
        <v>19499</v>
      </c>
      <c r="G6024" s="1" t="b">
        <v>1</v>
      </c>
    </row>
    <row r="6025">
      <c r="A6025" s="1">
        <v>50154.0</v>
      </c>
      <c r="B6025" s="1">
        <v>19019.0</v>
      </c>
      <c r="C6025" s="1">
        <v>1.622636563E9</v>
      </c>
      <c r="D6025" s="1">
        <v>1.0</v>
      </c>
      <c r="E6025" s="1" t="b">
        <v>1</v>
      </c>
      <c r="F6025" s="1" t="s">
        <v>19604</v>
      </c>
    </row>
    <row r="6026">
      <c r="A6026" s="1">
        <v>50154.0</v>
      </c>
      <c r="B6026" s="1">
        <v>19370.0</v>
      </c>
      <c r="C6026" s="1">
        <v>1.622637761E9</v>
      </c>
      <c r="D6026" s="1">
        <v>4.0</v>
      </c>
      <c r="E6026" s="1" t="b">
        <v>0</v>
      </c>
      <c r="F6026" s="1" t="s">
        <v>19605</v>
      </c>
      <c r="G6026" s="1" t="b">
        <v>1</v>
      </c>
    </row>
    <row r="6027">
      <c r="A6027" s="1">
        <v>50154.0</v>
      </c>
      <c r="B6027" s="1">
        <v>18016.0</v>
      </c>
      <c r="C6027" s="1">
        <v>1.622636906E9</v>
      </c>
      <c r="D6027" s="1">
        <v>4.0</v>
      </c>
      <c r="E6027" s="1" t="b">
        <v>0</v>
      </c>
      <c r="F6027" s="1" t="s">
        <v>19513</v>
      </c>
      <c r="G6027" s="1" t="b">
        <v>1</v>
      </c>
    </row>
    <row r="6028">
      <c r="A6028" s="1">
        <v>50154.0</v>
      </c>
      <c r="B6028" s="1">
        <v>19371.0</v>
      </c>
      <c r="C6028" s="1">
        <v>1.622638284E9</v>
      </c>
      <c r="D6028" s="1">
        <v>4.0</v>
      </c>
      <c r="E6028" s="1" t="b">
        <v>0</v>
      </c>
      <c r="F6028" s="1" t="s">
        <v>19606</v>
      </c>
      <c r="G6028" s="1" t="b">
        <v>1</v>
      </c>
    </row>
    <row r="6029">
      <c r="A6029" s="1">
        <v>50154.0</v>
      </c>
      <c r="B6029" s="1">
        <v>18619.0</v>
      </c>
      <c r="C6029" s="1">
        <v>1.622638083E9</v>
      </c>
      <c r="D6029" s="1">
        <v>4.0</v>
      </c>
      <c r="E6029" s="1" t="b">
        <v>0</v>
      </c>
      <c r="F6029" s="1" t="s">
        <v>19514</v>
      </c>
    </row>
    <row r="6030">
      <c r="A6030" s="1">
        <v>50154.0</v>
      </c>
      <c r="B6030" s="1">
        <v>18617.0</v>
      </c>
      <c r="C6030" s="1">
        <v>1.622637047E9</v>
      </c>
      <c r="D6030" s="1">
        <v>4.0</v>
      </c>
      <c r="E6030" s="1" t="b">
        <v>0</v>
      </c>
      <c r="F6030" s="1" t="s">
        <v>19568</v>
      </c>
      <c r="G6030" s="1" t="b">
        <v>1</v>
      </c>
    </row>
    <row r="6031">
      <c r="A6031" s="1">
        <v>50154.0</v>
      </c>
      <c r="B6031" s="1">
        <v>19369.0</v>
      </c>
      <c r="C6031" s="1">
        <v>1.622637642E9</v>
      </c>
      <c r="D6031" s="1">
        <v>4.0</v>
      </c>
      <c r="E6031" s="1" t="b">
        <v>0</v>
      </c>
      <c r="F6031" s="1" t="s">
        <v>19607</v>
      </c>
      <c r="G6031" s="1" t="b">
        <v>1</v>
      </c>
    </row>
    <row r="6032">
      <c r="A6032" s="1">
        <v>50154.0</v>
      </c>
      <c r="B6032" s="1">
        <v>19859.0</v>
      </c>
      <c r="C6032" s="1">
        <v>1.623753383E9</v>
      </c>
      <c r="D6032" s="1">
        <v>4.0</v>
      </c>
      <c r="E6032" s="1" t="b">
        <v>0</v>
      </c>
      <c r="F6032" s="1" t="s">
        <v>19161</v>
      </c>
      <c r="G6032" s="1" t="b">
        <v>1</v>
      </c>
    </row>
    <row r="6033">
      <c r="A6033" s="1">
        <v>50155.0</v>
      </c>
      <c r="B6033" s="1">
        <v>18617.0</v>
      </c>
      <c r="C6033" s="1">
        <v>1.622637178E9</v>
      </c>
      <c r="D6033" s="1">
        <v>4.0</v>
      </c>
      <c r="E6033" s="1" t="b">
        <v>0</v>
      </c>
      <c r="F6033" s="1" t="s">
        <v>19568</v>
      </c>
      <c r="G6033" s="1" t="b">
        <v>1</v>
      </c>
    </row>
    <row r="6034">
      <c r="A6034" s="1">
        <v>50155.0</v>
      </c>
      <c r="B6034" s="1">
        <v>19010.0</v>
      </c>
      <c r="C6034" s="1">
        <v>1.62263659E9</v>
      </c>
      <c r="D6034" s="1">
        <v>1.0</v>
      </c>
      <c r="E6034" s="1" t="b">
        <v>1</v>
      </c>
      <c r="F6034" s="1" t="s">
        <v>19608</v>
      </c>
    </row>
    <row r="6035">
      <c r="A6035" s="1">
        <v>50155.0</v>
      </c>
      <c r="B6035" s="1">
        <v>19389.0</v>
      </c>
      <c r="C6035" s="1">
        <v>1.62265433E9</v>
      </c>
      <c r="D6035" s="1">
        <v>4.0</v>
      </c>
      <c r="E6035" s="1" t="b">
        <v>0</v>
      </c>
      <c r="F6035" s="1" t="s">
        <v>19609</v>
      </c>
      <c r="G6035" s="1" t="b">
        <v>1</v>
      </c>
    </row>
    <row r="6036">
      <c r="A6036" s="1">
        <v>50155.0</v>
      </c>
      <c r="B6036" s="1">
        <v>18619.0</v>
      </c>
      <c r="C6036" s="1">
        <v>1.622638124E9</v>
      </c>
      <c r="D6036" s="1">
        <v>4.0</v>
      </c>
      <c r="E6036" s="1" t="b">
        <v>0</v>
      </c>
      <c r="F6036" s="1" t="s">
        <v>19514</v>
      </c>
    </row>
    <row r="6037">
      <c r="A6037" s="1">
        <v>50155.0</v>
      </c>
      <c r="B6037" s="1">
        <v>19370.0</v>
      </c>
      <c r="C6037" s="1">
        <v>1.622637872E9</v>
      </c>
      <c r="D6037" s="1">
        <v>4.0</v>
      </c>
      <c r="E6037" s="1" t="b">
        <v>0</v>
      </c>
      <c r="F6037" s="1" t="s">
        <v>19605</v>
      </c>
      <c r="G6037" s="1" t="b">
        <v>1</v>
      </c>
    </row>
    <row r="6038">
      <c r="A6038" s="1">
        <v>50155.0</v>
      </c>
      <c r="B6038" s="1">
        <v>18016.0</v>
      </c>
      <c r="C6038" s="1">
        <v>1.622637312E9</v>
      </c>
      <c r="D6038" s="1">
        <v>4.0</v>
      </c>
      <c r="E6038" s="1" t="b">
        <v>0</v>
      </c>
      <c r="F6038" s="1" t="s">
        <v>19513</v>
      </c>
      <c r="G6038" s="1" t="b">
        <v>1</v>
      </c>
    </row>
    <row r="6039">
      <c r="A6039" s="1">
        <v>50157.0</v>
      </c>
      <c r="B6039" s="1">
        <v>18619.0</v>
      </c>
      <c r="C6039" s="1">
        <v>1.622720599E9</v>
      </c>
      <c r="D6039" s="1">
        <v>4.0</v>
      </c>
      <c r="E6039" s="1" t="b">
        <v>0</v>
      </c>
      <c r="F6039" s="1" t="s">
        <v>19514</v>
      </c>
    </row>
    <row r="6040">
      <c r="A6040" s="1">
        <v>50157.0</v>
      </c>
      <c r="B6040" s="1">
        <v>19460.0</v>
      </c>
      <c r="C6040" s="1">
        <v>1.622729618E9</v>
      </c>
      <c r="D6040" s="1">
        <v>4.0</v>
      </c>
      <c r="E6040" s="1" t="b">
        <v>0</v>
      </c>
      <c r="F6040" s="1" t="s">
        <v>19610</v>
      </c>
      <c r="G6040" s="1" t="b">
        <v>1</v>
      </c>
    </row>
    <row r="6041">
      <c r="A6041" s="1">
        <v>50157.0</v>
      </c>
      <c r="B6041" s="1">
        <v>18016.0</v>
      </c>
      <c r="C6041" s="1">
        <v>1.6227191E9</v>
      </c>
      <c r="D6041" s="1">
        <v>4.0</v>
      </c>
      <c r="E6041" s="1" t="b">
        <v>0</v>
      </c>
      <c r="F6041" s="1" t="s">
        <v>19513</v>
      </c>
      <c r="G6041" s="1" t="b">
        <v>1</v>
      </c>
    </row>
    <row r="6042">
      <c r="A6042" s="1">
        <v>50157.0</v>
      </c>
      <c r="B6042" s="1">
        <v>19450.0</v>
      </c>
      <c r="C6042" s="1">
        <v>1.622723825E9</v>
      </c>
      <c r="D6042" s="1">
        <v>4.0</v>
      </c>
      <c r="E6042" s="1" t="b">
        <v>0</v>
      </c>
      <c r="F6042" s="1" t="s">
        <v>19611</v>
      </c>
      <c r="G6042" s="1" t="b">
        <v>1</v>
      </c>
    </row>
    <row r="6043">
      <c r="A6043" s="1">
        <v>50157.0</v>
      </c>
      <c r="B6043" s="1">
        <v>19980.0</v>
      </c>
      <c r="C6043" s="1">
        <v>1.624353393E9</v>
      </c>
      <c r="D6043" s="1">
        <v>4.0</v>
      </c>
      <c r="E6043" s="1" t="b">
        <v>0</v>
      </c>
      <c r="F6043" s="1" t="s">
        <v>19612</v>
      </c>
      <c r="G6043" s="1" t="b">
        <v>1</v>
      </c>
    </row>
    <row r="6044">
      <c r="A6044" s="1">
        <v>50157.0</v>
      </c>
      <c r="B6044" s="1">
        <v>18617.0</v>
      </c>
      <c r="C6044" s="1">
        <v>1.622718651E9</v>
      </c>
      <c r="D6044" s="1">
        <v>4.0</v>
      </c>
      <c r="E6044" s="1" t="b">
        <v>0</v>
      </c>
      <c r="F6044" s="1" t="s">
        <v>19568</v>
      </c>
      <c r="G6044" s="1" t="b">
        <v>1</v>
      </c>
    </row>
    <row r="6045">
      <c r="A6045" s="1">
        <v>50157.0</v>
      </c>
      <c r="B6045" s="1">
        <v>18983.0</v>
      </c>
      <c r="C6045" s="1">
        <v>1.622718446E9</v>
      </c>
      <c r="D6045" s="1">
        <v>1.0</v>
      </c>
      <c r="E6045" s="1" t="b">
        <v>1</v>
      </c>
      <c r="F6045" s="1" t="s">
        <v>19613</v>
      </c>
    </row>
    <row r="6046">
      <c r="A6046" s="1">
        <v>50160.0</v>
      </c>
      <c r="B6046" s="1">
        <v>18016.0</v>
      </c>
      <c r="C6046" s="1">
        <v>1.622722305E9</v>
      </c>
      <c r="D6046" s="1">
        <v>4.0</v>
      </c>
      <c r="E6046" s="1" t="b">
        <v>0</v>
      </c>
      <c r="F6046" s="1" t="s">
        <v>19513</v>
      </c>
      <c r="G6046" s="1" t="b">
        <v>1</v>
      </c>
    </row>
    <row r="6047">
      <c r="A6047" s="1">
        <v>50160.0</v>
      </c>
      <c r="B6047" s="1">
        <v>19462.0</v>
      </c>
      <c r="C6047" s="1">
        <v>1.622731755E9</v>
      </c>
      <c r="D6047" s="1">
        <v>1.0</v>
      </c>
      <c r="E6047" s="1" t="b">
        <v>0</v>
      </c>
      <c r="F6047" s="1" t="s">
        <v>19614</v>
      </c>
      <c r="G6047" s="1" t="b">
        <v>1</v>
      </c>
    </row>
    <row r="6048">
      <c r="A6048" s="1">
        <v>50160.0</v>
      </c>
      <c r="B6048" s="1">
        <v>18619.0</v>
      </c>
      <c r="C6048" s="1">
        <v>1.622743421E9</v>
      </c>
      <c r="D6048" s="1">
        <v>4.0</v>
      </c>
      <c r="E6048" s="1" t="b">
        <v>0</v>
      </c>
      <c r="F6048" s="1" t="s">
        <v>19514</v>
      </c>
    </row>
    <row r="6049">
      <c r="A6049" s="1">
        <v>50160.0</v>
      </c>
      <c r="B6049" s="1">
        <v>19859.0</v>
      </c>
      <c r="C6049" s="1">
        <v>0.0</v>
      </c>
      <c r="D6049" s="1">
        <v>3.0</v>
      </c>
      <c r="E6049" s="1" t="b">
        <v>0</v>
      </c>
      <c r="F6049" s="1" t="s">
        <v>19161</v>
      </c>
    </row>
    <row r="6050">
      <c r="A6050" s="1">
        <v>50160.0</v>
      </c>
      <c r="B6050" s="1">
        <v>19469.0</v>
      </c>
      <c r="C6050" s="1">
        <v>1.622736471E9</v>
      </c>
      <c r="D6050" s="1">
        <v>9.0</v>
      </c>
      <c r="E6050" s="1" t="b">
        <v>0</v>
      </c>
      <c r="F6050" s="1" t="s">
        <v>19615</v>
      </c>
      <c r="G6050" s="1" t="b">
        <v>1</v>
      </c>
    </row>
    <row r="6051">
      <c r="A6051" s="1">
        <v>50160.0</v>
      </c>
      <c r="B6051" s="1">
        <v>19013.0</v>
      </c>
      <c r="C6051" s="1">
        <v>1.622722069E9</v>
      </c>
      <c r="D6051" s="1">
        <v>1.0</v>
      </c>
      <c r="E6051" s="1" t="b">
        <v>1</v>
      </c>
      <c r="F6051" s="1" t="s">
        <v>19616</v>
      </c>
    </row>
    <row r="6052">
      <c r="A6052" s="1">
        <v>50160.0</v>
      </c>
      <c r="B6052" s="1">
        <v>18617.0</v>
      </c>
      <c r="C6052" s="1">
        <v>1.622722211E9</v>
      </c>
      <c r="D6052" s="1">
        <v>4.0</v>
      </c>
      <c r="E6052" s="1" t="b">
        <v>0</v>
      </c>
      <c r="F6052" s="1" t="s">
        <v>19568</v>
      </c>
      <c r="G6052" s="1" t="b">
        <v>1</v>
      </c>
    </row>
    <row r="6053">
      <c r="A6053" s="1">
        <v>50168.0</v>
      </c>
      <c r="B6053" s="1">
        <v>18371.0</v>
      </c>
      <c r="C6053" s="1">
        <v>1.623166541E9</v>
      </c>
      <c r="D6053" s="1">
        <v>4.0</v>
      </c>
      <c r="E6053" s="1" t="b">
        <v>0</v>
      </c>
      <c r="F6053" s="1" t="s">
        <v>19338</v>
      </c>
      <c r="G6053" s="1" t="b">
        <v>1</v>
      </c>
    </row>
    <row r="6054">
      <c r="A6054" s="1">
        <v>50168.0</v>
      </c>
      <c r="B6054" s="1">
        <v>20421.0</v>
      </c>
      <c r="C6054" s="1">
        <v>1.624341965E9</v>
      </c>
      <c r="D6054" s="1">
        <v>4.0</v>
      </c>
      <c r="E6054" s="1" t="b">
        <v>0</v>
      </c>
      <c r="F6054" s="1" t="s">
        <v>19617</v>
      </c>
    </row>
    <row r="6055">
      <c r="A6055" s="1">
        <v>50168.0</v>
      </c>
      <c r="B6055" s="1">
        <v>19273.0</v>
      </c>
      <c r="C6055" s="1">
        <v>1.623067542E9</v>
      </c>
      <c r="D6055" s="1">
        <v>1.0</v>
      </c>
      <c r="E6055" s="1" t="b">
        <v>1</v>
      </c>
      <c r="F6055" s="1" t="s">
        <v>19618</v>
      </c>
    </row>
    <row r="6056">
      <c r="A6056" s="1">
        <v>50168.0</v>
      </c>
      <c r="B6056" s="1">
        <v>20419.0</v>
      </c>
      <c r="C6056" s="1">
        <v>1.624340228E9</v>
      </c>
      <c r="D6056" s="1">
        <v>4.0</v>
      </c>
      <c r="E6056" s="1" t="b">
        <v>0</v>
      </c>
      <c r="F6056" s="1" t="s">
        <v>19619</v>
      </c>
      <c r="G6056" s="1" t="b">
        <v>1</v>
      </c>
    </row>
    <row r="6057">
      <c r="A6057" s="1">
        <v>50168.0</v>
      </c>
      <c r="B6057" s="1">
        <v>20416.0</v>
      </c>
      <c r="C6057" s="1">
        <v>1.624339419E9</v>
      </c>
      <c r="D6057" s="1">
        <v>4.0</v>
      </c>
      <c r="E6057" s="1" t="b">
        <v>0</v>
      </c>
      <c r="F6057" s="1" t="s">
        <v>19620</v>
      </c>
      <c r="G6057" s="1" t="b">
        <v>1</v>
      </c>
    </row>
    <row r="6058">
      <c r="A6058" s="1">
        <v>50168.0</v>
      </c>
      <c r="B6058" s="1">
        <v>20418.0</v>
      </c>
      <c r="C6058" s="1">
        <v>1.624339775E9</v>
      </c>
      <c r="D6058" s="1">
        <v>4.0</v>
      </c>
      <c r="E6058" s="1" t="b">
        <v>0</v>
      </c>
      <c r="F6058" s="1" t="s">
        <v>19621</v>
      </c>
      <c r="G6058" s="1" t="b">
        <v>1</v>
      </c>
    </row>
    <row r="6059">
      <c r="A6059" s="1">
        <v>50169.0</v>
      </c>
      <c r="B6059" s="1">
        <v>19688.0</v>
      </c>
      <c r="C6059" s="1">
        <v>1.623156652E9</v>
      </c>
      <c r="D6059" s="1">
        <v>4.0</v>
      </c>
      <c r="E6059" s="1" t="b">
        <v>0</v>
      </c>
      <c r="F6059" s="1" t="s">
        <v>19622</v>
      </c>
      <c r="G6059" s="1" t="b">
        <v>1</v>
      </c>
    </row>
    <row r="6060">
      <c r="A6060" s="1">
        <v>50169.0</v>
      </c>
      <c r="B6060" s="1">
        <v>19690.0</v>
      </c>
      <c r="C6060" s="1">
        <v>1.623159735E9</v>
      </c>
      <c r="D6060" s="1">
        <v>4.0</v>
      </c>
      <c r="E6060" s="1" t="b">
        <v>0</v>
      </c>
      <c r="F6060" s="1" t="s">
        <v>19623</v>
      </c>
      <c r="G6060" s="1" t="b">
        <v>1</v>
      </c>
    </row>
    <row r="6061">
      <c r="A6061" s="1">
        <v>50169.0</v>
      </c>
      <c r="B6061" s="1">
        <v>20440.0</v>
      </c>
      <c r="C6061" s="1">
        <v>1.624365804E9</v>
      </c>
      <c r="D6061" s="1">
        <v>4.0</v>
      </c>
      <c r="E6061" s="1" t="b">
        <v>0</v>
      </c>
      <c r="F6061" s="1" t="s">
        <v>19624</v>
      </c>
    </row>
    <row r="6062">
      <c r="A6062" s="1">
        <v>50169.0</v>
      </c>
      <c r="B6062" s="1">
        <v>17482.0</v>
      </c>
      <c r="C6062" s="1">
        <v>0.0</v>
      </c>
      <c r="D6062" s="1">
        <v>3.0</v>
      </c>
      <c r="E6062" s="1" t="b">
        <v>0</v>
      </c>
      <c r="F6062" s="1" t="s">
        <v>17266</v>
      </c>
      <c r="G6062" s="1" t="b">
        <v>1</v>
      </c>
    </row>
    <row r="6063">
      <c r="A6063" s="1">
        <v>50169.0</v>
      </c>
      <c r="B6063" s="1">
        <v>19706.0</v>
      </c>
      <c r="C6063" s="1">
        <v>0.0</v>
      </c>
      <c r="D6063" s="1">
        <v>3.0</v>
      </c>
      <c r="E6063" s="1" t="b">
        <v>0</v>
      </c>
      <c r="F6063" s="1" t="s">
        <v>19625</v>
      </c>
    </row>
    <row r="6064">
      <c r="A6064" s="1">
        <v>50169.0</v>
      </c>
      <c r="B6064" s="1">
        <v>20345.0</v>
      </c>
      <c r="C6064" s="1">
        <v>1.62417552E9</v>
      </c>
      <c r="D6064" s="1">
        <v>4.0</v>
      </c>
      <c r="E6064" s="1" t="b">
        <v>0</v>
      </c>
      <c r="F6064" s="1" t="s">
        <v>19626</v>
      </c>
    </row>
    <row r="6065">
      <c r="A6065" s="1">
        <v>50169.0</v>
      </c>
      <c r="B6065" s="1">
        <v>19601.0</v>
      </c>
      <c r="C6065" s="1">
        <v>1.623086056E9</v>
      </c>
      <c r="D6065" s="1">
        <v>1.0</v>
      </c>
      <c r="E6065" s="1" t="b">
        <v>1</v>
      </c>
      <c r="F6065" s="1" t="s">
        <v>19627</v>
      </c>
    </row>
    <row r="6066">
      <c r="A6066" s="1">
        <v>50170.0</v>
      </c>
      <c r="B6066" s="1">
        <v>19367.0</v>
      </c>
      <c r="C6066" s="1">
        <v>1.623159844E9</v>
      </c>
      <c r="D6066" s="1">
        <v>1.0</v>
      </c>
      <c r="E6066" s="1" t="b">
        <v>1</v>
      </c>
      <c r="F6066" s="1" t="s">
        <v>19628</v>
      </c>
      <c r="G6066" s="1" t="b">
        <v>1</v>
      </c>
    </row>
    <row r="6067">
      <c r="A6067" s="1">
        <v>50170.0</v>
      </c>
      <c r="B6067" s="1">
        <v>18371.0</v>
      </c>
      <c r="C6067" s="1">
        <v>1.623162227E9</v>
      </c>
      <c r="D6067" s="1">
        <v>4.0</v>
      </c>
      <c r="E6067" s="1" t="b">
        <v>0</v>
      </c>
      <c r="F6067" s="1" t="s">
        <v>19338</v>
      </c>
      <c r="G6067" s="1" t="b">
        <v>1</v>
      </c>
    </row>
    <row r="6068">
      <c r="A6068" s="1">
        <v>50170.0</v>
      </c>
      <c r="B6068" s="1">
        <v>19692.0</v>
      </c>
      <c r="C6068" s="1">
        <v>1.623160439E9</v>
      </c>
      <c r="D6068" s="1">
        <v>4.0</v>
      </c>
      <c r="E6068" s="1" t="b">
        <v>0</v>
      </c>
      <c r="F6068" s="1" t="s">
        <v>19629</v>
      </c>
      <c r="G6068" s="1" t="b">
        <v>1</v>
      </c>
    </row>
    <row r="6069">
      <c r="A6069" s="1">
        <v>50173.0</v>
      </c>
      <c r="B6069" s="1">
        <v>18617.0</v>
      </c>
      <c r="C6069" s="1">
        <v>0.0</v>
      </c>
      <c r="D6069" s="1">
        <v>3.0</v>
      </c>
      <c r="E6069" s="1" t="b">
        <v>0</v>
      </c>
      <c r="F6069" s="1" t="s">
        <v>19568</v>
      </c>
    </row>
    <row r="6070">
      <c r="A6070" s="1">
        <v>50173.0</v>
      </c>
      <c r="B6070" s="1">
        <v>20283.0</v>
      </c>
      <c r="C6070" s="1">
        <v>1.624032751E9</v>
      </c>
      <c r="D6070" s="1">
        <v>4.0</v>
      </c>
      <c r="E6070" s="1" t="b">
        <v>0</v>
      </c>
      <c r="F6070" s="1" t="s">
        <v>19630</v>
      </c>
    </row>
    <row r="6071">
      <c r="A6071" s="1">
        <v>50173.0</v>
      </c>
      <c r="B6071" s="1">
        <v>18371.0</v>
      </c>
      <c r="C6071" s="1">
        <v>1.62350827E9</v>
      </c>
      <c r="D6071" s="1">
        <v>4.0</v>
      </c>
      <c r="E6071" s="1" t="b">
        <v>0</v>
      </c>
      <c r="F6071" s="1" t="s">
        <v>19338</v>
      </c>
      <c r="G6071" s="1" t="b">
        <v>1</v>
      </c>
    </row>
    <row r="6072">
      <c r="A6072" s="1">
        <v>50173.0</v>
      </c>
      <c r="B6072" s="1">
        <v>20294.0</v>
      </c>
      <c r="C6072" s="1">
        <v>1.624072879E9</v>
      </c>
      <c r="D6072" s="1">
        <v>4.0</v>
      </c>
      <c r="E6072" s="1" t="b">
        <v>0</v>
      </c>
      <c r="F6072" s="1" t="s">
        <v>19631</v>
      </c>
    </row>
    <row r="6073">
      <c r="A6073" s="1">
        <v>50173.0</v>
      </c>
      <c r="B6073" s="1">
        <v>20279.0</v>
      </c>
      <c r="C6073" s="1">
        <v>1.624024159E9</v>
      </c>
      <c r="D6073" s="1">
        <v>4.0</v>
      </c>
      <c r="E6073" s="1" t="b">
        <v>0</v>
      </c>
      <c r="F6073" s="1" t="s">
        <v>19632</v>
      </c>
    </row>
    <row r="6074">
      <c r="A6074" s="1">
        <v>50173.0</v>
      </c>
      <c r="B6074" s="1">
        <v>18619.0</v>
      </c>
      <c r="C6074" s="1">
        <v>1.623508928E9</v>
      </c>
      <c r="D6074" s="1">
        <v>4.0</v>
      </c>
      <c r="E6074" s="1" t="b">
        <v>0</v>
      </c>
      <c r="F6074" s="1" t="s">
        <v>19514</v>
      </c>
    </row>
    <row r="6075">
      <c r="A6075" s="1">
        <v>50173.0</v>
      </c>
      <c r="B6075" s="1">
        <v>19472.0</v>
      </c>
      <c r="C6075" s="1">
        <v>1.623339799E9</v>
      </c>
      <c r="D6075" s="1">
        <v>1.0</v>
      </c>
      <c r="E6075" s="1" t="b">
        <v>1</v>
      </c>
      <c r="F6075" s="1" t="s">
        <v>19633</v>
      </c>
    </row>
  </sheetData>
  <autoFilter ref="$A$1:$G$6075">
    <sortState ref="A1:G6075">
      <sortCondition ref="F1:F6075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7.71"/>
    <col customWidth="1" min="3" max="3" width="18.71"/>
    <col customWidth="1" min="4" max="4" width="60.0"/>
  </cols>
  <sheetData>
    <row r="1">
      <c r="A1" s="1" t="s">
        <v>19634</v>
      </c>
      <c r="B1" s="1" t="s">
        <v>19635</v>
      </c>
      <c r="C1" s="1" t="s">
        <v>19636</v>
      </c>
      <c r="D1" s="1" t="s">
        <v>19637</v>
      </c>
      <c r="E1" s="1" t="s">
        <v>4</v>
      </c>
      <c r="F1" s="1" t="s">
        <v>19638</v>
      </c>
      <c r="G1" s="1" t="s">
        <v>19639</v>
      </c>
      <c r="H1" s="1" t="s">
        <v>19640</v>
      </c>
      <c r="I1" s="1" t="s">
        <v>19641</v>
      </c>
      <c r="J1" s="1" t="s">
        <v>19642</v>
      </c>
      <c r="K1" s="1" t="s">
        <v>19643</v>
      </c>
    </row>
    <row r="2" hidden="1">
      <c r="A2" s="36">
        <v>49813.0</v>
      </c>
      <c r="B2" s="37" t="s">
        <v>5114</v>
      </c>
      <c r="C2" s="38" t="s">
        <v>19644</v>
      </c>
      <c r="D2" s="39" t="s">
        <v>19645</v>
      </c>
      <c r="E2" s="40" t="s">
        <v>12603</v>
      </c>
      <c r="F2" s="1" t="b">
        <v>1</v>
      </c>
      <c r="G2" s="1" t="b">
        <v>1</v>
      </c>
      <c r="H2" s="1" t="b">
        <v>1</v>
      </c>
      <c r="I2" s="15">
        <f>VLOOKUP(A2,'Pivot Table 1'!A:B,2,FALSE)</f>
        <v>14</v>
      </c>
      <c r="J2" s="15" t="str">
        <f>VLOOKUP(A2,LLC!A:L,12,FALSE)</f>
        <v>Akshita</v>
      </c>
      <c r="K2" s="15" t="str">
        <f>VLOOKUP(A2,'Live Plan Data'!B:C,2,FALSE)</f>
        <v>#N/A</v>
      </c>
    </row>
    <row r="3" hidden="1">
      <c r="A3" s="41">
        <v>49833.0</v>
      </c>
      <c r="B3" s="42" t="s">
        <v>13454</v>
      </c>
      <c r="C3" s="42" t="s">
        <v>19644</v>
      </c>
      <c r="D3" s="39" t="s">
        <v>4232</v>
      </c>
      <c r="E3" s="40" t="s">
        <v>12603</v>
      </c>
      <c r="F3" s="1" t="b">
        <v>1</v>
      </c>
      <c r="G3" s="1" t="b">
        <v>1</v>
      </c>
      <c r="H3" s="1" t="b">
        <v>1</v>
      </c>
      <c r="I3" s="15">
        <f>VLOOKUP(A3,'Pivot Table 1'!A:B,2,FALSE)</f>
        <v>2</v>
      </c>
      <c r="J3" s="15" t="str">
        <f>VLOOKUP(A3,LLC!A:L,12,FALSE)</f>
        <v>Akshita</v>
      </c>
      <c r="K3" s="15" t="str">
        <f>VLOOKUP(A3,'Live Plan Data'!B:C,2,FALSE)</f>
        <v>#N/A</v>
      </c>
    </row>
    <row r="4" hidden="1">
      <c r="A4" s="41">
        <v>49835.0</v>
      </c>
      <c r="B4" s="42" t="s">
        <v>6198</v>
      </c>
      <c r="C4" s="42" t="s">
        <v>19644</v>
      </c>
      <c r="D4" s="39" t="s">
        <v>19646</v>
      </c>
      <c r="E4" s="40" t="s">
        <v>12603</v>
      </c>
      <c r="F4" s="1" t="b">
        <v>1</v>
      </c>
      <c r="G4" s="1" t="b">
        <v>1</v>
      </c>
      <c r="H4" s="1" t="b">
        <v>1</v>
      </c>
      <c r="I4" s="15">
        <f>VLOOKUP(A4,'Pivot Table 1'!A:B,2,FALSE)</f>
        <v>5</v>
      </c>
      <c r="J4" s="15" t="str">
        <f>VLOOKUP(A4,LLC!A:L,12,FALSE)</f>
        <v>Akshita</v>
      </c>
      <c r="K4" s="15" t="str">
        <f>VLOOKUP(A4,'Live Plan Data'!B:C,2,FALSE)</f>
        <v>#N/A</v>
      </c>
    </row>
    <row r="5" hidden="1">
      <c r="A5" s="21">
        <v>50022.0</v>
      </c>
      <c r="B5" s="42" t="s">
        <v>5181</v>
      </c>
      <c r="C5" s="42" t="s">
        <v>19644</v>
      </c>
      <c r="D5" s="43" t="s">
        <v>5183</v>
      </c>
      <c r="E5" s="40" t="s">
        <v>12603</v>
      </c>
      <c r="F5" s="1" t="b">
        <v>1</v>
      </c>
      <c r="G5" s="1" t="b">
        <v>1</v>
      </c>
      <c r="H5" s="1" t="b">
        <v>1</v>
      </c>
      <c r="I5" s="15">
        <f>VLOOKUP(A5,'Pivot Table 1'!A:B,2,FALSE)</f>
        <v>5</v>
      </c>
      <c r="J5" s="15" t="str">
        <f>VLOOKUP(A5,LLC!A:L,12,FALSE)</f>
        <v>Akshita</v>
      </c>
      <c r="K5" s="15" t="b">
        <f>VLOOKUP(A5,'Live Plan Data'!B:C,2,FALSE)</f>
        <v>1</v>
      </c>
    </row>
    <row r="6" hidden="1">
      <c r="A6" s="21">
        <v>50030.0</v>
      </c>
      <c r="B6" s="42" t="s">
        <v>12680</v>
      </c>
      <c r="C6" s="42" t="s">
        <v>19644</v>
      </c>
      <c r="D6" s="43" t="s">
        <v>3328</v>
      </c>
      <c r="E6" s="40" t="s">
        <v>12603</v>
      </c>
      <c r="F6" s="1" t="b">
        <v>1</v>
      </c>
      <c r="G6" s="1" t="b">
        <v>1</v>
      </c>
      <c r="H6" s="1" t="b">
        <v>1</v>
      </c>
      <c r="I6" s="15">
        <f>VLOOKUP(A6,'Pivot Table 1'!A:B,2,FALSE)</f>
        <v>26</v>
      </c>
      <c r="J6" s="15" t="str">
        <f>VLOOKUP(A6,LLC!A:L,12,FALSE)</f>
        <v>Akshita</v>
      </c>
      <c r="K6" s="15" t="b">
        <f>VLOOKUP(A6,'Live Plan Data'!B:C,2,FALSE)</f>
        <v>1</v>
      </c>
    </row>
    <row r="7" hidden="1">
      <c r="A7" s="41">
        <v>50065.0</v>
      </c>
      <c r="B7" s="42" t="s">
        <v>19647</v>
      </c>
      <c r="C7" s="42" t="s">
        <v>19644</v>
      </c>
      <c r="D7" s="43" t="s">
        <v>2604</v>
      </c>
      <c r="E7" s="40" t="s">
        <v>12603</v>
      </c>
      <c r="F7" s="1" t="b">
        <v>1</v>
      </c>
      <c r="G7" s="1" t="b">
        <v>1</v>
      </c>
      <c r="H7" s="1" t="b">
        <v>1</v>
      </c>
      <c r="I7" s="15">
        <f>VLOOKUP(A7,'Pivot Table 1'!A:B,2,FALSE)</f>
        <v>5</v>
      </c>
      <c r="J7" s="15" t="str">
        <f>VLOOKUP(A7,LLC!A:L,12,FALSE)</f>
        <v>Akshita</v>
      </c>
      <c r="K7" s="15" t="b">
        <f>VLOOKUP(A7,'Live Plan Data'!B:C,2,FALSE)</f>
        <v>1</v>
      </c>
    </row>
    <row r="8" hidden="1">
      <c r="A8" s="44">
        <v>49899.0</v>
      </c>
      <c r="B8" s="42" t="s">
        <v>1016</v>
      </c>
      <c r="C8" s="42" t="s">
        <v>19644</v>
      </c>
      <c r="D8" s="43" t="s">
        <v>19648</v>
      </c>
      <c r="E8" s="40" t="s">
        <v>12603</v>
      </c>
      <c r="F8" s="1" t="b">
        <v>1</v>
      </c>
      <c r="G8" s="1" t="b">
        <v>1</v>
      </c>
      <c r="H8" s="1" t="b">
        <v>1</v>
      </c>
      <c r="I8" s="15">
        <f>VLOOKUP(A8,'Pivot Table 1'!A:B,2,FALSE)</f>
        <v>13</v>
      </c>
      <c r="J8" s="15" t="str">
        <f>VLOOKUP(A8,LLC!A:L,12,FALSE)</f>
        <v>Dev </v>
      </c>
      <c r="K8" s="15" t="str">
        <f>VLOOKUP(A8,'Live Plan Data'!B:C,2,FALSE)</f>
        <v>#N/A</v>
      </c>
    </row>
    <row r="9" hidden="1">
      <c r="A9" s="44">
        <v>49978.0</v>
      </c>
      <c r="B9" s="42" t="s">
        <v>2150</v>
      </c>
      <c r="C9" s="42" t="s">
        <v>19644</v>
      </c>
      <c r="D9" s="43" t="s">
        <v>6170</v>
      </c>
      <c r="E9" s="40" t="s">
        <v>12603</v>
      </c>
      <c r="F9" s="1" t="b">
        <v>1</v>
      </c>
      <c r="G9" s="1" t="b">
        <v>1</v>
      </c>
      <c r="H9" s="1" t="b">
        <v>1</v>
      </c>
      <c r="I9" s="15">
        <f>VLOOKUP(A9,'Pivot Table 1'!A:B,2,FALSE)</f>
        <v>4</v>
      </c>
      <c r="J9" s="15" t="str">
        <f>VLOOKUP(A9,LLC!A:L,12,FALSE)</f>
        <v>Anshul</v>
      </c>
      <c r="K9" s="15" t="str">
        <f>VLOOKUP(A9,'Live Plan Data'!B:C,2,FALSE)</f>
        <v>#N/A</v>
      </c>
    </row>
    <row r="10">
      <c r="A10" s="41">
        <v>50048.0</v>
      </c>
      <c r="B10" s="42" t="s">
        <v>1582</v>
      </c>
      <c r="C10" s="45" t="s">
        <v>19649</v>
      </c>
      <c r="D10" s="43" t="s">
        <v>6174</v>
      </c>
      <c r="E10" s="40" t="s">
        <v>12603</v>
      </c>
      <c r="F10" s="1" t="b">
        <v>1</v>
      </c>
      <c r="G10" s="1" t="b">
        <v>1</v>
      </c>
      <c r="H10" s="1" t="b">
        <v>1</v>
      </c>
      <c r="I10" s="15" t="str">
        <f>VLOOKUP(A10,'Pivot Table 1'!A:B,2,FALSE)</f>
        <v>#N/A</v>
      </c>
      <c r="J10" s="15" t="str">
        <f>VLOOKUP(A10,LLC!A:L,12,FALSE)</f>
        <v>Anshul</v>
      </c>
      <c r="K10" s="15" t="b">
        <f>VLOOKUP(A10,'Live Plan Data'!B:C,2,FALSE)</f>
        <v>1</v>
      </c>
    </row>
    <row r="11">
      <c r="A11" s="41">
        <v>50036.0</v>
      </c>
      <c r="B11" s="42" t="s">
        <v>1320</v>
      </c>
      <c r="C11" s="45" t="s">
        <v>19649</v>
      </c>
      <c r="D11" s="43" t="s">
        <v>5726</v>
      </c>
      <c r="E11" s="40" t="s">
        <v>12603</v>
      </c>
      <c r="F11" s="1" t="b">
        <v>1</v>
      </c>
      <c r="G11" s="1" t="b">
        <v>1</v>
      </c>
      <c r="H11" s="1" t="b">
        <v>1</v>
      </c>
      <c r="I11" s="15" t="str">
        <f>VLOOKUP(A11,'Pivot Table 1'!A:B,2,FALSE)</f>
        <v>#N/A</v>
      </c>
      <c r="J11" s="15" t="str">
        <f>VLOOKUP(A11,LLC!A:L,12,FALSE)</f>
        <v>Dev </v>
      </c>
      <c r="K11" s="15" t="b">
        <f>VLOOKUP(A11,'Live Plan Data'!B:C,2,FALSE)</f>
        <v>1</v>
      </c>
    </row>
    <row r="12" hidden="1">
      <c r="A12" s="41">
        <v>50041.0</v>
      </c>
      <c r="B12" s="38" t="s">
        <v>5956</v>
      </c>
      <c r="C12" s="42" t="s">
        <v>19644</v>
      </c>
      <c r="D12" s="43" t="s">
        <v>5958</v>
      </c>
      <c r="E12" s="40" t="s">
        <v>12603</v>
      </c>
      <c r="F12" s="1" t="b">
        <v>1</v>
      </c>
      <c r="G12" s="1" t="b">
        <v>1</v>
      </c>
      <c r="H12" s="1" t="b">
        <v>1</v>
      </c>
      <c r="I12" s="15">
        <f>VLOOKUP(A12,'Pivot Table 1'!A:B,2,FALSE)</f>
        <v>1</v>
      </c>
      <c r="J12" s="15" t="str">
        <f>VLOOKUP(A12,LLC!A:L,12,FALSE)</f>
        <v>Kushagra</v>
      </c>
      <c r="K12" s="15" t="b">
        <f>VLOOKUP(A12,'Live Plan Data'!B:C,2,FALSE)</f>
        <v>1</v>
      </c>
    </row>
    <row r="13" hidden="1">
      <c r="A13" s="41">
        <v>50043.0</v>
      </c>
      <c r="B13" s="38" t="s">
        <v>6367</v>
      </c>
      <c r="C13" s="42" t="s">
        <v>19644</v>
      </c>
      <c r="D13" s="43" t="s">
        <v>6369</v>
      </c>
      <c r="E13" s="40" t="s">
        <v>12603</v>
      </c>
      <c r="F13" s="1" t="b">
        <v>1</v>
      </c>
      <c r="G13" s="1" t="b">
        <v>1</v>
      </c>
      <c r="H13" s="1" t="b">
        <v>1</v>
      </c>
      <c r="I13" s="15">
        <f>VLOOKUP(A13,'Pivot Table 1'!A:B,2,FALSE)</f>
        <v>4</v>
      </c>
      <c r="J13" s="15" t="str">
        <f>VLOOKUP(A13,LLC!A:L,12,FALSE)</f>
        <v>Kushagra</v>
      </c>
      <c r="K13" s="15" t="b">
        <f>VLOOKUP(A13,'Live Plan Data'!B:C,2,FALSE)</f>
        <v>1</v>
      </c>
    </row>
    <row r="14" hidden="1">
      <c r="A14" s="41">
        <v>50046.0</v>
      </c>
      <c r="B14" s="42" t="s">
        <v>6217</v>
      </c>
      <c r="C14" s="42" t="s">
        <v>19644</v>
      </c>
      <c r="D14" s="43" t="s">
        <v>6219</v>
      </c>
      <c r="E14" s="40" t="s">
        <v>12603</v>
      </c>
      <c r="F14" s="1" t="b">
        <v>1</v>
      </c>
      <c r="G14" s="1" t="b">
        <v>1</v>
      </c>
      <c r="H14" s="1" t="b">
        <v>1</v>
      </c>
      <c r="I14" s="15">
        <f>VLOOKUP(A14,'Pivot Table 1'!A:B,2,FALSE)</f>
        <v>6</v>
      </c>
      <c r="J14" s="15" t="str">
        <f>VLOOKUP(A14,LLC!A:L,12,FALSE)</f>
        <v>Kushagra</v>
      </c>
      <c r="K14" s="15" t="b">
        <f>VLOOKUP(A14,'Live Plan Data'!B:C,2,FALSE)</f>
        <v>1</v>
      </c>
    </row>
    <row r="15" hidden="1">
      <c r="A15" s="21">
        <v>50015.0</v>
      </c>
      <c r="B15" s="42" t="s">
        <v>19650</v>
      </c>
      <c r="C15" s="42" t="s">
        <v>19644</v>
      </c>
      <c r="D15" s="43" t="s">
        <v>2704</v>
      </c>
      <c r="E15" s="46" t="s">
        <v>19651</v>
      </c>
      <c r="F15" s="1" t="b">
        <v>1</v>
      </c>
      <c r="G15" s="1" t="b">
        <v>1</v>
      </c>
      <c r="H15" s="1" t="b">
        <v>0</v>
      </c>
      <c r="I15" s="15">
        <f>VLOOKUP(A15,'Pivot Table 1'!A:B,2,FALSE)</f>
        <v>4</v>
      </c>
      <c r="J15" s="15" t="str">
        <f>VLOOKUP(A15,LLC!A:L,12,FALSE)</f>
        <v>Akshita</v>
      </c>
      <c r="K15" s="15" t="b">
        <f>VLOOKUP(A15,'Live Plan Data'!B:C,2,FALSE)</f>
        <v>1</v>
      </c>
    </row>
    <row r="16" hidden="1">
      <c r="A16" s="41">
        <v>50020.0</v>
      </c>
      <c r="B16" s="42" t="s">
        <v>3008</v>
      </c>
      <c r="C16" s="42" t="s">
        <v>19644</v>
      </c>
      <c r="D16" s="43" t="s">
        <v>3010</v>
      </c>
      <c r="E16" s="40" t="s">
        <v>12603</v>
      </c>
      <c r="F16" s="1" t="b">
        <v>1</v>
      </c>
      <c r="G16" s="1" t="b">
        <v>1</v>
      </c>
      <c r="H16" s="1" t="b">
        <v>1</v>
      </c>
      <c r="I16" s="15">
        <f>VLOOKUP(A16,'Pivot Table 1'!A:B,2,FALSE)</f>
        <v>1</v>
      </c>
      <c r="J16" s="15" t="str">
        <f>VLOOKUP(A16,LLC!A:L,12,FALSE)</f>
        <v>Kushagra</v>
      </c>
      <c r="K16" s="15" t="str">
        <f>VLOOKUP(A16,'Live Plan Data'!B:C,2,FALSE)</f>
        <v>#N/A</v>
      </c>
    </row>
    <row r="17" hidden="1">
      <c r="A17" s="41">
        <v>50023.0</v>
      </c>
      <c r="B17" s="38" t="s">
        <v>5508</v>
      </c>
      <c r="C17" s="42" t="s">
        <v>19644</v>
      </c>
      <c r="D17" s="43" t="s">
        <v>5510</v>
      </c>
      <c r="E17" s="40" t="s">
        <v>12603</v>
      </c>
      <c r="F17" s="1" t="b">
        <v>1</v>
      </c>
      <c r="G17" s="1" t="b">
        <v>1</v>
      </c>
      <c r="H17" s="1" t="b">
        <v>1</v>
      </c>
      <c r="I17" s="15">
        <f>VLOOKUP(A17,'Pivot Table 1'!A:B,2,FALSE)</f>
        <v>1</v>
      </c>
      <c r="J17" s="15" t="str">
        <f>VLOOKUP(A17,LLC!A:L,12,FALSE)</f>
        <v>Kushagra</v>
      </c>
      <c r="K17" s="15" t="b">
        <f>VLOOKUP(A17,'Live Plan Data'!B:C,2,FALSE)</f>
        <v>1</v>
      </c>
    </row>
    <row r="18" hidden="1">
      <c r="A18" s="21">
        <v>50026.0</v>
      </c>
      <c r="B18" s="42" t="s">
        <v>19652</v>
      </c>
      <c r="C18" s="42" t="s">
        <v>19644</v>
      </c>
      <c r="D18" s="43" t="s">
        <v>4424</v>
      </c>
      <c r="E18" s="46" t="s">
        <v>19651</v>
      </c>
      <c r="F18" s="1" t="b">
        <v>1</v>
      </c>
      <c r="G18" s="1" t="b">
        <v>1</v>
      </c>
      <c r="H18" s="1" t="b">
        <v>0</v>
      </c>
      <c r="I18" s="15">
        <f>VLOOKUP(A18,'Pivot Table 1'!A:B,2,FALSE)</f>
        <v>3</v>
      </c>
      <c r="J18" s="15" t="str">
        <f>VLOOKUP(A18,LLC!A:L,12,FALSE)</f>
        <v>Akshita</v>
      </c>
      <c r="K18" s="15" t="b">
        <f>VLOOKUP(A18,'Live Plan Data'!B:C,2,FALSE)</f>
        <v>1</v>
      </c>
    </row>
    <row r="19" hidden="1">
      <c r="A19" s="41">
        <v>50029.0</v>
      </c>
      <c r="B19" s="42" t="s">
        <v>2761</v>
      </c>
      <c r="C19" s="42" t="s">
        <v>19644</v>
      </c>
      <c r="D19" s="43" t="s">
        <v>2763</v>
      </c>
      <c r="E19" s="40" t="s">
        <v>12603</v>
      </c>
      <c r="F19" s="1" t="b">
        <v>1</v>
      </c>
      <c r="G19" s="1" t="b">
        <v>1</v>
      </c>
      <c r="H19" s="1" t="b">
        <v>1</v>
      </c>
      <c r="I19" s="15">
        <f>VLOOKUP(A19,'Pivot Table 1'!A:B,2,FALSE)</f>
        <v>2</v>
      </c>
      <c r="J19" s="15" t="str">
        <f>VLOOKUP(A19,LLC!A:L,12,FALSE)</f>
        <v>Kushagra</v>
      </c>
      <c r="K19" s="15" t="b">
        <f>VLOOKUP(A19,'Live Plan Data'!B:C,2,FALSE)</f>
        <v>1</v>
      </c>
    </row>
    <row r="20" hidden="1">
      <c r="A20" s="41">
        <v>50031.0</v>
      </c>
      <c r="B20" s="42" t="s">
        <v>19653</v>
      </c>
      <c r="C20" s="42" t="s">
        <v>19644</v>
      </c>
      <c r="D20" s="43" t="s">
        <v>4563</v>
      </c>
      <c r="E20" s="40" t="s">
        <v>12603</v>
      </c>
      <c r="F20" s="1" t="b">
        <v>1</v>
      </c>
      <c r="G20" s="1" t="b">
        <v>1</v>
      </c>
      <c r="H20" s="1" t="b">
        <v>1</v>
      </c>
      <c r="I20" s="15">
        <f>VLOOKUP(A20,'Pivot Table 1'!A:B,2,FALSE)</f>
        <v>1</v>
      </c>
      <c r="J20" s="15" t="str">
        <f>VLOOKUP(A20,LLC!A:L,12,FALSE)</f>
        <v>Kushagra</v>
      </c>
      <c r="K20" s="15" t="str">
        <f>VLOOKUP(A20,'Live Plan Data'!B:C,2,FALSE)</f>
        <v>#N/A</v>
      </c>
    </row>
    <row r="21">
      <c r="A21" s="44">
        <v>49951.0</v>
      </c>
      <c r="B21" s="42" t="s">
        <v>19654</v>
      </c>
      <c r="C21" s="42" t="s">
        <v>19644</v>
      </c>
      <c r="D21" s="43" t="s">
        <v>4889</v>
      </c>
      <c r="E21" s="47" t="s">
        <v>19655</v>
      </c>
      <c r="F21" s="1" t="b">
        <v>1</v>
      </c>
      <c r="G21" s="1" t="b">
        <v>1</v>
      </c>
      <c r="H21" s="1" t="b">
        <v>1</v>
      </c>
      <c r="I21" s="15" t="str">
        <f>VLOOKUP(A21,'Pivot Table 1'!A:B,2,FALSE)</f>
        <v>#N/A</v>
      </c>
      <c r="J21" s="15" t="str">
        <f>VLOOKUP(A21,LLC!A:L,12,FALSE)</f>
        <v>Tara</v>
      </c>
      <c r="K21" s="15" t="str">
        <f>VLOOKUP(A21,'Live Plan Data'!B:C,2,FALSE)</f>
        <v>#N/A</v>
      </c>
    </row>
    <row r="22">
      <c r="A22" s="41">
        <v>49991.0</v>
      </c>
      <c r="B22" s="42" t="s">
        <v>3055</v>
      </c>
      <c r="C22" s="42" t="s">
        <v>19644</v>
      </c>
      <c r="D22" s="43" t="s">
        <v>3057</v>
      </c>
      <c r="E22" s="40" t="s">
        <v>12603</v>
      </c>
      <c r="F22" s="1" t="b">
        <v>1</v>
      </c>
      <c r="G22" s="1" t="b">
        <v>1</v>
      </c>
      <c r="H22" s="1" t="b">
        <v>1</v>
      </c>
      <c r="I22" s="15" t="str">
        <f>VLOOKUP(A22,'Pivot Table 1'!A:B,2,FALSE)</f>
        <v>#N/A</v>
      </c>
      <c r="J22" s="15" t="str">
        <f>VLOOKUP(A22,LLC!A:L,12,FALSE)</f>
        <v>Tara</v>
      </c>
      <c r="K22" s="15" t="str">
        <f>VLOOKUP(A22,'Live Plan Data'!B:C,2,FALSE)</f>
        <v>#N/A</v>
      </c>
    </row>
    <row r="23" hidden="1">
      <c r="A23" s="41">
        <v>50039.0</v>
      </c>
      <c r="B23" s="42" t="s">
        <v>4341</v>
      </c>
      <c r="C23" s="42" t="s">
        <v>19644</v>
      </c>
      <c r="D23" s="43" t="s">
        <v>4343</v>
      </c>
      <c r="E23" s="40" t="s">
        <v>12603</v>
      </c>
      <c r="F23" s="1" t="b">
        <v>1</v>
      </c>
      <c r="G23" s="1" t="b">
        <v>1</v>
      </c>
      <c r="H23" s="1" t="b">
        <v>1</v>
      </c>
      <c r="I23" s="15">
        <f>VLOOKUP(A23,'Pivot Table 1'!A:B,2,FALSE)</f>
        <v>1</v>
      </c>
      <c r="J23" s="15" t="str">
        <f>VLOOKUP(A23,LLC!A:L,12,FALSE)</f>
        <v>Kushagra</v>
      </c>
      <c r="K23" s="15" t="b">
        <f>VLOOKUP(A23,'Live Plan Data'!B:C,2,FALSE)</f>
        <v>1</v>
      </c>
    </row>
    <row r="24">
      <c r="A24" s="44">
        <v>49992.0</v>
      </c>
      <c r="B24" s="42" t="s">
        <v>3286</v>
      </c>
      <c r="C24" s="42" t="s">
        <v>19644</v>
      </c>
      <c r="D24" s="43" t="s">
        <v>3288</v>
      </c>
      <c r="E24" s="46" t="s">
        <v>19651</v>
      </c>
      <c r="F24" s="1" t="b">
        <v>1</v>
      </c>
      <c r="G24" s="1" t="b">
        <v>1</v>
      </c>
      <c r="H24" s="1" t="b">
        <v>0</v>
      </c>
      <c r="I24" s="15" t="str">
        <f>VLOOKUP(A24,'Pivot Table 1'!A:B,2,FALSE)</f>
        <v>#N/A</v>
      </c>
      <c r="J24" s="15" t="str">
        <f>VLOOKUP(A24,LLC!A:L,12,FALSE)</f>
        <v>Tara</v>
      </c>
      <c r="K24" s="15" t="str">
        <f>VLOOKUP(A24,'Live Plan Data'!B:C,2,FALSE)</f>
        <v>#N/A</v>
      </c>
    </row>
    <row r="25">
      <c r="A25" s="41">
        <v>49994.0</v>
      </c>
      <c r="B25" s="42" t="s">
        <v>1264</v>
      </c>
      <c r="C25" s="42" t="s">
        <v>19644</v>
      </c>
      <c r="D25" s="43" t="s">
        <v>6615</v>
      </c>
      <c r="E25" s="40" t="s">
        <v>12603</v>
      </c>
      <c r="F25" s="1" t="b">
        <v>1</v>
      </c>
      <c r="G25" s="1" t="b">
        <v>1</v>
      </c>
      <c r="H25" s="1" t="b">
        <v>1</v>
      </c>
      <c r="I25" s="15" t="str">
        <f>VLOOKUP(A25,'Pivot Table 1'!A:B,2,FALSE)</f>
        <v>#N/A</v>
      </c>
      <c r="J25" s="15" t="str">
        <f>VLOOKUP(A25,LLC!A:L,12,FALSE)</f>
        <v>Tara</v>
      </c>
      <c r="K25" s="15" t="str">
        <f>VLOOKUP(A25,'Live Plan Data'!B:C,2,FALSE)</f>
        <v>#N/A</v>
      </c>
    </row>
    <row r="26">
      <c r="A26" s="41">
        <v>49995.0</v>
      </c>
      <c r="B26" s="42" t="s">
        <v>5321</v>
      </c>
      <c r="C26" s="42" t="s">
        <v>19644</v>
      </c>
      <c r="D26" s="43" t="s">
        <v>5323</v>
      </c>
      <c r="E26" s="40" t="s">
        <v>12603</v>
      </c>
      <c r="F26" s="1" t="b">
        <v>1</v>
      </c>
      <c r="G26" s="1" t="b">
        <v>1</v>
      </c>
      <c r="H26" s="1" t="b">
        <v>1</v>
      </c>
      <c r="I26" s="15" t="str">
        <f>VLOOKUP(A26,'Pivot Table 1'!A:B,2,FALSE)</f>
        <v>#N/A</v>
      </c>
      <c r="J26" s="15" t="str">
        <f>VLOOKUP(A26,LLC!A:L,12,FALSE)</f>
        <v>Tara</v>
      </c>
      <c r="K26" s="15" t="str">
        <f>VLOOKUP(A26,'Live Plan Data'!B:C,2,FALSE)</f>
        <v>#N/A</v>
      </c>
    </row>
    <row r="27">
      <c r="A27" s="41">
        <v>49996.0</v>
      </c>
      <c r="B27" s="42" t="s">
        <v>4796</v>
      </c>
      <c r="C27" s="42" t="s">
        <v>19644</v>
      </c>
      <c r="D27" s="43" t="s">
        <v>4799</v>
      </c>
      <c r="E27" s="40" t="s">
        <v>12603</v>
      </c>
      <c r="F27" s="1" t="b">
        <v>1</v>
      </c>
      <c r="G27" s="1" t="b">
        <v>1</v>
      </c>
      <c r="H27" s="1" t="b">
        <v>1</v>
      </c>
      <c r="I27" s="15" t="str">
        <f>VLOOKUP(A27,'Pivot Table 1'!A:B,2,FALSE)</f>
        <v>#N/A</v>
      </c>
      <c r="J27" s="15" t="str">
        <f>VLOOKUP(A27,LLC!A:L,12,FALSE)</f>
        <v>Tara</v>
      </c>
      <c r="K27" s="15" t="str">
        <f>VLOOKUP(A27,'Live Plan Data'!B:C,2,FALSE)</f>
        <v>#N/A</v>
      </c>
    </row>
    <row r="28">
      <c r="A28" s="41">
        <v>49997.0</v>
      </c>
      <c r="B28" s="42" t="s">
        <v>19656</v>
      </c>
      <c r="C28" s="42" t="s">
        <v>19644</v>
      </c>
      <c r="D28" s="43" t="s">
        <v>2457</v>
      </c>
      <c r="E28" s="40" t="s">
        <v>12603</v>
      </c>
      <c r="F28" s="1" t="b">
        <v>1</v>
      </c>
      <c r="G28" s="1" t="b">
        <v>1</v>
      </c>
      <c r="H28" s="1" t="b">
        <v>1</v>
      </c>
      <c r="I28" s="15" t="str">
        <f>VLOOKUP(A28,'Pivot Table 1'!A:B,2,FALSE)</f>
        <v>#N/A</v>
      </c>
      <c r="J28" s="15" t="str">
        <f>VLOOKUP(A28,LLC!A:L,12,FALSE)</f>
        <v>Tara</v>
      </c>
      <c r="K28" s="15" t="str">
        <f>VLOOKUP(A28,'Live Plan Data'!B:C,2,FALSE)</f>
        <v>#N/A</v>
      </c>
    </row>
    <row r="29">
      <c r="A29" s="41">
        <v>49998.0</v>
      </c>
      <c r="B29" s="42" t="s">
        <v>19657</v>
      </c>
      <c r="C29" s="42" t="s">
        <v>19644</v>
      </c>
      <c r="D29" s="43" t="s">
        <v>6252</v>
      </c>
      <c r="E29" s="40" t="s">
        <v>12603</v>
      </c>
      <c r="F29" s="1" t="b">
        <v>1</v>
      </c>
      <c r="G29" s="1" t="b">
        <v>1</v>
      </c>
      <c r="H29" s="1" t="b">
        <v>1</v>
      </c>
      <c r="I29" s="15" t="str">
        <f>VLOOKUP(A29,'Pivot Table 1'!A:B,2,FALSE)</f>
        <v>#N/A</v>
      </c>
      <c r="J29" s="15" t="str">
        <f>VLOOKUP(A29,LLC!A:L,12,FALSE)</f>
        <v>Tara</v>
      </c>
      <c r="K29" s="15" t="str">
        <f>VLOOKUP(A29,'Live Plan Data'!B:C,2,FALSE)</f>
        <v>#N/A</v>
      </c>
    </row>
    <row r="30">
      <c r="A30" s="41">
        <v>50007.0</v>
      </c>
      <c r="B30" s="42" t="s">
        <v>13082</v>
      </c>
      <c r="C30" s="42" t="s">
        <v>19644</v>
      </c>
      <c r="D30" s="43" t="s">
        <v>19658</v>
      </c>
      <c r="E30" s="40" t="s">
        <v>12603</v>
      </c>
      <c r="F30" s="1" t="b">
        <v>1</v>
      </c>
      <c r="G30" s="1" t="b">
        <v>1</v>
      </c>
      <c r="H30" s="1" t="b">
        <v>1</v>
      </c>
      <c r="I30" s="15" t="str">
        <f>VLOOKUP(A30,'Pivot Table 1'!A:B,2,FALSE)</f>
        <v>#N/A</v>
      </c>
      <c r="J30" s="15" t="str">
        <f>VLOOKUP(A30,LLC!A:L,12,FALSE)</f>
        <v>Tara</v>
      </c>
      <c r="K30" s="15" t="str">
        <f>VLOOKUP(A30,'Live Plan Data'!B:C,2,FALSE)</f>
        <v>#N/A</v>
      </c>
    </row>
    <row r="31" hidden="1">
      <c r="A31" s="41">
        <v>50066.0</v>
      </c>
      <c r="B31" s="42" t="s">
        <v>2911</v>
      </c>
      <c r="C31" s="45" t="s">
        <v>19649</v>
      </c>
      <c r="D31" s="43" t="s">
        <v>2913</v>
      </c>
      <c r="E31" s="40" t="s">
        <v>12603</v>
      </c>
      <c r="F31" s="1" t="b">
        <v>1</v>
      </c>
      <c r="G31" s="1" t="b">
        <v>1</v>
      </c>
      <c r="H31" s="1" t="b">
        <v>1</v>
      </c>
      <c r="I31" s="15">
        <f>VLOOKUP(A31,'Pivot Table 1'!A:B,2,FALSE)</f>
        <v>7</v>
      </c>
      <c r="J31" s="15" t="str">
        <f>VLOOKUP(A31,LLC!A:L,12,FALSE)</f>
        <v>Harnoor</v>
      </c>
      <c r="K31" s="15" t="b">
        <f>VLOOKUP(A31,'Live Plan Data'!B:C,2,FALSE)</f>
        <v>1</v>
      </c>
    </row>
    <row r="32" hidden="1">
      <c r="A32" s="41">
        <v>50069.0</v>
      </c>
      <c r="B32" s="42" t="s">
        <v>6686</v>
      </c>
      <c r="C32" s="45" t="s">
        <v>19649</v>
      </c>
      <c r="D32" s="43" t="s">
        <v>19659</v>
      </c>
      <c r="E32" s="40" t="s">
        <v>12603</v>
      </c>
      <c r="F32" s="1" t="b">
        <v>1</v>
      </c>
      <c r="G32" s="1" t="b">
        <v>1</v>
      </c>
      <c r="H32" s="1" t="b">
        <v>1</v>
      </c>
      <c r="I32" s="15">
        <f>VLOOKUP(A32,'Pivot Table 1'!A:B,2,FALSE)</f>
        <v>5</v>
      </c>
      <c r="J32" s="15" t="str">
        <f>VLOOKUP(A32,LLC!A:L,12,FALSE)</f>
        <v>Tarun </v>
      </c>
      <c r="K32" s="15" t="b">
        <f>VLOOKUP(A32,'Live Plan Data'!B:C,2,FALSE)</f>
        <v>1</v>
      </c>
    </row>
    <row r="33" hidden="1">
      <c r="A33" s="41">
        <v>50073.0</v>
      </c>
      <c r="B33" s="42" t="s">
        <v>19660</v>
      </c>
      <c r="C33" s="42" t="s">
        <v>19644</v>
      </c>
      <c r="D33" s="43" t="s">
        <v>19661</v>
      </c>
      <c r="E33" s="40" t="s">
        <v>12603</v>
      </c>
      <c r="F33" s="1" t="b">
        <v>1</v>
      </c>
      <c r="G33" s="1" t="b">
        <v>1</v>
      </c>
      <c r="H33" s="1" t="b">
        <v>1</v>
      </c>
      <c r="I33" s="15">
        <f>VLOOKUP(A33,'Pivot Table 1'!A:B,2,FALSE)</f>
        <v>5</v>
      </c>
      <c r="J33" s="15" t="str">
        <f>VLOOKUP(A33,LLC!A:L,12,FALSE)</f>
        <v>Akshita</v>
      </c>
      <c r="K33" s="15" t="str">
        <f>VLOOKUP(A33,'Live Plan Data'!B:C,2,FALSE)</f>
        <v>#N/A</v>
      </c>
    </row>
    <row r="34" hidden="1">
      <c r="A34" s="41">
        <v>49844.0</v>
      </c>
      <c r="B34" s="42" t="s">
        <v>885</v>
      </c>
      <c r="C34" s="38" t="s">
        <v>19644</v>
      </c>
      <c r="D34" s="39" t="s">
        <v>19662</v>
      </c>
      <c r="E34" s="40" t="s">
        <v>12603</v>
      </c>
      <c r="F34" s="1" t="b">
        <v>1</v>
      </c>
      <c r="G34" s="1" t="b">
        <v>1</v>
      </c>
      <c r="H34" s="1" t="b">
        <v>1</v>
      </c>
      <c r="I34" s="15">
        <f>VLOOKUP(A34,'Pivot Table 1'!A:B,2,FALSE)</f>
        <v>8</v>
      </c>
      <c r="J34" s="15" t="str">
        <f>VLOOKUP(A34,LLC!A:L,12,FALSE)</f>
        <v>Trishna</v>
      </c>
      <c r="K34" s="15" t="str">
        <f>VLOOKUP(A34,'Live Plan Data'!B:C,2,FALSE)</f>
        <v>#N/A</v>
      </c>
    </row>
    <row r="35" hidden="1">
      <c r="A35" s="41">
        <v>50078.0</v>
      </c>
      <c r="B35" s="42" t="s">
        <v>19663</v>
      </c>
      <c r="C35" s="42" t="s">
        <v>19644</v>
      </c>
      <c r="D35" s="43" t="s">
        <v>5107</v>
      </c>
      <c r="E35" s="46" t="s">
        <v>19651</v>
      </c>
      <c r="F35" s="1" t="b">
        <v>1</v>
      </c>
      <c r="G35" s="1" t="b">
        <v>1</v>
      </c>
      <c r="H35" s="1" t="b">
        <v>0</v>
      </c>
      <c r="I35" s="15">
        <f>VLOOKUP(A35,'Pivot Table 1'!A:B,2,FALSE)</f>
        <v>6</v>
      </c>
      <c r="J35" s="15" t="str">
        <f>VLOOKUP(A35,LLC!A:L,12,FALSE)</f>
        <v>Akshita</v>
      </c>
      <c r="K35" s="15" t="b">
        <f>VLOOKUP(A35,'Live Plan Data'!B:C,2,FALSE)</f>
        <v>1</v>
      </c>
    </row>
    <row r="36" hidden="1">
      <c r="A36" s="41">
        <v>50082.0</v>
      </c>
      <c r="B36" s="42" t="s">
        <v>12739</v>
      </c>
      <c r="C36" s="45" t="s">
        <v>19649</v>
      </c>
      <c r="D36" s="43" t="s">
        <v>19664</v>
      </c>
      <c r="E36" s="40" t="s">
        <v>12603</v>
      </c>
      <c r="F36" s="1" t="b">
        <v>1</v>
      </c>
      <c r="G36" s="1" t="b">
        <v>1</v>
      </c>
      <c r="H36" s="1" t="b">
        <v>1</v>
      </c>
      <c r="I36" s="15">
        <f>VLOOKUP(A36,'Pivot Table 1'!A:B,2,FALSE)</f>
        <v>5</v>
      </c>
      <c r="J36" s="15" t="str">
        <f>VLOOKUP(A36,LLC!A:L,12,FALSE)</f>
        <v>Muskan</v>
      </c>
      <c r="K36" s="15" t="b">
        <f>VLOOKUP(A36,'Live Plan Data'!B:C,2,FALSE)</f>
        <v>1</v>
      </c>
    </row>
    <row r="37" hidden="1">
      <c r="A37" s="41">
        <v>50083.0</v>
      </c>
      <c r="B37" s="42" t="s">
        <v>12924</v>
      </c>
      <c r="C37" s="45" t="s">
        <v>19649</v>
      </c>
      <c r="D37" s="43" t="s">
        <v>19665</v>
      </c>
      <c r="E37" s="40" t="s">
        <v>12603</v>
      </c>
      <c r="F37" s="1" t="b">
        <v>1</v>
      </c>
      <c r="G37" s="1" t="b">
        <v>1</v>
      </c>
      <c r="H37" s="1" t="b">
        <v>1</v>
      </c>
      <c r="I37" s="15">
        <f>VLOOKUP(A37,'Pivot Table 1'!A:B,2,FALSE)</f>
        <v>4</v>
      </c>
      <c r="J37" s="15" t="str">
        <f>VLOOKUP(A37,LLC!A:L,12,FALSE)</f>
        <v>Ritu</v>
      </c>
      <c r="K37" s="15" t="b">
        <f>VLOOKUP(A37,'Live Plan Data'!B:C,2,FALSE)</f>
        <v>1</v>
      </c>
    </row>
    <row r="38" hidden="1">
      <c r="A38" s="44">
        <v>49859.0</v>
      </c>
      <c r="B38" s="42" t="s">
        <v>19666</v>
      </c>
      <c r="C38" s="42" t="s">
        <v>19644</v>
      </c>
      <c r="D38" s="39" t="s">
        <v>4736</v>
      </c>
      <c r="E38" s="40" t="s">
        <v>12603</v>
      </c>
      <c r="F38" s="1" t="b">
        <v>1</v>
      </c>
      <c r="G38" s="1" t="b">
        <v>1</v>
      </c>
      <c r="H38" s="1" t="b">
        <v>1</v>
      </c>
      <c r="I38" s="15">
        <f>VLOOKUP(A38,'Pivot Table 1'!A:B,2,FALSE)</f>
        <v>3</v>
      </c>
      <c r="J38" s="15" t="str">
        <f>VLOOKUP(A38,LLC!A:L,12,FALSE)</f>
        <v>Trishna</v>
      </c>
      <c r="K38" s="15" t="str">
        <f>VLOOKUP(A38,'Live Plan Data'!B:C,2,FALSE)</f>
        <v>#N/A</v>
      </c>
    </row>
    <row r="39" hidden="1">
      <c r="A39" s="41">
        <v>49907.0</v>
      </c>
      <c r="B39" s="42" t="s">
        <v>19667</v>
      </c>
      <c r="C39" s="38" t="s">
        <v>19644</v>
      </c>
      <c r="D39" s="39" t="s">
        <v>19668</v>
      </c>
      <c r="E39" s="40" t="s">
        <v>12603</v>
      </c>
      <c r="F39" s="1" t="b">
        <v>1</v>
      </c>
      <c r="G39" s="1" t="b">
        <v>1</v>
      </c>
      <c r="H39" s="1" t="b">
        <v>1</v>
      </c>
      <c r="I39" s="15">
        <f>VLOOKUP(A39,'Pivot Table 1'!A:B,2,FALSE)</f>
        <v>4</v>
      </c>
      <c r="J39" s="15" t="str">
        <f>VLOOKUP(A39,LLC!A:L,12,FALSE)</f>
        <v>Trishna</v>
      </c>
      <c r="K39" s="15" t="str">
        <f>VLOOKUP(A39,'Live Plan Data'!B:C,2,FALSE)</f>
        <v>#N/A</v>
      </c>
    </row>
    <row r="40" hidden="1">
      <c r="A40" s="41">
        <v>50092.0</v>
      </c>
      <c r="B40" s="42" t="s">
        <v>19669</v>
      </c>
      <c r="C40" s="42" t="s">
        <v>19644</v>
      </c>
      <c r="D40" s="43" t="s">
        <v>19670</v>
      </c>
      <c r="E40" s="46" t="s">
        <v>19651</v>
      </c>
      <c r="F40" s="1" t="b">
        <v>1</v>
      </c>
      <c r="G40" s="1" t="b">
        <v>1</v>
      </c>
      <c r="H40" s="1" t="b">
        <v>0</v>
      </c>
      <c r="I40" s="15">
        <f>VLOOKUP(A40,'Pivot Table 1'!A:B,2,FALSE)</f>
        <v>9</v>
      </c>
      <c r="J40" s="15" t="str">
        <f>VLOOKUP(A40,LLC!A:L,12,FALSE)</f>
        <v>Akshita</v>
      </c>
      <c r="K40" s="15" t="b">
        <f>VLOOKUP(A40,'Live Plan Data'!B:C,2,FALSE)</f>
        <v>1</v>
      </c>
    </row>
    <row r="41" hidden="1">
      <c r="A41" s="41">
        <v>49958.0</v>
      </c>
      <c r="B41" s="42" t="s">
        <v>858</v>
      </c>
      <c r="C41" s="42" t="s">
        <v>19644</v>
      </c>
      <c r="D41" s="39" t="s">
        <v>19671</v>
      </c>
      <c r="E41" s="46" t="s">
        <v>19651</v>
      </c>
      <c r="F41" s="1" t="b">
        <v>1</v>
      </c>
      <c r="G41" s="1" t="b">
        <v>1</v>
      </c>
      <c r="H41" s="1" t="b">
        <v>0</v>
      </c>
      <c r="I41" s="15">
        <f>VLOOKUP(A41,'Pivot Table 1'!A:B,2,FALSE)</f>
        <v>2</v>
      </c>
      <c r="J41" s="15" t="str">
        <f>VLOOKUP(A41,LLC!A:L,12,FALSE)</f>
        <v>Trishna</v>
      </c>
      <c r="K41" s="15" t="str">
        <f>VLOOKUP(A41,'Live Plan Data'!B:C,2,FALSE)</f>
        <v>#N/A</v>
      </c>
    </row>
    <row r="42" hidden="1">
      <c r="A42" s="41">
        <v>50094.0</v>
      </c>
      <c r="B42" s="42" t="s">
        <v>4942</v>
      </c>
      <c r="C42" s="42" t="s">
        <v>19644</v>
      </c>
      <c r="D42" s="43" t="s">
        <v>5054</v>
      </c>
      <c r="E42" s="40" t="s">
        <v>12603</v>
      </c>
      <c r="F42" s="1" t="b">
        <v>1</v>
      </c>
      <c r="G42" s="1" t="b">
        <v>1</v>
      </c>
      <c r="H42" s="1" t="b">
        <v>1</v>
      </c>
      <c r="I42" s="15">
        <f>VLOOKUP(A42,'Pivot Table 1'!A:B,2,FALSE)</f>
        <v>3</v>
      </c>
      <c r="J42" s="15" t="str">
        <f>VLOOKUP(A42,LLC!A:L,12,FALSE)</f>
        <v>Akshita</v>
      </c>
      <c r="K42" s="15" t="b">
        <f>VLOOKUP(A42,'Live Plan Data'!B:C,2,FALSE)</f>
        <v>1</v>
      </c>
    </row>
    <row r="43" hidden="1">
      <c r="A43" s="41">
        <v>50044.0</v>
      </c>
      <c r="B43" s="48" t="s">
        <v>6320</v>
      </c>
      <c r="C43" s="42" t="s">
        <v>19644</v>
      </c>
      <c r="D43" s="49" t="s">
        <v>6322</v>
      </c>
      <c r="E43" s="40" t="s">
        <v>12603</v>
      </c>
      <c r="F43" s="1" t="b">
        <v>1</v>
      </c>
      <c r="G43" s="1" t="b">
        <v>1</v>
      </c>
      <c r="H43" s="1" t="b">
        <v>1</v>
      </c>
      <c r="I43" s="15">
        <f>VLOOKUP(A43,'Pivot Table 1'!A:B,2,FALSE)</f>
        <v>4</v>
      </c>
      <c r="J43" s="15" t="str">
        <f>VLOOKUP(A43,LLC!A:L,12,FALSE)</f>
        <v>Trishna</v>
      </c>
      <c r="K43" s="15" t="b">
        <f>VLOOKUP(A43,'Live Plan Data'!B:C,2,FALSE)</f>
        <v>1</v>
      </c>
    </row>
    <row r="44" hidden="1">
      <c r="A44" s="41">
        <v>50047.0</v>
      </c>
      <c r="B44" s="42" t="s">
        <v>3195</v>
      </c>
      <c r="C44" s="42" t="s">
        <v>19644</v>
      </c>
      <c r="D44" s="43" t="s">
        <v>3197</v>
      </c>
      <c r="E44" s="46" t="s">
        <v>19651</v>
      </c>
      <c r="F44" s="1" t="b">
        <v>1</v>
      </c>
      <c r="G44" s="1" t="b">
        <v>1</v>
      </c>
      <c r="H44" s="1" t="b">
        <v>0</v>
      </c>
      <c r="I44" s="15">
        <f>VLOOKUP(A44,'Pivot Table 1'!A:B,2,FALSE)</f>
        <v>1</v>
      </c>
      <c r="J44" s="15" t="str">
        <f>VLOOKUP(A44,LLC!A:L,12,FALSE)</f>
        <v>Trishna</v>
      </c>
      <c r="K44" s="15" t="b">
        <f>VLOOKUP(A44,'Live Plan Data'!B:C,2,FALSE)</f>
        <v>1</v>
      </c>
    </row>
    <row r="45" hidden="1">
      <c r="A45" s="41">
        <v>50051.0</v>
      </c>
      <c r="B45" s="42" t="s">
        <v>5110</v>
      </c>
      <c r="C45" s="42" t="s">
        <v>19644</v>
      </c>
      <c r="D45" s="39" t="s">
        <v>5113</v>
      </c>
      <c r="E45" s="46" t="s">
        <v>19651</v>
      </c>
      <c r="F45" s="1" t="b">
        <v>1</v>
      </c>
      <c r="G45" s="1" t="b">
        <v>1</v>
      </c>
      <c r="H45" s="1" t="b">
        <v>0</v>
      </c>
      <c r="I45" s="15">
        <f>VLOOKUP(A45,'Pivot Table 1'!A:B,2,FALSE)</f>
        <v>7</v>
      </c>
      <c r="J45" s="15" t="str">
        <f>VLOOKUP(A45,LLC!A:L,12,FALSE)</f>
        <v>Trishna</v>
      </c>
      <c r="K45" s="15" t="b">
        <f>VLOOKUP(A45,'Live Plan Data'!B:C,2,FALSE)</f>
        <v>1</v>
      </c>
    </row>
    <row r="46" hidden="1">
      <c r="A46" s="41">
        <v>50113.0</v>
      </c>
      <c r="B46" s="42" t="s">
        <v>4914</v>
      </c>
      <c r="C46" s="45" t="s">
        <v>19649</v>
      </c>
      <c r="D46" s="43" t="s">
        <v>4939</v>
      </c>
      <c r="E46" s="40" t="s">
        <v>12603</v>
      </c>
      <c r="F46" s="1" t="b">
        <v>1</v>
      </c>
      <c r="G46" s="1" t="b">
        <v>1</v>
      </c>
      <c r="H46" s="1" t="b">
        <v>1</v>
      </c>
      <c r="I46" s="15">
        <f>VLOOKUP(A46,'Pivot Table 1'!A:B,2,FALSE)</f>
        <v>3</v>
      </c>
      <c r="J46" s="15" t="str">
        <f>VLOOKUP(A46,LLC!A:L,12,FALSE)</f>
        <v>Rushikesh </v>
      </c>
      <c r="K46" s="15" t="b">
        <f>VLOOKUP(A46,'Live Plan Data'!B:C,2,FALSE)</f>
        <v>1</v>
      </c>
    </row>
    <row r="47" hidden="1">
      <c r="A47" s="41">
        <v>50119.0</v>
      </c>
      <c r="B47" s="42" t="s">
        <v>19672</v>
      </c>
      <c r="C47" s="45" t="s">
        <v>19649</v>
      </c>
      <c r="D47" s="50" t="s">
        <v>19673</v>
      </c>
      <c r="E47" s="40" t="s">
        <v>12603</v>
      </c>
      <c r="F47" s="1" t="b">
        <v>1</v>
      </c>
      <c r="G47" s="1" t="b">
        <v>1</v>
      </c>
      <c r="H47" s="1" t="b">
        <v>1</v>
      </c>
      <c r="I47" s="15">
        <f>VLOOKUP(A47,'Pivot Table 1'!A:B,2,FALSE)</f>
        <v>7</v>
      </c>
      <c r="J47" s="15" t="str">
        <f>VLOOKUP(A47,LLC!A:L,12,FALSE)</f>
        <v>Anshul</v>
      </c>
      <c r="K47" s="15" t="b">
        <f>VLOOKUP(A47,'Live Plan Data'!B:C,2,FALSE)</f>
        <v>1</v>
      </c>
    </row>
    <row r="48" hidden="1">
      <c r="A48" s="41">
        <v>50122.0</v>
      </c>
      <c r="B48" s="42" t="s">
        <v>12726</v>
      </c>
      <c r="C48" s="45" t="s">
        <v>19649</v>
      </c>
      <c r="D48" s="51" t="s">
        <v>19674</v>
      </c>
      <c r="E48" s="40" t="s">
        <v>12603</v>
      </c>
      <c r="F48" s="1" t="b">
        <v>1</v>
      </c>
      <c r="G48" s="1" t="b">
        <v>1</v>
      </c>
      <c r="H48" s="1" t="b">
        <v>1</v>
      </c>
      <c r="I48" s="15">
        <f>VLOOKUP(A48,'Pivot Table 1'!A:B,2,FALSE)</f>
        <v>6</v>
      </c>
      <c r="J48" s="15" t="str">
        <f>VLOOKUP(A48,LLC!A:L,12,FALSE)</f>
        <v>Ritu</v>
      </c>
      <c r="K48" s="15" t="b">
        <f>VLOOKUP(A48,'Live Plan Data'!B:C,2,FALSE)</f>
        <v>1</v>
      </c>
    </row>
    <row r="49" hidden="1">
      <c r="A49" s="41">
        <v>50123.0</v>
      </c>
      <c r="B49" s="42" t="s">
        <v>12614</v>
      </c>
      <c r="C49" s="45" t="s">
        <v>19649</v>
      </c>
      <c r="D49" s="43" t="s">
        <v>19675</v>
      </c>
      <c r="E49" s="40" t="s">
        <v>12603</v>
      </c>
      <c r="F49" s="1" t="b">
        <v>1</v>
      </c>
      <c r="G49" s="1" t="b">
        <v>1</v>
      </c>
      <c r="H49" s="1" t="b">
        <v>1</v>
      </c>
      <c r="I49" s="15">
        <f>VLOOKUP(A49,'Pivot Table 1'!A:B,2,FALSE)</f>
        <v>6</v>
      </c>
      <c r="J49" s="15" t="str">
        <f>VLOOKUP(A49,LLC!A:L,12,FALSE)</f>
        <v>Rushikesh </v>
      </c>
      <c r="K49" s="15" t="b">
        <f>VLOOKUP(A49,'Live Plan Data'!B:C,2,FALSE)</f>
        <v>1</v>
      </c>
    </row>
    <row r="50" hidden="1">
      <c r="A50" s="41">
        <v>50127.0</v>
      </c>
      <c r="B50" s="42" t="s">
        <v>12895</v>
      </c>
      <c r="C50" s="42" t="s">
        <v>19644</v>
      </c>
      <c r="D50" s="43" t="s">
        <v>19676</v>
      </c>
      <c r="E50" s="40" t="s">
        <v>12603</v>
      </c>
      <c r="F50" s="1" t="b">
        <v>1</v>
      </c>
      <c r="G50" s="1" t="b">
        <v>1</v>
      </c>
      <c r="H50" s="1" t="b">
        <v>1</v>
      </c>
      <c r="I50" s="15">
        <f>VLOOKUP(A50,'Pivot Table 1'!A:B,2,FALSE)</f>
        <v>4</v>
      </c>
      <c r="J50" s="15" t="str">
        <f>VLOOKUP(A50,LLC!A:L,12,FALSE)</f>
        <v>Mansi</v>
      </c>
      <c r="K50" s="15" t="b">
        <f>VLOOKUP(A50,'Live Plan Data'!B:C,2,FALSE)</f>
        <v>1</v>
      </c>
    </row>
    <row r="51" hidden="1">
      <c r="A51" s="41">
        <v>50129.0</v>
      </c>
      <c r="B51" s="42" t="s">
        <v>12671</v>
      </c>
      <c r="C51" s="45" t="s">
        <v>19649</v>
      </c>
      <c r="D51" s="43" t="s">
        <v>19677</v>
      </c>
      <c r="E51" s="40" t="s">
        <v>12603</v>
      </c>
      <c r="F51" s="1" t="b">
        <v>1</v>
      </c>
      <c r="G51" s="1" t="b">
        <v>1</v>
      </c>
      <c r="H51" s="1" t="b">
        <v>1</v>
      </c>
      <c r="I51" s="15">
        <f>VLOOKUP(A51,'Pivot Table 1'!A:B,2,FALSE)</f>
        <v>4</v>
      </c>
      <c r="J51" s="15" t="str">
        <f>VLOOKUP(A51,LLC!A:L,12,FALSE)</f>
        <v>Muskan</v>
      </c>
      <c r="K51" s="15" t="b">
        <f>VLOOKUP(A51,'Live Plan Data'!B:C,2,FALSE)</f>
        <v>1</v>
      </c>
    </row>
    <row r="52" hidden="1">
      <c r="A52" s="41">
        <v>50136.0</v>
      </c>
      <c r="B52" s="42" t="s">
        <v>19678</v>
      </c>
      <c r="C52" s="42" t="s">
        <v>19644</v>
      </c>
      <c r="D52" s="43" t="s">
        <v>3624</v>
      </c>
      <c r="E52" s="40" t="s">
        <v>12603</v>
      </c>
      <c r="F52" s="1" t="b">
        <v>1</v>
      </c>
      <c r="G52" s="1" t="b">
        <v>1</v>
      </c>
      <c r="H52" s="1" t="b">
        <v>1</v>
      </c>
      <c r="I52" s="15">
        <f>VLOOKUP(A52,'Pivot Table 1'!A:B,2,FALSE)</f>
        <v>5</v>
      </c>
      <c r="J52" s="15" t="str">
        <f>VLOOKUP(A52,LLC!A:L,12,FALSE)</f>
        <v>Anshul</v>
      </c>
      <c r="K52" s="15" t="b">
        <f>VLOOKUP(A52,'Live Plan Data'!B:C,2,FALSE)</f>
        <v>1</v>
      </c>
    </row>
    <row r="53" hidden="1">
      <c r="A53" s="41">
        <v>50143.0</v>
      </c>
      <c r="B53" s="42" t="s">
        <v>2441</v>
      </c>
      <c r="C53" s="42" t="s">
        <v>19644</v>
      </c>
      <c r="D53" s="43" t="s">
        <v>2443</v>
      </c>
      <c r="E53" s="40" t="s">
        <v>12603</v>
      </c>
      <c r="F53" s="1" t="b">
        <v>1</v>
      </c>
      <c r="G53" s="1" t="b">
        <v>1</v>
      </c>
      <c r="H53" s="1" t="b">
        <v>1</v>
      </c>
      <c r="I53" s="15">
        <f>VLOOKUP(A53,'Pivot Table 1'!A:B,2,FALSE)</f>
        <v>3</v>
      </c>
      <c r="J53" s="15" t="str">
        <f>VLOOKUP(A53,LLC!A:L,12,FALSE)</f>
        <v>Akshita</v>
      </c>
      <c r="K53" s="15" t="b">
        <f>VLOOKUP(A53,'Live Plan Data'!B:C,2,FALSE)</f>
        <v>1</v>
      </c>
    </row>
    <row r="54" hidden="1">
      <c r="A54" s="41">
        <v>50146.0</v>
      </c>
      <c r="B54" s="42" t="s">
        <v>13735</v>
      </c>
      <c r="C54" s="42" t="s">
        <v>19644</v>
      </c>
      <c r="D54" s="43" t="s">
        <v>19679</v>
      </c>
      <c r="E54" s="40" t="s">
        <v>12603</v>
      </c>
      <c r="F54" s="1" t="b">
        <v>1</v>
      </c>
      <c r="G54" s="1" t="b">
        <v>1</v>
      </c>
      <c r="H54" s="1" t="b">
        <v>1</v>
      </c>
      <c r="I54" s="15">
        <f>VLOOKUP(A54,'Pivot Table 1'!A:B,2,FALSE)</f>
        <v>6</v>
      </c>
      <c r="J54" s="15" t="str">
        <f>VLOOKUP(A54,LLC!A:L,12,FALSE)</f>
        <v>Tarun </v>
      </c>
      <c r="K54" s="15" t="b">
        <f>VLOOKUP(A54,'Live Plan Data'!B:C,2,FALSE)</f>
        <v>1</v>
      </c>
    </row>
    <row r="55" hidden="1">
      <c r="A55" s="41">
        <v>50147.0</v>
      </c>
      <c r="B55" s="42" t="s">
        <v>19680</v>
      </c>
      <c r="C55" s="42" t="s">
        <v>19644</v>
      </c>
      <c r="D55" s="43" t="s">
        <v>19681</v>
      </c>
      <c r="E55" s="40" t="s">
        <v>12603</v>
      </c>
      <c r="F55" s="1" t="b">
        <v>1</v>
      </c>
      <c r="G55" s="1" t="b">
        <v>1</v>
      </c>
      <c r="H55" s="1" t="b">
        <v>1</v>
      </c>
      <c r="I55" s="15">
        <f>VLOOKUP(A55,'Pivot Table 1'!A:B,2,FALSE)</f>
        <v>8</v>
      </c>
      <c r="J55" s="15" t="str">
        <f>VLOOKUP(A55,LLC!A:L,12,FALSE)</f>
        <v>Mansi</v>
      </c>
      <c r="K55" s="15" t="b">
        <f>VLOOKUP(A55,'Live Plan Data'!B:C,2,FALSE)</f>
        <v>1</v>
      </c>
    </row>
    <row r="56" hidden="1">
      <c r="A56" s="41">
        <v>50148.0</v>
      </c>
      <c r="B56" s="42" t="s">
        <v>19682</v>
      </c>
      <c r="C56" s="42" t="s">
        <v>19644</v>
      </c>
      <c r="D56" s="43" t="s">
        <v>19683</v>
      </c>
      <c r="E56" s="40" t="s">
        <v>12603</v>
      </c>
      <c r="F56" s="1" t="b">
        <v>1</v>
      </c>
      <c r="G56" s="1" t="b">
        <v>1</v>
      </c>
      <c r="H56" s="1" t="b">
        <v>1</v>
      </c>
      <c r="I56" s="15">
        <f>VLOOKUP(A56,'Pivot Table 1'!A:B,2,FALSE)</f>
        <v>5</v>
      </c>
      <c r="J56" s="15" t="str">
        <f>VLOOKUP(A56,LLC!A:L,12,FALSE)</f>
        <v>Muskan</v>
      </c>
      <c r="K56" s="15" t="b">
        <f>VLOOKUP(A56,'Live Plan Data'!B:C,2,FALSE)</f>
        <v>1</v>
      </c>
    </row>
    <row r="57" hidden="1">
      <c r="A57" s="41">
        <v>50149.0</v>
      </c>
      <c r="B57" s="42" t="s">
        <v>12717</v>
      </c>
      <c r="C57" s="42" t="s">
        <v>19644</v>
      </c>
      <c r="D57" s="43" t="s">
        <v>19684</v>
      </c>
      <c r="E57" s="40" t="s">
        <v>12603</v>
      </c>
      <c r="F57" s="1" t="b">
        <v>1</v>
      </c>
      <c r="G57" s="1" t="b">
        <v>1</v>
      </c>
      <c r="H57" s="1" t="b">
        <v>1</v>
      </c>
      <c r="I57" s="15">
        <f>VLOOKUP(A57,'Pivot Table 1'!A:B,2,FALSE)</f>
        <v>6</v>
      </c>
      <c r="J57" s="15" t="str">
        <f>VLOOKUP(A57,LLC!A:L,12,FALSE)</f>
        <v>Tarun </v>
      </c>
      <c r="K57" s="15" t="b">
        <f>VLOOKUP(A57,'Live Plan Data'!B:C,2,FALSE)</f>
        <v>1</v>
      </c>
    </row>
    <row r="58" hidden="1">
      <c r="A58" s="41">
        <v>50150.0</v>
      </c>
      <c r="B58" s="42" t="s">
        <v>12665</v>
      </c>
      <c r="C58" s="42" t="s">
        <v>19644</v>
      </c>
      <c r="D58" s="43" t="s">
        <v>19685</v>
      </c>
      <c r="E58" s="40" t="s">
        <v>12603</v>
      </c>
      <c r="F58" s="1" t="b">
        <v>1</v>
      </c>
      <c r="G58" s="1" t="b">
        <v>1</v>
      </c>
      <c r="H58" s="1" t="b">
        <v>1</v>
      </c>
      <c r="I58" s="15">
        <f>VLOOKUP(A58,'Pivot Table 1'!A:B,2,FALSE)</f>
        <v>5</v>
      </c>
      <c r="J58" s="15" t="str">
        <f>VLOOKUP(A58,LLC!A:L,12,FALSE)</f>
        <v>Rushikesh </v>
      </c>
      <c r="K58" s="15" t="b">
        <f>VLOOKUP(A58,'Live Plan Data'!B:C,2,FALSE)</f>
        <v>1</v>
      </c>
    </row>
    <row r="59" hidden="1">
      <c r="A59" s="41">
        <v>50154.0</v>
      </c>
      <c r="B59" s="42" t="s">
        <v>12966</v>
      </c>
      <c r="C59" s="42" t="s">
        <v>19644</v>
      </c>
      <c r="D59" s="43" t="s">
        <v>19686</v>
      </c>
      <c r="E59" s="40" t="s">
        <v>12603</v>
      </c>
      <c r="F59" s="1" t="b">
        <v>1</v>
      </c>
      <c r="G59" s="1" t="b">
        <v>1</v>
      </c>
      <c r="H59" s="1" t="b">
        <v>1</v>
      </c>
      <c r="I59" s="15">
        <f>VLOOKUP(A59,'Pivot Table 1'!A:B,2,FALSE)</f>
        <v>7</v>
      </c>
      <c r="J59" s="15" t="str">
        <f>VLOOKUP(A59,LLC!A:L,12,FALSE)</f>
        <v>Tarun </v>
      </c>
      <c r="K59" s="15" t="b">
        <f>VLOOKUP(A59,'Live Plan Data'!B:C,2,FALSE)</f>
        <v>1</v>
      </c>
    </row>
    <row r="60" hidden="1">
      <c r="A60" s="41">
        <v>50155.0</v>
      </c>
      <c r="B60" s="42" t="s">
        <v>12817</v>
      </c>
      <c r="C60" s="42" t="s">
        <v>19644</v>
      </c>
      <c r="D60" s="43" t="s">
        <v>19687</v>
      </c>
      <c r="E60" s="40" t="s">
        <v>12603</v>
      </c>
      <c r="F60" s="1" t="b">
        <v>1</v>
      </c>
      <c r="G60" s="1" t="b">
        <v>1</v>
      </c>
      <c r="H60" s="1" t="b">
        <v>1</v>
      </c>
      <c r="I60" s="15">
        <f>VLOOKUP(A60,'Pivot Table 1'!A:B,2,FALSE)</f>
        <v>5</v>
      </c>
      <c r="J60" s="15" t="str">
        <f>VLOOKUP(A60,LLC!A:L,12,FALSE)</f>
        <v>Dev </v>
      </c>
      <c r="K60" s="15" t="b">
        <f>VLOOKUP(A60,'Live Plan Data'!B:C,2,FALSE)</f>
        <v>1</v>
      </c>
    </row>
    <row r="61" hidden="1">
      <c r="A61" s="41">
        <v>50157.0</v>
      </c>
      <c r="B61" s="42" t="s">
        <v>12808</v>
      </c>
      <c r="C61" s="42" t="s">
        <v>19644</v>
      </c>
      <c r="D61" s="43" t="s">
        <v>19688</v>
      </c>
      <c r="E61" s="40" t="s">
        <v>12603</v>
      </c>
      <c r="F61" s="1" t="b">
        <v>1</v>
      </c>
      <c r="G61" s="1" t="b">
        <v>1</v>
      </c>
      <c r="H61" s="1" t="b">
        <v>1</v>
      </c>
      <c r="I61" s="15">
        <f>VLOOKUP(A61,'Pivot Table 1'!A:B,2,FALSE)</f>
        <v>6</v>
      </c>
      <c r="J61" s="15" t="str">
        <f>VLOOKUP(A61,LLC!A:L,12,FALSE)</f>
        <v>Priti</v>
      </c>
      <c r="K61" s="15" t="b">
        <f>VLOOKUP(A61,'Live Plan Data'!B:C,2,FALSE)</f>
        <v>1</v>
      </c>
    </row>
    <row r="62" hidden="1">
      <c r="A62" s="41">
        <v>50052.0</v>
      </c>
      <c r="B62" s="42" t="s">
        <v>4433</v>
      </c>
      <c r="C62" s="42" t="s">
        <v>19644</v>
      </c>
      <c r="D62" s="43" t="s">
        <v>4435</v>
      </c>
      <c r="E62" s="40" t="s">
        <v>12603</v>
      </c>
      <c r="F62" s="1" t="b">
        <v>1</v>
      </c>
      <c r="G62" s="1" t="b">
        <v>1</v>
      </c>
      <c r="H62" s="1" t="b">
        <v>1</v>
      </c>
      <c r="I62" s="15">
        <f>VLOOKUP(A62,'Pivot Table 1'!A:B,2,FALSE)</f>
        <v>2</v>
      </c>
      <c r="J62" s="15" t="str">
        <f>VLOOKUP(A62,LLC!A:L,12,FALSE)</f>
        <v>Trishna</v>
      </c>
      <c r="K62" s="15" t="b">
        <f>VLOOKUP(A62,'Live Plan Data'!B:C,2,FALSE)</f>
        <v>1</v>
      </c>
    </row>
    <row r="63" hidden="1">
      <c r="A63" s="41">
        <v>50160.0</v>
      </c>
      <c r="B63" s="42" t="s">
        <v>13876</v>
      </c>
      <c r="C63" s="42" t="s">
        <v>19644</v>
      </c>
      <c r="D63" s="43" t="s">
        <v>19689</v>
      </c>
      <c r="E63" s="40" t="s">
        <v>12603</v>
      </c>
      <c r="F63" s="1" t="b">
        <v>1</v>
      </c>
      <c r="G63" s="1" t="b">
        <v>1</v>
      </c>
      <c r="H63" s="1" t="b">
        <v>1</v>
      </c>
      <c r="I63" s="15">
        <f>VLOOKUP(A63,'Pivot Table 1'!A:B,2,FALSE)</f>
        <v>5</v>
      </c>
      <c r="J63" s="15" t="str">
        <f>VLOOKUP(A63,LLC!A:L,12,FALSE)</f>
        <v>Tarun </v>
      </c>
      <c r="K63" s="15" t="b">
        <f>VLOOKUP(A63,'Live Plan Data'!B:C,2,FALSE)</f>
        <v>1</v>
      </c>
    </row>
    <row r="64" hidden="1">
      <c r="A64" s="41">
        <v>50054.0</v>
      </c>
      <c r="B64" s="42" t="s">
        <v>5822</v>
      </c>
      <c r="C64" s="42" t="s">
        <v>19644</v>
      </c>
      <c r="D64" s="43" t="s">
        <v>5824</v>
      </c>
      <c r="E64" s="46" t="s">
        <v>19651</v>
      </c>
      <c r="F64" s="1" t="b">
        <v>1</v>
      </c>
      <c r="G64" s="1" t="b">
        <v>1</v>
      </c>
      <c r="H64" s="1" t="b">
        <v>0</v>
      </c>
      <c r="I64" s="15">
        <f>VLOOKUP(A64,'Pivot Table 1'!A:B,2,FALSE)</f>
        <v>4</v>
      </c>
      <c r="J64" s="15" t="str">
        <f>VLOOKUP(A64,LLC!A:L,12,FALSE)</f>
        <v>Trishna</v>
      </c>
      <c r="K64" s="15" t="b">
        <f>VLOOKUP(A64,'Live Plan Data'!B:C,2,FALSE)</f>
        <v>1</v>
      </c>
    </row>
    <row r="65" hidden="1">
      <c r="A65" s="41">
        <v>50168.0</v>
      </c>
      <c r="B65" s="42" t="s">
        <v>19690</v>
      </c>
      <c r="C65" s="45" t="s">
        <v>19649</v>
      </c>
      <c r="D65" s="43" t="s">
        <v>19691</v>
      </c>
      <c r="E65" s="40" t="s">
        <v>12603</v>
      </c>
      <c r="F65" s="1" t="b">
        <v>1</v>
      </c>
      <c r="G65" s="1" t="b">
        <v>1</v>
      </c>
      <c r="H65" s="1" t="b">
        <v>1</v>
      </c>
      <c r="I65" s="15">
        <f>VLOOKUP(A65,'Pivot Table 1'!A:B,2,FALSE)</f>
        <v>4</v>
      </c>
      <c r="J65" s="15" t="str">
        <f>VLOOKUP(A65,LLC!A:L,12,FALSE)</f>
        <v>Ritu</v>
      </c>
      <c r="K65" s="15" t="b">
        <f>VLOOKUP(A65,'Live Plan Data'!B:C,2,FALSE)</f>
        <v>1</v>
      </c>
    </row>
    <row r="66" hidden="1">
      <c r="A66" s="41">
        <v>50169.0</v>
      </c>
      <c r="B66" s="42" t="s">
        <v>6462</v>
      </c>
      <c r="C66" s="45" t="s">
        <v>19649</v>
      </c>
      <c r="D66" s="43" t="s">
        <v>19692</v>
      </c>
      <c r="E66" s="40" t="s">
        <v>12603</v>
      </c>
      <c r="F66" s="1" t="b">
        <v>1</v>
      </c>
      <c r="G66" s="1" t="b">
        <v>1</v>
      </c>
      <c r="H66" s="1" t="b">
        <v>1</v>
      </c>
      <c r="I66" s="15">
        <f>VLOOKUP(A66,'Pivot Table 1'!A:B,2,FALSE)</f>
        <v>2</v>
      </c>
      <c r="J66" s="15" t="str">
        <f>VLOOKUP(A66,LLC!A:L,12,FALSE)</f>
        <v>Dev </v>
      </c>
      <c r="K66" s="15" t="b">
        <f>VLOOKUP(A66,'Live Plan Data'!B:C,2,FALSE)</f>
        <v>1</v>
      </c>
    </row>
    <row r="67" hidden="1">
      <c r="A67" s="41">
        <v>50170.0</v>
      </c>
      <c r="B67" s="42" t="s">
        <v>19693</v>
      </c>
      <c r="C67" s="45" t="s">
        <v>19649</v>
      </c>
      <c r="D67" s="43" t="s">
        <v>19694</v>
      </c>
      <c r="E67" s="40" t="s">
        <v>12603</v>
      </c>
      <c r="F67" s="1" t="b">
        <v>1</v>
      </c>
      <c r="G67" s="1" t="b">
        <v>1</v>
      </c>
      <c r="H67" s="1" t="b">
        <v>1</v>
      </c>
      <c r="I67" s="15">
        <f>VLOOKUP(A67,'Pivot Table 1'!A:B,2,FALSE)</f>
        <v>5</v>
      </c>
      <c r="J67" s="15" t="str">
        <f>VLOOKUP(A67,LLC!A:L,12,FALSE)</f>
        <v>Muskan</v>
      </c>
      <c r="K67" s="15" t="b">
        <f>VLOOKUP(A67,'Live Plan Data'!B:C,2,FALSE)</f>
        <v>1</v>
      </c>
    </row>
    <row r="68" hidden="1">
      <c r="A68" s="41">
        <v>50076.0</v>
      </c>
      <c r="B68" s="42" t="s">
        <v>5984</v>
      </c>
      <c r="C68" s="42" t="s">
        <v>19644</v>
      </c>
      <c r="D68" s="43" t="s">
        <v>5987</v>
      </c>
      <c r="E68" s="46" t="s">
        <v>19651</v>
      </c>
      <c r="F68" s="1" t="b">
        <v>1</v>
      </c>
      <c r="G68" s="1" t="b">
        <v>1</v>
      </c>
      <c r="H68" s="1" t="b">
        <v>0</v>
      </c>
      <c r="I68" s="15">
        <f>VLOOKUP(A68,'Pivot Table 1'!A:B,2,FALSE)</f>
        <v>2</v>
      </c>
      <c r="J68" s="15" t="str">
        <f>VLOOKUP(A68,LLC!A:L,12,FALSE)</f>
        <v>Trishna</v>
      </c>
      <c r="K68" s="15" t="b">
        <f>VLOOKUP(A68,'Live Plan Data'!B:C,2,FALSE)</f>
        <v>1</v>
      </c>
    </row>
    <row r="69" hidden="1">
      <c r="A69" s="41">
        <v>50173.0</v>
      </c>
      <c r="B69" s="42" t="s">
        <v>3878</v>
      </c>
      <c r="C69" s="45" t="s">
        <v>19649</v>
      </c>
      <c r="D69" s="43" t="s">
        <v>3881</v>
      </c>
      <c r="E69" s="40" t="s">
        <v>12603</v>
      </c>
      <c r="F69" s="1" t="b">
        <v>1</v>
      </c>
      <c r="G69" s="1" t="b">
        <v>1</v>
      </c>
      <c r="H69" s="1" t="b">
        <v>1</v>
      </c>
      <c r="I69" s="15">
        <f>VLOOKUP(A69,'Pivot Table 1'!A:B,2,FALSE)</f>
        <v>1</v>
      </c>
      <c r="J69" s="15" t="str">
        <f>VLOOKUP(A69,LLC!A:L,12,FALSE)</f>
        <v>Anshul</v>
      </c>
      <c r="K69" s="15" t="b">
        <f>VLOOKUP(A69,'Live Plan Data'!B:C,2,FALSE)</f>
        <v>1</v>
      </c>
    </row>
    <row r="70" hidden="1">
      <c r="A70" s="41">
        <v>50104.0</v>
      </c>
      <c r="B70" s="42" t="s">
        <v>19695</v>
      </c>
      <c r="C70" s="42" t="s">
        <v>19644</v>
      </c>
      <c r="D70" s="43" t="s">
        <v>3710</v>
      </c>
      <c r="E70" s="40" t="s">
        <v>12603</v>
      </c>
      <c r="F70" s="1" t="b">
        <v>1</v>
      </c>
      <c r="G70" s="1" t="b">
        <v>1</v>
      </c>
      <c r="H70" s="1" t="b">
        <v>1</v>
      </c>
      <c r="I70" s="15">
        <f>VLOOKUP(A70,'Pivot Table 1'!A:B,2,FALSE)</f>
        <v>5</v>
      </c>
      <c r="J70" s="15" t="str">
        <f>VLOOKUP(A70,LLC!A:L,12,FALSE)</f>
        <v>Trishna</v>
      </c>
      <c r="K70" s="15" t="b">
        <f>VLOOKUP(A70,'Live Plan Data'!B:C,2,FALSE)</f>
        <v>1</v>
      </c>
    </row>
    <row r="71" hidden="1">
      <c r="A71" s="41">
        <v>50110.0</v>
      </c>
      <c r="B71" s="42" t="s">
        <v>4399</v>
      </c>
      <c r="C71" s="42" t="s">
        <v>19644</v>
      </c>
      <c r="D71" s="52" t="s">
        <v>4402</v>
      </c>
      <c r="E71" s="40" t="s">
        <v>12603</v>
      </c>
      <c r="F71" s="1" t="b">
        <v>1</v>
      </c>
      <c r="G71" s="1" t="b">
        <v>1</v>
      </c>
      <c r="H71" s="1" t="b">
        <v>1</v>
      </c>
      <c r="I71" s="15">
        <f>VLOOKUP(A71,'Pivot Table 1'!A:B,2,FALSE)</f>
        <v>1</v>
      </c>
      <c r="J71" s="15" t="str">
        <f>VLOOKUP(A71,LLC!A:L,12,FALSE)</f>
        <v>Trishna</v>
      </c>
      <c r="K71" s="15" t="b">
        <f>VLOOKUP(A71,'Live Plan Data'!B:C,2,FALSE)</f>
        <v>1</v>
      </c>
    </row>
  </sheetData>
  <autoFilter ref="$A$1:$K$71">
    <filterColumn colId="8">
      <filters>
        <filter val="#N/A"/>
      </filters>
    </filterColumn>
  </autoFilter>
  <conditionalFormatting sqref="A1:I71">
    <cfRule type="expression" dxfId="2" priority="1">
      <formula>"ISNUMBER(I2)"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location="Features" ref="D71"/>
  </hyperlinks>
  <drawing r:id="rId7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5" t="str">
        <f>IFERROR(__xludf.DUMMYFUNCTION("IMPORTRANGE(""https://docs.google.com/spreadsheets/d/18rIooVW2aSvjAhanKIZbrvEMHjs_0OPttv0uheAZJAQ/edit#gid=0"",""User List!A1:D500"")"),"Community Id")</f>
        <v>Community Id</v>
      </c>
      <c r="B1" s="15" t="str">
        <f>IFERROR(__xludf.DUMMYFUNCTION("""COMPUTED_VALUE"""),"Community Name ")</f>
        <v>Community Name </v>
      </c>
      <c r="C1" s="15" t="str">
        <f>IFERROR(__xludf.DUMMYFUNCTION("""COMPUTED_VALUE"""),"UserName")</f>
        <v>UserName</v>
      </c>
      <c r="D1" s="53" t="str">
        <f>IFERROR(__xludf.DUMMYFUNCTION("""COMPUTED_VALUE"""),"Userphone")</f>
        <v>Userphone</v>
      </c>
    </row>
    <row r="2">
      <c r="A2" s="15">
        <f>IFERROR(__xludf.DUMMYFUNCTION("""COMPUTED_VALUE"""),49813.0)</f>
        <v>49813</v>
      </c>
      <c r="B2" s="15" t="str">
        <f>IFERROR(__xludf.DUMMYFUNCTION("""COMPUTED_VALUE"""),"Mom Shares Club")</f>
        <v>Mom Shares Club</v>
      </c>
      <c r="C2" s="15" t="str">
        <f>IFERROR(__xludf.DUMMYFUNCTION("""COMPUTED_VALUE"""),"Akshita Lopa")</f>
        <v>Akshita Lopa</v>
      </c>
      <c r="D2" s="53">
        <f>IFERROR(__xludf.DUMMYFUNCTION("""COMPUTED_VALUE"""),7.838168936E9)</f>
        <v>7838168936</v>
      </c>
    </row>
    <row r="3">
      <c r="A3" s="15">
        <f>IFERROR(__xludf.DUMMYFUNCTION("""COMPUTED_VALUE"""),49813.0)</f>
        <v>49813</v>
      </c>
      <c r="B3" s="15" t="str">
        <f>IFERROR(__xludf.DUMMYFUNCTION("""COMPUTED_VALUE"""),"Mom Shares Club")</f>
        <v>Mom Shares Club</v>
      </c>
      <c r="C3" s="15" t="str">
        <f>IFERROR(__xludf.DUMMYFUNCTION("""COMPUTED_VALUE"""),"Ankita Jain")</f>
        <v>Ankita Jain</v>
      </c>
      <c r="D3" s="53">
        <f>IFERROR(__xludf.DUMMYFUNCTION("""COMPUTED_VALUE"""),9.890643316E9)</f>
        <v>9890643316</v>
      </c>
    </row>
    <row r="4">
      <c r="A4" s="15">
        <f>IFERROR(__xludf.DUMMYFUNCTION("""COMPUTED_VALUE"""),49813.0)</f>
        <v>49813</v>
      </c>
      <c r="B4" s="15" t="str">
        <f>IFERROR(__xludf.DUMMYFUNCTION("""COMPUTED_VALUE"""),"Mom Shares Club")</f>
        <v>Mom Shares Club</v>
      </c>
      <c r="C4" s="15" t="str">
        <f>IFERROR(__xludf.DUMMYFUNCTION("""COMPUTED_VALUE"""),"Krisha Jain")</f>
        <v>Krisha Jain</v>
      </c>
      <c r="D4" s="53">
        <f>IFERROR(__xludf.DUMMYFUNCTION("""COMPUTED_VALUE"""),7.5671089E9)</f>
        <v>7567108900</v>
      </c>
    </row>
    <row r="5">
      <c r="A5" s="15">
        <f>IFERROR(__xludf.DUMMYFUNCTION("""COMPUTED_VALUE"""),49813.0)</f>
        <v>49813</v>
      </c>
      <c r="B5" s="15" t="str">
        <f>IFERROR(__xludf.DUMMYFUNCTION("""COMPUTED_VALUE"""),"Mom Shares Club")</f>
        <v>Mom Shares Club</v>
      </c>
      <c r="C5" s="15" t="str">
        <f>IFERROR(__xludf.DUMMYFUNCTION("""COMPUTED_VALUE"""),"Ruchi Shah")</f>
        <v>Ruchi Shah</v>
      </c>
      <c r="D5" s="53">
        <f>IFERROR(__xludf.DUMMYFUNCTION("""COMPUTED_VALUE"""),7.069202551E9)</f>
        <v>7069202551</v>
      </c>
    </row>
    <row r="6">
      <c r="A6" s="15">
        <f>IFERROR(__xludf.DUMMYFUNCTION("""COMPUTED_VALUE"""),49813.0)</f>
        <v>49813</v>
      </c>
      <c r="B6" s="15" t="str">
        <f>IFERROR(__xludf.DUMMYFUNCTION("""COMPUTED_VALUE"""),"Mom Shares Club")</f>
        <v>Mom Shares Club</v>
      </c>
      <c r="C6" s="15" t="str">
        <f>IFERROR(__xludf.DUMMYFUNCTION("""COMPUTED_VALUE"""),"Sarah Melson")</f>
        <v>Sarah Melson</v>
      </c>
      <c r="D6" s="53">
        <f>IFERROR(__xludf.DUMMYFUNCTION("""COMPUTED_VALUE"""),9.886800717E9)</f>
        <v>9886800717</v>
      </c>
    </row>
    <row r="7">
      <c r="A7" s="15">
        <f>IFERROR(__xludf.DUMMYFUNCTION("""COMPUTED_VALUE"""),49813.0)</f>
        <v>49813</v>
      </c>
      <c r="B7" s="15" t="str">
        <f>IFERROR(__xludf.DUMMYFUNCTION("""COMPUTED_VALUE"""),"Mom Shares Club")</f>
        <v>Mom Shares Club</v>
      </c>
      <c r="C7" s="15" t="str">
        <f>IFERROR(__xludf.DUMMYFUNCTION("""COMPUTED_VALUE"""),"Sonal Malhotra")</f>
        <v>Sonal Malhotra</v>
      </c>
      <c r="D7" s="53">
        <f>IFERROR(__xludf.DUMMYFUNCTION("""COMPUTED_VALUE"""),9.999603348E9)</f>
        <v>9999603348</v>
      </c>
    </row>
    <row r="8">
      <c r="A8" s="15">
        <f>IFERROR(__xludf.DUMMYFUNCTION("""COMPUTED_VALUE"""),49813.0)</f>
        <v>49813</v>
      </c>
      <c r="B8" s="15" t="str">
        <f>IFERROR(__xludf.DUMMYFUNCTION("""COMPUTED_VALUE"""),"Mom Shares Club")</f>
        <v>Mom Shares Club</v>
      </c>
      <c r="C8" s="15" t="str">
        <f>IFERROR(__xludf.DUMMYFUNCTION("""COMPUTED_VALUE"""),"Anshika")</f>
        <v>Anshika</v>
      </c>
      <c r="D8" s="53">
        <f>IFERROR(__xludf.DUMMYFUNCTION("""COMPUTED_VALUE"""),8.407932555E9)</f>
        <v>8407932555</v>
      </c>
    </row>
    <row r="9">
      <c r="A9" s="15">
        <f>IFERROR(__xludf.DUMMYFUNCTION("""COMPUTED_VALUE"""),49813.0)</f>
        <v>49813</v>
      </c>
      <c r="B9" s="15" t="str">
        <f>IFERROR(__xludf.DUMMYFUNCTION("""COMPUTED_VALUE"""),"Mom Shares Club")</f>
        <v>Mom Shares Club</v>
      </c>
      <c r="C9" s="15" t="str">
        <f>IFERROR(__xludf.DUMMYFUNCTION("""COMPUTED_VALUE"""),"Nikita")</f>
        <v>Nikita</v>
      </c>
      <c r="D9" s="53">
        <f>IFERROR(__xludf.DUMMYFUNCTION("""COMPUTED_VALUE"""),8.806661434E9)</f>
        <v>8806661434</v>
      </c>
    </row>
    <row r="10">
      <c r="A10" s="15">
        <f>IFERROR(__xludf.DUMMYFUNCTION("""COMPUTED_VALUE"""),49813.0)</f>
        <v>49813</v>
      </c>
      <c r="B10" s="15" t="str">
        <f>IFERROR(__xludf.DUMMYFUNCTION("""COMPUTED_VALUE"""),"Mom Shares Club")</f>
        <v>Mom Shares Club</v>
      </c>
      <c r="C10" s="15" t="str">
        <f>IFERROR(__xludf.DUMMYFUNCTION("""COMPUTED_VALUE"""),"Umera Zaki")</f>
        <v>Umera Zaki</v>
      </c>
      <c r="D10" s="53">
        <f>IFERROR(__xludf.DUMMYFUNCTION("""COMPUTED_VALUE"""),9.601139069E9)</f>
        <v>9601139069</v>
      </c>
    </row>
    <row r="11">
      <c r="A11" s="15">
        <f>IFERROR(__xludf.DUMMYFUNCTION("""COMPUTED_VALUE"""),49813.0)</f>
        <v>49813</v>
      </c>
      <c r="B11" s="15" t="str">
        <f>IFERROR(__xludf.DUMMYFUNCTION("""COMPUTED_VALUE"""),"Mom Shares Club")</f>
        <v>Mom Shares Club</v>
      </c>
      <c r="C11" s="15" t="str">
        <f>IFERROR(__xludf.DUMMYFUNCTION("""COMPUTED_VALUE"""),"Karishma Shah")</f>
        <v>Karishma Shah</v>
      </c>
      <c r="D11" s="53">
        <f>IFERROR(__xludf.DUMMYFUNCTION("""COMPUTED_VALUE"""),9.820113059E9)</f>
        <v>9820113059</v>
      </c>
    </row>
    <row r="12">
      <c r="A12" s="15">
        <f>IFERROR(__xludf.DUMMYFUNCTION("""COMPUTED_VALUE"""),49813.0)</f>
        <v>49813</v>
      </c>
      <c r="B12" s="15" t="str">
        <f>IFERROR(__xludf.DUMMYFUNCTION("""COMPUTED_VALUE"""),"Mom Shares Club")</f>
        <v>Mom Shares Club</v>
      </c>
      <c r="C12" s="15" t="str">
        <f>IFERROR(__xludf.DUMMYFUNCTION("""COMPUTED_VALUE"""),"Roopal ")</f>
        <v>Roopal </v>
      </c>
      <c r="D12" s="53">
        <f>IFERROR(__xludf.DUMMYFUNCTION("""COMPUTED_VALUE"""),9.89167277E9)</f>
        <v>9891672770</v>
      </c>
    </row>
    <row r="13">
      <c r="A13" s="15">
        <f>IFERROR(__xludf.DUMMYFUNCTION("""COMPUTED_VALUE"""),49813.0)</f>
        <v>49813</v>
      </c>
      <c r="B13" s="15" t="str">
        <f>IFERROR(__xludf.DUMMYFUNCTION("""COMPUTED_VALUE"""),"Mom Shares Club")</f>
        <v>Mom Shares Club</v>
      </c>
      <c r="C13" s="15" t="str">
        <f>IFERROR(__xludf.DUMMYFUNCTION("""COMPUTED_VALUE"""),"Monica Dulani")</f>
        <v>Monica Dulani</v>
      </c>
      <c r="D13" s="53">
        <f>IFERROR(__xludf.DUMMYFUNCTION("""COMPUTED_VALUE"""),9.920222744E9)</f>
        <v>9920222744</v>
      </c>
    </row>
    <row r="14">
      <c r="A14" s="15">
        <f>IFERROR(__xludf.DUMMYFUNCTION("""COMPUTED_VALUE"""),49813.0)</f>
        <v>49813</v>
      </c>
      <c r="B14" s="15" t="str">
        <f>IFERROR(__xludf.DUMMYFUNCTION("""COMPUTED_VALUE"""),"Mom Shares Club")</f>
        <v>Mom Shares Club</v>
      </c>
      <c r="C14" s="15" t="str">
        <f>IFERROR(__xludf.DUMMYFUNCTION("""COMPUTED_VALUE"""),"Nidhi Khicha")</f>
        <v>Nidhi Khicha</v>
      </c>
      <c r="D14" s="53">
        <f>IFERROR(__xludf.DUMMYFUNCTION("""COMPUTED_VALUE"""),9.940531124E9)</f>
        <v>9940531124</v>
      </c>
    </row>
    <row r="15">
      <c r="A15" s="15">
        <f>IFERROR(__xludf.DUMMYFUNCTION("""COMPUTED_VALUE"""),49813.0)</f>
        <v>49813</v>
      </c>
      <c r="B15" s="15" t="str">
        <f>IFERROR(__xludf.DUMMYFUNCTION("""COMPUTED_VALUE"""),"Mom Shares Club")</f>
        <v>Mom Shares Club</v>
      </c>
      <c r="C15" s="15" t="str">
        <f>IFERROR(__xludf.DUMMYFUNCTION("""COMPUTED_VALUE"""),"Anjali Naik")</f>
        <v>Anjali Naik</v>
      </c>
      <c r="D15" s="53">
        <f>IFERROR(__xludf.DUMMYFUNCTION("""COMPUTED_VALUE"""),9.986820854E9)</f>
        <v>9986820854</v>
      </c>
    </row>
    <row r="16">
      <c r="A16" s="15">
        <f>IFERROR(__xludf.DUMMYFUNCTION("""COMPUTED_VALUE"""),49833.0)</f>
        <v>49833</v>
      </c>
      <c r="B16" s="15" t="str">
        <f>IFERROR(__xludf.DUMMYFUNCTION("""COMPUTED_VALUE"""),"HanHangul")</f>
        <v>HanHangul</v>
      </c>
      <c r="C16" s="15" t="str">
        <f>IFERROR(__xludf.DUMMYFUNCTION("""COMPUTED_VALUE"""),"Akshita Lopa")</f>
        <v>Akshita Lopa</v>
      </c>
      <c r="D16" s="53">
        <f>IFERROR(__xludf.DUMMYFUNCTION("""COMPUTED_VALUE"""),7.838168936E9)</f>
        <v>7838168936</v>
      </c>
    </row>
    <row r="17">
      <c r="A17" s="15">
        <f>IFERROR(__xludf.DUMMYFUNCTION("""COMPUTED_VALUE"""),49833.0)</f>
        <v>49833</v>
      </c>
      <c r="B17" s="15" t="str">
        <f>IFERROR(__xludf.DUMMYFUNCTION("""COMPUTED_VALUE"""),"HanHangul")</f>
        <v>HanHangul</v>
      </c>
      <c r="C17" s="15" t="str">
        <f>IFERROR(__xludf.DUMMYFUNCTION("""COMPUTED_VALUE"""),"Smriti Bhardwaj")</f>
        <v>Smriti Bhardwaj</v>
      </c>
      <c r="D17" s="53">
        <f>IFERROR(__xludf.DUMMYFUNCTION("""COMPUTED_VALUE"""),6.299130284E9)</f>
        <v>6299130284</v>
      </c>
    </row>
    <row r="18">
      <c r="A18" s="15">
        <f>IFERROR(__xludf.DUMMYFUNCTION("""COMPUTED_VALUE"""),49835.0)</f>
        <v>49835</v>
      </c>
      <c r="B18" s="15" t="str">
        <f>IFERROR(__xludf.DUMMYFUNCTION("""COMPUTED_VALUE"""),"The Fin Street")</f>
        <v>The Fin Street</v>
      </c>
      <c r="C18" s="15" t="str">
        <f>IFERROR(__xludf.DUMMYFUNCTION("""COMPUTED_VALUE"""),"Akshita Lopa")</f>
        <v>Akshita Lopa</v>
      </c>
      <c r="D18" s="53">
        <f>IFERROR(__xludf.DUMMYFUNCTION("""COMPUTED_VALUE"""),7.838168936E9)</f>
        <v>7838168936</v>
      </c>
    </row>
    <row r="19">
      <c r="A19" s="15">
        <f>IFERROR(__xludf.DUMMYFUNCTION("""COMPUTED_VALUE"""),49835.0)</f>
        <v>49835</v>
      </c>
      <c r="B19" s="15" t="str">
        <f>IFERROR(__xludf.DUMMYFUNCTION("""COMPUTED_VALUE"""),"The Fin Street")</f>
        <v>The Fin Street</v>
      </c>
      <c r="C19" s="15" t="str">
        <f>IFERROR(__xludf.DUMMYFUNCTION("""COMPUTED_VALUE"""),"Satish")</f>
        <v>Satish</v>
      </c>
      <c r="D19" s="53">
        <f>IFERROR(__xludf.DUMMYFUNCTION("""COMPUTED_VALUE"""),8.454085091E9)</f>
        <v>8454085091</v>
      </c>
    </row>
    <row r="20">
      <c r="A20" s="15">
        <f>IFERROR(__xludf.DUMMYFUNCTION("""COMPUTED_VALUE"""),49835.0)</f>
        <v>49835</v>
      </c>
      <c r="B20" s="15" t="str">
        <f>IFERROR(__xludf.DUMMYFUNCTION("""COMPUTED_VALUE"""),"The Fin Street")</f>
        <v>The Fin Street</v>
      </c>
      <c r="C20" s="15" t="str">
        <f>IFERROR(__xludf.DUMMYFUNCTION("""COMPUTED_VALUE"""),"Neha Kumari")</f>
        <v>Neha Kumari</v>
      </c>
      <c r="D20" s="53">
        <f>IFERROR(__xludf.DUMMYFUNCTION("""COMPUTED_VALUE"""),7.734931429E9)</f>
        <v>7734931429</v>
      </c>
    </row>
    <row r="21">
      <c r="A21" s="15">
        <f>IFERROR(__xludf.DUMMYFUNCTION("""COMPUTED_VALUE"""),49835.0)</f>
        <v>49835</v>
      </c>
      <c r="B21" s="15" t="str">
        <f>IFERROR(__xludf.DUMMYFUNCTION("""COMPUTED_VALUE"""),"The Fin Street")</f>
        <v>The Fin Street</v>
      </c>
      <c r="C21" s="15" t="str">
        <f>IFERROR(__xludf.DUMMYFUNCTION("""COMPUTED_VALUE"""),"Rahul Guha")</f>
        <v>Rahul Guha</v>
      </c>
      <c r="D21" s="53">
        <f>IFERROR(__xludf.DUMMYFUNCTION("""COMPUTED_VALUE"""),9.810386533E9)</f>
        <v>9810386533</v>
      </c>
    </row>
    <row r="22">
      <c r="A22" s="15">
        <f>IFERROR(__xludf.DUMMYFUNCTION("""COMPUTED_VALUE"""),49835.0)</f>
        <v>49835</v>
      </c>
      <c r="B22" s="15" t="str">
        <f>IFERROR(__xludf.DUMMYFUNCTION("""COMPUTED_VALUE"""),"The Fin Street")</f>
        <v>The Fin Street</v>
      </c>
      <c r="C22" s="15" t="str">
        <f>IFERROR(__xludf.DUMMYFUNCTION("""COMPUTED_VALUE"""),"Simran Jeet Singh")</f>
        <v>Simran Jeet Singh</v>
      </c>
      <c r="D22" s="53">
        <f>IFERROR(__xludf.DUMMYFUNCTION("""COMPUTED_VALUE"""),8.447875636E9)</f>
        <v>8447875636</v>
      </c>
    </row>
    <row r="23">
      <c r="A23" s="15">
        <f>IFERROR(__xludf.DUMMYFUNCTION("""COMPUTED_VALUE"""),49844.0)</f>
        <v>49844</v>
      </c>
      <c r="B23" s="15" t="str">
        <f>IFERROR(__xludf.DUMMYFUNCTION("""COMPUTED_VALUE"""),"Pharmacology Insiders")</f>
        <v>Pharmacology Insiders</v>
      </c>
      <c r="C23" s="15" t="str">
        <f>IFERROR(__xludf.DUMMYFUNCTION("""COMPUTED_VALUE"""),"Trishna Sagar")</f>
        <v>Trishna Sagar</v>
      </c>
      <c r="D23" s="53">
        <f>IFERROR(__xludf.DUMMYFUNCTION("""COMPUTED_VALUE"""),7.903090754E9)</f>
        <v>7903090754</v>
      </c>
    </row>
    <row r="24">
      <c r="A24" s="15">
        <f>IFERROR(__xludf.DUMMYFUNCTION("""COMPUTED_VALUE"""),49844.0)</f>
        <v>49844</v>
      </c>
      <c r="B24" s="15" t="str">
        <f>IFERROR(__xludf.DUMMYFUNCTION("""COMPUTED_VALUE"""),"Pharmacology Insiders")</f>
        <v>Pharmacology Insiders</v>
      </c>
      <c r="C24" s="15" t="str">
        <f>IFERROR(__xludf.DUMMYFUNCTION("""COMPUTED_VALUE"""),"Mallikarjun Jaji")</f>
        <v>Mallikarjun Jaji</v>
      </c>
      <c r="D24" s="53">
        <f>IFERROR(__xludf.DUMMYFUNCTION("""COMPUTED_VALUE"""),9.654838825E9)</f>
        <v>9654838825</v>
      </c>
    </row>
    <row r="25">
      <c r="A25" s="15">
        <f>IFERROR(__xludf.DUMMYFUNCTION("""COMPUTED_VALUE"""),49844.0)</f>
        <v>49844</v>
      </c>
      <c r="B25" s="15" t="str">
        <f>IFERROR(__xludf.DUMMYFUNCTION("""COMPUTED_VALUE"""),"Pharmacology Insiders")</f>
        <v>Pharmacology Insiders</v>
      </c>
      <c r="C25" s="15" t="str">
        <f>IFERROR(__xludf.DUMMYFUNCTION("""COMPUTED_VALUE"""),"Yash Kurhe")</f>
        <v>Yash Kurhe</v>
      </c>
      <c r="D25" s="53">
        <f>IFERROR(__xludf.DUMMYFUNCTION("""COMPUTED_VALUE"""),4.6734765046E10)</f>
        <v>46734765046</v>
      </c>
    </row>
    <row r="26">
      <c r="A26" s="15">
        <f>IFERROR(__xludf.DUMMYFUNCTION("""COMPUTED_VALUE"""),49844.0)</f>
        <v>49844</v>
      </c>
      <c r="B26" s="15" t="str">
        <f>IFERROR(__xludf.DUMMYFUNCTION("""COMPUTED_VALUE"""),"Pharmacology Insiders")</f>
        <v>Pharmacology Insiders</v>
      </c>
      <c r="C26" s="15" t="str">
        <f>IFERROR(__xludf.DUMMYFUNCTION("""COMPUTED_VALUE"""),"Pranesha")</f>
        <v>Pranesha</v>
      </c>
      <c r="D26" s="53">
        <f>IFERROR(__xludf.DUMMYFUNCTION("""COMPUTED_VALUE"""),9.573605238E9)</f>
        <v>9573605238</v>
      </c>
    </row>
    <row r="27">
      <c r="A27" s="15">
        <f>IFERROR(__xludf.DUMMYFUNCTION("""COMPUTED_VALUE"""),49844.0)</f>
        <v>49844</v>
      </c>
      <c r="B27" s="15" t="str">
        <f>IFERROR(__xludf.DUMMYFUNCTION("""COMPUTED_VALUE"""),"Pharmacology Insiders")</f>
        <v>Pharmacology Insiders</v>
      </c>
      <c r="C27" s="15" t="str">
        <f>IFERROR(__xludf.DUMMYFUNCTION("""COMPUTED_VALUE"""),"Kiran Chanabasappa Nilugal")</f>
        <v>Kiran Chanabasappa Nilugal</v>
      </c>
      <c r="D27" s="53">
        <f>IFERROR(__xludf.DUMMYFUNCTION("""COMPUTED_VALUE"""),6.016321013E10)</f>
        <v>60163210130</v>
      </c>
    </row>
    <row r="28">
      <c r="A28" s="15">
        <f>IFERROR(__xludf.DUMMYFUNCTION("""COMPUTED_VALUE"""),49844.0)</f>
        <v>49844</v>
      </c>
      <c r="B28" s="15" t="str">
        <f>IFERROR(__xludf.DUMMYFUNCTION("""COMPUTED_VALUE"""),"Pharmacology Insiders")</f>
        <v>Pharmacology Insiders</v>
      </c>
      <c r="C28" s="15" t="str">
        <f>IFERROR(__xludf.DUMMYFUNCTION("""COMPUTED_VALUE"""),"Murgesh Raj")</f>
        <v>Murgesh Raj</v>
      </c>
      <c r="D28" s="53">
        <f>IFERROR(__xludf.DUMMYFUNCTION("""COMPUTED_VALUE"""),9.6898384535E10)</f>
        <v>96898384535</v>
      </c>
    </row>
    <row r="29">
      <c r="A29" s="15">
        <f>IFERROR(__xludf.DUMMYFUNCTION("""COMPUTED_VALUE"""),49844.0)</f>
        <v>49844</v>
      </c>
      <c r="B29" s="15" t="str">
        <f>IFERROR(__xludf.DUMMYFUNCTION("""COMPUTED_VALUE"""),"Pharmacology Insiders")</f>
        <v>Pharmacology Insiders</v>
      </c>
      <c r="C29" s="15" t="str">
        <f>IFERROR(__xludf.DUMMYFUNCTION("""COMPUTED_VALUE"""),"Vishal Rastogi")</f>
        <v>Vishal Rastogi</v>
      </c>
      <c r="D29" s="53">
        <f>IFERROR(__xludf.DUMMYFUNCTION("""COMPUTED_VALUE"""),9.166106191E9)</f>
        <v>9166106191</v>
      </c>
    </row>
    <row r="30">
      <c r="A30" s="15">
        <f>IFERROR(__xludf.DUMMYFUNCTION("""COMPUTED_VALUE"""),49844.0)</f>
        <v>49844</v>
      </c>
      <c r="B30" s="15" t="str">
        <f>IFERROR(__xludf.DUMMYFUNCTION("""COMPUTED_VALUE"""),"Pharmacology Insiders")</f>
        <v>Pharmacology Insiders</v>
      </c>
      <c r="C30" s="15" t="str">
        <f>IFERROR(__xludf.DUMMYFUNCTION("""COMPUTED_VALUE"""),"Shivika")</f>
        <v>Shivika</v>
      </c>
      <c r="D30" s="53">
        <f>IFERROR(__xludf.DUMMYFUNCTION("""COMPUTED_VALUE"""),9.560433249E9)</f>
        <v>9560433249</v>
      </c>
    </row>
    <row r="31">
      <c r="A31" s="15">
        <f>IFERROR(__xludf.DUMMYFUNCTION("""COMPUTED_VALUE"""),49859.0)</f>
        <v>49859</v>
      </c>
      <c r="B31" s="15" t="str">
        <f>IFERROR(__xludf.DUMMYFUNCTION("""COMPUTED_VALUE"""),"Ladies &amp; Gentlemen ")</f>
        <v>Ladies &amp; Gentlemen </v>
      </c>
      <c r="C31" s="15" t="str">
        <f>IFERROR(__xludf.DUMMYFUNCTION("""COMPUTED_VALUE"""),"Trishna Sagar")</f>
        <v>Trishna Sagar</v>
      </c>
      <c r="D31" s="53">
        <f>IFERROR(__xludf.DUMMYFUNCTION("""COMPUTED_VALUE"""),7.903090754E9)</f>
        <v>7903090754</v>
      </c>
    </row>
    <row r="32">
      <c r="A32" s="15">
        <f>IFERROR(__xludf.DUMMYFUNCTION("""COMPUTED_VALUE"""),49859.0)</f>
        <v>49859</v>
      </c>
      <c r="B32" s="15" t="str">
        <f>IFERROR(__xludf.DUMMYFUNCTION("""COMPUTED_VALUE"""),"Ladies &amp; Gentlemen ")</f>
        <v>Ladies &amp; Gentlemen </v>
      </c>
      <c r="C32" s="15" t="str">
        <f>IFERROR(__xludf.DUMMYFUNCTION("""COMPUTED_VALUE"""),"Chinna Surya Mallavarapu")</f>
        <v>Chinna Surya Mallavarapu</v>
      </c>
      <c r="D32" s="53">
        <f>IFERROR(__xludf.DUMMYFUNCTION("""COMPUTED_VALUE"""),9.177493764E9)</f>
        <v>9177493764</v>
      </c>
    </row>
    <row r="33">
      <c r="A33" s="15">
        <f>IFERROR(__xludf.DUMMYFUNCTION("""COMPUTED_VALUE"""),49859.0)</f>
        <v>49859</v>
      </c>
      <c r="B33" s="15" t="str">
        <f>IFERROR(__xludf.DUMMYFUNCTION("""COMPUTED_VALUE"""),"Ladies &amp; Gentlemen ")</f>
        <v>Ladies &amp; Gentlemen </v>
      </c>
      <c r="C33" s="15" t="str">
        <f>IFERROR(__xludf.DUMMYFUNCTION("""COMPUTED_VALUE"""),"Vishnu Chowdhary")</f>
        <v>Vishnu Chowdhary</v>
      </c>
      <c r="D33" s="53">
        <f>IFERROR(__xludf.DUMMYFUNCTION("""COMPUTED_VALUE"""),9.914566084E9)</f>
        <v>9914566084</v>
      </c>
    </row>
    <row r="34">
      <c r="A34" s="15">
        <f>IFERROR(__xludf.DUMMYFUNCTION("""COMPUTED_VALUE"""),49899.0)</f>
        <v>49899</v>
      </c>
      <c r="B34" s="15" t="str">
        <f>IFERROR(__xludf.DUMMYFUNCTION("""COMPUTED_VALUE"""),"The Data Talk")</f>
        <v>The Data Talk</v>
      </c>
      <c r="C34" s="15" t="str">
        <f>IFERROR(__xludf.DUMMYFUNCTION("""COMPUTED_VALUE"""),"Hari Prasad")</f>
        <v>Hari Prasad</v>
      </c>
      <c r="D34" s="53">
        <f>IFERROR(__xludf.DUMMYFUNCTION("""COMPUTED_VALUE"""),9.629249603E9)</f>
        <v>9629249603</v>
      </c>
    </row>
    <row r="35">
      <c r="A35" s="15">
        <f>IFERROR(__xludf.DUMMYFUNCTION("""COMPUTED_VALUE"""),49899.0)</f>
        <v>49899</v>
      </c>
      <c r="B35" s="15" t="str">
        <f>IFERROR(__xludf.DUMMYFUNCTION("""COMPUTED_VALUE"""),"The Data Talk")</f>
        <v>The Data Talk</v>
      </c>
      <c r="C35" s="15" t="str">
        <f>IFERROR(__xludf.DUMMYFUNCTION("""COMPUTED_VALUE"""),"Rohit Kumar ojha")</f>
        <v>Rohit Kumar ojha</v>
      </c>
      <c r="D35" s="53">
        <f>IFERROR(__xludf.DUMMYFUNCTION("""COMPUTED_VALUE"""),7.870337647E9)</f>
        <v>7870337647</v>
      </c>
    </row>
    <row r="36">
      <c r="A36" s="15">
        <f>IFERROR(__xludf.DUMMYFUNCTION("""COMPUTED_VALUE"""),49899.0)</f>
        <v>49899</v>
      </c>
      <c r="B36" s="15" t="str">
        <f>IFERROR(__xludf.DUMMYFUNCTION("""COMPUTED_VALUE"""),"The Data Talk")</f>
        <v>The Data Talk</v>
      </c>
      <c r="C36" s="15" t="str">
        <f>IFERROR(__xludf.DUMMYFUNCTION("""COMPUTED_VALUE"""),"Ravi")</f>
        <v>Ravi</v>
      </c>
      <c r="D36" s="53">
        <f>IFERROR(__xludf.DUMMYFUNCTION("""COMPUTED_VALUE"""),7.987299227E9)</f>
        <v>7987299227</v>
      </c>
    </row>
    <row r="37">
      <c r="A37" s="15">
        <f>IFERROR(__xludf.DUMMYFUNCTION("""COMPUTED_VALUE"""),49899.0)</f>
        <v>49899</v>
      </c>
      <c r="B37" s="15" t="str">
        <f>IFERROR(__xludf.DUMMYFUNCTION("""COMPUTED_VALUE"""),"The Data Talk")</f>
        <v>The Data Talk</v>
      </c>
      <c r="C37" s="15" t="str">
        <f>IFERROR(__xludf.DUMMYFUNCTION("""COMPUTED_VALUE"""),"Sangeeth Sadanand")</f>
        <v>Sangeeth Sadanand</v>
      </c>
      <c r="D37" s="53">
        <f>IFERROR(__xludf.DUMMYFUNCTION("""COMPUTED_VALUE"""),9.819552193E9)</f>
        <v>9819552193</v>
      </c>
    </row>
    <row r="38">
      <c r="A38" s="15">
        <f>IFERROR(__xludf.DUMMYFUNCTION("""COMPUTED_VALUE"""),49899.0)</f>
        <v>49899</v>
      </c>
      <c r="B38" s="15" t="str">
        <f>IFERROR(__xludf.DUMMYFUNCTION("""COMPUTED_VALUE"""),"The Data Talk")</f>
        <v>The Data Talk</v>
      </c>
      <c r="C38" s="15" t="str">
        <f>IFERROR(__xludf.DUMMYFUNCTION("""COMPUTED_VALUE"""),"Vishnu nandawdekar")</f>
        <v>Vishnu nandawdekar</v>
      </c>
      <c r="D38" s="53">
        <f>IFERROR(__xludf.DUMMYFUNCTION("""COMPUTED_VALUE"""),9.975248374E9)</f>
        <v>9975248374</v>
      </c>
    </row>
    <row r="39">
      <c r="A39" s="15">
        <f>IFERROR(__xludf.DUMMYFUNCTION("""COMPUTED_VALUE"""),49899.0)</f>
        <v>49899</v>
      </c>
      <c r="B39" s="15" t="str">
        <f>IFERROR(__xludf.DUMMYFUNCTION("""COMPUTED_VALUE"""),"The Data Talk")</f>
        <v>The Data Talk</v>
      </c>
      <c r="C39" s="15" t="str">
        <f>IFERROR(__xludf.DUMMYFUNCTION("""COMPUTED_VALUE"""),"Sasank amavarapu")</f>
        <v>Sasank amavarapu</v>
      </c>
      <c r="D39" s="53">
        <f>IFERROR(__xludf.DUMMYFUNCTION("""COMPUTED_VALUE"""),7.981370912E9)</f>
        <v>7981370912</v>
      </c>
    </row>
    <row r="40">
      <c r="A40" s="15">
        <f>IFERROR(__xludf.DUMMYFUNCTION("""COMPUTED_VALUE"""),49899.0)</f>
        <v>49899</v>
      </c>
      <c r="B40" s="15" t="str">
        <f>IFERROR(__xludf.DUMMYFUNCTION("""COMPUTED_VALUE"""),"The Data Talk")</f>
        <v>The Data Talk</v>
      </c>
      <c r="C40" s="15" t="str">
        <f>IFERROR(__xludf.DUMMYFUNCTION("""COMPUTED_VALUE"""),"Saman siddiqui")</f>
        <v>Saman siddiqui</v>
      </c>
      <c r="D40" s="53">
        <f>IFERROR(__xludf.DUMMYFUNCTION("""COMPUTED_VALUE"""),9.179517033E9)</f>
        <v>9179517033</v>
      </c>
    </row>
    <row r="41">
      <c r="A41" s="15">
        <f>IFERROR(__xludf.DUMMYFUNCTION("""COMPUTED_VALUE"""),49899.0)</f>
        <v>49899</v>
      </c>
      <c r="B41" s="15" t="str">
        <f>IFERROR(__xludf.DUMMYFUNCTION("""COMPUTED_VALUE"""),"The Data Talk")</f>
        <v>The Data Talk</v>
      </c>
      <c r="C41" s="15" t="str">
        <f>IFERROR(__xludf.DUMMYFUNCTION("""COMPUTED_VALUE"""),"Bhagya")</f>
        <v>Bhagya</v>
      </c>
      <c r="D41" s="53">
        <f>IFERROR(__xludf.DUMMYFUNCTION("""COMPUTED_VALUE"""),9.623157515E9)</f>
        <v>9623157515</v>
      </c>
    </row>
    <row r="42">
      <c r="A42" s="15">
        <f>IFERROR(__xludf.DUMMYFUNCTION("""COMPUTED_VALUE"""),49899.0)</f>
        <v>49899</v>
      </c>
      <c r="B42" s="15" t="str">
        <f>IFERROR(__xludf.DUMMYFUNCTION("""COMPUTED_VALUE"""),"The Data Talk")</f>
        <v>The Data Talk</v>
      </c>
      <c r="C42" s="15" t="str">
        <f>IFERROR(__xludf.DUMMYFUNCTION("""COMPUTED_VALUE"""),"Akash bhagat")</f>
        <v>Akash bhagat</v>
      </c>
      <c r="D42" s="53">
        <f>IFERROR(__xludf.DUMMYFUNCTION("""COMPUTED_VALUE"""),8.789997907E9)</f>
        <v>8789997907</v>
      </c>
    </row>
    <row r="43">
      <c r="A43" s="15">
        <f>IFERROR(__xludf.DUMMYFUNCTION("""COMPUTED_VALUE"""),49899.0)</f>
        <v>49899</v>
      </c>
      <c r="B43" s="15" t="str">
        <f>IFERROR(__xludf.DUMMYFUNCTION("""COMPUTED_VALUE"""),"The Data Talk")</f>
        <v>The Data Talk</v>
      </c>
      <c r="C43" s="15" t="str">
        <f>IFERROR(__xludf.DUMMYFUNCTION("""COMPUTED_VALUE"""),"Tanisha Sharma")</f>
        <v>Tanisha Sharma</v>
      </c>
      <c r="D43" s="53">
        <f>IFERROR(__xludf.DUMMYFUNCTION("""COMPUTED_VALUE"""),8.194882965E9)</f>
        <v>8194882965</v>
      </c>
    </row>
    <row r="44">
      <c r="A44" s="15">
        <f>IFERROR(__xludf.DUMMYFUNCTION("""COMPUTED_VALUE"""),49899.0)</f>
        <v>49899</v>
      </c>
      <c r="B44" s="15" t="str">
        <f>IFERROR(__xludf.DUMMYFUNCTION("""COMPUTED_VALUE"""),"The Data Talk")</f>
        <v>The Data Talk</v>
      </c>
      <c r="C44" s="15" t="str">
        <f>IFERROR(__xludf.DUMMYFUNCTION("""COMPUTED_VALUE"""),"Suraaj Hasija")</f>
        <v>Suraaj Hasija</v>
      </c>
      <c r="D44" s="53">
        <f>IFERROR(__xludf.DUMMYFUNCTION("""COMPUTED_VALUE"""),9.971840678E9)</f>
        <v>9971840678</v>
      </c>
    </row>
    <row r="45">
      <c r="A45" s="15">
        <f>IFERROR(__xludf.DUMMYFUNCTION("""COMPUTED_VALUE"""),49899.0)</f>
        <v>49899</v>
      </c>
      <c r="B45" s="15" t="str">
        <f>IFERROR(__xludf.DUMMYFUNCTION("""COMPUTED_VALUE"""),"The Data Talk")</f>
        <v>The Data Talk</v>
      </c>
      <c r="C45" s="15" t="str">
        <f>IFERROR(__xludf.DUMMYFUNCTION("""COMPUTED_VALUE"""),"Gururajan")</f>
        <v>Gururajan</v>
      </c>
      <c r="D45" s="53">
        <f>IFERROR(__xludf.DUMMYFUNCTION("""COMPUTED_VALUE"""),9.841004537E9)</f>
        <v>9841004537</v>
      </c>
    </row>
    <row r="46">
      <c r="A46" s="15">
        <f>IFERROR(__xludf.DUMMYFUNCTION("""COMPUTED_VALUE"""),49899.0)</f>
        <v>49899</v>
      </c>
      <c r="B46" s="15" t="str">
        <f>IFERROR(__xludf.DUMMYFUNCTION("""COMPUTED_VALUE"""),"The Data Talk")</f>
        <v>The Data Talk</v>
      </c>
      <c r="C46" s="15" t="str">
        <f>IFERROR(__xludf.DUMMYFUNCTION("""COMPUTED_VALUE"""),"Aashi Gaur")</f>
        <v>Aashi Gaur</v>
      </c>
      <c r="D46" s="53">
        <f>IFERROR(__xludf.DUMMYFUNCTION("""COMPUTED_VALUE"""),9.910959088E9)</f>
        <v>9910959088</v>
      </c>
    </row>
    <row r="47">
      <c r="A47" s="15">
        <f>IFERROR(__xludf.DUMMYFUNCTION("""COMPUTED_VALUE"""),49907.0)</f>
        <v>49907</v>
      </c>
      <c r="B47" s="15" t="str">
        <f>IFERROR(__xludf.DUMMYFUNCTION("""COMPUTED_VALUE"""),"Exa-Python Community")</f>
        <v>Exa-Python Community</v>
      </c>
      <c r="C47" s="15" t="str">
        <f>IFERROR(__xludf.DUMMYFUNCTION("""COMPUTED_VALUE"""),"Trishna Sagar")</f>
        <v>Trishna Sagar</v>
      </c>
      <c r="D47" s="53">
        <f>IFERROR(__xludf.DUMMYFUNCTION("""COMPUTED_VALUE"""),7.903090754E9)</f>
        <v>7903090754</v>
      </c>
    </row>
    <row r="48">
      <c r="A48" s="15">
        <f>IFERROR(__xludf.DUMMYFUNCTION("""COMPUTED_VALUE"""),49907.0)</f>
        <v>49907</v>
      </c>
      <c r="B48" s="15" t="str">
        <f>IFERROR(__xludf.DUMMYFUNCTION("""COMPUTED_VALUE"""),"Exa-Python Community")</f>
        <v>Exa-Python Community</v>
      </c>
      <c r="C48" s="15" t="str">
        <f>IFERROR(__xludf.DUMMYFUNCTION("""COMPUTED_VALUE"""),"Mohit Mathur")</f>
        <v>Mohit Mathur</v>
      </c>
      <c r="D48" s="53">
        <f>IFERROR(__xludf.DUMMYFUNCTION("""COMPUTED_VALUE"""),8.005936636E9)</f>
        <v>8005936636</v>
      </c>
    </row>
    <row r="49">
      <c r="A49" s="15">
        <f>IFERROR(__xludf.DUMMYFUNCTION("""COMPUTED_VALUE"""),49907.0)</f>
        <v>49907</v>
      </c>
      <c r="B49" s="15" t="str">
        <f>IFERROR(__xludf.DUMMYFUNCTION("""COMPUTED_VALUE"""),"Exa-Python Community")</f>
        <v>Exa-Python Community</v>
      </c>
      <c r="C49" s="15" t="str">
        <f>IFERROR(__xludf.DUMMYFUNCTION("""COMPUTED_VALUE"""),"Jugal Kishor Suthar")</f>
        <v>Jugal Kishor Suthar</v>
      </c>
      <c r="D49" s="53">
        <f>IFERROR(__xludf.DUMMYFUNCTION("""COMPUTED_VALUE"""),8.890209205E9)</f>
        <v>8890209205</v>
      </c>
    </row>
    <row r="50">
      <c r="A50" s="15">
        <f>IFERROR(__xludf.DUMMYFUNCTION("""COMPUTED_VALUE"""),49907.0)</f>
        <v>49907</v>
      </c>
      <c r="B50" s="15" t="str">
        <f>IFERROR(__xludf.DUMMYFUNCTION("""COMPUTED_VALUE"""),"Exa-Python Community")</f>
        <v>Exa-Python Community</v>
      </c>
      <c r="C50" s="15" t="str">
        <f>IFERROR(__xludf.DUMMYFUNCTION("""COMPUTED_VALUE"""),"Ankush Singh Gandhi")</f>
        <v>Ankush Singh Gandhi</v>
      </c>
      <c r="D50" s="53">
        <f>IFERROR(__xludf.DUMMYFUNCTION("""COMPUTED_VALUE"""),9.529639652E9)</f>
        <v>9529639652</v>
      </c>
    </row>
    <row r="51">
      <c r="A51" s="15">
        <f>IFERROR(__xludf.DUMMYFUNCTION("""COMPUTED_VALUE"""),49958.0)</f>
        <v>49958</v>
      </c>
      <c r="B51" s="15" t="str">
        <f>IFERROR(__xludf.DUMMYFUNCTION("""COMPUTED_VALUE"""),"Write your wrong")</f>
        <v>Write your wrong</v>
      </c>
      <c r="C51" s="15" t="str">
        <f>IFERROR(__xludf.DUMMYFUNCTION("""COMPUTED_VALUE"""),"Trishna Sagar")</f>
        <v>Trishna Sagar</v>
      </c>
      <c r="D51" s="53">
        <f>IFERROR(__xludf.DUMMYFUNCTION("""COMPUTED_VALUE"""),7.903090754E9)</f>
        <v>7903090754</v>
      </c>
    </row>
    <row r="52">
      <c r="A52" s="15">
        <f>IFERROR(__xludf.DUMMYFUNCTION("""COMPUTED_VALUE"""),49958.0)</f>
        <v>49958</v>
      </c>
      <c r="B52" s="15" t="str">
        <f>IFERROR(__xludf.DUMMYFUNCTION("""COMPUTED_VALUE"""),"Write your wrong")</f>
        <v>Write your wrong</v>
      </c>
      <c r="C52" s="15" t="str">
        <f>IFERROR(__xludf.DUMMYFUNCTION("""COMPUTED_VALUE"""),"Bansi")</f>
        <v>Bansi</v>
      </c>
      <c r="D52" s="53"/>
    </row>
    <row r="53">
      <c r="A53" s="15">
        <f>IFERROR(__xludf.DUMMYFUNCTION("""COMPUTED_VALUE"""),49978.0)</f>
        <v>49978</v>
      </c>
      <c r="B53" s="15" t="str">
        <f>IFERROR(__xludf.DUMMYFUNCTION("""COMPUTED_VALUE"""),"Startup Change Leaders")</f>
        <v>Startup Change Leaders</v>
      </c>
      <c r="C53" s="15" t="str">
        <f>IFERROR(__xludf.DUMMYFUNCTION("""COMPUTED_VALUE"""),"Atul Gupta")</f>
        <v>Atul Gupta</v>
      </c>
      <c r="D53" s="53">
        <f>IFERROR(__xludf.DUMMYFUNCTION("""COMPUTED_VALUE"""),9.871607711E9)</f>
        <v>9871607711</v>
      </c>
    </row>
    <row r="54">
      <c r="A54" s="15">
        <f>IFERROR(__xludf.DUMMYFUNCTION("""COMPUTED_VALUE"""),49978.0)</f>
        <v>49978</v>
      </c>
      <c r="B54" s="15" t="str">
        <f>IFERROR(__xludf.DUMMYFUNCTION("""COMPUTED_VALUE"""),"Startup Change Leaders")</f>
        <v>Startup Change Leaders</v>
      </c>
      <c r="C54" s="15" t="str">
        <f>IFERROR(__xludf.DUMMYFUNCTION("""COMPUTED_VALUE"""),"Shishir Kumar")</f>
        <v>Shishir Kumar</v>
      </c>
      <c r="D54" s="53">
        <f>IFERROR(__xludf.DUMMYFUNCTION("""COMPUTED_VALUE"""),9.818646269E9)</f>
        <v>9818646269</v>
      </c>
    </row>
    <row r="55">
      <c r="A55" s="15">
        <f>IFERROR(__xludf.DUMMYFUNCTION("""COMPUTED_VALUE"""),49978.0)</f>
        <v>49978</v>
      </c>
      <c r="B55" s="15" t="str">
        <f>IFERROR(__xludf.DUMMYFUNCTION("""COMPUTED_VALUE"""),"Startup Change Leaders")</f>
        <v>Startup Change Leaders</v>
      </c>
      <c r="C55" s="15" t="str">
        <f>IFERROR(__xludf.DUMMYFUNCTION("""COMPUTED_VALUE"""),"Rajan vohra")</f>
        <v>Rajan vohra</v>
      </c>
      <c r="D55" s="53">
        <f>IFERROR(__xludf.DUMMYFUNCTION("""COMPUTED_VALUE"""),9.999677022E9)</f>
        <v>9999677022</v>
      </c>
    </row>
    <row r="56">
      <c r="A56" s="15">
        <f>IFERROR(__xludf.DUMMYFUNCTION("""COMPUTED_VALUE"""),49978.0)</f>
        <v>49978</v>
      </c>
      <c r="B56" s="15" t="str">
        <f>IFERROR(__xludf.DUMMYFUNCTION("""COMPUTED_VALUE"""),"Startup Change Leaders")</f>
        <v>Startup Change Leaders</v>
      </c>
      <c r="C56" s="15" t="str">
        <f>IFERROR(__xludf.DUMMYFUNCTION("""COMPUTED_VALUE"""),"Shailender Pandey")</f>
        <v>Shailender Pandey</v>
      </c>
      <c r="D56" s="53">
        <f>IFERROR(__xludf.DUMMYFUNCTION("""COMPUTED_VALUE"""),9.899371567E9)</f>
        <v>9899371567</v>
      </c>
    </row>
    <row r="57">
      <c r="A57" s="15">
        <f>IFERROR(__xludf.DUMMYFUNCTION("""COMPUTED_VALUE"""),50015.0)</f>
        <v>50015</v>
      </c>
      <c r="B57" s="15" t="str">
        <f>IFERROR(__xludf.DUMMYFUNCTION("""COMPUTED_VALUE"""),"Blogging Life")</f>
        <v>Blogging Life</v>
      </c>
      <c r="C57" s="15" t="str">
        <f>IFERROR(__xludf.DUMMYFUNCTION("""COMPUTED_VALUE"""),"Akshita Lopa")</f>
        <v>Akshita Lopa</v>
      </c>
      <c r="D57" s="53">
        <f>IFERROR(__xludf.DUMMYFUNCTION("""COMPUTED_VALUE"""),7.838168936E9)</f>
        <v>7838168936</v>
      </c>
    </row>
    <row r="58">
      <c r="A58" s="15">
        <f>IFERROR(__xludf.DUMMYFUNCTION("""COMPUTED_VALUE"""),50015.0)</f>
        <v>50015</v>
      </c>
      <c r="B58" s="15" t="str">
        <f>IFERROR(__xludf.DUMMYFUNCTION("""COMPUTED_VALUE"""),"Blogging Life")</f>
        <v>Blogging Life</v>
      </c>
      <c r="C58" s="15" t="str">
        <f>IFERROR(__xludf.DUMMYFUNCTION("""COMPUTED_VALUE"""),"Payal")</f>
        <v>Payal</v>
      </c>
      <c r="D58" s="53">
        <f>IFERROR(__xludf.DUMMYFUNCTION("""COMPUTED_VALUE"""),7.261802453E9)</f>
        <v>7261802453</v>
      </c>
    </row>
    <row r="59">
      <c r="A59" s="15">
        <f>IFERROR(__xludf.DUMMYFUNCTION("""COMPUTED_VALUE"""),50015.0)</f>
        <v>50015</v>
      </c>
      <c r="B59" s="15" t="str">
        <f>IFERROR(__xludf.DUMMYFUNCTION("""COMPUTED_VALUE"""),"Blogging Life")</f>
        <v>Blogging Life</v>
      </c>
      <c r="C59" s="15" t="str">
        <f>IFERROR(__xludf.DUMMYFUNCTION("""COMPUTED_VALUE"""),"Sudipto Sahu")</f>
        <v>Sudipto Sahu</v>
      </c>
      <c r="D59" s="53">
        <f>IFERROR(__xludf.DUMMYFUNCTION("""COMPUTED_VALUE"""),9.905326903E9)</f>
        <v>9905326903</v>
      </c>
    </row>
    <row r="60">
      <c r="A60" s="15">
        <f>IFERROR(__xludf.DUMMYFUNCTION("""COMPUTED_VALUE"""),50015.0)</f>
        <v>50015</v>
      </c>
      <c r="B60" s="15" t="str">
        <f>IFERROR(__xludf.DUMMYFUNCTION("""COMPUTED_VALUE"""),"Blogging Life")</f>
        <v>Blogging Life</v>
      </c>
      <c r="C60" s="15" t="str">
        <f>IFERROR(__xludf.DUMMYFUNCTION("""COMPUTED_VALUE"""),"Saurabh")</f>
        <v>Saurabh</v>
      </c>
      <c r="D60" s="53">
        <f>IFERROR(__xludf.DUMMYFUNCTION("""COMPUTED_VALUE"""),8.287031347E9)</f>
        <v>8287031347</v>
      </c>
    </row>
    <row r="61">
      <c r="A61" s="15">
        <f>IFERROR(__xludf.DUMMYFUNCTION("""COMPUTED_VALUE"""),50020.0)</f>
        <v>50020</v>
      </c>
      <c r="B61" s="15" t="str">
        <f>IFERROR(__xludf.DUMMYFUNCTION("""COMPUTED_VALUE"""),"Budding Teachers")</f>
        <v>Budding Teachers</v>
      </c>
      <c r="C61" s="15" t="str">
        <f>IFERROR(__xludf.DUMMYFUNCTION("""COMPUTED_VALUE"""),"Kushagra Hatwal")</f>
        <v>Kushagra Hatwal</v>
      </c>
      <c r="D61" s="53">
        <f>IFERROR(__xludf.DUMMYFUNCTION("""COMPUTED_VALUE"""),9.650225768E9)</f>
        <v>9650225768</v>
      </c>
    </row>
    <row r="62">
      <c r="A62" s="15">
        <f>IFERROR(__xludf.DUMMYFUNCTION("""COMPUTED_VALUE"""),50022.0)</f>
        <v>50022</v>
      </c>
      <c r="B62" s="15" t="str">
        <f>IFERROR(__xludf.DUMMYFUNCTION("""COMPUTED_VALUE"""),"Nature Enthusiasts-FareenaVblogs")</f>
        <v>Nature Enthusiasts-FareenaVblogs</v>
      </c>
      <c r="C62" s="15" t="str">
        <f>IFERROR(__xludf.DUMMYFUNCTION("""COMPUTED_VALUE"""),"Akshita Lopa")</f>
        <v>Akshita Lopa</v>
      </c>
      <c r="D62" s="53">
        <f>IFERROR(__xludf.DUMMYFUNCTION("""COMPUTED_VALUE"""),7.838168936E9)</f>
        <v>7838168936</v>
      </c>
    </row>
    <row r="63">
      <c r="A63" s="15">
        <f>IFERROR(__xludf.DUMMYFUNCTION("""COMPUTED_VALUE"""),50022.0)</f>
        <v>50022</v>
      </c>
      <c r="B63" s="15" t="str">
        <f>IFERROR(__xludf.DUMMYFUNCTION("""COMPUTED_VALUE"""),"Nature Enthusiasts-FareenaVblogs")</f>
        <v>Nature Enthusiasts-FareenaVblogs</v>
      </c>
      <c r="C63" s="15" t="str">
        <f>IFERROR(__xludf.DUMMYFUNCTION("""COMPUTED_VALUE"""),"Venkatesh javalgeri")</f>
        <v>Venkatesh javalgeri</v>
      </c>
      <c r="D63" s="53">
        <f>IFERROR(__xludf.DUMMYFUNCTION("""COMPUTED_VALUE"""),9.986227277E9)</f>
        <v>9986227277</v>
      </c>
    </row>
    <row r="64">
      <c r="A64" s="15">
        <f>IFERROR(__xludf.DUMMYFUNCTION("""COMPUTED_VALUE"""),50022.0)</f>
        <v>50022</v>
      </c>
      <c r="B64" s="15" t="str">
        <f>IFERROR(__xludf.DUMMYFUNCTION("""COMPUTED_VALUE"""),"Nature Enthusiasts-FareenaVblogs")</f>
        <v>Nature Enthusiasts-FareenaVblogs</v>
      </c>
      <c r="C64" s="15" t="str">
        <f>IFERROR(__xludf.DUMMYFUNCTION("""COMPUTED_VALUE"""),"Leila Sandra")</f>
        <v>Leila Sandra</v>
      </c>
      <c r="D64" s="53">
        <f>IFERROR(__xludf.DUMMYFUNCTION("""COMPUTED_VALUE"""),7.25611858E8)</f>
        <v>725611858</v>
      </c>
    </row>
    <row r="65">
      <c r="A65" s="15">
        <f>IFERROR(__xludf.DUMMYFUNCTION("""COMPUTED_VALUE"""),50022.0)</f>
        <v>50022</v>
      </c>
      <c r="B65" s="15" t="str">
        <f>IFERROR(__xludf.DUMMYFUNCTION("""COMPUTED_VALUE"""),"Nature Enthusiasts-FareenaVblogs")</f>
        <v>Nature Enthusiasts-FareenaVblogs</v>
      </c>
      <c r="C65" s="15" t="str">
        <f>IFERROR(__xludf.DUMMYFUNCTION("""COMPUTED_VALUE"""),"Le Hai")</f>
        <v>Le Hai</v>
      </c>
      <c r="D65" s="53">
        <f>IFERROR(__xludf.DUMMYFUNCTION("""COMPUTED_VALUE"""),8.436293022E10)</f>
        <v>84362930220</v>
      </c>
    </row>
    <row r="66">
      <c r="A66" s="15">
        <f>IFERROR(__xludf.DUMMYFUNCTION("""COMPUTED_VALUE"""),50022.0)</f>
        <v>50022</v>
      </c>
      <c r="B66" s="15" t="str">
        <f>IFERROR(__xludf.DUMMYFUNCTION("""COMPUTED_VALUE"""),"Nature Enthusiasts-FareenaVblogs")</f>
        <v>Nature Enthusiasts-FareenaVblogs</v>
      </c>
      <c r="C66" s="15" t="str">
        <f>IFERROR(__xludf.DUMMYFUNCTION("""COMPUTED_VALUE"""),"Hari Krishna CM")</f>
        <v>Hari Krishna CM</v>
      </c>
      <c r="D66" s="53">
        <f>IFERROR(__xludf.DUMMYFUNCTION("""COMPUTED_VALUE"""),9.966271433E9)</f>
        <v>9966271433</v>
      </c>
    </row>
    <row r="67">
      <c r="A67" s="15">
        <f>IFERROR(__xludf.DUMMYFUNCTION("""COMPUTED_VALUE"""),50023.0)</f>
        <v>50023</v>
      </c>
      <c r="B67" s="15" t="str">
        <f>IFERROR(__xludf.DUMMYFUNCTION("""COMPUTED_VALUE"""),"Power of Communications")</f>
        <v>Power of Communications</v>
      </c>
      <c r="C67" s="15" t="str">
        <f>IFERROR(__xludf.DUMMYFUNCTION("""COMPUTED_VALUE"""),"Kushagra Hatwal")</f>
        <v>Kushagra Hatwal</v>
      </c>
      <c r="D67" s="53">
        <f>IFERROR(__xludf.DUMMYFUNCTION("""COMPUTED_VALUE"""),9.650225768E9)</f>
        <v>9650225768</v>
      </c>
    </row>
    <row r="68">
      <c r="A68" s="15">
        <f>IFERROR(__xludf.DUMMYFUNCTION("""COMPUTED_VALUE"""),50026.0)</f>
        <v>50026</v>
      </c>
      <c r="B68" s="15" t="str">
        <f>IFERROR(__xludf.DUMMYFUNCTION("""COMPUTED_VALUE"""),"HEAL-Journey to Happiness")</f>
        <v>HEAL-Journey to Happiness</v>
      </c>
      <c r="C68" s="15" t="str">
        <f>IFERROR(__xludf.DUMMYFUNCTION("""COMPUTED_VALUE"""),"Akshita Lopa")</f>
        <v>Akshita Lopa</v>
      </c>
      <c r="D68" s="53">
        <f>IFERROR(__xludf.DUMMYFUNCTION("""COMPUTED_VALUE"""),7.838168936E9)</f>
        <v>7838168936</v>
      </c>
    </row>
    <row r="69">
      <c r="A69" s="15">
        <f>IFERROR(__xludf.DUMMYFUNCTION("""COMPUTED_VALUE"""),50026.0)</f>
        <v>50026</v>
      </c>
      <c r="B69" s="15" t="str">
        <f>IFERROR(__xludf.DUMMYFUNCTION("""COMPUTED_VALUE"""),"HEAL-Journey to Happiness")</f>
        <v>HEAL-Journey to Happiness</v>
      </c>
      <c r="C69" s="15" t="str">
        <f>IFERROR(__xludf.DUMMYFUNCTION("""COMPUTED_VALUE"""),"Smriti")</f>
        <v>Smriti</v>
      </c>
      <c r="D69" s="53">
        <f>IFERROR(__xludf.DUMMYFUNCTION("""COMPUTED_VALUE"""),7.906390495E9)</f>
        <v>7906390495</v>
      </c>
    </row>
    <row r="70">
      <c r="A70" s="15">
        <f>IFERROR(__xludf.DUMMYFUNCTION("""COMPUTED_VALUE"""),50026.0)</f>
        <v>50026</v>
      </c>
      <c r="B70" s="15" t="str">
        <f>IFERROR(__xludf.DUMMYFUNCTION("""COMPUTED_VALUE"""),"HEAL-Journey to Happiness")</f>
        <v>HEAL-Journey to Happiness</v>
      </c>
      <c r="C70" s="15" t="str">
        <f>IFERROR(__xludf.DUMMYFUNCTION("""COMPUTED_VALUE"""),"Suchi")</f>
        <v>Suchi</v>
      </c>
      <c r="D70" s="53">
        <f>IFERROR(__xludf.DUMMYFUNCTION("""COMPUTED_VALUE"""),8.401384031E9)</f>
        <v>8401384031</v>
      </c>
    </row>
    <row r="71">
      <c r="A71" s="15">
        <f>IFERROR(__xludf.DUMMYFUNCTION("""COMPUTED_VALUE"""),50029.0)</f>
        <v>50029</v>
      </c>
      <c r="B71" s="15" t="str">
        <f>IFERROR(__xludf.DUMMYFUNCTION("""COMPUTED_VALUE"""),"Bonjour Amis French")</f>
        <v>Bonjour Amis French</v>
      </c>
      <c r="C71" s="15" t="str">
        <f>IFERROR(__xludf.DUMMYFUNCTION("""COMPUTED_VALUE"""),"Lalit Singh")</f>
        <v>Lalit Singh</v>
      </c>
      <c r="D71" s="53">
        <f>IFERROR(__xludf.DUMMYFUNCTION("""COMPUTED_VALUE"""),9.818088722E9)</f>
        <v>9818088722</v>
      </c>
    </row>
    <row r="72">
      <c r="A72" s="15">
        <f>IFERROR(__xludf.DUMMYFUNCTION("""COMPUTED_VALUE"""),50029.0)</f>
        <v>50029</v>
      </c>
      <c r="B72" s="15" t="str">
        <f>IFERROR(__xludf.DUMMYFUNCTION("""COMPUTED_VALUE"""),"Bonjour Amis French")</f>
        <v>Bonjour Amis French</v>
      </c>
      <c r="C72" s="15" t="str">
        <f>IFERROR(__xludf.DUMMYFUNCTION("""COMPUTED_VALUE"""),"Kushagra Hatwal")</f>
        <v>Kushagra Hatwal</v>
      </c>
      <c r="D72" s="53">
        <f>IFERROR(__xludf.DUMMYFUNCTION("""COMPUTED_VALUE"""),9.650225768E9)</f>
        <v>9650225768</v>
      </c>
    </row>
    <row r="73">
      <c r="A73" s="15">
        <f>IFERROR(__xludf.DUMMYFUNCTION("""COMPUTED_VALUE"""),50030.0)</f>
        <v>50030</v>
      </c>
      <c r="B73" s="15" t="str">
        <f>IFERROR(__xludf.DUMMYFUNCTION("""COMPUTED_VALUE"""),"Digital Writopreneurs Hub")</f>
        <v>Digital Writopreneurs Hub</v>
      </c>
      <c r="C73" s="15" t="str">
        <f>IFERROR(__xludf.DUMMYFUNCTION("""COMPUTED_VALUE"""),"Akshita Lopa")</f>
        <v>Akshita Lopa</v>
      </c>
      <c r="D73" s="53">
        <f>IFERROR(__xludf.DUMMYFUNCTION("""COMPUTED_VALUE"""),7.838168936E9)</f>
        <v>7838168936</v>
      </c>
    </row>
    <row r="74">
      <c r="A74" s="15">
        <f>IFERROR(__xludf.DUMMYFUNCTION("""COMPUTED_VALUE"""),50030.0)</f>
        <v>50030</v>
      </c>
      <c r="B74" s="15" t="str">
        <f>IFERROR(__xludf.DUMMYFUNCTION("""COMPUTED_VALUE"""),"Digital Writopreneurs Hub")</f>
        <v>Digital Writopreneurs Hub</v>
      </c>
      <c r="C74" s="15" t="str">
        <f>IFERROR(__xludf.DUMMYFUNCTION("""COMPUTED_VALUE"""),"Khushi Malhotra")</f>
        <v>Khushi Malhotra</v>
      </c>
      <c r="D74" s="53">
        <f>IFERROR(__xludf.DUMMYFUNCTION("""COMPUTED_VALUE"""),8.700752505E9)</f>
        <v>8700752505</v>
      </c>
    </row>
    <row r="75">
      <c r="A75" s="15">
        <f>IFERROR(__xludf.DUMMYFUNCTION("""COMPUTED_VALUE"""),50030.0)</f>
        <v>50030</v>
      </c>
      <c r="B75" s="15" t="str">
        <f>IFERROR(__xludf.DUMMYFUNCTION("""COMPUTED_VALUE"""),"Digital Writopreneurs Hub")</f>
        <v>Digital Writopreneurs Hub</v>
      </c>
      <c r="C75" s="15" t="str">
        <f>IFERROR(__xludf.DUMMYFUNCTION("""COMPUTED_VALUE"""),"Akash Agarwal ")</f>
        <v>Akash Agarwal </v>
      </c>
      <c r="D75" s="53">
        <f>IFERROR(__xludf.DUMMYFUNCTION("""COMPUTED_VALUE"""),8.840065724E9)</f>
        <v>8840065724</v>
      </c>
    </row>
    <row r="76">
      <c r="A76" s="15">
        <f>IFERROR(__xludf.DUMMYFUNCTION("""COMPUTED_VALUE"""),50030.0)</f>
        <v>50030</v>
      </c>
      <c r="B76" s="15" t="str">
        <f>IFERROR(__xludf.DUMMYFUNCTION("""COMPUTED_VALUE"""),"Digital Writopreneurs Hub")</f>
        <v>Digital Writopreneurs Hub</v>
      </c>
      <c r="C76" s="15" t="str">
        <f>IFERROR(__xludf.DUMMYFUNCTION("""COMPUTED_VALUE"""),"Rajeev Nayan Pathak")</f>
        <v>Rajeev Nayan Pathak</v>
      </c>
      <c r="D76" s="53">
        <f>IFERROR(__xludf.DUMMYFUNCTION("""COMPUTED_VALUE"""),7.987396421E9)</f>
        <v>7987396421</v>
      </c>
    </row>
    <row r="77">
      <c r="A77" s="15">
        <f>IFERROR(__xludf.DUMMYFUNCTION("""COMPUTED_VALUE"""),50030.0)</f>
        <v>50030</v>
      </c>
      <c r="B77" s="15" t="str">
        <f>IFERROR(__xludf.DUMMYFUNCTION("""COMPUTED_VALUE"""),"Digital Writopreneurs Hub")</f>
        <v>Digital Writopreneurs Hub</v>
      </c>
      <c r="C77" s="15" t="str">
        <f>IFERROR(__xludf.DUMMYFUNCTION("""COMPUTED_VALUE"""),"Vishal Dalve ")</f>
        <v>Vishal Dalve </v>
      </c>
      <c r="D77" s="53">
        <f>IFERROR(__xludf.DUMMYFUNCTION("""COMPUTED_VALUE"""),7.8881203E9)</f>
        <v>7888120300</v>
      </c>
    </row>
    <row r="78">
      <c r="A78" s="15">
        <f>IFERROR(__xludf.DUMMYFUNCTION("""COMPUTED_VALUE"""),50030.0)</f>
        <v>50030</v>
      </c>
      <c r="B78" s="15" t="str">
        <f>IFERROR(__xludf.DUMMYFUNCTION("""COMPUTED_VALUE"""),"Digital Writopreneurs Hub")</f>
        <v>Digital Writopreneurs Hub</v>
      </c>
      <c r="C78" s="15" t="str">
        <f>IFERROR(__xludf.DUMMYFUNCTION("""COMPUTED_VALUE"""),"Poonam Malik")</f>
        <v>Poonam Malik</v>
      </c>
      <c r="D78" s="53">
        <f>IFERROR(__xludf.DUMMYFUNCTION("""COMPUTED_VALUE"""),9.718391279E9)</f>
        <v>9718391279</v>
      </c>
    </row>
    <row r="79">
      <c r="A79" s="15">
        <f>IFERROR(__xludf.DUMMYFUNCTION("""COMPUTED_VALUE"""),50030.0)</f>
        <v>50030</v>
      </c>
      <c r="B79" s="15" t="str">
        <f>IFERROR(__xludf.DUMMYFUNCTION("""COMPUTED_VALUE"""),"Digital Writopreneurs Hub")</f>
        <v>Digital Writopreneurs Hub</v>
      </c>
      <c r="C79" s="15" t="str">
        <f>IFERROR(__xludf.DUMMYFUNCTION("""COMPUTED_VALUE"""),"Dr. Anjana Tiwari")</f>
        <v>Dr. Anjana Tiwari</v>
      </c>
      <c r="D79" s="53">
        <f>IFERROR(__xludf.DUMMYFUNCTION("""COMPUTED_VALUE"""),9.131032813E9)</f>
        <v>9131032813</v>
      </c>
    </row>
    <row r="80">
      <c r="A80" s="15">
        <f>IFERROR(__xludf.DUMMYFUNCTION("""COMPUTED_VALUE"""),50030.0)</f>
        <v>50030</v>
      </c>
      <c r="B80" s="15" t="str">
        <f>IFERROR(__xludf.DUMMYFUNCTION("""COMPUTED_VALUE"""),"Digital Writopreneurs Hub")</f>
        <v>Digital Writopreneurs Hub</v>
      </c>
      <c r="C80" s="15" t="str">
        <f>IFERROR(__xludf.DUMMYFUNCTION("""COMPUTED_VALUE"""),"Seema Mishra")</f>
        <v>Seema Mishra</v>
      </c>
      <c r="D80" s="53">
        <f>IFERROR(__xludf.DUMMYFUNCTION("""COMPUTED_VALUE"""),8.827505348E9)</f>
        <v>8827505348</v>
      </c>
    </row>
    <row r="81">
      <c r="A81" s="15">
        <f>IFERROR(__xludf.DUMMYFUNCTION("""COMPUTED_VALUE"""),50030.0)</f>
        <v>50030</v>
      </c>
      <c r="B81" s="15" t="str">
        <f>IFERROR(__xludf.DUMMYFUNCTION("""COMPUTED_VALUE"""),"Digital Writopreneurs Hub")</f>
        <v>Digital Writopreneurs Hub</v>
      </c>
      <c r="C81" s="15" t="str">
        <f>IFERROR(__xludf.DUMMYFUNCTION("""COMPUTED_VALUE"""),"Sounak Dey ")</f>
        <v>Sounak Dey </v>
      </c>
      <c r="D81" s="53">
        <f>IFERROR(__xludf.DUMMYFUNCTION("""COMPUTED_VALUE"""),8.383800735E9)</f>
        <v>8383800735</v>
      </c>
    </row>
    <row r="82">
      <c r="A82" s="15">
        <f>IFERROR(__xludf.DUMMYFUNCTION("""COMPUTED_VALUE"""),50030.0)</f>
        <v>50030</v>
      </c>
      <c r="B82" s="15" t="str">
        <f>IFERROR(__xludf.DUMMYFUNCTION("""COMPUTED_VALUE"""),"Digital Writopreneurs Hub")</f>
        <v>Digital Writopreneurs Hub</v>
      </c>
      <c r="C82" s="15" t="str">
        <f>IFERROR(__xludf.DUMMYFUNCTION("""COMPUTED_VALUE"""),"Zealot Manjushree Biswas ")</f>
        <v>Zealot Manjushree Biswas </v>
      </c>
      <c r="D82" s="53">
        <f>IFERROR(__xludf.DUMMYFUNCTION("""COMPUTED_VALUE"""),9.893352854E9)</f>
        <v>9893352854</v>
      </c>
    </row>
    <row r="83">
      <c r="A83" s="15">
        <f>IFERROR(__xludf.DUMMYFUNCTION("""COMPUTED_VALUE"""),50030.0)</f>
        <v>50030</v>
      </c>
      <c r="B83" s="15" t="str">
        <f>IFERROR(__xludf.DUMMYFUNCTION("""COMPUTED_VALUE"""),"Digital Writopreneurs Hub")</f>
        <v>Digital Writopreneurs Hub</v>
      </c>
      <c r="C83" s="15" t="str">
        <f>IFERROR(__xludf.DUMMYFUNCTION("""COMPUTED_VALUE"""),"Vaidyanathan ramasamy")</f>
        <v>Vaidyanathan ramasamy</v>
      </c>
      <c r="D83" s="53">
        <f>IFERROR(__xludf.DUMMYFUNCTION("""COMPUTED_VALUE"""),7.639509713E9)</f>
        <v>7639509713</v>
      </c>
    </row>
    <row r="84">
      <c r="A84" s="15">
        <f>IFERROR(__xludf.DUMMYFUNCTION("""COMPUTED_VALUE"""),50030.0)</f>
        <v>50030</v>
      </c>
      <c r="B84" s="15" t="str">
        <f>IFERROR(__xludf.DUMMYFUNCTION("""COMPUTED_VALUE"""),"Digital Writopreneurs Hub")</f>
        <v>Digital Writopreneurs Hub</v>
      </c>
      <c r="C84" s="15" t="str">
        <f>IFERROR(__xludf.DUMMYFUNCTION("""COMPUTED_VALUE"""),"Vidyashree PN")</f>
        <v>Vidyashree PN</v>
      </c>
      <c r="D84" s="53">
        <f>IFERROR(__xludf.DUMMYFUNCTION("""COMPUTED_VALUE"""),9.663398802E9)</f>
        <v>9663398802</v>
      </c>
    </row>
    <row r="85">
      <c r="A85" s="15">
        <f>IFERROR(__xludf.DUMMYFUNCTION("""COMPUTED_VALUE"""),50030.0)</f>
        <v>50030</v>
      </c>
      <c r="B85" s="15" t="str">
        <f>IFERROR(__xludf.DUMMYFUNCTION("""COMPUTED_VALUE"""),"Digital Writopreneurs Hub")</f>
        <v>Digital Writopreneurs Hub</v>
      </c>
      <c r="C85" s="15" t="str">
        <f>IFERROR(__xludf.DUMMYFUNCTION("""COMPUTED_VALUE"""),"Shubhada Pande ")</f>
        <v>Shubhada Pande </v>
      </c>
      <c r="D85" s="53">
        <f>IFERROR(__xludf.DUMMYFUNCTION("""COMPUTED_VALUE"""),8.850399316E9)</f>
        <v>8850399316</v>
      </c>
    </row>
    <row r="86">
      <c r="A86" s="15">
        <f>IFERROR(__xludf.DUMMYFUNCTION("""COMPUTED_VALUE"""),50030.0)</f>
        <v>50030</v>
      </c>
      <c r="B86" s="15" t="str">
        <f>IFERROR(__xludf.DUMMYFUNCTION("""COMPUTED_VALUE"""),"Digital Writopreneurs Hub")</f>
        <v>Digital Writopreneurs Hub</v>
      </c>
      <c r="C86" s="15" t="str">
        <f>IFERROR(__xludf.DUMMYFUNCTION("""COMPUTED_VALUE"""),"Abhishek kumar pathak")</f>
        <v>Abhishek kumar pathak</v>
      </c>
      <c r="D86" s="53">
        <f>IFERROR(__xludf.DUMMYFUNCTION("""COMPUTED_VALUE"""),9.880870713E9)</f>
        <v>9880870713</v>
      </c>
    </row>
    <row r="87">
      <c r="A87" s="15">
        <f>IFERROR(__xludf.DUMMYFUNCTION("""COMPUTED_VALUE"""),50030.0)</f>
        <v>50030</v>
      </c>
      <c r="B87" s="15" t="str">
        <f>IFERROR(__xludf.DUMMYFUNCTION("""COMPUTED_VALUE"""),"Digital Writopreneurs Hub")</f>
        <v>Digital Writopreneurs Hub</v>
      </c>
      <c r="C87" s="15" t="str">
        <f>IFERROR(__xludf.DUMMYFUNCTION("""COMPUTED_VALUE"""),"Sangita Jain")</f>
        <v>Sangita Jain</v>
      </c>
      <c r="D87" s="53">
        <f>IFERROR(__xludf.DUMMYFUNCTION("""COMPUTED_VALUE"""),9.941377E9)</f>
        <v>9941377000</v>
      </c>
    </row>
    <row r="88">
      <c r="A88" s="15">
        <f>IFERROR(__xludf.DUMMYFUNCTION("""COMPUTED_VALUE"""),50030.0)</f>
        <v>50030</v>
      </c>
      <c r="B88" s="15" t="str">
        <f>IFERROR(__xludf.DUMMYFUNCTION("""COMPUTED_VALUE"""),"Digital Writopreneurs Hub")</f>
        <v>Digital Writopreneurs Hub</v>
      </c>
      <c r="C88" s="15" t="str">
        <f>IFERROR(__xludf.DUMMYFUNCTION("""COMPUTED_VALUE"""),"Sumit Karmakar ")</f>
        <v>Sumit Karmakar </v>
      </c>
      <c r="D88" s="53">
        <f>IFERROR(__xludf.DUMMYFUNCTION("""COMPUTED_VALUE"""),6.289441299E9)</f>
        <v>6289441299</v>
      </c>
    </row>
    <row r="89">
      <c r="A89" s="15">
        <f>IFERROR(__xludf.DUMMYFUNCTION("""COMPUTED_VALUE"""),50030.0)</f>
        <v>50030</v>
      </c>
      <c r="B89" s="15" t="str">
        <f>IFERROR(__xludf.DUMMYFUNCTION("""COMPUTED_VALUE"""),"Digital Writopreneurs Hub")</f>
        <v>Digital Writopreneurs Hub</v>
      </c>
      <c r="C89" s="15" t="str">
        <f>IFERROR(__xludf.DUMMYFUNCTION("""COMPUTED_VALUE"""),"Sakshi Rattan")</f>
        <v>Sakshi Rattan</v>
      </c>
      <c r="D89" s="53">
        <f>IFERROR(__xludf.DUMMYFUNCTION("""COMPUTED_VALUE"""),8.447345035E9)</f>
        <v>8447345035</v>
      </c>
    </row>
    <row r="90">
      <c r="A90" s="15">
        <f>IFERROR(__xludf.DUMMYFUNCTION("""COMPUTED_VALUE"""),50030.0)</f>
        <v>50030</v>
      </c>
      <c r="B90" s="15" t="str">
        <f>IFERROR(__xludf.DUMMYFUNCTION("""COMPUTED_VALUE"""),"Digital Writopreneurs Hub")</f>
        <v>Digital Writopreneurs Hub</v>
      </c>
      <c r="C90" s="15" t="str">
        <f>IFERROR(__xludf.DUMMYFUNCTION("""COMPUTED_VALUE"""),"Paramita")</f>
        <v>Paramita</v>
      </c>
      <c r="D90" s="53">
        <f>IFERROR(__xludf.DUMMYFUNCTION("""COMPUTED_VALUE"""),9.836314718E9)</f>
        <v>9836314718</v>
      </c>
    </row>
    <row r="91">
      <c r="A91" s="15">
        <f>IFERROR(__xludf.DUMMYFUNCTION("""COMPUTED_VALUE"""),50030.0)</f>
        <v>50030</v>
      </c>
      <c r="B91" s="15" t="str">
        <f>IFERROR(__xludf.DUMMYFUNCTION("""COMPUTED_VALUE"""),"Digital Writopreneurs Hub")</f>
        <v>Digital Writopreneurs Hub</v>
      </c>
      <c r="C91" s="15" t="str">
        <f>IFERROR(__xludf.DUMMYFUNCTION("""COMPUTED_VALUE"""),"Varsha Agarwal")</f>
        <v>Varsha Agarwal</v>
      </c>
      <c r="D91" s="53">
        <f>IFERROR(__xludf.DUMMYFUNCTION("""COMPUTED_VALUE"""),9.960152343E9)</f>
        <v>9960152343</v>
      </c>
    </row>
    <row r="92">
      <c r="A92" s="15">
        <f>IFERROR(__xludf.DUMMYFUNCTION("""COMPUTED_VALUE"""),50030.0)</f>
        <v>50030</v>
      </c>
      <c r="B92" s="15" t="str">
        <f>IFERROR(__xludf.DUMMYFUNCTION("""COMPUTED_VALUE"""),"Digital Writopreneurs Hub")</f>
        <v>Digital Writopreneurs Hub</v>
      </c>
      <c r="C92" s="15" t="str">
        <f>IFERROR(__xludf.DUMMYFUNCTION("""COMPUTED_VALUE"""),"Preeti Shah")</f>
        <v>Preeti Shah</v>
      </c>
      <c r="D92" s="53">
        <f>IFERROR(__xludf.DUMMYFUNCTION("""COMPUTED_VALUE"""),9.818865573E9)</f>
        <v>9818865573</v>
      </c>
    </row>
    <row r="93">
      <c r="A93" s="15">
        <f>IFERROR(__xludf.DUMMYFUNCTION("""COMPUTED_VALUE"""),50030.0)</f>
        <v>50030</v>
      </c>
      <c r="B93" s="15" t="str">
        <f>IFERROR(__xludf.DUMMYFUNCTION("""COMPUTED_VALUE"""),"Digital Writopreneurs Hub")</f>
        <v>Digital Writopreneurs Hub</v>
      </c>
      <c r="C93" s="15" t="str">
        <f>IFERROR(__xludf.DUMMYFUNCTION("""COMPUTED_VALUE"""),"Risha Khan")</f>
        <v>Risha Khan</v>
      </c>
      <c r="D93" s="53">
        <f>IFERROR(__xludf.DUMMYFUNCTION("""COMPUTED_VALUE"""),7.869092121E9)</f>
        <v>7869092121</v>
      </c>
    </row>
    <row r="94">
      <c r="A94" s="15">
        <f>IFERROR(__xludf.DUMMYFUNCTION("""COMPUTED_VALUE"""),50030.0)</f>
        <v>50030</v>
      </c>
      <c r="B94" s="15" t="str">
        <f>IFERROR(__xludf.DUMMYFUNCTION("""COMPUTED_VALUE"""),"Digital Writopreneurs Hub")</f>
        <v>Digital Writopreneurs Hub</v>
      </c>
      <c r="C94" s="15" t="str">
        <f>IFERROR(__xludf.DUMMYFUNCTION("""COMPUTED_VALUE"""),"Amit Masih")</f>
        <v>Amit Masih</v>
      </c>
      <c r="D94" s="53">
        <f>IFERROR(__xludf.DUMMYFUNCTION("""COMPUTED_VALUE"""),7.014274198E9)</f>
        <v>7014274198</v>
      </c>
    </row>
    <row r="95">
      <c r="A95" s="15">
        <f>IFERROR(__xludf.DUMMYFUNCTION("""COMPUTED_VALUE"""),50030.0)</f>
        <v>50030</v>
      </c>
      <c r="B95" s="15" t="str">
        <f>IFERROR(__xludf.DUMMYFUNCTION("""COMPUTED_VALUE"""),"Digital Writopreneurs Hub")</f>
        <v>Digital Writopreneurs Hub</v>
      </c>
      <c r="C95" s="15" t="str">
        <f>IFERROR(__xludf.DUMMYFUNCTION("""COMPUTED_VALUE"""),"Mansi Arora ")</f>
        <v>Mansi Arora </v>
      </c>
      <c r="D95" s="53">
        <f>IFERROR(__xludf.DUMMYFUNCTION("""COMPUTED_VALUE"""),7.824050548E9)</f>
        <v>7824050548</v>
      </c>
    </row>
    <row r="96">
      <c r="A96" s="15">
        <f>IFERROR(__xludf.DUMMYFUNCTION("""COMPUTED_VALUE"""),50030.0)</f>
        <v>50030</v>
      </c>
      <c r="B96" s="15" t="str">
        <f>IFERROR(__xludf.DUMMYFUNCTION("""COMPUTED_VALUE"""),"Digital Writopreneurs Hub")</f>
        <v>Digital Writopreneurs Hub</v>
      </c>
      <c r="C96" s="15" t="str">
        <f>IFERROR(__xludf.DUMMYFUNCTION("""COMPUTED_VALUE"""),"D Arun Prasad ")</f>
        <v>D Arun Prasad </v>
      </c>
      <c r="D96" s="53">
        <f>IFERROR(__xludf.DUMMYFUNCTION("""COMPUTED_VALUE"""),7.824032321E9)</f>
        <v>7824032321</v>
      </c>
    </row>
    <row r="97">
      <c r="A97" s="15">
        <f>IFERROR(__xludf.DUMMYFUNCTION("""COMPUTED_VALUE"""),50030.0)</f>
        <v>50030</v>
      </c>
      <c r="B97" s="15" t="str">
        <f>IFERROR(__xludf.DUMMYFUNCTION("""COMPUTED_VALUE"""),"Digital Writopreneurs Hub")</f>
        <v>Digital Writopreneurs Hub</v>
      </c>
      <c r="C97" s="15" t="str">
        <f>IFERROR(__xludf.DUMMYFUNCTION("""COMPUTED_VALUE"""),"Ravinder Kaur Virdi")</f>
        <v>Ravinder Kaur Virdi</v>
      </c>
      <c r="D97" s="53">
        <f>IFERROR(__xludf.DUMMYFUNCTION("""COMPUTED_VALUE"""),9.041510096E9)</f>
        <v>9041510096</v>
      </c>
    </row>
    <row r="98">
      <c r="A98" s="15">
        <f>IFERROR(__xludf.DUMMYFUNCTION("""COMPUTED_VALUE"""),50030.0)</f>
        <v>50030</v>
      </c>
      <c r="B98" s="15" t="str">
        <f>IFERROR(__xludf.DUMMYFUNCTION("""COMPUTED_VALUE"""),"Digital Writopreneurs Hub")</f>
        <v>Digital Writopreneurs Hub</v>
      </c>
      <c r="C98" s="15" t="str">
        <f>IFERROR(__xludf.DUMMYFUNCTION("""COMPUTED_VALUE"""),"Trishita Roy")</f>
        <v>Trishita Roy</v>
      </c>
      <c r="D98" s="53">
        <f>IFERROR(__xludf.DUMMYFUNCTION("""COMPUTED_VALUE"""),9.954706256E9)</f>
        <v>9954706256</v>
      </c>
    </row>
    <row r="99">
      <c r="A99" s="15">
        <f>IFERROR(__xludf.DUMMYFUNCTION("""COMPUTED_VALUE"""),50031.0)</f>
        <v>50031</v>
      </c>
      <c r="B99" s="15" t="str">
        <f>IFERROR(__xludf.DUMMYFUNCTION("""COMPUTED_VALUE"""),"khushi se yoga")</f>
        <v>khushi se yoga</v>
      </c>
      <c r="C99" s="15" t="str">
        <f>IFERROR(__xludf.DUMMYFUNCTION("""COMPUTED_VALUE"""),"Kushagra Hatwal")</f>
        <v>Kushagra Hatwal</v>
      </c>
      <c r="D99" s="53">
        <f>IFERROR(__xludf.DUMMYFUNCTION("""COMPUTED_VALUE"""),9.650225768E9)</f>
        <v>9650225768</v>
      </c>
    </row>
    <row r="100">
      <c r="A100" s="15">
        <f>IFERROR(__xludf.DUMMYFUNCTION("""COMPUTED_VALUE"""),50033.0)</f>
        <v>50033</v>
      </c>
      <c r="B100" s="15" t="str">
        <f>IFERROR(__xludf.DUMMYFUNCTION("""COMPUTED_VALUE"""),"Python Geeks")</f>
        <v>Python Geeks</v>
      </c>
      <c r="C100" s="15" t="str">
        <f>IFERROR(__xludf.DUMMYFUNCTION("""COMPUTED_VALUE"""),"Kushagra Hatwal")</f>
        <v>Kushagra Hatwal</v>
      </c>
      <c r="D100" s="53">
        <f>IFERROR(__xludf.DUMMYFUNCTION("""COMPUTED_VALUE"""),9.650225768E9)</f>
        <v>9650225768</v>
      </c>
    </row>
    <row r="101">
      <c r="A101" s="15">
        <f>IFERROR(__xludf.DUMMYFUNCTION("""COMPUTED_VALUE"""),50039.0)</f>
        <v>50039</v>
      </c>
      <c r="B101" s="15" t="str">
        <f>IFERROR(__xludf.DUMMYFUNCTION("""COMPUTED_VALUE"""),"Happy Ashram")</f>
        <v>Happy Ashram</v>
      </c>
      <c r="C101" s="15" t="str">
        <f>IFERROR(__xludf.DUMMYFUNCTION("""COMPUTED_VALUE"""),"Kushagra Hatwal")</f>
        <v>Kushagra Hatwal</v>
      </c>
      <c r="D101" s="53">
        <f>IFERROR(__xludf.DUMMYFUNCTION("""COMPUTED_VALUE"""),9.650225768E9)</f>
        <v>9650225768</v>
      </c>
    </row>
    <row r="102">
      <c r="A102" s="15">
        <f>IFERROR(__xludf.DUMMYFUNCTION("""COMPUTED_VALUE"""),50041.0)</f>
        <v>50041</v>
      </c>
      <c r="B102" s="15" t="str">
        <f>IFERROR(__xludf.DUMMYFUNCTION("""COMPUTED_VALUE"""),"She Splash")</f>
        <v>She Splash</v>
      </c>
      <c r="C102" s="15" t="str">
        <f>IFERROR(__xludf.DUMMYFUNCTION("""COMPUTED_VALUE"""),"Kushagra Hatwal")</f>
        <v>Kushagra Hatwal</v>
      </c>
      <c r="D102" s="53">
        <f>IFERROR(__xludf.DUMMYFUNCTION("""COMPUTED_VALUE"""),9.650225768E9)</f>
        <v>9650225768</v>
      </c>
    </row>
    <row r="103">
      <c r="A103" s="15">
        <f>IFERROR(__xludf.DUMMYFUNCTION("""COMPUTED_VALUE"""),50043.0)</f>
        <v>50043</v>
      </c>
      <c r="B103" s="15" t="str">
        <f>IFERROR(__xludf.DUMMYFUNCTION("""COMPUTED_VALUE"""),"Transformed Finance Professionals")</f>
        <v>Transformed Finance Professionals</v>
      </c>
      <c r="C103" s="15" t="str">
        <f>IFERROR(__xludf.DUMMYFUNCTION("""COMPUTED_VALUE"""),"Kushagra Hatwal")</f>
        <v>Kushagra Hatwal</v>
      </c>
      <c r="D103" s="53">
        <f>IFERROR(__xludf.DUMMYFUNCTION("""COMPUTED_VALUE"""),9.650225768E9)</f>
        <v>9650225768</v>
      </c>
    </row>
    <row r="104">
      <c r="A104" s="15">
        <f>IFERROR(__xludf.DUMMYFUNCTION("""COMPUTED_VALUE"""),50043.0)</f>
        <v>50043</v>
      </c>
      <c r="B104" s="15" t="str">
        <f>IFERROR(__xludf.DUMMYFUNCTION("""COMPUTED_VALUE"""),"Transformed Finance Professionals")</f>
        <v>Transformed Finance Professionals</v>
      </c>
      <c r="C104" s="15" t="str">
        <f>IFERROR(__xludf.DUMMYFUNCTION("""COMPUTED_VALUE"""),"Balwan Bansal")</f>
        <v>Balwan Bansal</v>
      </c>
      <c r="D104" s="53">
        <f>IFERROR(__xludf.DUMMYFUNCTION("""COMPUTED_VALUE"""),9.871767277E9)</f>
        <v>9871767277</v>
      </c>
    </row>
    <row r="105">
      <c r="A105" s="15">
        <f>IFERROR(__xludf.DUMMYFUNCTION("""COMPUTED_VALUE"""),50043.0)</f>
        <v>50043</v>
      </c>
      <c r="B105" s="15" t="str">
        <f>IFERROR(__xludf.DUMMYFUNCTION("""COMPUTED_VALUE"""),"Transformed Finance Professionals")</f>
        <v>Transformed Finance Professionals</v>
      </c>
      <c r="C105" s="15" t="str">
        <f>IFERROR(__xludf.DUMMYFUNCTION("""COMPUTED_VALUE"""),"Simran")</f>
        <v>Simran</v>
      </c>
      <c r="D105" s="53">
        <f>IFERROR(__xludf.DUMMYFUNCTION("""COMPUTED_VALUE"""),7.009576673E9)</f>
        <v>7009576673</v>
      </c>
    </row>
    <row r="106">
      <c r="A106" s="15">
        <f>IFERROR(__xludf.DUMMYFUNCTION("""COMPUTED_VALUE"""),50043.0)</f>
        <v>50043</v>
      </c>
      <c r="B106" s="15" t="str">
        <f>IFERROR(__xludf.DUMMYFUNCTION("""COMPUTED_VALUE"""),"Transformed Finance Professionals")</f>
        <v>Transformed Finance Professionals</v>
      </c>
      <c r="C106" s="15" t="str">
        <f>IFERROR(__xludf.DUMMYFUNCTION("""COMPUTED_VALUE"""),"Deepak Surendar")</f>
        <v>Deepak Surendar</v>
      </c>
      <c r="D106" s="53"/>
    </row>
    <row r="107">
      <c r="A107" s="15">
        <f>IFERROR(__xludf.DUMMYFUNCTION("""COMPUTED_VALUE"""),50044.0)</f>
        <v>50044</v>
      </c>
      <c r="B107" s="15" t="str">
        <f>IFERROR(__xludf.DUMMYFUNCTION("""COMPUTED_VALUE"""),"Through Thick and Thin")</f>
        <v>Through Thick and Thin</v>
      </c>
      <c r="C107" s="15" t="str">
        <f>IFERROR(__xludf.DUMMYFUNCTION("""COMPUTED_VALUE"""),"Trishna Sagar")</f>
        <v>Trishna Sagar</v>
      </c>
      <c r="D107" s="53">
        <f>IFERROR(__xludf.DUMMYFUNCTION("""COMPUTED_VALUE"""),7.903090754E9)</f>
        <v>7903090754</v>
      </c>
    </row>
    <row r="108">
      <c r="A108" s="15">
        <f>IFERROR(__xludf.DUMMYFUNCTION("""COMPUTED_VALUE"""),50044.0)</f>
        <v>50044</v>
      </c>
      <c r="B108" s="15" t="str">
        <f>IFERROR(__xludf.DUMMYFUNCTION("""COMPUTED_VALUE"""),"Through Thick and Thin")</f>
        <v>Through Thick and Thin</v>
      </c>
      <c r="C108" s="15" t="str">
        <f>IFERROR(__xludf.DUMMYFUNCTION("""COMPUTED_VALUE"""),"Akash Guruprasanna")</f>
        <v>Akash Guruprasanna</v>
      </c>
      <c r="D108" s="53">
        <f>IFERROR(__xludf.DUMMYFUNCTION("""COMPUTED_VALUE"""),9.900969993E9)</f>
        <v>9900969993</v>
      </c>
    </row>
    <row r="109">
      <c r="A109" s="15">
        <f>IFERROR(__xludf.DUMMYFUNCTION("""COMPUTED_VALUE"""),50044.0)</f>
        <v>50044</v>
      </c>
      <c r="B109" s="15" t="str">
        <f>IFERROR(__xludf.DUMMYFUNCTION("""COMPUTED_VALUE"""),"Through Thick and Thin")</f>
        <v>Through Thick and Thin</v>
      </c>
      <c r="C109" s="15" t="str">
        <f>IFERROR(__xludf.DUMMYFUNCTION("""COMPUTED_VALUE"""),"Harsheen Kaur Vohra")</f>
        <v>Harsheen Kaur Vohra</v>
      </c>
      <c r="D109" s="53">
        <f>IFERROR(__xludf.DUMMYFUNCTION("""COMPUTED_VALUE"""),9.87043603E9)</f>
        <v>9870436030</v>
      </c>
    </row>
    <row r="110">
      <c r="A110" s="15">
        <f>IFERROR(__xludf.DUMMYFUNCTION("""COMPUTED_VALUE"""),50044.0)</f>
        <v>50044</v>
      </c>
      <c r="B110" s="15" t="str">
        <f>IFERROR(__xludf.DUMMYFUNCTION("""COMPUTED_VALUE"""),"Through Thick and Thin")</f>
        <v>Through Thick and Thin</v>
      </c>
      <c r="C110" s="15" t="str">
        <f>IFERROR(__xludf.DUMMYFUNCTION("""COMPUTED_VALUE"""),"Prakruti Mehta")</f>
        <v>Prakruti Mehta</v>
      </c>
      <c r="D110" s="53">
        <f>IFERROR(__xludf.DUMMYFUNCTION("""COMPUTED_VALUE"""),9.326969984E9)</f>
        <v>9326969984</v>
      </c>
    </row>
    <row r="111">
      <c r="A111" s="15">
        <f>IFERROR(__xludf.DUMMYFUNCTION("""COMPUTED_VALUE"""),50046.0)</f>
        <v>50046</v>
      </c>
      <c r="B111" s="15" t="str">
        <f>IFERROR(__xludf.DUMMYFUNCTION("""COMPUTED_VALUE"""),"The Man Makeover")</f>
        <v>The Man Makeover</v>
      </c>
      <c r="C111" s="15" t="str">
        <f>IFERROR(__xludf.DUMMYFUNCTION("""COMPUTED_VALUE"""),"Kushagra Hatwal")</f>
        <v>Kushagra Hatwal</v>
      </c>
      <c r="D111" s="53">
        <f>IFERROR(__xludf.DUMMYFUNCTION("""COMPUTED_VALUE"""),9.650225768E9)</f>
        <v>9650225768</v>
      </c>
    </row>
    <row r="112">
      <c r="A112" s="15">
        <f>IFERROR(__xludf.DUMMYFUNCTION("""COMPUTED_VALUE"""),50046.0)</f>
        <v>50046</v>
      </c>
      <c r="B112" s="15" t="str">
        <f>IFERROR(__xludf.DUMMYFUNCTION("""COMPUTED_VALUE"""),"The Man Makeover")</f>
        <v>The Man Makeover</v>
      </c>
      <c r="C112" s="15" t="str">
        <f>IFERROR(__xludf.DUMMYFUNCTION("""COMPUTED_VALUE"""),"rahul prasad")</f>
        <v>rahul prasad</v>
      </c>
      <c r="D112" s="53">
        <f>IFERROR(__xludf.DUMMYFUNCTION("""COMPUTED_VALUE"""),8.991287494E9)</f>
        <v>8991287494</v>
      </c>
    </row>
    <row r="113">
      <c r="A113" s="15">
        <f>IFERROR(__xludf.DUMMYFUNCTION("""COMPUTED_VALUE"""),50046.0)</f>
        <v>50046</v>
      </c>
      <c r="B113" s="15" t="str">
        <f>IFERROR(__xludf.DUMMYFUNCTION("""COMPUTED_VALUE"""),"The Man Makeover")</f>
        <v>The Man Makeover</v>
      </c>
      <c r="C113" s="15" t="str">
        <f>IFERROR(__xludf.DUMMYFUNCTION("""COMPUTED_VALUE"""),"Rachit sharma")</f>
        <v>Rachit sharma</v>
      </c>
      <c r="D113" s="53">
        <f>IFERROR(__xludf.DUMMYFUNCTION("""COMPUTED_VALUE"""),7.014351653E9)</f>
        <v>7014351653</v>
      </c>
    </row>
    <row r="114">
      <c r="A114" s="15">
        <f>IFERROR(__xludf.DUMMYFUNCTION("""COMPUTED_VALUE"""),50046.0)</f>
        <v>50046</v>
      </c>
      <c r="B114" s="15" t="str">
        <f>IFERROR(__xludf.DUMMYFUNCTION("""COMPUTED_VALUE"""),"The Man Makeover")</f>
        <v>The Man Makeover</v>
      </c>
      <c r="C114" s="15" t="str">
        <f>IFERROR(__xludf.DUMMYFUNCTION("""COMPUTED_VALUE"""),"Rachit")</f>
        <v>Rachit</v>
      </c>
      <c r="D114" s="53">
        <f>IFERROR(__xludf.DUMMYFUNCTION("""COMPUTED_VALUE"""),9.413432005E9)</f>
        <v>9413432005</v>
      </c>
    </row>
    <row r="115">
      <c r="A115" s="15">
        <f>IFERROR(__xludf.DUMMYFUNCTION("""COMPUTED_VALUE"""),50046.0)</f>
        <v>50046</v>
      </c>
      <c r="B115" s="15" t="str">
        <f>IFERROR(__xludf.DUMMYFUNCTION("""COMPUTED_VALUE"""),"The Man Makeover")</f>
        <v>The Man Makeover</v>
      </c>
      <c r="C115" s="15" t="str">
        <f>IFERROR(__xludf.DUMMYFUNCTION("""COMPUTED_VALUE"""),"Nikket Pokharrna")</f>
        <v>Nikket Pokharrna</v>
      </c>
      <c r="D115" s="53">
        <f>IFERROR(__xludf.DUMMYFUNCTION("""COMPUTED_VALUE"""),7.744007007E9)</f>
        <v>7744007007</v>
      </c>
    </row>
    <row r="116">
      <c r="A116" s="15">
        <f>IFERROR(__xludf.DUMMYFUNCTION("""COMPUTED_VALUE"""),50046.0)</f>
        <v>50046</v>
      </c>
      <c r="B116" s="15" t="str">
        <f>IFERROR(__xludf.DUMMYFUNCTION("""COMPUTED_VALUE"""),"The Man Makeover")</f>
        <v>The Man Makeover</v>
      </c>
      <c r="C116" s="15" t="str">
        <f>IFERROR(__xludf.DUMMYFUNCTION("""COMPUTED_VALUE"""),"Prakruti Mehta")</f>
        <v>Prakruti Mehta</v>
      </c>
      <c r="D116" s="53">
        <f>IFERROR(__xludf.DUMMYFUNCTION("""COMPUTED_VALUE"""),9.326969984E9)</f>
        <v>9326969984</v>
      </c>
    </row>
    <row r="117">
      <c r="A117" s="15">
        <f>IFERROR(__xludf.DUMMYFUNCTION("""COMPUTED_VALUE"""),50047.0)</f>
        <v>50047</v>
      </c>
      <c r="B117" s="15" t="str">
        <f>IFERROR(__xludf.DUMMYFUNCTION("""COMPUTED_VALUE"""),"Design Forward")</f>
        <v>Design Forward</v>
      </c>
      <c r="C117" s="15" t="str">
        <f>IFERROR(__xludf.DUMMYFUNCTION("""COMPUTED_VALUE"""),"Trishna Sagar")</f>
        <v>Trishna Sagar</v>
      </c>
      <c r="D117" s="53">
        <f>IFERROR(__xludf.DUMMYFUNCTION("""COMPUTED_VALUE"""),7.903090754E9)</f>
        <v>7903090754</v>
      </c>
    </row>
    <row r="118">
      <c r="A118" s="15">
        <f>IFERROR(__xludf.DUMMYFUNCTION("""COMPUTED_VALUE"""),50051.0)</f>
        <v>50051</v>
      </c>
      <c r="B118" s="15" t="str">
        <f>IFERROR(__xludf.DUMMYFUNCTION("""COMPUTED_VALUE"""),"Mentor Mate")</f>
        <v>Mentor Mate</v>
      </c>
      <c r="C118" s="15" t="str">
        <f>IFERROR(__xludf.DUMMYFUNCTION("""COMPUTED_VALUE"""),"Trishna Sagar")</f>
        <v>Trishna Sagar</v>
      </c>
      <c r="D118" s="53">
        <f>IFERROR(__xludf.DUMMYFUNCTION("""COMPUTED_VALUE"""),7.903090754E9)</f>
        <v>7903090754</v>
      </c>
    </row>
    <row r="119">
      <c r="A119" s="15">
        <f>IFERROR(__xludf.DUMMYFUNCTION("""COMPUTED_VALUE"""),50051.0)</f>
        <v>50051</v>
      </c>
      <c r="B119" s="15" t="str">
        <f>IFERROR(__xludf.DUMMYFUNCTION("""COMPUTED_VALUE"""),"Mentor Mate")</f>
        <v>Mentor Mate</v>
      </c>
      <c r="C119" s="15" t="str">
        <f>IFERROR(__xludf.DUMMYFUNCTION("""COMPUTED_VALUE"""),"Himanshu Dubey")</f>
        <v>Himanshu Dubey</v>
      </c>
      <c r="D119" s="53">
        <f>IFERROR(__xludf.DUMMYFUNCTION("""COMPUTED_VALUE"""),8.851173675E9)</f>
        <v>8851173675</v>
      </c>
    </row>
    <row r="120">
      <c r="A120" s="15">
        <f>IFERROR(__xludf.DUMMYFUNCTION("""COMPUTED_VALUE"""),50051.0)</f>
        <v>50051</v>
      </c>
      <c r="B120" s="15" t="str">
        <f>IFERROR(__xludf.DUMMYFUNCTION("""COMPUTED_VALUE"""),"Mentor Mate")</f>
        <v>Mentor Mate</v>
      </c>
      <c r="C120" s="15" t="str">
        <f>IFERROR(__xludf.DUMMYFUNCTION("""COMPUTED_VALUE"""),"Ramesh")</f>
        <v>Ramesh</v>
      </c>
      <c r="D120" s="53">
        <f>IFERROR(__xludf.DUMMYFUNCTION("""COMPUTED_VALUE"""),9.971702906E9)</f>
        <v>9971702906</v>
      </c>
    </row>
    <row r="121">
      <c r="A121" s="15">
        <f>IFERROR(__xludf.DUMMYFUNCTION("""COMPUTED_VALUE"""),50051.0)</f>
        <v>50051</v>
      </c>
      <c r="B121" s="15" t="str">
        <f>IFERROR(__xludf.DUMMYFUNCTION("""COMPUTED_VALUE"""),"Mentor Mate")</f>
        <v>Mentor Mate</v>
      </c>
      <c r="C121" s="15" t="str">
        <f>IFERROR(__xludf.DUMMYFUNCTION("""COMPUTED_VALUE"""),"Deepti Manish Dubey")</f>
        <v>Deepti Manish Dubey</v>
      </c>
      <c r="D121" s="53">
        <f>IFERROR(__xludf.DUMMYFUNCTION("""COMPUTED_VALUE"""),9.140329822E9)</f>
        <v>9140329822</v>
      </c>
    </row>
    <row r="122">
      <c r="A122" s="15">
        <f>IFERROR(__xludf.DUMMYFUNCTION("""COMPUTED_VALUE"""),50051.0)</f>
        <v>50051</v>
      </c>
      <c r="B122" s="15" t="str">
        <f>IFERROR(__xludf.DUMMYFUNCTION("""COMPUTED_VALUE"""),"Mentor Mate")</f>
        <v>Mentor Mate</v>
      </c>
      <c r="C122" s="15" t="str">
        <f>IFERROR(__xludf.DUMMYFUNCTION("""COMPUTED_VALUE"""),"Somya Pandey")</f>
        <v>Somya Pandey</v>
      </c>
      <c r="D122" s="53">
        <f>IFERROR(__xludf.DUMMYFUNCTION("""COMPUTED_VALUE"""),7.90670777E9)</f>
        <v>7906707770</v>
      </c>
    </row>
    <row r="123">
      <c r="A123" s="15">
        <f>IFERROR(__xludf.DUMMYFUNCTION("""COMPUTED_VALUE"""),50051.0)</f>
        <v>50051</v>
      </c>
      <c r="B123" s="15" t="str">
        <f>IFERROR(__xludf.DUMMYFUNCTION("""COMPUTED_VALUE"""),"Mentor Mate")</f>
        <v>Mentor Mate</v>
      </c>
      <c r="C123" s="15" t="str">
        <f>IFERROR(__xludf.DUMMYFUNCTION("""COMPUTED_VALUE"""),"Hitendra Beniwal")</f>
        <v>Hitendra Beniwal</v>
      </c>
      <c r="D123" s="53">
        <f>IFERROR(__xludf.DUMMYFUNCTION("""COMPUTED_VALUE"""),7.976602962E9)</f>
        <v>7976602962</v>
      </c>
    </row>
    <row r="124">
      <c r="A124" s="15">
        <f>IFERROR(__xludf.DUMMYFUNCTION("""COMPUTED_VALUE"""),50051.0)</f>
        <v>50051</v>
      </c>
      <c r="B124" s="15" t="str">
        <f>IFERROR(__xludf.DUMMYFUNCTION("""COMPUTED_VALUE"""),"Mentor Mate")</f>
        <v>Mentor Mate</v>
      </c>
      <c r="C124" s="15" t="str">
        <f>IFERROR(__xludf.DUMMYFUNCTION("""COMPUTED_VALUE"""),"Puneet Gupta")</f>
        <v>Puneet Gupta</v>
      </c>
      <c r="D124" s="53">
        <f>IFERROR(__xludf.DUMMYFUNCTION("""COMPUTED_VALUE"""),8.383923429E9)</f>
        <v>8383923429</v>
      </c>
    </row>
    <row r="125">
      <c r="A125" s="15">
        <f>IFERROR(__xludf.DUMMYFUNCTION("""COMPUTED_VALUE"""),50052.0)</f>
        <v>50052</v>
      </c>
      <c r="B125" s="15" t="str">
        <f>IFERROR(__xludf.DUMMYFUNCTION("""COMPUTED_VALUE"""),"Ishavasya Yoga &amp; Relaxation")</f>
        <v>Ishavasya Yoga &amp; Relaxation</v>
      </c>
      <c r="C125" s="15" t="str">
        <f>IFERROR(__xludf.DUMMYFUNCTION("""COMPUTED_VALUE"""),"Trishna Sagar")</f>
        <v>Trishna Sagar</v>
      </c>
      <c r="D125" s="53">
        <f>IFERROR(__xludf.DUMMYFUNCTION("""COMPUTED_VALUE"""),7.903090754E9)</f>
        <v>7903090754</v>
      </c>
    </row>
    <row r="126">
      <c r="A126" s="15">
        <f>IFERROR(__xludf.DUMMYFUNCTION("""COMPUTED_VALUE"""),50052.0)</f>
        <v>50052</v>
      </c>
      <c r="B126" s="15" t="str">
        <f>IFERROR(__xludf.DUMMYFUNCTION("""COMPUTED_VALUE"""),"Ishavasya Yoga &amp; Relaxation")</f>
        <v>Ishavasya Yoga &amp; Relaxation</v>
      </c>
      <c r="C126" s="15" t="str">
        <f>IFERROR(__xludf.DUMMYFUNCTION("""COMPUTED_VALUE"""),"Rahul Singh")</f>
        <v>Rahul Singh</v>
      </c>
      <c r="D126" s="53">
        <f>IFERROR(__xludf.DUMMYFUNCTION("""COMPUTED_VALUE"""),9.792382907E9)</f>
        <v>9792382907</v>
      </c>
    </row>
    <row r="127">
      <c r="A127" s="15">
        <f>IFERROR(__xludf.DUMMYFUNCTION("""COMPUTED_VALUE"""),50054.0)</f>
        <v>50054</v>
      </c>
      <c r="B127" s="15" t="str">
        <f>IFERROR(__xludf.DUMMYFUNCTION("""COMPUTED_VALUE"""),"Rapto Bhara Jeevan")</f>
        <v>Rapto Bhara Jeevan</v>
      </c>
      <c r="C127" s="15" t="str">
        <f>IFERROR(__xludf.DUMMYFUNCTION("""COMPUTED_VALUE"""),"Trishna Sagar")</f>
        <v>Trishna Sagar</v>
      </c>
      <c r="D127" s="53">
        <f>IFERROR(__xludf.DUMMYFUNCTION("""COMPUTED_VALUE"""),7.903090754E9)</f>
        <v>7903090754</v>
      </c>
    </row>
    <row r="128">
      <c r="A128" s="15">
        <f>IFERROR(__xludf.DUMMYFUNCTION("""COMPUTED_VALUE"""),50054.0)</f>
        <v>50054</v>
      </c>
      <c r="B128" s="15" t="str">
        <f>IFERROR(__xludf.DUMMYFUNCTION("""COMPUTED_VALUE"""),"Rapto Bhara Jeevan")</f>
        <v>Rapto Bhara Jeevan</v>
      </c>
      <c r="C128" s="15" t="str">
        <f>IFERROR(__xludf.DUMMYFUNCTION("""COMPUTED_VALUE"""),"Nidhi Gupta")</f>
        <v>Nidhi Gupta</v>
      </c>
      <c r="D128" s="53">
        <f>IFERROR(__xludf.DUMMYFUNCTION("""COMPUTED_VALUE"""),9.910080349E9)</f>
        <v>9910080349</v>
      </c>
    </row>
    <row r="129">
      <c r="A129" s="15">
        <f>IFERROR(__xludf.DUMMYFUNCTION("""COMPUTED_VALUE"""),50054.0)</f>
        <v>50054</v>
      </c>
      <c r="B129" s="15" t="str">
        <f>IFERROR(__xludf.DUMMYFUNCTION("""COMPUTED_VALUE"""),"Rapto Bhara Jeevan")</f>
        <v>Rapto Bhara Jeevan</v>
      </c>
      <c r="C129" s="15" t="str">
        <f>IFERROR(__xludf.DUMMYFUNCTION("""COMPUTED_VALUE"""),"Anita Samal")</f>
        <v>Anita Samal</v>
      </c>
      <c r="D129" s="53">
        <f>IFERROR(__xludf.DUMMYFUNCTION("""COMPUTED_VALUE"""),8.018744484E9)</f>
        <v>8018744484</v>
      </c>
    </row>
    <row r="130">
      <c r="A130" s="15">
        <f>IFERROR(__xludf.DUMMYFUNCTION("""COMPUTED_VALUE"""),50054.0)</f>
        <v>50054</v>
      </c>
      <c r="B130" s="15" t="str">
        <f>IFERROR(__xludf.DUMMYFUNCTION("""COMPUTED_VALUE"""),"Rapto Bhara Jeevan")</f>
        <v>Rapto Bhara Jeevan</v>
      </c>
      <c r="C130" s="15" t="str">
        <f>IFERROR(__xludf.DUMMYFUNCTION("""COMPUTED_VALUE"""),"Abhilash Chyau Pattanaik")</f>
        <v>Abhilash Chyau Pattanaik</v>
      </c>
      <c r="D130" s="53">
        <f>IFERROR(__xludf.DUMMYFUNCTION("""COMPUTED_VALUE"""),6.37124932E9)</f>
        <v>6371249320</v>
      </c>
    </row>
    <row r="131">
      <c r="A131" s="15">
        <f>IFERROR(__xludf.DUMMYFUNCTION("""COMPUTED_VALUE"""),50065.0)</f>
        <v>50065</v>
      </c>
      <c r="B131" s="15" t="str">
        <f>IFERROR(__xludf.DUMMYFUNCTION("""COMPUTED_VALUE"""),"BeingEarthable")</f>
        <v>BeingEarthable</v>
      </c>
      <c r="C131" s="15" t="str">
        <f>IFERROR(__xludf.DUMMYFUNCTION("""COMPUTED_VALUE"""),"Akshita Lopa")</f>
        <v>Akshita Lopa</v>
      </c>
      <c r="D131" s="53">
        <f>IFERROR(__xludf.DUMMYFUNCTION("""COMPUTED_VALUE"""),7.838168936E9)</f>
        <v>7838168936</v>
      </c>
    </row>
    <row r="132">
      <c r="A132" s="15">
        <f>IFERROR(__xludf.DUMMYFUNCTION("""COMPUTED_VALUE"""),50065.0)</f>
        <v>50065</v>
      </c>
      <c r="B132" s="15" t="str">
        <f>IFERROR(__xludf.DUMMYFUNCTION("""COMPUTED_VALUE"""),"BeingEarthable")</f>
        <v>BeingEarthable</v>
      </c>
      <c r="C132" s="15" t="str">
        <f>IFERROR(__xludf.DUMMYFUNCTION("""COMPUTED_VALUE"""),"Prakruti Mehta")</f>
        <v>Prakruti Mehta</v>
      </c>
      <c r="D132" s="53">
        <f>IFERROR(__xludf.DUMMYFUNCTION("""COMPUTED_VALUE"""),9.326969984E9)</f>
        <v>9326969984</v>
      </c>
    </row>
    <row r="133">
      <c r="A133" s="15">
        <f>IFERROR(__xludf.DUMMYFUNCTION("""COMPUTED_VALUE"""),50065.0)</f>
        <v>50065</v>
      </c>
      <c r="B133" s="15" t="str">
        <f>IFERROR(__xludf.DUMMYFUNCTION("""COMPUTED_VALUE"""),"BeingEarthable")</f>
        <v>BeingEarthable</v>
      </c>
      <c r="C133" s="15" t="str">
        <f>IFERROR(__xludf.DUMMYFUNCTION("""COMPUTED_VALUE"""),"Dhruv Gupta")</f>
        <v>Dhruv Gupta</v>
      </c>
      <c r="D133" s="53">
        <f>IFERROR(__xludf.DUMMYFUNCTION("""COMPUTED_VALUE"""),9.560980869E9)</f>
        <v>9560980869</v>
      </c>
    </row>
    <row r="134">
      <c r="A134" s="15">
        <f>IFERROR(__xludf.DUMMYFUNCTION("""COMPUTED_VALUE"""),50065.0)</f>
        <v>50065</v>
      </c>
      <c r="B134" s="15" t="str">
        <f>IFERROR(__xludf.DUMMYFUNCTION("""COMPUTED_VALUE"""),"BeingEarthable")</f>
        <v>BeingEarthable</v>
      </c>
      <c r="C134" s="15" t="str">
        <f>IFERROR(__xludf.DUMMYFUNCTION("""COMPUTED_VALUE"""),"Swami Premananda                      ")</f>
        <v>Swami Premananda                      </v>
      </c>
      <c r="D134" s="53">
        <f>IFERROR(__xludf.DUMMYFUNCTION("""COMPUTED_VALUE"""),7.81787446E9)</f>
        <v>7817874460</v>
      </c>
    </row>
    <row r="135">
      <c r="A135" s="15">
        <f>IFERROR(__xludf.DUMMYFUNCTION("""COMPUTED_VALUE"""),50065.0)</f>
        <v>50065</v>
      </c>
      <c r="B135" s="15" t="str">
        <f>IFERROR(__xludf.DUMMYFUNCTION("""COMPUTED_VALUE"""),"BeingEarthable")</f>
        <v>BeingEarthable</v>
      </c>
      <c r="C135" s="15" t="str">
        <f>IFERROR(__xludf.DUMMYFUNCTION("""COMPUTED_VALUE"""),"Shivani Aggarwal")</f>
        <v>Shivani Aggarwal</v>
      </c>
      <c r="D135" s="53">
        <f>IFERROR(__xludf.DUMMYFUNCTION("""COMPUTED_VALUE"""),8.800139199E9)</f>
        <v>8800139199</v>
      </c>
    </row>
    <row r="136">
      <c r="A136" s="15">
        <f>IFERROR(__xludf.DUMMYFUNCTION("""COMPUTED_VALUE"""),50066.0)</f>
        <v>50066</v>
      </c>
      <c r="B136" s="15" t="str">
        <f>IFERROR(__xludf.DUMMYFUNCTION("""COMPUTED_VALUE"""),"BSB Life Academy ")</f>
        <v>BSB Life Academy </v>
      </c>
      <c r="C136" s="15" t="str">
        <f>IFERROR(__xludf.DUMMYFUNCTION("""COMPUTED_VALUE"""),"Sushil Bhasin")</f>
        <v>Sushil Bhasin</v>
      </c>
      <c r="D136" s="53">
        <f>IFERROR(__xludf.DUMMYFUNCTION("""COMPUTED_VALUE"""),9.987082135E9)</f>
        <v>9987082135</v>
      </c>
    </row>
    <row r="137">
      <c r="A137" s="15">
        <f>IFERROR(__xludf.DUMMYFUNCTION("""COMPUTED_VALUE"""),50066.0)</f>
        <v>50066</v>
      </c>
      <c r="B137" s="15" t="str">
        <f>IFERROR(__xludf.DUMMYFUNCTION("""COMPUTED_VALUE"""),"BSB Life Academy ")</f>
        <v>BSB Life Academy </v>
      </c>
      <c r="C137" s="15" t="str">
        <f>IFERROR(__xludf.DUMMYFUNCTION("""COMPUTED_VALUE"""),"Bharti")</f>
        <v>Bharti</v>
      </c>
      <c r="D137" s="53">
        <f>IFERROR(__xludf.DUMMYFUNCTION("""COMPUTED_VALUE"""),9.022422689E9)</f>
        <v>9022422689</v>
      </c>
    </row>
    <row r="138">
      <c r="A138" s="15">
        <f>IFERROR(__xludf.DUMMYFUNCTION("""COMPUTED_VALUE"""),50066.0)</f>
        <v>50066</v>
      </c>
      <c r="B138" s="15" t="str">
        <f>IFERROR(__xludf.DUMMYFUNCTION("""COMPUTED_VALUE"""),"BSB Life Academy ")</f>
        <v>BSB Life Academy </v>
      </c>
      <c r="C138" s="15" t="str">
        <f>IFERROR(__xludf.DUMMYFUNCTION("""COMPUTED_VALUE"""),"Bindu")</f>
        <v>Bindu</v>
      </c>
      <c r="D138" s="53">
        <f>IFERROR(__xludf.DUMMYFUNCTION("""COMPUTED_VALUE"""),9.008600885E9)</f>
        <v>9008600885</v>
      </c>
    </row>
    <row r="139">
      <c r="A139" s="15">
        <f>IFERROR(__xludf.DUMMYFUNCTION("""COMPUTED_VALUE"""),50066.0)</f>
        <v>50066</v>
      </c>
      <c r="B139" s="15" t="str">
        <f>IFERROR(__xludf.DUMMYFUNCTION("""COMPUTED_VALUE"""),"BSB Life Academy ")</f>
        <v>BSB Life Academy </v>
      </c>
      <c r="C139" s="15" t="str">
        <f>IFERROR(__xludf.DUMMYFUNCTION("""COMPUTED_VALUE"""),"Rajvi")</f>
        <v>Rajvi</v>
      </c>
      <c r="D139" s="53">
        <f>IFERROR(__xludf.DUMMYFUNCTION("""COMPUTED_VALUE"""),7.405088397E9)</f>
        <v>7405088397</v>
      </c>
    </row>
    <row r="140">
      <c r="A140" s="15">
        <f>IFERROR(__xludf.DUMMYFUNCTION("""COMPUTED_VALUE"""),50066.0)</f>
        <v>50066</v>
      </c>
      <c r="B140" s="15" t="str">
        <f>IFERROR(__xludf.DUMMYFUNCTION("""COMPUTED_VALUE"""),"BSB Life Academy ")</f>
        <v>BSB Life Academy </v>
      </c>
      <c r="C140" s="15" t="str">
        <f>IFERROR(__xludf.DUMMYFUNCTION("""COMPUTED_VALUE"""),"Palak")</f>
        <v>Palak</v>
      </c>
      <c r="D140" s="53">
        <f>IFERROR(__xludf.DUMMYFUNCTION("""COMPUTED_VALUE"""),8.860859358E9)</f>
        <v>8860859358</v>
      </c>
    </row>
    <row r="141">
      <c r="A141" s="15">
        <f>IFERROR(__xludf.DUMMYFUNCTION("""COMPUTED_VALUE"""),50066.0)</f>
        <v>50066</v>
      </c>
      <c r="B141" s="15" t="str">
        <f>IFERROR(__xludf.DUMMYFUNCTION("""COMPUTED_VALUE"""),"BSB Life Academy ")</f>
        <v>BSB Life Academy </v>
      </c>
      <c r="C141" s="15" t="str">
        <f>IFERROR(__xludf.DUMMYFUNCTION("""COMPUTED_VALUE"""),"Rati")</f>
        <v>Rati</v>
      </c>
      <c r="D141" s="53">
        <f>IFERROR(__xludf.DUMMYFUNCTION("""COMPUTED_VALUE"""),7.349447787E9)</f>
        <v>7349447787</v>
      </c>
    </row>
    <row r="142">
      <c r="A142" s="15">
        <f>IFERROR(__xludf.DUMMYFUNCTION("""COMPUTED_VALUE"""),50066.0)</f>
        <v>50066</v>
      </c>
      <c r="B142" s="15" t="str">
        <f>IFERROR(__xludf.DUMMYFUNCTION("""COMPUTED_VALUE"""),"BSB Life Academy ")</f>
        <v>BSB Life Academy </v>
      </c>
      <c r="C142" s="15" t="str">
        <f>IFERROR(__xludf.DUMMYFUNCTION("""COMPUTED_VALUE"""),"Harnoor Saini")</f>
        <v>Harnoor Saini</v>
      </c>
      <c r="D142" s="53">
        <f>IFERROR(__xludf.DUMMYFUNCTION("""COMPUTED_VALUE"""),8.968837789E9)</f>
        <v>8968837789</v>
      </c>
    </row>
    <row r="143">
      <c r="A143" s="15">
        <f>IFERROR(__xludf.DUMMYFUNCTION("""COMPUTED_VALUE"""),50069.0)</f>
        <v>50069</v>
      </c>
      <c r="B143" s="15" t="str">
        <f>IFERROR(__xludf.DUMMYFUNCTION("""COMPUTED_VALUE"""),"Yoga with Ratika | Roooted")</f>
        <v>Yoga with Ratika | Roooted</v>
      </c>
      <c r="C143" s="15" t="str">
        <f>IFERROR(__xludf.DUMMYFUNCTION("""COMPUTED_VALUE"""),"Mayank Tomar")</f>
        <v>Mayank Tomar</v>
      </c>
      <c r="D143" s="53">
        <f>IFERROR(__xludf.DUMMYFUNCTION("""COMPUTED_VALUE"""),8.866669652E9)</f>
        <v>8866669652</v>
      </c>
    </row>
    <row r="144">
      <c r="A144" s="15">
        <f>IFERROR(__xludf.DUMMYFUNCTION("""COMPUTED_VALUE"""),50069.0)</f>
        <v>50069</v>
      </c>
      <c r="B144" s="15" t="str">
        <f>IFERROR(__xludf.DUMMYFUNCTION("""COMPUTED_VALUE"""),"Yoga with Ratika | Roooted")</f>
        <v>Yoga with Ratika | Roooted</v>
      </c>
      <c r="C144" s="15" t="str">
        <f>IFERROR(__xludf.DUMMYFUNCTION("""COMPUTED_VALUE"""),"Manas garg")</f>
        <v>Manas garg</v>
      </c>
      <c r="D144" s="53">
        <f>IFERROR(__xludf.DUMMYFUNCTION("""COMPUTED_VALUE"""),7.56622022E9)</f>
        <v>7566220220</v>
      </c>
    </row>
    <row r="145">
      <c r="A145" s="15">
        <f>IFERROR(__xludf.DUMMYFUNCTION("""COMPUTED_VALUE"""),50069.0)</f>
        <v>50069</v>
      </c>
      <c r="B145" s="15" t="str">
        <f>IFERROR(__xludf.DUMMYFUNCTION("""COMPUTED_VALUE"""),"Yoga with Ratika | Roooted")</f>
        <v>Yoga with Ratika | Roooted</v>
      </c>
      <c r="C145" s="15" t="str">
        <f>IFERROR(__xludf.DUMMYFUNCTION("""COMPUTED_VALUE"""),"Harnoor saini")</f>
        <v>Harnoor saini</v>
      </c>
      <c r="D145" s="53">
        <f>IFERROR(__xludf.DUMMYFUNCTION("""COMPUTED_VALUE"""),8.968837789E9)</f>
        <v>8968837789</v>
      </c>
    </row>
    <row r="146">
      <c r="A146" s="15">
        <f>IFERROR(__xludf.DUMMYFUNCTION("""COMPUTED_VALUE"""),50069.0)</f>
        <v>50069</v>
      </c>
      <c r="B146" s="15" t="str">
        <f>IFERROR(__xludf.DUMMYFUNCTION("""COMPUTED_VALUE"""),"Yoga with Ratika | Roooted")</f>
        <v>Yoga with Ratika | Roooted</v>
      </c>
      <c r="C146" s="15" t="str">
        <f>IFERROR(__xludf.DUMMYFUNCTION("""COMPUTED_VALUE"""),"Sparsh Agrawal")</f>
        <v>Sparsh Agrawal</v>
      </c>
      <c r="D146" s="53">
        <f>IFERROR(__xludf.DUMMYFUNCTION("""COMPUTED_VALUE"""),7.389787872E9)</f>
        <v>7389787872</v>
      </c>
    </row>
    <row r="147">
      <c r="A147" s="15">
        <f>IFERROR(__xludf.DUMMYFUNCTION("""COMPUTED_VALUE"""),50069.0)</f>
        <v>50069</v>
      </c>
      <c r="B147" s="15" t="str">
        <f>IFERROR(__xludf.DUMMYFUNCTION("""COMPUTED_VALUE"""),"Yoga with Ratika | Roooted")</f>
        <v>Yoga with Ratika | Roooted</v>
      </c>
      <c r="C147" s="15" t="str">
        <f>IFERROR(__xludf.DUMMYFUNCTION("""COMPUTED_VALUE"""),"Ritu Kataria")</f>
        <v>Ritu Kataria</v>
      </c>
      <c r="D147" s="53">
        <f>IFERROR(__xludf.DUMMYFUNCTION("""COMPUTED_VALUE"""),9.179300104E9)</f>
        <v>9179300104</v>
      </c>
    </row>
    <row r="148">
      <c r="A148" s="15">
        <f>IFERROR(__xludf.DUMMYFUNCTION("""COMPUTED_VALUE"""),50073.0)</f>
        <v>50073</v>
      </c>
      <c r="B148" s="15" t="str">
        <f>IFERROR(__xludf.DUMMYFUNCTION("""COMPUTED_VALUE"""),"Well Being")</f>
        <v>Well Being</v>
      </c>
      <c r="C148" s="15" t="str">
        <f>IFERROR(__xludf.DUMMYFUNCTION("""COMPUTED_VALUE"""),"Akshita Lopa")</f>
        <v>Akshita Lopa</v>
      </c>
      <c r="D148" s="53">
        <f>IFERROR(__xludf.DUMMYFUNCTION("""COMPUTED_VALUE"""),7.838168936E9)</f>
        <v>7838168936</v>
      </c>
    </row>
    <row r="149">
      <c r="A149" s="15">
        <f>IFERROR(__xludf.DUMMYFUNCTION("""COMPUTED_VALUE"""),50073.0)</f>
        <v>50073</v>
      </c>
      <c r="B149" s="15" t="str">
        <f>IFERROR(__xludf.DUMMYFUNCTION("""COMPUTED_VALUE"""),"Well Being")</f>
        <v>Well Being</v>
      </c>
      <c r="C149" s="15" t="str">
        <f>IFERROR(__xludf.DUMMYFUNCTION("""COMPUTED_VALUE"""),"Dhatri Mehta")</f>
        <v>Dhatri Mehta</v>
      </c>
      <c r="D149" s="53">
        <f>IFERROR(__xludf.DUMMYFUNCTION("""COMPUTED_VALUE"""),7.567581069E9)</f>
        <v>7567581069</v>
      </c>
    </row>
    <row r="150">
      <c r="A150" s="15">
        <f>IFERROR(__xludf.DUMMYFUNCTION("""COMPUTED_VALUE"""),50073.0)</f>
        <v>50073</v>
      </c>
      <c r="B150" s="15" t="str">
        <f>IFERROR(__xludf.DUMMYFUNCTION("""COMPUTED_VALUE"""),"Well Being")</f>
        <v>Well Being</v>
      </c>
      <c r="C150" s="15" t="str">
        <f>IFERROR(__xludf.DUMMYFUNCTION("""COMPUTED_VALUE"""),"Divya Pathak")</f>
        <v>Divya Pathak</v>
      </c>
      <c r="D150" s="53">
        <f>IFERROR(__xludf.DUMMYFUNCTION("""COMPUTED_VALUE"""),9.555685211E9)</f>
        <v>9555685211</v>
      </c>
    </row>
    <row r="151">
      <c r="A151" s="15">
        <f>IFERROR(__xludf.DUMMYFUNCTION("""COMPUTED_VALUE"""),50073.0)</f>
        <v>50073</v>
      </c>
      <c r="B151" s="15" t="str">
        <f>IFERROR(__xludf.DUMMYFUNCTION("""COMPUTED_VALUE"""),"Well Being")</f>
        <v>Well Being</v>
      </c>
      <c r="C151" s="15" t="str">
        <f>IFERROR(__xludf.DUMMYFUNCTION("""COMPUTED_VALUE"""),"Disha Gupta")</f>
        <v>Disha Gupta</v>
      </c>
      <c r="D151" s="53">
        <f>IFERROR(__xludf.DUMMYFUNCTION("""COMPUTED_VALUE"""),9.880709892E9)</f>
        <v>9880709892</v>
      </c>
    </row>
    <row r="152">
      <c r="A152" s="15">
        <f>IFERROR(__xludf.DUMMYFUNCTION("""COMPUTED_VALUE"""),50073.0)</f>
        <v>50073</v>
      </c>
      <c r="B152" s="15" t="str">
        <f>IFERROR(__xludf.DUMMYFUNCTION("""COMPUTED_VALUE"""),"Well Being")</f>
        <v>Well Being</v>
      </c>
      <c r="C152" s="15" t="str">
        <f>IFERROR(__xludf.DUMMYFUNCTION("""COMPUTED_VALUE"""),"Akash Guruprasanna")</f>
        <v>Akash Guruprasanna</v>
      </c>
      <c r="D152" s="53">
        <f>IFERROR(__xludf.DUMMYFUNCTION("""COMPUTED_VALUE"""),9.900969993E9)</f>
        <v>9900969993</v>
      </c>
    </row>
    <row r="153">
      <c r="A153" s="15">
        <f>IFERROR(__xludf.DUMMYFUNCTION("""COMPUTED_VALUE"""),50076.0)</f>
        <v>50076</v>
      </c>
      <c r="B153" s="15" t="str">
        <f>IFERROR(__xludf.DUMMYFUNCTION("""COMPUTED_VALUE"""),"Spokken")</f>
        <v>Spokken</v>
      </c>
      <c r="C153" s="15" t="str">
        <f>IFERROR(__xludf.DUMMYFUNCTION("""COMPUTED_VALUE"""),"Trishna Sagar")</f>
        <v>Trishna Sagar</v>
      </c>
      <c r="D153" s="53">
        <f>IFERROR(__xludf.DUMMYFUNCTION("""COMPUTED_VALUE"""),7.903090754E9)</f>
        <v>7903090754</v>
      </c>
    </row>
    <row r="154">
      <c r="A154" s="15">
        <f>IFERROR(__xludf.DUMMYFUNCTION("""COMPUTED_VALUE"""),50076.0)</f>
        <v>50076</v>
      </c>
      <c r="B154" s="15" t="str">
        <f>IFERROR(__xludf.DUMMYFUNCTION("""COMPUTED_VALUE"""),"Spokken")</f>
        <v>Spokken</v>
      </c>
      <c r="C154" s="15" t="str">
        <f>IFERROR(__xludf.DUMMYFUNCTION("""COMPUTED_VALUE"""),"Ekta Singh")</f>
        <v>Ekta Singh</v>
      </c>
      <c r="D154" s="53">
        <f>IFERROR(__xludf.DUMMYFUNCTION("""COMPUTED_VALUE"""),7.022733053E9)</f>
        <v>7022733053</v>
      </c>
    </row>
    <row r="155">
      <c r="A155" s="15">
        <f>IFERROR(__xludf.DUMMYFUNCTION("""COMPUTED_VALUE"""),50078.0)</f>
        <v>50078</v>
      </c>
      <c r="B155" s="15" t="str">
        <f>IFERROR(__xludf.DUMMYFUNCTION("""COMPUTED_VALUE"""),"Magical Parenting")</f>
        <v>Magical Parenting</v>
      </c>
      <c r="C155" s="15" t="str">
        <f>IFERROR(__xludf.DUMMYFUNCTION("""COMPUTED_VALUE"""),"Akshita Lopa")</f>
        <v>Akshita Lopa</v>
      </c>
      <c r="D155" s="53">
        <f>IFERROR(__xludf.DUMMYFUNCTION("""COMPUTED_VALUE"""),7.838168936E9)</f>
        <v>7838168936</v>
      </c>
    </row>
    <row r="156">
      <c r="A156" s="15">
        <f>IFERROR(__xludf.DUMMYFUNCTION("""COMPUTED_VALUE"""),50078.0)</f>
        <v>50078</v>
      </c>
      <c r="B156" s="15" t="str">
        <f>IFERROR(__xludf.DUMMYFUNCTION("""COMPUTED_VALUE"""),"Magical Parenting")</f>
        <v>Magical Parenting</v>
      </c>
      <c r="C156" s="15" t="str">
        <f>IFERROR(__xludf.DUMMYFUNCTION("""COMPUTED_VALUE"""),"Farhana Azmi")</f>
        <v>Farhana Azmi</v>
      </c>
      <c r="D156" s="53">
        <f>IFERROR(__xludf.DUMMYFUNCTION("""COMPUTED_VALUE"""),8.919669532E9)</f>
        <v>8919669532</v>
      </c>
    </row>
    <row r="157">
      <c r="A157" s="15">
        <f>IFERROR(__xludf.DUMMYFUNCTION("""COMPUTED_VALUE"""),50078.0)</f>
        <v>50078</v>
      </c>
      <c r="B157" s="15" t="str">
        <f>IFERROR(__xludf.DUMMYFUNCTION("""COMPUTED_VALUE"""),"Magical Parenting")</f>
        <v>Magical Parenting</v>
      </c>
      <c r="C157" s="15" t="str">
        <f>IFERROR(__xludf.DUMMYFUNCTION("""COMPUTED_VALUE"""),"Syeda Afshan Afreen")</f>
        <v>Syeda Afshan Afreen</v>
      </c>
      <c r="D157" s="53">
        <f>IFERROR(__xludf.DUMMYFUNCTION("""COMPUTED_VALUE"""),7.287979978E9)</f>
        <v>7287979978</v>
      </c>
    </row>
    <row r="158">
      <c r="A158" s="15">
        <f>IFERROR(__xludf.DUMMYFUNCTION("""COMPUTED_VALUE"""),50078.0)</f>
        <v>50078</v>
      </c>
      <c r="B158" s="15" t="str">
        <f>IFERROR(__xludf.DUMMYFUNCTION("""COMPUTED_VALUE"""),"Magical Parenting")</f>
        <v>Magical Parenting</v>
      </c>
      <c r="C158" s="15" t="str">
        <f>IFERROR(__xludf.DUMMYFUNCTION("""COMPUTED_VALUE"""),"Rufia Sarosh")</f>
        <v>Rufia Sarosh</v>
      </c>
      <c r="D158" s="53">
        <f>IFERROR(__xludf.DUMMYFUNCTION("""COMPUTED_VALUE"""),8.897292841E9)</f>
        <v>8897292841</v>
      </c>
    </row>
    <row r="159">
      <c r="A159" s="15">
        <f>IFERROR(__xludf.DUMMYFUNCTION("""COMPUTED_VALUE"""),50078.0)</f>
        <v>50078</v>
      </c>
      <c r="B159" s="15" t="str">
        <f>IFERROR(__xludf.DUMMYFUNCTION("""COMPUTED_VALUE"""),"Magical Parenting")</f>
        <v>Magical Parenting</v>
      </c>
      <c r="C159" s="15" t="str">
        <f>IFERROR(__xludf.DUMMYFUNCTION("""COMPUTED_VALUE"""),"Mohd. Imran")</f>
        <v>Mohd. Imran</v>
      </c>
      <c r="D159" s="53">
        <f>IFERROR(__xludf.DUMMYFUNCTION("""COMPUTED_VALUE"""),7.702467669E9)</f>
        <v>7702467669</v>
      </c>
    </row>
    <row r="160">
      <c r="A160" s="15">
        <f>IFERROR(__xludf.DUMMYFUNCTION("""COMPUTED_VALUE"""),50078.0)</f>
        <v>50078</v>
      </c>
      <c r="B160" s="15" t="str">
        <f>IFERROR(__xludf.DUMMYFUNCTION("""COMPUTED_VALUE"""),"Magical Parenting")</f>
        <v>Magical Parenting</v>
      </c>
      <c r="C160" s="15" t="str">
        <f>IFERROR(__xludf.DUMMYFUNCTION("""COMPUTED_VALUE"""),"Shilpa Rajput")</f>
        <v>Shilpa Rajput</v>
      </c>
      <c r="D160" s="53">
        <f>IFERROR(__xludf.DUMMYFUNCTION("""COMPUTED_VALUE"""),9.818763077E9)</f>
        <v>9818763077</v>
      </c>
    </row>
    <row r="161">
      <c r="A161" s="15">
        <f>IFERROR(__xludf.DUMMYFUNCTION("""COMPUTED_VALUE"""),50082.0)</f>
        <v>50082</v>
      </c>
      <c r="B161" s="15" t="str">
        <f>IFERROR(__xludf.DUMMYFUNCTION("""COMPUTED_VALUE"""),"Graphology")</f>
        <v>Graphology</v>
      </c>
      <c r="C161" s="15" t="str">
        <f>IFERROR(__xludf.DUMMYFUNCTION("""COMPUTED_VALUE"""),"Mayank Tomar")</f>
        <v>Mayank Tomar</v>
      </c>
      <c r="D161" s="53">
        <f>IFERROR(__xludf.DUMMYFUNCTION("""COMPUTED_VALUE"""),8.866669652E9)</f>
        <v>8866669652</v>
      </c>
    </row>
    <row r="162">
      <c r="A162" s="15">
        <f>IFERROR(__xludf.DUMMYFUNCTION("""COMPUTED_VALUE"""),50082.0)</f>
        <v>50082</v>
      </c>
      <c r="B162" s="15" t="str">
        <f>IFERROR(__xludf.DUMMYFUNCTION("""COMPUTED_VALUE"""),"Graphology")</f>
        <v>Graphology</v>
      </c>
      <c r="C162" s="15" t="str">
        <f>IFERROR(__xludf.DUMMYFUNCTION("""COMPUTED_VALUE"""),"Manas garg")</f>
        <v>Manas garg</v>
      </c>
      <c r="D162" s="53">
        <f>IFERROR(__xludf.DUMMYFUNCTION("""COMPUTED_VALUE"""),7.56622022E9)</f>
        <v>7566220220</v>
      </c>
    </row>
    <row r="163">
      <c r="A163" s="15">
        <f>IFERROR(__xludf.DUMMYFUNCTION("""COMPUTED_VALUE"""),50082.0)</f>
        <v>50082</v>
      </c>
      <c r="B163" s="15" t="str">
        <f>IFERROR(__xludf.DUMMYFUNCTION("""COMPUTED_VALUE"""),"Graphology")</f>
        <v>Graphology</v>
      </c>
      <c r="C163" s="15" t="str">
        <f>IFERROR(__xludf.DUMMYFUNCTION("""COMPUTED_VALUE"""),"Harnoor saini")</f>
        <v>Harnoor saini</v>
      </c>
      <c r="D163" s="53">
        <f>IFERROR(__xludf.DUMMYFUNCTION("""COMPUTED_VALUE"""),8.968837789E9)</f>
        <v>8968837789</v>
      </c>
    </row>
    <row r="164">
      <c r="A164" s="15">
        <f>IFERROR(__xludf.DUMMYFUNCTION("""COMPUTED_VALUE"""),50082.0)</f>
        <v>50082</v>
      </c>
      <c r="B164" s="15" t="str">
        <f>IFERROR(__xludf.DUMMYFUNCTION("""COMPUTED_VALUE"""),"Graphology")</f>
        <v>Graphology</v>
      </c>
      <c r="C164" s="15" t="str">
        <f>IFERROR(__xludf.DUMMYFUNCTION("""COMPUTED_VALUE"""),"Swapnil singh")</f>
        <v>Swapnil singh</v>
      </c>
      <c r="D164" s="53">
        <f>IFERROR(__xludf.DUMMYFUNCTION("""COMPUTED_VALUE"""),7.905879866E9)</f>
        <v>7905879866</v>
      </c>
    </row>
    <row r="165">
      <c r="A165" s="15">
        <f>IFERROR(__xludf.DUMMYFUNCTION("""COMPUTED_VALUE"""),50082.0)</f>
        <v>50082</v>
      </c>
      <c r="B165" s="15" t="str">
        <f>IFERROR(__xludf.DUMMYFUNCTION("""COMPUTED_VALUE"""),"Graphology")</f>
        <v>Graphology</v>
      </c>
      <c r="C165" s="15" t="str">
        <f>IFERROR(__xludf.DUMMYFUNCTION("""COMPUTED_VALUE"""),"Muskan bhaiya")</f>
        <v>Muskan bhaiya</v>
      </c>
      <c r="D165" s="53">
        <f>IFERROR(__xludf.DUMMYFUNCTION("""COMPUTED_VALUE"""),8.770133567E9)</f>
        <v>8770133567</v>
      </c>
    </row>
    <row r="166">
      <c r="A166" s="15">
        <f>IFERROR(__xludf.DUMMYFUNCTION("""COMPUTED_VALUE"""),50083.0)</f>
        <v>50083</v>
      </c>
      <c r="B166" s="15" t="str">
        <f>IFERROR(__xludf.DUMMYFUNCTION("""COMPUTED_VALUE"""),"The Alt Living")</f>
        <v>The Alt Living</v>
      </c>
      <c r="C166" s="15" t="str">
        <f>IFERROR(__xludf.DUMMYFUNCTION("""COMPUTED_VALUE"""),"Mayank Tomar")</f>
        <v>Mayank Tomar</v>
      </c>
      <c r="D166" s="53">
        <f>IFERROR(__xludf.DUMMYFUNCTION("""COMPUTED_VALUE"""),8.866669652E9)</f>
        <v>8866669652</v>
      </c>
    </row>
    <row r="167">
      <c r="A167" s="15">
        <f>IFERROR(__xludf.DUMMYFUNCTION("""COMPUTED_VALUE"""),50083.0)</f>
        <v>50083</v>
      </c>
      <c r="B167" s="15" t="str">
        <f>IFERROR(__xludf.DUMMYFUNCTION("""COMPUTED_VALUE"""),"The Alt Living")</f>
        <v>The Alt Living</v>
      </c>
      <c r="C167" s="15" t="str">
        <f>IFERROR(__xludf.DUMMYFUNCTION("""COMPUTED_VALUE"""),"Manas garg")</f>
        <v>Manas garg</v>
      </c>
      <c r="D167" s="53">
        <f>IFERROR(__xludf.DUMMYFUNCTION("""COMPUTED_VALUE"""),7.56622022E9)</f>
        <v>7566220220</v>
      </c>
    </row>
    <row r="168">
      <c r="A168" s="15">
        <f>IFERROR(__xludf.DUMMYFUNCTION("""COMPUTED_VALUE"""),50083.0)</f>
        <v>50083</v>
      </c>
      <c r="B168" s="15" t="str">
        <f>IFERROR(__xludf.DUMMYFUNCTION("""COMPUTED_VALUE"""),"The Alt Living")</f>
        <v>The Alt Living</v>
      </c>
      <c r="C168" s="15" t="str">
        <f>IFERROR(__xludf.DUMMYFUNCTION("""COMPUTED_VALUE"""),"Harnoor saini")</f>
        <v>Harnoor saini</v>
      </c>
      <c r="D168" s="53">
        <f>IFERROR(__xludf.DUMMYFUNCTION("""COMPUTED_VALUE"""),8.968837789E9)</f>
        <v>8968837789</v>
      </c>
    </row>
    <row r="169">
      <c r="A169" s="15">
        <f>IFERROR(__xludf.DUMMYFUNCTION("""COMPUTED_VALUE"""),50083.0)</f>
        <v>50083</v>
      </c>
      <c r="B169" s="15" t="str">
        <f>IFERROR(__xludf.DUMMYFUNCTION("""COMPUTED_VALUE"""),"The Alt Living")</f>
        <v>The Alt Living</v>
      </c>
      <c r="C169" s="15" t="str">
        <f>IFERROR(__xludf.DUMMYFUNCTION("""COMPUTED_VALUE"""),"Ritu Kataria")</f>
        <v>Ritu Kataria</v>
      </c>
      <c r="D169" s="53">
        <f>IFERROR(__xludf.DUMMYFUNCTION("""COMPUTED_VALUE"""),9.179300104E9)</f>
        <v>9179300104</v>
      </c>
    </row>
    <row r="170">
      <c r="A170" s="15">
        <f>IFERROR(__xludf.DUMMYFUNCTION("""COMPUTED_VALUE"""),50092.0)</f>
        <v>50092</v>
      </c>
      <c r="B170" s="15" t="str">
        <f>IFERROR(__xludf.DUMMYFUNCTION("""COMPUTED_VALUE"""),"The FeWh Tribe")</f>
        <v>The FeWh Tribe</v>
      </c>
      <c r="C170" s="15" t="str">
        <f>IFERROR(__xludf.DUMMYFUNCTION("""COMPUTED_VALUE"""),"Akshita Lopa")</f>
        <v>Akshita Lopa</v>
      </c>
      <c r="D170" s="53">
        <f>IFERROR(__xludf.DUMMYFUNCTION("""COMPUTED_VALUE"""),7.838168936E9)</f>
        <v>7838168936</v>
      </c>
    </row>
    <row r="171">
      <c r="A171" s="15">
        <f>IFERROR(__xludf.DUMMYFUNCTION("""COMPUTED_VALUE"""),50092.0)</f>
        <v>50092</v>
      </c>
      <c r="B171" s="15" t="str">
        <f>IFERROR(__xludf.DUMMYFUNCTION("""COMPUTED_VALUE"""),"The FeWh Tribe")</f>
        <v>The FeWh Tribe</v>
      </c>
      <c r="C171" s="15" t="str">
        <f>IFERROR(__xludf.DUMMYFUNCTION("""COMPUTED_VALUE"""),"Shubhi")</f>
        <v>Shubhi</v>
      </c>
      <c r="D171" s="53">
        <f>IFERROR(__xludf.DUMMYFUNCTION("""COMPUTED_VALUE"""),9.663917427E9)</f>
        <v>9663917427</v>
      </c>
    </row>
    <row r="172">
      <c r="A172" s="15">
        <f>IFERROR(__xludf.DUMMYFUNCTION("""COMPUTED_VALUE"""),50092.0)</f>
        <v>50092</v>
      </c>
      <c r="B172" s="15" t="str">
        <f>IFERROR(__xludf.DUMMYFUNCTION("""COMPUTED_VALUE"""),"The FeWh Tribe")</f>
        <v>The FeWh Tribe</v>
      </c>
      <c r="C172" s="15" t="str">
        <f>IFERROR(__xludf.DUMMYFUNCTION("""COMPUTED_VALUE"""),"Devika Barua")</f>
        <v>Devika Barua</v>
      </c>
      <c r="D172" s="53">
        <f>IFERROR(__xludf.DUMMYFUNCTION("""COMPUTED_VALUE"""),7.842772646E9)</f>
        <v>7842772646</v>
      </c>
    </row>
    <row r="173">
      <c r="A173" s="15">
        <f>IFERROR(__xludf.DUMMYFUNCTION("""COMPUTED_VALUE"""),50092.0)</f>
        <v>50092</v>
      </c>
      <c r="B173" s="15" t="str">
        <f>IFERROR(__xludf.DUMMYFUNCTION("""COMPUTED_VALUE"""),"The FeWh Tribe")</f>
        <v>The FeWh Tribe</v>
      </c>
      <c r="C173" s="15" t="str">
        <f>IFERROR(__xludf.DUMMYFUNCTION("""COMPUTED_VALUE"""),"Nidhi Choudhary")</f>
        <v>Nidhi Choudhary</v>
      </c>
      <c r="D173" s="53">
        <f>IFERROR(__xludf.DUMMYFUNCTION("""COMPUTED_VALUE"""),9.564811852E9)</f>
        <v>9564811852</v>
      </c>
    </row>
    <row r="174">
      <c r="A174" s="15">
        <f>IFERROR(__xludf.DUMMYFUNCTION("""COMPUTED_VALUE"""),50092.0)</f>
        <v>50092</v>
      </c>
      <c r="B174" s="15" t="str">
        <f>IFERROR(__xludf.DUMMYFUNCTION("""COMPUTED_VALUE"""),"The FeWh Tribe")</f>
        <v>The FeWh Tribe</v>
      </c>
      <c r="C174" s="15" t="str">
        <f>IFERROR(__xludf.DUMMYFUNCTION("""COMPUTED_VALUE"""),"Siddhesh Rane")</f>
        <v>Siddhesh Rane</v>
      </c>
      <c r="D174" s="53">
        <f>IFERROR(__xludf.DUMMYFUNCTION("""COMPUTED_VALUE"""),9.844218261E9)</f>
        <v>9844218261</v>
      </c>
    </row>
    <row r="175">
      <c r="A175" s="15">
        <f>IFERROR(__xludf.DUMMYFUNCTION("""COMPUTED_VALUE"""),50092.0)</f>
        <v>50092</v>
      </c>
      <c r="B175" s="15" t="str">
        <f>IFERROR(__xludf.DUMMYFUNCTION("""COMPUTED_VALUE"""),"The FeWh Tribe")</f>
        <v>The FeWh Tribe</v>
      </c>
      <c r="C175" s="15" t="str">
        <f>IFERROR(__xludf.DUMMYFUNCTION("""COMPUTED_VALUE"""),"Ekta manchanda")</f>
        <v>Ekta manchanda</v>
      </c>
      <c r="D175" s="53">
        <f>IFERROR(__xludf.DUMMYFUNCTION("""COMPUTED_VALUE"""),8.100448763E9)</f>
        <v>8100448763</v>
      </c>
    </row>
    <row r="176">
      <c r="A176" s="15">
        <f>IFERROR(__xludf.DUMMYFUNCTION("""COMPUTED_VALUE"""),50092.0)</f>
        <v>50092</v>
      </c>
      <c r="B176" s="15" t="str">
        <f>IFERROR(__xludf.DUMMYFUNCTION("""COMPUTED_VALUE"""),"The FeWh Tribe")</f>
        <v>The FeWh Tribe</v>
      </c>
      <c r="C176" s="15" t="str">
        <f>IFERROR(__xludf.DUMMYFUNCTION("""COMPUTED_VALUE"""),"Abhishek Nigam")</f>
        <v>Abhishek Nigam</v>
      </c>
      <c r="D176" s="53">
        <f>IFERROR(__xludf.DUMMYFUNCTION("""COMPUTED_VALUE"""),8.26855943E9)</f>
        <v>8268559430</v>
      </c>
    </row>
    <row r="177">
      <c r="A177" s="15">
        <f>IFERROR(__xludf.DUMMYFUNCTION("""COMPUTED_VALUE"""),50092.0)</f>
        <v>50092</v>
      </c>
      <c r="B177" s="15" t="str">
        <f>IFERROR(__xludf.DUMMYFUNCTION("""COMPUTED_VALUE"""),"The FeWh Tribe")</f>
        <v>The FeWh Tribe</v>
      </c>
      <c r="C177" s="15" t="str">
        <f>IFERROR(__xludf.DUMMYFUNCTION("""COMPUTED_VALUE"""),"Megha Agarwal")</f>
        <v>Megha Agarwal</v>
      </c>
      <c r="D177" s="53">
        <f>IFERROR(__xludf.DUMMYFUNCTION("""COMPUTED_VALUE"""),8.918272897E9)</f>
        <v>8918272897</v>
      </c>
    </row>
    <row r="178">
      <c r="A178" s="15">
        <f>IFERROR(__xludf.DUMMYFUNCTION("""COMPUTED_VALUE"""),50092.0)</f>
        <v>50092</v>
      </c>
      <c r="B178" s="15" t="str">
        <f>IFERROR(__xludf.DUMMYFUNCTION("""COMPUTED_VALUE"""),"The FeWh Tribe")</f>
        <v>The FeWh Tribe</v>
      </c>
      <c r="C178" s="15" t="str">
        <f>IFERROR(__xludf.DUMMYFUNCTION("""COMPUTED_VALUE"""),"Kumar bhattacharjee")</f>
        <v>Kumar bhattacharjee</v>
      </c>
      <c r="D178" s="53">
        <f>IFERROR(__xludf.DUMMYFUNCTION("""COMPUTED_VALUE"""),7.362917633E9)</f>
        <v>7362917633</v>
      </c>
    </row>
    <row r="179">
      <c r="A179" s="15">
        <f>IFERROR(__xludf.DUMMYFUNCTION("""COMPUTED_VALUE"""),50094.0)</f>
        <v>50094</v>
      </c>
      <c r="B179" s="15" t="str">
        <f>IFERROR(__xludf.DUMMYFUNCTION("""COMPUTED_VALUE"""),"Let's Speak English")</f>
        <v>Let's Speak English</v>
      </c>
      <c r="C179" s="15" t="str">
        <f>IFERROR(__xludf.DUMMYFUNCTION("""COMPUTED_VALUE"""),"Akshita Lopa")</f>
        <v>Akshita Lopa</v>
      </c>
      <c r="D179" s="53">
        <f>IFERROR(__xludf.DUMMYFUNCTION("""COMPUTED_VALUE"""),7.838168936E9)</f>
        <v>7838168936</v>
      </c>
    </row>
    <row r="180">
      <c r="A180" s="15">
        <f>IFERROR(__xludf.DUMMYFUNCTION("""COMPUTED_VALUE"""),50094.0)</f>
        <v>50094</v>
      </c>
      <c r="B180" s="15" t="str">
        <f>IFERROR(__xludf.DUMMYFUNCTION("""COMPUTED_VALUE"""),"Let's Speak English")</f>
        <v>Let's Speak English</v>
      </c>
      <c r="C180" s="15" t="str">
        <f>IFERROR(__xludf.DUMMYFUNCTION("""COMPUTED_VALUE"""),"Aditya Mehrunkar")</f>
        <v>Aditya Mehrunkar</v>
      </c>
      <c r="D180" s="53">
        <f>IFERROR(__xludf.DUMMYFUNCTION("""COMPUTED_VALUE"""),8.319727603E9)</f>
        <v>8319727603</v>
      </c>
    </row>
    <row r="181">
      <c r="A181" s="15">
        <f>IFERROR(__xludf.DUMMYFUNCTION("""COMPUTED_VALUE"""),50094.0)</f>
        <v>50094</v>
      </c>
      <c r="B181" s="15" t="str">
        <f>IFERROR(__xludf.DUMMYFUNCTION("""COMPUTED_VALUE"""),"Let's Speak English")</f>
        <v>Let's Speak English</v>
      </c>
      <c r="C181" s="15" t="str">
        <f>IFERROR(__xludf.DUMMYFUNCTION("""COMPUTED_VALUE"""),"Mohit Mehrunkar")</f>
        <v>Mohit Mehrunkar</v>
      </c>
      <c r="D181" s="53">
        <f>IFERROR(__xludf.DUMMYFUNCTION("""COMPUTED_VALUE"""),8.720017084E9)</f>
        <v>8720017084</v>
      </c>
    </row>
    <row r="182">
      <c r="A182" s="15">
        <f>IFERROR(__xludf.DUMMYFUNCTION("""COMPUTED_VALUE"""),50104.0)</f>
        <v>50104</v>
      </c>
      <c r="B182" s="15" t="str">
        <f>IFERROR(__xludf.DUMMYFUNCTION("""COMPUTED_VALUE"""),"Energy Healing")</f>
        <v>Energy Healing</v>
      </c>
      <c r="C182" s="15" t="str">
        <f>IFERROR(__xludf.DUMMYFUNCTION("""COMPUTED_VALUE"""),"Trishna Sagar")</f>
        <v>Trishna Sagar</v>
      </c>
      <c r="D182" s="53">
        <f>IFERROR(__xludf.DUMMYFUNCTION("""COMPUTED_VALUE"""),7.903090754E9)</f>
        <v>7903090754</v>
      </c>
    </row>
    <row r="183">
      <c r="A183" s="15">
        <f>IFERROR(__xludf.DUMMYFUNCTION("""COMPUTED_VALUE"""),50104.0)</f>
        <v>50104</v>
      </c>
      <c r="B183" s="15" t="str">
        <f>IFERROR(__xludf.DUMMYFUNCTION("""COMPUTED_VALUE"""),"Energy Healing")</f>
        <v>Energy Healing</v>
      </c>
      <c r="C183" s="15" t="str">
        <f>IFERROR(__xludf.DUMMYFUNCTION("""COMPUTED_VALUE"""),"Dr. Bharti Dua")</f>
        <v>Dr. Bharti Dua</v>
      </c>
      <c r="D183" s="53">
        <f>IFERROR(__xludf.DUMMYFUNCTION("""COMPUTED_VALUE"""),9.958855773E9)</f>
        <v>9958855773</v>
      </c>
    </row>
    <row r="184">
      <c r="A184" s="15">
        <f>IFERROR(__xludf.DUMMYFUNCTION("""COMPUTED_VALUE"""),50104.0)</f>
        <v>50104</v>
      </c>
      <c r="B184" s="15" t="str">
        <f>IFERROR(__xludf.DUMMYFUNCTION("""COMPUTED_VALUE"""),"Energy Healing")</f>
        <v>Energy Healing</v>
      </c>
      <c r="C184" s="15" t="str">
        <f>IFERROR(__xludf.DUMMYFUNCTION("""COMPUTED_VALUE"""),"Sagar Dua")</f>
        <v>Sagar Dua</v>
      </c>
      <c r="D184" s="53">
        <f>IFERROR(__xludf.DUMMYFUNCTION("""COMPUTED_VALUE"""),9.899868752E9)</f>
        <v>9899868752</v>
      </c>
    </row>
    <row r="185">
      <c r="A185" s="15">
        <f>IFERROR(__xludf.DUMMYFUNCTION("""COMPUTED_VALUE"""),50104.0)</f>
        <v>50104</v>
      </c>
      <c r="B185" s="15" t="str">
        <f>IFERROR(__xludf.DUMMYFUNCTION("""COMPUTED_VALUE"""),"Energy Healing")</f>
        <v>Energy Healing</v>
      </c>
      <c r="C185" s="15" t="str">
        <f>IFERROR(__xludf.DUMMYFUNCTION("""COMPUTED_VALUE"""),"Thamizhilakkiya D")</f>
        <v>Thamizhilakkiya D</v>
      </c>
      <c r="D185" s="53">
        <f>IFERROR(__xludf.DUMMYFUNCTION("""COMPUTED_VALUE"""),6.384200772E9)</f>
        <v>6384200772</v>
      </c>
    </row>
    <row r="186">
      <c r="A186" s="15">
        <f>IFERROR(__xludf.DUMMYFUNCTION("""COMPUTED_VALUE"""),50104.0)</f>
        <v>50104</v>
      </c>
      <c r="B186" s="15" t="str">
        <f>IFERROR(__xludf.DUMMYFUNCTION("""COMPUTED_VALUE"""),"Energy Healing")</f>
        <v>Energy Healing</v>
      </c>
      <c r="C186" s="15" t="str">
        <f>IFERROR(__xludf.DUMMYFUNCTION("""COMPUTED_VALUE"""),"Shipra Kukreja")</f>
        <v>Shipra Kukreja</v>
      </c>
      <c r="D186" s="53">
        <f>IFERROR(__xludf.DUMMYFUNCTION("""COMPUTED_VALUE"""),9.873343157E9)</f>
        <v>9873343157</v>
      </c>
    </row>
    <row r="187">
      <c r="A187" s="15">
        <f>IFERROR(__xludf.DUMMYFUNCTION("""COMPUTED_VALUE"""),50110.0)</f>
        <v>50110</v>
      </c>
      <c r="B187" s="15" t="str">
        <f>IFERROR(__xludf.DUMMYFUNCTION("""COMPUTED_VALUE"""),"Happy Living")</f>
        <v>Happy Living</v>
      </c>
      <c r="C187" s="15" t="str">
        <f>IFERROR(__xludf.DUMMYFUNCTION("""COMPUTED_VALUE"""),"Trishna Sagar")</f>
        <v>Trishna Sagar</v>
      </c>
      <c r="D187" s="53">
        <f>IFERROR(__xludf.DUMMYFUNCTION("""COMPUTED_VALUE"""),7.903090754E9)</f>
        <v>7903090754</v>
      </c>
    </row>
    <row r="188">
      <c r="A188" s="15">
        <f>IFERROR(__xludf.DUMMYFUNCTION("""COMPUTED_VALUE"""),50113.0)</f>
        <v>50113</v>
      </c>
      <c r="B188" s="15" t="str">
        <f>IFERROR(__xludf.DUMMYFUNCTION("""COMPUTED_VALUE"""),"Learn German with Heer")</f>
        <v>Learn German with Heer</v>
      </c>
      <c r="C188" s="15" t="str">
        <f>IFERROR(__xludf.DUMMYFUNCTION("""COMPUTED_VALUE"""),"Harnoor Saini")</f>
        <v>Harnoor Saini</v>
      </c>
      <c r="D188" s="53">
        <f>IFERROR(__xludf.DUMMYFUNCTION("""COMPUTED_VALUE"""),8.968837789E9)</f>
        <v>8968837789</v>
      </c>
    </row>
    <row r="189">
      <c r="A189" s="15">
        <f>IFERROR(__xludf.DUMMYFUNCTION("""COMPUTED_VALUE"""),50113.0)</f>
        <v>50113</v>
      </c>
      <c r="B189" s="15" t="str">
        <f>IFERROR(__xludf.DUMMYFUNCTION("""COMPUTED_VALUE"""),"Learn German with Heer")</f>
        <v>Learn German with Heer</v>
      </c>
      <c r="C189" s="15" t="str">
        <f>IFERROR(__xludf.DUMMYFUNCTION("""COMPUTED_VALUE"""),"Ritu Kataria ")</f>
        <v>Ritu Kataria </v>
      </c>
      <c r="D189" s="53">
        <f>IFERROR(__xludf.DUMMYFUNCTION("""COMPUTED_VALUE"""),9.179300104E9)</f>
        <v>9179300104</v>
      </c>
    </row>
    <row r="190">
      <c r="A190" s="15">
        <f>IFERROR(__xludf.DUMMYFUNCTION("""COMPUTED_VALUE"""),50113.0)</f>
        <v>50113</v>
      </c>
      <c r="B190" s="15" t="str">
        <f>IFERROR(__xludf.DUMMYFUNCTION("""COMPUTED_VALUE"""),"Learn German with Heer")</f>
        <v>Learn German with Heer</v>
      </c>
      <c r="C190" s="15" t="str">
        <f>IFERROR(__xludf.DUMMYFUNCTION("""COMPUTED_VALUE"""),"Rushikesh Bhosle                 ")</f>
        <v>Rushikesh Bhosle                 </v>
      </c>
      <c r="D190" s="53">
        <f>IFERROR(__xludf.DUMMYFUNCTION("""COMPUTED_VALUE"""),9.096797304E9)</f>
        <v>9096797304</v>
      </c>
    </row>
    <row r="191">
      <c r="A191" s="15">
        <f>IFERROR(__xludf.DUMMYFUNCTION("""COMPUTED_VALUE"""),50114.0)</f>
        <v>50114</v>
      </c>
      <c r="B191" s="15" t="str">
        <f>IFERROR(__xludf.DUMMYFUNCTION("""COMPUTED_VALUE"""),"Bridl360.club ")</f>
        <v>Bridl360.club </v>
      </c>
      <c r="C191" s="15" t="str">
        <f>IFERROR(__xludf.DUMMYFUNCTION("""COMPUTED_VALUE"""),"Manas garg")</f>
        <v>Manas garg</v>
      </c>
      <c r="D191" s="53">
        <f>IFERROR(__xludf.DUMMYFUNCTION("""COMPUTED_VALUE"""),7.56622022E9)</f>
        <v>7566220220</v>
      </c>
    </row>
    <row r="192">
      <c r="A192" s="15">
        <f>IFERROR(__xludf.DUMMYFUNCTION("""COMPUTED_VALUE"""),50114.0)</f>
        <v>50114</v>
      </c>
      <c r="B192" s="15" t="str">
        <f>IFERROR(__xludf.DUMMYFUNCTION("""COMPUTED_VALUE"""),"Bridl360.club ")</f>
        <v>Bridl360.club </v>
      </c>
      <c r="C192" s="15" t="str">
        <f>IFERROR(__xludf.DUMMYFUNCTION("""COMPUTED_VALUE"""),"Harnoor saini")</f>
        <v>Harnoor saini</v>
      </c>
      <c r="D192" s="53">
        <f>IFERROR(__xludf.DUMMYFUNCTION("""COMPUTED_VALUE"""),8.968837789E9)</f>
        <v>8968837789</v>
      </c>
    </row>
    <row r="193">
      <c r="A193" s="15">
        <f>IFERROR(__xludf.DUMMYFUNCTION("""COMPUTED_VALUE"""),50114.0)</f>
        <v>50114</v>
      </c>
      <c r="B193" s="15" t="str">
        <f>IFERROR(__xludf.DUMMYFUNCTION("""COMPUTED_VALUE"""),"Bridl360.club ")</f>
        <v>Bridl360.club </v>
      </c>
      <c r="C193" s="15" t="str">
        <f>IFERROR(__xludf.DUMMYFUNCTION("""COMPUTED_VALUE"""),"Swapnil singh")</f>
        <v>Swapnil singh</v>
      </c>
      <c r="D193" s="53">
        <f>IFERROR(__xludf.DUMMYFUNCTION("""COMPUTED_VALUE"""),7.905879866E9)</f>
        <v>7905879866</v>
      </c>
    </row>
    <row r="194">
      <c r="A194" s="15">
        <f>IFERROR(__xludf.DUMMYFUNCTION("""COMPUTED_VALUE"""),50114.0)</f>
        <v>50114</v>
      </c>
      <c r="B194" s="15" t="str">
        <f>IFERROR(__xludf.DUMMYFUNCTION("""COMPUTED_VALUE"""),"Bridl360.club ")</f>
        <v>Bridl360.club </v>
      </c>
      <c r="C194" s="15" t="str">
        <f>IFERROR(__xludf.DUMMYFUNCTION("""COMPUTED_VALUE"""),"Ritu Kataria")</f>
        <v>Ritu Kataria</v>
      </c>
      <c r="D194" s="53">
        <f>IFERROR(__xludf.DUMMYFUNCTION("""COMPUTED_VALUE"""),9.179300104E9)</f>
        <v>9179300104</v>
      </c>
    </row>
    <row r="195">
      <c r="A195" s="15">
        <f>IFERROR(__xludf.DUMMYFUNCTION("""COMPUTED_VALUE"""),50114.0)</f>
        <v>50114</v>
      </c>
      <c r="B195" s="15" t="str">
        <f>IFERROR(__xludf.DUMMYFUNCTION("""COMPUTED_VALUE"""),"Bridl360.club ")</f>
        <v>Bridl360.club </v>
      </c>
      <c r="C195" s="15" t="str">
        <f>IFERROR(__xludf.DUMMYFUNCTION("""COMPUTED_VALUE"""),"Darpan Datta")</f>
        <v>Darpan Datta</v>
      </c>
      <c r="D195" s="53">
        <f>IFERROR(__xludf.DUMMYFUNCTION("""COMPUTED_VALUE"""),9.966828276E9)</f>
        <v>9966828276</v>
      </c>
    </row>
    <row r="196">
      <c r="A196" s="15">
        <f>IFERROR(__xludf.DUMMYFUNCTION("""COMPUTED_VALUE"""),50114.0)</f>
        <v>50114</v>
      </c>
      <c r="B196" s="15" t="str">
        <f>IFERROR(__xludf.DUMMYFUNCTION("""COMPUTED_VALUE"""),"Bridl360.club ")</f>
        <v>Bridl360.club </v>
      </c>
      <c r="C196" s="15" t="str">
        <f>IFERROR(__xludf.DUMMYFUNCTION("""COMPUTED_VALUE"""),"Eshwar varma")</f>
        <v>Eshwar varma</v>
      </c>
      <c r="D196" s="53">
        <f>IFERROR(__xludf.DUMMYFUNCTION("""COMPUTED_VALUE"""),9.603840615E9)</f>
        <v>9603840615</v>
      </c>
    </row>
    <row r="197">
      <c r="A197" s="15">
        <f>IFERROR(__xludf.DUMMYFUNCTION("""COMPUTED_VALUE"""),50114.0)</f>
        <v>50114</v>
      </c>
      <c r="B197" s="15" t="str">
        <f>IFERROR(__xludf.DUMMYFUNCTION("""COMPUTED_VALUE"""),"Bridl360.club ")</f>
        <v>Bridl360.club </v>
      </c>
      <c r="C197" s="15" t="str">
        <f>IFERROR(__xludf.DUMMYFUNCTION("""COMPUTED_VALUE"""),"Niveditha Lokini")</f>
        <v>Niveditha Lokini</v>
      </c>
      <c r="D197" s="53">
        <f>IFERROR(__xludf.DUMMYFUNCTION("""COMPUTED_VALUE"""),8.68859207E9)</f>
        <v>8688592070</v>
      </c>
    </row>
    <row r="198">
      <c r="A198" s="15">
        <f>IFERROR(__xludf.DUMMYFUNCTION("""COMPUTED_VALUE"""),50114.0)</f>
        <v>50114</v>
      </c>
      <c r="B198" s="15" t="str">
        <f>IFERROR(__xludf.DUMMYFUNCTION("""COMPUTED_VALUE"""),"Bridl360.club ")</f>
        <v>Bridl360.club </v>
      </c>
      <c r="C198" s="15" t="str">
        <f>IFERROR(__xludf.DUMMYFUNCTION("""COMPUTED_VALUE"""),"Raghavendra Kumar")</f>
        <v>Raghavendra Kumar</v>
      </c>
      <c r="D198" s="53">
        <f>IFERROR(__xludf.DUMMYFUNCTION("""COMPUTED_VALUE"""),9.966696962E9)</f>
        <v>9966696962</v>
      </c>
    </row>
    <row r="199">
      <c r="A199" s="15">
        <f>IFERROR(__xludf.DUMMYFUNCTION("""COMPUTED_VALUE"""),50119.0)</f>
        <v>50119</v>
      </c>
      <c r="B199" s="15" t="str">
        <f>IFERROR(__xludf.DUMMYFUNCTION("""COMPUTED_VALUE"""),"Leena Listens ")</f>
        <v>Leena Listens </v>
      </c>
      <c r="C199" s="15" t="str">
        <f>IFERROR(__xludf.DUMMYFUNCTION("""COMPUTED_VALUE"""),"Manas garg")</f>
        <v>Manas garg</v>
      </c>
      <c r="D199" s="53">
        <f>IFERROR(__xludf.DUMMYFUNCTION("""COMPUTED_VALUE"""),7.56622022E9)</f>
        <v>7566220220</v>
      </c>
    </row>
    <row r="200">
      <c r="A200" s="15">
        <f>IFERROR(__xludf.DUMMYFUNCTION("""COMPUTED_VALUE"""),50119.0)</f>
        <v>50119</v>
      </c>
      <c r="B200" s="15" t="str">
        <f>IFERROR(__xludf.DUMMYFUNCTION("""COMPUTED_VALUE"""),"Leena Listens ")</f>
        <v>Leena Listens </v>
      </c>
      <c r="C200" s="15" t="str">
        <f>IFERROR(__xludf.DUMMYFUNCTION("""COMPUTED_VALUE"""),"Harnoor saini")</f>
        <v>Harnoor saini</v>
      </c>
      <c r="D200" s="53">
        <f>IFERROR(__xludf.DUMMYFUNCTION("""COMPUTED_VALUE"""),8.968837789E9)</f>
        <v>8968837789</v>
      </c>
    </row>
    <row r="201">
      <c r="A201" s="15">
        <f>IFERROR(__xludf.DUMMYFUNCTION("""COMPUTED_VALUE"""),50119.0)</f>
        <v>50119</v>
      </c>
      <c r="B201" s="15" t="str">
        <f>IFERROR(__xludf.DUMMYFUNCTION("""COMPUTED_VALUE"""),"Leena Listens ")</f>
        <v>Leena Listens </v>
      </c>
      <c r="C201" s="15" t="str">
        <f>IFERROR(__xludf.DUMMYFUNCTION("""COMPUTED_VALUE"""),"Swapnil singh")</f>
        <v>Swapnil singh</v>
      </c>
      <c r="D201" s="53">
        <f>IFERROR(__xludf.DUMMYFUNCTION("""COMPUTED_VALUE"""),7.905879866E9)</f>
        <v>7905879866</v>
      </c>
    </row>
    <row r="202">
      <c r="A202" s="15">
        <f>IFERROR(__xludf.DUMMYFUNCTION("""COMPUTED_VALUE"""),50119.0)</f>
        <v>50119</v>
      </c>
      <c r="B202" s="15" t="str">
        <f>IFERROR(__xludf.DUMMYFUNCTION("""COMPUTED_VALUE"""),"Leena Listens ")</f>
        <v>Leena Listens </v>
      </c>
      <c r="C202" s="15" t="str">
        <f>IFERROR(__xludf.DUMMYFUNCTION("""COMPUTED_VALUE"""),"Ritu Kataria")</f>
        <v>Ritu Kataria</v>
      </c>
      <c r="D202" s="53">
        <f>IFERROR(__xludf.DUMMYFUNCTION("""COMPUTED_VALUE"""),9.179300104E9)</f>
        <v>9179300104</v>
      </c>
    </row>
    <row r="203">
      <c r="A203" s="15">
        <f>IFERROR(__xludf.DUMMYFUNCTION("""COMPUTED_VALUE"""),50119.0)</f>
        <v>50119</v>
      </c>
      <c r="B203" s="15" t="str">
        <f>IFERROR(__xludf.DUMMYFUNCTION("""COMPUTED_VALUE"""),"Leena Listens ")</f>
        <v>Leena Listens </v>
      </c>
      <c r="C203" s="15" t="str">
        <f>IFERROR(__xludf.DUMMYFUNCTION("""COMPUTED_VALUE"""),"Lekhraj dembla")</f>
        <v>Lekhraj dembla</v>
      </c>
      <c r="D203" s="53">
        <f>IFERROR(__xludf.DUMMYFUNCTION("""COMPUTED_VALUE"""),9.370399756E9)</f>
        <v>9370399756</v>
      </c>
    </row>
    <row r="204">
      <c r="A204" s="15">
        <f>IFERROR(__xludf.DUMMYFUNCTION("""COMPUTED_VALUE"""),50119.0)</f>
        <v>50119</v>
      </c>
      <c r="B204" s="15" t="str">
        <f>IFERROR(__xludf.DUMMYFUNCTION("""COMPUTED_VALUE"""),"Leena Listens ")</f>
        <v>Leena Listens </v>
      </c>
      <c r="C204" s="15" t="str">
        <f>IFERROR(__xludf.DUMMYFUNCTION("""COMPUTED_VALUE"""),"Leah Rolin")</f>
        <v>Leah Rolin</v>
      </c>
      <c r="D204" s="53">
        <f>IFERROR(__xludf.DUMMYFUNCTION("""COMPUTED_VALUE"""),7.23985888E8)</f>
        <v>723985888</v>
      </c>
    </row>
    <row r="205">
      <c r="A205" s="15">
        <f>IFERROR(__xludf.DUMMYFUNCTION("""COMPUTED_VALUE"""),50119.0)</f>
        <v>50119</v>
      </c>
      <c r="B205" s="15" t="str">
        <f>IFERROR(__xludf.DUMMYFUNCTION("""COMPUTED_VALUE"""),"Leena Listens ")</f>
        <v>Leena Listens </v>
      </c>
      <c r="C205" s="15" t="str">
        <f>IFERROR(__xludf.DUMMYFUNCTION("""COMPUTED_VALUE"""),"Tensi mangal")</f>
        <v>Tensi mangal</v>
      </c>
      <c r="D205" s="53">
        <f>IFERROR(__xludf.DUMMYFUNCTION("""COMPUTED_VALUE"""),8.744053472E9)</f>
        <v>8744053472</v>
      </c>
    </row>
    <row r="206">
      <c r="A206" s="15">
        <f>IFERROR(__xludf.DUMMYFUNCTION("""COMPUTED_VALUE"""),50122.0)</f>
        <v>50122</v>
      </c>
      <c r="B206" s="15" t="str">
        <f>IFERROR(__xludf.DUMMYFUNCTION("""COMPUTED_VALUE"""),"GAPD")</f>
        <v>GAPD</v>
      </c>
      <c r="C206" s="15" t="str">
        <f>IFERROR(__xludf.DUMMYFUNCTION("""COMPUTED_VALUE"""),"Manas garg")</f>
        <v>Manas garg</v>
      </c>
      <c r="D206" s="53">
        <f>IFERROR(__xludf.DUMMYFUNCTION("""COMPUTED_VALUE"""),7.56622022E9)</f>
        <v>7566220220</v>
      </c>
    </row>
    <row r="207">
      <c r="A207" s="15">
        <f>IFERROR(__xludf.DUMMYFUNCTION("""COMPUTED_VALUE"""),50122.0)</f>
        <v>50122</v>
      </c>
      <c r="B207" s="15" t="str">
        <f>IFERROR(__xludf.DUMMYFUNCTION("""COMPUTED_VALUE"""),"GAPD")</f>
        <v>GAPD</v>
      </c>
      <c r="C207" s="15" t="str">
        <f>IFERROR(__xludf.DUMMYFUNCTION("""COMPUTED_VALUE"""),"Harnoor saini")</f>
        <v>Harnoor saini</v>
      </c>
      <c r="D207" s="53">
        <f>IFERROR(__xludf.DUMMYFUNCTION("""COMPUTED_VALUE"""),8.968837789E9)</f>
        <v>8968837789</v>
      </c>
    </row>
    <row r="208">
      <c r="A208" s="15">
        <f>IFERROR(__xludf.DUMMYFUNCTION("""COMPUTED_VALUE"""),50122.0)</f>
        <v>50122</v>
      </c>
      <c r="B208" s="15" t="str">
        <f>IFERROR(__xludf.DUMMYFUNCTION("""COMPUTED_VALUE"""),"GAPD")</f>
        <v>GAPD</v>
      </c>
      <c r="C208" s="15" t="str">
        <f>IFERROR(__xludf.DUMMYFUNCTION("""COMPUTED_VALUE"""),"Swapnil singh")</f>
        <v>Swapnil singh</v>
      </c>
      <c r="D208" s="53">
        <f>IFERROR(__xludf.DUMMYFUNCTION("""COMPUTED_VALUE"""),7.905879866E9)</f>
        <v>7905879866</v>
      </c>
    </row>
    <row r="209">
      <c r="A209" s="15">
        <f>IFERROR(__xludf.DUMMYFUNCTION("""COMPUTED_VALUE"""),50122.0)</f>
        <v>50122</v>
      </c>
      <c r="B209" s="15" t="str">
        <f>IFERROR(__xludf.DUMMYFUNCTION("""COMPUTED_VALUE"""),"GAPD")</f>
        <v>GAPD</v>
      </c>
      <c r="C209" s="15" t="str">
        <f>IFERROR(__xludf.DUMMYFUNCTION("""COMPUTED_VALUE"""),"Muskan bhaiya")</f>
        <v>Muskan bhaiya</v>
      </c>
      <c r="D209" s="53">
        <f>IFERROR(__xludf.DUMMYFUNCTION("""COMPUTED_VALUE"""),8.770133567E9)</f>
        <v>8770133567</v>
      </c>
    </row>
    <row r="210">
      <c r="A210" s="15">
        <f>IFERROR(__xludf.DUMMYFUNCTION("""COMPUTED_VALUE"""),50122.0)</f>
        <v>50122</v>
      </c>
      <c r="B210" s="15" t="str">
        <f>IFERROR(__xludf.DUMMYFUNCTION("""COMPUTED_VALUE"""),"GAPD")</f>
        <v>GAPD</v>
      </c>
      <c r="C210" s="15" t="str">
        <f>IFERROR(__xludf.DUMMYFUNCTION("""COMPUTED_VALUE"""),"Khushi Mittal")</f>
        <v>Khushi Mittal</v>
      </c>
      <c r="D210" s="53">
        <f>IFERROR(__xludf.DUMMYFUNCTION("""COMPUTED_VALUE"""),9.02468377E9)</f>
        <v>9024683770</v>
      </c>
    </row>
    <row r="211">
      <c r="A211" s="15">
        <f>IFERROR(__xludf.DUMMYFUNCTION("""COMPUTED_VALUE"""),50122.0)</f>
        <v>50122</v>
      </c>
      <c r="B211" s="15" t="str">
        <f>IFERROR(__xludf.DUMMYFUNCTION("""COMPUTED_VALUE"""),"GAPD")</f>
        <v>GAPD</v>
      </c>
      <c r="C211" s="15" t="str">
        <f>IFERROR(__xludf.DUMMYFUNCTION("""COMPUTED_VALUE"""),"Ayushi thakur")</f>
        <v>Ayushi thakur</v>
      </c>
      <c r="D211" s="53">
        <f>IFERROR(__xludf.DUMMYFUNCTION("""COMPUTED_VALUE"""),9.98254016E9)</f>
        <v>9982540160</v>
      </c>
    </row>
    <row r="212">
      <c r="A212" s="15">
        <f>IFERROR(__xludf.DUMMYFUNCTION("""COMPUTED_VALUE"""),50123.0)</f>
        <v>50123</v>
      </c>
      <c r="B212" s="15" t="str">
        <f>IFERROR(__xludf.DUMMYFUNCTION("""COMPUTED_VALUE"""),"Azhar's Speaking Club")</f>
        <v>Azhar's Speaking Club</v>
      </c>
      <c r="C212" s="15" t="str">
        <f>IFERROR(__xludf.DUMMYFUNCTION("""COMPUTED_VALUE"""),"Harnoor saini")</f>
        <v>Harnoor saini</v>
      </c>
      <c r="D212" s="53">
        <f>IFERROR(__xludf.DUMMYFUNCTION("""COMPUTED_VALUE"""),8.968837789E9)</f>
        <v>8968837789</v>
      </c>
    </row>
    <row r="213">
      <c r="A213" s="15">
        <f>IFERROR(__xludf.DUMMYFUNCTION("""COMPUTED_VALUE"""),50123.0)</f>
        <v>50123</v>
      </c>
      <c r="B213" s="15" t="str">
        <f>IFERROR(__xludf.DUMMYFUNCTION("""COMPUTED_VALUE"""),"Azhar's Speaking Club")</f>
        <v>Azhar's Speaking Club</v>
      </c>
      <c r="C213" s="15" t="str">
        <f>IFERROR(__xludf.DUMMYFUNCTION("""COMPUTED_VALUE"""),"Swapnil singh")</f>
        <v>Swapnil singh</v>
      </c>
      <c r="D213" s="53">
        <f>IFERROR(__xludf.DUMMYFUNCTION("""COMPUTED_VALUE"""),7.905879866E9)</f>
        <v>7905879866</v>
      </c>
    </row>
    <row r="214">
      <c r="A214" s="15">
        <f>IFERROR(__xludf.DUMMYFUNCTION("""COMPUTED_VALUE"""),50123.0)</f>
        <v>50123</v>
      </c>
      <c r="B214" s="15" t="str">
        <f>IFERROR(__xludf.DUMMYFUNCTION("""COMPUTED_VALUE"""),"Azhar's Speaking Club")</f>
        <v>Azhar's Speaking Club</v>
      </c>
      <c r="C214" s="15" t="str">
        <f>IFERROR(__xludf.DUMMYFUNCTION("""COMPUTED_VALUE"""),"Muskan bhaiya")</f>
        <v>Muskan bhaiya</v>
      </c>
      <c r="D214" s="53">
        <f>IFERROR(__xludf.DUMMYFUNCTION("""COMPUTED_VALUE"""),8.770133567E9)</f>
        <v>8770133567</v>
      </c>
    </row>
    <row r="215">
      <c r="A215" s="15">
        <f>IFERROR(__xludf.DUMMYFUNCTION("""COMPUTED_VALUE"""),50123.0)</f>
        <v>50123</v>
      </c>
      <c r="B215" s="15" t="str">
        <f>IFERROR(__xludf.DUMMYFUNCTION("""COMPUTED_VALUE"""),"Azhar's Speaking Club")</f>
        <v>Azhar's Speaking Club</v>
      </c>
      <c r="C215" s="15" t="str">
        <f>IFERROR(__xludf.DUMMYFUNCTION("""COMPUTED_VALUE"""),"Aksent")</f>
        <v>Aksent</v>
      </c>
      <c r="D215" s="53">
        <f>IFERROR(__xludf.DUMMYFUNCTION("""COMPUTED_VALUE"""),9.789900188E9)</f>
        <v>9789900188</v>
      </c>
    </row>
    <row r="216">
      <c r="A216" s="15">
        <f>IFERROR(__xludf.DUMMYFUNCTION("""COMPUTED_VALUE"""),50123.0)</f>
        <v>50123</v>
      </c>
      <c r="B216" s="15" t="str">
        <f>IFERROR(__xludf.DUMMYFUNCTION("""COMPUTED_VALUE"""),"Azhar's Speaking Club")</f>
        <v>Azhar's Speaking Club</v>
      </c>
      <c r="C216" s="15" t="str">
        <f>IFERROR(__xludf.DUMMYFUNCTION("""COMPUTED_VALUE"""),"Ramya")</f>
        <v>Ramya</v>
      </c>
      <c r="D216" s="53">
        <f>IFERROR(__xludf.DUMMYFUNCTION("""COMPUTED_VALUE"""),9.840633666E9)</f>
        <v>9840633666</v>
      </c>
    </row>
    <row r="217">
      <c r="A217" s="15">
        <f>IFERROR(__xludf.DUMMYFUNCTION("""COMPUTED_VALUE"""),50123.0)</f>
        <v>50123</v>
      </c>
      <c r="B217" s="15" t="str">
        <f>IFERROR(__xludf.DUMMYFUNCTION("""COMPUTED_VALUE"""),"Azhar's Speaking Club")</f>
        <v>Azhar's Speaking Club</v>
      </c>
      <c r="C217" s="15" t="str">
        <f>IFERROR(__xludf.DUMMYFUNCTION("""COMPUTED_VALUE"""),"Abdul shathik")</f>
        <v>Abdul shathik</v>
      </c>
      <c r="D217" s="53">
        <f>IFERROR(__xludf.DUMMYFUNCTION("""COMPUTED_VALUE"""),9.884355225E9)</f>
        <v>9884355225</v>
      </c>
    </row>
    <row r="218">
      <c r="A218" s="15">
        <f>IFERROR(__xludf.DUMMYFUNCTION("""COMPUTED_VALUE"""),50127.0)</f>
        <v>50127</v>
      </c>
      <c r="B218" s="15" t="str">
        <f>IFERROR(__xludf.DUMMYFUNCTION("""COMPUTED_VALUE"""),"Shishu Ahaar ")</f>
        <v>Shishu Ahaar </v>
      </c>
      <c r="C218" s="15" t="str">
        <f>IFERROR(__xludf.DUMMYFUNCTION("""COMPUTED_VALUE"""),"Ruchee Tibrewal")</f>
        <v>Ruchee Tibrewal</v>
      </c>
      <c r="D218" s="53">
        <f>IFERROR(__xludf.DUMMYFUNCTION("""COMPUTED_VALUE"""),9.764658115E9)</f>
        <v>9764658115</v>
      </c>
    </row>
    <row r="219">
      <c r="A219" s="15">
        <f>IFERROR(__xludf.DUMMYFUNCTION("""COMPUTED_VALUE"""),50127.0)</f>
        <v>50127</v>
      </c>
      <c r="B219" s="15" t="str">
        <f>IFERROR(__xludf.DUMMYFUNCTION("""COMPUTED_VALUE"""),"Shishu Ahaar ")</f>
        <v>Shishu Ahaar </v>
      </c>
      <c r="C219" s="15" t="str">
        <f>IFERROR(__xludf.DUMMYFUNCTION("""COMPUTED_VALUE"""),"Garima yadav")</f>
        <v>Garima yadav</v>
      </c>
      <c r="D219" s="53">
        <f>IFERROR(__xludf.DUMMYFUNCTION("""COMPUTED_VALUE"""),8.510029648E9)</f>
        <v>8510029648</v>
      </c>
    </row>
    <row r="220">
      <c r="A220" s="15">
        <f>IFERROR(__xludf.DUMMYFUNCTION("""COMPUTED_VALUE"""),50127.0)</f>
        <v>50127</v>
      </c>
      <c r="B220" s="15" t="str">
        <f>IFERROR(__xludf.DUMMYFUNCTION("""COMPUTED_VALUE"""),"Shishu Ahaar ")</f>
        <v>Shishu Ahaar </v>
      </c>
      <c r="C220" s="15" t="str">
        <f>IFERROR(__xludf.DUMMYFUNCTION("""COMPUTED_VALUE"""),"Mansi Agrawal")</f>
        <v>Mansi Agrawal</v>
      </c>
      <c r="D220" s="53">
        <f>IFERROR(__xludf.DUMMYFUNCTION("""COMPUTED_VALUE"""),9.315702844E9)</f>
        <v>9315702844</v>
      </c>
    </row>
    <row r="221">
      <c r="A221" s="15">
        <f>IFERROR(__xludf.DUMMYFUNCTION("""COMPUTED_VALUE"""),50127.0)</f>
        <v>50127</v>
      </c>
      <c r="B221" s="15" t="str">
        <f>IFERROR(__xludf.DUMMYFUNCTION("""COMPUTED_VALUE"""),"Shishu Ahaar ")</f>
        <v>Shishu Ahaar </v>
      </c>
      <c r="C221" s="15" t="str">
        <f>IFERROR(__xludf.DUMMYFUNCTION("""COMPUTED_VALUE"""),"Urvashi saxena")</f>
        <v>Urvashi saxena</v>
      </c>
      <c r="D221" s="53">
        <f>IFERROR(__xludf.DUMMYFUNCTION("""COMPUTED_VALUE"""),9.14012646E9)</f>
        <v>9140126460</v>
      </c>
    </row>
    <row r="222">
      <c r="A222" s="15">
        <f>IFERROR(__xludf.DUMMYFUNCTION("""COMPUTED_VALUE"""),50129.0)</f>
        <v>50129</v>
      </c>
      <c r="B222" s="15" t="str">
        <f>IFERROR(__xludf.DUMMYFUNCTION("""COMPUTED_VALUE"""),"Daily Skills Community")</f>
        <v>Daily Skills Community</v>
      </c>
      <c r="C222" s="15" t="str">
        <f>IFERROR(__xludf.DUMMYFUNCTION("""COMPUTED_VALUE"""),"Harnoor saini")</f>
        <v>Harnoor saini</v>
      </c>
      <c r="D222" s="53">
        <f>IFERROR(__xludf.DUMMYFUNCTION("""COMPUTED_VALUE"""),8.968837789E9)</f>
        <v>8968837789</v>
      </c>
    </row>
    <row r="223">
      <c r="A223" s="15">
        <f>IFERROR(__xludf.DUMMYFUNCTION("""COMPUTED_VALUE"""),50129.0)</f>
        <v>50129</v>
      </c>
      <c r="B223" s="15" t="str">
        <f>IFERROR(__xludf.DUMMYFUNCTION("""COMPUTED_VALUE"""),"Daily Skills Community")</f>
        <v>Daily Skills Community</v>
      </c>
      <c r="C223" s="15" t="str">
        <f>IFERROR(__xludf.DUMMYFUNCTION("""COMPUTED_VALUE"""),"Swapnil singh")</f>
        <v>Swapnil singh</v>
      </c>
      <c r="D223" s="53">
        <f>IFERROR(__xludf.DUMMYFUNCTION("""COMPUTED_VALUE"""),7.905879866E9)</f>
        <v>7905879866</v>
      </c>
    </row>
    <row r="224">
      <c r="A224" s="15">
        <f>IFERROR(__xludf.DUMMYFUNCTION("""COMPUTED_VALUE"""),50129.0)</f>
        <v>50129</v>
      </c>
      <c r="B224" s="15" t="str">
        <f>IFERROR(__xludf.DUMMYFUNCTION("""COMPUTED_VALUE"""),"Daily Skills Community")</f>
        <v>Daily Skills Community</v>
      </c>
      <c r="C224" s="15" t="str">
        <f>IFERROR(__xludf.DUMMYFUNCTION("""COMPUTED_VALUE"""),"Muskan bhaiya")</f>
        <v>Muskan bhaiya</v>
      </c>
      <c r="D224" s="53">
        <f>IFERROR(__xludf.DUMMYFUNCTION("""COMPUTED_VALUE"""),8.770133567E9)</f>
        <v>8770133567</v>
      </c>
    </row>
    <row r="225">
      <c r="A225" s="15">
        <f>IFERROR(__xludf.DUMMYFUNCTION("""COMPUTED_VALUE"""),50129.0)</f>
        <v>50129</v>
      </c>
      <c r="B225" s="15" t="str">
        <f>IFERROR(__xludf.DUMMYFUNCTION("""COMPUTED_VALUE"""),"Daily Skills Community")</f>
        <v>Daily Skills Community</v>
      </c>
      <c r="C225" s="15" t="str">
        <f>IFERROR(__xludf.DUMMYFUNCTION("""COMPUTED_VALUE"""),"Subilal")</f>
        <v>Subilal</v>
      </c>
      <c r="D225" s="53">
        <f>IFERROR(__xludf.DUMMYFUNCTION("""COMPUTED_VALUE"""),8.848884773E9)</f>
        <v>8848884773</v>
      </c>
    </row>
    <row r="226">
      <c r="A226" s="15">
        <f>IFERROR(__xludf.DUMMYFUNCTION("""COMPUTED_VALUE"""),50133.0)</f>
        <v>50133</v>
      </c>
      <c r="B226" s="15" t="str">
        <f>IFERROR(__xludf.DUMMYFUNCTION("""COMPUTED_VALUE"""),"Tarotpreneur ")</f>
        <v>Tarotpreneur </v>
      </c>
      <c r="C226" s="15" t="str">
        <f>IFERROR(__xludf.DUMMYFUNCTION("""COMPUTED_VALUE"""),"Garima yadav")</f>
        <v>Garima yadav</v>
      </c>
      <c r="D226" s="53">
        <f>IFERROR(__xludf.DUMMYFUNCTION("""COMPUTED_VALUE"""),8.510029648E9)</f>
        <v>8510029648</v>
      </c>
    </row>
    <row r="227">
      <c r="A227" s="15">
        <f>IFERROR(__xludf.DUMMYFUNCTION("""COMPUTED_VALUE"""),50133.0)</f>
        <v>50133</v>
      </c>
      <c r="B227" s="15" t="str">
        <f>IFERROR(__xludf.DUMMYFUNCTION("""COMPUTED_VALUE"""),"Tarotpreneur ")</f>
        <v>Tarotpreneur </v>
      </c>
      <c r="C227" s="15" t="str">
        <f>IFERROR(__xludf.DUMMYFUNCTION("""COMPUTED_VALUE"""),"Kushagra Hatwal")</f>
        <v>Kushagra Hatwal</v>
      </c>
      <c r="D227" s="53">
        <f>IFERROR(__xludf.DUMMYFUNCTION("""COMPUTED_VALUE"""),9.650225768E9)</f>
        <v>9650225768</v>
      </c>
    </row>
    <row r="228">
      <c r="A228" s="15">
        <f>IFERROR(__xludf.DUMMYFUNCTION("""COMPUTED_VALUE"""),50133.0)</f>
        <v>50133</v>
      </c>
      <c r="B228" s="15" t="str">
        <f>IFERROR(__xludf.DUMMYFUNCTION("""COMPUTED_VALUE"""),"Tarotpreneur ")</f>
        <v>Tarotpreneur </v>
      </c>
      <c r="C228" s="15" t="str">
        <f>IFERROR(__xludf.DUMMYFUNCTION("""COMPUTED_VALUE"""),"Akshita Lopa")</f>
        <v>Akshita Lopa</v>
      </c>
      <c r="D228" s="53">
        <f>IFERROR(__xludf.DUMMYFUNCTION("""COMPUTED_VALUE"""),7.838168936E9)</f>
        <v>7838168936</v>
      </c>
    </row>
    <row r="229">
      <c r="A229" s="15">
        <f>IFERROR(__xludf.DUMMYFUNCTION("""COMPUTED_VALUE"""),50133.0)</f>
        <v>50133</v>
      </c>
      <c r="B229" s="15" t="str">
        <f>IFERROR(__xludf.DUMMYFUNCTION("""COMPUTED_VALUE"""),"Tarotpreneur ")</f>
        <v>Tarotpreneur </v>
      </c>
      <c r="C229" s="15" t="str">
        <f>IFERROR(__xludf.DUMMYFUNCTION("""COMPUTED_VALUE"""),"Mansi Agrawal")</f>
        <v>Mansi Agrawal</v>
      </c>
      <c r="D229" s="53">
        <f>IFERROR(__xludf.DUMMYFUNCTION("""COMPUTED_VALUE"""),9.315702844E9)</f>
        <v>9315702844</v>
      </c>
    </row>
    <row r="230">
      <c r="A230" s="15">
        <f>IFERROR(__xludf.DUMMYFUNCTION("""COMPUTED_VALUE"""),50133.0)</f>
        <v>50133</v>
      </c>
      <c r="B230" s="15" t="str">
        <f>IFERROR(__xludf.DUMMYFUNCTION("""COMPUTED_VALUE"""),"Tarotpreneur ")</f>
        <v>Tarotpreneur </v>
      </c>
      <c r="C230" s="15" t="str">
        <f>IFERROR(__xludf.DUMMYFUNCTION("""COMPUTED_VALUE"""),"Urvashi saxena")</f>
        <v>Urvashi saxena</v>
      </c>
      <c r="D230" s="53">
        <f>IFERROR(__xludf.DUMMYFUNCTION("""COMPUTED_VALUE"""),9.14012646E9)</f>
        <v>9140126460</v>
      </c>
    </row>
    <row r="231">
      <c r="A231" s="15">
        <f>IFERROR(__xludf.DUMMYFUNCTION("""COMPUTED_VALUE"""),50136.0)</f>
        <v>50136</v>
      </c>
      <c r="B231" s="15" t="str">
        <f>IFERROR(__xludf.DUMMYFUNCTION("""COMPUTED_VALUE""")," Empty Cup")</f>
        <v> Empty Cup</v>
      </c>
      <c r="C231" s="15" t="str">
        <f>IFERROR(__xludf.DUMMYFUNCTION("""COMPUTED_VALUE"""),"Urvashi")</f>
        <v>Urvashi</v>
      </c>
      <c r="D231" s="53">
        <f>IFERROR(__xludf.DUMMYFUNCTION("""COMPUTED_VALUE"""),9.14012646E9)</f>
        <v>9140126460</v>
      </c>
    </row>
    <row r="232">
      <c r="A232" s="15">
        <f>IFERROR(__xludf.DUMMYFUNCTION("""COMPUTED_VALUE"""),50136.0)</f>
        <v>50136</v>
      </c>
      <c r="B232" s="15" t="str">
        <f>IFERROR(__xludf.DUMMYFUNCTION("""COMPUTED_VALUE""")," Empty Cup")</f>
        <v> Empty Cup</v>
      </c>
      <c r="C232" s="15" t="str">
        <f>IFERROR(__xludf.DUMMYFUNCTION("""COMPUTED_VALUE"""),"Mg sathish kumar")</f>
        <v>Mg sathish kumar</v>
      </c>
      <c r="D232" s="53">
        <f>IFERROR(__xludf.DUMMYFUNCTION("""COMPUTED_VALUE"""),9.79094848E9)</f>
        <v>9790948480</v>
      </c>
    </row>
    <row r="233">
      <c r="A233" s="15">
        <f>IFERROR(__xludf.DUMMYFUNCTION("""COMPUTED_VALUE"""),50136.0)</f>
        <v>50136</v>
      </c>
      <c r="B233" s="15" t="str">
        <f>IFERROR(__xludf.DUMMYFUNCTION("""COMPUTED_VALUE""")," Empty Cup")</f>
        <v> Empty Cup</v>
      </c>
      <c r="C233" s="15" t="str">
        <f>IFERROR(__xludf.DUMMYFUNCTION("""COMPUTED_VALUE"""),"Surendar")</f>
        <v>Surendar</v>
      </c>
      <c r="D233" s="53">
        <f>IFERROR(__xludf.DUMMYFUNCTION("""COMPUTED_VALUE"""),9.790847235E9)</f>
        <v>9790847235</v>
      </c>
    </row>
    <row r="234">
      <c r="A234" s="15">
        <f>IFERROR(__xludf.DUMMYFUNCTION("""COMPUTED_VALUE"""),50136.0)</f>
        <v>50136</v>
      </c>
      <c r="B234" s="15" t="str">
        <f>IFERROR(__xludf.DUMMYFUNCTION("""COMPUTED_VALUE""")," Empty Cup")</f>
        <v> Empty Cup</v>
      </c>
      <c r="C234" s="15" t="str">
        <f>IFERROR(__xludf.DUMMYFUNCTION("""COMPUTED_VALUE"""),"Shiva kumar")</f>
        <v>Shiva kumar</v>
      </c>
      <c r="D234" s="53">
        <f>IFERROR(__xludf.DUMMYFUNCTION("""COMPUTED_VALUE"""),9.718080275E9)</f>
        <v>9718080275</v>
      </c>
    </row>
    <row r="235">
      <c r="A235" s="15">
        <f>IFERROR(__xludf.DUMMYFUNCTION("""COMPUTED_VALUE"""),50136.0)</f>
        <v>50136</v>
      </c>
      <c r="B235" s="15" t="str">
        <f>IFERROR(__xludf.DUMMYFUNCTION("""COMPUTED_VALUE""")," Empty Cup")</f>
        <v> Empty Cup</v>
      </c>
      <c r="C235" s="15" t="str">
        <f>IFERROR(__xludf.DUMMYFUNCTION("""COMPUTED_VALUE"""),"Manikandan")</f>
        <v>Manikandan</v>
      </c>
      <c r="D235" s="53">
        <f>IFERROR(__xludf.DUMMYFUNCTION("""COMPUTED_VALUE"""),9.566049806E9)</f>
        <v>9566049806</v>
      </c>
    </row>
    <row r="236">
      <c r="A236" s="15">
        <f>IFERROR(__xludf.DUMMYFUNCTION("""COMPUTED_VALUE"""),50137.0)</f>
        <v>50137</v>
      </c>
      <c r="B236" s="15" t="str">
        <f>IFERROR(__xludf.DUMMYFUNCTION("""COMPUTED_VALUE""")," BAKERPRENEURSHIP")</f>
        <v> BAKERPRENEURSHIP</v>
      </c>
      <c r="C236" s="15" t="str">
        <f>IFERROR(__xludf.DUMMYFUNCTION("""COMPUTED_VALUE"""),"Mansi Agrawal")</f>
        <v>Mansi Agrawal</v>
      </c>
      <c r="D236" s="53">
        <f>IFERROR(__xludf.DUMMYFUNCTION("""COMPUTED_VALUE"""),9.315702844E9)</f>
        <v>9315702844</v>
      </c>
    </row>
    <row r="237">
      <c r="A237" s="15">
        <f>IFERROR(__xludf.DUMMYFUNCTION("""COMPUTED_VALUE"""),50137.0)</f>
        <v>50137</v>
      </c>
      <c r="B237" s="15" t="str">
        <f>IFERROR(__xludf.DUMMYFUNCTION("""COMPUTED_VALUE""")," BAKERPRENEURSHIP")</f>
        <v> BAKERPRENEURSHIP</v>
      </c>
      <c r="C237" s="15" t="str">
        <f>IFERROR(__xludf.DUMMYFUNCTION("""COMPUTED_VALUE"""),"Anshul jain")</f>
        <v>Anshul jain</v>
      </c>
      <c r="D237" s="53">
        <f>IFERROR(__xludf.DUMMYFUNCTION("""COMPUTED_VALUE"""),8.264960042E9)</f>
        <v>8264960042</v>
      </c>
    </row>
    <row r="238">
      <c r="A238" s="15">
        <f>IFERROR(__xludf.DUMMYFUNCTION("""COMPUTED_VALUE"""),50137.0)</f>
        <v>50137</v>
      </c>
      <c r="B238" s="15" t="str">
        <f>IFERROR(__xludf.DUMMYFUNCTION("""COMPUTED_VALUE""")," BAKERPRENEURSHIP")</f>
        <v> BAKERPRENEURSHIP</v>
      </c>
      <c r="C238" s="15" t="str">
        <f>IFERROR(__xludf.DUMMYFUNCTION("""COMPUTED_VALUE"""),"Urvashi saxena")</f>
        <v>Urvashi saxena</v>
      </c>
      <c r="D238" s="53">
        <f>IFERROR(__xludf.DUMMYFUNCTION("""COMPUTED_VALUE"""),9.14012646E9)</f>
        <v>9140126460</v>
      </c>
    </row>
    <row r="239">
      <c r="A239" s="15">
        <f>IFERROR(__xludf.DUMMYFUNCTION("""COMPUTED_VALUE"""),50137.0)</f>
        <v>50137</v>
      </c>
      <c r="B239" s="15" t="str">
        <f>IFERROR(__xludf.DUMMYFUNCTION("""COMPUTED_VALUE""")," BAKERPRENEURSHIP")</f>
        <v> BAKERPRENEURSHIP</v>
      </c>
      <c r="C239" s="15" t="str">
        <f>IFERROR(__xludf.DUMMYFUNCTION("""COMPUTED_VALUE"""),"Shradha")</f>
        <v>Shradha</v>
      </c>
      <c r="D239" s="53">
        <f>IFERROR(__xludf.DUMMYFUNCTION("""COMPUTED_VALUE"""),9.903400244E9)</f>
        <v>9903400244</v>
      </c>
    </row>
    <row r="240">
      <c r="A240" s="15">
        <f>IFERROR(__xludf.DUMMYFUNCTION("""COMPUTED_VALUE"""),50143.0)</f>
        <v>50143</v>
      </c>
      <c r="B240" s="15" t="str">
        <f>IFERROR(__xludf.DUMMYFUNCTION("""COMPUTED_VALUE"""),"A Blue Lotus Life")</f>
        <v>A Blue Lotus Life</v>
      </c>
      <c r="C240" s="15" t="str">
        <f>IFERROR(__xludf.DUMMYFUNCTION("""COMPUTED_VALUE"""),"Akshita Lopa")</f>
        <v>Akshita Lopa</v>
      </c>
      <c r="D240" s="53">
        <f>IFERROR(__xludf.DUMMYFUNCTION("""COMPUTED_VALUE"""),7.838168936E9)</f>
        <v>7838168936</v>
      </c>
    </row>
    <row r="241">
      <c r="A241" s="15">
        <f>IFERROR(__xludf.DUMMYFUNCTION("""COMPUTED_VALUE"""),50143.0)</f>
        <v>50143</v>
      </c>
      <c r="B241" s="15" t="str">
        <f>IFERROR(__xludf.DUMMYFUNCTION("""COMPUTED_VALUE"""),"A Blue Lotus Life")</f>
        <v>A Blue Lotus Life</v>
      </c>
      <c r="C241" s="15" t="str">
        <f>IFERROR(__xludf.DUMMYFUNCTION("""COMPUTED_VALUE"""),"Taha Mahmood")</f>
        <v>Taha Mahmood</v>
      </c>
      <c r="D241" s="53">
        <f>IFERROR(__xludf.DUMMYFUNCTION("""COMPUTED_VALUE"""),7.705991985E9)</f>
        <v>7705991985</v>
      </c>
    </row>
    <row r="242">
      <c r="A242" s="15">
        <f>IFERROR(__xludf.DUMMYFUNCTION("""COMPUTED_VALUE"""),50143.0)</f>
        <v>50143</v>
      </c>
      <c r="B242" s="15" t="str">
        <f>IFERROR(__xludf.DUMMYFUNCTION("""COMPUTED_VALUE"""),"A Blue Lotus Life")</f>
        <v>A Blue Lotus Life</v>
      </c>
      <c r="C242" s="15" t="str">
        <f>IFERROR(__xludf.DUMMYFUNCTION("""COMPUTED_VALUE"""),"Sushma Singh Chauhan")</f>
        <v>Sushma Singh Chauhan</v>
      </c>
      <c r="D242" s="53">
        <f>IFERROR(__xludf.DUMMYFUNCTION("""COMPUTED_VALUE"""),9.310713265E9)</f>
        <v>9310713265</v>
      </c>
    </row>
    <row r="243">
      <c r="A243" s="15">
        <f>IFERROR(__xludf.DUMMYFUNCTION("""COMPUTED_VALUE"""),50144.0)</f>
        <v>50144</v>
      </c>
      <c r="B243" s="15" t="str">
        <f>IFERROR(__xludf.DUMMYFUNCTION("""COMPUTED_VALUE""")," Business Impactopreneur")</f>
        <v> Business Impactopreneur</v>
      </c>
      <c r="C243" s="15" t="str">
        <f>IFERROR(__xludf.DUMMYFUNCTION("""COMPUTED_VALUE"""),"Rajinder soni")</f>
        <v>Rajinder soni</v>
      </c>
      <c r="D243" s="53">
        <f>IFERROR(__xludf.DUMMYFUNCTION("""COMPUTED_VALUE"""),7.291849502E9)</f>
        <v>7291849502</v>
      </c>
    </row>
    <row r="244">
      <c r="A244" s="15">
        <f>IFERROR(__xludf.DUMMYFUNCTION("""COMPUTED_VALUE"""),50144.0)</f>
        <v>50144</v>
      </c>
      <c r="B244" s="15" t="str">
        <f>IFERROR(__xludf.DUMMYFUNCTION("""COMPUTED_VALUE""")," Business Impactopreneur")</f>
        <v> Business Impactopreneur</v>
      </c>
      <c r="C244" s="15" t="str">
        <f>IFERROR(__xludf.DUMMYFUNCTION("""COMPUTED_VALUE"""),"Preeti shah")</f>
        <v>Preeti shah</v>
      </c>
      <c r="D244" s="53">
        <f>IFERROR(__xludf.DUMMYFUNCTION("""COMPUTED_VALUE"""),9.818865573E9)</f>
        <v>9818865573</v>
      </c>
    </row>
    <row r="245">
      <c r="A245" s="15">
        <f>IFERROR(__xludf.DUMMYFUNCTION("""COMPUTED_VALUE"""),50144.0)</f>
        <v>50144</v>
      </c>
      <c r="B245" s="15" t="str">
        <f>IFERROR(__xludf.DUMMYFUNCTION("""COMPUTED_VALUE""")," Business Impactopreneur")</f>
        <v> Business Impactopreneur</v>
      </c>
      <c r="C245" s="15" t="str">
        <f>IFERROR(__xludf.DUMMYFUNCTION("""COMPUTED_VALUE"""),"Ravinder kaur")</f>
        <v>Ravinder kaur</v>
      </c>
      <c r="D245" s="53">
        <f>IFERROR(__xludf.DUMMYFUNCTION("""COMPUTED_VALUE"""),9.041510096E9)</f>
        <v>9041510096</v>
      </c>
    </row>
    <row r="246">
      <c r="A246" s="15">
        <f>IFERROR(__xludf.DUMMYFUNCTION("""COMPUTED_VALUE"""),50144.0)</f>
        <v>50144</v>
      </c>
      <c r="B246" s="15" t="str">
        <f>IFERROR(__xludf.DUMMYFUNCTION("""COMPUTED_VALUE""")," Business Impactopreneur")</f>
        <v> Business Impactopreneur</v>
      </c>
      <c r="C246" s="15" t="str">
        <f>IFERROR(__xludf.DUMMYFUNCTION("""COMPUTED_VALUE"""),"Mansi Arora")</f>
        <v>Mansi Arora</v>
      </c>
      <c r="D246" s="53">
        <f>IFERROR(__xludf.DUMMYFUNCTION("""COMPUTED_VALUE"""),7.824050548E9)</f>
        <v>7824050548</v>
      </c>
    </row>
    <row r="247">
      <c r="A247" s="15">
        <f>IFERROR(__xludf.DUMMYFUNCTION("""COMPUTED_VALUE"""),50144.0)</f>
        <v>50144</v>
      </c>
      <c r="B247" s="15" t="str">
        <f>IFERROR(__xludf.DUMMYFUNCTION("""COMPUTED_VALUE""")," Business Impactopreneur")</f>
        <v> Business Impactopreneur</v>
      </c>
      <c r="C247" s="15" t="str">
        <f>IFERROR(__xludf.DUMMYFUNCTION("""COMPUTED_VALUE"""),"Sowrabha mahesh")</f>
        <v>Sowrabha mahesh</v>
      </c>
      <c r="D247" s="53">
        <f>IFERROR(__xludf.DUMMYFUNCTION("""COMPUTED_VALUE"""),9.591001177E9)</f>
        <v>9591001177</v>
      </c>
    </row>
    <row r="248">
      <c r="A248" s="15">
        <f>IFERROR(__xludf.DUMMYFUNCTION("""COMPUTED_VALUE"""),50144.0)</f>
        <v>50144</v>
      </c>
      <c r="B248" s="15" t="str">
        <f>IFERROR(__xludf.DUMMYFUNCTION("""COMPUTED_VALUE""")," Business Impactopreneur")</f>
        <v> Business Impactopreneur</v>
      </c>
      <c r="C248" s="15" t="str">
        <f>IFERROR(__xludf.DUMMYFUNCTION("""COMPUTED_VALUE"""),"Urvashi saxena")</f>
        <v>Urvashi saxena</v>
      </c>
      <c r="D248" s="53">
        <f>IFERROR(__xludf.DUMMYFUNCTION("""COMPUTED_VALUE"""),9.14012646E9)</f>
        <v>9140126460</v>
      </c>
    </row>
    <row r="249">
      <c r="A249" s="15">
        <f>IFERROR(__xludf.DUMMYFUNCTION("""COMPUTED_VALUE"""),50146.0)</f>
        <v>50146</v>
      </c>
      <c r="B249" s="15" t="str">
        <f>IFERROR(__xludf.DUMMYFUNCTION("""COMPUTED_VALUE"""),"meeting with self")</f>
        <v>meeting with self</v>
      </c>
      <c r="C249" s="15" t="str">
        <f>IFERROR(__xludf.DUMMYFUNCTION("""COMPUTED_VALUE"""),"Mansi Agrawal")</f>
        <v>Mansi Agrawal</v>
      </c>
      <c r="D249" s="53">
        <f>IFERROR(__xludf.DUMMYFUNCTION("""COMPUTED_VALUE"""),9.315702844E9)</f>
        <v>9315702844</v>
      </c>
    </row>
    <row r="250">
      <c r="A250" s="15">
        <f>IFERROR(__xludf.DUMMYFUNCTION("""COMPUTED_VALUE"""),50146.0)</f>
        <v>50146</v>
      </c>
      <c r="B250" s="15" t="str">
        <f>IFERROR(__xludf.DUMMYFUNCTION("""COMPUTED_VALUE"""),"meeting with self")</f>
        <v>meeting with self</v>
      </c>
      <c r="C250" s="15" t="str">
        <f>IFERROR(__xludf.DUMMYFUNCTION("""COMPUTED_VALUE"""),"Anshul jain")</f>
        <v>Anshul jain</v>
      </c>
      <c r="D250" s="53">
        <f>IFERROR(__xludf.DUMMYFUNCTION("""COMPUTED_VALUE"""),8.264960042E9)</f>
        <v>8264960042</v>
      </c>
    </row>
    <row r="251">
      <c r="A251" s="15">
        <f>IFERROR(__xludf.DUMMYFUNCTION("""COMPUTED_VALUE"""),50146.0)</f>
        <v>50146</v>
      </c>
      <c r="B251" s="15" t="str">
        <f>IFERROR(__xludf.DUMMYFUNCTION("""COMPUTED_VALUE"""),"meeting with self")</f>
        <v>meeting with self</v>
      </c>
      <c r="C251" s="15" t="str">
        <f>IFERROR(__xludf.DUMMYFUNCTION("""COMPUTED_VALUE"""),"Urvashi saxena")</f>
        <v>Urvashi saxena</v>
      </c>
      <c r="D251" s="53">
        <f>IFERROR(__xludf.DUMMYFUNCTION("""COMPUTED_VALUE"""),9.14012646E9)</f>
        <v>9140126460</v>
      </c>
    </row>
    <row r="252">
      <c r="A252" s="15">
        <f>IFERROR(__xludf.DUMMYFUNCTION("""COMPUTED_VALUE"""),50146.0)</f>
        <v>50146</v>
      </c>
      <c r="B252" s="15" t="str">
        <f>IFERROR(__xludf.DUMMYFUNCTION("""COMPUTED_VALUE"""),"meeting with self")</f>
        <v>meeting with self</v>
      </c>
      <c r="C252" s="15" t="str">
        <f>IFERROR(__xludf.DUMMYFUNCTION("""COMPUTED_VALUE"""),"Navneet Soni")</f>
        <v>Navneet Soni</v>
      </c>
      <c r="D252" s="53">
        <f>IFERROR(__xludf.DUMMYFUNCTION("""COMPUTED_VALUE"""),8.890131313E9)</f>
        <v>8890131313</v>
      </c>
    </row>
    <row r="253">
      <c r="A253" s="15">
        <f>IFERROR(__xludf.DUMMYFUNCTION("""COMPUTED_VALUE"""),50146.0)</f>
        <v>50146</v>
      </c>
      <c r="B253" s="15" t="str">
        <f>IFERROR(__xludf.DUMMYFUNCTION("""COMPUTED_VALUE"""),"meeting with self")</f>
        <v>meeting with self</v>
      </c>
      <c r="C253" s="15" t="str">
        <f>IFERROR(__xludf.DUMMYFUNCTION("""COMPUTED_VALUE"""),"Navneet Soni")</f>
        <v>Navneet Soni</v>
      </c>
      <c r="D253" s="53">
        <f>IFERROR(__xludf.DUMMYFUNCTION("""COMPUTED_VALUE"""),8.290177777E9)</f>
        <v>8290177777</v>
      </c>
    </row>
    <row r="254">
      <c r="A254" s="15">
        <f>IFERROR(__xludf.DUMMYFUNCTION("""COMPUTED_VALUE"""),50146.0)</f>
        <v>50146</v>
      </c>
      <c r="B254" s="15" t="str">
        <f>IFERROR(__xludf.DUMMYFUNCTION("""COMPUTED_VALUE"""),"meeting with self")</f>
        <v>meeting with self</v>
      </c>
      <c r="C254" s="15" t="str">
        <f>IFERROR(__xludf.DUMMYFUNCTION("""COMPUTED_VALUE"""),"Tarun pahuja")</f>
        <v>Tarun pahuja</v>
      </c>
      <c r="D254" s="53">
        <f>IFERROR(__xludf.DUMMYFUNCTION("""COMPUTED_VALUE"""),9.205510638E9)</f>
        <v>9205510638</v>
      </c>
    </row>
    <row r="255">
      <c r="A255" s="15">
        <f>IFERROR(__xludf.DUMMYFUNCTION("""COMPUTED_VALUE"""),50147.0)</f>
        <v>50147</v>
      </c>
      <c r="B255" s="15" t="str">
        <f>IFERROR(__xludf.DUMMYFUNCTION("""COMPUTED_VALUE"""),"Master Your thinking ")</f>
        <v>Master Your thinking </v>
      </c>
      <c r="C255" s="15" t="str">
        <f>IFERROR(__xludf.DUMMYFUNCTION("""COMPUTED_VALUE"""),"Mansi Agrawal")</f>
        <v>Mansi Agrawal</v>
      </c>
      <c r="D255" s="53">
        <f>IFERROR(__xludf.DUMMYFUNCTION("""COMPUTED_VALUE"""),9.315702844E9)</f>
        <v>9315702844</v>
      </c>
    </row>
    <row r="256">
      <c r="A256" s="15">
        <f>IFERROR(__xludf.DUMMYFUNCTION("""COMPUTED_VALUE"""),50147.0)</f>
        <v>50147</v>
      </c>
      <c r="B256" s="15" t="str">
        <f>IFERROR(__xludf.DUMMYFUNCTION("""COMPUTED_VALUE"""),"Master Your thinking ")</f>
        <v>Master Your thinking </v>
      </c>
      <c r="C256" s="15" t="str">
        <f>IFERROR(__xludf.DUMMYFUNCTION("""COMPUTED_VALUE"""),"Anshul jain")</f>
        <v>Anshul jain</v>
      </c>
      <c r="D256" s="53">
        <f>IFERROR(__xludf.DUMMYFUNCTION("""COMPUTED_VALUE"""),8.264960042E9)</f>
        <v>8264960042</v>
      </c>
    </row>
    <row r="257">
      <c r="A257" s="15">
        <f>IFERROR(__xludf.DUMMYFUNCTION("""COMPUTED_VALUE"""),50147.0)</f>
        <v>50147</v>
      </c>
      <c r="B257" s="15" t="str">
        <f>IFERROR(__xludf.DUMMYFUNCTION("""COMPUTED_VALUE"""),"Master Your thinking ")</f>
        <v>Master Your thinking </v>
      </c>
      <c r="C257" s="15" t="str">
        <f>IFERROR(__xludf.DUMMYFUNCTION("""COMPUTED_VALUE"""),"Urvashi saxena")</f>
        <v>Urvashi saxena</v>
      </c>
      <c r="D257" s="53">
        <f>IFERROR(__xludf.DUMMYFUNCTION("""COMPUTED_VALUE"""),9.14012646E9)</f>
        <v>9140126460</v>
      </c>
    </row>
    <row r="258">
      <c r="A258" s="15">
        <f>IFERROR(__xludf.DUMMYFUNCTION("""COMPUTED_VALUE"""),50147.0)</f>
        <v>50147</v>
      </c>
      <c r="B258" s="15" t="str">
        <f>IFERROR(__xludf.DUMMYFUNCTION("""COMPUTED_VALUE"""),"Master Your thinking ")</f>
        <v>Master Your thinking </v>
      </c>
      <c r="C258" s="15" t="str">
        <f>IFERROR(__xludf.DUMMYFUNCTION("""COMPUTED_VALUE"""),"Saranya")</f>
        <v>Saranya</v>
      </c>
      <c r="D258" s="53">
        <f>IFERROR(__xludf.DUMMYFUNCTION("""COMPUTED_VALUE"""),8.237586423E9)</f>
        <v>8237586423</v>
      </c>
    </row>
    <row r="259">
      <c r="A259" s="15">
        <f>IFERROR(__xludf.DUMMYFUNCTION("""COMPUTED_VALUE"""),50147.0)</f>
        <v>50147</v>
      </c>
      <c r="B259" s="15" t="str">
        <f>IFERROR(__xludf.DUMMYFUNCTION("""COMPUTED_VALUE"""),"Master Your thinking ")</f>
        <v>Master Your thinking </v>
      </c>
      <c r="C259" s="15" t="str">
        <f>IFERROR(__xludf.DUMMYFUNCTION("""COMPUTED_VALUE"""),"S. K. Biswas")</f>
        <v>S. K. Biswas</v>
      </c>
      <c r="D259" s="53">
        <f>IFERROR(__xludf.DUMMYFUNCTION("""COMPUTED_VALUE"""),9.545986743E9)</f>
        <v>9545986743</v>
      </c>
    </row>
    <row r="260">
      <c r="A260" s="15">
        <f>IFERROR(__xludf.DUMMYFUNCTION("""COMPUTED_VALUE"""),50147.0)</f>
        <v>50147</v>
      </c>
      <c r="B260" s="15" t="str">
        <f>IFERROR(__xludf.DUMMYFUNCTION("""COMPUTED_VALUE"""),"Master Your thinking ")</f>
        <v>Master Your thinking </v>
      </c>
      <c r="C260" s="15" t="str">
        <f>IFERROR(__xludf.DUMMYFUNCTION("""COMPUTED_VALUE"""),"Anish Varghese")</f>
        <v>Anish Varghese</v>
      </c>
      <c r="D260" s="53">
        <f>IFERROR(__xludf.DUMMYFUNCTION("""COMPUTED_VALUE"""),7.738219353E9)</f>
        <v>7738219353</v>
      </c>
    </row>
    <row r="261">
      <c r="A261" s="15">
        <f>IFERROR(__xludf.DUMMYFUNCTION("""COMPUTED_VALUE"""),50147.0)</f>
        <v>50147</v>
      </c>
      <c r="B261" s="15" t="str">
        <f>IFERROR(__xludf.DUMMYFUNCTION("""COMPUTED_VALUE"""),"Master Your thinking ")</f>
        <v>Master Your thinking </v>
      </c>
      <c r="C261" s="15" t="str">
        <f>IFERROR(__xludf.DUMMYFUNCTION("""COMPUTED_VALUE"""),"Bhavesh Kantharia")</f>
        <v>Bhavesh Kantharia</v>
      </c>
      <c r="D261" s="53">
        <f>IFERROR(__xludf.DUMMYFUNCTION("""COMPUTED_VALUE"""),9.920440266E9)</f>
        <v>9920440266</v>
      </c>
    </row>
    <row r="262">
      <c r="A262" s="15">
        <f>IFERROR(__xludf.DUMMYFUNCTION("""COMPUTED_VALUE"""),50147.0)</f>
        <v>50147</v>
      </c>
      <c r="B262" s="15" t="str">
        <f>IFERROR(__xludf.DUMMYFUNCTION("""COMPUTED_VALUE"""),"Master Your thinking ")</f>
        <v>Master Your thinking </v>
      </c>
      <c r="C262" s="15" t="str">
        <f>IFERROR(__xludf.DUMMYFUNCTION("""COMPUTED_VALUE"""),"Karuna Sapkale")</f>
        <v>Karuna Sapkale</v>
      </c>
      <c r="D262" s="53">
        <f>IFERROR(__xludf.DUMMYFUNCTION("""COMPUTED_VALUE"""),9.702420916E9)</f>
        <v>9702420916</v>
      </c>
    </row>
    <row r="263">
      <c r="A263" s="15">
        <f>IFERROR(__xludf.DUMMYFUNCTION("""COMPUTED_VALUE"""),50148.0)</f>
        <v>50148</v>
      </c>
      <c r="B263" s="15" t="str">
        <f>IFERROR(__xludf.DUMMYFUNCTION("""COMPUTED_VALUE"""),"kash studio")</f>
        <v>kash studio</v>
      </c>
      <c r="C263" s="15" t="str">
        <f>IFERROR(__xludf.DUMMYFUNCTION("""COMPUTED_VALUE"""),"Mansi Agrawal")</f>
        <v>Mansi Agrawal</v>
      </c>
      <c r="D263" s="53">
        <f>IFERROR(__xludf.DUMMYFUNCTION("""COMPUTED_VALUE"""),9.315702844E9)</f>
        <v>9315702844</v>
      </c>
    </row>
    <row r="264">
      <c r="A264" s="15">
        <f>IFERROR(__xludf.DUMMYFUNCTION("""COMPUTED_VALUE"""),50148.0)</f>
        <v>50148</v>
      </c>
      <c r="B264" s="15" t="str">
        <f>IFERROR(__xludf.DUMMYFUNCTION("""COMPUTED_VALUE"""),"kash studio")</f>
        <v>kash studio</v>
      </c>
      <c r="C264" s="15" t="str">
        <f>IFERROR(__xludf.DUMMYFUNCTION("""COMPUTED_VALUE"""),"Anshul jain")</f>
        <v>Anshul jain</v>
      </c>
      <c r="D264" s="53">
        <f>IFERROR(__xludf.DUMMYFUNCTION("""COMPUTED_VALUE"""),8.264960042E9)</f>
        <v>8264960042</v>
      </c>
    </row>
    <row r="265">
      <c r="A265" s="15">
        <f>IFERROR(__xludf.DUMMYFUNCTION("""COMPUTED_VALUE"""),50148.0)</f>
        <v>50148</v>
      </c>
      <c r="B265" s="15" t="str">
        <f>IFERROR(__xludf.DUMMYFUNCTION("""COMPUTED_VALUE"""),"kash studio")</f>
        <v>kash studio</v>
      </c>
      <c r="C265" s="15" t="str">
        <f>IFERROR(__xludf.DUMMYFUNCTION("""COMPUTED_VALUE"""),"Rajendra Shah")</f>
        <v>Rajendra Shah</v>
      </c>
      <c r="D265" s="53">
        <f>IFERROR(__xludf.DUMMYFUNCTION("""COMPUTED_VALUE"""),9.892250467E9)</f>
        <v>9892250467</v>
      </c>
    </row>
    <row r="266">
      <c r="A266" s="15">
        <f>IFERROR(__xludf.DUMMYFUNCTION("""COMPUTED_VALUE"""),50148.0)</f>
        <v>50148</v>
      </c>
      <c r="B266" s="15" t="str">
        <f>IFERROR(__xludf.DUMMYFUNCTION("""COMPUTED_VALUE"""),"kash studio")</f>
        <v>kash studio</v>
      </c>
      <c r="C266" s="15" t="str">
        <f>IFERROR(__xludf.DUMMYFUNCTION("""COMPUTED_VALUE"""),"Nishi Shah")</f>
        <v>Nishi Shah</v>
      </c>
      <c r="D266" s="53">
        <f>IFERROR(__xludf.DUMMYFUNCTION("""COMPUTED_VALUE"""),7.208621428E9)</f>
        <v>7208621428</v>
      </c>
    </row>
    <row r="267">
      <c r="A267" s="15">
        <f>IFERROR(__xludf.DUMMYFUNCTION("""COMPUTED_VALUE"""),50148.0)</f>
        <v>50148</v>
      </c>
      <c r="B267" s="15" t="str">
        <f>IFERROR(__xludf.DUMMYFUNCTION("""COMPUTED_VALUE"""),"kash studio")</f>
        <v>kash studio</v>
      </c>
      <c r="C267" s="15" t="str">
        <f>IFERROR(__xludf.DUMMYFUNCTION("""COMPUTED_VALUE"""),"yash desai")</f>
        <v>yash desai</v>
      </c>
      <c r="D267" s="53">
        <f>IFERROR(__xludf.DUMMYFUNCTION("""COMPUTED_VALUE"""),9.967075954E9)</f>
        <v>9967075954</v>
      </c>
    </row>
    <row r="268">
      <c r="A268" s="15">
        <f>IFERROR(__xludf.DUMMYFUNCTION("""COMPUTED_VALUE"""),50149.0)</f>
        <v>50149</v>
      </c>
      <c r="B268" s="15" t="str">
        <f>IFERROR(__xludf.DUMMYFUNCTION("""COMPUTED_VALUE"""),"Focus Inside")</f>
        <v>Focus Inside</v>
      </c>
      <c r="C268" s="15" t="str">
        <f>IFERROR(__xludf.DUMMYFUNCTION("""COMPUTED_VALUE"""),"Rahul Tallapally")</f>
        <v>Rahul Tallapally</v>
      </c>
      <c r="D268" s="53">
        <f>IFERROR(__xludf.DUMMYFUNCTION("""COMPUTED_VALUE"""),9.959789706E9)</f>
        <v>9959789706</v>
      </c>
    </row>
    <row r="269">
      <c r="A269" s="15">
        <f>IFERROR(__xludf.DUMMYFUNCTION("""COMPUTED_VALUE"""),50149.0)</f>
        <v>50149</v>
      </c>
      <c r="B269" s="15" t="str">
        <f>IFERROR(__xludf.DUMMYFUNCTION("""COMPUTED_VALUE"""),"Focus Inside")</f>
        <v>Focus Inside</v>
      </c>
      <c r="C269" s="15" t="str">
        <f>IFERROR(__xludf.DUMMYFUNCTION("""COMPUTED_VALUE"""),"Dilip")</f>
        <v>Dilip</v>
      </c>
      <c r="D269" s="53">
        <f>IFERROR(__xludf.DUMMYFUNCTION("""COMPUTED_VALUE"""),7.013282939E9)</f>
        <v>7013282939</v>
      </c>
    </row>
    <row r="270">
      <c r="A270" s="15">
        <f>IFERROR(__xludf.DUMMYFUNCTION("""COMPUTED_VALUE"""),50149.0)</f>
        <v>50149</v>
      </c>
      <c r="B270" s="15" t="str">
        <f>IFERROR(__xludf.DUMMYFUNCTION("""COMPUTED_VALUE"""),"Focus Inside")</f>
        <v>Focus Inside</v>
      </c>
      <c r="C270" s="15" t="str">
        <f>IFERROR(__xludf.DUMMYFUNCTION("""COMPUTED_VALUE"""),"Shiva teja")</f>
        <v>Shiva teja</v>
      </c>
      <c r="D270" s="53">
        <f>IFERROR(__xludf.DUMMYFUNCTION("""COMPUTED_VALUE"""),7.569065193E9)</f>
        <v>7569065193</v>
      </c>
    </row>
    <row r="271">
      <c r="A271" s="15">
        <f>IFERROR(__xludf.DUMMYFUNCTION("""COMPUTED_VALUE"""),50149.0)</f>
        <v>50149</v>
      </c>
      <c r="B271" s="15" t="str">
        <f>IFERROR(__xludf.DUMMYFUNCTION("""COMPUTED_VALUE"""),"Focus Inside")</f>
        <v>Focus Inside</v>
      </c>
      <c r="C271" s="15" t="str">
        <f>IFERROR(__xludf.DUMMYFUNCTION("""COMPUTED_VALUE"""),"Jay Chander")</f>
        <v>Jay Chander</v>
      </c>
      <c r="D271" s="53">
        <f>IFERROR(__xludf.DUMMYFUNCTION("""COMPUTED_VALUE"""),9.182659754E9)</f>
        <v>9182659754</v>
      </c>
    </row>
    <row r="272">
      <c r="A272" s="15">
        <f>IFERROR(__xludf.DUMMYFUNCTION("""COMPUTED_VALUE"""),50149.0)</f>
        <v>50149</v>
      </c>
      <c r="B272" s="15" t="str">
        <f>IFERROR(__xludf.DUMMYFUNCTION("""COMPUTED_VALUE"""),"Focus Inside")</f>
        <v>Focus Inside</v>
      </c>
      <c r="C272" s="15" t="str">
        <f>IFERROR(__xludf.DUMMYFUNCTION("""COMPUTED_VALUE"""),"Kalyan")</f>
        <v>Kalyan</v>
      </c>
      <c r="D272" s="53">
        <f>IFERROR(__xludf.DUMMYFUNCTION("""COMPUTED_VALUE"""),7.095149101E9)</f>
        <v>7095149101</v>
      </c>
    </row>
    <row r="273">
      <c r="A273" s="15">
        <f>IFERROR(__xludf.DUMMYFUNCTION("""COMPUTED_VALUE"""),50149.0)</f>
        <v>50149</v>
      </c>
      <c r="B273" s="15" t="str">
        <f>IFERROR(__xludf.DUMMYFUNCTION("""COMPUTED_VALUE"""),"Focus Inside")</f>
        <v>Focus Inside</v>
      </c>
      <c r="C273" s="15" t="str">
        <f>IFERROR(__xludf.DUMMYFUNCTION("""COMPUTED_VALUE"""),"Tarun pahuja")</f>
        <v>Tarun pahuja</v>
      </c>
      <c r="D273" s="53">
        <f>IFERROR(__xludf.DUMMYFUNCTION("""COMPUTED_VALUE"""),9.205510638E9)</f>
        <v>9205510638</v>
      </c>
    </row>
    <row r="274">
      <c r="A274" s="15">
        <f>IFERROR(__xludf.DUMMYFUNCTION("""COMPUTED_VALUE"""),50150.0)</f>
        <v>50150</v>
      </c>
      <c r="B274" s="15" t="str">
        <f>IFERROR(__xludf.DUMMYFUNCTION("""COMPUTED_VALUE"""),"CONFIDENCE BOOSTING CLUB")</f>
        <v>CONFIDENCE BOOSTING CLUB</v>
      </c>
      <c r="C274" s="15" t="str">
        <f>IFERROR(__xludf.DUMMYFUNCTION("""COMPUTED_VALUE"""),"Urvashi saxena")</f>
        <v>Urvashi saxena</v>
      </c>
      <c r="D274" s="53">
        <f>IFERROR(__xludf.DUMMYFUNCTION("""COMPUTED_VALUE"""),9.14012646E9)</f>
        <v>9140126460</v>
      </c>
    </row>
    <row r="275">
      <c r="A275" s="15">
        <f>IFERROR(__xludf.DUMMYFUNCTION("""COMPUTED_VALUE"""),50150.0)</f>
        <v>50150</v>
      </c>
      <c r="B275" s="15" t="str">
        <f>IFERROR(__xludf.DUMMYFUNCTION("""COMPUTED_VALUE"""),"CONFIDENCE BOOSTING CLUB")</f>
        <v>CONFIDENCE BOOSTING CLUB</v>
      </c>
      <c r="C275" s="15" t="str">
        <f>IFERROR(__xludf.DUMMYFUNCTION("""COMPUTED_VALUE"""),"Hemanta Maji")</f>
        <v>Hemanta Maji</v>
      </c>
      <c r="D275" s="53">
        <f>IFERROR(__xludf.DUMMYFUNCTION("""COMPUTED_VALUE"""),9.804307035E9)</f>
        <v>9804307035</v>
      </c>
    </row>
    <row r="276">
      <c r="A276" s="15">
        <f>IFERROR(__xludf.DUMMYFUNCTION("""COMPUTED_VALUE"""),50150.0)</f>
        <v>50150</v>
      </c>
      <c r="B276" s="15" t="str">
        <f>IFERROR(__xludf.DUMMYFUNCTION("""COMPUTED_VALUE"""),"CONFIDENCE BOOSTING CLUB")</f>
        <v>CONFIDENCE BOOSTING CLUB</v>
      </c>
      <c r="C276" s="15" t="str">
        <f>IFERROR(__xludf.DUMMYFUNCTION("""COMPUTED_VALUE"""),"Tanvir Singh")</f>
        <v>Tanvir Singh</v>
      </c>
      <c r="D276" s="53">
        <f>IFERROR(__xludf.DUMMYFUNCTION("""COMPUTED_VALUE"""),7.814842855E9)</f>
        <v>7814842855</v>
      </c>
    </row>
    <row r="277">
      <c r="A277" s="15">
        <f>IFERROR(__xludf.DUMMYFUNCTION("""COMPUTED_VALUE"""),50150.0)</f>
        <v>50150</v>
      </c>
      <c r="B277" s="15" t="str">
        <f>IFERROR(__xludf.DUMMYFUNCTION("""COMPUTED_VALUE"""),"CONFIDENCE BOOSTING CLUB")</f>
        <v>CONFIDENCE BOOSTING CLUB</v>
      </c>
      <c r="C277" s="15" t="str">
        <f>IFERROR(__xludf.DUMMYFUNCTION("""COMPUTED_VALUE"""),"Geetanjali Arora")</f>
        <v>Geetanjali Arora</v>
      </c>
      <c r="D277" s="53">
        <f>IFERROR(__xludf.DUMMYFUNCTION("""COMPUTED_VALUE"""),9.805554761E9)</f>
        <v>9805554761</v>
      </c>
    </row>
    <row r="278">
      <c r="A278" s="15">
        <f>IFERROR(__xludf.DUMMYFUNCTION("""COMPUTED_VALUE"""),50150.0)</f>
        <v>50150</v>
      </c>
      <c r="B278" s="15" t="str">
        <f>IFERROR(__xludf.DUMMYFUNCTION("""COMPUTED_VALUE"""),"CONFIDENCE BOOSTING CLUB")</f>
        <v>CONFIDENCE BOOSTING CLUB</v>
      </c>
      <c r="C278" s="15" t="str">
        <f>IFERROR(__xludf.DUMMYFUNCTION("""COMPUTED_VALUE"""),"priyanka sharma")</f>
        <v>priyanka sharma</v>
      </c>
      <c r="D278" s="53">
        <f>IFERROR(__xludf.DUMMYFUNCTION("""COMPUTED_VALUE"""),9.736834208E9)</f>
        <v>9736834208</v>
      </c>
    </row>
    <row r="279">
      <c r="A279" s="15">
        <f>IFERROR(__xludf.DUMMYFUNCTION("""COMPUTED_VALUE"""),50154.0)</f>
        <v>50154</v>
      </c>
      <c r="B279" s="15" t="str">
        <f>IFERROR(__xludf.DUMMYFUNCTION("""COMPUTED_VALUE"""),"Yoga by Amruta")</f>
        <v>Yoga by Amruta</v>
      </c>
      <c r="C279" s="15" t="str">
        <f>IFERROR(__xludf.DUMMYFUNCTION("""COMPUTED_VALUE"""),"Mansi Agrawal")</f>
        <v>Mansi Agrawal</v>
      </c>
      <c r="D279" s="53">
        <f>IFERROR(__xludf.DUMMYFUNCTION("""COMPUTED_VALUE"""),9.315702844E9)</f>
        <v>9315702844</v>
      </c>
    </row>
    <row r="280">
      <c r="A280" s="15">
        <f>IFERROR(__xludf.DUMMYFUNCTION("""COMPUTED_VALUE"""),50154.0)</f>
        <v>50154</v>
      </c>
      <c r="B280" s="15" t="str">
        <f>IFERROR(__xludf.DUMMYFUNCTION("""COMPUTED_VALUE"""),"Yoga by Amruta")</f>
        <v>Yoga by Amruta</v>
      </c>
      <c r="C280" s="15" t="str">
        <f>IFERROR(__xludf.DUMMYFUNCTION("""COMPUTED_VALUE"""),"Anshul jain")</f>
        <v>Anshul jain</v>
      </c>
      <c r="D280" s="53">
        <f>IFERROR(__xludf.DUMMYFUNCTION("""COMPUTED_VALUE"""),8.264960042E9)</f>
        <v>8264960042</v>
      </c>
    </row>
    <row r="281">
      <c r="A281" s="15">
        <f>IFERROR(__xludf.DUMMYFUNCTION("""COMPUTED_VALUE"""),50154.0)</f>
        <v>50154</v>
      </c>
      <c r="B281" s="15" t="str">
        <f>IFERROR(__xludf.DUMMYFUNCTION("""COMPUTED_VALUE"""),"Yoga by Amruta")</f>
        <v>Yoga by Amruta</v>
      </c>
      <c r="C281" s="15" t="str">
        <f>IFERROR(__xludf.DUMMYFUNCTION("""COMPUTED_VALUE"""),"Urvashi saxena")</f>
        <v>Urvashi saxena</v>
      </c>
      <c r="D281" s="53">
        <f>IFERROR(__xludf.DUMMYFUNCTION("""COMPUTED_VALUE"""),9.14012646E9)</f>
        <v>9140126460</v>
      </c>
    </row>
    <row r="282">
      <c r="A282" s="15">
        <f>IFERROR(__xludf.DUMMYFUNCTION("""COMPUTED_VALUE"""),50154.0)</f>
        <v>50154</v>
      </c>
      <c r="B282" s="15" t="str">
        <f>IFERROR(__xludf.DUMMYFUNCTION("""COMPUTED_VALUE"""),"Yoga by Amruta")</f>
        <v>Yoga by Amruta</v>
      </c>
      <c r="C282" s="15" t="str">
        <f>IFERROR(__xludf.DUMMYFUNCTION("""COMPUTED_VALUE"""),"saurabh thakekar")</f>
        <v>saurabh thakekar</v>
      </c>
      <c r="D282" s="53">
        <f>IFERROR(__xludf.DUMMYFUNCTION("""COMPUTED_VALUE"""),8.850328619E9)</f>
        <v>8850328619</v>
      </c>
    </row>
    <row r="283">
      <c r="A283" s="15">
        <f>IFERROR(__xludf.DUMMYFUNCTION("""COMPUTED_VALUE"""),50154.0)</f>
        <v>50154</v>
      </c>
      <c r="B283" s="15" t="str">
        <f>IFERROR(__xludf.DUMMYFUNCTION("""COMPUTED_VALUE"""),"Yoga by Amruta")</f>
        <v>Yoga by Amruta</v>
      </c>
      <c r="C283" s="15" t="str">
        <f>IFERROR(__xludf.DUMMYFUNCTION("""COMPUTED_VALUE"""),"Rajiv")</f>
        <v>Rajiv</v>
      </c>
      <c r="D283" s="53">
        <f>IFERROR(__xludf.DUMMYFUNCTION("""COMPUTED_VALUE"""),7.973740776E9)</f>
        <v>7973740776</v>
      </c>
    </row>
    <row r="284">
      <c r="A284" s="15">
        <f>IFERROR(__xludf.DUMMYFUNCTION("""COMPUTED_VALUE"""),50154.0)</f>
        <v>50154</v>
      </c>
      <c r="B284" s="15" t="str">
        <f>IFERROR(__xludf.DUMMYFUNCTION("""COMPUTED_VALUE"""),"Yoga by Amruta")</f>
        <v>Yoga by Amruta</v>
      </c>
      <c r="C284" s="15" t="str">
        <f>IFERROR(__xludf.DUMMYFUNCTION("""COMPUTED_VALUE"""),"Samruddhi Thakekar")</f>
        <v>Samruddhi Thakekar</v>
      </c>
      <c r="D284" s="53">
        <f>IFERROR(__xludf.DUMMYFUNCTION("""COMPUTED_VALUE"""),9.029353562E9)</f>
        <v>9029353562</v>
      </c>
    </row>
    <row r="285">
      <c r="A285" s="15">
        <f>IFERROR(__xludf.DUMMYFUNCTION("""COMPUTED_VALUE"""),50154.0)</f>
        <v>50154</v>
      </c>
      <c r="B285" s="15" t="str">
        <f>IFERROR(__xludf.DUMMYFUNCTION("""COMPUTED_VALUE"""),"Yoga by Amruta")</f>
        <v>Yoga by Amruta</v>
      </c>
      <c r="C285" s="15" t="str">
        <f>IFERROR(__xludf.DUMMYFUNCTION("""COMPUTED_VALUE"""),"Tarun pahuja")</f>
        <v>Tarun pahuja</v>
      </c>
      <c r="D285" s="53">
        <f>IFERROR(__xludf.DUMMYFUNCTION("""COMPUTED_VALUE"""),9.205510638E9)</f>
        <v>9205510638</v>
      </c>
    </row>
    <row r="286">
      <c r="A286" s="15">
        <f>IFERROR(__xludf.DUMMYFUNCTION("""COMPUTED_VALUE"""),50155.0)</f>
        <v>50155</v>
      </c>
      <c r="B286" s="15" t="str">
        <f>IFERROR(__xludf.DUMMYFUNCTION("""COMPUTED_VALUE"""),"LinkedGrow ")</f>
        <v>LinkedGrow </v>
      </c>
      <c r="C286" s="15" t="str">
        <f>IFERROR(__xludf.DUMMYFUNCTION("""COMPUTED_VALUE"""),"Mansi Agrawal")</f>
        <v>Mansi Agrawal</v>
      </c>
      <c r="D286" s="53">
        <f>IFERROR(__xludf.DUMMYFUNCTION("""COMPUTED_VALUE"""),9.315702844E9)</f>
        <v>9315702844</v>
      </c>
    </row>
    <row r="287">
      <c r="A287" s="15">
        <f>IFERROR(__xludf.DUMMYFUNCTION("""COMPUTED_VALUE"""),50155.0)</f>
        <v>50155</v>
      </c>
      <c r="B287" s="15" t="str">
        <f>IFERROR(__xludf.DUMMYFUNCTION("""COMPUTED_VALUE"""),"LinkedGrow ")</f>
        <v>LinkedGrow </v>
      </c>
      <c r="C287" s="15" t="str">
        <f>IFERROR(__xludf.DUMMYFUNCTION("""COMPUTED_VALUE"""),"Anshul jain")</f>
        <v>Anshul jain</v>
      </c>
      <c r="D287" s="53">
        <f>IFERROR(__xludf.DUMMYFUNCTION("""COMPUTED_VALUE"""),8.264960042E9)</f>
        <v>8264960042</v>
      </c>
    </row>
    <row r="288">
      <c r="A288" s="15">
        <f>IFERROR(__xludf.DUMMYFUNCTION("""COMPUTED_VALUE"""),50155.0)</f>
        <v>50155</v>
      </c>
      <c r="B288" s="15" t="str">
        <f>IFERROR(__xludf.DUMMYFUNCTION("""COMPUTED_VALUE"""),"LinkedGrow ")</f>
        <v>LinkedGrow </v>
      </c>
      <c r="C288" s="15" t="str">
        <f>IFERROR(__xludf.DUMMYFUNCTION("""COMPUTED_VALUE"""),"Urvashi saxena")</f>
        <v>Urvashi saxena</v>
      </c>
      <c r="D288" s="53">
        <f>IFERROR(__xludf.DUMMYFUNCTION("""COMPUTED_VALUE"""),9.14012646E9)</f>
        <v>9140126460</v>
      </c>
    </row>
    <row r="289">
      <c r="A289" s="15">
        <f>IFERROR(__xludf.DUMMYFUNCTION("""COMPUTED_VALUE"""),50155.0)</f>
        <v>50155</v>
      </c>
      <c r="B289" s="15" t="str">
        <f>IFERROR(__xludf.DUMMYFUNCTION("""COMPUTED_VALUE"""),"LinkedGrow ")</f>
        <v>LinkedGrow </v>
      </c>
      <c r="C289" s="15" t="str">
        <f>IFERROR(__xludf.DUMMYFUNCTION("""COMPUTED_VALUE"""),"Rajiv")</f>
        <v>Rajiv</v>
      </c>
      <c r="D289" s="53">
        <f>IFERROR(__xludf.DUMMYFUNCTION("""COMPUTED_VALUE"""),7.973740776E9)</f>
        <v>7973740776</v>
      </c>
    </row>
    <row r="290">
      <c r="A290" s="15">
        <f>IFERROR(__xludf.DUMMYFUNCTION("""COMPUTED_VALUE"""),50155.0)</f>
        <v>50155</v>
      </c>
      <c r="B290" s="15" t="str">
        <f>IFERROR(__xludf.DUMMYFUNCTION("""COMPUTED_VALUE"""),"LinkedGrow ")</f>
        <v>LinkedGrow </v>
      </c>
      <c r="C290" s="15" t="str">
        <f>IFERROR(__xludf.DUMMYFUNCTION("""COMPUTED_VALUE"""),"adi")</f>
        <v>adi</v>
      </c>
      <c r="D290" s="53">
        <f>IFERROR(__xludf.DUMMYFUNCTION("""COMPUTED_VALUE"""),6.283605707E9)</f>
        <v>6283605707</v>
      </c>
    </row>
    <row r="291">
      <c r="A291" s="15">
        <f>IFERROR(__xludf.DUMMYFUNCTION("""COMPUTED_VALUE"""),50157.0)</f>
        <v>50157</v>
      </c>
      <c r="B291" s="15" t="str">
        <f>IFERROR(__xludf.DUMMYFUNCTION("""COMPUTED_VALUE"""),"Let'sLearntoSocial - ABFC")</f>
        <v>Let'sLearntoSocial - ABFC</v>
      </c>
      <c r="C291" s="15" t="str">
        <f>IFERROR(__xludf.DUMMYFUNCTION("""COMPUTED_VALUE"""),"Mansi Agrawal")</f>
        <v>Mansi Agrawal</v>
      </c>
      <c r="D291" s="53">
        <f>IFERROR(__xludf.DUMMYFUNCTION("""COMPUTED_VALUE"""),9.315702844E9)</f>
        <v>9315702844</v>
      </c>
    </row>
    <row r="292">
      <c r="A292" s="15">
        <f>IFERROR(__xludf.DUMMYFUNCTION("""COMPUTED_VALUE"""),50157.0)</f>
        <v>50157</v>
      </c>
      <c r="B292" s="15" t="str">
        <f>IFERROR(__xludf.DUMMYFUNCTION("""COMPUTED_VALUE"""),"Let'sLearntoSocial - ABFC")</f>
        <v>Let'sLearntoSocial - ABFC</v>
      </c>
      <c r="C292" s="15" t="str">
        <f>IFERROR(__xludf.DUMMYFUNCTION("""COMPUTED_VALUE"""),"Anshul jain")</f>
        <v>Anshul jain</v>
      </c>
      <c r="D292" s="53">
        <f>IFERROR(__xludf.DUMMYFUNCTION("""COMPUTED_VALUE"""),8.264960042E9)</f>
        <v>8264960042</v>
      </c>
    </row>
    <row r="293">
      <c r="A293" s="15">
        <f>IFERROR(__xludf.DUMMYFUNCTION("""COMPUTED_VALUE"""),50157.0)</f>
        <v>50157</v>
      </c>
      <c r="B293" s="15" t="str">
        <f>IFERROR(__xludf.DUMMYFUNCTION("""COMPUTED_VALUE"""),"Let'sLearntoSocial - ABFC")</f>
        <v>Let'sLearntoSocial - ABFC</v>
      </c>
      <c r="C293" s="15" t="str">
        <f>IFERROR(__xludf.DUMMYFUNCTION("""COMPUTED_VALUE"""),"Urvashi saxena")</f>
        <v>Urvashi saxena</v>
      </c>
      <c r="D293" s="53">
        <f>IFERROR(__xludf.DUMMYFUNCTION("""COMPUTED_VALUE"""),9.14012646E9)</f>
        <v>9140126460</v>
      </c>
    </row>
    <row r="294">
      <c r="A294" s="15">
        <f>IFERROR(__xludf.DUMMYFUNCTION("""COMPUTED_VALUE"""),50157.0)</f>
        <v>50157</v>
      </c>
      <c r="B294" s="15" t="str">
        <f>IFERROR(__xludf.DUMMYFUNCTION("""COMPUTED_VALUE"""),"Let'sLearntoSocial - ABFC")</f>
        <v>Let'sLearntoSocial - ABFC</v>
      </c>
      <c r="C294" s="15" t="str">
        <f>IFERROR(__xludf.DUMMYFUNCTION("""COMPUTED_VALUE"""),"Deepak Surendar")</f>
        <v>Deepak Surendar</v>
      </c>
      <c r="D294" s="53">
        <f>IFERROR(__xludf.DUMMYFUNCTION("""COMPUTED_VALUE"""),8.722090222E9)</f>
        <v>8722090222</v>
      </c>
    </row>
    <row r="295">
      <c r="A295" s="15">
        <f>IFERROR(__xludf.DUMMYFUNCTION("""COMPUTED_VALUE"""),50157.0)</f>
        <v>50157</v>
      </c>
      <c r="B295" s="15" t="str">
        <f>IFERROR(__xludf.DUMMYFUNCTION("""COMPUTED_VALUE"""),"Let'sLearntoSocial - ABFC")</f>
        <v>Let'sLearntoSocial - ABFC</v>
      </c>
      <c r="C295" s="15" t="str">
        <f>IFERROR(__xludf.DUMMYFUNCTION("""COMPUTED_VALUE"""),"Gauri Bellad")</f>
        <v>Gauri Bellad</v>
      </c>
      <c r="D295" s="53">
        <f>IFERROR(__xludf.DUMMYFUNCTION("""COMPUTED_VALUE"""),8.762050817E9)</f>
        <v>8762050817</v>
      </c>
    </row>
    <row r="296">
      <c r="A296" s="15">
        <f>IFERROR(__xludf.DUMMYFUNCTION("""COMPUTED_VALUE"""),50157.0)</f>
        <v>50157</v>
      </c>
      <c r="B296" s="15" t="str">
        <f>IFERROR(__xludf.DUMMYFUNCTION("""COMPUTED_VALUE"""),"Let'sLearntoSocial - ABFC")</f>
        <v>Let'sLearntoSocial - ABFC</v>
      </c>
      <c r="C296" s="15" t="str">
        <f>IFERROR(__xludf.DUMMYFUNCTION("""COMPUTED_VALUE"""),"Priti Sangwan  ")</f>
        <v>Priti Sangwan  </v>
      </c>
      <c r="D296" s="53">
        <f>IFERROR(__xludf.DUMMYFUNCTION("""COMPUTED_VALUE"""),7.015621821E9)</f>
        <v>7015621821</v>
      </c>
    </row>
    <row r="297">
      <c r="A297" s="15">
        <f>IFERROR(__xludf.DUMMYFUNCTION("""COMPUTED_VALUE"""),50159.0)</f>
        <v>50159</v>
      </c>
      <c r="B297" s="15" t="str">
        <f>IFERROR(__xludf.DUMMYFUNCTION("""COMPUTED_VALUE"""),"Steps Towards Crafting")</f>
        <v>Steps Towards Crafting</v>
      </c>
      <c r="C297" s="15" t="str">
        <f>IFERROR(__xludf.DUMMYFUNCTION("""COMPUTED_VALUE"""),"Mansi Agrawal")</f>
        <v>Mansi Agrawal</v>
      </c>
      <c r="D297" s="53">
        <f>IFERROR(__xludf.DUMMYFUNCTION("""COMPUTED_VALUE"""),9.315702844E9)</f>
        <v>9315702844</v>
      </c>
    </row>
    <row r="298">
      <c r="A298" s="15">
        <f>IFERROR(__xludf.DUMMYFUNCTION("""COMPUTED_VALUE"""),50159.0)</f>
        <v>50159</v>
      </c>
      <c r="B298" s="15" t="str">
        <f>IFERROR(__xludf.DUMMYFUNCTION("""COMPUTED_VALUE"""),"Steps Towards Crafting")</f>
        <v>Steps Towards Crafting</v>
      </c>
      <c r="C298" s="15" t="str">
        <f>IFERROR(__xludf.DUMMYFUNCTION("""COMPUTED_VALUE"""),"Anshul jain")</f>
        <v>Anshul jain</v>
      </c>
      <c r="D298" s="53">
        <f>IFERROR(__xludf.DUMMYFUNCTION("""COMPUTED_VALUE"""),8.264960042E9)</f>
        <v>8264960042</v>
      </c>
    </row>
    <row r="299">
      <c r="A299" s="15">
        <f>IFERROR(__xludf.DUMMYFUNCTION("""COMPUTED_VALUE"""),50159.0)</f>
        <v>50159</v>
      </c>
      <c r="B299" s="15" t="str">
        <f>IFERROR(__xludf.DUMMYFUNCTION("""COMPUTED_VALUE"""),"Steps Towards Crafting")</f>
        <v>Steps Towards Crafting</v>
      </c>
      <c r="C299" s="15" t="str">
        <f>IFERROR(__xludf.DUMMYFUNCTION("""COMPUTED_VALUE"""),"Urvashi saxena")</f>
        <v>Urvashi saxena</v>
      </c>
      <c r="D299" s="53">
        <f>IFERROR(__xludf.DUMMYFUNCTION("""COMPUTED_VALUE"""),9.14012646E9)</f>
        <v>9140126460</v>
      </c>
    </row>
    <row r="300">
      <c r="A300" s="15">
        <f>IFERROR(__xludf.DUMMYFUNCTION("""COMPUTED_VALUE"""),50159.0)</f>
        <v>50159</v>
      </c>
      <c r="B300" s="15" t="str">
        <f>IFERROR(__xludf.DUMMYFUNCTION("""COMPUTED_VALUE"""),"Steps Towards Crafting")</f>
        <v>Steps Towards Crafting</v>
      </c>
      <c r="C300" s="15" t="str">
        <f>IFERROR(__xludf.DUMMYFUNCTION("""COMPUTED_VALUE"""),"Rajiv")</f>
        <v>Rajiv</v>
      </c>
      <c r="D300" s="53">
        <f>IFERROR(__xludf.DUMMYFUNCTION("""COMPUTED_VALUE"""),7.973740776E9)</f>
        <v>7973740776</v>
      </c>
    </row>
    <row r="301">
      <c r="A301" s="15">
        <f>IFERROR(__xludf.DUMMYFUNCTION("""COMPUTED_VALUE"""),50159.0)</f>
        <v>50159</v>
      </c>
      <c r="B301" s="15" t="str">
        <f>IFERROR(__xludf.DUMMYFUNCTION("""COMPUTED_VALUE"""),"Steps Towards Crafting")</f>
        <v>Steps Towards Crafting</v>
      </c>
      <c r="C301" s="15" t="str">
        <f>IFERROR(__xludf.DUMMYFUNCTION("""COMPUTED_VALUE"""),"Devraj")</f>
        <v>Devraj</v>
      </c>
      <c r="D301" s="53">
        <f>IFERROR(__xludf.DUMMYFUNCTION("""COMPUTED_VALUE"""),7.838588437E9)</f>
        <v>7838588437</v>
      </c>
    </row>
    <row r="302">
      <c r="A302" s="15">
        <f>IFERROR(__xludf.DUMMYFUNCTION("""COMPUTED_VALUE"""),50159.0)</f>
        <v>50159</v>
      </c>
      <c r="B302" s="15" t="str">
        <f>IFERROR(__xludf.DUMMYFUNCTION("""COMPUTED_VALUE"""),"Steps Towards Crafting")</f>
        <v>Steps Towards Crafting</v>
      </c>
      <c r="C302" s="15" t="str">
        <f>IFERROR(__xludf.DUMMYFUNCTION("""COMPUTED_VALUE"""),"Aditi")</f>
        <v>Aditi</v>
      </c>
      <c r="D302" s="53">
        <f>IFERROR(__xludf.DUMMYFUNCTION("""COMPUTED_VALUE"""),9.357285674E9)</f>
        <v>9357285674</v>
      </c>
    </row>
    <row r="303">
      <c r="A303" s="15">
        <f>IFERROR(__xludf.DUMMYFUNCTION("""COMPUTED_VALUE"""),50160.0)</f>
        <v>50160</v>
      </c>
      <c r="B303" s="15" t="str">
        <f>IFERROR(__xludf.DUMMYFUNCTION("""COMPUTED_VALUE"""),"UVA Fit")</f>
        <v>UVA Fit</v>
      </c>
      <c r="C303" s="15" t="str">
        <f>IFERROR(__xludf.DUMMYFUNCTION("""COMPUTED_VALUE"""),"Mansi Agrawal")</f>
        <v>Mansi Agrawal</v>
      </c>
      <c r="D303" s="53">
        <f>IFERROR(__xludf.DUMMYFUNCTION("""COMPUTED_VALUE"""),9.315702844E9)</f>
        <v>9315702844</v>
      </c>
    </row>
    <row r="304">
      <c r="A304" s="15">
        <f>IFERROR(__xludf.DUMMYFUNCTION("""COMPUTED_VALUE"""),50160.0)</f>
        <v>50160</v>
      </c>
      <c r="B304" s="15" t="str">
        <f>IFERROR(__xludf.DUMMYFUNCTION("""COMPUTED_VALUE"""),"UVA Fit")</f>
        <v>UVA Fit</v>
      </c>
      <c r="C304" s="15" t="str">
        <f>IFERROR(__xludf.DUMMYFUNCTION("""COMPUTED_VALUE"""),"Anshul jain")</f>
        <v>Anshul jain</v>
      </c>
      <c r="D304" s="53">
        <f>IFERROR(__xludf.DUMMYFUNCTION("""COMPUTED_VALUE"""),8.264960042E9)</f>
        <v>8264960042</v>
      </c>
    </row>
    <row r="305">
      <c r="A305" s="15">
        <f>IFERROR(__xludf.DUMMYFUNCTION("""COMPUTED_VALUE"""),50160.0)</f>
        <v>50160</v>
      </c>
      <c r="B305" s="15" t="str">
        <f>IFERROR(__xludf.DUMMYFUNCTION("""COMPUTED_VALUE"""),"UVA Fit")</f>
        <v>UVA Fit</v>
      </c>
      <c r="C305" s="15" t="str">
        <f>IFERROR(__xludf.DUMMYFUNCTION("""COMPUTED_VALUE"""),"Urvashi saxena")</f>
        <v>Urvashi saxena</v>
      </c>
      <c r="D305" s="53">
        <f>IFERROR(__xludf.DUMMYFUNCTION("""COMPUTED_VALUE"""),9.14012646E9)</f>
        <v>9140126460</v>
      </c>
    </row>
    <row r="306">
      <c r="A306" s="15">
        <f>IFERROR(__xludf.DUMMYFUNCTION("""COMPUTED_VALUE"""),50160.0)</f>
        <v>50160</v>
      </c>
      <c r="B306" s="15" t="str">
        <f>IFERROR(__xludf.DUMMYFUNCTION("""COMPUTED_VALUE"""),"UVA Fit")</f>
        <v>UVA Fit</v>
      </c>
      <c r="C306" s="15" t="str">
        <f>IFERROR(__xludf.DUMMYFUNCTION("""COMPUTED_VALUE"""),"Raghu Sampangi")</f>
        <v>Raghu Sampangi</v>
      </c>
      <c r="D306" s="53">
        <f>IFERROR(__xludf.DUMMYFUNCTION("""COMPUTED_VALUE"""),9.845001865E9)</f>
        <v>9845001865</v>
      </c>
    </row>
    <row r="307">
      <c r="A307" s="15">
        <f>IFERROR(__xludf.DUMMYFUNCTION("""COMPUTED_VALUE"""),50160.0)</f>
        <v>50160</v>
      </c>
      <c r="B307" s="15" t="str">
        <f>IFERROR(__xludf.DUMMYFUNCTION("""COMPUTED_VALUE"""),"UVA Fit")</f>
        <v>UVA Fit</v>
      </c>
      <c r="C307" s="15" t="str">
        <f>IFERROR(__xludf.DUMMYFUNCTION("""COMPUTED_VALUE"""),"Aveline Juliet")</f>
        <v>Aveline Juliet</v>
      </c>
      <c r="D307" s="53">
        <f>IFERROR(__xludf.DUMMYFUNCTION("""COMPUTED_VALUE"""),9.98096251E9)</f>
        <v>9980962510</v>
      </c>
    </row>
    <row r="308">
      <c r="A308" s="15">
        <f>IFERROR(__xludf.DUMMYFUNCTION("""COMPUTED_VALUE"""),50168.0)</f>
        <v>50168</v>
      </c>
      <c r="B308" s="15" t="str">
        <f>IFERROR(__xludf.DUMMYFUNCTION("""COMPUTED_VALUE"""),"Skillyukt")</f>
        <v>Skillyukt</v>
      </c>
      <c r="C308" s="15" t="str">
        <f>IFERROR(__xludf.DUMMYFUNCTION("""COMPUTED_VALUE"""),"Rahul Mehra")</f>
        <v>Rahul Mehra</v>
      </c>
      <c r="D308" s="53">
        <f>IFERROR(__xludf.DUMMYFUNCTION("""COMPUTED_VALUE"""),9.19971370742E11)</f>
        <v>919971370742</v>
      </c>
    </row>
    <row r="309">
      <c r="A309" s="15">
        <f>IFERROR(__xludf.DUMMYFUNCTION("""COMPUTED_VALUE"""),50168.0)</f>
        <v>50168</v>
      </c>
      <c r="B309" s="15" t="str">
        <f>IFERROR(__xludf.DUMMYFUNCTION("""COMPUTED_VALUE"""),"Skillyukt")</f>
        <v>Skillyukt</v>
      </c>
      <c r="C309" s="15" t="str">
        <f>IFERROR(__xludf.DUMMYFUNCTION("""COMPUTED_VALUE"""),"Saurabh")</f>
        <v>Saurabh</v>
      </c>
      <c r="D309" s="53">
        <f>IFERROR(__xludf.DUMMYFUNCTION("""COMPUTED_VALUE"""),9.953550139E9)</f>
        <v>9953550139</v>
      </c>
    </row>
    <row r="310">
      <c r="A310" s="15">
        <f>IFERROR(__xludf.DUMMYFUNCTION("""COMPUTED_VALUE"""),50168.0)</f>
        <v>50168</v>
      </c>
      <c r="B310" s="15" t="str">
        <f>IFERROR(__xludf.DUMMYFUNCTION("""COMPUTED_VALUE"""),"Skillyukt")</f>
        <v>Skillyukt</v>
      </c>
      <c r="C310" s="15" t="str">
        <f>IFERROR(__xludf.DUMMYFUNCTION("""COMPUTED_VALUE"""),"Srishti")</f>
        <v>Srishti</v>
      </c>
      <c r="D310" s="53">
        <f>IFERROR(__xludf.DUMMYFUNCTION("""COMPUTED_VALUE"""),8.368912629E9)</f>
        <v>8368912629</v>
      </c>
    </row>
    <row r="311">
      <c r="A311" s="15">
        <f>IFERROR(__xludf.DUMMYFUNCTION("""COMPUTED_VALUE"""),50168.0)</f>
        <v>50168</v>
      </c>
      <c r="B311" s="15" t="str">
        <f>IFERROR(__xludf.DUMMYFUNCTION("""COMPUTED_VALUE"""),"Skillyukt")</f>
        <v>Skillyukt</v>
      </c>
      <c r="C311" s="15" t="str">
        <f>IFERROR(__xludf.DUMMYFUNCTION("""COMPUTED_VALUE"""),"Muskan Bhaiyan")</f>
        <v>Muskan Bhaiyan</v>
      </c>
      <c r="D311" s="53">
        <f>IFERROR(__xludf.DUMMYFUNCTION("""COMPUTED_VALUE"""),8.770133567E9)</f>
        <v>8770133567</v>
      </c>
    </row>
    <row r="312">
      <c r="A312" s="15">
        <f>IFERROR(__xludf.DUMMYFUNCTION("""COMPUTED_VALUE"""),50169.0)</f>
        <v>50169</v>
      </c>
      <c r="B312" s="15" t="str">
        <f>IFERROR(__xludf.DUMMYFUNCTION("""COMPUTED_VALUE"""),"Turning Dreams into Stardom")</f>
        <v>Turning Dreams into Stardom</v>
      </c>
      <c r="C312" s="15" t="str">
        <f>IFERROR(__xludf.DUMMYFUNCTION("""COMPUTED_VALUE"""),"MannSehgal")</f>
        <v>MannSehgal</v>
      </c>
      <c r="D312" s="53">
        <f>IFERROR(__xludf.DUMMYFUNCTION("""COMPUTED_VALUE"""),9.910058048E9)</f>
        <v>9910058048</v>
      </c>
    </row>
    <row r="313">
      <c r="A313" s="15">
        <f>IFERROR(__xludf.DUMMYFUNCTION("""COMPUTED_VALUE"""),50169.0)</f>
        <v>50169</v>
      </c>
      <c r="B313" s="15" t="str">
        <f>IFERROR(__xludf.DUMMYFUNCTION("""COMPUTED_VALUE"""),"Turning Dreams into Stardom")</f>
        <v>Turning Dreams into Stardom</v>
      </c>
      <c r="C313" s="15" t="str">
        <f>IFERROR(__xludf.DUMMYFUNCTION("""COMPUTED_VALUE"""),"Jitendra Singh")</f>
        <v>Jitendra Singh</v>
      </c>
      <c r="D313" s="53">
        <f>IFERROR(__xludf.DUMMYFUNCTION("""COMPUTED_VALUE"""),7.408554704E9)</f>
        <v>7408554704</v>
      </c>
    </row>
    <row r="314">
      <c r="A314" s="15">
        <f>IFERROR(__xludf.DUMMYFUNCTION("""COMPUTED_VALUE"""),50170.0)</f>
        <v>50170</v>
      </c>
      <c r="B314" s="15" t="str">
        <f>IFERROR(__xludf.DUMMYFUNCTION("""COMPUTED_VALUE"""),"Level Zero Esports ")</f>
        <v>Level Zero Esports </v>
      </c>
      <c r="C314" s="15" t="str">
        <f>IFERROR(__xludf.DUMMYFUNCTION("""COMPUTED_VALUE"""),"Adarsh Verma")</f>
        <v>Adarsh Verma</v>
      </c>
      <c r="D314" s="53">
        <f>IFERROR(__xludf.DUMMYFUNCTION("""COMPUTED_VALUE"""),9.123080989E9)</f>
        <v>9123080989</v>
      </c>
    </row>
    <row r="315">
      <c r="A315" s="15">
        <f>IFERROR(__xludf.DUMMYFUNCTION("""COMPUTED_VALUE"""),50170.0)</f>
        <v>50170</v>
      </c>
      <c r="B315" s="15" t="str">
        <f>IFERROR(__xludf.DUMMYFUNCTION("""COMPUTED_VALUE"""),"Level Zero Esports ")</f>
        <v>Level Zero Esports </v>
      </c>
      <c r="C315" s="15" t="str">
        <f>IFERROR(__xludf.DUMMYFUNCTION("""COMPUTED_VALUE"""),"Abhishek Rawat")</f>
        <v>Abhishek Rawat</v>
      </c>
      <c r="D315" s="53">
        <f>IFERROR(__xludf.DUMMYFUNCTION("""COMPUTED_VALUE"""),9.877829441E9)</f>
        <v>9877829441</v>
      </c>
    </row>
    <row r="316">
      <c r="A316" s="15">
        <f>IFERROR(__xludf.DUMMYFUNCTION("""COMPUTED_VALUE"""),50170.0)</f>
        <v>50170</v>
      </c>
      <c r="B316" s="15" t="str">
        <f>IFERROR(__xludf.DUMMYFUNCTION("""COMPUTED_VALUE"""),"Level Zero Esports ")</f>
        <v>Level Zero Esports </v>
      </c>
      <c r="C316" s="15" t="str">
        <f>IFERROR(__xludf.DUMMYFUNCTION("""COMPUTED_VALUE"""),"Dipayan Bhowal")</f>
        <v>Dipayan Bhowal</v>
      </c>
      <c r="D316" s="53">
        <f>IFERROR(__xludf.DUMMYFUNCTION("""COMPUTED_VALUE"""),9.874839969E9)</f>
        <v>9874839969</v>
      </c>
    </row>
    <row r="317">
      <c r="A317" s="15">
        <f>IFERROR(__xludf.DUMMYFUNCTION("""COMPUTED_VALUE"""),50170.0)</f>
        <v>50170</v>
      </c>
      <c r="B317" s="15" t="str">
        <f>IFERROR(__xludf.DUMMYFUNCTION("""COMPUTED_VALUE"""),"Level Zero Esports ")</f>
        <v>Level Zero Esports </v>
      </c>
      <c r="C317" s="15" t="str">
        <f>IFERROR(__xludf.DUMMYFUNCTION("""COMPUTED_VALUE"""),"Shrey Verma")</f>
        <v>Shrey Verma</v>
      </c>
      <c r="D317" s="53">
        <f>IFERROR(__xludf.DUMMYFUNCTION("""COMPUTED_VALUE"""),7.980750861E9)</f>
        <v>7980750861</v>
      </c>
    </row>
    <row r="318">
      <c r="A318" s="15">
        <f>IFERROR(__xludf.DUMMYFUNCTION("""COMPUTED_VALUE"""),50170.0)</f>
        <v>50170</v>
      </c>
      <c r="B318" s="15" t="str">
        <f>IFERROR(__xludf.DUMMYFUNCTION("""COMPUTED_VALUE"""),"Level Zero Esports ")</f>
        <v>Level Zero Esports </v>
      </c>
      <c r="C318" s="15" t="str">
        <f>IFERROR(__xludf.DUMMYFUNCTION("""COMPUTED_VALUE"""),"Muskan bhaiya")</f>
        <v>Muskan bhaiya</v>
      </c>
      <c r="D318" s="53">
        <f>IFERROR(__xludf.DUMMYFUNCTION("""COMPUTED_VALUE"""),8.770133567E9)</f>
        <v>8770133567</v>
      </c>
    </row>
    <row r="319">
      <c r="A319" s="15">
        <f>IFERROR(__xludf.DUMMYFUNCTION("""COMPUTED_VALUE"""),50173.0)</f>
        <v>50173</v>
      </c>
      <c r="B319" s="15" t="str">
        <f>IFERROR(__xludf.DUMMYFUNCTION("""COMPUTED_VALUE"""),"Finowiz - The Financial Wizard")</f>
        <v>Finowiz - The Financial Wizard</v>
      </c>
      <c r="C319" s="15" t="str">
        <f>IFERROR(__xludf.DUMMYFUNCTION("""COMPUTED_VALUE"""),"Muskan bhaiya")</f>
        <v>Muskan bhaiya</v>
      </c>
      <c r="D319" s="53">
        <f>IFERROR(__xludf.DUMMYFUNCTION("""COMPUTED_VALUE"""),8.770133567E9)</f>
        <v>8770133567</v>
      </c>
    </row>
    <row r="320">
      <c r="A320" s="15">
        <f>IFERROR(__xludf.DUMMYFUNCTION("""COMPUTED_VALUE"""),50178.0)</f>
        <v>50178</v>
      </c>
      <c r="B320" s="15" t="str">
        <f>IFERROR(__xludf.DUMMYFUNCTION("""COMPUTED_VALUE"""),"BYOB")</f>
        <v>BYOB</v>
      </c>
      <c r="C320" s="15" t="str">
        <f>IFERROR(__xludf.DUMMYFUNCTION("""COMPUTED_VALUE"""),"Priti Sangwan  ")</f>
        <v>Priti Sangwan  </v>
      </c>
      <c r="D320" s="53">
        <f>IFERROR(__xludf.DUMMYFUNCTION("""COMPUTED_VALUE"""),9.17015621821E11)</f>
        <v>917015621821</v>
      </c>
    </row>
    <row r="321">
      <c r="A321" s="15">
        <f>IFERROR(__xludf.DUMMYFUNCTION("""COMPUTED_VALUE"""),50178.0)</f>
        <v>50178</v>
      </c>
      <c r="B321" s="15" t="str">
        <f>IFERROR(__xludf.DUMMYFUNCTION("""COMPUTED_VALUE"""),"BYOB")</f>
        <v>BYOB</v>
      </c>
      <c r="C321" s="15" t="str">
        <f>IFERROR(__xludf.DUMMYFUNCTION("""COMPUTED_VALUE"""),"Dibyoshnata ")</f>
        <v>Dibyoshnata </v>
      </c>
      <c r="D321" s="53">
        <f>IFERROR(__xludf.DUMMYFUNCTION("""COMPUTED_VALUE"""),9.18851394064E11)</f>
        <v>918851394064</v>
      </c>
    </row>
    <row r="322">
      <c r="A322" s="15">
        <f>IFERROR(__xludf.DUMMYFUNCTION("""COMPUTED_VALUE"""),50178.0)</f>
        <v>50178</v>
      </c>
      <c r="B322" s="15" t="str">
        <f>IFERROR(__xludf.DUMMYFUNCTION("""COMPUTED_VALUE"""),"BYOB")</f>
        <v>BYOB</v>
      </c>
      <c r="C322" s="15" t="str">
        <f>IFERROR(__xludf.DUMMYFUNCTION("""COMPUTED_VALUE"""),"Rushikesh Bhosle                     +91 90967 97304")</f>
        <v>Rushikesh Bhosle                     +91 90967 97304</v>
      </c>
      <c r="D322" s="53">
        <f>IFERROR(__xludf.DUMMYFUNCTION("""COMPUTED_VALUE"""),9.19096797304E11)</f>
        <v>919096797304</v>
      </c>
    </row>
    <row r="323">
      <c r="A323" s="15">
        <f>IFERROR(__xludf.DUMMYFUNCTION("""COMPUTED_VALUE"""),50178.0)</f>
        <v>50178</v>
      </c>
      <c r="B323" s="15" t="str">
        <f>IFERROR(__xludf.DUMMYFUNCTION("""COMPUTED_VALUE"""),"BYOB")</f>
        <v>BYOB</v>
      </c>
      <c r="C323" s="15" t="str">
        <f>IFERROR(__xludf.DUMMYFUNCTION("""COMPUTED_VALUE"""),"Muskan Bhaiya                           +91 87701 33567")</f>
        <v>Muskan Bhaiya                           +91 87701 33567</v>
      </c>
      <c r="D323" s="53">
        <f>IFERROR(__xludf.DUMMYFUNCTION("""COMPUTED_VALUE"""),8.770133567E9)</f>
        <v>8770133567</v>
      </c>
    </row>
    <row r="324">
      <c r="A324" s="15">
        <f>IFERROR(__xludf.DUMMYFUNCTION("""COMPUTED_VALUE"""),50178.0)</f>
        <v>50178</v>
      </c>
      <c r="B324" s="15" t="str">
        <f>IFERROR(__xludf.DUMMYFUNCTION("""COMPUTED_VALUE"""),"BYOB")</f>
        <v>BYOB</v>
      </c>
      <c r="C324" s="15" t="str">
        <f>IFERROR(__xludf.DUMMYFUNCTION("""COMPUTED_VALUE"""),"Swami Premananda                       +91 78178 74460")</f>
        <v>Swami Premananda                       +91 78178 74460</v>
      </c>
      <c r="D324" s="53">
        <f>IFERROR(__xludf.DUMMYFUNCTION("""COMPUTED_VALUE"""),7.81787446E9)</f>
        <v>7817874460</v>
      </c>
    </row>
    <row r="325">
      <c r="A325" s="15">
        <f>IFERROR(__xludf.DUMMYFUNCTION("""COMPUTED_VALUE"""),50178.0)</f>
        <v>50178</v>
      </c>
      <c r="B325" s="15" t="str">
        <f>IFERROR(__xludf.DUMMYFUNCTION("""COMPUTED_VALUE"""),"BYOB")</f>
        <v>BYOB</v>
      </c>
      <c r="C325" s="15" t="str">
        <f>IFERROR(__xludf.DUMMYFUNCTION("""COMPUTED_VALUE"""),"Ritu Kataria")</f>
        <v>Ritu Kataria</v>
      </c>
      <c r="D325" s="53">
        <f>IFERROR(__xludf.DUMMYFUNCTION("""COMPUTED_VALUE"""),9.179300104E9)</f>
        <v>9179300104</v>
      </c>
    </row>
    <row r="326">
      <c r="A326" s="15">
        <f>IFERROR(__xludf.DUMMYFUNCTION("""COMPUTED_VALUE"""),50185.0)</f>
        <v>50185</v>
      </c>
      <c r="B326" s="15" t="str">
        <f>IFERROR(__xludf.DUMMYFUNCTION("""COMPUTED_VALUE"""),"THE WINNER'S MINDSET ")</f>
        <v>THE WINNER'S MINDSET </v>
      </c>
      <c r="C326" s="15" t="str">
        <f>IFERROR(__xludf.DUMMYFUNCTION("""COMPUTED_VALUE"""),"Priti Sangwan  ")</f>
        <v>Priti Sangwan  </v>
      </c>
      <c r="D326" s="53">
        <f>IFERROR(__xludf.DUMMYFUNCTION("""COMPUTED_VALUE"""),7.015621821E9)</f>
        <v>7015621821</v>
      </c>
    </row>
    <row r="327">
      <c r="A327" s="15">
        <f>IFERROR(__xludf.DUMMYFUNCTION("""COMPUTED_VALUE"""),50185.0)</f>
        <v>50185</v>
      </c>
      <c r="B327" s="15" t="str">
        <f>IFERROR(__xludf.DUMMYFUNCTION("""COMPUTED_VALUE"""),"THE WINNER'S MINDSET ")</f>
        <v>THE WINNER'S MINDSET </v>
      </c>
      <c r="C327" s="15" t="str">
        <f>IFERROR(__xludf.DUMMYFUNCTION("""COMPUTED_VALUE"""),"Manoj Kumar K C")</f>
        <v>Manoj Kumar K C</v>
      </c>
      <c r="D327" s="53">
        <f>IFERROR(__xludf.DUMMYFUNCTION("""COMPUTED_VALUE"""),8.281484301E9)</f>
        <v>8281484301</v>
      </c>
    </row>
    <row r="328">
      <c r="A328" s="15">
        <f>IFERROR(__xludf.DUMMYFUNCTION("""COMPUTED_VALUE"""),50185.0)</f>
        <v>50185</v>
      </c>
      <c r="B328" s="15" t="str">
        <f>IFERROR(__xludf.DUMMYFUNCTION("""COMPUTED_VALUE"""),"THE WINNER'S MINDSET ")</f>
        <v>THE WINNER'S MINDSET </v>
      </c>
      <c r="C328" s="15" t="str">
        <f>IFERROR(__xludf.DUMMYFUNCTION("""COMPUTED_VALUE"""),"Ishan Majumdar")</f>
        <v>Ishan Majumdar</v>
      </c>
      <c r="D328" s="53">
        <f>IFERROR(__xludf.DUMMYFUNCTION("""COMPUTED_VALUE"""),9.836968346E9)</f>
        <v>9836968346</v>
      </c>
    </row>
    <row r="329">
      <c r="A329" s="15">
        <f>IFERROR(__xludf.DUMMYFUNCTION("""COMPUTED_VALUE"""),50185.0)</f>
        <v>50185</v>
      </c>
      <c r="B329" s="15" t="str">
        <f>IFERROR(__xludf.DUMMYFUNCTION("""COMPUTED_VALUE"""),"THE WINNER'S MINDSET ")</f>
        <v>THE WINNER'S MINDSET </v>
      </c>
      <c r="C329" s="15" t="str">
        <f>IFERROR(__xludf.DUMMYFUNCTION("""COMPUTED_VALUE"""),"Sreenath")</f>
        <v>Sreenath</v>
      </c>
      <c r="D329" s="53">
        <f>IFERROR(__xludf.DUMMYFUNCTION("""COMPUTED_VALUE"""),9.744256231E9)</f>
        <v>9744256231</v>
      </c>
    </row>
    <row r="330">
      <c r="A330" s="15">
        <f>IFERROR(__xludf.DUMMYFUNCTION("""COMPUTED_VALUE"""),50185.0)</f>
        <v>50185</v>
      </c>
      <c r="B330" s="15" t="str">
        <f>IFERROR(__xludf.DUMMYFUNCTION("""COMPUTED_VALUE"""),"THE WINNER'S MINDSET ")</f>
        <v>THE WINNER'S MINDSET </v>
      </c>
      <c r="C330" s="15" t="str">
        <f>IFERROR(__xludf.DUMMYFUNCTION("""COMPUTED_VALUE"""),"Vartika 118")</f>
        <v>Vartika 118</v>
      </c>
      <c r="D330" s="53">
        <f>IFERROR(__xludf.DUMMYFUNCTION("""COMPUTED_VALUE"""),8.178651082E9)</f>
        <v>8178651082</v>
      </c>
    </row>
    <row r="331">
      <c r="A331" s="15">
        <f>IFERROR(__xludf.DUMMYFUNCTION("""COMPUTED_VALUE"""),50185.0)</f>
        <v>50185</v>
      </c>
      <c r="B331" s="15" t="str">
        <f>IFERROR(__xludf.DUMMYFUNCTION("""COMPUTED_VALUE"""),"THE WINNER'S MINDSET ")</f>
        <v>THE WINNER'S MINDSET </v>
      </c>
      <c r="C331" s="15" t="str">
        <f>IFERROR(__xludf.DUMMYFUNCTION("""COMPUTED_VALUE"""),"Vartika Patwal")</f>
        <v>Vartika Patwal</v>
      </c>
      <c r="D331" s="53">
        <f>IFERROR(__xludf.DUMMYFUNCTION("""COMPUTED_VALUE"""),9.560880144E9)</f>
        <v>9560880144</v>
      </c>
    </row>
    <row r="332">
      <c r="A332" s="15"/>
      <c r="B332" s="15"/>
      <c r="C332" s="15"/>
      <c r="D332" s="53"/>
    </row>
    <row r="333">
      <c r="A333" s="15"/>
      <c r="B333" s="15"/>
      <c r="C333" s="15"/>
      <c r="D333" s="53"/>
    </row>
    <row r="334">
      <c r="A334" s="15"/>
      <c r="B334" s="15"/>
      <c r="C334" s="15"/>
      <c r="D334" s="53"/>
    </row>
    <row r="335">
      <c r="A335" s="15"/>
      <c r="B335" s="15"/>
      <c r="C335" s="15"/>
      <c r="D335" s="53"/>
    </row>
    <row r="336">
      <c r="A336" s="15"/>
      <c r="B336" s="15"/>
      <c r="C336" s="15"/>
      <c r="D336" s="53"/>
    </row>
    <row r="337">
      <c r="A337" s="15"/>
      <c r="B337" s="15"/>
      <c r="C337" s="15"/>
      <c r="D337" s="53"/>
    </row>
    <row r="338">
      <c r="A338" s="15"/>
      <c r="B338" s="15"/>
      <c r="C338" s="15"/>
      <c r="D338" s="53"/>
    </row>
    <row r="339">
      <c r="A339" s="15"/>
      <c r="B339" s="15"/>
      <c r="C339" s="15"/>
      <c r="D339" s="53"/>
    </row>
    <row r="340">
      <c r="A340" s="15"/>
      <c r="B340" s="15"/>
      <c r="C340" s="15"/>
      <c r="D340" s="53"/>
    </row>
    <row r="341">
      <c r="A341" s="15"/>
      <c r="B341" s="15"/>
      <c r="C341" s="15"/>
      <c r="D341" s="53"/>
    </row>
    <row r="342">
      <c r="A342" s="15"/>
      <c r="B342" s="15"/>
      <c r="C342" s="15"/>
      <c r="D342" s="53"/>
    </row>
    <row r="343">
      <c r="A343" s="15"/>
      <c r="B343" s="15"/>
      <c r="C343" s="15"/>
      <c r="D343" s="53"/>
    </row>
    <row r="344">
      <c r="A344" s="15"/>
      <c r="B344" s="15"/>
      <c r="C344" s="15"/>
      <c r="D344" s="53"/>
    </row>
    <row r="345">
      <c r="A345" s="15"/>
      <c r="B345" s="15"/>
      <c r="C345" s="15"/>
      <c r="D345" s="53"/>
    </row>
    <row r="346">
      <c r="A346" s="15"/>
      <c r="B346" s="15"/>
      <c r="C346" s="15"/>
      <c r="D346" s="53"/>
    </row>
    <row r="347">
      <c r="A347" s="15"/>
      <c r="B347" s="15"/>
      <c r="C347" s="15"/>
      <c r="D347" s="53"/>
    </row>
    <row r="348">
      <c r="A348" s="15"/>
      <c r="B348" s="15"/>
      <c r="C348" s="15"/>
      <c r="D348" s="53"/>
    </row>
    <row r="349">
      <c r="A349" s="15"/>
      <c r="B349" s="15"/>
      <c r="C349" s="15"/>
      <c r="D349" s="53"/>
    </row>
    <row r="350">
      <c r="A350" s="15"/>
      <c r="B350" s="15"/>
      <c r="C350" s="15"/>
      <c r="D350" s="53"/>
    </row>
    <row r="351">
      <c r="A351" s="15"/>
      <c r="B351" s="15"/>
      <c r="C351" s="15"/>
      <c r="D351" s="53"/>
    </row>
    <row r="352">
      <c r="A352" s="15"/>
      <c r="B352" s="15"/>
      <c r="C352" s="15"/>
      <c r="D352" s="53"/>
    </row>
    <row r="353">
      <c r="A353" s="15"/>
      <c r="B353" s="15"/>
      <c r="C353" s="15"/>
      <c r="D353" s="53"/>
    </row>
    <row r="354">
      <c r="A354" s="15"/>
      <c r="B354" s="15"/>
      <c r="C354" s="15"/>
      <c r="D354" s="53"/>
    </row>
    <row r="355">
      <c r="A355" s="15"/>
      <c r="B355" s="15"/>
      <c r="C355" s="15"/>
      <c r="D355" s="53"/>
    </row>
    <row r="356">
      <c r="A356" s="15"/>
      <c r="B356" s="15"/>
      <c r="C356" s="15"/>
      <c r="D356" s="53"/>
    </row>
    <row r="357">
      <c r="A357" s="15"/>
      <c r="B357" s="15"/>
      <c r="C357" s="15"/>
      <c r="D357" s="53"/>
    </row>
    <row r="358">
      <c r="A358" s="15"/>
      <c r="B358" s="15"/>
      <c r="C358" s="15"/>
      <c r="D358" s="53"/>
    </row>
    <row r="359">
      <c r="A359" s="15"/>
      <c r="B359" s="15"/>
      <c r="C359" s="15"/>
      <c r="D359" s="53"/>
    </row>
    <row r="360">
      <c r="A360" s="15"/>
      <c r="B360" s="15"/>
      <c r="C360" s="15"/>
      <c r="D360" s="53"/>
    </row>
    <row r="361">
      <c r="A361" s="15"/>
      <c r="B361" s="15"/>
      <c r="C361" s="15"/>
      <c r="D361" s="53"/>
    </row>
    <row r="362">
      <c r="A362" s="15"/>
      <c r="B362" s="15"/>
      <c r="C362" s="15"/>
      <c r="D362" s="53"/>
    </row>
    <row r="363">
      <c r="A363" s="15"/>
      <c r="B363" s="15"/>
      <c r="C363" s="15"/>
      <c r="D363" s="53"/>
    </row>
    <row r="364">
      <c r="A364" s="15"/>
      <c r="B364" s="15"/>
      <c r="C364" s="15"/>
      <c r="D364" s="53"/>
    </row>
    <row r="365">
      <c r="A365" s="15"/>
      <c r="B365" s="15"/>
      <c r="C365" s="15"/>
      <c r="D365" s="53"/>
    </row>
    <row r="366">
      <c r="A366" s="15"/>
      <c r="B366" s="15"/>
      <c r="C366" s="15"/>
      <c r="D366" s="53"/>
    </row>
    <row r="367">
      <c r="A367" s="15"/>
      <c r="B367" s="15"/>
      <c r="C367" s="15"/>
      <c r="D367" s="53"/>
    </row>
    <row r="368">
      <c r="A368" s="15"/>
      <c r="B368" s="15"/>
      <c r="C368" s="15"/>
      <c r="D368" s="53"/>
    </row>
    <row r="369">
      <c r="A369" s="15"/>
      <c r="B369" s="15"/>
      <c r="C369" s="15"/>
      <c r="D369" s="53"/>
    </row>
    <row r="370">
      <c r="A370" s="15"/>
      <c r="B370" s="15"/>
      <c r="C370" s="15"/>
      <c r="D370" s="53"/>
    </row>
    <row r="371">
      <c r="A371" s="15"/>
      <c r="B371" s="15"/>
      <c r="C371" s="15"/>
      <c r="D371" s="53"/>
    </row>
    <row r="372">
      <c r="A372" s="15"/>
      <c r="B372" s="15"/>
      <c r="C372" s="15"/>
      <c r="D372" s="53"/>
    </row>
    <row r="373">
      <c r="A373" s="15"/>
      <c r="B373" s="15"/>
      <c r="C373" s="15"/>
      <c r="D373" s="53"/>
    </row>
    <row r="374">
      <c r="A374" s="15"/>
      <c r="B374" s="15"/>
      <c r="C374" s="15"/>
      <c r="D374" s="53"/>
    </row>
    <row r="375">
      <c r="A375" s="15"/>
      <c r="B375" s="15"/>
      <c r="C375" s="15"/>
      <c r="D375" s="53"/>
    </row>
    <row r="376">
      <c r="A376" s="15"/>
      <c r="B376" s="15"/>
      <c r="C376" s="15"/>
      <c r="D376" s="53"/>
    </row>
    <row r="377">
      <c r="A377" s="15"/>
      <c r="B377" s="15"/>
      <c r="C377" s="15"/>
      <c r="D377" s="53"/>
    </row>
    <row r="378">
      <c r="A378" s="15"/>
      <c r="B378" s="15"/>
      <c r="C378" s="15"/>
      <c r="D378" s="53"/>
    </row>
    <row r="379">
      <c r="A379" s="15"/>
      <c r="B379" s="15"/>
      <c r="C379" s="15"/>
      <c r="D379" s="53"/>
    </row>
    <row r="380">
      <c r="A380" s="15"/>
      <c r="B380" s="15"/>
      <c r="C380" s="15"/>
      <c r="D380" s="53"/>
    </row>
    <row r="381">
      <c r="A381" s="15"/>
      <c r="B381" s="15"/>
      <c r="C381" s="15"/>
      <c r="D381" s="53"/>
    </row>
    <row r="382">
      <c r="A382" s="15"/>
      <c r="B382" s="15"/>
      <c r="C382" s="15"/>
      <c r="D382" s="53"/>
    </row>
    <row r="383">
      <c r="A383" s="15"/>
      <c r="B383" s="15"/>
      <c r="C383" s="15"/>
      <c r="D383" s="53"/>
    </row>
    <row r="384">
      <c r="A384" s="15"/>
      <c r="B384" s="15"/>
      <c r="C384" s="15"/>
      <c r="D384" s="53"/>
    </row>
    <row r="385">
      <c r="A385" s="15"/>
      <c r="B385" s="15"/>
      <c r="C385" s="15"/>
      <c r="D385" s="53"/>
    </row>
    <row r="386">
      <c r="A386" s="15"/>
      <c r="B386" s="15"/>
      <c r="C386" s="15"/>
      <c r="D386" s="53"/>
    </row>
    <row r="387">
      <c r="A387" s="15"/>
      <c r="B387" s="15"/>
      <c r="C387" s="15"/>
      <c r="D387" s="53"/>
    </row>
    <row r="388">
      <c r="A388" s="15"/>
      <c r="B388" s="15"/>
      <c r="C388" s="15"/>
      <c r="D388" s="53"/>
    </row>
    <row r="389">
      <c r="A389" s="15"/>
      <c r="B389" s="15"/>
      <c r="C389" s="15"/>
      <c r="D389" s="53"/>
    </row>
    <row r="390">
      <c r="A390" s="15"/>
      <c r="B390" s="15"/>
      <c r="C390" s="15"/>
      <c r="D390" s="53"/>
    </row>
    <row r="391">
      <c r="A391" s="15"/>
      <c r="B391" s="15"/>
      <c r="C391" s="15"/>
      <c r="D391" s="53"/>
    </row>
    <row r="392">
      <c r="A392" s="15"/>
      <c r="B392" s="15"/>
      <c r="C392" s="15"/>
      <c r="D392" s="53"/>
    </row>
    <row r="393">
      <c r="A393" s="15"/>
      <c r="B393" s="15"/>
      <c r="C393" s="15"/>
      <c r="D393" s="53"/>
    </row>
    <row r="394">
      <c r="A394" s="15"/>
      <c r="B394" s="15"/>
      <c r="C394" s="15"/>
      <c r="D394" s="53"/>
    </row>
    <row r="395">
      <c r="A395" s="15"/>
      <c r="B395" s="15"/>
      <c r="C395" s="15"/>
      <c r="D395" s="53"/>
    </row>
    <row r="396">
      <c r="A396" s="15"/>
      <c r="B396" s="15"/>
      <c r="C396" s="15"/>
      <c r="D396" s="53"/>
    </row>
    <row r="397">
      <c r="A397" s="15"/>
      <c r="B397" s="15"/>
      <c r="C397" s="15"/>
      <c r="D397" s="53"/>
    </row>
    <row r="398">
      <c r="A398" s="15"/>
      <c r="B398" s="15"/>
      <c r="C398" s="15"/>
      <c r="D398" s="53"/>
    </row>
    <row r="399">
      <c r="A399" s="15"/>
      <c r="B399" s="15"/>
      <c r="C399" s="15"/>
      <c r="D399" s="53"/>
    </row>
    <row r="400">
      <c r="A400" s="15"/>
      <c r="B400" s="15"/>
      <c r="C400" s="15"/>
      <c r="D400" s="53"/>
    </row>
    <row r="401">
      <c r="A401" s="15"/>
      <c r="B401" s="15"/>
      <c r="C401" s="15"/>
      <c r="D401" s="53"/>
    </row>
    <row r="402">
      <c r="A402" s="15"/>
      <c r="B402" s="15"/>
      <c r="C402" s="15"/>
      <c r="D402" s="53"/>
    </row>
    <row r="403">
      <c r="A403" s="15"/>
      <c r="B403" s="15"/>
      <c r="C403" s="15"/>
      <c r="D403" s="53"/>
    </row>
    <row r="404">
      <c r="A404" s="15"/>
      <c r="B404" s="15"/>
      <c r="C404" s="15"/>
      <c r="D404" s="53"/>
    </row>
    <row r="405">
      <c r="A405" s="15"/>
      <c r="B405" s="15"/>
      <c r="C405" s="15"/>
      <c r="D405" s="53"/>
    </row>
    <row r="406">
      <c r="A406" s="15"/>
      <c r="B406" s="15"/>
      <c r="C406" s="15"/>
      <c r="D406" s="53"/>
    </row>
    <row r="407">
      <c r="A407" s="15"/>
      <c r="B407" s="15"/>
      <c r="C407" s="15"/>
      <c r="D407" s="53"/>
    </row>
    <row r="408">
      <c r="A408" s="15"/>
      <c r="B408" s="15"/>
      <c r="C408" s="15"/>
      <c r="D408" s="53"/>
    </row>
    <row r="409">
      <c r="A409" s="15"/>
      <c r="B409" s="15"/>
      <c r="C409" s="15"/>
      <c r="D409" s="53"/>
    </row>
    <row r="410">
      <c r="A410" s="15"/>
      <c r="B410" s="15"/>
      <c r="C410" s="15"/>
      <c r="D410" s="53"/>
    </row>
    <row r="411">
      <c r="A411" s="15"/>
      <c r="B411" s="15"/>
      <c r="C411" s="15"/>
      <c r="D411" s="53"/>
    </row>
    <row r="412">
      <c r="A412" s="15"/>
      <c r="B412" s="15"/>
      <c r="C412" s="15"/>
      <c r="D412" s="53"/>
    </row>
    <row r="413">
      <c r="A413" s="15"/>
      <c r="B413" s="15"/>
      <c r="C413" s="15"/>
      <c r="D413" s="53"/>
    </row>
    <row r="414">
      <c r="A414" s="15"/>
      <c r="B414" s="15"/>
      <c r="C414" s="15"/>
      <c r="D414" s="53"/>
    </row>
    <row r="415">
      <c r="A415" s="15"/>
      <c r="B415" s="15"/>
      <c r="C415" s="15"/>
      <c r="D415" s="53"/>
    </row>
    <row r="416">
      <c r="A416" s="15"/>
      <c r="B416" s="15"/>
      <c r="C416" s="15"/>
      <c r="D416" s="53"/>
    </row>
    <row r="417">
      <c r="A417" s="15"/>
      <c r="B417" s="15"/>
      <c r="C417" s="15"/>
      <c r="D417" s="53"/>
    </row>
    <row r="418">
      <c r="A418" s="15"/>
      <c r="B418" s="15"/>
      <c r="C418" s="15"/>
      <c r="D418" s="53"/>
    </row>
    <row r="419">
      <c r="A419" s="15"/>
      <c r="B419" s="15"/>
      <c r="C419" s="15"/>
      <c r="D419" s="53"/>
    </row>
    <row r="420">
      <c r="A420" s="15"/>
      <c r="B420" s="15"/>
      <c r="C420" s="15"/>
      <c r="D420" s="53"/>
    </row>
    <row r="421">
      <c r="A421" s="15"/>
      <c r="B421" s="15"/>
      <c r="C421" s="15"/>
      <c r="D421" s="53"/>
    </row>
    <row r="422">
      <c r="A422" s="15"/>
      <c r="B422" s="15"/>
      <c r="C422" s="15"/>
      <c r="D422" s="53"/>
    </row>
    <row r="423">
      <c r="A423" s="15"/>
      <c r="B423" s="15"/>
      <c r="C423" s="15"/>
      <c r="D423" s="53"/>
    </row>
    <row r="424">
      <c r="A424" s="15"/>
      <c r="B424" s="15"/>
      <c r="C424" s="15"/>
      <c r="D424" s="53"/>
    </row>
    <row r="425">
      <c r="A425" s="15"/>
      <c r="B425" s="15"/>
      <c r="C425" s="15"/>
      <c r="D425" s="53"/>
    </row>
    <row r="426">
      <c r="A426" s="15"/>
      <c r="B426" s="15"/>
      <c r="C426" s="15"/>
      <c r="D426" s="53"/>
    </row>
    <row r="427">
      <c r="A427" s="15"/>
      <c r="B427" s="15"/>
      <c r="C427" s="15"/>
      <c r="D427" s="53"/>
    </row>
    <row r="428">
      <c r="A428" s="15"/>
      <c r="B428" s="15"/>
      <c r="C428" s="15"/>
      <c r="D428" s="53"/>
    </row>
    <row r="429">
      <c r="A429" s="15"/>
      <c r="B429" s="15"/>
      <c r="C429" s="15"/>
      <c r="D429" s="53"/>
    </row>
    <row r="430">
      <c r="A430" s="15"/>
      <c r="B430" s="15"/>
      <c r="C430" s="15"/>
      <c r="D430" s="53"/>
    </row>
    <row r="431">
      <c r="A431" s="15"/>
      <c r="B431" s="15"/>
      <c r="C431" s="15"/>
      <c r="D431" s="53"/>
    </row>
    <row r="432">
      <c r="A432" s="15"/>
      <c r="B432" s="15"/>
      <c r="C432" s="15"/>
      <c r="D432" s="53"/>
    </row>
    <row r="433">
      <c r="A433" s="15"/>
      <c r="B433" s="15"/>
      <c r="C433" s="15"/>
      <c r="D433" s="53"/>
    </row>
    <row r="434">
      <c r="A434" s="15"/>
      <c r="B434" s="15"/>
      <c r="C434" s="15"/>
      <c r="D434" s="53"/>
    </row>
    <row r="435">
      <c r="A435" s="15"/>
      <c r="B435" s="15"/>
      <c r="C435" s="15"/>
      <c r="D435" s="53"/>
    </row>
    <row r="436">
      <c r="A436" s="15"/>
      <c r="B436" s="15"/>
      <c r="C436" s="15"/>
      <c r="D436" s="53"/>
    </row>
    <row r="437">
      <c r="A437" s="15"/>
      <c r="B437" s="15"/>
      <c r="C437" s="15"/>
      <c r="D437" s="53"/>
    </row>
    <row r="438">
      <c r="A438" s="15"/>
      <c r="B438" s="15"/>
      <c r="C438" s="15"/>
      <c r="D438" s="53"/>
    </row>
    <row r="439">
      <c r="A439" s="15"/>
      <c r="B439" s="15"/>
      <c r="C439" s="15"/>
      <c r="D439" s="53"/>
    </row>
    <row r="440">
      <c r="A440" s="15"/>
      <c r="B440" s="15"/>
      <c r="C440" s="15"/>
      <c r="D440" s="53"/>
    </row>
    <row r="441">
      <c r="A441" s="15"/>
      <c r="B441" s="15"/>
      <c r="C441" s="15"/>
      <c r="D441" s="53"/>
    </row>
    <row r="442">
      <c r="A442" s="15"/>
      <c r="B442" s="15"/>
      <c r="C442" s="15"/>
      <c r="D442" s="53"/>
    </row>
    <row r="443">
      <c r="A443" s="15"/>
      <c r="B443" s="15"/>
      <c r="C443" s="15"/>
      <c r="D443" s="53"/>
    </row>
    <row r="444">
      <c r="A444" s="15"/>
      <c r="B444" s="15"/>
      <c r="C444" s="15"/>
      <c r="D444" s="53"/>
    </row>
    <row r="445">
      <c r="A445" s="15"/>
      <c r="B445" s="15"/>
      <c r="C445" s="15"/>
      <c r="D445" s="53"/>
    </row>
    <row r="446">
      <c r="A446" s="15"/>
      <c r="B446" s="15"/>
      <c r="C446" s="15"/>
      <c r="D446" s="53"/>
    </row>
    <row r="447">
      <c r="A447" s="15"/>
      <c r="B447" s="15"/>
      <c r="C447" s="15"/>
      <c r="D447" s="53"/>
    </row>
    <row r="448">
      <c r="A448" s="15"/>
      <c r="B448" s="15"/>
      <c r="C448" s="15"/>
      <c r="D448" s="53"/>
    </row>
    <row r="449">
      <c r="A449" s="15"/>
      <c r="B449" s="15"/>
      <c r="C449" s="15"/>
      <c r="D449" s="53"/>
    </row>
    <row r="450">
      <c r="A450" s="15"/>
      <c r="B450" s="15"/>
      <c r="C450" s="15"/>
      <c r="D450" s="53"/>
    </row>
    <row r="451">
      <c r="A451" s="15"/>
      <c r="B451" s="15"/>
      <c r="C451" s="15"/>
      <c r="D451" s="53"/>
    </row>
    <row r="452">
      <c r="A452" s="15"/>
      <c r="B452" s="15"/>
      <c r="C452" s="15"/>
      <c r="D452" s="53"/>
    </row>
    <row r="453">
      <c r="A453" s="15"/>
      <c r="B453" s="15"/>
      <c r="C453" s="15"/>
      <c r="D453" s="53"/>
    </row>
    <row r="454">
      <c r="A454" s="15"/>
      <c r="B454" s="15"/>
      <c r="C454" s="15"/>
      <c r="D454" s="53"/>
    </row>
    <row r="455">
      <c r="A455" s="15"/>
      <c r="B455" s="15"/>
      <c r="C455" s="15"/>
      <c r="D455" s="53"/>
    </row>
    <row r="456">
      <c r="A456" s="15"/>
      <c r="B456" s="15"/>
      <c r="C456" s="15"/>
      <c r="D456" s="53"/>
    </row>
    <row r="457">
      <c r="A457" s="15"/>
      <c r="B457" s="15"/>
      <c r="C457" s="15"/>
      <c r="D457" s="53"/>
    </row>
    <row r="458">
      <c r="A458" s="15"/>
      <c r="B458" s="15"/>
      <c r="C458" s="15"/>
      <c r="D458" s="53"/>
    </row>
    <row r="459">
      <c r="A459" s="15"/>
      <c r="B459" s="15"/>
      <c r="C459" s="15"/>
      <c r="D459" s="53"/>
    </row>
    <row r="460">
      <c r="A460" s="15"/>
      <c r="B460" s="15"/>
      <c r="C460" s="15"/>
      <c r="D460" s="53"/>
    </row>
    <row r="461">
      <c r="A461" s="15"/>
      <c r="B461" s="15"/>
      <c r="C461" s="15"/>
      <c r="D461" s="53"/>
    </row>
    <row r="462">
      <c r="A462" s="15"/>
      <c r="B462" s="15"/>
      <c r="C462" s="15"/>
      <c r="D462" s="53"/>
    </row>
    <row r="463">
      <c r="A463" s="15"/>
      <c r="B463" s="15"/>
      <c r="C463" s="15"/>
      <c r="D463" s="53"/>
    </row>
    <row r="464">
      <c r="A464" s="15"/>
      <c r="B464" s="15"/>
      <c r="C464" s="15"/>
      <c r="D464" s="53"/>
    </row>
    <row r="465">
      <c r="A465" s="15"/>
      <c r="B465" s="15"/>
      <c r="C465" s="15"/>
      <c r="D465" s="53"/>
    </row>
    <row r="466">
      <c r="A466" s="15"/>
      <c r="B466" s="15"/>
      <c r="C466" s="15"/>
      <c r="D466" s="53"/>
    </row>
    <row r="467">
      <c r="A467" s="15"/>
      <c r="B467" s="15"/>
      <c r="C467" s="15"/>
      <c r="D467" s="53"/>
    </row>
    <row r="468">
      <c r="A468" s="15"/>
      <c r="B468" s="15"/>
      <c r="C468" s="15"/>
      <c r="D468" s="53"/>
    </row>
    <row r="469">
      <c r="A469" s="15"/>
      <c r="B469" s="15"/>
      <c r="C469" s="15"/>
      <c r="D469" s="53"/>
    </row>
    <row r="470">
      <c r="A470" s="15"/>
      <c r="B470" s="15"/>
      <c r="C470" s="15"/>
      <c r="D470" s="53"/>
    </row>
    <row r="471">
      <c r="A471" s="15"/>
      <c r="B471" s="15"/>
      <c r="C471" s="15"/>
      <c r="D471" s="53"/>
    </row>
    <row r="472">
      <c r="A472" s="15"/>
      <c r="B472" s="15"/>
      <c r="C472" s="15"/>
      <c r="D472" s="53"/>
    </row>
    <row r="473">
      <c r="A473" s="15"/>
      <c r="B473" s="15"/>
      <c r="C473" s="15"/>
      <c r="D473" s="53"/>
    </row>
    <row r="474">
      <c r="A474" s="15"/>
      <c r="B474" s="15"/>
      <c r="C474" s="15"/>
      <c r="D474" s="53"/>
    </row>
    <row r="475">
      <c r="A475" s="15"/>
      <c r="B475" s="15"/>
      <c r="C475" s="15"/>
      <c r="D475" s="53"/>
    </row>
    <row r="476">
      <c r="A476" s="15"/>
      <c r="B476" s="15"/>
      <c r="C476" s="15"/>
      <c r="D476" s="53"/>
    </row>
    <row r="477">
      <c r="A477" s="15"/>
      <c r="B477" s="15"/>
      <c r="C477" s="15"/>
      <c r="D477" s="53"/>
    </row>
    <row r="478">
      <c r="A478" s="15"/>
      <c r="B478" s="15"/>
      <c r="C478" s="15"/>
      <c r="D478" s="53"/>
    </row>
    <row r="479">
      <c r="A479" s="15"/>
      <c r="B479" s="15"/>
      <c r="C479" s="15"/>
      <c r="D479" s="53"/>
    </row>
    <row r="480">
      <c r="A480" s="15"/>
      <c r="B480" s="15"/>
      <c r="C480" s="15"/>
      <c r="D480" s="53"/>
    </row>
    <row r="481">
      <c r="A481" s="15"/>
      <c r="B481" s="15"/>
      <c r="C481" s="15"/>
      <c r="D481" s="53"/>
    </row>
    <row r="482">
      <c r="A482" s="15"/>
      <c r="B482" s="15"/>
      <c r="C482" s="15"/>
      <c r="D482" s="53"/>
    </row>
    <row r="483">
      <c r="A483" s="15"/>
      <c r="B483" s="15"/>
      <c r="C483" s="15"/>
      <c r="D483" s="53"/>
    </row>
    <row r="484">
      <c r="A484" s="15"/>
      <c r="B484" s="15"/>
      <c r="C484" s="15"/>
      <c r="D484" s="53"/>
    </row>
    <row r="485">
      <c r="A485" s="15"/>
      <c r="B485" s="15"/>
      <c r="C485" s="15"/>
      <c r="D485" s="53"/>
    </row>
    <row r="486">
      <c r="A486" s="15"/>
      <c r="B486" s="15"/>
      <c r="C486" s="15"/>
      <c r="D486" s="53"/>
    </row>
    <row r="487">
      <c r="A487" s="15"/>
      <c r="B487" s="15"/>
      <c r="C487" s="15"/>
      <c r="D487" s="53"/>
    </row>
    <row r="488">
      <c r="A488" s="15"/>
      <c r="B488" s="15"/>
      <c r="C488" s="15"/>
      <c r="D488" s="53"/>
    </row>
    <row r="489">
      <c r="A489" s="15"/>
      <c r="B489" s="15"/>
      <c r="C489" s="15"/>
      <c r="D489" s="53"/>
    </row>
    <row r="490">
      <c r="A490" s="15"/>
      <c r="B490" s="15"/>
      <c r="C490" s="15"/>
      <c r="D490" s="53"/>
    </row>
    <row r="491">
      <c r="A491" s="15"/>
      <c r="B491" s="15"/>
      <c r="C491" s="15"/>
      <c r="D491" s="53"/>
    </row>
    <row r="492">
      <c r="A492" s="15"/>
      <c r="B492" s="15"/>
      <c r="C492" s="15"/>
      <c r="D492" s="53"/>
    </row>
    <row r="493">
      <c r="A493" s="15"/>
      <c r="B493" s="15"/>
      <c r="C493" s="15"/>
      <c r="D493" s="53"/>
    </row>
    <row r="494">
      <c r="A494" s="15"/>
      <c r="B494" s="15"/>
      <c r="C494" s="15"/>
      <c r="D494" s="53"/>
    </row>
    <row r="495">
      <c r="A495" s="15"/>
      <c r="B495" s="15"/>
      <c r="C495" s="15"/>
      <c r="D495" s="53"/>
    </row>
    <row r="496">
      <c r="A496" s="15"/>
      <c r="B496" s="15"/>
      <c r="C496" s="15"/>
      <c r="D496" s="53"/>
    </row>
    <row r="497">
      <c r="A497" s="15"/>
      <c r="B497" s="15"/>
      <c r="C497" s="15"/>
      <c r="D497" s="53"/>
    </row>
    <row r="498">
      <c r="A498" s="15"/>
      <c r="B498" s="15"/>
      <c r="C498" s="15"/>
      <c r="D498" s="53"/>
    </row>
    <row r="499">
      <c r="A499" s="15"/>
      <c r="B499" s="15"/>
      <c r="C499" s="15"/>
      <c r="D499" s="53"/>
    </row>
    <row r="500">
      <c r="A500" s="15"/>
      <c r="B500" s="15"/>
      <c r="C500" s="15"/>
      <c r="D500" s="53"/>
    </row>
    <row r="501">
      <c r="D501" s="53"/>
    </row>
    <row r="502">
      <c r="D502" s="53"/>
    </row>
    <row r="503">
      <c r="D503" s="53"/>
    </row>
    <row r="504">
      <c r="D504" s="53"/>
    </row>
    <row r="505">
      <c r="D505" s="53"/>
    </row>
    <row r="506">
      <c r="D506" s="53"/>
    </row>
    <row r="507">
      <c r="D507" s="53"/>
    </row>
    <row r="508">
      <c r="D508" s="53"/>
    </row>
    <row r="509">
      <c r="D509" s="53"/>
    </row>
    <row r="510">
      <c r="D510" s="53"/>
    </row>
    <row r="511">
      <c r="D511" s="53"/>
    </row>
    <row r="512">
      <c r="D512" s="53"/>
    </row>
    <row r="513">
      <c r="D513" s="53"/>
    </row>
    <row r="514">
      <c r="D514" s="53"/>
    </row>
    <row r="515">
      <c r="D515" s="53"/>
    </row>
    <row r="516">
      <c r="D516" s="53"/>
    </row>
    <row r="517">
      <c r="D517" s="53"/>
    </row>
    <row r="518">
      <c r="D518" s="53"/>
    </row>
    <row r="519">
      <c r="D519" s="53"/>
    </row>
    <row r="520">
      <c r="D520" s="53"/>
    </row>
    <row r="521">
      <c r="D521" s="53"/>
    </row>
    <row r="522">
      <c r="D522" s="53"/>
    </row>
    <row r="523">
      <c r="D523" s="53"/>
    </row>
    <row r="524">
      <c r="D524" s="53"/>
    </row>
    <row r="525">
      <c r="D525" s="53"/>
    </row>
    <row r="526">
      <c r="D526" s="53"/>
    </row>
    <row r="527">
      <c r="D527" s="53"/>
    </row>
    <row r="528">
      <c r="D528" s="53"/>
    </row>
    <row r="529">
      <c r="D529" s="53"/>
    </row>
    <row r="530">
      <c r="D530" s="53"/>
    </row>
    <row r="531">
      <c r="D531" s="53"/>
    </row>
    <row r="532">
      <c r="D532" s="53"/>
    </row>
    <row r="533">
      <c r="D533" s="53"/>
    </row>
    <row r="534">
      <c r="D534" s="53"/>
    </row>
    <row r="535">
      <c r="D535" s="53"/>
    </row>
    <row r="536">
      <c r="D536" s="53"/>
    </row>
    <row r="537">
      <c r="D537" s="53"/>
    </row>
    <row r="538">
      <c r="D538" s="53"/>
    </row>
    <row r="539">
      <c r="D539" s="53"/>
    </row>
    <row r="540">
      <c r="D540" s="53"/>
    </row>
    <row r="541">
      <c r="D541" s="53"/>
    </row>
    <row r="542">
      <c r="D542" s="53"/>
    </row>
    <row r="543">
      <c r="D543" s="53"/>
    </row>
    <row r="544">
      <c r="D544" s="53"/>
    </row>
    <row r="545">
      <c r="D545" s="53"/>
    </row>
    <row r="546">
      <c r="D546" s="53"/>
    </row>
    <row r="547">
      <c r="D547" s="53"/>
    </row>
    <row r="548">
      <c r="D548" s="53"/>
    </row>
    <row r="549">
      <c r="D549" s="53"/>
    </row>
    <row r="550">
      <c r="D550" s="53"/>
    </row>
    <row r="551">
      <c r="D551" s="53"/>
    </row>
    <row r="552">
      <c r="D552" s="53"/>
    </row>
    <row r="553">
      <c r="D553" s="53"/>
    </row>
    <row r="554">
      <c r="D554" s="53"/>
    </row>
    <row r="555">
      <c r="D555" s="53"/>
    </row>
    <row r="556">
      <c r="D556" s="53"/>
    </row>
    <row r="557">
      <c r="D557" s="53"/>
    </row>
    <row r="558">
      <c r="D558" s="53"/>
    </row>
    <row r="559">
      <c r="D559" s="53"/>
    </row>
    <row r="560">
      <c r="D560" s="53"/>
    </row>
    <row r="561">
      <c r="D561" s="53"/>
    </row>
    <row r="562">
      <c r="D562" s="53"/>
    </row>
    <row r="563">
      <c r="D563" s="53"/>
    </row>
    <row r="564">
      <c r="D564" s="53"/>
    </row>
    <row r="565">
      <c r="D565" s="53"/>
    </row>
    <row r="566">
      <c r="D566" s="53"/>
    </row>
    <row r="567">
      <c r="D567" s="53"/>
    </row>
    <row r="568">
      <c r="D568" s="53"/>
    </row>
    <row r="569">
      <c r="D569" s="53"/>
    </row>
    <row r="570">
      <c r="D570" s="53"/>
    </row>
    <row r="571">
      <c r="D571" s="53"/>
    </row>
    <row r="572">
      <c r="D572" s="53"/>
    </row>
    <row r="573">
      <c r="D573" s="53"/>
    </row>
    <row r="574">
      <c r="D574" s="53"/>
    </row>
    <row r="575">
      <c r="D575" s="53"/>
    </row>
    <row r="576">
      <c r="D576" s="53"/>
    </row>
    <row r="577">
      <c r="D577" s="53"/>
    </row>
    <row r="578">
      <c r="D578" s="53"/>
    </row>
    <row r="579">
      <c r="D579" s="53"/>
    </row>
    <row r="580">
      <c r="D580" s="53"/>
    </row>
    <row r="581">
      <c r="D581" s="53"/>
    </row>
    <row r="582">
      <c r="D582" s="53"/>
    </row>
    <row r="583">
      <c r="D583" s="53"/>
    </row>
    <row r="584">
      <c r="D584" s="53"/>
    </row>
    <row r="585">
      <c r="D585" s="53"/>
    </row>
    <row r="586">
      <c r="D586" s="53"/>
    </row>
    <row r="587">
      <c r="D587" s="53"/>
    </row>
    <row r="588">
      <c r="D588" s="53"/>
    </row>
    <row r="589">
      <c r="D589" s="53"/>
    </row>
    <row r="590">
      <c r="D590" s="53"/>
    </row>
    <row r="591">
      <c r="D591" s="53"/>
    </row>
    <row r="592">
      <c r="D592" s="53"/>
    </row>
    <row r="593">
      <c r="D593" s="53"/>
    </row>
    <row r="594">
      <c r="D594" s="53"/>
    </row>
    <row r="595">
      <c r="D595" s="53"/>
    </row>
    <row r="596">
      <c r="D596" s="53"/>
    </row>
    <row r="597">
      <c r="D597" s="53"/>
    </row>
    <row r="598">
      <c r="D598" s="53"/>
    </row>
    <row r="599">
      <c r="D599" s="53"/>
    </row>
    <row r="600">
      <c r="D600" s="53"/>
    </row>
    <row r="601">
      <c r="D601" s="53"/>
    </row>
    <row r="602">
      <c r="D602" s="53"/>
    </row>
    <row r="603">
      <c r="D603" s="53"/>
    </row>
    <row r="604">
      <c r="D604" s="53"/>
    </row>
    <row r="605">
      <c r="D605" s="53"/>
    </row>
    <row r="606">
      <c r="D606" s="53"/>
    </row>
    <row r="607">
      <c r="D607" s="53"/>
    </row>
    <row r="608">
      <c r="D608" s="53"/>
    </row>
    <row r="609">
      <c r="D609" s="53"/>
    </row>
    <row r="610">
      <c r="D610" s="53"/>
    </row>
    <row r="611">
      <c r="D611" s="53"/>
    </row>
    <row r="612">
      <c r="D612" s="53"/>
    </row>
    <row r="613">
      <c r="D613" s="53"/>
    </row>
    <row r="614">
      <c r="D614" s="53"/>
    </row>
    <row r="615">
      <c r="D615" s="53"/>
    </row>
    <row r="616">
      <c r="D616" s="53"/>
    </row>
    <row r="617">
      <c r="D617" s="53"/>
    </row>
    <row r="618">
      <c r="D618" s="53"/>
    </row>
    <row r="619">
      <c r="D619" s="53"/>
    </row>
    <row r="620">
      <c r="D620" s="53"/>
    </row>
    <row r="621">
      <c r="D621" s="53"/>
    </row>
    <row r="622">
      <c r="D622" s="53"/>
    </row>
    <row r="623">
      <c r="D623" s="53"/>
    </row>
    <row r="624">
      <c r="D624" s="53"/>
    </row>
    <row r="625">
      <c r="D625" s="53"/>
    </row>
    <row r="626">
      <c r="D626" s="53"/>
    </row>
    <row r="627">
      <c r="D627" s="53"/>
    </row>
    <row r="628">
      <c r="D628" s="53"/>
    </row>
    <row r="629">
      <c r="D629" s="53"/>
    </row>
    <row r="630">
      <c r="D630" s="53"/>
    </row>
    <row r="631">
      <c r="D631" s="53"/>
    </row>
    <row r="632">
      <c r="D632" s="53"/>
    </row>
    <row r="633">
      <c r="D633" s="53"/>
    </row>
    <row r="634">
      <c r="D634" s="53"/>
    </row>
    <row r="635">
      <c r="D635" s="53"/>
    </row>
    <row r="636">
      <c r="D636" s="53"/>
    </row>
    <row r="637">
      <c r="D637" s="53"/>
    </row>
    <row r="638">
      <c r="D638" s="53"/>
    </row>
    <row r="639">
      <c r="D639" s="53"/>
    </row>
    <row r="640">
      <c r="D640" s="53"/>
    </row>
    <row r="641">
      <c r="D641" s="53"/>
    </row>
    <row r="642">
      <c r="D642" s="53"/>
    </row>
    <row r="643">
      <c r="D643" s="53"/>
    </row>
    <row r="644">
      <c r="D644" s="53"/>
    </row>
    <row r="645">
      <c r="D645" s="53"/>
    </row>
    <row r="646">
      <c r="D646" s="53"/>
    </row>
    <row r="647">
      <c r="D647" s="53"/>
    </row>
    <row r="648">
      <c r="D648" s="53"/>
    </row>
    <row r="649">
      <c r="D649" s="53"/>
    </row>
    <row r="650">
      <c r="D650" s="53"/>
    </row>
    <row r="651">
      <c r="D651" s="53"/>
    </row>
    <row r="652">
      <c r="D652" s="53"/>
    </row>
    <row r="653">
      <c r="D653" s="53"/>
    </row>
    <row r="654">
      <c r="D654" s="53"/>
    </row>
    <row r="655">
      <c r="D655" s="53"/>
    </row>
    <row r="656">
      <c r="D656" s="53"/>
    </row>
    <row r="657">
      <c r="D657" s="53"/>
    </row>
    <row r="658">
      <c r="D658" s="53"/>
    </row>
    <row r="659">
      <c r="D659" s="53"/>
    </row>
    <row r="660">
      <c r="D660" s="53"/>
    </row>
    <row r="661">
      <c r="D661" s="53"/>
    </row>
    <row r="662">
      <c r="D662" s="53"/>
    </row>
    <row r="663">
      <c r="D663" s="53"/>
    </row>
    <row r="664">
      <c r="D664" s="53"/>
    </row>
    <row r="665">
      <c r="D665" s="53"/>
    </row>
    <row r="666">
      <c r="D666" s="53"/>
    </row>
    <row r="667">
      <c r="D667" s="53"/>
    </row>
    <row r="668">
      <c r="D668" s="53"/>
    </row>
    <row r="669">
      <c r="D669" s="53"/>
    </row>
    <row r="670">
      <c r="D670" s="53"/>
    </row>
    <row r="671">
      <c r="D671" s="53"/>
    </row>
    <row r="672">
      <c r="D672" s="53"/>
    </row>
    <row r="673">
      <c r="D673" s="53"/>
    </row>
    <row r="674">
      <c r="D674" s="53"/>
    </row>
    <row r="675">
      <c r="D675" s="53"/>
    </row>
    <row r="676">
      <c r="D676" s="53"/>
    </row>
    <row r="677">
      <c r="D677" s="53"/>
    </row>
    <row r="678">
      <c r="D678" s="53"/>
    </row>
    <row r="679">
      <c r="D679" s="53"/>
    </row>
    <row r="680">
      <c r="D680" s="53"/>
    </row>
    <row r="681">
      <c r="D681" s="53"/>
    </row>
    <row r="682">
      <c r="D682" s="53"/>
    </row>
    <row r="683">
      <c r="D683" s="53"/>
    </row>
    <row r="684">
      <c r="D684" s="53"/>
    </row>
    <row r="685">
      <c r="D685" s="53"/>
    </row>
    <row r="686">
      <c r="D686" s="53"/>
    </row>
    <row r="687">
      <c r="D687" s="53"/>
    </row>
    <row r="688">
      <c r="D688" s="53"/>
    </row>
    <row r="689">
      <c r="D689" s="53"/>
    </row>
    <row r="690">
      <c r="D690" s="53"/>
    </row>
    <row r="691">
      <c r="D691" s="53"/>
    </row>
    <row r="692">
      <c r="D692" s="53"/>
    </row>
    <row r="693">
      <c r="D693" s="53"/>
    </row>
    <row r="694">
      <c r="D694" s="53"/>
    </row>
    <row r="695">
      <c r="D695" s="53"/>
    </row>
    <row r="696">
      <c r="D696" s="53"/>
    </row>
    <row r="697">
      <c r="D697" s="53"/>
    </row>
    <row r="698">
      <c r="D698" s="53"/>
    </row>
    <row r="699">
      <c r="D699" s="53"/>
    </row>
    <row r="700">
      <c r="D700" s="53"/>
    </row>
    <row r="701">
      <c r="D701" s="53"/>
    </row>
    <row r="702">
      <c r="D702" s="53"/>
    </row>
    <row r="703">
      <c r="D703" s="53"/>
    </row>
    <row r="704">
      <c r="D704" s="53"/>
    </row>
    <row r="705">
      <c r="D705" s="53"/>
    </row>
    <row r="706">
      <c r="D706" s="53"/>
    </row>
    <row r="707">
      <c r="D707" s="53"/>
    </row>
    <row r="708">
      <c r="D708" s="53"/>
    </row>
    <row r="709">
      <c r="D709" s="53"/>
    </row>
    <row r="710">
      <c r="D710" s="53"/>
    </row>
    <row r="711">
      <c r="D711" s="53"/>
    </row>
    <row r="712">
      <c r="D712" s="53"/>
    </row>
    <row r="713">
      <c r="D713" s="53"/>
    </row>
    <row r="714">
      <c r="D714" s="53"/>
    </row>
    <row r="715">
      <c r="D715" s="53"/>
    </row>
    <row r="716">
      <c r="D716" s="53"/>
    </row>
    <row r="717">
      <c r="D717" s="53"/>
    </row>
    <row r="718">
      <c r="D718" s="53"/>
    </row>
    <row r="719">
      <c r="D719" s="53"/>
    </row>
    <row r="720">
      <c r="D720" s="53"/>
    </row>
    <row r="721">
      <c r="D721" s="53"/>
    </row>
    <row r="722">
      <c r="D722" s="53"/>
    </row>
    <row r="723">
      <c r="D723" s="53"/>
    </row>
    <row r="724">
      <c r="D724" s="53"/>
    </row>
    <row r="725">
      <c r="D725" s="53"/>
    </row>
    <row r="726">
      <c r="D726" s="53"/>
    </row>
    <row r="727">
      <c r="D727" s="53"/>
    </row>
    <row r="728">
      <c r="D728" s="53"/>
    </row>
    <row r="729">
      <c r="D729" s="53"/>
    </row>
    <row r="730">
      <c r="D730" s="53"/>
    </row>
    <row r="731">
      <c r="D731" s="53"/>
    </row>
    <row r="732">
      <c r="D732" s="53"/>
    </row>
    <row r="733">
      <c r="D733" s="53"/>
    </row>
    <row r="734">
      <c r="D734" s="53"/>
    </row>
    <row r="735">
      <c r="D735" s="53"/>
    </row>
    <row r="736">
      <c r="D736" s="53"/>
    </row>
    <row r="737">
      <c r="D737" s="53"/>
    </row>
    <row r="738">
      <c r="D738" s="53"/>
    </row>
    <row r="739">
      <c r="D739" s="53"/>
    </row>
    <row r="740">
      <c r="D740" s="53"/>
    </row>
    <row r="741">
      <c r="D741" s="53"/>
    </row>
    <row r="742">
      <c r="D742" s="53"/>
    </row>
    <row r="743">
      <c r="D743" s="53"/>
    </row>
    <row r="744">
      <c r="D744" s="53"/>
    </row>
    <row r="745">
      <c r="D745" s="53"/>
    </row>
    <row r="746">
      <c r="D746" s="53"/>
    </row>
    <row r="747">
      <c r="D747" s="53"/>
    </row>
    <row r="748">
      <c r="D748" s="53"/>
    </row>
    <row r="749">
      <c r="D749" s="53"/>
    </row>
    <row r="750">
      <c r="D750" s="53"/>
    </row>
    <row r="751">
      <c r="D751" s="53"/>
    </row>
    <row r="752">
      <c r="D752" s="53"/>
    </row>
    <row r="753">
      <c r="D753" s="53"/>
    </row>
    <row r="754">
      <c r="D754" s="53"/>
    </row>
    <row r="755">
      <c r="D755" s="53"/>
    </row>
    <row r="756">
      <c r="D756" s="53"/>
    </row>
    <row r="757">
      <c r="D757" s="53"/>
    </row>
    <row r="758">
      <c r="D758" s="53"/>
    </row>
    <row r="759">
      <c r="D759" s="53"/>
    </row>
    <row r="760">
      <c r="D760" s="53"/>
    </row>
    <row r="761">
      <c r="D761" s="53"/>
    </row>
    <row r="762">
      <c r="D762" s="53"/>
    </row>
    <row r="763">
      <c r="D763" s="53"/>
    </row>
    <row r="764">
      <c r="D764" s="53"/>
    </row>
    <row r="765">
      <c r="D765" s="53"/>
    </row>
    <row r="766">
      <c r="D766" s="53"/>
    </row>
    <row r="767">
      <c r="D767" s="53"/>
    </row>
    <row r="768">
      <c r="D768" s="53"/>
    </row>
    <row r="769">
      <c r="D769" s="53"/>
    </row>
    <row r="770">
      <c r="D770" s="53"/>
    </row>
    <row r="771">
      <c r="D771" s="53"/>
    </row>
    <row r="772">
      <c r="D772" s="53"/>
    </row>
    <row r="773">
      <c r="D773" s="53"/>
    </row>
    <row r="774">
      <c r="D774" s="53"/>
    </row>
    <row r="775">
      <c r="D775" s="53"/>
    </row>
    <row r="776">
      <c r="D776" s="53"/>
    </row>
    <row r="777">
      <c r="D777" s="53"/>
    </row>
    <row r="778">
      <c r="D778" s="53"/>
    </row>
    <row r="779">
      <c r="D779" s="53"/>
    </row>
    <row r="780">
      <c r="D780" s="53"/>
    </row>
    <row r="781">
      <c r="D781" s="53"/>
    </row>
    <row r="782">
      <c r="D782" s="53"/>
    </row>
    <row r="783">
      <c r="D783" s="53"/>
    </row>
    <row r="784">
      <c r="D784" s="53"/>
    </row>
    <row r="785">
      <c r="D785" s="53"/>
    </row>
    <row r="786">
      <c r="D786" s="53"/>
    </row>
    <row r="787">
      <c r="D787" s="53"/>
    </row>
    <row r="788">
      <c r="D788" s="53"/>
    </row>
    <row r="789">
      <c r="D789" s="53"/>
    </row>
    <row r="790">
      <c r="D790" s="53"/>
    </row>
    <row r="791">
      <c r="D791" s="53"/>
    </row>
    <row r="792">
      <c r="D792" s="53"/>
    </row>
    <row r="793">
      <c r="D793" s="53"/>
    </row>
    <row r="794">
      <c r="D794" s="53"/>
    </row>
    <row r="795">
      <c r="D795" s="53"/>
    </row>
    <row r="796">
      <c r="D796" s="53"/>
    </row>
    <row r="797">
      <c r="D797" s="53"/>
    </row>
    <row r="798">
      <c r="D798" s="53"/>
    </row>
    <row r="799">
      <c r="D799" s="53"/>
    </row>
    <row r="800">
      <c r="D800" s="53"/>
    </row>
    <row r="801">
      <c r="D801" s="53"/>
    </row>
    <row r="802">
      <c r="D802" s="53"/>
    </row>
    <row r="803">
      <c r="D803" s="53"/>
    </row>
    <row r="804">
      <c r="D804" s="53"/>
    </row>
    <row r="805">
      <c r="D805" s="53"/>
    </row>
    <row r="806">
      <c r="D806" s="53"/>
    </row>
    <row r="807">
      <c r="D807" s="53"/>
    </row>
    <row r="808">
      <c r="D808" s="53"/>
    </row>
    <row r="809">
      <c r="D809" s="53"/>
    </row>
    <row r="810">
      <c r="D810" s="53"/>
    </row>
    <row r="811">
      <c r="D811" s="53"/>
    </row>
    <row r="812">
      <c r="D812" s="53"/>
    </row>
    <row r="813">
      <c r="D813" s="53"/>
    </row>
    <row r="814">
      <c r="D814" s="53"/>
    </row>
    <row r="815">
      <c r="D815" s="53"/>
    </row>
    <row r="816">
      <c r="D816" s="53"/>
    </row>
    <row r="817">
      <c r="D817" s="53"/>
    </row>
    <row r="818">
      <c r="D818" s="53"/>
    </row>
    <row r="819">
      <c r="D819" s="53"/>
    </row>
    <row r="820">
      <c r="D820" s="53"/>
    </row>
    <row r="821">
      <c r="D821" s="53"/>
    </row>
    <row r="822">
      <c r="D822" s="53"/>
    </row>
    <row r="823">
      <c r="D823" s="53"/>
    </row>
    <row r="824">
      <c r="D824" s="53"/>
    </row>
    <row r="825">
      <c r="D825" s="53"/>
    </row>
    <row r="826">
      <c r="D826" s="53"/>
    </row>
    <row r="827">
      <c r="D827" s="53"/>
    </row>
    <row r="828">
      <c r="D828" s="53"/>
    </row>
    <row r="829">
      <c r="D829" s="53"/>
    </row>
    <row r="830">
      <c r="D830" s="53"/>
    </row>
    <row r="831">
      <c r="D831" s="53"/>
    </row>
    <row r="832">
      <c r="D832" s="53"/>
    </row>
    <row r="833">
      <c r="D833" s="53"/>
    </row>
    <row r="834">
      <c r="D834" s="53"/>
    </row>
    <row r="835">
      <c r="D835" s="53"/>
    </row>
    <row r="836">
      <c r="D836" s="53"/>
    </row>
    <row r="837">
      <c r="D837" s="53"/>
    </row>
    <row r="838">
      <c r="D838" s="53"/>
    </row>
    <row r="839">
      <c r="D839" s="53"/>
    </row>
    <row r="840">
      <c r="D840" s="53"/>
    </row>
    <row r="841">
      <c r="D841" s="53"/>
    </row>
    <row r="842">
      <c r="D842" s="53"/>
    </row>
    <row r="843">
      <c r="D843" s="53"/>
    </row>
    <row r="844">
      <c r="D844" s="53"/>
    </row>
    <row r="845">
      <c r="D845" s="53"/>
    </row>
    <row r="846">
      <c r="D846" s="53"/>
    </row>
    <row r="847">
      <c r="D847" s="53"/>
    </row>
    <row r="848">
      <c r="D848" s="53"/>
    </row>
    <row r="849">
      <c r="D849" s="53"/>
    </row>
    <row r="850">
      <c r="D850" s="53"/>
    </row>
    <row r="851">
      <c r="D851" s="53"/>
    </row>
    <row r="852">
      <c r="D852" s="53"/>
    </row>
    <row r="853">
      <c r="D853" s="53"/>
    </row>
    <row r="854">
      <c r="D854" s="53"/>
    </row>
    <row r="855">
      <c r="D855" s="53"/>
    </row>
    <row r="856">
      <c r="D856" s="53"/>
    </row>
    <row r="857">
      <c r="D857" s="53"/>
    </row>
    <row r="858">
      <c r="D858" s="53"/>
    </row>
    <row r="859">
      <c r="D859" s="53"/>
    </row>
    <row r="860">
      <c r="D860" s="53"/>
    </row>
    <row r="861">
      <c r="D861" s="53"/>
    </row>
    <row r="862">
      <c r="D862" s="53"/>
    </row>
    <row r="863">
      <c r="D863" s="53"/>
    </row>
    <row r="864">
      <c r="D864" s="53"/>
    </row>
    <row r="865">
      <c r="D865" s="53"/>
    </row>
    <row r="866">
      <c r="D866" s="53"/>
    </row>
    <row r="867">
      <c r="D867" s="53"/>
    </row>
    <row r="868">
      <c r="D868" s="53"/>
    </row>
    <row r="869">
      <c r="D869" s="53"/>
    </row>
    <row r="870">
      <c r="D870" s="53"/>
    </row>
    <row r="871">
      <c r="D871" s="53"/>
    </row>
    <row r="872">
      <c r="D872" s="53"/>
    </row>
    <row r="873">
      <c r="D873" s="53"/>
    </row>
    <row r="874">
      <c r="D874" s="53"/>
    </row>
    <row r="875">
      <c r="D875" s="53"/>
    </row>
    <row r="876">
      <c r="D876" s="53"/>
    </row>
    <row r="877">
      <c r="D877" s="53"/>
    </row>
    <row r="878">
      <c r="D878" s="53"/>
    </row>
    <row r="879">
      <c r="D879" s="53"/>
    </row>
    <row r="880">
      <c r="D880" s="53"/>
    </row>
    <row r="881">
      <c r="D881" s="53"/>
    </row>
    <row r="882">
      <c r="D882" s="53"/>
    </row>
    <row r="883">
      <c r="D883" s="53"/>
    </row>
    <row r="884">
      <c r="D884" s="53"/>
    </row>
    <row r="885">
      <c r="D885" s="53"/>
    </row>
    <row r="886">
      <c r="D886" s="53"/>
    </row>
    <row r="887">
      <c r="D887" s="53"/>
    </row>
    <row r="888">
      <c r="D888" s="53"/>
    </row>
    <row r="889">
      <c r="D889" s="53"/>
    </row>
    <row r="890">
      <c r="D890" s="53"/>
    </row>
    <row r="891">
      <c r="D891" s="53"/>
    </row>
    <row r="892">
      <c r="D892" s="53"/>
    </row>
    <row r="893">
      <c r="D893" s="53"/>
    </row>
    <row r="894">
      <c r="D894" s="53"/>
    </row>
    <row r="895">
      <c r="D895" s="53"/>
    </row>
    <row r="896">
      <c r="D896" s="53"/>
    </row>
    <row r="897">
      <c r="D897" s="53"/>
    </row>
    <row r="898">
      <c r="D898" s="53"/>
    </row>
    <row r="899">
      <c r="D899" s="53"/>
    </row>
    <row r="900">
      <c r="D900" s="53"/>
    </row>
    <row r="901">
      <c r="D901" s="53"/>
    </row>
    <row r="902">
      <c r="D902" s="53"/>
    </row>
    <row r="903">
      <c r="D903" s="53"/>
    </row>
    <row r="904">
      <c r="D904" s="53"/>
    </row>
    <row r="905">
      <c r="D905" s="53"/>
    </row>
    <row r="906">
      <c r="D906" s="53"/>
    </row>
    <row r="907">
      <c r="D907" s="53"/>
    </row>
    <row r="908">
      <c r="D908" s="53"/>
    </row>
    <row r="909">
      <c r="D909" s="53"/>
    </row>
    <row r="910">
      <c r="D910" s="53"/>
    </row>
    <row r="911">
      <c r="D911" s="53"/>
    </row>
    <row r="912">
      <c r="D912" s="53"/>
    </row>
    <row r="913">
      <c r="D913" s="53"/>
    </row>
    <row r="914">
      <c r="D914" s="53"/>
    </row>
    <row r="915">
      <c r="D915" s="53"/>
    </row>
    <row r="916">
      <c r="D916" s="53"/>
    </row>
    <row r="917">
      <c r="D917" s="53"/>
    </row>
    <row r="918">
      <c r="D918" s="53"/>
    </row>
    <row r="919">
      <c r="D919" s="53"/>
    </row>
    <row r="920">
      <c r="D920" s="53"/>
    </row>
    <row r="921">
      <c r="D921" s="53"/>
    </row>
    <row r="922">
      <c r="D922" s="53"/>
    </row>
    <row r="923">
      <c r="D923" s="53"/>
    </row>
    <row r="924">
      <c r="D924" s="53"/>
    </row>
    <row r="925">
      <c r="D925" s="53"/>
    </row>
    <row r="926">
      <c r="D926" s="53"/>
    </row>
    <row r="927">
      <c r="D927" s="53"/>
    </row>
    <row r="928">
      <c r="D928" s="53"/>
    </row>
    <row r="929">
      <c r="D929" s="53"/>
    </row>
    <row r="930">
      <c r="D930" s="53"/>
    </row>
    <row r="931">
      <c r="D931" s="53"/>
    </row>
    <row r="932">
      <c r="D932" s="53"/>
    </row>
    <row r="933">
      <c r="D933" s="53"/>
    </row>
    <row r="934">
      <c r="D934" s="53"/>
    </row>
    <row r="935">
      <c r="D935" s="53"/>
    </row>
    <row r="936">
      <c r="D936" s="53"/>
    </row>
    <row r="937">
      <c r="D937" s="53"/>
    </row>
    <row r="938">
      <c r="D938" s="53"/>
    </row>
    <row r="939">
      <c r="D939" s="53"/>
    </row>
    <row r="940">
      <c r="D940" s="53"/>
    </row>
    <row r="941">
      <c r="D941" s="53"/>
    </row>
    <row r="942">
      <c r="D942" s="53"/>
    </row>
    <row r="943">
      <c r="D943" s="53"/>
    </row>
    <row r="944">
      <c r="D944" s="53"/>
    </row>
    <row r="945">
      <c r="D945" s="53"/>
    </row>
    <row r="946">
      <c r="D946" s="53"/>
    </row>
    <row r="947">
      <c r="D947" s="53"/>
    </row>
    <row r="948">
      <c r="D948" s="53"/>
    </row>
    <row r="949">
      <c r="D949" s="53"/>
    </row>
    <row r="950">
      <c r="D950" s="53"/>
    </row>
    <row r="951">
      <c r="D951" s="53"/>
    </row>
    <row r="952">
      <c r="D952" s="53"/>
    </row>
    <row r="953">
      <c r="D953" s="53"/>
    </row>
    <row r="954">
      <c r="D954" s="53"/>
    </row>
    <row r="955">
      <c r="D955" s="53"/>
    </row>
    <row r="956">
      <c r="D956" s="53"/>
    </row>
    <row r="957">
      <c r="D957" s="53"/>
    </row>
    <row r="958">
      <c r="D958" s="53"/>
    </row>
    <row r="959">
      <c r="D959" s="53"/>
    </row>
    <row r="960">
      <c r="D960" s="53"/>
    </row>
    <row r="961">
      <c r="D961" s="53"/>
    </row>
    <row r="962">
      <c r="D962" s="53"/>
    </row>
    <row r="963">
      <c r="D963" s="53"/>
    </row>
    <row r="964">
      <c r="D964" s="53"/>
    </row>
    <row r="965">
      <c r="D965" s="53"/>
    </row>
    <row r="966">
      <c r="D966" s="53"/>
    </row>
    <row r="967">
      <c r="D967" s="53"/>
    </row>
    <row r="968">
      <c r="D968" s="53"/>
    </row>
    <row r="969">
      <c r="D969" s="53"/>
    </row>
    <row r="970">
      <c r="D970" s="53"/>
    </row>
    <row r="971">
      <c r="D971" s="53"/>
    </row>
    <row r="972">
      <c r="D972" s="53"/>
    </row>
    <row r="973">
      <c r="D973" s="53"/>
    </row>
    <row r="974">
      <c r="D974" s="53"/>
    </row>
    <row r="975">
      <c r="D975" s="53"/>
    </row>
    <row r="976">
      <c r="D976" s="53"/>
    </row>
    <row r="977">
      <c r="D977" s="53"/>
    </row>
    <row r="978">
      <c r="D978" s="53"/>
    </row>
    <row r="979">
      <c r="D979" s="53"/>
    </row>
    <row r="980">
      <c r="D980" s="53"/>
    </row>
    <row r="981">
      <c r="D981" s="53"/>
    </row>
    <row r="982">
      <c r="D982" s="53"/>
    </row>
    <row r="983">
      <c r="D983" s="53"/>
    </row>
    <row r="984">
      <c r="D984" s="53"/>
    </row>
    <row r="985">
      <c r="D985" s="53"/>
    </row>
    <row r="986">
      <c r="D986" s="53"/>
    </row>
    <row r="987">
      <c r="D987" s="53"/>
    </row>
    <row r="988">
      <c r="D988" s="53"/>
    </row>
    <row r="989">
      <c r="D989" s="53"/>
    </row>
    <row r="990">
      <c r="D990" s="53"/>
    </row>
    <row r="991">
      <c r="D991" s="53"/>
    </row>
    <row r="992">
      <c r="D992" s="53"/>
    </row>
    <row r="993">
      <c r="D993" s="53"/>
    </row>
    <row r="994">
      <c r="D994" s="53"/>
    </row>
    <row r="995">
      <c r="D995" s="53"/>
    </row>
    <row r="996">
      <c r="D996" s="53"/>
    </row>
    <row r="997">
      <c r="D997" s="53"/>
    </row>
    <row r="998">
      <c r="D998" s="53"/>
    </row>
    <row r="999">
      <c r="D999" s="53"/>
    </row>
    <row r="1000">
      <c r="D1000" s="5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5" t="str">
        <f>IFERROR(__xludf.DUMMYFUNCTION("IMPORTRANGE(""https://docs.google.com/spreadsheets/d/18hmClWSANezzaqGErrho5R-QhV3aFAJ2tWeB-ESUpkQ/edit#gid=113035759&amp;fvid=1169337869"",""Master!A1:Z300"")"),"CID")</f>
        <v>CID</v>
      </c>
      <c r="B1" s="15" t="str">
        <f>IFERROR(__xludf.DUMMYFUNCTION("""COMPUTED_VALUE"""),"Name")</f>
        <v>Name</v>
      </c>
      <c r="C1" s="15" t="str">
        <f>IFERROR(__xludf.DUMMYFUNCTION("""COMPUTED_VALUE"""),"Category")</f>
        <v>Category</v>
      </c>
      <c r="D1" s="15" t="str">
        <f>IFERROR(__xludf.DUMMYFUNCTION("""COMPUTED_VALUE"""),"Source")</f>
        <v>Source</v>
      </c>
      <c r="E1" s="15" t="str">
        <f>IFERROR(__xludf.DUMMYFUNCTION("""COMPUTED_VALUE"""),"Dashboard")</f>
        <v>Dashboard</v>
      </c>
      <c r="F1" s="15" t="str">
        <f>IFERROR(__xludf.DUMMYFUNCTION("""COMPUTED_VALUE"""),"Public Invite")</f>
        <v>Public Invite</v>
      </c>
      <c r="G1" s="15" t="str">
        <f>IFERROR(__xludf.DUMMYFUNCTION("""COMPUTED_VALUE"""),"Website link")</f>
        <v>Website link</v>
      </c>
      <c r="H1" s="15" t="str">
        <f>IFERROR(__xludf.DUMMYFUNCTION("""COMPUTED_VALUE"""),"Renewal Link")</f>
        <v>Renewal Link</v>
      </c>
      <c r="I1" s="15" t="str">
        <f>IFERROR(__xludf.DUMMYFUNCTION("""COMPUTED_VALUE"""),"Bitly")</f>
        <v>Bitly</v>
      </c>
      <c r="J1" s="15" t="str">
        <f>IFERROR(__xludf.DUMMYFUNCTION("""COMPUTED_VALUE"""),"Comm.Status")</f>
        <v>Comm.Status</v>
      </c>
      <c r="K1" s="15" t="str">
        <f>IFERROR(__xludf.DUMMYFUNCTION("""COMPUTED_VALUE"""),"Ads Needed")</f>
        <v>Ads Needed</v>
      </c>
      <c r="L1" s="15" t="str">
        <f>IFERROR(__xludf.DUMMYFUNCTION("""COMPUTED_VALUE"""),"LM Buddy")</f>
        <v>LM Buddy</v>
      </c>
      <c r="M1" s="15" t="str">
        <f>IFERROR(__xludf.DUMMYFUNCTION("""COMPUTED_VALUE"""),"CM Name")</f>
        <v>CM Name</v>
      </c>
      <c r="N1" s="15" t="str">
        <f>IFERROR(__xludf.DUMMYFUNCTION("""COMPUTED_VALUE"""),"CM Email")</f>
        <v>CM Email</v>
      </c>
      <c r="O1" s="15" t="str">
        <f>IFERROR(__xludf.DUMMYFUNCTION("""COMPUTED_VALUE"""),"CM Phone")</f>
        <v>CM Phone</v>
      </c>
      <c r="P1" s="15" t="str">
        <f>IFERROR(__xludf.DUMMYFUNCTION("""COMPUTED_VALUE"""),"Ads status")</f>
        <v>Ads status</v>
      </c>
      <c r="Q1" s="15" t="str">
        <f>IFERROR(__xludf.DUMMYFUNCTION("""COMPUTED_VALUE"""),"Organic Acquisition")</f>
        <v>Organic Acquisition</v>
      </c>
      <c r="R1" s="15" t="str">
        <f>IFERROR(__xludf.DUMMYFUNCTION("""COMPUTED_VALUE"""),"FB community page url/name")</f>
        <v>FB community page url/name</v>
      </c>
      <c r="S1" s="15" t="str">
        <f>IFERROR(__xludf.DUMMYFUNCTION("""COMPUTED_VALUE"""),"Is Insta handle connected to FB page?")</f>
        <v>Is Insta handle connected to FB page?</v>
      </c>
      <c r="T1" s="15" t="str">
        <f>IFERROR(__xludf.DUMMYFUNCTION("""COMPUTED_VALUE"""),"Instagram community page url/Name")</f>
        <v>Instagram community page url/Name</v>
      </c>
      <c r="U1" s="15" t="str">
        <f>IFERROR(__xludf.DUMMYFUNCTION("""COMPUTED_VALUE"""),"Website review")</f>
        <v>Website review</v>
      </c>
      <c r="V1" s="15" t="str">
        <f>IFERROR(__xludf.DUMMYFUNCTION("""COMPUTED_VALUE"""),"Ownership")</f>
        <v>Ownership</v>
      </c>
    </row>
    <row r="2">
      <c r="A2" s="15">
        <f>IFERROR(__xludf.DUMMYFUNCTION("""COMPUTED_VALUE"""),50137.0)</f>
        <v>50137</v>
      </c>
      <c r="B2" s="15" t="str">
        <f>IFERROR(__xludf.DUMMYFUNCTION("""COMPUTED_VALUE""")," BAKERPRENEURSHIP")</f>
        <v> BAKERPRENEURSHIP</v>
      </c>
      <c r="C2" s="15" t="str">
        <f>IFERROR(__xludf.DUMMYFUNCTION("""COMPUTED_VALUE"""),"Micro-entrepreneurship")</f>
        <v>Micro-entrepreneurship</v>
      </c>
      <c r="D2" s="15" t="str">
        <f>IFERROR(__xludf.DUMMYFUNCTION("""COMPUTED_VALUE"""),"Marketing")</f>
        <v>Marketing</v>
      </c>
      <c r="E2" s="54" t="str">
        <f>IFERROR(__xludf.DUMMYFUNCTION("""COMPUTED_VALUE"""),"http://data.likeminds.community/public/dashboards/VZnvbjSh35W2zBpIAGm1AeVNWOVZ9Usi1VyRyPTn?org_slug=default")</f>
        <v>http://data.likeminds.community/public/dashboards/VZnvbjSh35W2zBpIAGm1AeVNWOVZ9Usi1VyRyPTn?org_slug=default</v>
      </c>
      <c r="F2" s="54" t="str">
        <f>IFERROR(__xludf.DUMMYFUNCTION("""COMPUTED_VALUE"""),"https://collabmates.app.link/TyACFPPuEgb")</f>
        <v>https://collabmates.app.link/TyACFPPuEgb</v>
      </c>
      <c r="G2" s="54" t="str">
        <f>IFERROR(__xludf.DUMMYFUNCTION("""COMPUTED_VALUE"""),"https://hi.likeminds.community/d/bakerpreneurship")</f>
        <v>https://hi.likeminds.community/d/bakerpreneurship</v>
      </c>
      <c r="H2" s="54" t="str">
        <f>IFERROR(__xludf.DUMMYFUNCTION("""COMPUTED_VALUE"""),"https://hi.likeminds.community/d/bakerpreneurship?r=1")</f>
        <v>https://hi.likeminds.community/d/bakerpreneurship?r=1</v>
      </c>
      <c r="I2" s="15"/>
      <c r="J2" s="15" t="str">
        <f>IFERROR(__xludf.DUMMYFUNCTION("""COMPUTED_VALUE"""),"Paused")</f>
        <v>Paused</v>
      </c>
      <c r="K2" s="15" t="str">
        <f>IFERROR(__xludf.DUMMYFUNCTION("""COMPUTED_VALUE"""),"Yes")</f>
        <v>Yes</v>
      </c>
      <c r="L2" s="15" t="str">
        <f>IFERROR(__xludf.DUMMYFUNCTION("""COMPUTED_VALUE"""),"Anshul")</f>
        <v>Anshul</v>
      </c>
      <c r="M2" s="15" t="str">
        <f>IFERROR(__xludf.DUMMYFUNCTION("""COMPUTED_VALUE"""),"Shriem Agarwal")</f>
        <v>Shriem Agarwal</v>
      </c>
      <c r="N2" s="15" t="str">
        <f>IFERROR(__xludf.DUMMYFUNCTION("""COMPUTED_VALUE"""),"shriemagarwal@gmail.com")</f>
        <v>shriemagarwal@gmail.com</v>
      </c>
      <c r="O2" s="15" t="str">
        <f>IFERROR(__xludf.DUMMYFUNCTION("""COMPUTED_VALUE"""),"+918335044999")</f>
        <v>+918335044999</v>
      </c>
      <c r="P2" s="15" t="str">
        <f>IFERROR(__xludf.DUMMYFUNCTION("""COMPUTED_VALUE"""),"Not Started")</f>
        <v>Not Started</v>
      </c>
      <c r="Q2" s="15"/>
      <c r="R2" s="54" t="str">
        <f>IFERROR(__xludf.DUMMYFUNCTION("""COMPUTED_VALUE"""),"https://www.facebook.com/dashofdelicious7/")</f>
        <v>https://www.facebook.com/dashofdelicious7/</v>
      </c>
      <c r="S2" s="15"/>
      <c r="T2" s="54" t="str">
        <f>IFERROR(__xludf.DUMMYFUNCTION("""COMPUTED_VALUE"""),"https://instagram.com/dash_of_delicious")</f>
        <v>https://instagram.com/dash_of_delicious</v>
      </c>
      <c r="U2" s="15" t="str">
        <f>IFERROR(__xludf.DUMMYFUNCTION("""COMPUTED_VALUE"""),"-Add CM details
-Change the image for events
-Membership packages: ""Include one-to-one consultations with community expert"" in other other periods
-""Access to premium community of bakers""")</f>
        <v>-Add CM details
-Change the image for events
-Membership packages: "Include one-to-one consultations with community expert" in other other periods
-"Access to premium community of bakers"</v>
      </c>
      <c r="V2" s="15" t="str">
        <f>IFERROR(__xludf.DUMMYFUNCTION("""COMPUTED_VALUE"""),"Shriyam")</f>
        <v>Shriyam</v>
      </c>
    </row>
    <row r="3">
      <c r="A3" s="15">
        <f>IFERROR(__xludf.DUMMYFUNCTION("""COMPUTED_VALUE"""),50144.0)</f>
        <v>50144</v>
      </c>
      <c r="B3" s="15" t="str">
        <f>IFERROR(__xludf.DUMMYFUNCTION("""COMPUTED_VALUE""")," Business Impactopreneur")</f>
        <v> Business Impactopreneur</v>
      </c>
      <c r="C3" s="15" t="str">
        <f>IFERROR(__xludf.DUMMYFUNCTION("""COMPUTED_VALUE"""),"Career building")</f>
        <v>Career building</v>
      </c>
      <c r="D3" s="15" t="str">
        <f>IFERROR(__xludf.DUMMYFUNCTION("""COMPUTED_VALUE"""),"Marketing")</f>
        <v>Marketing</v>
      </c>
      <c r="E3" s="54" t="str">
        <f>IFERROR(__xludf.DUMMYFUNCTION("""COMPUTED_VALUE"""),"http://data.likeminds.community/public/dashboards/TIr9CdwBeKQyBjtWsA5bsbFI5CjWONDdbtIpX1Jt?org_slug=default")</f>
        <v>http://data.likeminds.community/public/dashboards/TIr9CdwBeKQyBjtWsA5bsbFI5CjWONDdbtIpX1Jt?org_slug=default</v>
      </c>
      <c r="F3" s="54" t="str">
        <f>IFERROR(__xludf.DUMMYFUNCTION("""COMPUTED_VALUE"""),"https://collabmates.app.link/8VtRMQS2Igb")</f>
        <v>https://collabmates.app.link/8VtRMQS2Igb</v>
      </c>
      <c r="G3" s="15"/>
      <c r="H3" s="15" t="str">
        <f>IFERROR(__xludf.DUMMYFUNCTION("""COMPUTED_VALUE"""),"?r=1")</f>
        <v>?r=1</v>
      </c>
      <c r="I3" s="15"/>
      <c r="J3" s="15" t="str">
        <f>IFERROR(__xludf.DUMMYFUNCTION("""COMPUTED_VALUE"""),"Active")</f>
        <v>Active</v>
      </c>
      <c r="K3" s="15" t="str">
        <f>IFERROR(__xludf.DUMMYFUNCTION("""COMPUTED_VALUE"""),"Yes")</f>
        <v>Yes</v>
      </c>
      <c r="L3" s="15" t="str">
        <f>IFERROR(__xludf.DUMMYFUNCTION("""COMPUTED_VALUE"""),"Muskan")</f>
        <v>Muskan</v>
      </c>
      <c r="M3" s="15" t="str">
        <f>IFERROR(__xludf.DUMMYFUNCTION("""COMPUTED_VALUE"""),"ARPAN PRASAD RAKSHIT")</f>
        <v>ARPAN PRASAD RAKSHIT</v>
      </c>
      <c r="N3" s="15" t="str">
        <f>IFERROR(__xludf.DUMMYFUNCTION("""COMPUTED_VALUE"""),"ARPANPRASADRAKSHIT@GMAIL.COM")</f>
        <v>ARPANPRASADRAKSHIT@GMAIL.COM</v>
      </c>
      <c r="O3" s="15" t="str">
        <f>IFERROR(__xludf.DUMMYFUNCTION("""COMPUTED_VALUE"""),"+918334032077")</f>
        <v>+918334032077</v>
      </c>
      <c r="P3" s="15" t="str">
        <f>IFERROR(__xludf.DUMMYFUNCTION("""COMPUTED_VALUE"""),"Not Started")</f>
        <v>Not Started</v>
      </c>
      <c r="Q3" s="15"/>
      <c r="R3" s="54" t="str">
        <f>IFERROR(__xludf.DUMMYFUNCTION("""COMPUTED_VALUE"""),"https://www.facebook.com/arpanprakshit")</f>
        <v>https://www.facebook.com/arpanprakshit</v>
      </c>
      <c r="S3" s="15"/>
      <c r="T3" s="15"/>
      <c r="U3" s="15" t="str">
        <f>IFERROR(__xludf.DUMMYFUNCTION("""COMPUTED_VALUE"""),"On hold
No content from the CM's side ")</f>
        <v>On hold
No content from the CM's side </v>
      </c>
      <c r="V3" s="15" t="str">
        <f>IFERROR(__xludf.DUMMYFUNCTION("""COMPUTED_VALUE"""),"Shriyam - Rajat")</f>
        <v>Shriyam - Rajat</v>
      </c>
    </row>
    <row r="4">
      <c r="A4" s="15">
        <f>IFERROR(__xludf.DUMMYFUNCTION("""COMPUTED_VALUE"""),50136.0)</f>
        <v>50136</v>
      </c>
      <c r="B4" s="15" t="str">
        <f>IFERROR(__xludf.DUMMYFUNCTION("""COMPUTED_VALUE""")," Empty Cup")</f>
        <v> Empty Cup</v>
      </c>
      <c r="C4" s="15" t="str">
        <f>IFERROR(__xludf.DUMMYFUNCTION("""COMPUTED_VALUE"""),"Micro-entrepreneurship")</f>
        <v>Micro-entrepreneurship</v>
      </c>
      <c r="D4" s="15" t="str">
        <f>IFERROR(__xludf.DUMMYFUNCTION("""COMPUTED_VALUE"""),"Marketing")</f>
        <v>Marketing</v>
      </c>
      <c r="E4" s="54" t="str">
        <f>IFERROR(__xludf.DUMMYFUNCTION("""COMPUTED_VALUE"""),"http://data.likeminds.community/public/dashboards/qRF73Xt9DZLnfwInvz9KshZAEbYQEj1fgvaUX4DC?org_slug=default")</f>
        <v>http://data.likeminds.community/public/dashboards/qRF73Xt9DZLnfwInvz9KshZAEbYQEj1fgvaUX4DC?org_slug=default</v>
      </c>
      <c r="F4" s="54" t="str">
        <f>IFERROR(__xludf.DUMMYFUNCTION("""COMPUTED_VALUE"""),"https://collabmates.app.link/LpphzCuREgb")</f>
        <v>https://collabmates.app.link/LpphzCuREgb</v>
      </c>
      <c r="G4" s="54" t="str">
        <f>IFERROR(__xludf.DUMMYFUNCTION("""COMPUTED_VALUE"""),"https://hi.likeminds.community/d/emptycup")</f>
        <v>https://hi.likeminds.community/d/emptycup</v>
      </c>
      <c r="H4" s="54" t="str">
        <f>IFERROR(__xludf.DUMMYFUNCTION("""COMPUTED_VALUE"""),"https://hi.likeminds.community/d/emptycup?r=1")</f>
        <v>https://hi.likeminds.community/d/emptycup?r=1</v>
      </c>
      <c r="I4" s="15"/>
      <c r="J4" s="15" t="str">
        <f>IFERROR(__xludf.DUMMYFUNCTION("""COMPUTED_VALUE"""),"Active")</f>
        <v>Active</v>
      </c>
      <c r="K4" s="15" t="str">
        <f>IFERROR(__xludf.DUMMYFUNCTION("""COMPUTED_VALUE"""),"Yes")</f>
        <v>Yes</v>
      </c>
      <c r="L4" s="15" t="str">
        <f>IFERROR(__xludf.DUMMYFUNCTION("""COMPUTED_VALUE"""),"Anshul")</f>
        <v>Anshul</v>
      </c>
      <c r="M4" s="15" t="str">
        <f>IFERROR(__xludf.DUMMYFUNCTION("""COMPUTED_VALUE"""),"PremChand sivakumar")</f>
        <v>PremChand sivakumar</v>
      </c>
      <c r="N4" s="15" t="str">
        <f>IFERROR(__xludf.DUMMYFUNCTION("""COMPUTED_VALUE"""),"pc50505@gmail.com")</f>
        <v>pc50505@gmail.com</v>
      </c>
      <c r="O4" s="15" t="str">
        <f>IFERROR(__xludf.DUMMYFUNCTION("""COMPUTED_VALUE"""),"+918828312804")</f>
        <v>+918828312804</v>
      </c>
      <c r="P4" s="15" t="str">
        <f>IFERROR(__xludf.DUMMYFUNCTION("""COMPUTED_VALUE"""),"Live")</f>
        <v>Live</v>
      </c>
      <c r="Q4" s="15"/>
      <c r="R4" s="54" t="str">
        <f>IFERROR(__xludf.DUMMYFUNCTION("""COMPUTED_VALUE"""),"https://m.facebook.com/emptycup.91/")</f>
        <v>https://m.facebook.com/emptycup.91/</v>
      </c>
      <c r="S4" s="15"/>
      <c r="T4" s="54" t="str">
        <f>IFERROR(__xludf.DUMMYFUNCTION("""COMPUTED_VALUE"""),"https://www.instagram.com/empty_cup.91?r=nametag")</f>
        <v>https://www.instagram.com/empty_cup.91?r=nametag</v>
      </c>
      <c r="U4" s="15"/>
      <c r="V4" s="15"/>
    </row>
    <row r="5">
      <c r="A5" s="15">
        <f>IFERROR(__xludf.DUMMYFUNCTION("""COMPUTED_VALUE"""),50143.0)</f>
        <v>50143</v>
      </c>
      <c r="B5" s="15" t="str">
        <f>IFERROR(__xludf.DUMMYFUNCTION("""COMPUTED_VALUE"""),"A Blue Lotus Life")</f>
        <v>A Blue Lotus Life</v>
      </c>
      <c r="C5" s="15" t="str">
        <f>IFERROR(__xludf.DUMMYFUNCTION("""COMPUTED_VALUE"""),"Career building")</f>
        <v>Career building</v>
      </c>
      <c r="D5" s="15" t="str">
        <f>IFERROR(__xludf.DUMMYFUNCTION("""COMPUTED_VALUE"""),"Marketing")</f>
        <v>Marketing</v>
      </c>
      <c r="E5" s="54" t="str">
        <f>IFERROR(__xludf.DUMMYFUNCTION("""COMPUTED_VALUE"""),"http://data.likeminds.community/public/dashboards/pVNpQPqW2iA8Gkj57mK0yYEzPTrR9iXfTtYITw5L?org_slug=default")</f>
        <v>http://data.likeminds.community/public/dashboards/pVNpQPqW2iA8Gkj57mK0yYEzPTrR9iXfTtYITw5L?org_slug=default</v>
      </c>
      <c r="F5" s="54" t="str">
        <f>IFERROR(__xludf.DUMMYFUNCTION("""COMPUTED_VALUE"""),"https://collabmates.app.link/QEiNWGGpHgb")</f>
        <v>https://collabmates.app.link/QEiNWGGpHgb</v>
      </c>
      <c r="G5" s="54" t="str">
        <f>IFERROR(__xludf.DUMMYFUNCTION("""COMPUTED_VALUE"""),"https://hi.likeminds.community/d/a-blue-lotus-life")</f>
        <v>https://hi.likeminds.community/d/a-blue-lotus-life</v>
      </c>
      <c r="H5" s="54" t="str">
        <f>IFERROR(__xludf.DUMMYFUNCTION("""COMPUTED_VALUE"""),"https://hi.likeminds.community/d/a-blue-lotus-life?r=1")</f>
        <v>https://hi.likeminds.community/d/a-blue-lotus-life?r=1</v>
      </c>
      <c r="I5" s="15"/>
      <c r="J5" s="15" t="str">
        <f>IFERROR(__xludf.DUMMYFUNCTION("""COMPUTED_VALUE"""),"Active")</f>
        <v>Active</v>
      </c>
      <c r="K5" s="15" t="str">
        <f>IFERROR(__xludf.DUMMYFUNCTION("""COMPUTED_VALUE"""),"Yes")</f>
        <v>Yes</v>
      </c>
      <c r="L5" s="15" t="str">
        <f>IFERROR(__xludf.DUMMYFUNCTION("""COMPUTED_VALUE"""),"Akshita")</f>
        <v>Akshita</v>
      </c>
      <c r="M5" s="15" t="str">
        <f>IFERROR(__xludf.DUMMYFUNCTION("""COMPUTED_VALUE"""),"Ambalika Bhat")</f>
        <v>Ambalika Bhat</v>
      </c>
      <c r="N5" s="15" t="str">
        <f>IFERROR(__xludf.DUMMYFUNCTION("""COMPUTED_VALUE"""),"am8alika@gmail.com")</f>
        <v>am8alika@gmail.com</v>
      </c>
      <c r="O5" s="15">
        <f>IFERROR(__xludf.DUMMYFUNCTION("""COMPUTED_VALUE"""),9.18948531814E11)</f>
        <v>918948531814</v>
      </c>
      <c r="P5" s="15" t="str">
        <f>IFERROR(__xludf.DUMMYFUNCTION("""COMPUTED_VALUE"""),"Live")</f>
        <v>Live</v>
      </c>
      <c r="Q5" s="15"/>
      <c r="R5" s="54" t="str">
        <f>IFERROR(__xludf.DUMMYFUNCTION("""COMPUTED_VALUE"""),"https://www.facebook.com/profile.php?id=1512765167")</f>
        <v>https://www.facebook.com/profile.php?id=1512765167</v>
      </c>
      <c r="S5" s="15"/>
      <c r="T5" s="54" t="str">
        <f>IFERROR(__xludf.DUMMYFUNCTION("""COMPUTED_VALUE"""),"https://www.instagram.com/abluelotuslife/")</f>
        <v>https://www.instagram.com/abluelotuslife/</v>
      </c>
      <c r="U5" s="15" t="str">
        <f>IFERROR(__xludf.DUMMYFUNCTION("""COMPUTED_VALUE"""),"Custom pricing:- 199/399/999")</f>
        <v>Custom pricing:- 199/399/999</v>
      </c>
      <c r="V5" s="15"/>
    </row>
    <row r="6">
      <c r="A6" s="15">
        <f>IFERROR(__xludf.DUMMYFUNCTION("""COMPUTED_VALUE"""),49997.0)</f>
        <v>49997</v>
      </c>
      <c r="B6" s="15" t="str">
        <f>IFERROR(__xludf.DUMMYFUNCTION("""COMPUTED_VALUE"""),"Ahoj: Let's Blog (MG)")</f>
        <v>Ahoj: Let's Blog (MG)</v>
      </c>
      <c r="C6" s="15" t="str">
        <f>IFERROR(__xludf.DUMMYFUNCTION("""COMPUTED_VALUE"""),"Micro-entrepreneurship")</f>
        <v>Micro-entrepreneurship</v>
      </c>
      <c r="D6" s="15" t="str">
        <f>IFERROR(__xludf.DUMMYFUNCTION("""COMPUTED_VALUE"""),"Marketing")</f>
        <v>Marketing</v>
      </c>
      <c r="E6" s="54" t="str">
        <f>IFERROR(__xludf.DUMMYFUNCTION("""COMPUTED_VALUE"""),"http://data.likeminds.community/public/dashboards/4srQJ6FKMtqo3FtBvEwRO2nUOJCbzG1a020YL8q4?org_slug=default")</f>
        <v>http://data.likeminds.community/public/dashboards/4srQJ6FKMtqo3FtBvEwRO2nUOJCbzG1a020YL8q4?org_slug=default</v>
      </c>
      <c r="F6" s="54" t="str">
        <f>IFERROR(__xludf.DUMMYFUNCTION("""COMPUTED_VALUE"""),"https://collabmates.app.link/lZckKutq1eb")</f>
        <v>https://collabmates.app.link/lZckKutq1eb</v>
      </c>
      <c r="G6" s="54" t="str">
        <f>IFERROR(__xludf.DUMMYFUNCTION("""COMPUTED_VALUE"""),"https://community.likeminds.community/ahoj-lets-blog")</f>
        <v>https://community.likeminds.community/ahoj-lets-blog</v>
      </c>
      <c r="H6" s="54" t="str">
        <f>IFERROR(__xludf.DUMMYFUNCTION("""COMPUTED_VALUE"""),"https://community.likeminds.community/ahoj-lets-blog?r=1")</f>
        <v>https://community.likeminds.community/ahoj-lets-blog?r=1</v>
      </c>
      <c r="I6" s="15"/>
      <c r="J6" s="15" t="str">
        <f>IFERROR(__xludf.DUMMYFUNCTION("""COMPUTED_VALUE"""),"Active")</f>
        <v>Active</v>
      </c>
      <c r="K6" s="15" t="str">
        <f>IFERROR(__xludf.DUMMYFUNCTION("""COMPUTED_VALUE"""),"Yes")</f>
        <v>Yes</v>
      </c>
      <c r="L6" s="15" t="str">
        <f>IFERROR(__xludf.DUMMYFUNCTION("""COMPUTED_VALUE"""),"Tara")</f>
        <v>Tara</v>
      </c>
      <c r="M6" s="15" t="str">
        <f>IFERROR(__xludf.DUMMYFUNCTION("""COMPUTED_VALUE"""),"Sahil (MG)")</f>
        <v>Sahil (MG)</v>
      </c>
      <c r="N6" s="15" t="str">
        <f>IFERROR(__xludf.DUMMYFUNCTION("""COMPUTED_VALUE"""),"gsahu1983@gmail.com")</f>
        <v>gsahu1983@gmail.com</v>
      </c>
      <c r="O6" s="15">
        <f>IFERROR(__xludf.DUMMYFUNCTION("""COMPUTED_VALUE"""),9.19891149442E11)</f>
        <v>919891149442</v>
      </c>
      <c r="P6" s="15" t="str">
        <f>IFERROR(__xludf.DUMMYFUNCTION("""COMPUTED_VALUE"""),"Live")</f>
        <v>Live</v>
      </c>
      <c r="Q6" s="15"/>
      <c r="R6" s="15"/>
      <c r="S6" s="15"/>
      <c r="T6" s="15"/>
      <c r="U6" s="15"/>
      <c r="V6" s="15"/>
    </row>
    <row r="7">
      <c r="A7" s="15">
        <f>IFERROR(__xludf.DUMMYFUNCTION("""COMPUTED_VALUE"""),50065.0)</f>
        <v>50065</v>
      </c>
      <c r="B7" s="15" t="str">
        <f>IFERROR(__xludf.DUMMYFUNCTION("""COMPUTED_VALUE"""),"Being earthable")</f>
        <v>Being earthable</v>
      </c>
      <c r="C7" s="15" t="str">
        <f>IFERROR(__xludf.DUMMYFUNCTION("""COMPUTED_VALUE"""),"Life skills/Lifestyle")</f>
        <v>Life skills/Lifestyle</v>
      </c>
      <c r="D7" s="15" t="str">
        <f>IFERROR(__xludf.DUMMYFUNCTION("""COMPUTED_VALUE"""),"Marketing")</f>
        <v>Marketing</v>
      </c>
      <c r="E7" s="54" t="str">
        <f>IFERROR(__xludf.DUMMYFUNCTION("""COMPUTED_VALUE"""),"http://data.likeminds.community/public/dashboards/WmCp4zwLzO6KXZiZm9IoAQdE0kzf1L8guYtrtHXh?org_slug=default")</f>
        <v>http://data.likeminds.community/public/dashboards/WmCp4zwLzO6KXZiZm9IoAQdE0kzf1L8guYtrtHXh?org_slug=default</v>
      </c>
      <c r="F7" s="54" t="str">
        <f>IFERROR(__xludf.DUMMYFUNCTION("""COMPUTED_VALUE"""),"https://collabmates.app.link/xlT4gPjLYfb")</f>
        <v>https://collabmates.app.link/xlT4gPjLYfb</v>
      </c>
      <c r="G7" s="54" t="str">
        <f>IFERROR(__xludf.DUMMYFUNCTION("""COMPUTED_VALUE"""),"https://hi.likeminds.community/d/being-earthable")</f>
        <v>https://hi.likeminds.community/d/being-earthable</v>
      </c>
      <c r="H7" s="54" t="str">
        <f>IFERROR(__xludf.DUMMYFUNCTION("""COMPUTED_VALUE"""),"https://hi.likeminds.community/d/being-earthable?r=1")</f>
        <v>https://hi.likeminds.community/d/being-earthable?r=1</v>
      </c>
      <c r="I7" s="15"/>
      <c r="J7" s="15" t="str">
        <f>IFERROR(__xludf.DUMMYFUNCTION("""COMPUTED_VALUE"""),"Active")</f>
        <v>Active</v>
      </c>
      <c r="K7" s="15" t="str">
        <f>IFERROR(__xludf.DUMMYFUNCTION("""COMPUTED_VALUE"""),"Yes")</f>
        <v>Yes</v>
      </c>
      <c r="L7" s="15" t="str">
        <f>IFERROR(__xludf.DUMMYFUNCTION("""COMPUTED_VALUE"""),"Akshita")</f>
        <v>Akshita</v>
      </c>
      <c r="M7" s="15" t="str">
        <f>IFERROR(__xludf.DUMMYFUNCTION("""COMPUTED_VALUE"""),"Disha Gupta")</f>
        <v>Disha Gupta</v>
      </c>
      <c r="N7" s="15" t="str">
        <f>IFERROR(__xludf.DUMMYFUNCTION("""COMPUTED_VALUE"""),"disha.gupta2808@gmail.com")</f>
        <v>disha.gupta2808@gmail.com</v>
      </c>
      <c r="O7" s="15">
        <f>IFERROR(__xludf.DUMMYFUNCTION("""COMPUTED_VALUE"""),9.19880709892E11)</f>
        <v>919880709892</v>
      </c>
      <c r="P7" s="15" t="str">
        <f>IFERROR(__xludf.DUMMYFUNCTION("""COMPUTED_VALUE"""),"Paused")</f>
        <v>Paused</v>
      </c>
      <c r="Q7" s="15"/>
      <c r="R7" s="54" t="str">
        <f>IFERROR(__xludf.DUMMYFUNCTION("""COMPUTED_VALUE"""),"https://m.facebook.com/Earthable/")</f>
        <v>https://m.facebook.com/Earthable/</v>
      </c>
      <c r="S7" s="15"/>
      <c r="T7" s="15"/>
      <c r="U7" s="15"/>
      <c r="V7" s="15"/>
    </row>
    <row r="8">
      <c r="A8" s="15">
        <f>IFERROR(__xludf.DUMMYFUNCTION("""COMPUTED_VALUE"""),50015.0)</f>
        <v>50015</v>
      </c>
      <c r="B8" s="15" t="str">
        <f>IFERROR(__xludf.DUMMYFUNCTION("""COMPUTED_VALUE"""),"BLOGGING LIFE ")</f>
        <v>BLOGGING LIFE </v>
      </c>
      <c r="C8" s="15" t="str">
        <f>IFERROR(__xludf.DUMMYFUNCTION("""COMPUTED_VALUE"""),"Micro-entrepreneurship")</f>
        <v>Micro-entrepreneurship</v>
      </c>
      <c r="D8" s="15" t="str">
        <f>IFERROR(__xludf.DUMMYFUNCTION("""COMPUTED_VALUE"""),"Marketing")</f>
        <v>Marketing</v>
      </c>
      <c r="E8" s="54" t="str">
        <f>IFERROR(__xludf.DUMMYFUNCTION("""COMPUTED_VALUE"""),"http://data.likeminds.community/public/dashboards/SxSMakM92xN5bis2bA4kVeAUimRr9pg1NmkQWjco?org_slug=default")</f>
        <v>http://data.likeminds.community/public/dashboards/SxSMakM92xN5bis2bA4kVeAUimRr9pg1NmkQWjco?org_slug=default</v>
      </c>
      <c r="F8" s="54" t="str">
        <f>IFERROR(__xludf.DUMMYFUNCTION("""COMPUTED_VALUE"""),"https://collabmates.app.link/sJmlNV3qwfb")</f>
        <v>https://collabmates.app.link/sJmlNV3qwfb</v>
      </c>
      <c r="G8" s="54" t="str">
        <f>IFERROR(__xludf.DUMMYFUNCTION("""COMPUTED_VALUE"""),"https://hi.likeminds.community/d/blogging-life")</f>
        <v>https://hi.likeminds.community/d/blogging-life</v>
      </c>
      <c r="H8" s="54" t="str">
        <f>IFERROR(__xludf.DUMMYFUNCTION("""COMPUTED_VALUE"""),"https://hi.likeminds.community/d/blogging-life?r=1")</f>
        <v>https://hi.likeminds.community/d/blogging-life?r=1</v>
      </c>
      <c r="I8" s="15"/>
      <c r="J8" s="15" t="str">
        <f>IFERROR(__xludf.DUMMYFUNCTION("""COMPUTED_VALUE"""),"Active")</f>
        <v>Active</v>
      </c>
      <c r="K8" s="15" t="str">
        <f>IFERROR(__xludf.DUMMYFUNCTION("""COMPUTED_VALUE"""),"Yes")</f>
        <v>Yes</v>
      </c>
      <c r="L8" s="15" t="str">
        <f>IFERROR(__xludf.DUMMYFUNCTION("""COMPUTED_VALUE"""),"Akshita")</f>
        <v>Akshita</v>
      </c>
      <c r="M8" s="15" t="str">
        <f>IFERROR(__xludf.DUMMYFUNCTION("""COMPUTED_VALUE"""),"Shahid")</f>
        <v>Shahid</v>
      </c>
      <c r="N8" s="15" t="str">
        <f>IFERROR(__xludf.DUMMYFUNCTION("""COMPUTED_VALUE"""),"mdshahidrock098@gmail.com")</f>
        <v>mdshahidrock098@gmail.com</v>
      </c>
      <c r="O8" s="15">
        <f>IFERROR(__xludf.DUMMYFUNCTION("""COMPUTED_VALUE"""),9.16202718251E11)</f>
        <v>916202718251</v>
      </c>
      <c r="P8" s="15" t="str">
        <f>IFERROR(__xludf.DUMMYFUNCTION("""COMPUTED_VALUE"""),"Live")</f>
        <v>Live</v>
      </c>
      <c r="Q8" s="15"/>
      <c r="R8" s="54" t="str">
        <f>IFERROR(__xludf.DUMMYFUNCTION("""COMPUTED_VALUE"""),"https://m.facebook.com/Blogging-life-107581661482266/?ref=bookmarks")</f>
        <v>https://m.facebook.com/Blogging-life-107581661482266/?ref=bookmarks</v>
      </c>
      <c r="S8" s="15" t="str">
        <f>IFERROR(__xludf.DUMMYFUNCTION("""COMPUTED_VALUE"""),"Yes")</f>
        <v>Yes</v>
      </c>
      <c r="T8" s="15"/>
      <c r="U8" s="15" t="str">
        <f>IFERROR(__xludf.DUMMYFUNCTION("""COMPUTED_VALUE"""),"custom pricing:- 149/349/699")</f>
        <v>custom pricing:- 149/349/699</v>
      </c>
      <c r="V8" s="15"/>
    </row>
    <row r="9">
      <c r="A9" s="15">
        <f>IFERROR(__xludf.DUMMYFUNCTION("""COMPUTED_VALUE"""),50009.0)</f>
        <v>50009</v>
      </c>
      <c r="B9" s="15" t="str">
        <f>IFERROR(__xludf.DUMMYFUNCTION("""COMPUTED_VALUE"""),"Blooming Rush")</f>
        <v>Blooming Rush</v>
      </c>
      <c r="C9" s="15" t="str">
        <f>IFERROR(__xludf.DUMMYFUNCTION("""COMPUTED_VALUE"""),"Health &amp; fitness")</f>
        <v>Health &amp; fitness</v>
      </c>
      <c r="D9" s="15" t="str">
        <f>IFERROR(__xludf.DUMMYFUNCTION("""COMPUTED_VALUE"""),"Marketing")</f>
        <v>Marketing</v>
      </c>
      <c r="E9" s="54" t="str">
        <f>IFERROR(__xludf.DUMMYFUNCTION("""COMPUTED_VALUE"""),"http://data.likeminds.community/public/dashboards/5U4bZa03717lwGHKEgsPHYqwiX5HLDO2JW6M3FDM?org_slug=default")</f>
        <v>http://data.likeminds.community/public/dashboards/5U4bZa03717lwGHKEgsPHYqwiX5HLDO2JW6M3FDM?org_slug=default</v>
      </c>
      <c r="F9" s="54" t="str">
        <f>IFERROR(__xludf.DUMMYFUNCTION("""COMPUTED_VALUE"""),"https://collabmates.app.link/ygyUWrhYcfb")</f>
        <v>https://collabmates.app.link/ygyUWrhYcfb</v>
      </c>
      <c r="G9" s="54" t="str">
        <f>IFERROR(__xludf.DUMMYFUNCTION("""COMPUTED_VALUE"""),"https://hi.likeminds.community/blooming-rush")</f>
        <v>https://hi.likeminds.community/blooming-rush</v>
      </c>
      <c r="H9" s="54" t="str">
        <f>IFERROR(__xludf.DUMMYFUNCTION("""COMPUTED_VALUE"""),"https://hi.likeminds.community/blooming-rush?r=1")</f>
        <v>https://hi.likeminds.community/blooming-rush?r=1</v>
      </c>
      <c r="I9" s="15"/>
      <c r="J9" s="15" t="str">
        <f>IFERROR(__xludf.DUMMYFUNCTION("""COMPUTED_VALUE"""),"Dropped")</f>
        <v>Dropped</v>
      </c>
      <c r="K9" s="15" t="str">
        <f>IFERROR(__xludf.DUMMYFUNCTION("""COMPUTED_VALUE"""),"Yes")</f>
        <v>Yes</v>
      </c>
      <c r="L9" s="15"/>
      <c r="M9" s="15" t="str">
        <f>IFERROR(__xludf.DUMMYFUNCTION("""COMPUTED_VALUE"""),"Supriya Prakash Mohite")</f>
        <v>Supriya Prakash Mohite</v>
      </c>
      <c r="N9" s="15" t="str">
        <f>IFERROR(__xludf.DUMMYFUNCTION("""COMPUTED_VALUE"""),"supriya.mohite2008@gmail.com")</f>
        <v>supriya.mohite2008@gmail.com</v>
      </c>
      <c r="O9" s="15">
        <f>IFERROR(__xludf.DUMMYFUNCTION("""COMPUTED_VALUE"""),9.19594754566E11)</f>
        <v>919594754566</v>
      </c>
      <c r="P9" s="15" t="str">
        <f>IFERROR(__xludf.DUMMYFUNCTION("""COMPUTED_VALUE"""),"Not Started")</f>
        <v>Not Started</v>
      </c>
      <c r="Q9" s="15"/>
      <c r="R9" s="15"/>
      <c r="S9" s="15"/>
      <c r="T9" s="15"/>
      <c r="U9" s="15" t="str">
        <f>IFERROR(__xludf.DUMMYFUNCTION("""COMPUTED_VALUE"""),"Very basic website needs a lto revision - Mayank")</f>
        <v>Very basic website needs a lto revision - Mayank</v>
      </c>
      <c r="V9" s="15"/>
    </row>
    <row r="10">
      <c r="A10" s="15">
        <f>IFERROR(__xludf.DUMMYFUNCTION("""COMPUTED_VALUE"""),50029.0)</f>
        <v>50029</v>
      </c>
      <c r="B10" s="15" t="str">
        <f>IFERROR(__xludf.DUMMYFUNCTION("""COMPUTED_VALUE"""),"Bonjour Amis French")</f>
        <v>Bonjour Amis French</v>
      </c>
      <c r="C10" s="15" t="str">
        <f>IFERROR(__xludf.DUMMYFUNCTION("""COMPUTED_VALUE"""),"Language")</f>
        <v>Language</v>
      </c>
      <c r="D10" s="15" t="str">
        <f>IFERROR(__xludf.DUMMYFUNCTION("""COMPUTED_VALUE"""),"Marketing")</f>
        <v>Marketing</v>
      </c>
      <c r="E10" s="54" t="str">
        <f>IFERROR(__xludf.DUMMYFUNCTION("""COMPUTED_VALUE"""),"http://data.likeminds.community/public/dashboards/m5qNYE3Swlz0wjp1DZnlUSllaNe1YkhyyCLUauuC?org_slug=default")</f>
        <v>http://data.likeminds.community/public/dashboards/m5qNYE3Swlz0wjp1DZnlUSllaNe1YkhyyCLUauuC?org_slug=default</v>
      </c>
      <c r="F10" s="54" t="str">
        <f>IFERROR(__xludf.DUMMYFUNCTION("""COMPUTED_VALUE"""),"https://collabmates.app.link/88pzdrQArfb")</f>
        <v>https://collabmates.app.link/88pzdrQArfb</v>
      </c>
      <c r="G10" s="54" t="str">
        <f>IFERROR(__xludf.DUMMYFUNCTION("""COMPUTED_VALUE"""),"https://hi.likeminds.community/d/bonjour-amis-french")</f>
        <v>https://hi.likeminds.community/d/bonjour-amis-french</v>
      </c>
      <c r="H10" s="54" t="str">
        <f>IFERROR(__xludf.DUMMYFUNCTION("""COMPUTED_VALUE"""),"https://hi.likeminds.community/d/bonjour-amis-french?r=1")</f>
        <v>https://hi.likeminds.community/d/bonjour-amis-french?r=1</v>
      </c>
      <c r="I10" s="15"/>
      <c r="J10" s="15" t="str">
        <f>IFERROR(__xludf.DUMMYFUNCTION("""COMPUTED_VALUE"""),"Active")</f>
        <v>Active</v>
      </c>
      <c r="K10" s="15" t="str">
        <f>IFERROR(__xludf.DUMMYFUNCTION("""COMPUTED_VALUE"""),"Yes")</f>
        <v>Yes</v>
      </c>
      <c r="L10" s="15" t="str">
        <f>IFERROR(__xludf.DUMMYFUNCTION("""COMPUTED_VALUE"""),"Kushagra")</f>
        <v>Kushagra</v>
      </c>
      <c r="M10" s="15" t="str">
        <f>IFERROR(__xludf.DUMMYFUNCTION("""COMPUTED_VALUE"""),"Virat Kapoor")</f>
        <v>Virat Kapoor</v>
      </c>
      <c r="N10" s="15" t="str">
        <f>IFERROR(__xludf.DUMMYFUNCTION("""COMPUTED_VALUE"""),"frenchvirat@gmail.com")</f>
        <v>frenchvirat@gmail.com</v>
      </c>
      <c r="O10" s="15">
        <f>IFERROR(__xludf.DUMMYFUNCTION("""COMPUTED_VALUE"""),9.19810428931E11)</f>
        <v>919810428931</v>
      </c>
      <c r="P10" s="15" t="str">
        <f>IFERROR(__xludf.DUMMYFUNCTION("""COMPUTED_VALUE"""),"Live")</f>
        <v>Live</v>
      </c>
      <c r="Q10" s="15"/>
      <c r="R10" s="54" t="str">
        <f>IFERROR(__xludf.DUMMYFUNCTION("""COMPUTED_VALUE"""),"https://m.facebook.com/Bonjour-amis-108679514151998/")</f>
        <v>https://m.facebook.com/Bonjour-amis-108679514151998/</v>
      </c>
      <c r="S10" s="15" t="str">
        <f>IFERROR(__xludf.DUMMYFUNCTION("""COMPUTED_VALUE"""),"Yes")</f>
        <v>Yes</v>
      </c>
      <c r="T10" s="15"/>
      <c r="U10" s="15"/>
      <c r="V10" s="15"/>
    </row>
    <row r="11">
      <c r="A11" s="15">
        <f>IFERROR(__xludf.DUMMYFUNCTION("""COMPUTED_VALUE"""),50020.0)</f>
        <v>50020</v>
      </c>
      <c r="B11" s="15" t="str">
        <f>IFERROR(__xludf.DUMMYFUNCTION("""COMPUTED_VALUE"""),"Budding Teachers")</f>
        <v>Budding Teachers</v>
      </c>
      <c r="C11" s="15" t="str">
        <f>IFERROR(__xludf.DUMMYFUNCTION("""COMPUTED_VALUE"""),"Micro-entrepreneurship")</f>
        <v>Micro-entrepreneurship</v>
      </c>
      <c r="D11" s="15" t="str">
        <f>IFERROR(__xludf.DUMMYFUNCTION("""COMPUTED_VALUE"""),"Marketing")</f>
        <v>Marketing</v>
      </c>
      <c r="E11" s="54" t="str">
        <f>IFERROR(__xludf.DUMMYFUNCTION("""COMPUTED_VALUE"""),"http://data.likeminds.community/public/dashboards/uh9WfC28R7Min4gG16prDger20ogRmpqb3kzhrBU?org_slug=default")</f>
        <v>http://data.likeminds.community/public/dashboards/uh9WfC28R7Min4gG16prDger20ogRmpqb3kzhrBU?org_slug=default</v>
      </c>
      <c r="F11" s="54" t="str">
        <f>IFERROR(__xludf.DUMMYFUNCTION("""COMPUTED_VALUE"""),"https://collabmates.app.link/80b8gHUFrfb")</f>
        <v>https://collabmates.app.link/80b8gHUFrfb</v>
      </c>
      <c r="G11" s="54" t="str">
        <f>IFERROR(__xludf.DUMMYFUNCTION("""COMPUTED_VALUE"""),"https://hi.likeminds.community/budding-teachers")</f>
        <v>https://hi.likeminds.community/budding-teachers</v>
      </c>
      <c r="H11" s="54" t="str">
        <f>IFERROR(__xludf.DUMMYFUNCTION("""COMPUTED_VALUE"""),"https://hi.likeminds.community/budding-teachers?r=1")</f>
        <v>https://hi.likeminds.community/budding-teachers?r=1</v>
      </c>
      <c r="I11" s="15"/>
      <c r="J11" s="15" t="str">
        <f>IFERROR(__xludf.DUMMYFUNCTION("""COMPUTED_VALUE"""),"Active")</f>
        <v>Active</v>
      </c>
      <c r="K11" s="15" t="str">
        <f>IFERROR(__xludf.DUMMYFUNCTION("""COMPUTED_VALUE"""),"Yes")</f>
        <v>Yes</v>
      </c>
      <c r="L11" s="15" t="str">
        <f>IFERROR(__xludf.DUMMYFUNCTION("""COMPUTED_VALUE"""),"Kushagra")</f>
        <v>Kushagra</v>
      </c>
      <c r="M11" s="15" t="str">
        <f>IFERROR(__xludf.DUMMYFUNCTION("""COMPUTED_VALUE"""),"MUHAMMED BAVA ")</f>
        <v>MUHAMMED BAVA </v>
      </c>
      <c r="N11" s="15" t="str">
        <f>IFERROR(__xludf.DUMMYFUNCTION("""COMPUTED_VALUE"""),"mbavooz@gmail.com")</f>
        <v>mbavooz@gmail.com</v>
      </c>
      <c r="O11" s="15">
        <f>IFERROR(__xludf.DUMMYFUNCTION("""COMPUTED_VALUE"""),9.19447544224E11)</f>
        <v>919447544224</v>
      </c>
      <c r="P11" s="15" t="str">
        <f>IFERROR(__xludf.DUMMYFUNCTION("""COMPUTED_VALUE"""),"Live")</f>
        <v>Live</v>
      </c>
      <c r="Q11" s="15"/>
      <c r="R11" s="54" t="str">
        <f>IFERROR(__xludf.DUMMYFUNCTION("""COMPUTED_VALUE"""),"https://www.facebook.com/Budding-Teachers-102748891949310/?ref=page_internal")</f>
        <v>https://www.facebook.com/Budding-Teachers-102748891949310/?ref=page_internal</v>
      </c>
      <c r="S11" s="15" t="str">
        <f>IFERROR(__xludf.DUMMYFUNCTION("""COMPUTED_VALUE"""),"Yes")</f>
        <v>Yes</v>
      </c>
      <c r="T11" s="15"/>
      <c r="U11" s="15" t="str">
        <f>IFERROR(__xludf.DUMMYFUNCTION("""COMPUTED_VALUE"""),"Needs rework")</f>
        <v>Needs rework</v>
      </c>
      <c r="V11" s="15"/>
    </row>
    <row r="12">
      <c r="A12" s="15">
        <f>IFERROR(__xludf.DUMMYFUNCTION("""COMPUTED_VALUE"""),50007.0)</f>
        <v>50007</v>
      </c>
      <c r="B12" s="15" t="str">
        <f>IFERROR(__xludf.DUMMYFUNCTION("""COMPUTED_VALUE"""),"Business Advisory")</f>
        <v>Business Advisory</v>
      </c>
      <c r="C12" s="15" t="str">
        <f>IFERROR(__xludf.DUMMYFUNCTION("""COMPUTED_VALUE"""),"Micro-entrepreneurship")</f>
        <v>Micro-entrepreneurship</v>
      </c>
      <c r="D12" s="15" t="str">
        <f>IFERROR(__xludf.DUMMYFUNCTION("""COMPUTED_VALUE"""),"Marketing")</f>
        <v>Marketing</v>
      </c>
      <c r="E12" s="54" t="str">
        <f>IFERROR(__xludf.DUMMYFUNCTION("""COMPUTED_VALUE"""),"http://data.likeminds.community/public/dashboards/sSl52DQm5mO2Zw9vD0FZ3lo5UEaZfZIhnYg88t0W?org_slug=default")</f>
        <v>http://data.likeminds.community/public/dashboards/sSl52DQm5mO2Zw9vD0FZ3lo5UEaZfZIhnYg88t0W?org_slug=default</v>
      </c>
      <c r="F12" s="54" t="str">
        <f>IFERROR(__xludf.DUMMYFUNCTION("""COMPUTED_VALUE"""),"https://collabmates.app.link/cJQVhWAscfb")</f>
        <v>https://collabmates.app.link/cJQVhWAscfb</v>
      </c>
      <c r="G12" s="54" t="str">
        <f>IFERROR(__xludf.DUMMYFUNCTION("""COMPUTED_VALUE"""),"https://hi.likeminds.community/business-advisory")</f>
        <v>https://hi.likeminds.community/business-advisory</v>
      </c>
      <c r="H12" s="54" t="str">
        <f>IFERROR(__xludf.DUMMYFUNCTION("""COMPUTED_VALUE"""),"https://hi.likeminds.community/business-advisory?r=1")</f>
        <v>https://hi.likeminds.community/business-advisory?r=1</v>
      </c>
      <c r="I12" s="15"/>
      <c r="J12" s="15" t="str">
        <f>IFERROR(__xludf.DUMMYFUNCTION("""COMPUTED_VALUE"""),"Active")</f>
        <v>Active</v>
      </c>
      <c r="K12" s="15" t="str">
        <f>IFERROR(__xludf.DUMMYFUNCTION("""COMPUTED_VALUE"""),"Yes")</f>
        <v>Yes</v>
      </c>
      <c r="L12" s="15" t="str">
        <f>IFERROR(__xludf.DUMMYFUNCTION("""COMPUTED_VALUE"""),"Tara")</f>
        <v>Tara</v>
      </c>
      <c r="M12" s="15" t="str">
        <f>IFERROR(__xludf.DUMMYFUNCTION("""COMPUTED_VALUE"""),"E Avadhuth")</f>
        <v>E Avadhuth</v>
      </c>
      <c r="N12" s="15" t="str">
        <f>IFERROR(__xludf.DUMMYFUNCTION("""COMPUTED_VALUE"""),"iba.shiva@gmail.com")</f>
        <v>iba.shiva@gmail.com</v>
      </c>
      <c r="O12" s="15">
        <f>IFERROR(__xludf.DUMMYFUNCTION("""COMPUTED_VALUE"""),9.19265804471E11)</f>
        <v>919265804471</v>
      </c>
      <c r="P12" s="15" t="str">
        <f>IFERROR(__xludf.DUMMYFUNCTION("""COMPUTED_VALUE"""),"Paused")</f>
        <v>Paused</v>
      </c>
      <c r="Q12" s="15"/>
      <c r="R12" s="15"/>
      <c r="S12" s="15"/>
      <c r="T12" s="15"/>
      <c r="U12" s="15" t="str">
        <f>IFERROR(__xludf.DUMMYFUNCTION("""COMPUTED_VALUE"""),"Needs rework")</f>
        <v>Needs rework</v>
      </c>
      <c r="V12" s="15"/>
    </row>
    <row r="13">
      <c r="A13" s="15">
        <f>IFERROR(__xludf.DUMMYFUNCTION("""COMPUTED_VALUE"""),50150.0)</f>
        <v>50150</v>
      </c>
      <c r="B13" s="15" t="str">
        <f>IFERROR(__xludf.DUMMYFUNCTION("""COMPUTED_VALUE"""),"CONFIDENCE BOOSTING CLUB")</f>
        <v>CONFIDENCE BOOSTING CLUB</v>
      </c>
      <c r="C13" s="15" t="str">
        <f>IFERROR(__xludf.DUMMYFUNCTION("""COMPUTED_VALUE"""),"Language")</f>
        <v>Language</v>
      </c>
      <c r="D13" s="15" t="str">
        <f>IFERROR(__xludf.DUMMYFUNCTION("""COMPUTED_VALUE"""),"Marketing")</f>
        <v>Marketing</v>
      </c>
      <c r="E13" s="54" t="str">
        <f>IFERROR(__xludf.DUMMYFUNCTION("""COMPUTED_VALUE"""),"http://data.likeminds.community/public/dashboards/BFqBei4zSRaU02HN2LLQkL8sbTF1AcW61vBEmwlw?org_slug=default")</f>
        <v>http://data.likeminds.community/public/dashboards/BFqBei4zSRaU02HN2LLQkL8sbTF1AcW61vBEmwlw?org_slug=default</v>
      </c>
      <c r="F13" s="54" t="str">
        <f>IFERROR(__xludf.DUMMYFUNCTION("""COMPUTED_VALUE"""),"https://collabmates.app.link/yIzu2pP5Igb")</f>
        <v>https://collabmates.app.link/yIzu2pP5Igb</v>
      </c>
      <c r="G13" s="54" t="str">
        <f>IFERROR(__xludf.DUMMYFUNCTION("""COMPUTED_VALUE"""),"https://hi.likeminds.community/d/confidence-boosting-club")</f>
        <v>https://hi.likeminds.community/d/confidence-boosting-club</v>
      </c>
      <c r="H13" s="54" t="str">
        <f>IFERROR(__xludf.DUMMYFUNCTION("""COMPUTED_VALUE"""),"https://hi.likeminds.community/d/confidence-boosting-club?r=1")</f>
        <v>https://hi.likeminds.community/d/confidence-boosting-club?r=1</v>
      </c>
      <c r="I13" s="15"/>
      <c r="J13" s="15" t="str">
        <f>IFERROR(__xludf.DUMMYFUNCTION("""COMPUTED_VALUE"""),"Active")</f>
        <v>Active</v>
      </c>
      <c r="K13" s="15" t="str">
        <f>IFERROR(__xludf.DUMMYFUNCTION("""COMPUTED_VALUE"""),"Yes")</f>
        <v>Yes</v>
      </c>
      <c r="L13" s="15" t="str">
        <f>IFERROR(__xludf.DUMMYFUNCTION("""COMPUTED_VALUE"""),"Rushikesh ")</f>
        <v>Rushikesh </v>
      </c>
      <c r="M13" s="15" t="str">
        <f>IFERROR(__xludf.DUMMYFUNCTION("""COMPUTED_VALUE"""),"Devashish")</f>
        <v>Devashish</v>
      </c>
      <c r="N13" s="15" t="str">
        <f>IFERROR(__xludf.DUMMYFUNCTION("""COMPUTED_VALUE"""),"2016dchakra@gmail.com")</f>
        <v>2016dchakra@gmail.com</v>
      </c>
      <c r="O13" s="15" t="str">
        <f>IFERROR(__xludf.DUMMYFUNCTION("""COMPUTED_VALUE"""),"+919459011598")</f>
        <v>+919459011598</v>
      </c>
      <c r="P13" s="15" t="str">
        <f>IFERROR(__xludf.DUMMYFUNCTION("""COMPUTED_VALUE"""),"Not Started")</f>
        <v>Not Started</v>
      </c>
      <c r="Q13" s="15"/>
      <c r="R13" s="54" t="str">
        <f>IFERROR(__xludf.DUMMYFUNCTION("""COMPUTED_VALUE"""),"https://www.facebook.com/CBC-CLUB-106034355031526/")</f>
        <v>https://www.facebook.com/CBC-CLUB-106034355031526/</v>
      </c>
      <c r="S13" s="15"/>
      <c r="T13" s="15"/>
      <c r="U13" s="15" t="str">
        <f>IFERROR(__xludf.DUMMYFUNCTION("""COMPUTED_VALUE"""),"Problem in english structure - check description, no additional value in higher plans")</f>
        <v>Problem in english structure - check description, no additional value in higher plans</v>
      </c>
      <c r="V13" s="15"/>
    </row>
    <row r="14">
      <c r="A14" s="15">
        <f>IFERROR(__xludf.DUMMYFUNCTION("""COMPUTED_VALUE"""),49991.0)</f>
        <v>49991</v>
      </c>
      <c r="B14" s="15" t="str">
        <f>IFERROR(__xludf.DUMMYFUNCTION("""COMPUTED_VALUE"""),"DeBattlers")</f>
        <v>DeBattlers</v>
      </c>
      <c r="C14" s="15" t="str">
        <f>IFERROR(__xludf.DUMMYFUNCTION("""COMPUTED_VALUE"""),"Life skills/Lifestyle")</f>
        <v>Life skills/Lifestyle</v>
      </c>
      <c r="D14" s="15" t="str">
        <f>IFERROR(__xludf.DUMMYFUNCTION("""COMPUTED_VALUE"""),"Marketing")</f>
        <v>Marketing</v>
      </c>
      <c r="E14" s="54" t="str">
        <f>IFERROR(__xludf.DUMMYFUNCTION("""COMPUTED_VALUE"""),"http://data.likeminds.community/public/dashboards/37TVHbWinu7uaquF1J7kBZ0XY7ZgEQlOr8HGuLUk?org_slug=default")</f>
        <v>http://data.likeminds.community/public/dashboards/37TVHbWinu7uaquF1J7kBZ0XY7ZgEQlOr8HGuLUk?org_slug=default</v>
      </c>
      <c r="F14" s="54" t="str">
        <f>IFERROR(__xludf.DUMMYFUNCTION("""COMPUTED_VALUE"""),"https://collabmates.app.link/E7JH1MZjZeb")</f>
        <v>https://collabmates.app.link/E7JH1MZjZeb</v>
      </c>
      <c r="G14" s="54" t="str">
        <f>IFERROR(__xludf.DUMMYFUNCTION("""COMPUTED_VALUE"""),"https://community.likeminds.community/debattlers")</f>
        <v>https://community.likeminds.community/debattlers</v>
      </c>
      <c r="H14" s="54" t="str">
        <f>IFERROR(__xludf.DUMMYFUNCTION("""COMPUTED_VALUE"""),"https://community.likeminds.community/debattlers?r=1")</f>
        <v>https://community.likeminds.community/debattlers?r=1</v>
      </c>
      <c r="I14" s="15"/>
      <c r="J14" s="15" t="str">
        <f>IFERROR(__xludf.DUMMYFUNCTION("""COMPUTED_VALUE"""),"Active")</f>
        <v>Active</v>
      </c>
      <c r="K14" s="15" t="str">
        <f>IFERROR(__xludf.DUMMYFUNCTION("""COMPUTED_VALUE"""),"Yes")</f>
        <v>Yes</v>
      </c>
      <c r="L14" s="15" t="str">
        <f>IFERROR(__xludf.DUMMYFUNCTION("""COMPUTED_VALUE"""),"Tara")</f>
        <v>Tara</v>
      </c>
      <c r="M14" s="15" t="str">
        <f>IFERROR(__xludf.DUMMYFUNCTION("""COMPUTED_VALUE"""),"Arpita Deb (MG)")</f>
        <v>Arpita Deb (MG)</v>
      </c>
      <c r="N14" s="15" t="str">
        <f>IFERROR(__xludf.DUMMYFUNCTION("""COMPUTED_VALUE"""),"arpitad845@gmail.com")</f>
        <v>arpitad845@gmail.com</v>
      </c>
      <c r="O14" s="15">
        <f>IFERROR(__xludf.DUMMYFUNCTION("""COMPUTED_VALUE"""),9.18486171616E11)</f>
        <v>918486171616</v>
      </c>
      <c r="P14" s="15" t="str">
        <f>IFERROR(__xludf.DUMMYFUNCTION("""COMPUTED_VALUE"""),"Live")</f>
        <v>Live</v>
      </c>
      <c r="Q14" s="15"/>
      <c r="R14" s="54" t="str">
        <f>IFERROR(__xludf.DUMMYFUNCTION("""COMPUTED_VALUE"""),"https://www.facebook.com/arpita.deb.79274089")</f>
        <v>https://www.facebook.com/arpita.deb.79274089</v>
      </c>
      <c r="S14" s="15" t="str">
        <f>IFERROR(__xludf.DUMMYFUNCTION("""COMPUTED_VALUE"""),"Yes")</f>
        <v>Yes</v>
      </c>
      <c r="T14" s="54" t="str">
        <f>IFERROR(__xludf.DUMMYFUNCTION("""COMPUTED_VALUE"""),"https://instagram.com/arrrrpita?utm_medium=copy_link")</f>
        <v>https://instagram.com/arrrrpita?utm_medium=copy_link</v>
      </c>
      <c r="U14" s="15" t="str">
        <f>IFERROR(__xludf.DUMMYFUNCTION("""COMPUTED_VALUE"""),"Needs rework")</f>
        <v>Needs rework</v>
      </c>
      <c r="V14" s="15"/>
    </row>
    <row r="15">
      <c r="A15" s="15">
        <f>IFERROR(__xludf.DUMMYFUNCTION("""COMPUTED_VALUE"""),50047.0)</f>
        <v>50047</v>
      </c>
      <c r="B15" s="15" t="str">
        <f>IFERROR(__xludf.DUMMYFUNCTION("""COMPUTED_VALUE"""),"Design Forward")</f>
        <v>Design Forward</v>
      </c>
      <c r="C15" s="15" t="str">
        <f>IFERROR(__xludf.DUMMYFUNCTION("""COMPUTED_VALUE"""),"Career building")</f>
        <v>Career building</v>
      </c>
      <c r="D15" s="15" t="str">
        <f>IFERROR(__xludf.DUMMYFUNCTION("""COMPUTED_VALUE"""),"Marketing")</f>
        <v>Marketing</v>
      </c>
      <c r="E15" s="54" t="str">
        <f>IFERROR(__xludf.DUMMYFUNCTION("""COMPUTED_VALUE"""),"http://data.likeminds.community/public/dashboards/pYxHbFnG4HBlEnejkZqoIZgFQLFFT52pdVvAfOTW?org_slug=default")</f>
        <v>http://data.likeminds.community/public/dashboards/pYxHbFnG4HBlEnejkZqoIZgFQLFFT52pdVvAfOTW?org_slug=default</v>
      </c>
      <c r="F15" s="54" t="str">
        <f>IFERROR(__xludf.DUMMYFUNCTION("""COMPUTED_VALUE"""),"https://collabmates.app.link/4Jcu4gOaDfb")</f>
        <v>https://collabmates.app.link/4Jcu4gOaDfb</v>
      </c>
      <c r="G15" s="54" t="str">
        <f>IFERROR(__xludf.DUMMYFUNCTION("""COMPUTED_VALUE"""),"https://hi.likeminds.community/d/design-forward")</f>
        <v>https://hi.likeminds.community/d/design-forward</v>
      </c>
      <c r="H15" s="54" t="str">
        <f>IFERROR(__xludf.DUMMYFUNCTION("""COMPUTED_VALUE"""),"https://hi.likeminds.community/d/design-forward?r=1")</f>
        <v>https://hi.likeminds.community/d/design-forward?r=1</v>
      </c>
      <c r="I15" s="15"/>
      <c r="J15" s="15" t="str">
        <f>IFERROR(__xludf.DUMMYFUNCTION("""COMPUTED_VALUE"""),"Active")</f>
        <v>Active</v>
      </c>
      <c r="K15" s="15" t="str">
        <f>IFERROR(__xludf.DUMMYFUNCTION("""COMPUTED_VALUE"""),"Yes")</f>
        <v>Yes</v>
      </c>
      <c r="L15" s="15" t="str">
        <f>IFERROR(__xludf.DUMMYFUNCTION("""COMPUTED_VALUE"""),"Trishna")</f>
        <v>Trishna</v>
      </c>
      <c r="M15" s="15" t="str">
        <f>IFERROR(__xludf.DUMMYFUNCTION("""COMPUTED_VALUE"""),"Prabhu Subramaniyan")</f>
        <v>Prabhu Subramaniyan</v>
      </c>
      <c r="N15" s="15" t="str">
        <f>IFERROR(__xludf.DUMMYFUNCTION("""COMPUTED_VALUE"""),"arasuprabhu@gmail.com")</f>
        <v>arasuprabhu@gmail.com</v>
      </c>
      <c r="O15" s="15" t="str">
        <f>IFERROR(__xludf.DUMMYFUNCTION("""COMPUTED_VALUE"""),"+919739235080")</f>
        <v>+919739235080</v>
      </c>
      <c r="P15" s="15" t="str">
        <f>IFERROR(__xludf.DUMMYFUNCTION("""COMPUTED_VALUE"""),"Live")</f>
        <v>Live</v>
      </c>
      <c r="Q15" s="15"/>
      <c r="R15" s="54" t="str">
        <f>IFERROR(__xludf.DUMMYFUNCTION("""COMPUTED_VALUE"""),"https://www.facebook.com/designforwardcommunity")</f>
        <v>https://www.facebook.com/designforwardcommunity</v>
      </c>
      <c r="S15" s="15" t="str">
        <f>IFERROR(__xludf.DUMMYFUNCTION("""COMPUTED_VALUE"""),"Yes")</f>
        <v>Yes</v>
      </c>
      <c r="T15" s="54" t="str">
        <f>IFERROR(__xludf.DUMMYFUNCTION("""COMPUTED_VALUE"""),"https://www.instagram.com/designforward.in/")</f>
        <v>https://www.instagram.com/designforward.in/</v>
      </c>
      <c r="U15" s="15" t="str">
        <f>IFERROR(__xludf.DUMMYFUNCTION("""COMPUTED_VALUE"""),"Needs rework")</f>
        <v>Needs rework</v>
      </c>
      <c r="V15" s="15"/>
    </row>
    <row r="16">
      <c r="A16" s="15">
        <f>IFERROR(__xludf.DUMMYFUNCTION("""COMPUTED_VALUE"""),49992.0)</f>
        <v>49992</v>
      </c>
      <c r="B16" s="15" t="str">
        <f>IFERROR(__xludf.DUMMYFUNCTION("""COMPUTED_VALUE"""),"Designing Made Easy")</f>
        <v>Designing Made Easy</v>
      </c>
      <c r="C16" s="15" t="str">
        <f>IFERROR(__xludf.DUMMYFUNCTION("""COMPUTED_VALUE"""),"Career building")</f>
        <v>Career building</v>
      </c>
      <c r="D16" s="15" t="str">
        <f>IFERROR(__xludf.DUMMYFUNCTION("""COMPUTED_VALUE"""),"Marketing")</f>
        <v>Marketing</v>
      </c>
      <c r="E16" s="54" t="str">
        <f>IFERROR(__xludf.DUMMYFUNCTION("""COMPUTED_VALUE"""),"http://data.likeminds.community/public/dashboards/WR2IRKoHyLyZeTq1cS2Jq7iirgFD54s75yaXu6kr?org_slug=default")</f>
        <v>http://data.likeminds.community/public/dashboards/WR2IRKoHyLyZeTq1cS2Jq7iirgFD54s75yaXu6kr?org_slug=default</v>
      </c>
      <c r="F16" s="54" t="str">
        <f>IFERROR(__xludf.DUMMYFUNCTION("""COMPUTED_VALUE"""),"https://collabmates.app.link/iQX5LdW92eb")</f>
        <v>https://collabmates.app.link/iQX5LdW92eb</v>
      </c>
      <c r="G16" s="54" t="str">
        <f>IFERROR(__xludf.DUMMYFUNCTION("""COMPUTED_VALUE"""),"https://community.likeminds.community/dme-deigning-made-easy")</f>
        <v>https://community.likeminds.community/dme-deigning-made-easy</v>
      </c>
      <c r="H16" s="54" t="str">
        <f>IFERROR(__xludf.DUMMYFUNCTION("""COMPUTED_VALUE"""),"https://community.likeminds.community/dme-deigning-made-easy?r=1")</f>
        <v>https://community.likeminds.community/dme-deigning-made-easy?r=1</v>
      </c>
      <c r="I16" s="15"/>
      <c r="J16" s="15" t="str">
        <f>IFERROR(__xludf.DUMMYFUNCTION("""COMPUTED_VALUE"""),"Active")</f>
        <v>Active</v>
      </c>
      <c r="K16" s="15" t="str">
        <f>IFERROR(__xludf.DUMMYFUNCTION("""COMPUTED_VALUE"""),"On-hold (Buddy)")</f>
        <v>On-hold (Buddy)</v>
      </c>
      <c r="L16" s="15" t="str">
        <f>IFERROR(__xludf.DUMMYFUNCTION("""COMPUTED_VALUE"""),"Tara")</f>
        <v>Tara</v>
      </c>
      <c r="M16" s="15" t="str">
        <f>IFERROR(__xludf.DUMMYFUNCTION("""COMPUTED_VALUE"""),"Nishant Kumar Singh (MG)")</f>
        <v>Nishant Kumar Singh (MG)</v>
      </c>
      <c r="N16" s="15" t="str">
        <f>IFERROR(__xludf.DUMMYFUNCTION("""COMPUTED_VALUE"""),"nishantdaybreak@gmail.com")</f>
        <v>nishantdaybreak@gmail.com</v>
      </c>
      <c r="O16" s="15">
        <f>IFERROR(__xludf.DUMMYFUNCTION("""COMPUTED_VALUE"""),9.18210270063E11)</f>
        <v>918210270063</v>
      </c>
      <c r="P16" s="15" t="str">
        <f>IFERROR(__xludf.DUMMYFUNCTION("""COMPUTED_VALUE"""),"Paused")</f>
        <v>Paused</v>
      </c>
      <c r="Q16" s="15"/>
      <c r="R16" s="15"/>
      <c r="S16" s="15"/>
      <c r="T16" s="15"/>
      <c r="U16" s="15"/>
      <c r="V16" s="15"/>
    </row>
    <row r="17">
      <c r="A17" s="15">
        <f>IFERROR(__xludf.DUMMYFUNCTION("""COMPUTED_VALUE"""),50030.0)</f>
        <v>50030</v>
      </c>
      <c r="B17" s="15" t="str">
        <f>IFERROR(__xludf.DUMMYFUNCTION("""COMPUTED_VALUE"""),"Digital Writopreneurs Hub")</f>
        <v>Digital Writopreneurs Hub</v>
      </c>
      <c r="C17" s="15" t="str">
        <f>IFERROR(__xludf.DUMMYFUNCTION("""COMPUTED_VALUE"""),"Micro-entrepreneurship")</f>
        <v>Micro-entrepreneurship</v>
      </c>
      <c r="D17" s="15" t="str">
        <f>IFERROR(__xludf.DUMMYFUNCTION("""COMPUTED_VALUE"""),"Marketing")</f>
        <v>Marketing</v>
      </c>
      <c r="E17" s="54" t="str">
        <f>IFERROR(__xludf.DUMMYFUNCTION("""COMPUTED_VALUE"""),"http://data.likeminds.community/public/dashboards/TznnuSp9teYIcZH2517sdvGBoZEOjoPinFKPKy4q?org_slug=default")</f>
        <v>http://data.likeminds.community/public/dashboards/TznnuSp9teYIcZH2517sdvGBoZEOjoPinFKPKy4q?org_slug=default</v>
      </c>
      <c r="F17" s="54" t="str">
        <f>IFERROR(__xludf.DUMMYFUNCTION("""COMPUTED_VALUE"""),"https://collabmates.app.link/xVdAzlA6tfb")</f>
        <v>https://collabmates.app.link/xVdAzlA6tfb</v>
      </c>
      <c r="G17" s="54" t="str">
        <f>IFERROR(__xludf.DUMMYFUNCTION("""COMPUTED_VALUE"""),"https://hi.likeminds.community/d/digital-writopreneurs-hub")</f>
        <v>https://hi.likeminds.community/d/digital-writopreneurs-hub</v>
      </c>
      <c r="H17" s="54" t="str">
        <f>IFERROR(__xludf.DUMMYFUNCTION("""COMPUTED_VALUE"""),"https://hi.likeminds.community/d/digital-writopreneurs-hub?r=1")</f>
        <v>https://hi.likeminds.community/d/digital-writopreneurs-hub?r=1</v>
      </c>
      <c r="I17" s="15"/>
      <c r="J17" s="15" t="str">
        <f>IFERROR(__xludf.DUMMYFUNCTION("""COMPUTED_VALUE"""),"Active")</f>
        <v>Active</v>
      </c>
      <c r="K17" s="15" t="str">
        <f>IFERROR(__xludf.DUMMYFUNCTION("""COMPUTED_VALUE"""),"Yes")</f>
        <v>Yes</v>
      </c>
      <c r="L17" s="15" t="str">
        <f>IFERROR(__xludf.DUMMYFUNCTION("""COMPUTED_VALUE"""),"Akshita")</f>
        <v>Akshita</v>
      </c>
      <c r="M17" s="15" t="str">
        <f>IFERROR(__xludf.DUMMYFUNCTION("""COMPUTED_VALUE"""),"Rajinder Soni")</f>
        <v>Rajinder Soni</v>
      </c>
      <c r="N17" s="15" t="str">
        <f>IFERROR(__xludf.DUMMYFUNCTION("""COMPUTED_VALUE"""),"connectrajinder@gmail.com")</f>
        <v>connectrajinder@gmail.com</v>
      </c>
      <c r="O17" s="15">
        <f>IFERROR(__xludf.DUMMYFUNCTION("""COMPUTED_VALUE"""),9.17291849502E11)</f>
        <v>917291849502</v>
      </c>
      <c r="P17" s="15" t="str">
        <f>IFERROR(__xludf.DUMMYFUNCTION("""COMPUTED_VALUE"""),"Live")</f>
        <v>Live</v>
      </c>
      <c r="Q17" s="15"/>
      <c r="R17" s="54" t="str">
        <f>IFERROR(__xludf.DUMMYFUNCTION("""COMPUTED_VALUE"""),"https://m.facebook.com/connectwithrajinder/?ref=watch_permalink")</f>
        <v>https://m.facebook.com/connectwithrajinder/?ref=watch_permalink</v>
      </c>
      <c r="S17" s="15" t="str">
        <f>IFERROR(__xludf.DUMMYFUNCTION("""COMPUTED_VALUE"""),"Yes")</f>
        <v>Yes</v>
      </c>
      <c r="T17" s="15"/>
      <c r="U17" s="15"/>
      <c r="V17" s="15"/>
    </row>
    <row r="18">
      <c r="A18" s="15">
        <f>IFERROR(__xludf.DUMMYFUNCTION("""COMPUTED_VALUE"""),50104.0)</f>
        <v>50104</v>
      </c>
      <c r="B18" s="15" t="str">
        <f>IFERROR(__xludf.DUMMYFUNCTION("""COMPUTED_VALUE"""),"Energy Healing ")</f>
        <v>Energy Healing </v>
      </c>
      <c r="C18" s="15" t="str">
        <f>IFERROR(__xludf.DUMMYFUNCTION("""COMPUTED_VALUE"""),"Health &amp; fitness")</f>
        <v>Health &amp; fitness</v>
      </c>
      <c r="D18" s="15" t="str">
        <f>IFERROR(__xludf.DUMMYFUNCTION("""COMPUTED_VALUE"""),"Marketing")</f>
        <v>Marketing</v>
      </c>
      <c r="E18" s="54" t="str">
        <f>IFERROR(__xludf.DUMMYFUNCTION("""COMPUTED_VALUE"""),"http://data.likeminds.community/public/dashboards/Ayb6ydCfB62JDRfbyEtFXmhUXHrRJA8VXeqppRD9?org_slug=default")</f>
        <v>http://data.likeminds.community/public/dashboards/Ayb6ydCfB62JDRfbyEtFXmhUXHrRJA8VXeqppRD9?org_slug=default</v>
      </c>
      <c r="F18" s="54" t="str">
        <f>IFERROR(__xludf.DUMMYFUNCTION("""COMPUTED_VALUE"""),"https://collabmates.app.link/qdVFBRENkgb")</f>
        <v>https://collabmates.app.link/qdVFBRENkgb</v>
      </c>
      <c r="G18" s="54" t="str">
        <f>IFERROR(__xludf.DUMMYFUNCTION("""COMPUTED_VALUE"""),"https://hi.likeminds.community/d/energy-healing-by-dr-bharti-dua")</f>
        <v>https://hi.likeminds.community/d/energy-healing-by-dr-bharti-dua</v>
      </c>
      <c r="H18" s="54" t="str">
        <f>IFERROR(__xludf.DUMMYFUNCTION("""COMPUTED_VALUE"""),"https://hi.likeminds.community/d/energy-healing-by-dr-bharti-dua?r=1")</f>
        <v>https://hi.likeminds.community/d/energy-healing-by-dr-bharti-dua?r=1</v>
      </c>
      <c r="I18" s="15"/>
      <c r="J18" s="15" t="str">
        <f>IFERROR(__xludf.DUMMYFUNCTION("""COMPUTED_VALUE"""),"Active")</f>
        <v>Active</v>
      </c>
      <c r="K18" s="15" t="str">
        <f>IFERROR(__xludf.DUMMYFUNCTION("""COMPUTED_VALUE"""),"Yes")</f>
        <v>Yes</v>
      </c>
      <c r="L18" s="15" t="str">
        <f>IFERROR(__xludf.DUMMYFUNCTION("""COMPUTED_VALUE"""),"Trishna")</f>
        <v>Trishna</v>
      </c>
      <c r="M18" s="15" t="str">
        <f>IFERROR(__xludf.DUMMYFUNCTION("""COMPUTED_VALUE"""),"Vaani Dua")</f>
        <v>Vaani Dua</v>
      </c>
      <c r="N18" s="15" t="str">
        <f>IFERROR(__xludf.DUMMYFUNCTION("""COMPUTED_VALUE"""),"bkvaani@gmail.com")</f>
        <v>bkvaani@gmail.com</v>
      </c>
      <c r="O18" s="15" t="str">
        <f>IFERROR(__xludf.DUMMYFUNCTION("""COMPUTED_VALUE"""),"+919899626999")</f>
        <v>+919899626999</v>
      </c>
      <c r="P18" s="15" t="str">
        <f>IFERROR(__xludf.DUMMYFUNCTION("""COMPUTED_VALUE"""),"Live")</f>
        <v>Live</v>
      </c>
      <c r="Q18" s="15"/>
      <c r="R18" s="54" t="str">
        <f>IFERROR(__xludf.DUMMYFUNCTION("""COMPUTED_VALUE"""),"https://www.facebook.com/groups/2882955885111652")</f>
        <v>https://www.facebook.com/groups/2882955885111652</v>
      </c>
      <c r="S18" s="15"/>
      <c r="T18" s="54" t="str">
        <f>IFERROR(__xludf.DUMMYFUNCTION("""COMPUTED_VALUE"""),"https://www.instagram.com/duabharti/")</f>
        <v>https://www.instagram.com/duabharti/</v>
      </c>
      <c r="U18" s="15"/>
      <c r="V18" s="15"/>
    </row>
    <row r="19">
      <c r="A19" s="15">
        <f>IFERROR(__xludf.DUMMYFUNCTION("""COMPUTED_VALUE"""),50092.0)</f>
        <v>50092</v>
      </c>
      <c r="B19" s="15" t="str">
        <f>IFERROR(__xludf.DUMMYFUNCTION("""COMPUTED_VALUE"""),"Fearless Whisper")</f>
        <v>Fearless Whisper</v>
      </c>
      <c r="C19" s="15" t="str">
        <f>IFERROR(__xludf.DUMMYFUNCTION("""COMPUTED_VALUE"""),"Life skills/Lifestyle")</f>
        <v>Life skills/Lifestyle</v>
      </c>
      <c r="D19" s="15" t="str">
        <f>IFERROR(__xludf.DUMMYFUNCTION("""COMPUTED_VALUE"""),"Marketing")</f>
        <v>Marketing</v>
      </c>
      <c r="E19" s="54" t="str">
        <f>IFERROR(__xludf.DUMMYFUNCTION("""COMPUTED_VALUE"""),"http://data.likeminds.community/public/dashboards/dd8dkNPQLCT6qcmrqdTWWQD3WClLmo57Da1ya9N1?org_slug=default")</f>
        <v>http://data.likeminds.community/public/dashboards/dd8dkNPQLCT6qcmrqdTWWQD3WClLmo57Da1ya9N1?org_slug=default</v>
      </c>
      <c r="F19" s="54" t="str">
        <f>IFERROR(__xludf.DUMMYFUNCTION("""COMPUTED_VALUE"""),"https://collabmates.app.link/urFJhwEXigb")</f>
        <v>https://collabmates.app.link/urFJhwEXigb</v>
      </c>
      <c r="G19" s="54" t="str">
        <f>IFERROR(__xludf.DUMMYFUNCTION("""COMPUTED_VALUE"""),"https://hi.likeminds.community/d/the-fewh-tribe")</f>
        <v>https://hi.likeminds.community/d/the-fewh-tribe</v>
      </c>
      <c r="H19" s="54" t="str">
        <f>IFERROR(__xludf.DUMMYFUNCTION("""COMPUTED_VALUE"""),"https://hi.likeminds.community/d/the-fewh-tribe?r=1")</f>
        <v>https://hi.likeminds.community/d/the-fewh-tribe?r=1</v>
      </c>
      <c r="I19" s="15"/>
      <c r="J19" s="15" t="str">
        <f>IFERROR(__xludf.DUMMYFUNCTION("""COMPUTED_VALUE"""),"Active")</f>
        <v>Active</v>
      </c>
      <c r="K19" s="15" t="str">
        <f>IFERROR(__xludf.DUMMYFUNCTION("""COMPUTED_VALUE"""),"Yes")</f>
        <v>Yes</v>
      </c>
      <c r="L19" s="15" t="str">
        <f>IFERROR(__xludf.DUMMYFUNCTION("""COMPUTED_VALUE"""),"Akshita")</f>
        <v>Akshita</v>
      </c>
      <c r="M19" s="15" t="str">
        <f>IFERROR(__xludf.DUMMYFUNCTION("""COMPUTED_VALUE"""),"Shilka Agarwal")</f>
        <v>Shilka Agarwal</v>
      </c>
      <c r="N19" s="15" t="str">
        <f>IFERROR(__xludf.DUMMYFUNCTION("""COMPUTED_VALUE"""),"Shilka@fearlesswhisper.com")</f>
        <v>Shilka@fearlesswhisper.com</v>
      </c>
      <c r="O19" s="15" t="str">
        <f>IFERROR(__xludf.DUMMYFUNCTION("""COMPUTED_VALUE"""),"+919733052239")</f>
        <v>+919733052239</v>
      </c>
      <c r="P19" s="15" t="str">
        <f>IFERROR(__xludf.DUMMYFUNCTION("""COMPUTED_VALUE"""),"Live")</f>
        <v>Live</v>
      </c>
      <c r="Q19" s="15"/>
      <c r="R19" s="15"/>
      <c r="S19" s="15"/>
      <c r="T19" s="15"/>
      <c r="U19" s="15" t="str">
        <f>IFERROR(__xludf.DUMMYFUNCTION("""COMPUTED_VALUE"""),"Conversion from marketing")</f>
        <v>Conversion from marketing</v>
      </c>
      <c r="V19" s="15"/>
    </row>
    <row r="20">
      <c r="A20" s="15">
        <f>IFERROR(__xludf.DUMMYFUNCTION("""COMPUTED_VALUE"""),50091.0)</f>
        <v>50091</v>
      </c>
      <c r="B20" s="15" t="str">
        <f>IFERROR(__xludf.DUMMYFUNCTION("""COMPUTED_VALUE"""),"Flavors N Fitness")</f>
        <v>Flavors N Fitness</v>
      </c>
      <c r="C20" s="15" t="str">
        <f>IFERROR(__xludf.DUMMYFUNCTION("""COMPUTED_VALUE"""),"Health &amp; fitness")</f>
        <v>Health &amp; fitness</v>
      </c>
      <c r="D20" s="15" t="str">
        <f>IFERROR(__xludf.DUMMYFUNCTION("""COMPUTED_VALUE"""),"Marketing")</f>
        <v>Marketing</v>
      </c>
      <c r="E20" s="54" t="str">
        <f>IFERROR(__xludf.DUMMYFUNCTION("""COMPUTED_VALUE"""),"http://data.likeminds.community/public/dashboards/i6KT7t2UupfzB9vAxaPLQb9k1o1hWCXPLquITqyr?org_slug=default")</f>
        <v>http://data.likeminds.community/public/dashboards/i6KT7t2UupfzB9vAxaPLQb9k1o1hWCXPLquITqyr?org_slug=default</v>
      </c>
      <c r="F20" s="54" t="str">
        <f>IFERROR(__xludf.DUMMYFUNCTION("""COMPUTED_VALUE"""),"https://collabmates.app.link/OCzAelSWigb")</f>
        <v>https://collabmates.app.link/OCzAelSWigb</v>
      </c>
      <c r="G20" s="54" t="str">
        <f>IFERROR(__xludf.DUMMYFUNCTION("""COMPUTED_VALUE"""),"https://hi.likeminds.community/d/flavors-n-fitness")</f>
        <v>https://hi.likeminds.community/d/flavors-n-fitness</v>
      </c>
      <c r="H20" s="54" t="str">
        <f>IFERROR(__xludf.DUMMYFUNCTION("""COMPUTED_VALUE"""),"https://hi.likeminds.community/d/flavors-n-fitness?r=1")</f>
        <v>https://hi.likeminds.community/d/flavors-n-fitness?r=1</v>
      </c>
      <c r="I20" s="15"/>
      <c r="J20" s="15" t="str">
        <f>IFERROR(__xludf.DUMMYFUNCTION("""COMPUTED_VALUE"""),"Dropped")</f>
        <v>Dropped</v>
      </c>
      <c r="K20" s="15" t="str">
        <f>IFERROR(__xludf.DUMMYFUNCTION("""COMPUTED_VALUE"""),"Yes")</f>
        <v>Yes</v>
      </c>
      <c r="L20" s="15"/>
      <c r="M20" s="15" t="str">
        <f>IFERROR(__xludf.DUMMYFUNCTION("""COMPUTED_VALUE"""),"Riddhi Soni")</f>
        <v>Riddhi Soni</v>
      </c>
      <c r="N20" s="15" t="str">
        <f>IFERROR(__xludf.DUMMYFUNCTION("""COMPUTED_VALUE"""),"flavorsnfitness@gmail.com")</f>
        <v>flavorsnfitness@gmail.com</v>
      </c>
      <c r="O20" s="15" t="str">
        <f>IFERROR(__xludf.DUMMYFUNCTION("""COMPUTED_VALUE"""),"+919106956045")</f>
        <v>+919106956045</v>
      </c>
      <c r="P20" s="15" t="str">
        <f>IFERROR(__xludf.DUMMYFUNCTION("""COMPUTED_VALUE"""),"Paused")</f>
        <v>Paused</v>
      </c>
      <c r="Q20" s="15"/>
      <c r="R20" s="54" t="str">
        <f>IFERROR(__xludf.DUMMYFUNCTION("""COMPUTED_VALUE"""),"https://facebook.com/flavorsnfitness/")</f>
        <v>https://facebook.com/flavorsnfitness/</v>
      </c>
      <c r="S20" s="15"/>
      <c r="T20" s="15"/>
      <c r="U20" s="15"/>
      <c r="V20" s="15"/>
    </row>
    <row r="21">
      <c r="A21" s="15">
        <f>IFERROR(__xludf.DUMMYFUNCTION("""COMPUTED_VALUE"""),50149.0)</f>
        <v>50149</v>
      </c>
      <c r="B21" s="15" t="str">
        <f>IFERROR(__xludf.DUMMYFUNCTION("""COMPUTED_VALUE"""),"Focus Inside")</f>
        <v>Focus Inside</v>
      </c>
      <c r="C21" s="15" t="str">
        <f>IFERROR(__xludf.DUMMYFUNCTION("""COMPUTED_VALUE"""),"Health &amp; fitness")</f>
        <v>Health &amp; fitness</v>
      </c>
      <c r="D21" s="15" t="str">
        <f>IFERROR(__xludf.DUMMYFUNCTION("""COMPUTED_VALUE"""),"Marketing")</f>
        <v>Marketing</v>
      </c>
      <c r="E21" s="54" t="str">
        <f>IFERROR(__xludf.DUMMYFUNCTION("""COMPUTED_VALUE"""),"http://data.likeminds.community/public/dashboards/cXE7w2T4drWaOnNXcerId2kIMrtLo2QrkfvcG4Hl?org_slug=default")</f>
        <v>http://data.likeminds.community/public/dashboards/cXE7w2T4drWaOnNXcerId2kIMrtLo2QrkfvcG4Hl?org_slug=default</v>
      </c>
      <c r="F21" s="54" t="str">
        <f>IFERROR(__xludf.DUMMYFUNCTION("""COMPUTED_VALUE"""),"https://collabmates.app.link/WSga9p45Igb")</f>
        <v>https://collabmates.app.link/WSga9p45Igb</v>
      </c>
      <c r="G21" s="54" t="str">
        <f>IFERROR(__xludf.DUMMYFUNCTION("""COMPUTED_VALUE"""),"https://hi.likeminds.community/d/focus-inside")</f>
        <v>https://hi.likeminds.community/d/focus-inside</v>
      </c>
      <c r="H21" s="54" t="str">
        <f>IFERROR(__xludf.DUMMYFUNCTION("""COMPUTED_VALUE"""),"https://hi.likeminds.community/d/focus-inside?r=1")</f>
        <v>https://hi.likeminds.community/d/focus-inside?r=1</v>
      </c>
      <c r="I21" s="15"/>
      <c r="J21" s="15" t="str">
        <f>IFERROR(__xludf.DUMMYFUNCTION("""COMPUTED_VALUE"""),"Active")</f>
        <v>Active</v>
      </c>
      <c r="K21" s="15" t="str">
        <f>IFERROR(__xludf.DUMMYFUNCTION("""COMPUTED_VALUE"""),"Yes")</f>
        <v>Yes</v>
      </c>
      <c r="L21" s="15" t="str">
        <f>IFERROR(__xludf.DUMMYFUNCTION("""COMPUTED_VALUE"""),"Tarun ")</f>
        <v>Tarun </v>
      </c>
      <c r="M21" s="15" t="str">
        <f>IFERROR(__xludf.DUMMYFUNCTION("""COMPUTED_VALUE"""),"Shivakumar")</f>
        <v>Shivakumar</v>
      </c>
      <c r="N21" s="15" t="str">
        <f>IFERROR(__xludf.DUMMYFUNCTION("""COMPUTED_VALUE"""),"ragatti.shiva@gmail.com")</f>
        <v>ragatti.shiva@gmail.com</v>
      </c>
      <c r="O21" s="15" t="str">
        <f>IFERROR(__xludf.DUMMYFUNCTION("""COMPUTED_VALUE"""),"+918019742963")</f>
        <v>+918019742963</v>
      </c>
      <c r="P21" s="15" t="str">
        <f>IFERROR(__xludf.DUMMYFUNCTION("""COMPUTED_VALUE"""),"Live")</f>
        <v>Live</v>
      </c>
      <c r="Q21" s="15"/>
      <c r="R21" s="15"/>
      <c r="S21" s="15"/>
      <c r="T21" s="54" t="str">
        <f>IFERROR(__xludf.DUMMYFUNCTION("""COMPUTED_VALUE"""),"https://instagram.com/focus_inside_yoga?utm_medium=copy_link")</f>
        <v>https://instagram.com/focus_inside_yoga?utm_medium=copy_link</v>
      </c>
      <c r="U21" s="15" t="str">
        <f>IFERROR(__xludf.DUMMYFUNCTION("""COMPUTED_VALUE"""),"Problem in values - just added definitions of yoga forms, no clear value for members, big gap between testimonials and memberships, too much text in pricing, ")</f>
        <v>Problem in values - just added definitions of yoga forms, no clear value for members, big gap between testimonials and memberships, too much text in pricing, </v>
      </c>
      <c r="V21" s="15"/>
    </row>
    <row r="22">
      <c r="A22" s="15">
        <f>IFERROR(__xludf.DUMMYFUNCTION("""COMPUTED_VALUE"""),50079.0)</f>
        <v>50079</v>
      </c>
      <c r="B22" s="15" t="str">
        <f>IFERROR(__xludf.DUMMYFUNCTION("""COMPUTED_VALUE"""),"Happiness Fountain ")</f>
        <v>Happiness Fountain </v>
      </c>
      <c r="C22" s="15" t="str">
        <f>IFERROR(__xludf.DUMMYFUNCTION("""COMPUTED_VALUE"""),"Health &amp; fitness")</f>
        <v>Health &amp; fitness</v>
      </c>
      <c r="D22" s="15" t="str">
        <f>IFERROR(__xludf.DUMMYFUNCTION("""COMPUTED_VALUE"""),"Marketing")</f>
        <v>Marketing</v>
      </c>
      <c r="E22" s="54" t="str">
        <f>IFERROR(__xludf.DUMMYFUNCTION("""COMPUTED_VALUE"""),"http://data.likeminds.community/public/dashboards/JS73cjgrXpmRcR8NhUMeLIYwZ7Vi6ODSLG5pELg8?org_slug=default")</f>
        <v>http://data.likeminds.community/public/dashboards/JS73cjgrXpmRcR8NhUMeLIYwZ7Vi6ODSLG5pELg8?org_slug=default</v>
      </c>
      <c r="F22" s="54" t="str">
        <f>IFERROR(__xludf.DUMMYFUNCTION("""COMPUTED_VALUE"""),"https://collabmates.app.link/eo9NNO9p7fb")</f>
        <v>https://collabmates.app.link/eo9NNO9p7fb</v>
      </c>
      <c r="G22" s="54" t="str">
        <f>IFERROR(__xludf.DUMMYFUNCTION("""COMPUTED_VALUE"""),"https://hi.likeminds.community/d/happiness-fountain")</f>
        <v>https://hi.likeminds.community/d/happiness-fountain</v>
      </c>
      <c r="H22" s="54" t="str">
        <f>IFERROR(__xludf.DUMMYFUNCTION("""COMPUTED_VALUE"""),"https://hi.likeminds.community/d/happiness-fountain?r=1")</f>
        <v>https://hi.likeminds.community/d/happiness-fountain?r=1</v>
      </c>
      <c r="I22" s="15"/>
      <c r="J22" s="15" t="str">
        <f>IFERROR(__xludf.DUMMYFUNCTION("""COMPUTED_VALUE"""),"Dropped")</f>
        <v>Dropped</v>
      </c>
      <c r="K22" s="15" t="str">
        <f>IFERROR(__xludf.DUMMYFUNCTION("""COMPUTED_VALUE"""),"Yes")</f>
        <v>Yes</v>
      </c>
      <c r="L22" s="15"/>
      <c r="M22" s="15" t="str">
        <f>IFERROR(__xludf.DUMMYFUNCTION("""COMPUTED_VALUE"""),"Bhargav Patel")</f>
        <v>Bhargav Patel</v>
      </c>
      <c r="N22" s="15" t="str">
        <f>IFERROR(__xludf.DUMMYFUNCTION("""COMPUTED_VALUE"""),"bhargakitkat@gmail.com")</f>
        <v>bhargakitkat@gmail.com</v>
      </c>
      <c r="O22" s="15" t="str">
        <f>IFERROR(__xludf.DUMMYFUNCTION("""COMPUTED_VALUE"""),"+919574986862")</f>
        <v>+919574986862</v>
      </c>
      <c r="P22" s="15" t="str">
        <f>IFERROR(__xludf.DUMMYFUNCTION("""COMPUTED_VALUE"""),"Paused")</f>
        <v>Paused</v>
      </c>
      <c r="Q22" s="15"/>
      <c r="R22" s="15"/>
      <c r="S22" s="15"/>
      <c r="T22" s="15"/>
      <c r="U22" s="15"/>
      <c r="V22" s="15"/>
    </row>
    <row r="23">
      <c r="A23" s="15">
        <f>IFERROR(__xludf.DUMMYFUNCTION("""COMPUTED_VALUE"""),50039.0)</f>
        <v>50039</v>
      </c>
      <c r="B23" s="15" t="str">
        <f>IFERROR(__xludf.DUMMYFUNCTION("""COMPUTED_VALUE"""),"Happy Ashram")</f>
        <v>Happy Ashram</v>
      </c>
      <c r="C23" s="15" t="str">
        <f>IFERROR(__xludf.DUMMYFUNCTION("""COMPUTED_VALUE"""),"Health &amp; fitness")</f>
        <v>Health &amp; fitness</v>
      </c>
      <c r="D23" s="15" t="str">
        <f>IFERROR(__xludf.DUMMYFUNCTION("""COMPUTED_VALUE"""),"Marketing")</f>
        <v>Marketing</v>
      </c>
      <c r="E23" s="54" t="str">
        <f>IFERROR(__xludf.DUMMYFUNCTION("""COMPUTED_VALUE"""),"http://data.likeminds.community/public/dashboards/Vt9e73j7HqwwErPpV5jlkNQOAbQzmAmi8SSlCujo?org_slug=default")</f>
        <v>http://data.likeminds.community/public/dashboards/Vt9e73j7HqwwErPpV5jlkNQOAbQzmAmi8SSlCujo?org_slug=default</v>
      </c>
      <c r="F23" s="54" t="str">
        <f>IFERROR(__xludf.DUMMYFUNCTION("""COMPUTED_VALUE"""),"https://collabmates.app.link/keS4JiRvwfb")</f>
        <v>https://collabmates.app.link/keS4JiRvwfb</v>
      </c>
      <c r="G23" s="54" t="str">
        <f>IFERROR(__xludf.DUMMYFUNCTION("""COMPUTED_VALUE"""),"https://hi.likeminds.community/d/happy-ashram")</f>
        <v>https://hi.likeminds.community/d/happy-ashram</v>
      </c>
      <c r="H23" s="54" t="str">
        <f>IFERROR(__xludf.DUMMYFUNCTION("""COMPUTED_VALUE"""),"https://hi.likeminds.community/d/happy-ashram?r=1")</f>
        <v>https://hi.likeminds.community/d/happy-ashram?r=1</v>
      </c>
      <c r="I23" s="15"/>
      <c r="J23" s="15" t="str">
        <f>IFERROR(__xludf.DUMMYFUNCTION("""COMPUTED_VALUE"""),"Active")</f>
        <v>Active</v>
      </c>
      <c r="K23" s="15" t="str">
        <f>IFERROR(__xludf.DUMMYFUNCTION("""COMPUTED_VALUE"""),"Yes")</f>
        <v>Yes</v>
      </c>
      <c r="L23" s="15" t="str">
        <f>IFERROR(__xludf.DUMMYFUNCTION("""COMPUTED_VALUE"""),"Kushagra")</f>
        <v>Kushagra</v>
      </c>
      <c r="M23" s="15" t="str">
        <f>IFERROR(__xludf.DUMMYFUNCTION("""COMPUTED_VALUE"""),"Swami Premananda")</f>
        <v>Swami Premananda</v>
      </c>
      <c r="N23" s="15" t="str">
        <f>IFERROR(__xludf.DUMMYFUNCTION("""COMPUTED_VALUE"""),"samodefort@gmail.com")</f>
        <v>samodefort@gmail.com</v>
      </c>
      <c r="O23" s="15">
        <f>IFERROR(__xludf.DUMMYFUNCTION("""COMPUTED_VALUE"""),9.18433148865E11)</f>
        <v>918433148865</v>
      </c>
      <c r="P23" s="15" t="str">
        <f>IFERROR(__xludf.DUMMYFUNCTION("""COMPUTED_VALUE"""),"Paused")</f>
        <v>Paused</v>
      </c>
      <c r="Q23" s="15"/>
      <c r="R23" s="54" t="str">
        <f>IFERROR(__xludf.DUMMYFUNCTION("""COMPUTED_VALUE"""),"https://www.facebook.com/happyashram-103850391860753")</f>
        <v>https://www.facebook.com/happyashram-103850391860753</v>
      </c>
      <c r="S23" s="15" t="str">
        <f>IFERROR(__xludf.DUMMYFUNCTION("""COMPUTED_VALUE"""),"No")</f>
        <v>No</v>
      </c>
      <c r="T23" s="15"/>
      <c r="U23" s="15"/>
      <c r="V23" s="15"/>
    </row>
    <row r="24">
      <c r="A24" s="15">
        <f>IFERROR(__xludf.DUMMYFUNCTION("""COMPUTED_VALUE"""),50110.0)</f>
        <v>50110</v>
      </c>
      <c r="B24" s="15" t="str">
        <f>IFERROR(__xludf.DUMMYFUNCTION("""COMPUTED_VALUE"""),"Happy Living")</f>
        <v>Happy Living</v>
      </c>
      <c r="C24" s="15" t="str">
        <f>IFERROR(__xludf.DUMMYFUNCTION("""COMPUTED_VALUE"""),"Health &amp; fitness")</f>
        <v>Health &amp; fitness</v>
      </c>
      <c r="D24" s="15" t="str">
        <f>IFERROR(__xludf.DUMMYFUNCTION("""COMPUTED_VALUE"""),"Marketing")</f>
        <v>Marketing</v>
      </c>
      <c r="E24" s="54" t="str">
        <f>IFERROR(__xludf.DUMMYFUNCTION("""COMPUTED_VALUE"""),"http://data.likeminds.community/public/dashboards/neugb1fUzH3C44pFgoQ4tLwpc0fk1zSJLlok1QEm?org_slug=default")</f>
        <v>http://data.likeminds.community/public/dashboards/neugb1fUzH3C44pFgoQ4tLwpc0fk1zSJLlok1QEm?org_slug=default</v>
      </c>
      <c r="F24" s="54" t="str">
        <f>IFERROR(__xludf.DUMMYFUNCTION("""COMPUTED_VALUE"""),"https://collabmates.app.link/XOvsgcU7ngb")</f>
        <v>https://collabmates.app.link/XOvsgcU7ngb</v>
      </c>
      <c r="G24" s="54" t="str">
        <f>IFERROR(__xludf.DUMMYFUNCTION("""COMPUTED_VALUE"""),"https://hi.likeminds.community/d/happy-living#Features")</f>
        <v>https://hi.likeminds.community/d/happy-living#Features</v>
      </c>
      <c r="H24" s="54" t="str">
        <f>IFERROR(__xludf.DUMMYFUNCTION("""COMPUTED_VALUE"""),"https://hi.likeminds.community/d/happy-living#Features?r=1")</f>
        <v>https://hi.likeminds.community/d/happy-living#Features?r=1</v>
      </c>
      <c r="I24" s="15"/>
      <c r="J24" s="15" t="str">
        <f>IFERROR(__xludf.DUMMYFUNCTION("""COMPUTED_VALUE"""),"Active")</f>
        <v>Active</v>
      </c>
      <c r="K24" s="15" t="str">
        <f>IFERROR(__xludf.DUMMYFUNCTION("""COMPUTED_VALUE"""),"Yes")</f>
        <v>Yes</v>
      </c>
      <c r="L24" s="15" t="str">
        <f>IFERROR(__xludf.DUMMYFUNCTION("""COMPUTED_VALUE"""),"Trishna")</f>
        <v>Trishna</v>
      </c>
      <c r="M24" s="15" t="str">
        <f>IFERROR(__xludf.DUMMYFUNCTION("""COMPUTED_VALUE"""),"Mridula Nair")</f>
        <v>Mridula Nair</v>
      </c>
      <c r="N24" s="15" t="str">
        <f>IFERROR(__xludf.DUMMYFUNCTION("""COMPUTED_VALUE"""),"mridulan@gmail.com")</f>
        <v>mridulan@gmail.com</v>
      </c>
      <c r="O24" s="15" t="str">
        <f>IFERROR(__xludf.DUMMYFUNCTION("""COMPUTED_VALUE"""),"+919892035544")</f>
        <v>+919892035544</v>
      </c>
      <c r="P24" s="15" t="str">
        <f>IFERROR(__xludf.DUMMYFUNCTION("""COMPUTED_VALUE"""),"Paused")</f>
        <v>Paused</v>
      </c>
      <c r="Q24" s="15"/>
      <c r="R24" s="15"/>
      <c r="S24" s="15"/>
      <c r="T24" s="15"/>
      <c r="U24" s="15"/>
      <c r="V24" s="15"/>
    </row>
    <row r="25">
      <c r="A25" s="15">
        <f>IFERROR(__xludf.DUMMYFUNCTION("""COMPUTED_VALUE"""),50026.0)</f>
        <v>50026</v>
      </c>
      <c r="B25" s="15" t="str">
        <f>IFERROR(__xludf.DUMMYFUNCTION("""COMPUTED_VALUE"""),"HEAL")</f>
        <v>HEAL</v>
      </c>
      <c r="C25" s="15" t="str">
        <f>IFERROR(__xludf.DUMMYFUNCTION("""COMPUTED_VALUE"""),"Health &amp; fitness")</f>
        <v>Health &amp; fitness</v>
      </c>
      <c r="D25" s="15" t="str">
        <f>IFERROR(__xludf.DUMMYFUNCTION("""COMPUTED_VALUE"""),"Marketing")</f>
        <v>Marketing</v>
      </c>
      <c r="E25" s="54" t="str">
        <f>IFERROR(__xludf.DUMMYFUNCTION("""COMPUTED_VALUE"""),"http://data.likeminds.community/public/dashboards/skgkDZ3gyoO1dYIr8oCZ6CVQ0L96Bu2lHnCpDKKb?org_slug=default")</f>
        <v>http://data.likeminds.community/public/dashboards/skgkDZ3gyoO1dYIr8oCZ6CVQ0L96Bu2lHnCpDKKb?org_slug=default</v>
      </c>
      <c r="F25" s="54" t="str">
        <f>IFERROR(__xludf.DUMMYFUNCTION("""COMPUTED_VALUE"""),"https://collabmates.app.link/2fCsrPZcqfb")</f>
        <v>https://collabmates.app.link/2fCsrPZcqfb</v>
      </c>
      <c r="G25" s="54" t="str">
        <f>IFERROR(__xludf.DUMMYFUNCTION("""COMPUTED_VALUE"""),"https://hi.likeminds.community/d/heal-journey-to-happiness")</f>
        <v>https://hi.likeminds.community/d/heal-journey-to-happiness</v>
      </c>
      <c r="H25" s="54" t="str">
        <f>IFERROR(__xludf.DUMMYFUNCTION("""COMPUTED_VALUE"""),"https://hi.likeminds.community/d/heal-journey-to-happiness?r=1")</f>
        <v>https://hi.likeminds.community/d/heal-journey-to-happiness?r=1</v>
      </c>
      <c r="I25" s="15"/>
      <c r="J25" s="15" t="str">
        <f>IFERROR(__xludf.DUMMYFUNCTION("""COMPUTED_VALUE"""),"Active")</f>
        <v>Active</v>
      </c>
      <c r="K25" s="15" t="str">
        <f>IFERROR(__xludf.DUMMYFUNCTION("""COMPUTED_VALUE"""),"Yes")</f>
        <v>Yes</v>
      </c>
      <c r="L25" s="15" t="str">
        <f>IFERROR(__xludf.DUMMYFUNCTION("""COMPUTED_VALUE"""),"Akshita")</f>
        <v>Akshita</v>
      </c>
      <c r="M25" s="15" t="str">
        <f>IFERROR(__xludf.DUMMYFUNCTION("""COMPUTED_VALUE"""),"Vivek Nathwani")</f>
        <v>Vivek Nathwani</v>
      </c>
      <c r="N25" s="15" t="str">
        <f>IFERROR(__xludf.DUMMYFUNCTION("""COMPUTED_VALUE"""),"viveknathwani93@gmail.com")</f>
        <v>viveknathwani93@gmail.com</v>
      </c>
      <c r="O25" s="15">
        <f>IFERROR(__xludf.DUMMYFUNCTION("""COMPUTED_VALUE"""),9.19067477755E11)</f>
        <v>919067477755</v>
      </c>
      <c r="P25" s="15" t="str">
        <f>IFERROR(__xludf.DUMMYFUNCTION("""COMPUTED_VALUE"""),"Live")</f>
        <v>Live</v>
      </c>
      <c r="Q25" s="15"/>
      <c r="R25" s="54" t="str">
        <f>IFERROR(__xludf.DUMMYFUNCTION("""COMPUTED_VALUE"""),"https://www.facebook.com/HEALWorldCommunity")</f>
        <v>https://www.facebook.com/HEALWorldCommunity</v>
      </c>
      <c r="S25" s="15" t="str">
        <f>IFERROR(__xludf.DUMMYFUNCTION("""COMPUTED_VALUE"""),"Yes")</f>
        <v>Yes</v>
      </c>
      <c r="T25" s="15"/>
      <c r="U25" s="15"/>
      <c r="V25" s="15"/>
    </row>
    <row r="26">
      <c r="A26" s="15">
        <f>IFERROR(__xludf.DUMMYFUNCTION("""COMPUTED_VALUE"""),50005.0)</f>
        <v>50005</v>
      </c>
      <c r="B26" s="15" t="str">
        <f>IFERROR(__xludf.DUMMYFUNCTION("""COMPUTED_VALUE"""),"Icecream Nutrition")</f>
        <v>Icecream Nutrition</v>
      </c>
      <c r="C26" s="15" t="str">
        <f>IFERROR(__xludf.DUMMYFUNCTION("""COMPUTED_VALUE"""),"Health &amp; fitness")</f>
        <v>Health &amp; fitness</v>
      </c>
      <c r="D26" s="15" t="str">
        <f>IFERROR(__xludf.DUMMYFUNCTION("""COMPUTED_VALUE"""),"Marketing")</f>
        <v>Marketing</v>
      </c>
      <c r="E26" s="54" t="str">
        <f>IFERROR(__xludf.DUMMYFUNCTION("""COMPUTED_VALUE"""),"http://data.likeminds.community/public/dashboards/VVYM07bY2Qclh9a5oo3JpuzVFs3IqZjGQi5bwWbY?org_slug=default")</f>
        <v>http://data.likeminds.community/public/dashboards/VVYM07bY2Qclh9a5oo3JpuzVFs3IqZjGQi5bwWbY?org_slug=default</v>
      </c>
      <c r="F26" s="54" t="str">
        <f>IFERROR(__xludf.DUMMYFUNCTION("""COMPUTED_VALUE"""),"https://collabmates.app.link/4BvMRjJ3ufb")</f>
        <v>https://collabmates.app.link/4BvMRjJ3ufb</v>
      </c>
      <c r="G26" s="54" t="str">
        <f>IFERROR(__xludf.DUMMYFUNCTION("""COMPUTED_VALUE"""),"https://hi.likeminds.community/icecream-nutrition")</f>
        <v>https://hi.likeminds.community/icecream-nutrition</v>
      </c>
      <c r="H26" s="54" t="str">
        <f>IFERROR(__xludf.DUMMYFUNCTION("""COMPUTED_VALUE"""),"https://hi.likeminds.community/icecream-nutrition?r=1")</f>
        <v>https://hi.likeminds.community/icecream-nutrition?r=1</v>
      </c>
      <c r="I26" s="15"/>
      <c r="J26" s="15" t="str">
        <f>IFERROR(__xludf.DUMMYFUNCTION("""COMPUTED_VALUE"""),"Dropped")</f>
        <v>Dropped</v>
      </c>
      <c r="K26" s="15" t="str">
        <f>IFERROR(__xludf.DUMMYFUNCTION("""COMPUTED_VALUE"""),"Yes")</f>
        <v>Yes</v>
      </c>
      <c r="L26" s="15" t="str">
        <f>IFERROR(__xludf.DUMMYFUNCTION("""COMPUTED_VALUE"""),"Kushagra")</f>
        <v>Kushagra</v>
      </c>
      <c r="M26" s="15" t="str">
        <f>IFERROR(__xludf.DUMMYFUNCTION("""COMPUTED_VALUE"""),"Abhishek Singh Bailoo")</f>
        <v>Abhishek Singh Bailoo</v>
      </c>
      <c r="N26" s="15" t="str">
        <f>IFERROR(__xludf.DUMMYFUNCTION("""COMPUTED_VALUE"""),"abhishek.singh.bailoo@gmail.com")</f>
        <v>abhishek.singh.bailoo@gmail.com</v>
      </c>
      <c r="O26" s="15">
        <f>IFERROR(__xludf.DUMMYFUNCTION("""COMPUTED_VALUE"""),9.19650368241E11)</f>
        <v>919650368241</v>
      </c>
      <c r="P26" s="15" t="str">
        <f>IFERROR(__xludf.DUMMYFUNCTION("""COMPUTED_VALUE"""),"Paused")</f>
        <v>Paused</v>
      </c>
      <c r="Q26" s="15"/>
      <c r="R26" s="54" t="str">
        <f>IFERROR(__xludf.DUMMYFUNCTION("""COMPUTED_VALUE"""),"https://www.facebook.com/icecreamnutritionstrength")</f>
        <v>https://www.facebook.com/icecreamnutritionstrength</v>
      </c>
      <c r="S26" s="15" t="str">
        <f>IFERROR(__xludf.DUMMYFUNCTION("""COMPUTED_VALUE"""),"Yes")</f>
        <v>Yes</v>
      </c>
      <c r="T26" s="15"/>
      <c r="U26" s="15"/>
      <c r="V26" s="15"/>
    </row>
    <row r="27">
      <c r="A27" s="15">
        <f>IFERROR(__xludf.DUMMYFUNCTION("""COMPUTED_VALUE"""),50052.0)</f>
        <v>50052</v>
      </c>
      <c r="B27" s="15" t="str">
        <f>IFERROR(__xludf.DUMMYFUNCTION("""COMPUTED_VALUE"""),"Ishavasya Yoga &amp; Relaxation")</f>
        <v>Ishavasya Yoga &amp; Relaxation</v>
      </c>
      <c r="C27" s="15" t="str">
        <f>IFERROR(__xludf.DUMMYFUNCTION("""COMPUTED_VALUE"""),"Health &amp; fitness")</f>
        <v>Health &amp; fitness</v>
      </c>
      <c r="D27" s="15" t="str">
        <f>IFERROR(__xludf.DUMMYFUNCTION("""COMPUTED_VALUE"""),"Marketing")</f>
        <v>Marketing</v>
      </c>
      <c r="E27" s="54" t="str">
        <f>IFERROR(__xludf.DUMMYFUNCTION("""COMPUTED_VALUE"""),"http://data.likeminds.community/public/dashboards/grAfvf7AtnUabPt3xaUNg3Ovd0zPiwsP692FWt9x?org_slug=default")</f>
        <v>http://data.likeminds.community/public/dashboards/grAfvf7AtnUabPt3xaUNg3Ovd0zPiwsP692FWt9x?org_slug=default</v>
      </c>
      <c r="F27" s="54" t="str">
        <f>IFERROR(__xludf.DUMMYFUNCTION("""COMPUTED_VALUE"""),"https://collabmates.app.link/UGZc8ubhFfb")</f>
        <v>https://collabmates.app.link/UGZc8ubhFfb</v>
      </c>
      <c r="G27" s="54" t="str">
        <f>IFERROR(__xludf.DUMMYFUNCTION("""COMPUTED_VALUE"""),"https://hi.likeminds.community/d/ishavasya-yoga-relaxation")</f>
        <v>https://hi.likeminds.community/d/ishavasya-yoga-relaxation</v>
      </c>
      <c r="H27" s="54" t="str">
        <f>IFERROR(__xludf.DUMMYFUNCTION("""COMPUTED_VALUE"""),"https://hi.likeminds.community/d/ishavasya-yoga-relaxation?r=1")</f>
        <v>https://hi.likeminds.community/d/ishavasya-yoga-relaxation?r=1</v>
      </c>
      <c r="I27" s="15"/>
      <c r="J27" s="15" t="str">
        <f>IFERROR(__xludf.DUMMYFUNCTION("""COMPUTED_VALUE"""),"Active")</f>
        <v>Active</v>
      </c>
      <c r="K27" s="15" t="str">
        <f>IFERROR(__xludf.DUMMYFUNCTION("""COMPUTED_VALUE"""),"Yes")</f>
        <v>Yes</v>
      </c>
      <c r="L27" s="15" t="str">
        <f>IFERROR(__xludf.DUMMYFUNCTION("""COMPUTED_VALUE"""),"Trishna")</f>
        <v>Trishna</v>
      </c>
      <c r="M27" s="15" t="str">
        <f>IFERROR(__xludf.DUMMYFUNCTION("""COMPUTED_VALUE"""),"Rahul Singh")</f>
        <v>Rahul Singh</v>
      </c>
      <c r="N27" s="15" t="str">
        <f>IFERROR(__xludf.DUMMYFUNCTION("""COMPUTED_VALUE"""),"ishavasyayoga@gmail.com")</f>
        <v>ishavasyayoga@gmail.com</v>
      </c>
      <c r="O27" s="15" t="str">
        <f>IFERROR(__xludf.DUMMYFUNCTION("""COMPUTED_VALUE"""),"+919792382907")</f>
        <v>+919792382907</v>
      </c>
      <c r="P27" s="15" t="str">
        <f>IFERROR(__xludf.DUMMYFUNCTION("""COMPUTED_VALUE"""),"Live")</f>
        <v>Live</v>
      </c>
      <c r="Q27" s="15"/>
      <c r="R27" s="54" t="str">
        <f>IFERROR(__xludf.DUMMYFUNCTION("""COMPUTED_VALUE"""),"https://www.facebook.com/Ishavasya-Yoga-Relaxation-395349417943049/")</f>
        <v>https://www.facebook.com/Ishavasya-Yoga-Relaxation-395349417943049/</v>
      </c>
      <c r="S27" s="15" t="str">
        <f>IFERROR(__xludf.DUMMYFUNCTION("""COMPUTED_VALUE"""),"Insta not created")</f>
        <v>Insta not created</v>
      </c>
      <c r="T27" s="15"/>
      <c r="U27" s="15"/>
      <c r="V27" s="15"/>
    </row>
    <row r="28">
      <c r="A28" s="15">
        <f>IFERROR(__xludf.DUMMYFUNCTION("""COMPUTED_VALUE"""),50148.0)</f>
        <v>50148</v>
      </c>
      <c r="B28" s="15" t="str">
        <f>IFERROR(__xludf.DUMMYFUNCTION("""COMPUTED_VALUE"""),"kash studio")</f>
        <v>kash studio</v>
      </c>
      <c r="C28" s="15" t="str">
        <f>IFERROR(__xludf.DUMMYFUNCTION("""COMPUTED_VALUE"""),"Career building")</f>
        <v>Career building</v>
      </c>
      <c r="D28" s="15" t="str">
        <f>IFERROR(__xludf.DUMMYFUNCTION("""COMPUTED_VALUE"""),"Marketing")</f>
        <v>Marketing</v>
      </c>
      <c r="E28" s="54" t="str">
        <f>IFERROR(__xludf.DUMMYFUNCTION("""COMPUTED_VALUE"""),"http://data.likeminds.community/public/dashboards/VHQw0KtZbDtcrOH3CnKLj4Yir7bXNSa8cJurCMJd?org_slug=default")</f>
        <v>http://data.likeminds.community/public/dashboards/VHQw0KtZbDtcrOH3CnKLj4Yir7bXNSa8cJurCMJd?org_slug=default</v>
      </c>
      <c r="F28" s="54" t="str">
        <f>IFERROR(__xludf.DUMMYFUNCTION("""COMPUTED_VALUE"""),"https://collabmates.app.link/bH0JqVDYHgb")</f>
        <v>https://collabmates.app.link/bH0JqVDYHgb</v>
      </c>
      <c r="G28" s="54" t="str">
        <f>IFERROR(__xludf.DUMMYFUNCTION("""COMPUTED_VALUE"""),"https://hi.likeminds.community/d/kash-studios")</f>
        <v>https://hi.likeminds.community/d/kash-studios</v>
      </c>
      <c r="H28" s="54" t="str">
        <f>IFERROR(__xludf.DUMMYFUNCTION("""COMPUTED_VALUE"""),"https://hi.likeminds.community/d/kash-studios?r=1")</f>
        <v>https://hi.likeminds.community/d/kash-studios?r=1</v>
      </c>
      <c r="I28" s="15"/>
      <c r="J28" s="15" t="str">
        <f>IFERROR(__xludf.DUMMYFUNCTION("""COMPUTED_VALUE"""),"Active")</f>
        <v>Active</v>
      </c>
      <c r="K28" s="15" t="str">
        <f>IFERROR(__xludf.DUMMYFUNCTION("""COMPUTED_VALUE"""),"Yes")</f>
        <v>Yes</v>
      </c>
      <c r="L28" s="15" t="str">
        <f>IFERROR(__xludf.DUMMYFUNCTION("""COMPUTED_VALUE"""),"Muskan")</f>
        <v>Muskan</v>
      </c>
      <c r="M28" s="15" t="str">
        <f>IFERROR(__xludf.DUMMYFUNCTION("""COMPUTED_VALUE"""),"Kaushal shah")</f>
        <v>Kaushal shah</v>
      </c>
      <c r="N28" s="15" t="str">
        <f>IFERROR(__xludf.DUMMYFUNCTION("""COMPUTED_VALUE"""),"shahkaushal156@gmail.com")</f>
        <v>shahkaushal156@gmail.com</v>
      </c>
      <c r="O28" s="15">
        <f>IFERROR(__xludf.DUMMYFUNCTION("""COMPUTED_VALUE"""),9.987137216E9)</f>
        <v>9987137216</v>
      </c>
      <c r="P28" s="15" t="str">
        <f>IFERROR(__xludf.DUMMYFUNCTION("""COMPUTED_VALUE"""),"Not Started")</f>
        <v>Not Started</v>
      </c>
      <c r="Q28" s="15"/>
      <c r="R28" s="54" t="str">
        <f>IFERROR(__xludf.DUMMYFUNCTION("""COMPUTED_VALUE"""),"https://www.facebook.com/studioskash/")</f>
        <v>https://www.facebook.com/studioskash/</v>
      </c>
      <c r="S28" s="15"/>
      <c r="T28" s="54" t="str">
        <f>IFERROR(__xludf.DUMMYFUNCTION("""COMPUTED_VALUE"""),"https://www.instagram.com/studioskash/")</f>
        <v>https://www.instagram.com/studioskash/</v>
      </c>
      <c r="U28" s="15"/>
      <c r="V28" s="15"/>
    </row>
    <row r="29">
      <c r="A29" s="15">
        <f>IFERROR(__xludf.DUMMYFUNCTION("""COMPUTED_VALUE"""),50162.0)</f>
        <v>50162</v>
      </c>
      <c r="B29" s="15" t="str">
        <f>IFERROR(__xludf.DUMMYFUNCTION("""COMPUTED_VALUE"""),"Growing Buddies ")</f>
        <v>Growing Buddies </v>
      </c>
      <c r="C29" s="15" t="str">
        <f>IFERROR(__xludf.DUMMYFUNCTION("""COMPUTED_VALUE"""),"Micro-entrepreneurship")</f>
        <v>Micro-entrepreneurship</v>
      </c>
      <c r="D29" s="15" t="str">
        <f>IFERROR(__xludf.DUMMYFUNCTION("""COMPUTED_VALUE"""),"Sales")</f>
        <v>Sales</v>
      </c>
      <c r="E29" s="54" t="str">
        <f>IFERROR(__xludf.DUMMYFUNCTION("""COMPUTED_VALUE"""),"http://data.likeminds.community/public/dashboards/Fo4IRBq2R8jOtghVKQoxzjPzPYjX7yJnxjoOdLwN?org_slug=default")</f>
        <v>http://data.likeminds.community/public/dashboards/Fo4IRBq2R8jOtghVKQoxzjPzPYjX7yJnxjoOdLwN?org_slug=default</v>
      </c>
      <c r="F29" s="54" t="str">
        <f>IFERROR(__xludf.DUMMYFUNCTION("""COMPUTED_VALUE"""),"https://collabmates.app.link/DHNCeoyvOgb")</f>
        <v>https://collabmates.app.link/DHNCeoyvOgb</v>
      </c>
      <c r="G29" s="54" t="str">
        <f>IFERROR(__xludf.DUMMYFUNCTION("""COMPUTED_VALUE"""),"https://hi.likeminds.community/d/growing-buddies")</f>
        <v>https://hi.likeminds.community/d/growing-buddies</v>
      </c>
      <c r="H29" s="54" t="str">
        <f>IFERROR(__xludf.DUMMYFUNCTION("""COMPUTED_VALUE"""),"https://hi.likeminds.community/d/growing-buddies?r=1")</f>
        <v>https://hi.likeminds.community/d/growing-buddies?r=1</v>
      </c>
      <c r="I29" s="15"/>
      <c r="J29" s="15" t="str">
        <f>IFERROR(__xludf.DUMMYFUNCTION("""COMPUTED_VALUE"""),"Active")</f>
        <v>Active</v>
      </c>
      <c r="K29" s="15" t="str">
        <f>IFERROR(__xludf.DUMMYFUNCTION("""COMPUTED_VALUE"""),"No")</f>
        <v>No</v>
      </c>
      <c r="L29" s="15" t="str">
        <f>IFERROR(__xludf.DUMMYFUNCTION("""COMPUTED_VALUE"""),"Anshul")</f>
        <v>Anshul</v>
      </c>
      <c r="M29" s="15"/>
      <c r="N29" s="15"/>
      <c r="O29" s="15"/>
      <c r="P29" s="15" t="str">
        <f>IFERROR(__xludf.DUMMYFUNCTION("""COMPUTED_VALUE"""),"Not Started")</f>
        <v>Not Started</v>
      </c>
      <c r="Q29" s="15" t="str">
        <f>IFERROR(__xludf.DUMMYFUNCTION("""COMPUTED_VALUE"""),"Ready to start")</f>
        <v>Ready to start</v>
      </c>
      <c r="R29" s="15"/>
      <c r="S29" s="15"/>
      <c r="T29" s="15"/>
      <c r="U29" s="15"/>
      <c r="V29" s="15"/>
    </row>
    <row r="30">
      <c r="A30" s="15">
        <f>IFERROR(__xludf.DUMMYFUNCTION("""COMPUTED_VALUE"""),50031.0)</f>
        <v>50031</v>
      </c>
      <c r="B30" s="15" t="str">
        <f>IFERROR(__xludf.DUMMYFUNCTION("""COMPUTED_VALUE"""),"khushi se yoga")</f>
        <v>khushi se yoga</v>
      </c>
      <c r="C30" s="15" t="str">
        <f>IFERROR(__xludf.DUMMYFUNCTION("""COMPUTED_VALUE"""),"Health &amp; fitness")</f>
        <v>Health &amp; fitness</v>
      </c>
      <c r="D30" s="15" t="str">
        <f>IFERROR(__xludf.DUMMYFUNCTION("""COMPUTED_VALUE"""),"Marketing")</f>
        <v>Marketing</v>
      </c>
      <c r="E30" s="54" t="str">
        <f>IFERROR(__xludf.DUMMYFUNCTION("""COMPUTED_VALUE"""),"http://data.likeminds.community/public/dashboards/iGgnAeZbblMunRcUS3g7CNYJe8pv1ZSKwhJeGqiK?org_slug=default")</f>
        <v>http://data.likeminds.community/public/dashboards/iGgnAeZbblMunRcUS3g7CNYJe8pv1ZSKwhJeGqiK?org_slug=default</v>
      </c>
      <c r="F30" s="54" t="str">
        <f>IFERROR(__xludf.DUMMYFUNCTION("""COMPUTED_VALUE"""),"https://collabmates.app.link/WyfONHDVrfb")</f>
        <v>https://collabmates.app.link/WyfONHDVrfb</v>
      </c>
      <c r="G30" s="54" t="str">
        <f>IFERROR(__xludf.DUMMYFUNCTION("""COMPUTED_VALUE"""),"https://hi.likeminds.community/khushi-se-yoga")</f>
        <v>https://hi.likeminds.community/khushi-se-yoga</v>
      </c>
      <c r="H30" s="54" t="str">
        <f>IFERROR(__xludf.DUMMYFUNCTION("""COMPUTED_VALUE"""),"https://hi.likeminds.community/khushi-se-yoga?r=1")</f>
        <v>https://hi.likeminds.community/khushi-se-yoga?r=1</v>
      </c>
      <c r="I30" s="15"/>
      <c r="J30" s="15" t="str">
        <f>IFERROR(__xludf.DUMMYFUNCTION("""COMPUTED_VALUE"""),"Active")</f>
        <v>Active</v>
      </c>
      <c r="K30" s="15" t="str">
        <f>IFERROR(__xludf.DUMMYFUNCTION("""COMPUTED_VALUE"""),"Yes")</f>
        <v>Yes</v>
      </c>
      <c r="L30" s="15" t="str">
        <f>IFERROR(__xludf.DUMMYFUNCTION("""COMPUTED_VALUE"""),"Kushagra")</f>
        <v>Kushagra</v>
      </c>
      <c r="M30" s="15" t="str">
        <f>IFERROR(__xludf.DUMMYFUNCTION("""COMPUTED_VALUE"""),"Sunder Bishnoi")</f>
        <v>Sunder Bishnoi</v>
      </c>
      <c r="N30" s="15" t="str">
        <f>IFERROR(__xludf.DUMMYFUNCTION("""COMPUTED_VALUE"""),"partnership.khushiseyoga@gmail.com")</f>
        <v>partnership.khushiseyoga@gmail.com</v>
      </c>
      <c r="O30" s="15">
        <f>IFERROR(__xludf.DUMMYFUNCTION("""COMPUTED_VALUE"""),9.19834957306E11)</f>
        <v>919834957306</v>
      </c>
      <c r="P30" s="15" t="str">
        <f>IFERROR(__xludf.DUMMYFUNCTION("""COMPUTED_VALUE"""),"Paused")</f>
        <v>Paused</v>
      </c>
      <c r="Q30" s="15"/>
      <c r="R30" s="54" t="str">
        <f>IFERROR(__xludf.DUMMYFUNCTION("""COMPUTED_VALUE"""),"https://www.facebook.com/KhushiSeYoga/")</f>
        <v>https://www.facebook.com/KhushiSeYoga/</v>
      </c>
      <c r="S30" s="15" t="str">
        <f>IFERROR(__xludf.DUMMYFUNCTION("""COMPUTED_VALUE"""),"Yes")</f>
        <v>Yes</v>
      </c>
      <c r="T30" s="15"/>
      <c r="U30" s="15"/>
      <c r="V30" s="15"/>
    </row>
    <row r="31">
      <c r="A31" s="15">
        <f>IFERROR(__xludf.DUMMYFUNCTION("""COMPUTED_VALUE"""),49996.0)</f>
        <v>49996</v>
      </c>
      <c r="B31" s="15" t="str">
        <f>IFERROR(__xludf.DUMMYFUNCTION("""COMPUTED_VALUE"""),"Language Careers")</f>
        <v>Language Careers</v>
      </c>
      <c r="C31" s="15" t="str">
        <f>IFERROR(__xludf.DUMMYFUNCTION("""COMPUTED_VALUE"""),"Career building")</f>
        <v>Career building</v>
      </c>
      <c r="D31" s="15" t="str">
        <f>IFERROR(__xludf.DUMMYFUNCTION("""COMPUTED_VALUE"""),"Marketing")</f>
        <v>Marketing</v>
      </c>
      <c r="E31" s="54" t="str">
        <f>IFERROR(__xludf.DUMMYFUNCTION("""COMPUTED_VALUE"""),"http://data.likeminds.community/public/dashboards/BqzU6ZJB3ecJbdzsHUvjG5uxJFQUR30XVTItgnET?org_slug=default")</f>
        <v>http://data.likeminds.community/public/dashboards/BqzU6ZJB3ecJbdzsHUvjG5uxJFQUR30XVTItgnET?org_slug=default</v>
      </c>
      <c r="F31" s="54" t="str">
        <f>IFERROR(__xludf.DUMMYFUNCTION("""COMPUTED_VALUE"""),"https://collabmates.app.link/D4jFzabg1eb")</f>
        <v>https://collabmates.app.link/D4jFzabg1eb</v>
      </c>
      <c r="G31" s="54" t="str">
        <f>IFERROR(__xludf.DUMMYFUNCTION("""COMPUTED_VALUE"""),"https://community.likeminds.community/language-careers")</f>
        <v>https://community.likeminds.community/language-careers</v>
      </c>
      <c r="H31" s="54" t="str">
        <f>IFERROR(__xludf.DUMMYFUNCTION("""COMPUTED_VALUE"""),"https://community.likeminds.community/language-careers?r=1")</f>
        <v>https://community.likeminds.community/language-careers?r=1</v>
      </c>
      <c r="I31" s="15"/>
      <c r="J31" s="15" t="str">
        <f>IFERROR(__xludf.DUMMYFUNCTION("""COMPUTED_VALUE"""),"Active")</f>
        <v>Active</v>
      </c>
      <c r="K31" s="15" t="str">
        <f>IFERROR(__xludf.DUMMYFUNCTION("""COMPUTED_VALUE"""),"Yes")</f>
        <v>Yes</v>
      </c>
      <c r="L31" s="15" t="str">
        <f>IFERROR(__xludf.DUMMYFUNCTION("""COMPUTED_VALUE"""),"Tara")</f>
        <v>Tara</v>
      </c>
      <c r="M31" s="15" t="str">
        <f>IFERROR(__xludf.DUMMYFUNCTION("""COMPUTED_VALUE"""),"Srinivasan")</f>
        <v>Srinivasan</v>
      </c>
      <c r="N31" s="15" t="str">
        <f>IFERROR(__xludf.DUMMYFUNCTION("""COMPUTED_VALUE"""),"sreeraghav1971@gmail.com")</f>
        <v>sreeraghav1971@gmail.com</v>
      </c>
      <c r="O31" s="15">
        <f>IFERROR(__xludf.DUMMYFUNCTION("""COMPUTED_VALUE"""),9.198840168E11)</f>
        <v>919884016800</v>
      </c>
      <c r="P31" s="15" t="str">
        <f>IFERROR(__xludf.DUMMYFUNCTION("""COMPUTED_VALUE"""),"Live")</f>
        <v>Live</v>
      </c>
      <c r="Q31" s="15"/>
      <c r="R31" s="15"/>
      <c r="S31" s="15"/>
      <c r="T31" s="15"/>
      <c r="U31" s="15"/>
      <c r="V31" s="15"/>
    </row>
    <row r="32">
      <c r="A32" s="15">
        <f>IFERROR(__xludf.DUMMYFUNCTION("""COMPUTED_VALUE"""),49951.0)</f>
        <v>49951</v>
      </c>
      <c r="B32" s="15" t="str">
        <f>IFERROR(__xludf.DUMMYFUNCTION("""COMPUTED_VALUE"""),"Lazy Gamers (MG)")</f>
        <v>Lazy Gamers (MG)</v>
      </c>
      <c r="C32" s="15" t="str">
        <f>IFERROR(__xludf.DUMMYFUNCTION("""COMPUTED_VALUE"""),"Entertainment experiences")</f>
        <v>Entertainment experiences</v>
      </c>
      <c r="D32" s="15" t="str">
        <f>IFERROR(__xludf.DUMMYFUNCTION("""COMPUTED_VALUE"""),"Marketing")</f>
        <v>Marketing</v>
      </c>
      <c r="E32" s="54" t="str">
        <f>IFERROR(__xludf.DUMMYFUNCTION("""COMPUTED_VALUE"""),"http://data.likeminds.community/public/dashboards/MqVX8vuVs5iLkCAvDSbUZRVtiy7cPGrNwc3y8vAk?org_slug=default")</f>
        <v>http://data.likeminds.community/public/dashboards/MqVX8vuVs5iLkCAvDSbUZRVtiy7cPGrNwc3y8vAk?org_slug=default</v>
      </c>
      <c r="F32" s="54" t="str">
        <f>IFERROR(__xludf.DUMMYFUNCTION("""COMPUTED_VALUE"""),"https://collabmates.app.link/nWSyfwom3eb")</f>
        <v>https://collabmates.app.link/nWSyfwom3eb</v>
      </c>
      <c r="G32" s="54" t="str">
        <f>IFERROR(__xludf.DUMMYFUNCTION("""COMPUTED_VALUE"""),"https://hi.likeminds.community/lazy-gamers")</f>
        <v>https://hi.likeminds.community/lazy-gamers</v>
      </c>
      <c r="H32" s="54" t="str">
        <f>IFERROR(__xludf.DUMMYFUNCTION("""COMPUTED_VALUE"""),"https://hi.likeminds.community/lazy-gamers?r=1")</f>
        <v>https://hi.likeminds.community/lazy-gamers?r=1</v>
      </c>
      <c r="I32" s="15"/>
      <c r="J32" s="15" t="str">
        <f>IFERROR(__xludf.DUMMYFUNCTION("""COMPUTED_VALUE"""),"Dropped")</f>
        <v>Dropped</v>
      </c>
      <c r="K32" s="15" t="str">
        <f>IFERROR(__xludf.DUMMYFUNCTION("""COMPUTED_VALUE"""),"Yes")</f>
        <v>Yes</v>
      </c>
      <c r="L32" s="15" t="str">
        <f>IFERROR(__xludf.DUMMYFUNCTION("""COMPUTED_VALUE"""),"Tara")</f>
        <v>Tara</v>
      </c>
      <c r="M32" s="15" t="str">
        <f>IFERROR(__xludf.DUMMYFUNCTION("""COMPUTED_VALUE"""),"Saurabh (MG)")</f>
        <v>Saurabh (MG)</v>
      </c>
      <c r="N32" s="15" t="str">
        <f>IFERROR(__xludf.DUMMYFUNCTION("""COMPUTED_VALUE"""),"saurabhy2jno@gmail.com
")</f>
        <v>saurabhy2jno@gmail.com
</v>
      </c>
      <c r="O32" s="15">
        <f>IFERROR(__xludf.DUMMYFUNCTION("""COMPUTED_VALUE"""),9.18287031347E11)</f>
        <v>918287031347</v>
      </c>
      <c r="P32" s="15" t="str">
        <f>IFERROR(__xludf.DUMMYFUNCTION("""COMPUTED_VALUE"""),"Paused")</f>
        <v>Paused</v>
      </c>
      <c r="Q32" s="15"/>
      <c r="R32" s="15"/>
      <c r="S32" s="15"/>
      <c r="T32" s="15"/>
      <c r="U32" s="15"/>
      <c r="V32" s="15"/>
    </row>
    <row r="33">
      <c r="A33" s="15">
        <f>IFERROR(__xludf.DUMMYFUNCTION("""COMPUTED_VALUE"""),50094.0)</f>
        <v>50094</v>
      </c>
      <c r="B33" s="15" t="str">
        <f>IFERROR(__xludf.DUMMYFUNCTION("""COMPUTED_VALUE"""),"Let's speak english")</f>
        <v>Let's speak english</v>
      </c>
      <c r="C33" s="15" t="str">
        <f>IFERROR(__xludf.DUMMYFUNCTION("""COMPUTED_VALUE"""),"Language")</f>
        <v>Language</v>
      </c>
      <c r="D33" s="15" t="str">
        <f>IFERROR(__xludf.DUMMYFUNCTION("""COMPUTED_VALUE"""),"Marketing")</f>
        <v>Marketing</v>
      </c>
      <c r="E33" s="54" t="str">
        <f>IFERROR(__xludf.DUMMYFUNCTION("""COMPUTED_VALUE"""),"http://data.likeminds.community/public/dashboards/x6CjrUuk80Z0zK6waN3DXu63JeL9884vA5w1qz4F?org_slug=default")</f>
        <v>http://data.likeminds.community/public/dashboards/x6CjrUuk80Z0zK6waN3DXu63JeL9884vA5w1qz4F?org_slug=default</v>
      </c>
      <c r="F33" s="54" t="str">
        <f>IFERROR(__xludf.DUMMYFUNCTION("""COMPUTED_VALUE"""),"https://collabmates.app.link/buoZRzqwkgb")</f>
        <v>https://collabmates.app.link/buoZRzqwkgb</v>
      </c>
      <c r="G33" s="54" t="str">
        <f>IFERROR(__xludf.DUMMYFUNCTION("""COMPUTED_VALUE"""),"https://hi.likeminds.community/d/lets-speak-english")</f>
        <v>https://hi.likeminds.community/d/lets-speak-english</v>
      </c>
      <c r="H33" s="54" t="str">
        <f>IFERROR(__xludf.DUMMYFUNCTION("""COMPUTED_VALUE"""),"https://hi.likeminds.community/d/lets-speak-english?r=1")</f>
        <v>https://hi.likeminds.community/d/lets-speak-english?r=1</v>
      </c>
      <c r="I33" s="15"/>
      <c r="J33" s="15" t="str">
        <f>IFERROR(__xludf.DUMMYFUNCTION("""COMPUTED_VALUE"""),"Active")</f>
        <v>Active</v>
      </c>
      <c r="K33" s="15" t="str">
        <f>IFERROR(__xludf.DUMMYFUNCTION("""COMPUTED_VALUE"""),"Yes")</f>
        <v>Yes</v>
      </c>
      <c r="L33" s="15" t="str">
        <f>IFERROR(__xludf.DUMMYFUNCTION("""COMPUTED_VALUE"""),"Akshita")</f>
        <v>Akshita</v>
      </c>
      <c r="M33" s="15" t="str">
        <f>IFERROR(__xludf.DUMMYFUNCTION("""COMPUTED_VALUE"""),"Seema Mishra")</f>
        <v>Seema Mishra</v>
      </c>
      <c r="N33" s="15" t="str">
        <f>IFERROR(__xludf.DUMMYFUNCTION("""COMPUTED_VALUE"""),"handloomfabrics1980@gmail.com")</f>
        <v>handloomfabrics1980@gmail.com</v>
      </c>
      <c r="O33" s="15" t="str">
        <f>IFERROR(__xludf.DUMMYFUNCTION("""COMPUTED_VALUE"""),"+918827505348")</f>
        <v>+918827505348</v>
      </c>
      <c r="P33" s="15" t="str">
        <f>IFERROR(__xludf.DUMMYFUNCTION("""COMPUTED_VALUE"""),"Live")</f>
        <v>Live</v>
      </c>
      <c r="Q33" s="15"/>
      <c r="R33" s="54" t="str">
        <f>IFERROR(__xludf.DUMMYFUNCTION("""COMPUTED_VALUE"""),"https://m.facebook.com/story.php?story_fbid=224622572756974&amp;id=105562877996278")</f>
        <v>https://m.facebook.com/story.php?story_fbid=224622572756974&amp;id=105562877996278</v>
      </c>
      <c r="S33" s="15"/>
      <c r="T33" s="15"/>
      <c r="U33" s="15"/>
      <c r="V33" s="15"/>
    </row>
    <row r="34">
      <c r="A34" s="15">
        <f>IFERROR(__xludf.DUMMYFUNCTION("""COMPUTED_VALUE"""),50157.0)</f>
        <v>50157</v>
      </c>
      <c r="B34" s="15" t="str">
        <f>IFERROR(__xludf.DUMMYFUNCTION("""COMPUTED_VALUE"""),"Let'sLearntoSocial - ABFC")</f>
        <v>Let'sLearntoSocial - ABFC</v>
      </c>
      <c r="C34" s="15" t="str">
        <f>IFERROR(__xludf.DUMMYFUNCTION("""COMPUTED_VALUE"""),"Micro-entrepreneurship")</f>
        <v>Micro-entrepreneurship</v>
      </c>
      <c r="D34" s="15" t="str">
        <f>IFERROR(__xludf.DUMMYFUNCTION("""COMPUTED_VALUE"""),"Marketing")</f>
        <v>Marketing</v>
      </c>
      <c r="E34" s="54" t="str">
        <f>IFERROR(__xludf.DUMMYFUNCTION("""COMPUTED_VALUE"""),"http://data.likeminds.community/public/dashboards/gSuP6V7qYfVwlGxHOtexuFAJn7KEQMpyRYupnsqb?org_slug=default")</f>
        <v>http://data.likeminds.community/public/dashboards/gSuP6V7qYfVwlGxHOtexuFAJn7KEQMpyRYupnsqb?org_slug=default</v>
      </c>
      <c r="F34" s="54" t="str">
        <f>IFERROR(__xludf.DUMMYFUNCTION("""COMPUTED_VALUE"""),"https://collabmates.app.link/ilKmiQ1MMgb")</f>
        <v>https://collabmates.app.link/ilKmiQ1MMgb</v>
      </c>
      <c r="G34" s="54" t="str">
        <f>IFERROR(__xludf.DUMMYFUNCTION("""COMPUTED_VALUE"""),"https://hi.likeminds.community/d/letslearntosocial-abfc")</f>
        <v>https://hi.likeminds.community/d/letslearntosocial-abfc</v>
      </c>
      <c r="H34" s="54" t="str">
        <f>IFERROR(__xludf.DUMMYFUNCTION("""COMPUTED_VALUE"""),"https://hi.likeminds.community/d/letslearntosocial-abfc?r=1")</f>
        <v>https://hi.likeminds.community/d/letslearntosocial-abfc?r=1</v>
      </c>
      <c r="I34" s="15"/>
      <c r="J34" s="15" t="str">
        <f>IFERROR(__xludf.DUMMYFUNCTION("""COMPUTED_VALUE"""),"Active")</f>
        <v>Active</v>
      </c>
      <c r="K34" s="15" t="str">
        <f>IFERROR(__xludf.DUMMYFUNCTION("""COMPUTED_VALUE"""),"Yes")</f>
        <v>Yes</v>
      </c>
      <c r="L34" s="15" t="str">
        <f>IFERROR(__xludf.DUMMYFUNCTION("""COMPUTED_VALUE"""),"Priti")</f>
        <v>Priti</v>
      </c>
      <c r="M34" s="15" t="str">
        <f>IFERROR(__xludf.DUMMYFUNCTION("""COMPUTED_VALUE"""),"Dibyoshnata")</f>
        <v>Dibyoshnata</v>
      </c>
      <c r="N34" s="15" t="str">
        <f>IFERROR(__xludf.DUMMYFUNCTION("""COMPUTED_VALUE"""),"dibyoshnatatalukdar@gmail.com")</f>
        <v>dibyoshnatatalukdar@gmail.com</v>
      </c>
      <c r="O34" s="15">
        <f>IFERROR(__xludf.DUMMYFUNCTION("""COMPUTED_VALUE"""),8.851394064E9)</f>
        <v>8851394064</v>
      </c>
      <c r="P34" s="15" t="str">
        <f>IFERROR(__xludf.DUMMYFUNCTION("""COMPUTED_VALUE"""),"Ready to go live")</f>
        <v>Ready to go live</v>
      </c>
      <c r="Q34" s="15"/>
      <c r="R34" s="54" t="str">
        <f>IFERROR(__xludf.DUMMYFUNCTION("""COMPUTED_VALUE"""),"https://www.facebook.com/ABFCIndia/")</f>
        <v>https://www.facebook.com/ABFCIndia/</v>
      </c>
      <c r="S34" s="15"/>
      <c r="T34" s="54" t="str">
        <f>IFERROR(__xludf.DUMMYFUNCTION("""COMPUTED_VALUE"""),"https://instagram.com/abottlefullofcandies/")</f>
        <v>https://instagram.com/abottlefullofcandies/</v>
      </c>
      <c r="U34" s="15"/>
      <c r="V34" s="15"/>
    </row>
    <row r="35">
      <c r="A35" s="15">
        <f>IFERROR(__xludf.DUMMYFUNCTION("""COMPUTED_VALUE"""),50011.0)</f>
        <v>50011</v>
      </c>
      <c r="B35" s="15" t="str">
        <f>IFERROR(__xludf.DUMMYFUNCTION("""COMPUTED_VALUE"""),"Life Algorithms")</f>
        <v>Life Algorithms</v>
      </c>
      <c r="C35" s="15" t="str">
        <f>IFERROR(__xludf.DUMMYFUNCTION("""COMPUTED_VALUE"""),"Micro-entrepreneurship")</f>
        <v>Micro-entrepreneurship</v>
      </c>
      <c r="D35" s="15" t="str">
        <f>IFERROR(__xludf.DUMMYFUNCTION("""COMPUTED_VALUE"""),"Marketing")</f>
        <v>Marketing</v>
      </c>
      <c r="E35" s="54" t="str">
        <f>IFERROR(__xludf.DUMMYFUNCTION("""COMPUTED_VALUE"""),"http://data.likeminds.community/public/dashboards/LhGOXAWm66sxxdrJ7z1f9S48vP8YrEUMINAPXKRz?org_slug=default")</f>
        <v>http://data.likeminds.community/public/dashboards/LhGOXAWm66sxxdrJ7z1f9S48vP8YrEUMINAPXKRz?org_slug=default</v>
      </c>
      <c r="F35" s="54" t="str">
        <f>IFERROR(__xludf.DUMMYFUNCTION("""COMPUTED_VALUE"""),"https://collabmates.app.link/fTEMej02cfb")</f>
        <v>https://collabmates.app.link/fTEMej02cfb</v>
      </c>
      <c r="G35" s="54" t="str">
        <f>IFERROR(__xludf.DUMMYFUNCTION("""COMPUTED_VALUE"""),"https://hi.likeminds.community/life-algorithms")</f>
        <v>https://hi.likeminds.community/life-algorithms</v>
      </c>
      <c r="H35" s="54" t="str">
        <f>IFERROR(__xludf.DUMMYFUNCTION("""COMPUTED_VALUE"""),"https://hi.likeminds.community/life-algorithms?r=1")</f>
        <v>https://hi.likeminds.community/life-algorithms?r=1</v>
      </c>
      <c r="I35" s="15"/>
      <c r="J35" s="15" t="str">
        <f>IFERROR(__xludf.DUMMYFUNCTION("""COMPUTED_VALUE"""),"Dropped")</f>
        <v>Dropped</v>
      </c>
      <c r="K35" s="15" t="str">
        <f>IFERROR(__xludf.DUMMYFUNCTION("""COMPUTED_VALUE"""),"Yes")</f>
        <v>Yes</v>
      </c>
      <c r="L35" s="15" t="str">
        <f>IFERROR(__xludf.DUMMYFUNCTION("""COMPUTED_VALUE"""),"Tara")</f>
        <v>Tara</v>
      </c>
      <c r="M35" s="15" t="str">
        <f>IFERROR(__xludf.DUMMYFUNCTION("""COMPUTED_VALUE"""),"Raksha Shenoy")</f>
        <v>Raksha Shenoy</v>
      </c>
      <c r="N35" s="15" t="str">
        <f>IFERROR(__xludf.DUMMYFUNCTION("""COMPUTED_VALUE"""),"rakshas231@gmail.com")</f>
        <v>rakshas231@gmail.com</v>
      </c>
      <c r="O35" s="15">
        <f>IFERROR(__xludf.DUMMYFUNCTION("""COMPUTED_VALUE"""),9.18197895899E11)</f>
        <v>918197895899</v>
      </c>
      <c r="P35" s="15" t="str">
        <f>IFERROR(__xludf.DUMMYFUNCTION("""COMPUTED_VALUE"""),"Paused")</f>
        <v>Paused</v>
      </c>
      <c r="Q35" s="15"/>
      <c r="R35" s="15"/>
      <c r="S35" s="15"/>
      <c r="T35" s="15"/>
      <c r="U35" s="15"/>
      <c r="V35" s="15"/>
    </row>
    <row r="36">
      <c r="A36" s="15">
        <f>IFERROR(__xludf.DUMMYFUNCTION("""COMPUTED_VALUE"""),50155.0)</f>
        <v>50155</v>
      </c>
      <c r="B36" s="15" t="str">
        <f>IFERROR(__xludf.DUMMYFUNCTION("""COMPUTED_VALUE"""),"LinkedGrow")</f>
        <v>LinkedGrow</v>
      </c>
      <c r="C36" s="15" t="str">
        <f>IFERROR(__xludf.DUMMYFUNCTION("""COMPUTED_VALUE"""),"Career building")</f>
        <v>Career building</v>
      </c>
      <c r="D36" s="15" t="str">
        <f>IFERROR(__xludf.DUMMYFUNCTION("""COMPUTED_VALUE"""),"Marketing")</f>
        <v>Marketing</v>
      </c>
      <c r="E36" s="54" t="str">
        <f>IFERROR(__xludf.DUMMYFUNCTION("""COMPUTED_VALUE"""),"http://data.likeminds.community/public/dashboards/n2vPFXtSCAVF0cVz0x94jgRXbQiUXsF9zHV0gaFU?org_slug=default")</f>
        <v>http://data.likeminds.community/public/dashboards/n2vPFXtSCAVF0cVz0x94jgRXbQiUXsF9zHV0gaFU?org_slug=default</v>
      </c>
      <c r="F36" s="54" t="str">
        <f>IFERROR(__xludf.DUMMYFUNCTION("""COMPUTED_VALUE"""),"https://collabmates.app.link/bv5Fs1xdLgb")</f>
        <v>https://collabmates.app.link/bv5Fs1xdLgb</v>
      </c>
      <c r="G36" s="54" t="str">
        <f>IFERROR(__xludf.DUMMYFUNCTION("""COMPUTED_VALUE"""),"https://hi.likeminds.community/d/linkedgrow")</f>
        <v>https://hi.likeminds.community/d/linkedgrow</v>
      </c>
      <c r="H36" s="54" t="str">
        <f>IFERROR(__xludf.DUMMYFUNCTION("""COMPUTED_VALUE"""),"https://hi.likeminds.community/d/linkedgrow?r=1")</f>
        <v>https://hi.likeminds.community/d/linkedgrow?r=1</v>
      </c>
      <c r="I36" s="15"/>
      <c r="J36" s="15" t="str">
        <f>IFERROR(__xludf.DUMMYFUNCTION("""COMPUTED_VALUE"""),"Active")</f>
        <v>Active</v>
      </c>
      <c r="K36" s="15" t="str">
        <f>IFERROR(__xludf.DUMMYFUNCTION("""COMPUTED_VALUE"""),"Yes")</f>
        <v>Yes</v>
      </c>
      <c r="L36" s="15" t="str">
        <f>IFERROR(__xludf.DUMMYFUNCTION("""COMPUTED_VALUE"""),"Dev ")</f>
        <v>Dev </v>
      </c>
      <c r="M36" s="15" t="str">
        <f>IFERROR(__xludf.DUMMYFUNCTION("""COMPUTED_VALUE"""),"Bhawana")</f>
        <v>Bhawana</v>
      </c>
      <c r="N36" s="15" t="str">
        <f>IFERROR(__xludf.DUMMYFUNCTION("""COMPUTED_VALUE"""),"singh.bhawana2@gmail.com")</f>
        <v>singh.bhawana2@gmail.com</v>
      </c>
      <c r="O36" s="15">
        <f>IFERROR(__xludf.DUMMYFUNCTION("""COMPUTED_VALUE"""),9.18384915589E11)</f>
        <v>918384915589</v>
      </c>
      <c r="P36" s="15" t="str">
        <f>IFERROR(__xludf.DUMMYFUNCTION("""COMPUTED_VALUE"""),"Ready to go live")</f>
        <v>Ready to go live</v>
      </c>
      <c r="Q36" s="15"/>
      <c r="R36" s="54" t="str">
        <f>IFERROR(__xludf.DUMMYFUNCTION("""COMPUTED_VALUE"""),"https://www.facebook.com/LinkedGrow-103594735280449/")</f>
        <v>https://www.facebook.com/LinkedGrow-103594735280449/</v>
      </c>
      <c r="S36" s="15" t="str">
        <f>IFERROR(__xludf.DUMMYFUNCTION("""COMPUTED_VALUE"""),"no")</f>
        <v>no</v>
      </c>
      <c r="T36" s="54" t="str">
        <f>IFERROR(__xludf.DUMMYFUNCTION("""COMPUTED_VALUE"""),"https://www.instagram.com/linkedgrow/")</f>
        <v>https://www.instagram.com/linkedgrow/</v>
      </c>
      <c r="U36" s="15"/>
      <c r="V36" s="15"/>
    </row>
    <row r="37">
      <c r="A37" s="15">
        <f>IFERROR(__xludf.DUMMYFUNCTION("""COMPUTED_VALUE"""),50032.0)</f>
        <v>50032</v>
      </c>
      <c r="B37" s="15" t="str">
        <f>IFERROR(__xludf.DUMMYFUNCTION("""COMPUTED_VALUE"""),"Magic Mind")</f>
        <v>Magic Mind</v>
      </c>
      <c r="C37" s="15" t="str">
        <f>IFERROR(__xludf.DUMMYFUNCTION("""COMPUTED_VALUE"""),"Health &amp; fitness")</f>
        <v>Health &amp; fitness</v>
      </c>
      <c r="D37" s="15" t="str">
        <f>IFERROR(__xludf.DUMMYFUNCTION("""COMPUTED_VALUE"""),"Marketing")</f>
        <v>Marketing</v>
      </c>
      <c r="E37" s="54" t="str">
        <f>IFERROR(__xludf.DUMMYFUNCTION("""COMPUTED_VALUE"""),"http://data.likeminds.community/public/dashboards/41nyPf7zRuc3ULX7WTTtU1ragRIV2GjChWBLFlMU?org_slug=default")</f>
        <v>http://data.likeminds.community/public/dashboards/41nyPf7zRuc3ULX7WTTtU1ragRIV2GjChWBLFlMU?org_slug=default</v>
      </c>
      <c r="F37" s="54" t="str">
        <f>IFERROR(__xludf.DUMMYFUNCTION("""COMPUTED_VALUE"""),"https://collabmates.app.link/y8hf5EsUrfb")</f>
        <v>https://collabmates.app.link/y8hf5EsUrfb</v>
      </c>
      <c r="G37" s="54" t="str">
        <f>IFERROR(__xludf.DUMMYFUNCTION("""COMPUTED_VALUE"""),"https://hi.likeminds.community/magic-mind")</f>
        <v>https://hi.likeminds.community/magic-mind</v>
      </c>
      <c r="H37" s="54" t="str">
        <f>IFERROR(__xludf.DUMMYFUNCTION("""COMPUTED_VALUE"""),"https://hi.likeminds.community/magic-mind?r=1")</f>
        <v>https://hi.likeminds.community/magic-mind?r=1</v>
      </c>
      <c r="I37" s="15"/>
      <c r="J37" s="15" t="str">
        <f>IFERROR(__xludf.DUMMYFUNCTION("""COMPUTED_VALUE"""),"Dropped")</f>
        <v>Dropped</v>
      </c>
      <c r="K37" s="15" t="str">
        <f>IFERROR(__xludf.DUMMYFUNCTION("""COMPUTED_VALUE"""),"Yes")</f>
        <v>Yes</v>
      </c>
      <c r="L37" s="15"/>
      <c r="M37" s="15" t="str">
        <f>IFERROR(__xludf.DUMMYFUNCTION("""COMPUTED_VALUE"""),"Devika Arora")</f>
        <v>Devika Arora</v>
      </c>
      <c r="N37" s="15" t="str">
        <f>IFERROR(__xludf.DUMMYFUNCTION("""COMPUTED_VALUE"""),"debou13@gmail.com")</f>
        <v>debou13@gmail.com</v>
      </c>
      <c r="O37" s="15">
        <f>IFERROR(__xludf.DUMMYFUNCTION("""COMPUTED_VALUE"""),9.19830912234E11)</f>
        <v>919830912234</v>
      </c>
      <c r="P37" s="15" t="str">
        <f>IFERROR(__xludf.DUMMYFUNCTION("""COMPUTED_VALUE"""),"Paused")</f>
        <v>Paused</v>
      </c>
      <c r="Q37" s="15"/>
      <c r="R37" s="54" t="str">
        <f>IFERROR(__xludf.DUMMYFUNCTION("""COMPUTED_VALUE"""),"https://www.facebook.com/magicmindhq")</f>
        <v>https://www.facebook.com/magicmindhq</v>
      </c>
      <c r="S37" s="15" t="str">
        <f>IFERROR(__xludf.DUMMYFUNCTION("""COMPUTED_VALUE"""),"Yes")</f>
        <v>Yes</v>
      </c>
      <c r="T37" s="15"/>
      <c r="U37" s="15"/>
      <c r="V37" s="15"/>
    </row>
    <row r="38">
      <c r="A38" s="15">
        <f>IFERROR(__xludf.DUMMYFUNCTION("""COMPUTED_VALUE"""),50078.0)</f>
        <v>50078</v>
      </c>
      <c r="B38" s="15" t="str">
        <f>IFERROR(__xludf.DUMMYFUNCTION("""COMPUTED_VALUE"""),"Magical Parenting")</f>
        <v>Magical Parenting</v>
      </c>
      <c r="C38" s="15" t="str">
        <f>IFERROR(__xludf.DUMMYFUNCTION("""COMPUTED_VALUE"""),"Life skills/Lifestyle")</f>
        <v>Life skills/Lifestyle</v>
      </c>
      <c r="D38" s="15" t="str">
        <f>IFERROR(__xludf.DUMMYFUNCTION("""COMPUTED_VALUE"""),"Marketing")</f>
        <v>Marketing</v>
      </c>
      <c r="E38" s="54" t="str">
        <f>IFERROR(__xludf.DUMMYFUNCTION("""COMPUTED_VALUE"""),"http://data.likeminds.community/public/dashboards/Ac9669mEN55FumvF8nSAh28rC1uTYjUUux2pNvE6?org_slug=default")</f>
        <v>http://data.likeminds.community/public/dashboards/Ac9669mEN55FumvF8nSAh28rC1uTYjUUux2pNvE6?org_slug=default</v>
      </c>
      <c r="F38" s="54" t="str">
        <f>IFERROR(__xludf.DUMMYFUNCTION("""COMPUTED_VALUE"""),"https://collabmates.app.link/AoNUQQLa6fb")</f>
        <v>https://collabmates.app.link/AoNUQQLa6fb</v>
      </c>
      <c r="G38" s="54" t="str">
        <f>IFERROR(__xludf.DUMMYFUNCTION("""COMPUTED_VALUE"""),"https://hi.likeminds.community/d/magical-parenting")</f>
        <v>https://hi.likeminds.community/d/magical-parenting</v>
      </c>
      <c r="H38" s="54" t="str">
        <f>IFERROR(__xludf.DUMMYFUNCTION("""COMPUTED_VALUE"""),"https://hi.likeminds.community/d/magical-parenting?r=1")</f>
        <v>https://hi.likeminds.community/d/magical-parenting?r=1</v>
      </c>
      <c r="I38" s="15"/>
      <c r="J38" s="15" t="str">
        <f>IFERROR(__xludf.DUMMYFUNCTION("""COMPUTED_VALUE"""),"Active")</f>
        <v>Active</v>
      </c>
      <c r="K38" s="15" t="str">
        <f>IFERROR(__xludf.DUMMYFUNCTION("""COMPUTED_VALUE"""),"Yes")</f>
        <v>Yes</v>
      </c>
      <c r="L38" s="15" t="str">
        <f>IFERROR(__xludf.DUMMYFUNCTION("""COMPUTED_VALUE"""),"Akshita")</f>
        <v>Akshita</v>
      </c>
      <c r="M38" s="15" t="str">
        <f>IFERROR(__xludf.DUMMYFUNCTION("""COMPUTED_VALUE"""),"Najya Azmi")</f>
        <v>Najya Azmi</v>
      </c>
      <c r="N38" s="15" t="str">
        <f>IFERROR(__xludf.DUMMYFUNCTION("""COMPUTED_VALUE"""),"najyaazmi@gmail.com")</f>
        <v>najyaazmi@gmail.com</v>
      </c>
      <c r="O38" s="15" t="str">
        <f>IFERROR(__xludf.DUMMYFUNCTION("""COMPUTED_VALUE"""),"+919700958700")</f>
        <v>+919700958700</v>
      </c>
      <c r="P38" s="15" t="str">
        <f>IFERROR(__xludf.DUMMYFUNCTION("""COMPUTED_VALUE"""),"Paused")</f>
        <v>Paused</v>
      </c>
      <c r="Q38" s="15"/>
      <c r="R38" s="54" t="str">
        <f>IFERROR(__xludf.DUMMYFUNCTION("""COMPUTED_VALUE"""),"https://www.facebook.com/Magicalparenting/")</f>
        <v>https://www.facebook.com/Magicalparenting/</v>
      </c>
      <c r="S38" s="15"/>
      <c r="T38" s="15"/>
      <c r="U38" s="15" t="str">
        <f>IFERROR(__xludf.DUMMYFUNCTION("""COMPUTED_VALUE"""),"Conversion from marketing")</f>
        <v>Conversion from marketing</v>
      </c>
      <c r="V38" s="15"/>
    </row>
    <row r="39">
      <c r="A39" s="15">
        <f>IFERROR(__xludf.DUMMYFUNCTION("""COMPUTED_VALUE"""),50147.0)</f>
        <v>50147</v>
      </c>
      <c r="B39" s="15" t="str">
        <f>IFERROR(__xludf.DUMMYFUNCTION("""COMPUTED_VALUE"""),"master your thinking")</f>
        <v>master your thinking</v>
      </c>
      <c r="C39" s="15" t="str">
        <f>IFERROR(__xludf.DUMMYFUNCTION("""COMPUTED_VALUE"""),"Life skills/Lifestyle")</f>
        <v>Life skills/Lifestyle</v>
      </c>
      <c r="D39" s="15" t="str">
        <f>IFERROR(__xludf.DUMMYFUNCTION("""COMPUTED_VALUE"""),"Marketing")</f>
        <v>Marketing</v>
      </c>
      <c r="E39" s="54" t="str">
        <f>IFERROR(__xludf.DUMMYFUNCTION("""COMPUTED_VALUE"""),"http://data.likeminds.community/public/dashboards/DBzfBppo1OcJ9K3JSTzXs4SwTeL3NCrg2B5qIMZ7?org_slug=default")</f>
        <v>http://data.likeminds.community/public/dashboards/DBzfBppo1OcJ9K3JSTzXs4SwTeL3NCrg2B5qIMZ7?org_slug=default</v>
      </c>
      <c r="F39" s="54" t="str">
        <f>IFERROR(__xludf.DUMMYFUNCTION("""COMPUTED_VALUE"""),"https://collabmates.app.link/RDuEyFgXHgb")</f>
        <v>https://collabmates.app.link/RDuEyFgXHgb</v>
      </c>
      <c r="G39" s="54" t="str">
        <f>IFERROR(__xludf.DUMMYFUNCTION("""COMPUTED_VALUE"""),"https://hi.likeminds.community/d/life-long-learners")</f>
        <v>https://hi.likeminds.community/d/life-long-learners</v>
      </c>
      <c r="H39" s="54" t="str">
        <f>IFERROR(__xludf.DUMMYFUNCTION("""COMPUTED_VALUE"""),"https://hi.likeminds.community/d/life-long-learners?r=1")</f>
        <v>https://hi.likeminds.community/d/life-long-learners?r=1</v>
      </c>
      <c r="I39" s="15"/>
      <c r="J39" s="15" t="str">
        <f>IFERROR(__xludf.DUMMYFUNCTION("""COMPUTED_VALUE"""),"Active")</f>
        <v>Active</v>
      </c>
      <c r="K39" s="15" t="str">
        <f>IFERROR(__xludf.DUMMYFUNCTION("""COMPUTED_VALUE"""),"Yes")</f>
        <v>Yes</v>
      </c>
      <c r="L39" s="15" t="str">
        <f>IFERROR(__xludf.DUMMYFUNCTION("""COMPUTED_VALUE"""),"Mansi")</f>
        <v>Mansi</v>
      </c>
      <c r="M39" s="15" t="str">
        <f>IFERROR(__xludf.DUMMYFUNCTION("""COMPUTED_VALUE"""),"Neeta Biswas")</f>
        <v>Neeta Biswas</v>
      </c>
      <c r="N39" s="15" t="str">
        <f>IFERROR(__xludf.DUMMYFUNCTION("""COMPUTED_VALUE"""),"neetunt@hotmail.com")</f>
        <v>neetunt@hotmail.com</v>
      </c>
      <c r="O39" s="15">
        <f>IFERROR(__xludf.DUMMYFUNCTION("""COMPUTED_VALUE"""),9.850173327E9)</f>
        <v>9850173327</v>
      </c>
      <c r="P39" s="15" t="str">
        <f>IFERROR(__xludf.DUMMYFUNCTION("""COMPUTED_VALUE"""),"Not Started")</f>
        <v>Not Started</v>
      </c>
      <c r="Q39" s="15"/>
      <c r="R39" s="15"/>
      <c r="S39" s="15"/>
      <c r="T39" s="54" t="str">
        <f>IFERROR(__xludf.DUMMYFUNCTION("""COMPUTED_VALUE"""),"https://instagram.com/superlearnopia?utm_medium=copy_link")</f>
        <v>https://instagram.com/superlearnopia?utm_medium=copy_link</v>
      </c>
      <c r="U39" s="15"/>
      <c r="V39" s="15"/>
    </row>
    <row r="40">
      <c r="A40" s="15">
        <f>IFERROR(__xludf.DUMMYFUNCTION("""COMPUTED_VALUE"""),50146.0)</f>
        <v>50146</v>
      </c>
      <c r="B40" s="15" t="str">
        <f>IFERROR(__xludf.DUMMYFUNCTION("""COMPUTED_VALUE"""),"meeting with self")</f>
        <v>meeting with self</v>
      </c>
      <c r="C40" s="15" t="str">
        <f>IFERROR(__xludf.DUMMYFUNCTION("""COMPUTED_VALUE"""),"Health &amp; fitness")</f>
        <v>Health &amp; fitness</v>
      </c>
      <c r="D40" s="15" t="str">
        <f>IFERROR(__xludf.DUMMYFUNCTION("""COMPUTED_VALUE"""),"Marketing")</f>
        <v>Marketing</v>
      </c>
      <c r="E40" s="54" t="str">
        <f>IFERROR(__xludf.DUMMYFUNCTION("""COMPUTED_VALUE"""),"http://data.likeminds.community/public/dashboards/iImKTeeqMpZ5zHY9QaeDHtJJkZNVKnXp1qh6PRnD?org_slug=default")</f>
        <v>http://data.likeminds.community/public/dashboards/iImKTeeqMpZ5zHY9QaeDHtJJkZNVKnXp1qh6PRnD?org_slug=default</v>
      </c>
      <c r="F40" s="54" t="str">
        <f>IFERROR(__xludf.DUMMYFUNCTION("""COMPUTED_VALUE"""),"https://collabmates.app.link/BsOVJF3NHgb")</f>
        <v>https://collabmates.app.link/BsOVJF3NHgb</v>
      </c>
      <c r="G40" s="54" t="str">
        <f>IFERROR(__xludf.DUMMYFUNCTION("""COMPUTED_VALUE"""),"https://hi.likeminds.community/d/tathastu-guided-meditation-classes-and-ocunselling")</f>
        <v>https://hi.likeminds.community/d/tathastu-guided-meditation-classes-and-ocunselling</v>
      </c>
      <c r="H40" s="54" t="str">
        <f>IFERROR(__xludf.DUMMYFUNCTION("""COMPUTED_VALUE"""),"https://hi.likeminds.community/d/tathastu-guided-meditation-classes-and-ocunselling?r=1")</f>
        <v>https://hi.likeminds.community/d/tathastu-guided-meditation-classes-and-ocunselling?r=1</v>
      </c>
      <c r="I40" s="15"/>
      <c r="J40" s="15" t="str">
        <f>IFERROR(__xludf.DUMMYFUNCTION("""COMPUTED_VALUE"""),"Active")</f>
        <v>Active</v>
      </c>
      <c r="K40" s="15" t="str">
        <f>IFERROR(__xludf.DUMMYFUNCTION("""COMPUTED_VALUE"""),"Yes")</f>
        <v>Yes</v>
      </c>
      <c r="L40" s="15" t="str">
        <f>IFERROR(__xludf.DUMMYFUNCTION("""COMPUTED_VALUE"""),"Tarun ")</f>
        <v>Tarun </v>
      </c>
      <c r="M40" s="15" t="str">
        <f>IFERROR(__xludf.DUMMYFUNCTION("""COMPUTED_VALUE"""),"Pooja Mehta ")</f>
        <v>Pooja Mehta </v>
      </c>
      <c r="N40" s="15" t="str">
        <f>IFERROR(__xludf.DUMMYFUNCTION("""COMPUTED_VALUE"""),"poojamehta25@gmail.com")</f>
        <v>poojamehta25@gmail.com</v>
      </c>
      <c r="O40" s="15">
        <f>IFERROR(__xludf.DUMMYFUNCTION("""COMPUTED_VALUE"""),9.829296625E9)</f>
        <v>9829296625</v>
      </c>
      <c r="P40" s="15" t="str">
        <f>IFERROR(__xludf.DUMMYFUNCTION("""COMPUTED_VALUE"""),"Not Started")</f>
        <v>Not Started</v>
      </c>
      <c r="Q40" s="15"/>
      <c r="R40" s="54" t="str">
        <f>IFERROR(__xludf.DUMMYFUNCTION("""COMPUTED_VALUE"""),"https://www.facebook.com/Meeting-with-Self-Tathastu-Guided-Meditation-Classes-108082228144987/")</f>
        <v>https://www.facebook.com/Meeting-with-Self-Tathastu-Guided-Meditation-Classes-108082228144987/</v>
      </c>
      <c r="S40" s="15" t="str">
        <f>IFERROR(__xludf.DUMMYFUNCTION("""COMPUTED_VALUE"""),"no")</f>
        <v>no</v>
      </c>
      <c r="T40" s="15"/>
      <c r="U40" s="15"/>
      <c r="V40" s="15"/>
    </row>
    <row r="41">
      <c r="A41" s="15">
        <f>IFERROR(__xludf.DUMMYFUNCTION("""COMPUTED_VALUE"""),50051.0)</f>
        <v>50051</v>
      </c>
      <c r="B41" s="15" t="str">
        <f>IFERROR(__xludf.DUMMYFUNCTION("""COMPUTED_VALUE"""),"Mentor Mate")</f>
        <v>Mentor Mate</v>
      </c>
      <c r="C41" s="15" t="str">
        <f>IFERROR(__xludf.DUMMYFUNCTION("""COMPUTED_VALUE"""),"Career building")</f>
        <v>Career building</v>
      </c>
      <c r="D41" s="15" t="str">
        <f>IFERROR(__xludf.DUMMYFUNCTION("""COMPUTED_VALUE"""),"Marketing")</f>
        <v>Marketing</v>
      </c>
      <c r="E41" s="54" t="str">
        <f>IFERROR(__xludf.DUMMYFUNCTION("""COMPUTED_VALUE"""),"http://data.likeminds.community/public/dashboards/toRVauQwOLJgN6xcTLeMcYMH6jBqVS7S3aErlsEs?org_slug=default")</f>
        <v>http://data.likeminds.community/public/dashboards/toRVauQwOLJgN6xcTLeMcYMH6jBqVS7S3aErlsEs?org_slug=default</v>
      </c>
      <c r="F41" s="54" t="str">
        <f>IFERROR(__xludf.DUMMYFUNCTION("""COMPUTED_VALUE"""),"https://collabmates.app.link/NdQ1JA3rGfb")</f>
        <v>https://collabmates.app.link/NdQ1JA3rGfb</v>
      </c>
      <c r="G41" s="54" t="str">
        <f>IFERROR(__xludf.DUMMYFUNCTION("""COMPUTED_VALUE"""),"https://hi.likeminds.community/d/mentor-mate")</f>
        <v>https://hi.likeminds.community/d/mentor-mate</v>
      </c>
      <c r="H41" s="54" t="str">
        <f>IFERROR(__xludf.DUMMYFUNCTION("""COMPUTED_VALUE"""),"https://hi.likeminds.community/d/mentor-mate?r=1")</f>
        <v>https://hi.likeminds.community/d/mentor-mate?r=1</v>
      </c>
      <c r="I41" s="15"/>
      <c r="J41" s="15" t="str">
        <f>IFERROR(__xludf.DUMMYFUNCTION("""COMPUTED_VALUE"""),"Active")</f>
        <v>Active</v>
      </c>
      <c r="K41" s="15" t="str">
        <f>IFERROR(__xludf.DUMMYFUNCTION("""COMPUTED_VALUE"""),"Yes")</f>
        <v>Yes</v>
      </c>
      <c r="L41" s="15" t="str">
        <f>IFERROR(__xludf.DUMMYFUNCTION("""COMPUTED_VALUE"""),"Trishna")</f>
        <v>Trishna</v>
      </c>
      <c r="M41" s="15" t="str">
        <f>IFERROR(__xludf.DUMMYFUNCTION("""COMPUTED_VALUE"""),"Ashish Munjal")</f>
        <v>Ashish Munjal</v>
      </c>
      <c r="N41" s="15" t="str">
        <f>IFERROR(__xludf.DUMMYFUNCTION("""COMPUTED_VALUE"""),"ashmail61@gmail.com")</f>
        <v>ashmail61@gmail.com</v>
      </c>
      <c r="O41" s="15" t="str">
        <f>IFERROR(__xludf.DUMMYFUNCTION("""COMPUTED_VALUE"""),"+919953660048")</f>
        <v>+919953660048</v>
      </c>
      <c r="P41" s="15" t="str">
        <f>IFERROR(__xludf.DUMMYFUNCTION("""COMPUTED_VALUE"""),"Paused")</f>
        <v>Paused</v>
      </c>
      <c r="Q41" s="15"/>
      <c r="R41" s="54" t="str">
        <f>IFERROR(__xludf.DUMMYFUNCTION("""COMPUTED_VALUE"""),"https://www.facebook.com/mymentormate")</f>
        <v>https://www.facebook.com/mymentormate</v>
      </c>
      <c r="S41" s="15" t="str">
        <f>IFERROR(__xludf.DUMMYFUNCTION("""COMPUTED_VALUE"""),"Insta not created")</f>
        <v>Insta not created</v>
      </c>
      <c r="T41" s="15"/>
      <c r="U41" s="15"/>
      <c r="V41" s="15"/>
    </row>
    <row r="42">
      <c r="A42" s="15">
        <f>IFERROR(__xludf.DUMMYFUNCTION("""COMPUTED_VALUE"""),50022.0)</f>
        <v>50022</v>
      </c>
      <c r="B42" s="15" t="str">
        <f>IFERROR(__xludf.DUMMYFUNCTION("""COMPUTED_VALUE"""),"Nature Enthusiasts")</f>
        <v>Nature Enthusiasts</v>
      </c>
      <c r="C42" s="15" t="str">
        <f>IFERROR(__xludf.DUMMYFUNCTION("""COMPUTED_VALUE"""),"Life skills/Lifestyle")</f>
        <v>Life skills/Lifestyle</v>
      </c>
      <c r="D42" s="15" t="str">
        <f>IFERROR(__xludf.DUMMYFUNCTION("""COMPUTED_VALUE"""),"Marketing")</f>
        <v>Marketing</v>
      </c>
      <c r="E42" s="54" t="str">
        <f>IFERROR(__xludf.DUMMYFUNCTION("""COMPUTED_VALUE"""),"http://data.likeminds.community/public/dashboards/WTEBCXlOH701Nd08bDkAbHuulA9ScyPrwphd6xQv?org_slug=default")</f>
        <v>http://data.likeminds.community/public/dashboards/WTEBCXlOH701Nd08bDkAbHuulA9ScyPrwphd6xQv?org_slug=default</v>
      </c>
      <c r="F42" s="54" t="str">
        <f>IFERROR(__xludf.DUMMYFUNCTION("""COMPUTED_VALUE"""),"https://collabmates.app.link/G1zY7Jg4pfb")</f>
        <v>https://collabmates.app.link/G1zY7Jg4pfb</v>
      </c>
      <c r="G42" s="54" t="str">
        <f>IFERROR(__xludf.DUMMYFUNCTION("""COMPUTED_VALUE"""),"https://hi.likeminds.community/d/nature-enthusiasts-fareenavblogs")</f>
        <v>https://hi.likeminds.community/d/nature-enthusiasts-fareenavblogs</v>
      </c>
      <c r="H42" s="54" t="str">
        <f>IFERROR(__xludf.DUMMYFUNCTION("""COMPUTED_VALUE"""),"https://hi.likeminds.community/d/nature-enthusiasts-fareenavblogs?r=1")</f>
        <v>https://hi.likeminds.community/d/nature-enthusiasts-fareenavblogs?r=1</v>
      </c>
      <c r="I42" s="15"/>
      <c r="J42" s="15" t="str">
        <f>IFERROR(__xludf.DUMMYFUNCTION("""COMPUTED_VALUE"""),"Active")</f>
        <v>Active</v>
      </c>
      <c r="K42" s="15" t="str">
        <f>IFERROR(__xludf.DUMMYFUNCTION("""COMPUTED_VALUE"""),"Yes")</f>
        <v>Yes</v>
      </c>
      <c r="L42" s="15" t="str">
        <f>IFERROR(__xludf.DUMMYFUNCTION("""COMPUTED_VALUE"""),"Akshita")</f>
        <v>Akshita</v>
      </c>
      <c r="M42" s="15" t="str">
        <f>IFERROR(__xludf.DUMMYFUNCTION("""COMPUTED_VALUE"""),"Khaleed")</f>
        <v>Khaleed</v>
      </c>
      <c r="N42" s="15" t="str">
        <f>IFERROR(__xludf.DUMMYFUNCTION("""COMPUTED_VALUE"""),"ufoodlover@gmail.com")</f>
        <v>ufoodlover@gmail.com</v>
      </c>
      <c r="O42" s="15">
        <f>IFERROR(__xludf.DUMMYFUNCTION("""COMPUTED_VALUE"""),9.17058344186E11)</f>
        <v>917058344186</v>
      </c>
      <c r="P42" s="15" t="str">
        <f>IFERROR(__xludf.DUMMYFUNCTION("""COMPUTED_VALUE"""),"Live")</f>
        <v>Live</v>
      </c>
      <c r="Q42" s="15"/>
      <c r="R42" s="54" t="str">
        <f>IFERROR(__xludf.DUMMYFUNCTION("""COMPUTED_VALUE"""),"https://m.facebook.com/Blogs-Fareena-106742351396967/?ref=page_internal&amp;mt_nav=0")</f>
        <v>https://m.facebook.com/Blogs-Fareena-106742351396967/?ref=page_internal&amp;mt_nav=0</v>
      </c>
      <c r="S42" s="15"/>
      <c r="T42" s="15"/>
      <c r="U42" s="15"/>
      <c r="V42" s="15"/>
    </row>
    <row r="43">
      <c r="A43" s="15">
        <f>IFERROR(__xludf.DUMMYFUNCTION("""COMPUTED_VALUE"""),49995.0)</f>
        <v>49995</v>
      </c>
      <c r="B43" s="15" t="str">
        <f>IFERROR(__xludf.DUMMYFUNCTION("""COMPUTED_VALUE"""),"Network Marketing")</f>
        <v>Network Marketing</v>
      </c>
      <c r="C43" s="15" t="str">
        <f>IFERROR(__xludf.DUMMYFUNCTION("""COMPUTED_VALUE"""),"Micro-entrepreneurship")</f>
        <v>Micro-entrepreneurship</v>
      </c>
      <c r="D43" s="15" t="str">
        <f>IFERROR(__xludf.DUMMYFUNCTION("""COMPUTED_VALUE"""),"Marketing")</f>
        <v>Marketing</v>
      </c>
      <c r="E43" s="54" t="str">
        <f>IFERROR(__xludf.DUMMYFUNCTION("""COMPUTED_VALUE"""),"http://data.likeminds.community/public/dashboards/zb3z3rWK0zoX7OByfULCWItqMe9ly2p6xG8WKoJx?org_slug=default")</f>
        <v>http://data.likeminds.community/public/dashboards/zb3z3rWK0zoX7OByfULCWItqMe9ly2p6xG8WKoJx?org_slug=default</v>
      </c>
      <c r="F43" s="54" t="str">
        <f>IFERROR(__xludf.DUMMYFUNCTION("""COMPUTED_VALUE"""),"https://collabmates.app.link/rQBYpXx42eb")</f>
        <v>https://collabmates.app.link/rQBYpXx42eb</v>
      </c>
      <c r="G43" s="54" t="str">
        <f>IFERROR(__xludf.DUMMYFUNCTION("""COMPUTED_VALUE"""),"https://hi.likeminds.community/networking-business")</f>
        <v>https://hi.likeminds.community/networking-business</v>
      </c>
      <c r="H43" s="54" t="str">
        <f>IFERROR(__xludf.DUMMYFUNCTION("""COMPUTED_VALUE"""),"https://hi.likeminds.community/networking-business?r=1")</f>
        <v>https://hi.likeminds.community/networking-business?r=1</v>
      </c>
      <c r="I43" s="15"/>
      <c r="J43" s="15" t="str">
        <f>IFERROR(__xludf.DUMMYFUNCTION("""COMPUTED_VALUE"""),"Active")</f>
        <v>Active</v>
      </c>
      <c r="K43" s="15" t="str">
        <f>IFERROR(__xludf.DUMMYFUNCTION("""COMPUTED_VALUE"""),"Yes")</f>
        <v>Yes</v>
      </c>
      <c r="L43" s="15" t="str">
        <f>IFERROR(__xludf.DUMMYFUNCTION("""COMPUTED_VALUE"""),"Tara")</f>
        <v>Tara</v>
      </c>
      <c r="M43" s="15" t="str">
        <f>IFERROR(__xludf.DUMMYFUNCTION("""COMPUTED_VALUE"""),"Mamta")</f>
        <v>Mamta</v>
      </c>
      <c r="N43" s="15" t="str">
        <f>IFERROR(__xludf.DUMMYFUNCTION("""COMPUTED_VALUE"""),"mamtaoriflame2020@gmail.com")</f>
        <v>mamtaoriflame2020@gmail.com</v>
      </c>
      <c r="O43" s="15">
        <f>IFERROR(__xludf.DUMMYFUNCTION("""COMPUTED_VALUE"""),9.18791515207E11)</f>
        <v>918791515207</v>
      </c>
      <c r="P43" s="15" t="str">
        <f>IFERROR(__xludf.DUMMYFUNCTION("""COMPUTED_VALUE"""),"Paused")</f>
        <v>Paused</v>
      </c>
      <c r="Q43" s="15"/>
      <c r="R43" s="54" t="str">
        <f>IFERROR(__xludf.DUMMYFUNCTION("""COMPUTED_VALUE"""),"https://www.facebook.com/Divapreneurs-Network-Queendom-103721088596109/")</f>
        <v>https://www.facebook.com/Divapreneurs-Network-Queendom-103721088596109/</v>
      </c>
      <c r="S43" s="15" t="str">
        <f>IFERROR(__xludf.DUMMYFUNCTION("""COMPUTED_VALUE"""),"Yes")</f>
        <v>Yes</v>
      </c>
      <c r="T43" s="54" t="str">
        <f>IFERROR(__xludf.DUMMYFUNCTION("""COMPUTED_VALUE"""),"https://instagram.com/divapreneursnetwork?utm_medium=copy_link")</f>
        <v>https://instagram.com/divapreneursnetwork?utm_medium=copy_link</v>
      </c>
      <c r="U43" s="15"/>
      <c r="V43" s="15"/>
    </row>
    <row r="44">
      <c r="A44" s="15">
        <f>IFERROR(__xludf.DUMMYFUNCTION("""COMPUTED_VALUE"""),50055.0)</f>
        <v>50055</v>
      </c>
      <c r="B44" s="15" t="str">
        <f>IFERROR(__xludf.DUMMYFUNCTION("""COMPUTED_VALUE"""),"Nishtha Education")</f>
        <v>Nishtha Education</v>
      </c>
      <c r="C44" s="15" t="str">
        <f>IFERROR(__xludf.DUMMYFUNCTION("""COMPUTED_VALUE"""),"Exam prep")</f>
        <v>Exam prep</v>
      </c>
      <c r="D44" s="15" t="str">
        <f>IFERROR(__xludf.DUMMYFUNCTION("""COMPUTED_VALUE"""),"Marketing")</f>
        <v>Marketing</v>
      </c>
      <c r="E44" s="54" t="str">
        <f>IFERROR(__xludf.DUMMYFUNCTION("""COMPUTED_VALUE"""),"http://data.likeminds.community/public/dashboards/neDvE6zGIz4RO8KWJkQo0HXhoQ22aKAniSAiyO3W?org_slug=default")</f>
        <v>http://data.likeminds.community/public/dashboards/neDvE6zGIz4RO8KWJkQo0HXhoQ22aKAniSAiyO3W?org_slug=default</v>
      </c>
      <c r="F44" s="54" t="str">
        <f>IFERROR(__xludf.DUMMYFUNCTION("""COMPUTED_VALUE"""),"https://collabmates.app.link/0LL8sBlEQfb
")</f>
        <v>https://collabmates.app.link/0LL8sBlEQfb
</v>
      </c>
      <c r="G44" s="54" t="str">
        <f>IFERROR(__xludf.DUMMYFUNCTION("""COMPUTED_VALUE"""),"https://hi.likeminds.community/d/nistha-education")</f>
        <v>https://hi.likeminds.community/d/nistha-education</v>
      </c>
      <c r="H44" s="54" t="str">
        <f>IFERROR(__xludf.DUMMYFUNCTION("""COMPUTED_VALUE"""),"https://hi.likeminds.community/d/nistha-education?r=1")</f>
        <v>https://hi.likeminds.community/d/nistha-education?r=1</v>
      </c>
      <c r="I44" s="15"/>
      <c r="J44" s="15" t="str">
        <f>IFERROR(__xludf.DUMMYFUNCTION("""COMPUTED_VALUE"""),"Dropped")</f>
        <v>Dropped</v>
      </c>
      <c r="K44" s="15" t="str">
        <f>IFERROR(__xludf.DUMMYFUNCTION("""COMPUTED_VALUE"""),"Yes")</f>
        <v>Yes</v>
      </c>
      <c r="L44" s="15"/>
      <c r="M44" s="15" t="str">
        <f>IFERROR(__xludf.DUMMYFUNCTION("""COMPUTED_VALUE"""),"Nisha Talreja")</f>
        <v>Nisha Talreja</v>
      </c>
      <c r="N44" s="15" t="str">
        <f>IFERROR(__xludf.DUMMYFUNCTION("""COMPUTED_VALUE"""),"nishtunishaa@gmail.com")</f>
        <v>nishtunishaa@gmail.com</v>
      </c>
      <c r="O44" s="15" t="str">
        <f>IFERROR(__xludf.DUMMYFUNCTION("""COMPUTED_VALUE"""),"+918356823932")</f>
        <v>+918356823932</v>
      </c>
      <c r="P44" s="15" t="str">
        <f>IFERROR(__xludf.DUMMYFUNCTION("""COMPUTED_VALUE"""),"Paused")</f>
        <v>Paused</v>
      </c>
      <c r="Q44" s="15"/>
      <c r="R44" s="15"/>
      <c r="S44" s="15"/>
      <c r="T44" s="15"/>
      <c r="U44" s="15"/>
      <c r="V44" s="15"/>
    </row>
    <row r="45">
      <c r="A45" s="15">
        <f>IFERROR(__xludf.DUMMYFUNCTION("""COMPUTED_VALUE"""),50040.0)</f>
        <v>50040</v>
      </c>
      <c r="B45" s="15" t="str">
        <f>IFERROR(__xludf.DUMMYFUNCTION("""COMPUTED_VALUE"""),"Pet Parents &amp; Wellness")</f>
        <v>Pet Parents &amp; Wellness</v>
      </c>
      <c r="C45" s="15" t="str">
        <f>IFERROR(__xludf.DUMMYFUNCTION("""COMPUTED_VALUE"""),"Life skills/Lifestyle")</f>
        <v>Life skills/Lifestyle</v>
      </c>
      <c r="D45" s="15" t="str">
        <f>IFERROR(__xludf.DUMMYFUNCTION("""COMPUTED_VALUE"""),"Marketing")</f>
        <v>Marketing</v>
      </c>
      <c r="E45" s="54" t="str">
        <f>IFERROR(__xludf.DUMMYFUNCTION("""COMPUTED_VALUE"""),"http://data.likeminds.community/public/dashboards/Oo1c4pN3oPR5q0qgDdGAkvUmDsE8in7o64EbVM6s?org_slug=default")</f>
        <v>http://data.likeminds.community/public/dashboards/Oo1c4pN3oPR5q0qgDdGAkvUmDsE8in7o64EbVM6s?org_slug=default</v>
      </c>
      <c r="F45" s="54" t="str">
        <f>IFERROR(__xludf.DUMMYFUNCTION("""COMPUTED_VALUE"""),"https://collabmates.app.link/RHMp6nAEwfb")</f>
        <v>https://collabmates.app.link/RHMp6nAEwfb</v>
      </c>
      <c r="G45" s="54" t="str">
        <f>IFERROR(__xludf.DUMMYFUNCTION("""COMPUTED_VALUE"""),"https://hi.likeminds.community/d/pet-parents-wellness")</f>
        <v>https://hi.likeminds.community/d/pet-parents-wellness</v>
      </c>
      <c r="H45" s="54" t="str">
        <f>IFERROR(__xludf.DUMMYFUNCTION("""COMPUTED_VALUE"""),"https://hi.likeminds.community/d/pet-parents-wellness?r=1")</f>
        <v>https://hi.likeminds.community/d/pet-parents-wellness?r=1</v>
      </c>
      <c r="I45" s="15"/>
      <c r="J45" s="15" t="str">
        <f>IFERROR(__xludf.DUMMYFUNCTION("""COMPUTED_VALUE"""),"Dropped")</f>
        <v>Dropped</v>
      </c>
      <c r="K45" s="15" t="str">
        <f>IFERROR(__xludf.DUMMYFUNCTION("""COMPUTED_VALUE"""),"Yes")</f>
        <v>Yes</v>
      </c>
      <c r="L45" s="15"/>
      <c r="M45" s="15" t="str">
        <f>IFERROR(__xludf.DUMMYFUNCTION("""COMPUTED_VALUE"""),"Chitvvan Waraich")</f>
        <v>Chitvvan Waraich</v>
      </c>
      <c r="N45" s="15" t="str">
        <f>IFERROR(__xludf.DUMMYFUNCTION("""COMPUTED_VALUE"""),"chitvvanwaraich@yahoo.com")</f>
        <v>chitvvanwaraich@yahoo.com</v>
      </c>
      <c r="O45" s="15">
        <f>IFERROR(__xludf.DUMMYFUNCTION("""COMPUTED_VALUE"""),9.19873048069E11)</f>
        <v>919873048069</v>
      </c>
      <c r="P45" s="15" t="str">
        <f>IFERROR(__xludf.DUMMYFUNCTION("""COMPUTED_VALUE"""),"Paused")</f>
        <v>Paused</v>
      </c>
      <c r="Q45" s="15"/>
      <c r="R45" s="15"/>
      <c r="S45" s="15"/>
      <c r="T45" s="15"/>
      <c r="U45" s="15"/>
      <c r="V45" s="15"/>
    </row>
    <row r="46">
      <c r="A46" s="15">
        <f>IFERROR(__xludf.DUMMYFUNCTION("""COMPUTED_VALUE"""),50023.0)</f>
        <v>50023</v>
      </c>
      <c r="B46" s="15" t="str">
        <f>IFERROR(__xludf.DUMMYFUNCTION("""COMPUTED_VALUE"""),"Power of Communications")</f>
        <v>Power of Communications</v>
      </c>
      <c r="C46" s="15" t="str">
        <f>IFERROR(__xludf.DUMMYFUNCTION("""COMPUTED_VALUE"""),"Language")</f>
        <v>Language</v>
      </c>
      <c r="D46" s="15" t="str">
        <f>IFERROR(__xludf.DUMMYFUNCTION("""COMPUTED_VALUE"""),"Marketing")</f>
        <v>Marketing</v>
      </c>
      <c r="E46" s="54" t="str">
        <f>IFERROR(__xludf.DUMMYFUNCTION("""COMPUTED_VALUE"""),"http://data.likeminds.community/public/dashboards/9Ok63AYqxRXZVzwCROnV4Q5kobJN8BLTc1DcFZDF?org_slug=default")</f>
        <v>http://data.likeminds.community/public/dashboards/9Ok63AYqxRXZVzwCROnV4Q5kobJN8BLTc1DcFZDF?org_slug=default</v>
      </c>
      <c r="F46" s="54" t="str">
        <f>IFERROR(__xludf.DUMMYFUNCTION("""COMPUTED_VALUE"""),"https://collabmates.app.link/CIE5u7rjqfb")</f>
        <v>https://collabmates.app.link/CIE5u7rjqfb</v>
      </c>
      <c r="G46" s="54" t="str">
        <f>IFERROR(__xludf.DUMMYFUNCTION("""COMPUTED_VALUE"""),"https://hi.likeminds.community/d/power-of-communications")</f>
        <v>https://hi.likeminds.community/d/power-of-communications</v>
      </c>
      <c r="H46" s="54" t="str">
        <f>IFERROR(__xludf.DUMMYFUNCTION("""COMPUTED_VALUE"""),"https://hi.likeminds.community/d/power-of-communications?r=1")</f>
        <v>https://hi.likeminds.community/d/power-of-communications?r=1</v>
      </c>
      <c r="I46" s="15"/>
      <c r="J46" s="15" t="str">
        <f>IFERROR(__xludf.DUMMYFUNCTION("""COMPUTED_VALUE"""),"Active")</f>
        <v>Active</v>
      </c>
      <c r="K46" s="15" t="str">
        <f>IFERROR(__xludf.DUMMYFUNCTION("""COMPUTED_VALUE"""),"Yes")</f>
        <v>Yes</v>
      </c>
      <c r="L46" s="15" t="str">
        <f>IFERROR(__xludf.DUMMYFUNCTION("""COMPUTED_VALUE"""),"Kushagra")</f>
        <v>Kushagra</v>
      </c>
      <c r="M46" s="15" t="str">
        <f>IFERROR(__xludf.DUMMYFUNCTION("""COMPUTED_VALUE"""),"Honish Zaveri")</f>
        <v>Honish Zaveri</v>
      </c>
      <c r="N46" s="15" t="str">
        <f>IFERROR(__xludf.DUMMYFUNCTION("""COMPUTED_VALUE"""),"honish.zaveri@gmail.com")</f>
        <v>honish.zaveri@gmail.com</v>
      </c>
      <c r="O46" s="15">
        <f>IFERROR(__xludf.DUMMYFUNCTION("""COMPUTED_VALUE"""),9.17506181049E11)</f>
        <v>917506181049</v>
      </c>
      <c r="P46" s="15" t="str">
        <f>IFERROR(__xludf.DUMMYFUNCTION("""COMPUTED_VALUE"""),"Live")</f>
        <v>Live</v>
      </c>
      <c r="Q46" s="15"/>
      <c r="R46" s="54" t="str">
        <f>IFERROR(__xludf.DUMMYFUNCTION("""COMPUTED_VALUE"""),"https://www.facebook.com/CommunicationsPower/")</f>
        <v>https://www.facebook.com/CommunicationsPower/</v>
      </c>
      <c r="S46" s="15" t="str">
        <f>IFERROR(__xludf.DUMMYFUNCTION("""COMPUTED_VALUE"""),"Yes")</f>
        <v>Yes</v>
      </c>
      <c r="T46" s="15"/>
      <c r="U46" s="15"/>
      <c r="V46" s="15"/>
    </row>
    <row r="47">
      <c r="A47" s="15">
        <f>IFERROR(__xludf.DUMMYFUNCTION("""COMPUTED_VALUE"""),50033.0)</f>
        <v>50033</v>
      </c>
      <c r="B47" s="15" t="str">
        <f>IFERROR(__xludf.DUMMYFUNCTION("""COMPUTED_VALUE"""),"Python Geeks")</f>
        <v>Python Geeks</v>
      </c>
      <c r="C47" s="15" t="str">
        <f>IFERROR(__xludf.DUMMYFUNCTION("""COMPUTED_VALUE"""),"Career building")</f>
        <v>Career building</v>
      </c>
      <c r="D47" s="15" t="str">
        <f>IFERROR(__xludf.DUMMYFUNCTION("""COMPUTED_VALUE"""),"Marketing")</f>
        <v>Marketing</v>
      </c>
      <c r="E47" s="54" t="str">
        <f>IFERROR(__xludf.DUMMYFUNCTION("""COMPUTED_VALUE"""),"http://data.likeminds.community/public/dashboards/Z1Y4UPhe03pVDfJ70EepbfOMft9s52mjgCg9lwNH?org_slug=default")</f>
        <v>http://data.likeminds.community/public/dashboards/Z1Y4UPhe03pVDfJ70EepbfOMft9s52mjgCg9lwNH?org_slug=default</v>
      </c>
      <c r="F47" s="54" t="str">
        <f>IFERROR(__xludf.DUMMYFUNCTION("""COMPUTED_VALUE"""),"https://collabmates.app.link/HgGq1ya3rfb")</f>
        <v>https://collabmates.app.link/HgGq1ya3rfb</v>
      </c>
      <c r="G47" s="54" t="str">
        <f>IFERROR(__xludf.DUMMYFUNCTION("""COMPUTED_VALUE"""),"https://hi.likeminds.community/python-geeks")</f>
        <v>https://hi.likeminds.community/python-geeks</v>
      </c>
      <c r="H47" s="54" t="str">
        <f>IFERROR(__xludf.DUMMYFUNCTION("""COMPUTED_VALUE"""),"https://hi.likeminds.community/python-geeks?r=1")</f>
        <v>https://hi.likeminds.community/python-geeks?r=1</v>
      </c>
      <c r="I47" s="15"/>
      <c r="J47" s="15" t="str">
        <f>IFERROR(__xludf.DUMMYFUNCTION("""COMPUTED_VALUE"""),"Active")</f>
        <v>Active</v>
      </c>
      <c r="K47" s="15" t="str">
        <f>IFERROR(__xludf.DUMMYFUNCTION("""COMPUTED_VALUE"""),"Yes")</f>
        <v>Yes</v>
      </c>
      <c r="L47" s="15" t="str">
        <f>IFERROR(__xludf.DUMMYFUNCTION("""COMPUTED_VALUE"""),"Kushagra")</f>
        <v>Kushagra</v>
      </c>
      <c r="M47" s="15" t="str">
        <f>IFERROR(__xludf.DUMMYFUNCTION("""COMPUTED_VALUE"""),"Vijay Raghavan")</f>
        <v>Vijay Raghavan</v>
      </c>
      <c r="N47" s="15" t="str">
        <f>IFERROR(__xludf.DUMMYFUNCTION("""COMPUTED_VALUE"""),"ragav.vijay@gmail.com")</f>
        <v>ragav.vijay@gmail.com</v>
      </c>
      <c r="O47" s="15">
        <f>IFERROR(__xludf.DUMMYFUNCTION("""COMPUTED_VALUE"""),9.17738181842E11)</f>
        <v>917738181842</v>
      </c>
      <c r="P47" s="15" t="str">
        <f>IFERROR(__xludf.DUMMYFUNCTION("""COMPUTED_VALUE"""),"Paused")</f>
        <v>Paused</v>
      </c>
      <c r="Q47" s="15"/>
      <c r="R47" s="15"/>
      <c r="S47" s="15"/>
      <c r="T47" s="54" t="str">
        <f>IFERROR(__xludf.DUMMYFUNCTION("""COMPUTED_VALUE"""),"https://www.instagram.com/python_geeks_techie/")</f>
        <v>https://www.instagram.com/python_geeks_techie/</v>
      </c>
      <c r="U47" s="15"/>
      <c r="V47" s="15"/>
    </row>
    <row r="48">
      <c r="A48" s="15">
        <f>IFERROR(__xludf.DUMMYFUNCTION("""COMPUTED_VALUE"""),50054.0)</f>
        <v>50054</v>
      </c>
      <c r="B48" s="15" t="str">
        <f>IFERROR(__xludf.DUMMYFUNCTION("""COMPUTED_VALUE"""),"Rapto Bhara Jeevan")</f>
        <v>Rapto Bhara Jeevan</v>
      </c>
      <c r="C48" s="15" t="str">
        <f>IFERROR(__xludf.DUMMYFUNCTION("""COMPUTED_VALUE"""),"Micro-entrepreneurship")</f>
        <v>Micro-entrepreneurship</v>
      </c>
      <c r="D48" s="15" t="str">
        <f>IFERROR(__xludf.DUMMYFUNCTION("""COMPUTED_VALUE"""),"Marketing")</f>
        <v>Marketing</v>
      </c>
      <c r="E48" s="54" t="str">
        <f>IFERROR(__xludf.DUMMYFUNCTION("""COMPUTED_VALUE"""),"http://data.likeminds.community/public/dashboards/g6F5t0KSVvUqdYB1LCCxOnxJLKQOXoIRzdWOVgu2?org_slug=default")</f>
        <v>http://data.likeminds.community/public/dashboards/g6F5t0KSVvUqdYB1LCCxOnxJLKQOXoIRzdWOVgu2?org_slug=default</v>
      </c>
      <c r="F48" s="54" t="str">
        <f>IFERROR(__xludf.DUMMYFUNCTION("""COMPUTED_VALUE"""),"https://collabmates.app.link/2HaZwUxvIfb")</f>
        <v>https://collabmates.app.link/2HaZwUxvIfb</v>
      </c>
      <c r="G48" s="54" t="str">
        <f>IFERROR(__xludf.DUMMYFUNCTION("""COMPUTED_VALUE"""),"https://hi.likeminds.community/d/rapto-bhara-jeevan")</f>
        <v>https://hi.likeminds.community/d/rapto-bhara-jeevan</v>
      </c>
      <c r="H48" s="54" t="str">
        <f>IFERROR(__xludf.DUMMYFUNCTION("""COMPUTED_VALUE"""),"https://hi.likeminds.community/d/rapto-bhara-jeevan?r=1")</f>
        <v>https://hi.likeminds.community/d/rapto-bhara-jeevan?r=1</v>
      </c>
      <c r="I48" s="15"/>
      <c r="J48" s="15" t="str">
        <f>IFERROR(__xludf.DUMMYFUNCTION("""COMPUTED_VALUE"""),"Active")</f>
        <v>Active</v>
      </c>
      <c r="K48" s="15" t="str">
        <f>IFERROR(__xludf.DUMMYFUNCTION("""COMPUTED_VALUE"""),"Yes")</f>
        <v>Yes</v>
      </c>
      <c r="L48" s="15" t="str">
        <f>IFERROR(__xludf.DUMMYFUNCTION("""COMPUTED_VALUE"""),"Trishna")</f>
        <v>Trishna</v>
      </c>
      <c r="M48" s="15" t="str">
        <f>IFERROR(__xludf.DUMMYFUNCTION("""COMPUTED_VALUE"""),"Bhavyadeep Bhatia")</f>
        <v>Bhavyadeep Bhatia</v>
      </c>
      <c r="N48" s="15" t="str">
        <f>IFERROR(__xludf.DUMMYFUNCTION("""COMPUTED_VALUE"""),"bhvyadeep44@gmail.com")</f>
        <v>bhvyadeep44@gmail.com</v>
      </c>
      <c r="O48" s="15" t="str">
        <f>IFERROR(__xludf.DUMMYFUNCTION("""COMPUTED_VALUE"""),"+919910080348")</f>
        <v>+919910080348</v>
      </c>
      <c r="P48" s="15" t="str">
        <f>IFERROR(__xludf.DUMMYFUNCTION("""COMPUTED_VALUE"""),"Paused")</f>
        <v>Paused</v>
      </c>
      <c r="Q48" s="15"/>
      <c r="R48" s="54" t="str">
        <f>IFERROR(__xludf.DUMMYFUNCTION("""COMPUTED_VALUE"""),"https://www.facebook.com/Online-Astrology-Vastu-Rapto-Bhara-Jeevan-1580579915581678/")</f>
        <v>https://www.facebook.com/Online-Astrology-Vastu-Rapto-Bhara-Jeevan-1580579915581678/</v>
      </c>
      <c r="S48" s="15" t="str">
        <f>IFERROR(__xludf.DUMMYFUNCTION("""COMPUTED_VALUE"""),"No")</f>
        <v>No</v>
      </c>
      <c r="T48" s="54" t="str">
        <f>IFERROR(__xludf.DUMMYFUNCTION("""COMPUTED_VALUE"""),"https://www.instagram.com/rapto_bhara_jeevan/")</f>
        <v>https://www.instagram.com/rapto_bhara_jeevan/</v>
      </c>
      <c r="U48" s="15"/>
      <c r="V48" s="15"/>
    </row>
    <row r="49">
      <c r="A49" s="15">
        <f>IFERROR(__xludf.DUMMYFUNCTION("""COMPUTED_VALUE"""),50041.0)</f>
        <v>50041</v>
      </c>
      <c r="B49" s="15" t="str">
        <f>IFERROR(__xludf.DUMMYFUNCTION("""COMPUTED_VALUE"""),"She Splash")</f>
        <v>She Splash</v>
      </c>
      <c r="C49" s="15" t="str">
        <f>IFERROR(__xludf.DUMMYFUNCTION("""COMPUTED_VALUE"""),"Micro-entrepreneurship")</f>
        <v>Micro-entrepreneurship</v>
      </c>
      <c r="D49" s="15" t="str">
        <f>IFERROR(__xludf.DUMMYFUNCTION("""COMPUTED_VALUE"""),"Marketing")</f>
        <v>Marketing</v>
      </c>
      <c r="E49" s="54" t="str">
        <f>IFERROR(__xludf.DUMMYFUNCTION("""COMPUTED_VALUE"""),"http://data.likeminds.community/public/dashboards/2E3454IpeKMbgkth2v8PLDnNHvLPBcp8l0NePkyI?org_slug=default")</f>
        <v>http://data.likeminds.community/public/dashboards/2E3454IpeKMbgkth2v8PLDnNHvLPBcp8l0NePkyI?org_slug=default</v>
      </c>
      <c r="F49" s="54" t="str">
        <f>IFERROR(__xludf.DUMMYFUNCTION("""COMPUTED_VALUE"""),"https://collabmates.app.link/3HDZi3KHwfb")</f>
        <v>https://collabmates.app.link/3HDZi3KHwfb</v>
      </c>
      <c r="G49" s="54" t="str">
        <f>IFERROR(__xludf.DUMMYFUNCTION("""COMPUTED_VALUE"""),"https://hi.likeminds.community/d/she-splash")</f>
        <v>https://hi.likeminds.community/d/she-splash</v>
      </c>
      <c r="H49" s="54" t="str">
        <f>IFERROR(__xludf.DUMMYFUNCTION("""COMPUTED_VALUE"""),"https://hi.likeminds.community/d/she-splash?r=1")</f>
        <v>https://hi.likeminds.community/d/she-splash?r=1</v>
      </c>
      <c r="I49" s="15"/>
      <c r="J49" s="15" t="str">
        <f>IFERROR(__xludf.DUMMYFUNCTION("""COMPUTED_VALUE"""),"Active")</f>
        <v>Active</v>
      </c>
      <c r="K49" s="15" t="str">
        <f>IFERROR(__xludf.DUMMYFUNCTION("""COMPUTED_VALUE"""),"Yes")</f>
        <v>Yes</v>
      </c>
      <c r="L49" s="15" t="str">
        <f>IFERROR(__xludf.DUMMYFUNCTION("""COMPUTED_VALUE"""),"Kushagra")</f>
        <v>Kushagra</v>
      </c>
      <c r="M49" s="15" t="str">
        <f>IFERROR(__xludf.DUMMYFUNCTION("""COMPUTED_VALUE"""),"Dimpy Tolani")</f>
        <v>Dimpy Tolani</v>
      </c>
      <c r="N49" s="15" t="str">
        <f>IFERROR(__xludf.DUMMYFUNCTION("""COMPUTED_VALUE"""),"dimpytolani93@gmail.com")</f>
        <v>dimpytolani93@gmail.com</v>
      </c>
      <c r="O49" s="15">
        <f>IFERROR(__xludf.DUMMYFUNCTION("""COMPUTED_VALUE"""),9.18511252625E11)</f>
        <v>918511252625</v>
      </c>
      <c r="P49" s="15" t="str">
        <f>IFERROR(__xludf.DUMMYFUNCTION("""COMPUTED_VALUE"""),"Live")</f>
        <v>Live</v>
      </c>
      <c r="Q49" s="15"/>
      <c r="R49" s="54" t="str">
        <f>IFERROR(__xludf.DUMMYFUNCTION("""COMPUTED_VALUE"""),"https://www.facebook.com/SheSplashOfficial")</f>
        <v>https://www.facebook.com/SheSplashOfficial</v>
      </c>
      <c r="S49" s="15" t="str">
        <f>IFERROR(__xludf.DUMMYFUNCTION("""COMPUTED_VALUE"""),"Yes")</f>
        <v>Yes</v>
      </c>
      <c r="T49" s="15"/>
      <c r="U49" s="15"/>
      <c r="V49" s="15"/>
    </row>
    <row r="50">
      <c r="A50" s="15">
        <f>IFERROR(__xludf.DUMMYFUNCTION("""COMPUTED_VALUE"""),50127.0)</f>
        <v>50127</v>
      </c>
      <c r="B50" s="15" t="str">
        <f>IFERROR(__xludf.DUMMYFUNCTION("""COMPUTED_VALUE"""),"Shishu Aahaar")</f>
        <v>Shishu Aahaar</v>
      </c>
      <c r="C50" s="15" t="str">
        <f>IFERROR(__xludf.DUMMYFUNCTION("""COMPUTED_VALUE"""),"Life skills/Lifestyle")</f>
        <v>Life skills/Lifestyle</v>
      </c>
      <c r="D50" s="15" t="str">
        <f>IFERROR(__xludf.DUMMYFUNCTION("""COMPUTED_VALUE"""),"Marketing")</f>
        <v>Marketing</v>
      </c>
      <c r="E50" s="54" t="str">
        <f>IFERROR(__xludf.DUMMYFUNCTION("""COMPUTED_VALUE"""),"http://data.likeminds.community/public/dashboards/VpQYdy70PdIrKgueb5gEGlZmbvSR4WigxocRHNX5?org_slug=default")</f>
        <v>http://data.likeminds.community/public/dashboards/VpQYdy70PdIrKgueb5gEGlZmbvSR4WigxocRHNX5?org_slug=default</v>
      </c>
      <c r="F50" s="54" t="str">
        <f>IFERROR(__xludf.DUMMYFUNCTION("""COMPUTED_VALUE"""),"https://collabmates.app.link/IK5wC4o8Dgb")</f>
        <v>https://collabmates.app.link/IK5wC4o8Dgb</v>
      </c>
      <c r="G50" s="54" t="str">
        <f>IFERROR(__xludf.DUMMYFUNCTION("""COMPUTED_VALUE"""),"https://hi.likeminds.community/d/shishu-aahaar")</f>
        <v>https://hi.likeminds.community/d/shishu-aahaar</v>
      </c>
      <c r="H50" s="54" t="str">
        <f>IFERROR(__xludf.DUMMYFUNCTION("""COMPUTED_VALUE"""),"https://hi.likeminds.community/d/shishu-aahaar?r=1")</f>
        <v>https://hi.likeminds.community/d/shishu-aahaar?r=1</v>
      </c>
      <c r="I50" s="15"/>
      <c r="J50" s="15" t="str">
        <f>IFERROR(__xludf.DUMMYFUNCTION("""COMPUTED_VALUE"""),"Active")</f>
        <v>Active</v>
      </c>
      <c r="K50" s="15" t="str">
        <f>IFERROR(__xludf.DUMMYFUNCTION("""COMPUTED_VALUE"""),"Yes")</f>
        <v>Yes</v>
      </c>
      <c r="L50" s="15" t="str">
        <f>IFERROR(__xludf.DUMMYFUNCTION("""COMPUTED_VALUE"""),"Mansi")</f>
        <v>Mansi</v>
      </c>
      <c r="M50" s="15" t="str">
        <f>IFERROR(__xludf.DUMMYFUNCTION("""COMPUTED_VALUE"""),"Udeesha Srivastava")</f>
        <v>Udeesha Srivastava</v>
      </c>
      <c r="N50" s="15" t="str">
        <f>IFERROR(__xludf.DUMMYFUNCTION("""COMPUTED_VALUE"""),"udeesha@gmail.com")</f>
        <v>udeesha@gmail.com</v>
      </c>
      <c r="O50" s="15" t="str">
        <f>IFERROR(__xludf.DUMMYFUNCTION("""COMPUTED_VALUE"""),"+919820551086")</f>
        <v>+919820551086</v>
      </c>
      <c r="P50" s="15" t="str">
        <f>IFERROR(__xludf.DUMMYFUNCTION("""COMPUTED_VALUE"""),"Not Started")</f>
        <v>Not Started</v>
      </c>
      <c r="Q50" s="15"/>
      <c r="R50" s="15"/>
      <c r="S50" s="15"/>
      <c r="T50" s="15"/>
      <c r="U50" s="15"/>
      <c r="V50" s="15"/>
    </row>
    <row r="51">
      <c r="A51" s="15">
        <f>IFERROR(__xludf.DUMMYFUNCTION("""COMPUTED_VALUE"""),49993.0)</f>
        <v>49993</v>
      </c>
      <c r="B51" s="15" t="str">
        <f>IFERROR(__xludf.DUMMYFUNCTION("""COMPUTED_VALUE"""),"Sketch hub (MG)")</f>
        <v>Sketch hub (MG)</v>
      </c>
      <c r="C51" s="15" t="str">
        <f>IFERROR(__xludf.DUMMYFUNCTION("""COMPUTED_VALUE"""),"Art &amp; craft")</f>
        <v>Art &amp; craft</v>
      </c>
      <c r="D51" s="15" t="str">
        <f>IFERROR(__xludf.DUMMYFUNCTION("""COMPUTED_VALUE"""),"Marketing")</f>
        <v>Marketing</v>
      </c>
      <c r="E51" s="54" t="str">
        <f>IFERROR(__xludf.DUMMYFUNCTION("""COMPUTED_VALUE"""),"http://data.likeminds.community/public/dashboards/RR1pBXtFF7UWLznR8CoPXIOTkqStlXEvzg0x2waU?org_slug=default")</f>
        <v>http://data.likeminds.community/public/dashboards/RR1pBXtFF7UWLznR8CoPXIOTkqStlXEvzg0x2waU?org_slug=default</v>
      </c>
      <c r="F51" s="54" t="str">
        <f>IFERROR(__xludf.DUMMYFUNCTION("""COMPUTED_VALUE"""),"https://collabmates.app.link/5UKM4ETuZeb")</f>
        <v>https://collabmates.app.link/5UKM4ETuZeb</v>
      </c>
      <c r="G51" s="54" t="str">
        <f>IFERROR(__xludf.DUMMYFUNCTION("""COMPUTED_VALUE"""),"https://community.likeminds.community/sketch-hub")</f>
        <v>https://community.likeminds.community/sketch-hub</v>
      </c>
      <c r="H51" s="54" t="str">
        <f>IFERROR(__xludf.DUMMYFUNCTION("""COMPUTED_VALUE"""),"https://community.likeminds.community/sketch-hub?r=1")</f>
        <v>https://community.likeminds.community/sketch-hub?r=1</v>
      </c>
      <c r="I51" s="15"/>
      <c r="J51" s="15" t="str">
        <f>IFERROR(__xludf.DUMMYFUNCTION("""COMPUTED_VALUE"""),"Dropped")</f>
        <v>Dropped</v>
      </c>
      <c r="K51" s="15" t="str">
        <f>IFERROR(__xludf.DUMMYFUNCTION("""COMPUTED_VALUE"""),"On-hold (Buddy)")</f>
        <v>On-hold (Buddy)</v>
      </c>
      <c r="L51" s="15" t="str">
        <f>IFERROR(__xludf.DUMMYFUNCTION("""COMPUTED_VALUE"""),"Tara")</f>
        <v>Tara</v>
      </c>
      <c r="M51" s="15" t="str">
        <f>IFERROR(__xludf.DUMMYFUNCTION("""COMPUTED_VALUE"""),"Rashi Sharma (MG)")</f>
        <v>Rashi Sharma (MG)</v>
      </c>
      <c r="N51" s="15" t="str">
        <f>IFERROR(__xludf.DUMMYFUNCTION("""COMPUTED_VALUE"""),"rashisharma54650@gmail.com")</f>
        <v>rashisharma54650@gmail.com</v>
      </c>
      <c r="O51" s="15">
        <f>IFERROR(__xludf.DUMMYFUNCTION("""COMPUTED_VALUE"""),9.18690087039E11)</f>
        <v>918690087039</v>
      </c>
      <c r="P51" s="15" t="str">
        <f>IFERROR(__xludf.DUMMYFUNCTION("""COMPUTED_VALUE"""),"Paused")</f>
        <v>Paused</v>
      </c>
      <c r="Q51" s="15"/>
      <c r="R51" s="15"/>
      <c r="S51" s="15"/>
      <c r="T51" s="15"/>
      <c r="U51" s="15"/>
      <c r="V51" s="15"/>
    </row>
    <row r="52">
      <c r="A52" s="15">
        <f>IFERROR(__xludf.DUMMYFUNCTION("""COMPUTED_VALUE"""),50076.0)</f>
        <v>50076</v>
      </c>
      <c r="B52" s="15" t="str">
        <f>IFERROR(__xludf.DUMMYFUNCTION("""COMPUTED_VALUE"""),"Spokken")</f>
        <v>Spokken</v>
      </c>
      <c r="C52" s="15" t="str">
        <f>IFERROR(__xludf.DUMMYFUNCTION("""COMPUTED_VALUE"""),"Language")</f>
        <v>Language</v>
      </c>
      <c r="D52" s="15" t="str">
        <f>IFERROR(__xludf.DUMMYFUNCTION("""COMPUTED_VALUE"""),"Marketing")</f>
        <v>Marketing</v>
      </c>
      <c r="E52" s="54" t="str">
        <f>IFERROR(__xludf.DUMMYFUNCTION("""COMPUTED_VALUE"""),"http://data.likeminds.community/public/dashboards/Sm78axN9HZMyvfIw6rJpOg8ygWDrsV98TZSfpcIp?org_slug=default")</f>
        <v>http://data.likeminds.community/public/dashboards/Sm78axN9HZMyvfIw6rJpOg8ygWDrsV98TZSfpcIp?org_slug=default</v>
      </c>
      <c r="F52" s="54" t="str">
        <f>IFERROR(__xludf.DUMMYFUNCTION("""COMPUTED_VALUE"""),"https://collabmates.app.link/k5te2PpS5fb")</f>
        <v>https://collabmates.app.link/k5te2PpS5fb</v>
      </c>
      <c r="G52" s="54" t="str">
        <f>IFERROR(__xludf.DUMMYFUNCTION("""COMPUTED_VALUE"""),"https://hi.likeminds.community/d/spokken-2")</f>
        <v>https://hi.likeminds.community/d/spokken-2</v>
      </c>
      <c r="H52" s="54" t="str">
        <f>IFERROR(__xludf.DUMMYFUNCTION("""COMPUTED_VALUE"""),"https://hi.likeminds.community/d/spokken-2?r=1")</f>
        <v>https://hi.likeminds.community/d/spokken-2?r=1</v>
      </c>
      <c r="I52" s="15"/>
      <c r="J52" s="15" t="str">
        <f>IFERROR(__xludf.DUMMYFUNCTION("""COMPUTED_VALUE"""),"Paused")</f>
        <v>Paused</v>
      </c>
      <c r="K52" s="15" t="str">
        <f>IFERROR(__xludf.DUMMYFUNCTION("""COMPUTED_VALUE"""),"Yes")</f>
        <v>Yes</v>
      </c>
      <c r="L52" s="15" t="str">
        <f>IFERROR(__xludf.DUMMYFUNCTION("""COMPUTED_VALUE"""),"Trishna")</f>
        <v>Trishna</v>
      </c>
      <c r="M52" s="15" t="str">
        <f>IFERROR(__xludf.DUMMYFUNCTION("""COMPUTED_VALUE"""),"M B Ekta")</f>
        <v>M B Ekta</v>
      </c>
      <c r="N52" s="15" t="str">
        <f>IFERROR(__xludf.DUMMYFUNCTION("""COMPUTED_VALUE"""),"ektamb03@gmail.com")</f>
        <v>ektamb03@gmail.com</v>
      </c>
      <c r="O52" s="15">
        <f>IFERROR(__xludf.DUMMYFUNCTION("""COMPUTED_VALUE"""),9.17022733053E11)</f>
        <v>917022733053</v>
      </c>
      <c r="P52" s="15" t="str">
        <f>IFERROR(__xludf.DUMMYFUNCTION("""COMPUTED_VALUE"""),"Paused")</f>
        <v>Paused</v>
      </c>
      <c r="Q52" s="15"/>
      <c r="R52" s="54" t="str">
        <f>IFERROR(__xludf.DUMMYFUNCTION("""COMPUTED_VALUE"""),"https://www.facebook.com/Spokken-102308275226390")</f>
        <v>https://www.facebook.com/Spokken-102308275226390</v>
      </c>
      <c r="S52" s="15"/>
      <c r="T52" s="15"/>
      <c r="U52" s="15"/>
      <c r="V52" s="15"/>
    </row>
    <row r="53">
      <c r="A53" s="15">
        <f>IFERROR(__xludf.DUMMYFUNCTION("""COMPUTED_VALUE"""),50159.0)</f>
        <v>50159</v>
      </c>
      <c r="B53" s="15" t="str">
        <f>IFERROR(__xludf.DUMMYFUNCTION("""COMPUTED_VALUE"""),"Steps Towards Crafting")</f>
        <v>Steps Towards Crafting</v>
      </c>
      <c r="C53" s="15" t="str">
        <f>IFERROR(__xludf.DUMMYFUNCTION("""COMPUTED_VALUE"""),"Art &amp; craft")</f>
        <v>Art &amp; craft</v>
      </c>
      <c r="D53" s="15" t="str">
        <f>IFERROR(__xludf.DUMMYFUNCTION("""COMPUTED_VALUE"""),"Marketing")</f>
        <v>Marketing</v>
      </c>
      <c r="E53" s="54" t="str">
        <f>IFERROR(__xludf.DUMMYFUNCTION("""COMPUTED_VALUE"""),"http://data.likeminds.community/public/dashboards/wDJP28SazqenyNtb6Aj5MgzbjVOLbqqZlRxMjhuO?org_slug=default")</f>
        <v>http://data.likeminds.community/public/dashboards/wDJP28SazqenyNtb6Aj5MgzbjVOLbqqZlRxMjhuO?org_slug=default</v>
      </c>
      <c r="F53" s="54" t="str">
        <f>IFERROR(__xludf.DUMMYFUNCTION("""COMPUTED_VALUE"""),"https://collabmates.app.link/SUQozSdRMgb")</f>
        <v>https://collabmates.app.link/SUQozSdRMgb</v>
      </c>
      <c r="G53" s="15"/>
      <c r="H53" s="15" t="str">
        <f>IFERROR(__xludf.DUMMYFUNCTION("""COMPUTED_VALUE"""),"?r=1")</f>
        <v>?r=1</v>
      </c>
      <c r="I53" s="15"/>
      <c r="J53" s="15" t="str">
        <f>IFERROR(__xludf.DUMMYFUNCTION("""COMPUTED_VALUE"""),"Active")</f>
        <v>Active</v>
      </c>
      <c r="K53" s="15" t="str">
        <f>IFERROR(__xludf.DUMMYFUNCTION("""COMPUTED_VALUE"""),"Yes")</f>
        <v>Yes</v>
      </c>
      <c r="L53" s="15" t="str">
        <f>IFERROR(__xludf.DUMMYFUNCTION("""COMPUTED_VALUE"""),"Priti")</f>
        <v>Priti</v>
      </c>
      <c r="M53" s="15" t="str">
        <f>IFERROR(__xludf.DUMMYFUNCTION("""COMPUTED_VALUE"""),"Neha Jain")</f>
        <v>Neha Jain</v>
      </c>
      <c r="N53" s="15" t="str">
        <f>IFERROR(__xludf.DUMMYFUNCTION("""COMPUTED_VALUE"""),"stepstowardscrafting@gmail.com")</f>
        <v>stepstowardscrafting@gmail.com</v>
      </c>
      <c r="O53" s="15">
        <f>IFERROR(__xludf.DUMMYFUNCTION("""COMPUTED_VALUE"""),9.71161981E9)</f>
        <v>9711619810</v>
      </c>
      <c r="P53" s="15" t="str">
        <f>IFERROR(__xludf.DUMMYFUNCTION("""COMPUTED_VALUE"""),"Not Started")</f>
        <v>Not Started</v>
      </c>
      <c r="Q53" s="15"/>
      <c r="R53" s="54" t="str">
        <f>IFERROR(__xludf.DUMMYFUNCTION("""COMPUTED_VALUE"""),"https://www.facebook.com/StepsTowardsCraftingFanPage")</f>
        <v>https://www.facebook.com/StepsTowardsCraftingFanPage</v>
      </c>
      <c r="S53" s="15"/>
      <c r="T53" s="54" t="str">
        <f>IFERROR(__xludf.DUMMYFUNCTION("""COMPUTED_VALUE"""),"www.instagram.com/StepsTowardsCrafting")</f>
        <v>www.instagram.com/StepsTowardsCrafting</v>
      </c>
      <c r="U53" s="15"/>
      <c r="V53" s="15"/>
    </row>
    <row r="54">
      <c r="A54" s="15">
        <f>IFERROR(__xludf.DUMMYFUNCTION("""COMPUTED_VALUE"""),50133.0)</f>
        <v>50133</v>
      </c>
      <c r="B54" s="15" t="str">
        <f>IFERROR(__xludf.DUMMYFUNCTION("""COMPUTED_VALUE"""),"Tarotpreneur ")</f>
        <v>Tarotpreneur </v>
      </c>
      <c r="C54" s="15" t="str">
        <f>IFERROR(__xludf.DUMMYFUNCTION("""COMPUTED_VALUE"""),"Micro-entrepreneurship")</f>
        <v>Micro-entrepreneurship</v>
      </c>
      <c r="D54" s="15" t="str">
        <f>IFERROR(__xludf.DUMMYFUNCTION("""COMPUTED_VALUE"""),"Marketing")</f>
        <v>Marketing</v>
      </c>
      <c r="E54" s="54" t="str">
        <f>IFERROR(__xludf.DUMMYFUNCTION("""COMPUTED_VALUE"""),"http://data.likeminds.community/public/dashboards/ijp1linhlZNDu3uVbAVrm9xVpTXauQAGIqcojPas?org_slug=default")</f>
        <v>http://data.likeminds.community/public/dashboards/ijp1linhlZNDu3uVbAVrm9xVpTXauQAGIqcojPas?org_slug=default</v>
      </c>
      <c r="F54" s="54" t="str">
        <f>IFERROR(__xludf.DUMMYFUNCTION("""COMPUTED_VALUE"""),"https://collabmates.app.link/ps5XO46pEgb")</f>
        <v>https://collabmates.app.link/ps5XO46pEgb</v>
      </c>
      <c r="G54" s="15"/>
      <c r="H54" s="15" t="str">
        <f>IFERROR(__xludf.DUMMYFUNCTION("""COMPUTED_VALUE"""),"?r=1")</f>
        <v>?r=1</v>
      </c>
      <c r="I54" s="15"/>
      <c r="J54" s="15" t="str">
        <f>IFERROR(__xludf.DUMMYFUNCTION("""COMPUTED_VALUE"""),"Active")</f>
        <v>Active</v>
      </c>
      <c r="K54" s="15" t="str">
        <f>IFERROR(__xludf.DUMMYFUNCTION("""COMPUTED_VALUE"""),"Yes")</f>
        <v>Yes</v>
      </c>
      <c r="L54" s="15" t="str">
        <f>IFERROR(__xludf.DUMMYFUNCTION("""COMPUTED_VALUE"""),"Anshul")</f>
        <v>Anshul</v>
      </c>
      <c r="M54" s="15" t="str">
        <f>IFERROR(__xludf.DUMMYFUNCTION("""COMPUTED_VALUE"""),"Sanjay")</f>
        <v>Sanjay</v>
      </c>
      <c r="N54" s="15" t="str">
        <f>IFERROR(__xludf.DUMMYFUNCTION("""COMPUTED_VALUE"""),"sanjay@thetarotpreneur.com")</f>
        <v>sanjay@thetarotpreneur.com</v>
      </c>
      <c r="O54" s="15">
        <f>IFERROR(__xludf.DUMMYFUNCTION("""COMPUTED_VALUE"""),8.639102846E9)</f>
        <v>8639102846</v>
      </c>
      <c r="P54" s="15" t="str">
        <f>IFERROR(__xludf.DUMMYFUNCTION("""COMPUTED_VALUE"""),"Not Started")</f>
        <v>Not Started</v>
      </c>
      <c r="Q54" s="15"/>
      <c r="R54" s="54" t="str">
        <f>IFERROR(__xludf.DUMMYFUNCTION("""COMPUTED_VALUE"""),"https://www.facebook.com/thetarotpreneur")</f>
        <v>https://www.facebook.com/thetarotpreneur</v>
      </c>
      <c r="S54" s="15" t="str">
        <f>IFERROR(__xludf.DUMMYFUNCTION("""COMPUTED_VALUE"""),"yes")</f>
        <v>yes</v>
      </c>
      <c r="T54" s="54" t="str">
        <f>IFERROR(__xludf.DUMMYFUNCTION("""COMPUTED_VALUE"""),"https://www.instagram.com/thetarotpreneur/")</f>
        <v>https://www.instagram.com/thetarotpreneur/</v>
      </c>
      <c r="U54" s="15"/>
      <c r="V54" s="15"/>
    </row>
    <row r="55">
      <c r="A55" s="15">
        <f>IFERROR(__xludf.DUMMYFUNCTION("""COMPUTED_VALUE"""),50046.0)</f>
        <v>50046</v>
      </c>
      <c r="B55" s="15" t="str">
        <f>IFERROR(__xludf.DUMMYFUNCTION("""COMPUTED_VALUE"""),"The Man Makeover")</f>
        <v>The Man Makeover</v>
      </c>
      <c r="C55" s="15" t="str">
        <f>IFERROR(__xludf.DUMMYFUNCTION("""COMPUTED_VALUE"""),"Life skills/Lifestyle")</f>
        <v>Life skills/Lifestyle</v>
      </c>
      <c r="D55" s="15" t="str">
        <f>IFERROR(__xludf.DUMMYFUNCTION("""COMPUTED_VALUE"""),"Marketing")</f>
        <v>Marketing</v>
      </c>
      <c r="E55" s="54" t="str">
        <f>IFERROR(__xludf.DUMMYFUNCTION("""COMPUTED_VALUE"""),"http://data.likeminds.community/public/dashboards/PSl8nHT2IHXfQYxA3bYYoIRdSsthtfNLb32UhgWt?org_slug=default")</f>
        <v>http://data.likeminds.community/public/dashboards/PSl8nHT2IHXfQYxA3bYYoIRdSsthtfNLb32UhgWt?org_slug=default</v>
      </c>
      <c r="F55" s="54" t="str">
        <f>IFERROR(__xludf.DUMMYFUNCTION("""COMPUTED_VALUE"""),"https://collabmates.app.link/l2zb1aMLyfb")</f>
        <v>https://collabmates.app.link/l2zb1aMLyfb</v>
      </c>
      <c r="G55" s="54" t="str">
        <f>IFERROR(__xludf.DUMMYFUNCTION("""COMPUTED_VALUE"""),"https://hi.likeminds.community/d/the-man-makeover")</f>
        <v>https://hi.likeminds.community/d/the-man-makeover</v>
      </c>
      <c r="H55" s="54" t="str">
        <f>IFERROR(__xludf.DUMMYFUNCTION("""COMPUTED_VALUE"""),"https://hi.likeminds.community/d/the-man-makeover?r=1")</f>
        <v>https://hi.likeminds.community/d/the-man-makeover?r=1</v>
      </c>
      <c r="I55" s="15"/>
      <c r="J55" s="15" t="str">
        <f>IFERROR(__xludf.DUMMYFUNCTION("""COMPUTED_VALUE"""),"Active")</f>
        <v>Active</v>
      </c>
      <c r="K55" s="15" t="str">
        <f>IFERROR(__xludf.DUMMYFUNCTION("""COMPUTED_VALUE"""),"Yes")</f>
        <v>Yes</v>
      </c>
      <c r="L55" s="15" t="str">
        <f>IFERROR(__xludf.DUMMYFUNCTION("""COMPUTED_VALUE"""),"Kushagra")</f>
        <v>Kushagra</v>
      </c>
      <c r="M55" s="15" t="str">
        <f>IFERROR(__xludf.DUMMYFUNCTION("""COMPUTED_VALUE"""),"Akash Guruprasanna")</f>
        <v>Akash Guruprasanna</v>
      </c>
      <c r="N55" s="15" t="str">
        <f>IFERROR(__xludf.DUMMYFUNCTION("""COMPUTED_VALUE"""),"guruprasannaakash@gmail.com")</f>
        <v>guruprasannaakash@gmail.com</v>
      </c>
      <c r="O55" s="15">
        <f>IFERROR(__xludf.DUMMYFUNCTION("""COMPUTED_VALUE"""),9.19900969993E11)</f>
        <v>919900969993</v>
      </c>
      <c r="P55" s="15" t="str">
        <f>IFERROR(__xludf.DUMMYFUNCTION("""COMPUTED_VALUE"""),"Paused")</f>
        <v>Paused</v>
      </c>
      <c r="Q55" s="15"/>
      <c r="R55" s="15"/>
      <c r="S55" s="15"/>
      <c r="T55" s="54" t="str">
        <f>IFERROR(__xludf.DUMMYFUNCTION("""COMPUTED_VALUE"""),"https://www.instagram.com/the_man_makeover/")</f>
        <v>https://www.instagram.com/the_man_makeover/</v>
      </c>
      <c r="U55" s="15"/>
      <c r="V55" s="15"/>
    </row>
    <row r="56">
      <c r="A56" s="15">
        <f>IFERROR(__xludf.DUMMYFUNCTION("""COMPUTED_VALUE"""),49998.0)</f>
        <v>49998</v>
      </c>
      <c r="B56" s="15" t="str">
        <f>IFERROR(__xludf.DUMMYFUNCTION("""COMPUTED_VALUE"""),"The smart work for NEETUG")</f>
        <v>The smart work for NEETUG</v>
      </c>
      <c r="C56" s="15" t="str">
        <f>IFERROR(__xludf.DUMMYFUNCTION("""COMPUTED_VALUE"""),"Exam prep")</f>
        <v>Exam prep</v>
      </c>
      <c r="D56" s="15" t="str">
        <f>IFERROR(__xludf.DUMMYFUNCTION("""COMPUTED_VALUE"""),"Marketing")</f>
        <v>Marketing</v>
      </c>
      <c r="E56" s="54" t="str">
        <f>IFERROR(__xludf.DUMMYFUNCTION("""COMPUTED_VALUE"""),"http://data.likeminds.community/public/dashboards/pumYOK77cdcwD6fOkRUlOBKO2seQjXet0hoMdDga?org_slug=default")</f>
        <v>http://data.likeminds.community/public/dashboards/pumYOK77cdcwD6fOkRUlOBKO2seQjXet0hoMdDga?org_slug=default</v>
      </c>
      <c r="F56" s="54" t="str">
        <f>IFERROR(__xludf.DUMMYFUNCTION("""COMPUTED_VALUE"""),"https://collabmates.app.link/YXeBv4e32eb")</f>
        <v>https://collabmates.app.link/YXeBv4e32eb</v>
      </c>
      <c r="G56" s="54" t="str">
        <f>IFERROR(__xludf.DUMMYFUNCTION("""COMPUTED_VALUE"""),"https://community.likeminds.community/the-smart-work-for-neet-ug")</f>
        <v>https://community.likeminds.community/the-smart-work-for-neet-ug</v>
      </c>
      <c r="H56" s="54" t="str">
        <f>IFERROR(__xludf.DUMMYFUNCTION("""COMPUTED_VALUE"""),"https://community.likeminds.community/the-smart-work-for-neet-ug?r=1")</f>
        <v>https://community.likeminds.community/the-smart-work-for-neet-ug?r=1</v>
      </c>
      <c r="I56" s="15"/>
      <c r="J56" s="15" t="str">
        <f>IFERROR(__xludf.DUMMYFUNCTION("""COMPUTED_VALUE"""),"Active")</f>
        <v>Active</v>
      </c>
      <c r="K56" s="15" t="str">
        <f>IFERROR(__xludf.DUMMYFUNCTION("""COMPUTED_VALUE"""),"Yes")</f>
        <v>Yes</v>
      </c>
      <c r="L56" s="15" t="str">
        <f>IFERROR(__xludf.DUMMYFUNCTION("""COMPUTED_VALUE"""),"Tara")</f>
        <v>Tara</v>
      </c>
      <c r="M56" s="15" t="str">
        <f>IFERROR(__xludf.DUMMYFUNCTION("""COMPUTED_VALUE"""),"Dhirender")</f>
        <v>Dhirender</v>
      </c>
      <c r="N56" s="15" t="str">
        <f>IFERROR(__xludf.DUMMYFUNCTION("""COMPUTED_VALUE"""),"dhirendhakar16@gmail.com")</f>
        <v>dhirendhakar16@gmail.com</v>
      </c>
      <c r="O56" s="15">
        <f>IFERROR(__xludf.DUMMYFUNCTION("""COMPUTED_VALUE"""),9.18107963271E11)</f>
        <v>918107963271</v>
      </c>
      <c r="P56" s="15" t="str">
        <f>IFERROR(__xludf.DUMMYFUNCTION("""COMPUTED_VALUE"""),"Live")</f>
        <v>Live</v>
      </c>
      <c r="Q56" s="15"/>
      <c r="R56" s="15"/>
      <c r="S56" s="15"/>
      <c r="T56" s="15"/>
      <c r="U56" s="15"/>
      <c r="V56" s="15"/>
    </row>
    <row r="57">
      <c r="A57" s="15">
        <f>IFERROR(__xludf.DUMMYFUNCTION("""COMPUTED_VALUE"""),50044.0)</f>
        <v>50044</v>
      </c>
      <c r="B57" s="15" t="str">
        <f>IFERROR(__xludf.DUMMYFUNCTION("""COMPUTED_VALUE"""),"Through Thick and Thin")</f>
        <v>Through Thick and Thin</v>
      </c>
      <c r="C57" s="15" t="str">
        <f>IFERROR(__xludf.DUMMYFUNCTION("""COMPUTED_VALUE"""),"Health &amp; fitness")</f>
        <v>Health &amp; fitness</v>
      </c>
      <c r="D57" s="15" t="str">
        <f>IFERROR(__xludf.DUMMYFUNCTION("""COMPUTED_VALUE"""),"Marketing")</f>
        <v>Marketing</v>
      </c>
      <c r="E57" s="54" t="str">
        <f>IFERROR(__xludf.DUMMYFUNCTION("""COMPUTED_VALUE"""),"http://data.likeminds.community/public/dashboards/Su0LyN5DCJEklMjVNDCRGRAm6VGZ7rDUVf7sJ7B2?org_slug=default")</f>
        <v>http://data.likeminds.community/public/dashboards/Su0LyN5DCJEklMjVNDCRGRAm6VGZ7rDUVf7sJ7B2?org_slug=default</v>
      </c>
      <c r="F57" s="54" t="str">
        <f>IFERROR(__xludf.DUMMYFUNCTION("""COMPUTED_VALUE"""),"https://collabmates.app.link/RGLVpmJEDfb")</f>
        <v>https://collabmates.app.link/RGLVpmJEDfb</v>
      </c>
      <c r="G57" s="54" t="str">
        <f>IFERROR(__xludf.DUMMYFUNCTION("""COMPUTED_VALUE"""),"https://hi.likeminds.community/d/through-thick-and-thin")</f>
        <v>https://hi.likeminds.community/d/through-thick-and-thin</v>
      </c>
      <c r="H57" s="54" t="str">
        <f>IFERROR(__xludf.DUMMYFUNCTION("""COMPUTED_VALUE"""),"https://hi.likeminds.community/d/through-thick-and-thin?r=1")</f>
        <v>https://hi.likeminds.community/d/through-thick-and-thin?r=1</v>
      </c>
      <c r="I57" s="15"/>
      <c r="J57" s="15" t="str">
        <f>IFERROR(__xludf.DUMMYFUNCTION("""COMPUTED_VALUE"""),"Active")</f>
        <v>Active</v>
      </c>
      <c r="K57" s="15" t="str">
        <f>IFERROR(__xludf.DUMMYFUNCTION("""COMPUTED_VALUE"""),"Yes")</f>
        <v>Yes</v>
      </c>
      <c r="L57" s="15" t="str">
        <f>IFERROR(__xludf.DUMMYFUNCTION("""COMPUTED_VALUE"""),"Trishna")</f>
        <v>Trishna</v>
      </c>
      <c r="M57" s="15" t="str">
        <f>IFERROR(__xludf.DUMMYFUNCTION("""COMPUTED_VALUE"""),"Divya Pathak")</f>
        <v>Divya Pathak</v>
      </c>
      <c r="N57" s="15" t="str">
        <f>IFERROR(__xludf.DUMMYFUNCTION("""COMPUTED_VALUE"""),"divyapathak074@gmail.com")</f>
        <v>divyapathak074@gmail.com</v>
      </c>
      <c r="O57" s="15" t="str">
        <f>IFERROR(__xludf.DUMMYFUNCTION("""COMPUTED_VALUE"""),"+919555685211")</f>
        <v>+919555685211</v>
      </c>
      <c r="P57" s="15" t="str">
        <f>IFERROR(__xludf.DUMMYFUNCTION("""COMPUTED_VALUE"""),"Live")</f>
        <v>Live</v>
      </c>
      <c r="Q57" s="15"/>
      <c r="R57" s="54" t="str">
        <f>IFERROR(__xludf.DUMMYFUNCTION("""COMPUTED_VALUE"""),"https://www.facebook.com/Official.ttnt")</f>
        <v>https://www.facebook.com/Official.ttnt</v>
      </c>
      <c r="S57" s="15" t="str">
        <f>IFERROR(__xludf.DUMMYFUNCTION("""COMPUTED_VALUE"""),"No")</f>
        <v>No</v>
      </c>
      <c r="T57" s="54" t="str">
        <f>IFERROR(__xludf.DUMMYFUNCTION("""COMPUTED_VALUE"""),"https://www.instagram.com/ttnt.official/")</f>
        <v>https://www.instagram.com/ttnt.official/</v>
      </c>
      <c r="U57" s="15"/>
      <c r="V57" s="15"/>
    </row>
    <row r="58">
      <c r="A58" s="15">
        <f>IFERROR(__xludf.DUMMYFUNCTION("""COMPUTED_VALUE"""),50043.0)</f>
        <v>50043</v>
      </c>
      <c r="B58" s="15" t="str">
        <f>IFERROR(__xludf.DUMMYFUNCTION("""COMPUTED_VALUE"""),"Transformed Finance Professionals")</f>
        <v>Transformed Finance Professionals</v>
      </c>
      <c r="C58" s="15" t="str">
        <f>IFERROR(__xludf.DUMMYFUNCTION("""COMPUTED_VALUE"""),"Career building")</f>
        <v>Career building</v>
      </c>
      <c r="D58" s="15" t="str">
        <f>IFERROR(__xludf.DUMMYFUNCTION("""COMPUTED_VALUE"""),"Marketing")</f>
        <v>Marketing</v>
      </c>
      <c r="E58" s="54" t="str">
        <f>IFERROR(__xludf.DUMMYFUNCTION("""COMPUTED_VALUE"""),"http://data.likeminds.community/public/dashboards/tgwNWLKcjhXpAXRAfWakHE0naMSEOsjmzcgt7d2o?org_slug=default")</f>
        <v>http://data.likeminds.community/public/dashboards/tgwNWLKcjhXpAXRAfWakHE0naMSEOsjmzcgt7d2o?org_slug=default</v>
      </c>
      <c r="F58" s="54" t="str">
        <f>IFERROR(__xludf.DUMMYFUNCTION("""COMPUTED_VALUE"""),"https://collabmates.app.link/dT8lr3yWwfb")</f>
        <v>https://collabmates.app.link/dT8lr3yWwfb</v>
      </c>
      <c r="G58" s="54" t="str">
        <f>IFERROR(__xludf.DUMMYFUNCTION("""COMPUTED_VALUE"""),"https://hi.likeminds.community/d/transformed-finance-professionals")</f>
        <v>https://hi.likeminds.community/d/transformed-finance-professionals</v>
      </c>
      <c r="H58" s="54" t="str">
        <f>IFERROR(__xludf.DUMMYFUNCTION("""COMPUTED_VALUE"""),"https://hi.likeminds.community/d/transformed-finance-professionals?r=1")</f>
        <v>https://hi.likeminds.community/d/transformed-finance-professionals?r=1</v>
      </c>
      <c r="I58" s="15"/>
      <c r="J58" s="15" t="str">
        <f>IFERROR(__xludf.DUMMYFUNCTION("""COMPUTED_VALUE"""),"Active")</f>
        <v>Active</v>
      </c>
      <c r="K58" s="15" t="str">
        <f>IFERROR(__xludf.DUMMYFUNCTION("""COMPUTED_VALUE"""),"Yes")</f>
        <v>Yes</v>
      </c>
      <c r="L58" s="15" t="str">
        <f>IFERROR(__xludf.DUMMYFUNCTION("""COMPUTED_VALUE"""),"Kushagra")</f>
        <v>Kushagra</v>
      </c>
      <c r="M58" s="15" t="str">
        <f>IFERROR(__xludf.DUMMYFUNCTION("""COMPUTED_VALUE"""),"Balwan Bansal")</f>
        <v>Balwan Bansal</v>
      </c>
      <c r="N58" s="15" t="str">
        <f>IFERROR(__xludf.DUMMYFUNCTION("""COMPUTED_VALUE"""),"Balwan.bansal@acuproconsulting.com")</f>
        <v>Balwan.bansal@acuproconsulting.com</v>
      </c>
      <c r="O58" s="15">
        <f>IFERROR(__xludf.DUMMYFUNCTION("""COMPUTED_VALUE"""),9.19871767277E11)</f>
        <v>919871767277</v>
      </c>
      <c r="P58" s="15" t="str">
        <f>IFERROR(__xludf.DUMMYFUNCTION("""COMPUTED_VALUE"""),"Live")</f>
        <v>Live</v>
      </c>
      <c r="Q58" s="15"/>
      <c r="R58" s="54" t="str">
        <f>IFERROR(__xludf.DUMMYFUNCTION("""COMPUTED_VALUE"""),"https://www.facebook.com/TransformedFinanceProfessionals")</f>
        <v>https://www.facebook.com/TransformedFinanceProfessionals</v>
      </c>
      <c r="S58" s="15" t="str">
        <f>IFERROR(__xludf.DUMMYFUNCTION("""COMPUTED_VALUE"""),"Insta not created")</f>
        <v>Insta not created</v>
      </c>
      <c r="T58" s="15"/>
      <c r="U58" s="15"/>
      <c r="V58" s="15"/>
    </row>
    <row r="59">
      <c r="A59" s="15">
        <f>IFERROR(__xludf.DUMMYFUNCTION("""COMPUTED_VALUE"""),50160.0)</f>
        <v>50160</v>
      </c>
      <c r="B59" s="15" t="str">
        <f>IFERROR(__xludf.DUMMYFUNCTION("""COMPUTED_VALUE"""),"UVA Fit")</f>
        <v>UVA Fit</v>
      </c>
      <c r="C59" s="15" t="str">
        <f>IFERROR(__xludf.DUMMYFUNCTION("""COMPUTED_VALUE"""),"Health &amp; fitness")</f>
        <v>Health &amp; fitness</v>
      </c>
      <c r="D59" s="15" t="str">
        <f>IFERROR(__xludf.DUMMYFUNCTION("""COMPUTED_VALUE"""),"Marketing")</f>
        <v>Marketing</v>
      </c>
      <c r="E59" s="54" t="str">
        <f>IFERROR(__xludf.DUMMYFUNCTION("""COMPUTED_VALUE"""),"http://data.likeminds.community/public/dashboards/hl8LgxKS2glThiXysKCBuZPbqli9CwgQmssU9pTZ?org_slug=default")</f>
        <v>http://data.likeminds.community/public/dashboards/hl8LgxKS2glThiXysKCBuZPbqli9CwgQmssU9pTZ?org_slug=default</v>
      </c>
      <c r="F59" s="54" t="str">
        <f>IFERROR(__xludf.DUMMYFUNCTION("""COMPUTED_VALUE"""),"https://collabmates.app.link/7yXPzhkRMgb")</f>
        <v>https://collabmates.app.link/7yXPzhkRMgb</v>
      </c>
      <c r="G59" s="54" t="str">
        <f>IFERROR(__xludf.DUMMYFUNCTION("""COMPUTED_VALUE"""),"https://hi.likeminds.community/d/uva-fit")</f>
        <v>https://hi.likeminds.community/d/uva-fit</v>
      </c>
      <c r="H59" s="54" t="str">
        <f>IFERROR(__xludf.DUMMYFUNCTION("""COMPUTED_VALUE"""),"https://hi.likeminds.community/d/uva-fit?r=1")</f>
        <v>https://hi.likeminds.community/d/uva-fit?r=1</v>
      </c>
      <c r="I59" s="15"/>
      <c r="J59" s="15" t="str">
        <f>IFERROR(__xludf.DUMMYFUNCTION("""COMPUTED_VALUE"""),"Active")</f>
        <v>Active</v>
      </c>
      <c r="K59" s="15" t="str">
        <f>IFERROR(__xludf.DUMMYFUNCTION("""COMPUTED_VALUE"""),"Yes")</f>
        <v>Yes</v>
      </c>
      <c r="L59" s="15" t="str">
        <f>IFERROR(__xludf.DUMMYFUNCTION("""COMPUTED_VALUE"""),"Tarun ")</f>
        <v>Tarun </v>
      </c>
      <c r="M59" s="15" t="str">
        <f>IFERROR(__xludf.DUMMYFUNCTION("""COMPUTED_VALUE"""),"Suman")</f>
        <v>Suman</v>
      </c>
      <c r="N59" s="15" t="str">
        <f>IFERROR(__xludf.DUMMYFUNCTION("""COMPUTED_VALUE"""),"suman.murthy@uvadigital.in")</f>
        <v>suman.murthy@uvadigital.in</v>
      </c>
      <c r="O59" s="15">
        <f>IFERROR(__xludf.DUMMYFUNCTION("""COMPUTED_VALUE"""),7.204667709E9)</f>
        <v>7204667709</v>
      </c>
      <c r="P59" s="15" t="str">
        <f>IFERROR(__xludf.DUMMYFUNCTION("""COMPUTED_VALUE"""),"Ready to go live")</f>
        <v>Ready to go live</v>
      </c>
      <c r="Q59" s="15"/>
      <c r="R59" s="54" t="str">
        <f>IFERROR(__xludf.DUMMYFUNCTION("""COMPUTED_VALUE"""),"https://www.facebook.com/suman.gunners")</f>
        <v>https://www.facebook.com/suman.gunners</v>
      </c>
      <c r="S59" s="15"/>
      <c r="T59" s="54" t="str">
        <f>IFERROR(__xludf.DUMMYFUNCTION("""COMPUTED_VALUE"""),"https://www.instagram.com/invites/contact/?i=i8l02bx9cnv3&amp;utm_content=lyzs2zi")</f>
        <v>https://www.instagram.com/invites/contact/?i=i8l02bx9cnv3&amp;utm_content=lyzs2zi</v>
      </c>
      <c r="U59" s="15" t="str">
        <f>IFERROR(__xludf.DUMMYFUNCTION("""COMPUTED_VALUE"""),"Tag line should contain important keywords like meditation, no toered plans")</f>
        <v>Tag line should contain important keywords like meditation, no toered plans</v>
      </c>
      <c r="V59" s="15"/>
    </row>
    <row r="60">
      <c r="A60" s="15">
        <f>IFERROR(__xludf.DUMMYFUNCTION("""COMPUTED_VALUE"""),49994.0)</f>
        <v>49994</v>
      </c>
      <c r="B60" s="15" t="str">
        <f>IFERROR(__xludf.DUMMYFUNCTION("""COMPUTED_VALUE"""),"Yo Geek")</f>
        <v>Yo Geek</v>
      </c>
      <c r="C60" s="15" t="str">
        <f>IFERROR(__xludf.DUMMYFUNCTION("""COMPUTED_VALUE"""),"Health &amp; fitness")</f>
        <v>Health &amp; fitness</v>
      </c>
      <c r="D60" s="15" t="str">
        <f>IFERROR(__xludf.DUMMYFUNCTION("""COMPUTED_VALUE"""),"Marketing")</f>
        <v>Marketing</v>
      </c>
      <c r="E60" s="54" t="str">
        <f>IFERROR(__xludf.DUMMYFUNCTION("""COMPUTED_VALUE"""),"http://data.likeminds.community/public/dashboards/OBGgujDi7jAqBqHdl15VUGkWIPcxHyWtrZbGxGwC?org_slug=default")</f>
        <v>http://data.likeminds.community/public/dashboards/OBGgujDi7jAqBqHdl15VUGkWIPcxHyWtrZbGxGwC?org_slug=default</v>
      </c>
      <c r="F60" s="54" t="str">
        <f>IFERROR(__xludf.DUMMYFUNCTION("""COMPUTED_VALUE"""),"https://collabmates.app.link/bmN9uDfn4eb")</f>
        <v>https://collabmates.app.link/bmN9uDfn4eb</v>
      </c>
      <c r="G60" s="54" t="str">
        <f>IFERROR(__xludf.DUMMYFUNCTION("""COMPUTED_VALUE"""),"https://community.likeminds.community/yo-geek-the-modern-yogi")</f>
        <v>https://community.likeminds.community/yo-geek-the-modern-yogi</v>
      </c>
      <c r="H60" s="54" t="str">
        <f>IFERROR(__xludf.DUMMYFUNCTION("""COMPUTED_VALUE"""),"https://community.likeminds.community/yo-geek-the-modern-yogi?r=1")</f>
        <v>https://community.likeminds.community/yo-geek-the-modern-yogi?r=1</v>
      </c>
      <c r="I60" s="15"/>
      <c r="J60" s="15" t="str">
        <f>IFERROR(__xludf.DUMMYFUNCTION("""COMPUTED_VALUE"""),"Active")</f>
        <v>Active</v>
      </c>
      <c r="K60" s="15" t="str">
        <f>IFERROR(__xludf.DUMMYFUNCTION("""COMPUTED_VALUE"""),"Yes")</f>
        <v>Yes</v>
      </c>
      <c r="L60" s="15" t="str">
        <f>IFERROR(__xludf.DUMMYFUNCTION("""COMPUTED_VALUE"""),"Tara")</f>
        <v>Tara</v>
      </c>
      <c r="M60" s="15" t="str">
        <f>IFERROR(__xludf.DUMMYFUNCTION("""COMPUTED_VALUE"""),"Satyansh Gupta")</f>
        <v>Satyansh Gupta</v>
      </c>
      <c r="N60" s="15" t="str">
        <f>IFERROR(__xludf.DUMMYFUNCTION("""COMPUTED_VALUE"""),"shivamumar321pbh@gmail.com")</f>
        <v>shivamumar321pbh@gmail.com</v>
      </c>
      <c r="O60" s="15">
        <f>IFERROR(__xludf.DUMMYFUNCTION("""COMPUTED_VALUE"""),9.188742689E11)</f>
        <v>918874268900</v>
      </c>
      <c r="P60" s="15" t="str">
        <f>IFERROR(__xludf.DUMMYFUNCTION("""COMPUTED_VALUE"""),"Live")</f>
        <v>Live</v>
      </c>
      <c r="Q60" s="15"/>
      <c r="R60" s="15"/>
      <c r="S60" s="15"/>
      <c r="T60" s="15"/>
      <c r="U60" s="15"/>
      <c r="V60" s="15"/>
    </row>
    <row r="61">
      <c r="A61" s="15">
        <f>IFERROR(__xludf.DUMMYFUNCTION("""COMPUTED_VALUE"""),50172.0)</f>
        <v>50172</v>
      </c>
      <c r="B61" s="15" t="str">
        <f>IFERROR(__xludf.DUMMYFUNCTION("""COMPUTED_VALUE"""),"Parfait Image Consulting")</f>
        <v>Parfait Image Consulting</v>
      </c>
      <c r="C61" s="15" t="str">
        <f>IFERROR(__xludf.DUMMYFUNCTION("""COMPUTED_VALUE"""),"Life skills/Lifestyle")</f>
        <v>Life skills/Lifestyle</v>
      </c>
      <c r="D61" s="15" t="str">
        <f>IFERROR(__xludf.DUMMYFUNCTION("""COMPUTED_VALUE"""),"Marketing")</f>
        <v>Marketing</v>
      </c>
      <c r="E61" s="54" t="str">
        <f>IFERROR(__xludf.DUMMYFUNCTION("""COMPUTED_VALUE"""),"http://data.likeminds.community/public/dashboards/EyRALAaKBsVCOPu5wnEVGoqUOj3rC9hymm7HIRbL?org_slug=default")</f>
        <v>http://data.likeminds.community/public/dashboards/EyRALAaKBsVCOPu5wnEVGoqUOj3rC9hymm7HIRbL?org_slug=default</v>
      </c>
      <c r="F61" s="54" t="str">
        <f>IFERROR(__xludf.DUMMYFUNCTION("""COMPUTED_VALUE""")," https://collabmates.app.link/NUrK55OEWgb")</f>
        <v> https://collabmates.app.link/NUrK55OEWgb</v>
      </c>
      <c r="G61" s="54" t="str">
        <f>IFERROR(__xludf.DUMMYFUNCTION("""COMPUTED_VALUE"""),"https://hi.likeminds.community/d/parfaitimageconsulting")</f>
        <v>https://hi.likeminds.community/d/parfaitimageconsulting</v>
      </c>
      <c r="H61" s="54" t="str">
        <f>IFERROR(__xludf.DUMMYFUNCTION("""COMPUTED_VALUE"""),"https://hi.likeminds.community/d/parfaitimageconsulting?r=1")</f>
        <v>https://hi.likeminds.community/d/parfaitimageconsulting?r=1</v>
      </c>
      <c r="I61" s="15"/>
      <c r="J61" s="15" t="str">
        <f>IFERROR(__xludf.DUMMYFUNCTION("""COMPUTED_VALUE"""),"Active")</f>
        <v>Active</v>
      </c>
      <c r="K61" s="15" t="str">
        <f>IFERROR(__xludf.DUMMYFUNCTION("""COMPUTED_VALUE"""),"Yes")</f>
        <v>Yes</v>
      </c>
      <c r="L61" s="15" t="str">
        <f>IFERROR(__xludf.DUMMYFUNCTION("""COMPUTED_VALUE"""),"Mansi")</f>
        <v>Mansi</v>
      </c>
      <c r="M61" s="15" t="str">
        <f>IFERROR(__xludf.DUMMYFUNCTION("""COMPUTED_VALUE"""),"Bia Sandhu")</f>
        <v>Bia Sandhu</v>
      </c>
      <c r="N61" s="15" t="str">
        <f>IFERROR(__xludf.DUMMYFUNCTION("""COMPUTED_VALUE"""),"parfaitimageconsulting@gmail.com
")</f>
        <v>parfaitimageconsulting@gmail.com
</v>
      </c>
      <c r="O61" s="15" t="str">
        <f>IFERROR(__xludf.DUMMYFUNCTION("""COMPUTED_VALUE"""),"98112 09476")</f>
        <v>98112 09476</v>
      </c>
      <c r="P61" s="15" t="str">
        <f>IFERROR(__xludf.DUMMYFUNCTION("""COMPUTED_VALUE"""),"Ready to go live")</f>
        <v>Ready to go live</v>
      </c>
      <c r="Q61" s="15"/>
      <c r="R61" s="15"/>
      <c r="S61" s="15"/>
      <c r="T61" s="15"/>
      <c r="U61" s="15"/>
      <c r="V61" s="15"/>
    </row>
    <row r="62">
      <c r="A62" s="15">
        <f>IFERROR(__xludf.DUMMYFUNCTION("""COMPUTED_VALUE"""),50154.0)</f>
        <v>50154</v>
      </c>
      <c r="B62" s="15" t="str">
        <f>IFERROR(__xludf.DUMMYFUNCTION("""COMPUTED_VALUE"""),"Yoga by Amruta")</f>
        <v>Yoga by Amruta</v>
      </c>
      <c r="C62" s="15" t="str">
        <f>IFERROR(__xludf.DUMMYFUNCTION("""COMPUTED_VALUE"""),"Health &amp; fitness")</f>
        <v>Health &amp; fitness</v>
      </c>
      <c r="D62" s="15" t="str">
        <f>IFERROR(__xludf.DUMMYFUNCTION("""COMPUTED_VALUE"""),"Marketing")</f>
        <v>Marketing</v>
      </c>
      <c r="E62" s="54" t="str">
        <f>IFERROR(__xludf.DUMMYFUNCTION("""COMPUTED_VALUE"""),"http://data.likeminds.community/public/dashboards/g7FOMGOmoXLpKtNBCxSiHvy4NG4dfInG0jKEWS2T?org_slug=default")</f>
        <v>http://data.likeminds.community/public/dashboards/g7FOMGOmoXLpKtNBCxSiHvy4NG4dfInG0jKEWS2T?org_slug=default</v>
      </c>
      <c r="F62" s="54" t="str">
        <f>IFERROR(__xludf.DUMMYFUNCTION("""COMPUTED_VALUE"""),"https://collabmates.app.link/ZmUtB6FdLgb")</f>
        <v>https://collabmates.app.link/ZmUtB6FdLgb</v>
      </c>
      <c r="G62" s="54" t="str">
        <f>IFERROR(__xludf.DUMMYFUNCTION("""COMPUTED_VALUE"""),"https://hi.likeminds.community/d/yoga-by-amruta")</f>
        <v>https://hi.likeminds.community/d/yoga-by-amruta</v>
      </c>
      <c r="H62" s="54" t="str">
        <f>IFERROR(__xludf.DUMMYFUNCTION("""COMPUTED_VALUE"""),"https://hi.likeminds.community/d/yoga-by-amruta?r=1")</f>
        <v>https://hi.likeminds.community/d/yoga-by-amruta?r=1</v>
      </c>
      <c r="I62" s="15"/>
      <c r="J62" s="15" t="str">
        <f>IFERROR(__xludf.DUMMYFUNCTION("""COMPUTED_VALUE"""),"Active")</f>
        <v>Active</v>
      </c>
      <c r="K62" s="15" t="str">
        <f>IFERROR(__xludf.DUMMYFUNCTION("""COMPUTED_VALUE"""),"Yes")</f>
        <v>Yes</v>
      </c>
      <c r="L62" s="15" t="str">
        <f>IFERROR(__xludf.DUMMYFUNCTION("""COMPUTED_VALUE"""),"Tarun ")</f>
        <v>Tarun </v>
      </c>
      <c r="M62" s="15" t="str">
        <f>IFERROR(__xludf.DUMMYFUNCTION("""COMPUTED_VALUE"""),"Amruta")</f>
        <v>Amruta</v>
      </c>
      <c r="N62" s="15" t="str">
        <f>IFERROR(__xludf.DUMMYFUNCTION("""COMPUTED_VALUE"""),"amruta.suvarnan@gmail.com")</f>
        <v>amruta.suvarnan@gmail.com</v>
      </c>
      <c r="O62" s="15">
        <f>IFERROR(__xludf.DUMMYFUNCTION("""COMPUTED_VALUE"""),8.850331741E9)</f>
        <v>8850331741</v>
      </c>
      <c r="P62" s="15" t="str">
        <f>IFERROR(__xludf.DUMMYFUNCTION("""COMPUTED_VALUE"""),"Ready to go live")</f>
        <v>Ready to go live</v>
      </c>
      <c r="Q62" s="15"/>
      <c r="R62" s="54" t="str">
        <f>IFERROR(__xludf.DUMMYFUNCTION("""COMPUTED_VALUE"""),"http://www.facebook.com/YogabyAmruta")</f>
        <v>http://www.facebook.com/YogabyAmruta</v>
      </c>
      <c r="S62" s="15"/>
      <c r="T62" s="54" t="str">
        <f>IFERROR(__xludf.DUMMYFUNCTION("""COMPUTED_VALUE"""),"http://www.instagram.com/yogabyamruta")</f>
        <v>http://www.instagram.com/yogabyamruta</v>
      </c>
      <c r="U62" s="15" t="str">
        <f>IFERROR(__xludf.DUMMYFUNCTION("""COMPUTED_VALUE"""),"Questionnaire spelling mistake in values section, wrong sentence structure in values, grammatical mistakes, comma is looking weird at the start of sentence in recent events (mobile view), membership - same mistakes, no additional benefit for higher plans")</f>
        <v>Questionnaire spelling mistake in values section, wrong sentence structure in values, grammatical mistakes, comma is looking weird at the start of sentence in recent events (mobile view), membership - same mistakes, no additional benefit for higher plans</v>
      </c>
      <c r="V62" s="15"/>
    </row>
    <row r="63">
      <c r="A63" s="15">
        <f>IFERROR(__xludf.DUMMYFUNCTION("""COMPUTED_VALUE"""),49899.0)</f>
        <v>49899</v>
      </c>
      <c r="B63" s="15" t="str">
        <f>IFERROR(__xludf.DUMMYFUNCTION("""COMPUTED_VALUE"""),"The Data Talk")</f>
        <v>The Data Talk</v>
      </c>
      <c r="C63" s="15" t="str">
        <f>IFERROR(__xludf.DUMMYFUNCTION("""COMPUTED_VALUE"""),"Career building")</f>
        <v>Career building</v>
      </c>
      <c r="D63" s="15" t="str">
        <f>IFERROR(__xludf.DUMMYFUNCTION("""COMPUTED_VALUE"""),"Marketing")</f>
        <v>Marketing</v>
      </c>
      <c r="E63" s="54" t="str">
        <f>IFERROR(__xludf.DUMMYFUNCTION("""COMPUTED_VALUE"""),"http://data.likeminds.community/public/dashboards/J7zzY3u6ZYI0lzLFYz84KuduBPOtMH7xIP0wuHKb?org_slug=default")</f>
        <v>http://data.likeminds.community/public/dashboards/J7zzY3u6ZYI0lzLFYz84KuduBPOtMH7xIP0wuHKb?org_slug=default</v>
      </c>
      <c r="F63" s="54" t="str">
        <f>IFERROR(__xludf.DUMMYFUNCTION("""COMPUTED_VALUE"""),"https://collabmates.app.link/hz8R2Dg0Mfb")</f>
        <v>https://collabmates.app.link/hz8R2Dg0Mfb</v>
      </c>
      <c r="G63" s="54" t="str">
        <f>IFERROR(__xludf.DUMMYFUNCTION("""COMPUTED_VALUE"""),"https://hi.likeminds.community/the-data-talk")</f>
        <v>https://hi.likeminds.community/the-data-talk</v>
      </c>
      <c r="H63" s="54" t="str">
        <f>IFERROR(__xludf.DUMMYFUNCTION("""COMPUTED_VALUE"""),"https://hi.likeminds.community/the-data-talk?r=1")</f>
        <v>https://hi.likeminds.community/the-data-talk?r=1</v>
      </c>
      <c r="I63" s="54" t="str">
        <f>IFERROR(__xludf.DUMMYFUNCTION("""COMPUTED_VALUE"""),"bit.ly/the-data-talk")</f>
        <v>bit.ly/the-data-talk</v>
      </c>
      <c r="J63" s="15" t="str">
        <f>IFERROR(__xludf.DUMMYFUNCTION("""COMPUTED_VALUE"""),"Active")</f>
        <v>Active</v>
      </c>
      <c r="K63" s="15" t="str">
        <f>IFERROR(__xludf.DUMMYFUNCTION("""COMPUTED_VALUE"""),"No")</f>
        <v>No</v>
      </c>
      <c r="L63" s="15" t="str">
        <f>IFERROR(__xludf.DUMMYFUNCTION("""COMPUTED_VALUE"""),"Dev ")</f>
        <v>Dev </v>
      </c>
      <c r="M63" s="15" t="str">
        <f>IFERROR(__xludf.DUMMYFUNCTION("""COMPUTED_VALUE"""),"Akash Bhagat")</f>
        <v>Akash Bhagat</v>
      </c>
      <c r="N63" s="15" t="str">
        <f>IFERROR(__xludf.DUMMYFUNCTION("""COMPUTED_VALUE"""),"bhagatakash@icloud.com")</f>
        <v>bhagatakash@icloud.com</v>
      </c>
      <c r="O63" s="15">
        <f>IFERROR(__xludf.DUMMYFUNCTION("""COMPUTED_VALUE"""),8.789997907E9)</f>
        <v>8789997907</v>
      </c>
      <c r="P63" s="15" t="str">
        <f>IFERROR(__xludf.DUMMYFUNCTION("""COMPUTED_VALUE"""),"Not Started")</f>
        <v>Not Started</v>
      </c>
      <c r="Q63" s="15" t="str">
        <f>IFERROR(__xludf.DUMMYFUNCTION("""COMPUTED_VALUE"""),"Yes")</f>
        <v>Yes</v>
      </c>
      <c r="R63" s="15"/>
      <c r="S63" s="15"/>
      <c r="T63" s="15"/>
      <c r="U63" s="15"/>
      <c r="V63" s="15"/>
    </row>
    <row r="64">
      <c r="A64" s="15">
        <f>IFERROR(__xludf.DUMMYFUNCTION("""COMPUTED_VALUE"""),49978.0)</f>
        <v>49978</v>
      </c>
      <c r="B64" s="15" t="str">
        <f>IFERROR(__xludf.DUMMYFUNCTION("""COMPUTED_VALUE"""),"Startup Change Leaders")</f>
        <v>Startup Change Leaders</v>
      </c>
      <c r="C64" s="15" t="str">
        <f>IFERROR(__xludf.DUMMYFUNCTION("""COMPUTED_VALUE"""),"Micro-entrepreneurship")</f>
        <v>Micro-entrepreneurship</v>
      </c>
      <c r="D64" s="15" t="str">
        <f>IFERROR(__xludf.DUMMYFUNCTION("""COMPUTED_VALUE"""),"Marketing")</f>
        <v>Marketing</v>
      </c>
      <c r="E64" s="54" t="str">
        <f>IFERROR(__xludf.DUMMYFUNCTION("""COMPUTED_VALUE"""),"http://data.likeminds.community/public/dashboards/iuFBokh14sSzuVV5TiwcmCcAPTh2aapaRZzC1Z3G?org_slug=default")</f>
        <v>http://data.likeminds.community/public/dashboards/iuFBokh14sSzuVV5TiwcmCcAPTh2aapaRZzC1Z3G?org_slug=default</v>
      </c>
      <c r="F64" s="54" t="str">
        <f>IFERROR(__xludf.DUMMYFUNCTION("""COMPUTED_VALUE"""),"https://collabmates.app.link/TMFRX0dswfb")</f>
        <v>https://collabmates.app.link/TMFRX0dswfb</v>
      </c>
      <c r="G64" s="54" t="str">
        <f>IFERROR(__xludf.DUMMYFUNCTION("""COMPUTED_VALUE"""),"https://hi.likeminds.community/startup-change-leaders")</f>
        <v>https://hi.likeminds.community/startup-change-leaders</v>
      </c>
      <c r="H64" s="54" t="str">
        <f>IFERROR(__xludf.DUMMYFUNCTION("""COMPUTED_VALUE"""),"https://hi.likeminds.community/startup-change-leaders?r=1")</f>
        <v>https://hi.likeminds.community/startup-change-leaders?r=1</v>
      </c>
      <c r="I64" s="54" t="str">
        <f>IFERROR(__xludf.DUMMYFUNCTION("""COMPUTED_VALUE"""),"bit.ly/startup-change-leaders")</f>
        <v>bit.ly/startup-change-leaders</v>
      </c>
      <c r="J64" s="15" t="str">
        <f>IFERROR(__xludf.DUMMYFUNCTION("""COMPUTED_VALUE"""),"Active")</f>
        <v>Active</v>
      </c>
      <c r="K64" s="15" t="str">
        <f>IFERROR(__xludf.DUMMYFUNCTION("""COMPUTED_VALUE"""),"No")</f>
        <v>No</v>
      </c>
      <c r="L64" s="15" t="str">
        <f>IFERROR(__xludf.DUMMYFUNCTION("""COMPUTED_VALUE"""),"Anshul")</f>
        <v>Anshul</v>
      </c>
      <c r="M64" s="15" t="str">
        <f>IFERROR(__xludf.DUMMYFUNCTION("""COMPUTED_VALUE"""),"Rajiv Bajaj")</f>
        <v>Rajiv Bajaj</v>
      </c>
      <c r="N64" s="15" t="str">
        <f>IFERROR(__xludf.DUMMYFUNCTION("""COMPUTED_VALUE"""),"rb@bajaj-bajaj.com ")</f>
        <v>rb@bajaj-bajaj.com </v>
      </c>
      <c r="O64" s="15">
        <f>IFERROR(__xludf.DUMMYFUNCTION("""COMPUTED_VALUE"""),9.811453353E9)</f>
        <v>9811453353</v>
      </c>
      <c r="P64" s="15" t="str">
        <f>IFERROR(__xludf.DUMMYFUNCTION("""COMPUTED_VALUE"""),"Not Started")</f>
        <v>Not Started</v>
      </c>
      <c r="Q64" s="15" t="str">
        <f>IFERROR(__xludf.DUMMYFUNCTION("""COMPUTED_VALUE"""),"Yes")</f>
        <v>Yes</v>
      </c>
      <c r="R64" s="15"/>
      <c r="S64" s="15"/>
      <c r="T64" s="15"/>
      <c r="U64" s="15"/>
      <c r="V64" s="15"/>
    </row>
    <row r="65">
      <c r="A65" s="15">
        <f>IFERROR(__xludf.DUMMYFUNCTION("""COMPUTED_VALUE"""),50036.0)</f>
        <v>50036</v>
      </c>
      <c r="B65" s="15" t="str">
        <f>IFERROR(__xludf.DUMMYFUNCTION("""COMPUTED_VALUE"""),"PowerPoint Pro")</f>
        <v>PowerPoint Pro</v>
      </c>
      <c r="C65" s="15" t="str">
        <f>IFERROR(__xludf.DUMMYFUNCTION("""COMPUTED_VALUE"""),"Career building")</f>
        <v>Career building</v>
      </c>
      <c r="D65" s="15" t="str">
        <f>IFERROR(__xludf.DUMMYFUNCTION("""COMPUTED_VALUE"""),"Sales")</f>
        <v>Sales</v>
      </c>
      <c r="E65" s="54" t="str">
        <f>IFERROR(__xludf.DUMMYFUNCTION("""COMPUTED_VALUE"""),"http://data.likeminds.community/public/dashboards/RQtGRa43CssVUqetmMiYt7rVIHaZNspwZP5vPg0w?org_slug=default")</f>
        <v>http://data.likeminds.community/public/dashboards/RQtGRa43CssVUqetmMiYt7rVIHaZNspwZP5vPg0w?org_slug=default</v>
      </c>
      <c r="F65" s="54" t="str">
        <f>IFERROR(__xludf.DUMMYFUNCTION("""COMPUTED_VALUE"""),"https://collabmates.app.link/ljzPaBAswfb")</f>
        <v>https://collabmates.app.link/ljzPaBAswfb</v>
      </c>
      <c r="G65" s="54" t="str">
        <f>IFERROR(__xludf.DUMMYFUNCTION("""COMPUTED_VALUE"""),"https://hi.likeminds.community/d/powerpoint-pro")</f>
        <v>https://hi.likeminds.community/d/powerpoint-pro</v>
      </c>
      <c r="H65" s="54" t="str">
        <f>IFERROR(__xludf.DUMMYFUNCTION("""COMPUTED_VALUE"""),"https://hi.likeminds.community/d/powerpoint-pro?r=1")</f>
        <v>https://hi.likeminds.community/d/powerpoint-pro?r=1</v>
      </c>
      <c r="I65" s="54" t="str">
        <f>IFERROR(__xludf.DUMMYFUNCTION("""COMPUTED_VALUE"""),"bit.ly/powerpoint-pro")</f>
        <v>bit.ly/powerpoint-pro</v>
      </c>
      <c r="J65" s="15" t="str">
        <f>IFERROR(__xludf.DUMMYFUNCTION("""COMPUTED_VALUE"""),"Active")</f>
        <v>Active</v>
      </c>
      <c r="K65" s="15" t="str">
        <f>IFERROR(__xludf.DUMMYFUNCTION("""COMPUTED_VALUE"""),"No")</f>
        <v>No</v>
      </c>
      <c r="L65" s="15" t="str">
        <f>IFERROR(__xludf.DUMMYFUNCTION("""COMPUTED_VALUE"""),"Dev ")</f>
        <v>Dev </v>
      </c>
      <c r="M65" s="15" t="str">
        <f>IFERROR(__xludf.DUMMYFUNCTION("""COMPUTED_VALUE"""),"Gurpreet Pahuja")</f>
        <v>Gurpreet Pahuja</v>
      </c>
      <c r="N65" s="15" t="str">
        <f>IFERROR(__xludf.DUMMYFUNCTION("""COMPUTED_VALUE"""),"gurpreetpahuja@gmail.com")</f>
        <v>gurpreetpahuja@gmail.com</v>
      </c>
      <c r="O65" s="15">
        <f>IFERROR(__xludf.DUMMYFUNCTION("""COMPUTED_VALUE"""),9.97194977E9)</f>
        <v>9971949770</v>
      </c>
      <c r="P65" s="15" t="str">
        <f>IFERROR(__xludf.DUMMYFUNCTION("""COMPUTED_VALUE"""),"Not Started")</f>
        <v>Not Started</v>
      </c>
      <c r="Q65" s="15" t="str">
        <f>IFERROR(__xludf.DUMMYFUNCTION("""COMPUTED_VALUE"""),"Yes")</f>
        <v>Yes</v>
      </c>
      <c r="R65" s="15"/>
      <c r="S65" s="15"/>
      <c r="T65" s="15"/>
      <c r="U65" s="15"/>
      <c r="V65" s="15"/>
    </row>
    <row r="66">
      <c r="A66" s="15">
        <f>IFERROR(__xludf.DUMMYFUNCTION("""COMPUTED_VALUE"""),50048.0)</f>
        <v>50048</v>
      </c>
      <c r="B66" s="15" t="str">
        <f>IFERROR(__xludf.DUMMYFUNCTION("""COMPUTED_VALUE"""),"Thane Super Moms")</f>
        <v>Thane Super Moms</v>
      </c>
      <c r="C66" s="15" t="str">
        <f>IFERROR(__xludf.DUMMYFUNCTION("""COMPUTED_VALUE"""),"Micro-entrepreneurship")</f>
        <v>Micro-entrepreneurship</v>
      </c>
      <c r="D66" s="15" t="str">
        <f>IFERROR(__xludf.DUMMYFUNCTION("""COMPUTED_VALUE"""),"Sales")</f>
        <v>Sales</v>
      </c>
      <c r="E66" s="54" t="str">
        <f>IFERROR(__xludf.DUMMYFUNCTION("""COMPUTED_VALUE"""),"http://data.likeminds.community/public/dashboards/7Bo0qYL0zpP7ZIXJWsqFUdkPzX1RaJLvQfQD0ldr?org_slug=default")</f>
        <v>http://data.likeminds.community/public/dashboards/7Bo0qYL0zpP7ZIXJWsqFUdkPzX1RaJLvQfQD0ldr?org_slug=default</v>
      </c>
      <c r="F66" s="54" t="str">
        <f>IFERROR(__xludf.DUMMYFUNCTION("""COMPUTED_VALUE"""),"https://collabmates.app.link/b01MShR0Mfb")</f>
        <v>https://collabmates.app.link/b01MShR0Mfb</v>
      </c>
      <c r="G66" s="54" t="str">
        <f>IFERROR(__xludf.DUMMYFUNCTION("""COMPUTED_VALUE"""),"https://hi.likeminds.community/d/thane-super-moms")</f>
        <v>https://hi.likeminds.community/d/thane-super-moms</v>
      </c>
      <c r="H66" s="54" t="str">
        <f>IFERROR(__xludf.DUMMYFUNCTION("""COMPUTED_VALUE"""),"https://hi.likeminds.community/d/thane-super-moms?r=1")</f>
        <v>https://hi.likeminds.community/d/thane-super-moms?r=1</v>
      </c>
      <c r="I66" s="54" t="str">
        <f>IFERROR(__xludf.DUMMYFUNCTION("""COMPUTED_VALUE"""),"bit.ly/thane-super-moms")</f>
        <v>bit.ly/thane-super-moms</v>
      </c>
      <c r="J66" s="15" t="str">
        <f>IFERROR(__xludf.DUMMYFUNCTION("""COMPUTED_VALUE"""),"Active")</f>
        <v>Active</v>
      </c>
      <c r="K66" s="15" t="str">
        <f>IFERROR(__xludf.DUMMYFUNCTION("""COMPUTED_VALUE"""),"No")</f>
        <v>No</v>
      </c>
      <c r="L66" s="15" t="str">
        <f>IFERROR(__xludf.DUMMYFUNCTION("""COMPUTED_VALUE"""),"Anshul")</f>
        <v>Anshul</v>
      </c>
      <c r="M66" s="15" t="str">
        <f>IFERROR(__xludf.DUMMYFUNCTION("""COMPUTED_VALUE"""),"Vilma Adsul")</f>
        <v>Vilma Adsul</v>
      </c>
      <c r="N66" s="15" t="str">
        <f>IFERROR(__xludf.DUMMYFUNCTION("""COMPUTED_VALUE"""),"vilma.adsul@gmail.com ")</f>
        <v>vilma.adsul@gmail.com </v>
      </c>
      <c r="O66" s="15">
        <f>IFERROR(__xludf.DUMMYFUNCTION("""COMPUTED_VALUE"""),8.169536544E9)</f>
        <v>8169536544</v>
      </c>
      <c r="P66" s="15" t="str">
        <f>IFERROR(__xludf.DUMMYFUNCTION("""COMPUTED_VALUE"""),"Not Started")</f>
        <v>Not Started</v>
      </c>
      <c r="Q66" s="15" t="str">
        <f>IFERROR(__xludf.DUMMYFUNCTION("""COMPUTED_VALUE"""),"Yes")</f>
        <v>Yes</v>
      </c>
      <c r="R66" s="15"/>
      <c r="S66" s="15"/>
      <c r="T66" s="15"/>
      <c r="U66" s="15"/>
      <c r="V66" s="15"/>
    </row>
    <row r="67">
      <c r="A67" s="15">
        <f>IFERROR(__xludf.DUMMYFUNCTION("""COMPUTED_VALUE"""),50061.0)</f>
        <v>50061</v>
      </c>
      <c r="B67" s="15" t="str">
        <f>IFERROR(__xludf.DUMMYFUNCTION("""COMPUTED_VALUE"""),"Xylem")</f>
        <v>Xylem</v>
      </c>
      <c r="C67" s="15" t="str">
        <f>IFERROR(__xludf.DUMMYFUNCTION("""COMPUTED_VALUE"""),"Micro-entrepreneurship")</f>
        <v>Micro-entrepreneurship</v>
      </c>
      <c r="D67" s="15" t="str">
        <f>IFERROR(__xludf.DUMMYFUNCTION("""COMPUTED_VALUE"""),"Sales")</f>
        <v>Sales</v>
      </c>
      <c r="E67" s="54" t="str">
        <f>IFERROR(__xludf.DUMMYFUNCTION("""COMPUTED_VALUE"""),"http://data.likeminds.community/public/dashboards/Kasfu56AVAfBGd1gM5whZzn5IJYMjEVsjrzjrUrC?org_slug=default")</f>
        <v>http://data.likeminds.community/public/dashboards/Kasfu56AVAfBGd1gM5whZzn5IJYMjEVsjrzjrUrC?org_slug=default</v>
      </c>
      <c r="F67" s="54" t="str">
        <f>IFERROR(__xludf.DUMMYFUNCTION("""COMPUTED_VALUE"""),"https://collabmates.app.link/w2Vy00tDSfb")</f>
        <v>https://collabmates.app.link/w2Vy00tDSfb</v>
      </c>
      <c r="G67" s="15"/>
      <c r="H67" s="15" t="str">
        <f>IFERROR(__xludf.DUMMYFUNCTION("""COMPUTED_VALUE"""),"?r=1")</f>
        <v>?r=1</v>
      </c>
      <c r="I67" s="15"/>
      <c r="J67" s="15" t="str">
        <f>IFERROR(__xludf.DUMMYFUNCTION("""COMPUTED_VALUE"""),"Dropped")</f>
        <v>Dropped</v>
      </c>
      <c r="K67" s="15" t="str">
        <f>IFERROR(__xludf.DUMMYFUNCTION("""COMPUTED_VALUE"""),"No")</f>
        <v>No</v>
      </c>
      <c r="L67" s="15"/>
      <c r="M67" s="15" t="str">
        <f>IFERROR(__xludf.DUMMYFUNCTION("""COMPUTED_VALUE"""),"Aleman Chandrasekar")</f>
        <v>Aleman Chandrasekar</v>
      </c>
      <c r="N67" s="15" t="str">
        <f>IFERROR(__xludf.DUMMYFUNCTION("""COMPUTED_VALUE"""),"xylem.corps@gmail.com")</f>
        <v>xylem.corps@gmail.com</v>
      </c>
      <c r="O67" s="15">
        <f>IFERROR(__xludf.DUMMYFUNCTION("""COMPUTED_VALUE"""),9.244611432E9)</f>
        <v>9244611432</v>
      </c>
      <c r="P67" s="15" t="str">
        <f>IFERROR(__xludf.DUMMYFUNCTION("""COMPUTED_VALUE"""),"Not Started")</f>
        <v>Not Started</v>
      </c>
      <c r="Q67" s="15"/>
      <c r="R67" s="15"/>
      <c r="S67" s="15"/>
      <c r="T67" s="15"/>
      <c r="U67" s="15"/>
      <c r="V67" s="15"/>
    </row>
    <row r="68">
      <c r="A68" s="15">
        <f>IFERROR(__xludf.DUMMYFUNCTION("""COMPUTED_VALUE"""),50158.0)</f>
        <v>50158</v>
      </c>
      <c r="B68" s="15" t="str">
        <f>IFERROR(__xludf.DUMMYFUNCTION("""COMPUTED_VALUE"""),"keltic vedists")</f>
        <v>keltic vedists</v>
      </c>
      <c r="C68" s="15" t="str">
        <f>IFERROR(__xludf.DUMMYFUNCTION("""COMPUTED_VALUE"""),"Health &amp; fitness")</f>
        <v>Health &amp; fitness</v>
      </c>
      <c r="D68" s="15" t="str">
        <f>IFERROR(__xludf.DUMMYFUNCTION("""COMPUTED_VALUE"""),"Marketing")</f>
        <v>Marketing</v>
      </c>
      <c r="E68" s="54" t="str">
        <f>IFERROR(__xludf.DUMMYFUNCTION("""COMPUTED_VALUE"""),"http://data.likeminds.community/public/dashboards/6kdYX11QxJUDGBf9v76T9ruVohwvwgca5st0OVVM?org_slug=default")</f>
        <v>http://data.likeminds.community/public/dashboards/6kdYX11QxJUDGBf9v76T9ruVohwvwgca5st0OVVM?org_slug=default</v>
      </c>
      <c r="F68" s="54" t="str">
        <f>IFERROR(__xludf.DUMMYFUNCTION("""COMPUTED_VALUE"""),"https://collabmates.app.link/f7sp0DiRMgb")</f>
        <v>https://collabmates.app.link/f7sp0DiRMgb</v>
      </c>
      <c r="G68" s="54" t="str">
        <f>IFERROR(__xludf.DUMMYFUNCTION("""COMPUTED_VALUE"""),"https://hi.likeminds.community/d/maya-mystic-meera-the-keltic-vedist")</f>
        <v>https://hi.likeminds.community/d/maya-mystic-meera-the-keltic-vedist</v>
      </c>
      <c r="H68" s="54" t="str">
        <f>IFERROR(__xludf.DUMMYFUNCTION("""COMPUTED_VALUE"""),"https://hi.likeminds.community/d/maya-mystic-meera-the-keltic-vedist?r=1")</f>
        <v>https://hi.likeminds.community/d/maya-mystic-meera-the-keltic-vedist?r=1</v>
      </c>
      <c r="I68" s="15"/>
      <c r="J68" s="15" t="str">
        <f>IFERROR(__xludf.DUMMYFUNCTION("""COMPUTED_VALUE"""),"Active")</f>
        <v>Active</v>
      </c>
      <c r="K68" s="15" t="str">
        <f>IFERROR(__xludf.DUMMYFUNCTION("""COMPUTED_VALUE"""),"Yes")</f>
        <v>Yes</v>
      </c>
      <c r="L68" s="15" t="str">
        <f>IFERROR(__xludf.DUMMYFUNCTION("""COMPUTED_VALUE"""),"Tarun ")</f>
        <v>Tarun </v>
      </c>
      <c r="M68" s="15" t="str">
        <f>IFERROR(__xludf.DUMMYFUNCTION("""COMPUTED_VALUE"""),"Maya")</f>
        <v>Maya</v>
      </c>
      <c r="N68" s="15" t="str">
        <f>IFERROR(__xludf.DUMMYFUNCTION("""COMPUTED_VALUE"""),"maya.mystic.meera@gmail.com")</f>
        <v>maya.mystic.meera@gmail.com</v>
      </c>
      <c r="O68" s="15" t="str">
        <f>IFERROR(__xludf.DUMMYFUNCTION("""COMPUTED_VALUE"""),"88026 27978")</f>
        <v>88026 27978</v>
      </c>
      <c r="P68" s="15" t="str">
        <f>IFERROR(__xludf.DUMMYFUNCTION("""COMPUTED_VALUE"""),"Not Started")</f>
        <v>Not Started</v>
      </c>
      <c r="Q68" s="15"/>
      <c r="R68" s="54" t="str">
        <f>IFERROR(__xludf.DUMMYFUNCTION("""COMPUTED_VALUE"""),"Facebook - https://www.facebook.com/MayaMysticMeera/")</f>
        <v>Facebook - https://www.facebook.com/MayaMysticMeera/</v>
      </c>
      <c r="S68" s="15"/>
      <c r="T68" s="54" t="str">
        <f>IFERROR(__xludf.DUMMYFUNCTION("""COMPUTED_VALUE"""),"Instagram - https://www.instagram.com/mayamysticmeera/")</f>
        <v>Instagram - https://www.instagram.com/mayamysticmeera/</v>
      </c>
      <c r="U68" s="15"/>
      <c r="V68" s="15"/>
    </row>
    <row r="69">
      <c r="A69" s="15">
        <f>IFERROR(__xludf.DUMMYFUNCTION("""COMPUTED_VALUE"""),50068.0)</f>
        <v>50068</v>
      </c>
      <c r="B69" s="15" t="str">
        <f>IFERROR(__xludf.DUMMYFUNCTION("""COMPUTED_VALUE"""),"MADS")</f>
        <v>MADS</v>
      </c>
      <c r="C69" s="15" t="str">
        <f>IFERROR(__xludf.DUMMYFUNCTION("""COMPUTED_VALUE"""),"Career building")</f>
        <v>Career building</v>
      </c>
      <c r="D69" s="15" t="str">
        <f>IFERROR(__xludf.DUMMYFUNCTION("""COMPUTED_VALUE"""),"Sales")</f>
        <v>Sales</v>
      </c>
      <c r="E69" s="54" t="str">
        <f>IFERROR(__xludf.DUMMYFUNCTION("""COMPUTED_VALUE"""),"http://data.likeminds.community/public/dashboards/Vm9zaCkhzpy9muPqcpvj1Da8gWb4cFxFYjMDTW0Y?org_slug=default")</f>
        <v>http://data.likeminds.community/public/dashboards/Vm9zaCkhzpy9muPqcpvj1Da8gWb4cFxFYjMDTW0Y?org_slug=default</v>
      </c>
      <c r="F69" s="54" t="str">
        <f>IFERROR(__xludf.DUMMYFUNCTION("""COMPUTED_VALUE"""),"https://collabmates.app.link/Quo0YbXH0fb")</f>
        <v>https://collabmates.app.link/Quo0YbXH0fb</v>
      </c>
      <c r="G69" s="54" t="str">
        <f>IFERROR(__xludf.DUMMYFUNCTION("""COMPUTED_VALUE"""),"https://hi.likeminds.community/d/mads")</f>
        <v>https://hi.likeminds.community/d/mads</v>
      </c>
      <c r="H69" s="54" t="str">
        <f>IFERROR(__xludf.DUMMYFUNCTION("""COMPUTED_VALUE"""),"https://hi.likeminds.community/d/mads?r=1")</f>
        <v>https://hi.likeminds.community/d/mads?r=1</v>
      </c>
      <c r="I69" s="15"/>
      <c r="J69" s="15" t="str">
        <f>IFERROR(__xludf.DUMMYFUNCTION("""COMPUTED_VALUE"""),"Dropped")</f>
        <v>Dropped</v>
      </c>
      <c r="K69" s="15" t="str">
        <f>IFERROR(__xludf.DUMMYFUNCTION("""COMPUTED_VALUE"""),"No")</f>
        <v>No</v>
      </c>
      <c r="L69" s="15"/>
      <c r="M69" s="15" t="str">
        <f>IFERROR(__xludf.DUMMYFUNCTION("""COMPUTED_VALUE"""),"Anshul Chhajed")</f>
        <v>Anshul Chhajed</v>
      </c>
      <c r="N69" s="15" t="str">
        <f>IFERROR(__xludf.DUMMYFUNCTION("""COMPUTED_VALUE"""),"anshuljain24.7@gmail.com")</f>
        <v>anshuljain24.7@gmail.com</v>
      </c>
      <c r="O69" s="15" t="str">
        <f>IFERROR(__xludf.DUMMYFUNCTION("""COMPUTED_VALUE""")," 83198 05114")</f>
        <v> 83198 05114</v>
      </c>
      <c r="P69" s="15" t="str">
        <f>IFERROR(__xludf.DUMMYFUNCTION("""COMPUTED_VALUE"""),"Not Started")</f>
        <v>Not Started</v>
      </c>
      <c r="Q69" s="15"/>
      <c r="R69" s="15"/>
      <c r="S69" s="15"/>
      <c r="T69" s="15"/>
      <c r="U69" s="15"/>
      <c r="V69" s="15"/>
    </row>
    <row r="70">
      <c r="A70" s="15"/>
      <c r="B70" s="15" t="str">
        <f>IFERROR(__xludf.DUMMYFUNCTION("""COMPUTED_VALUE"""),"NEET INFO")</f>
        <v>NEET INFO</v>
      </c>
      <c r="C70" s="15" t="str">
        <f>IFERROR(__xludf.DUMMYFUNCTION("""COMPUTED_VALUE"""),"Exam prep")</f>
        <v>Exam prep</v>
      </c>
      <c r="D70" s="15" t="str">
        <f>IFERROR(__xludf.DUMMYFUNCTION("""COMPUTED_VALUE"""),"Sales")</f>
        <v>Sales</v>
      </c>
      <c r="E70" s="15"/>
      <c r="F70" s="15"/>
      <c r="G70" s="54" t="str">
        <f>IFERROR(__xludf.DUMMYFUNCTION("""COMPUTED_VALUE"""),"https://hi.likeminds.community/d/neetinfo")</f>
        <v>https://hi.likeminds.community/d/neetinfo</v>
      </c>
      <c r="H70" s="54" t="str">
        <f>IFERROR(__xludf.DUMMYFUNCTION("""COMPUTED_VALUE"""),"https://hi.likeminds.community/d/neetinfo?r=1")</f>
        <v>https://hi.likeminds.community/d/neetinfo?r=1</v>
      </c>
      <c r="I70" s="15"/>
      <c r="J70" s="15" t="str">
        <f>IFERROR(__xludf.DUMMYFUNCTION("""COMPUTED_VALUE"""),"Dropped")</f>
        <v>Dropped</v>
      </c>
      <c r="K70" s="15" t="str">
        <f>IFERROR(__xludf.DUMMYFUNCTION("""COMPUTED_VALUE"""),"Yes")</f>
        <v>Yes</v>
      </c>
      <c r="L70" s="15" t="str">
        <f>IFERROR(__xludf.DUMMYFUNCTION("""COMPUTED_VALUE"""),"Anshul")</f>
        <v>Anshul</v>
      </c>
      <c r="M70" s="15" t="str">
        <f>IFERROR(__xludf.DUMMYFUNCTION("""COMPUTED_VALUE"""),"Pulkit Sharma")</f>
        <v>Pulkit Sharma</v>
      </c>
      <c r="N70" s="15" t="str">
        <f>IFERROR(__xludf.DUMMYFUNCTION("""COMPUTED_VALUE"""),"pulkitbki1@gmail.com")</f>
        <v>pulkitbki1@gmail.com</v>
      </c>
      <c r="O70" s="15" t="str">
        <f>IFERROR(__xludf.DUMMYFUNCTION("""COMPUTED_VALUE"""),"95301 19541")</f>
        <v>95301 19541</v>
      </c>
      <c r="P70" s="15" t="str">
        <f>IFERROR(__xludf.DUMMYFUNCTION("""COMPUTED_VALUE"""),"Not Started")</f>
        <v>Not Started</v>
      </c>
      <c r="Q70" s="15"/>
      <c r="R70" s="15"/>
      <c r="S70" s="15"/>
      <c r="T70" s="15"/>
      <c r="U70" s="15"/>
      <c r="V70" s="15"/>
    </row>
    <row r="71">
      <c r="A71" s="15">
        <f>IFERROR(__xludf.DUMMYFUNCTION("""COMPUTED_VALUE"""),50069.0)</f>
        <v>50069</v>
      </c>
      <c r="B71" s="15" t="str">
        <f>IFERROR(__xludf.DUMMYFUNCTION("""COMPUTED_VALUE"""),"Yoga with Ratika ")</f>
        <v>Yoga with Ratika </v>
      </c>
      <c r="C71" s="15" t="str">
        <f>IFERROR(__xludf.DUMMYFUNCTION("""COMPUTED_VALUE"""),"Health &amp; fitness")</f>
        <v>Health &amp; fitness</v>
      </c>
      <c r="D71" s="15" t="str">
        <f>IFERROR(__xludf.DUMMYFUNCTION("""COMPUTED_VALUE"""),"Sales")</f>
        <v>Sales</v>
      </c>
      <c r="E71" s="54" t="str">
        <f>IFERROR(__xludf.DUMMYFUNCTION("""COMPUTED_VALUE"""),"http://data.likeminds.community/public/dashboards/SLqCtbf7IsDjtniEeADb5A6gBwKUGb20zxylp6Vf?org_slug=default")</f>
        <v>http://data.likeminds.community/public/dashboards/SLqCtbf7IsDjtniEeADb5A6gBwKUGb20zxylp6Vf?org_slug=default</v>
      </c>
      <c r="F71" s="54" t="str">
        <f>IFERROR(__xludf.DUMMYFUNCTION("""COMPUTED_VALUE"""),"https://collabmates.app.link/VhMgNOZk2fb")</f>
        <v>https://collabmates.app.link/VhMgNOZk2fb</v>
      </c>
      <c r="G71" s="54" t="str">
        <f>IFERROR(__xludf.DUMMYFUNCTION("""COMPUTED_VALUE"""),"https://hi.likeminds.community/d/yogawithratika")</f>
        <v>https://hi.likeminds.community/d/yogawithratika</v>
      </c>
      <c r="H71" s="54" t="str">
        <f>IFERROR(__xludf.DUMMYFUNCTION("""COMPUTED_VALUE"""),"https://hi.likeminds.community/d/yogawithratika?r=1")</f>
        <v>https://hi.likeminds.community/d/yogawithratika?r=1</v>
      </c>
      <c r="I71" s="15"/>
      <c r="J71" s="15" t="str">
        <f>IFERROR(__xludf.DUMMYFUNCTION("""COMPUTED_VALUE"""),"Active")</f>
        <v>Active</v>
      </c>
      <c r="K71" s="15" t="str">
        <f>IFERROR(__xludf.DUMMYFUNCTION("""COMPUTED_VALUE"""),"No")</f>
        <v>No</v>
      </c>
      <c r="L71" s="15" t="str">
        <f>IFERROR(__xludf.DUMMYFUNCTION("""COMPUTED_VALUE"""),"Tarun ")</f>
        <v>Tarun </v>
      </c>
      <c r="M71" s="15" t="str">
        <f>IFERROR(__xludf.DUMMYFUNCTION("""COMPUTED_VALUE"""),"Ratika Khandelwal")</f>
        <v>Ratika Khandelwal</v>
      </c>
      <c r="N71" s="15" t="str">
        <f>IFERROR(__xludf.DUMMYFUNCTION("""COMPUTED_VALUE"""),"roootedindia@gmail.com")</f>
        <v>roootedindia@gmail.com</v>
      </c>
      <c r="O71" s="15" t="str">
        <f>IFERROR(__xludf.DUMMYFUNCTION("""COMPUTED_VALUE"""),"79766 31545")</f>
        <v>79766 31545</v>
      </c>
      <c r="P71" s="15" t="str">
        <f>IFERROR(__xludf.DUMMYFUNCTION("""COMPUTED_VALUE"""),"Not Started")</f>
        <v>Not Started</v>
      </c>
      <c r="Q71" s="15"/>
      <c r="R71" s="15"/>
      <c r="S71" s="15"/>
      <c r="T71" s="15"/>
      <c r="U71" s="15"/>
      <c r="V71" s="15"/>
    </row>
    <row r="72">
      <c r="A72" s="15">
        <f>IFERROR(__xludf.DUMMYFUNCTION("""COMPUTED_VALUE"""),50066.0)</f>
        <v>50066</v>
      </c>
      <c r="B72" s="15" t="str">
        <f>IFERROR(__xludf.DUMMYFUNCTION("""COMPUTED_VALUE"""),"BSB Life Academy")</f>
        <v>BSB Life Academy</v>
      </c>
      <c r="C72" s="15" t="str">
        <f>IFERROR(__xludf.DUMMYFUNCTION("""COMPUTED_VALUE"""),"Life skills/Lifestyle")</f>
        <v>Life skills/Lifestyle</v>
      </c>
      <c r="D72" s="15" t="str">
        <f>IFERROR(__xludf.DUMMYFUNCTION("""COMPUTED_VALUE"""),"Sales")</f>
        <v>Sales</v>
      </c>
      <c r="E72" s="54" t="str">
        <f>IFERROR(__xludf.DUMMYFUNCTION("""COMPUTED_VALUE"""),"http://data.likeminds.community/public/dashboards/7oZIZvb6fA7uXvFynmBbnGFMGf78DN9rHD6NEmN6?org_slug=default")</f>
        <v>http://data.likeminds.community/public/dashboards/7oZIZvb6fA7uXvFynmBbnGFMGf78DN9rHD6NEmN6?org_slug=default</v>
      </c>
      <c r="F72" s="54" t="str">
        <f>IFERROR(__xludf.DUMMYFUNCTION("""COMPUTED_VALUE"""),"https://collabmates.app.link/FfDdFrOZYfb")</f>
        <v>https://collabmates.app.link/FfDdFrOZYfb</v>
      </c>
      <c r="G72" s="54" t="str">
        <f>IFERROR(__xludf.DUMMYFUNCTION("""COMPUTED_VALUE"""),"https://hi.likeminds.community/d/bsb-life-academy")</f>
        <v>https://hi.likeminds.community/d/bsb-life-academy</v>
      </c>
      <c r="H72" s="54" t="str">
        <f>IFERROR(__xludf.DUMMYFUNCTION("""COMPUTED_VALUE"""),"https://hi.likeminds.community/d/bsb-life-academy?r=1")</f>
        <v>https://hi.likeminds.community/d/bsb-life-academy?r=1</v>
      </c>
      <c r="I72" s="54" t="str">
        <f>IFERROR(__xludf.DUMMYFUNCTION("""COMPUTED_VALUE"""),"https://bit.ly/bsb-life-academy")</f>
        <v>https://bit.ly/bsb-life-academy</v>
      </c>
      <c r="J72" s="15" t="str">
        <f>IFERROR(__xludf.DUMMYFUNCTION("""COMPUTED_VALUE"""),"Active")</f>
        <v>Active</v>
      </c>
      <c r="K72" s="15" t="str">
        <f>IFERROR(__xludf.DUMMYFUNCTION("""COMPUTED_VALUE"""),"No")</f>
        <v>No</v>
      </c>
      <c r="L72" s="15" t="str">
        <f>IFERROR(__xludf.DUMMYFUNCTION("""COMPUTED_VALUE"""),"Harnoor")</f>
        <v>Harnoor</v>
      </c>
      <c r="M72" s="15" t="str">
        <f>IFERROR(__xludf.DUMMYFUNCTION("""COMPUTED_VALUE"""),"Bharti Savalani")</f>
        <v>Bharti Savalani</v>
      </c>
      <c r="N72" s="15" t="str">
        <f>IFERROR(__xludf.DUMMYFUNCTION("""COMPUTED_VALUE"""),"bharti.savalani79@gmail.com")</f>
        <v>bharti.savalani79@gmail.com</v>
      </c>
      <c r="O72" s="15">
        <f>IFERROR(__xludf.DUMMYFUNCTION("""COMPUTED_VALUE"""),9.022422689E9)</f>
        <v>9022422689</v>
      </c>
      <c r="P72" s="15" t="str">
        <f>IFERROR(__xludf.DUMMYFUNCTION("""COMPUTED_VALUE"""),"Not Started")</f>
        <v>Not Started</v>
      </c>
      <c r="Q72" s="15" t="str">
        <f>IFERROR(__xludf.DUMMYFUNCTION("""COMPUTED_VALUE"""),"Yes")</f>
        <v>Yes</v>
      </c>
      <c r="R72" s="15"/>
      <c r="S72" s="15"/>
      <c r="T72" s="15"/>
      <c r="U72" s="15"/>
      <c r="V72" s="15"/>
    </row>
    <row r="73">
      <c r="A73" s="15">
        <f>IFERROR(__xludf.DUMMYFUNCTION("""COMPUTED_VALUE"""),50082.0)</f>
        <v>50082</v>
      </c>
      <c r="B73" s="15" t="str">
        <f>IFERROR(__xludf.DUMMYFUNCTION("""COMPUTED_VALUE"""),"Graphology")</f>
        <v>Graphology</v>
      </c>
      <c r="C73" s="15" t="str">
        <f>IFERROR(__xludf.DUMMYFUNCTION("""COMPUTED_VALUE"""),"Career building")</f>
        <v>Career building</v>
      </c>
      <c r="D73" s="15" t="str">
        <f>IFERROR(__xludf.DUMMYFUNCTION("""COMPUTED_VALUE"""),"Sales")</f>
        <v>Sales</v>
      </c>
      <c r="E73" s="54" t="str">
        <f>IFERROR(__xludf.DUMMYFUNCTION("""COMPUTED_VALUE"""),"http://data.likeminds.community/public/dashboards/CjS3dDlOXaaFSUer4LKMUzBOp1EXuepJas929kgM?org_slug=default")</f>
        <v>http://data.likeminds.community/public/dashboards/CjS3dDlOXaaFSUer4LKMUzBOp1EXuepJas929kgM?org_slug=default</v>
      </c>
      <c r="F73" s="54" t="str">
        <f>IFERROR(__xludf.DUMMYFUNCTION("""COMPUTED_VALUE"""),"https://collabmates.app.link/xNDtkgoKagb")</f>
        <v>https://collabmates.app.link/xNDtkgoKagb</v>
      </c>
      <c r="G73" s="54" t="str">
        <f>IFERROR(__xludf.DUMMYFUNCTION("""COMPUTED_VALUE"""),"https://hi.likeminds.community/d/graphology")</f>
        <v>https://hi.likeminds.community/d/graphology</v>
      </c>
      <c r="H73" s="54" t="str">
        <f>IFERROR(__xludf.DUMMYFUNCTION("""COMPUTED_VALUE"""),"https://hi.likeminds.community/d/graphology?r=1")</f>
        <v>https://hi.likeminds.community/d/graphology?r=1</v>
      </c>
      <c r="I73" s="54" t="str">
        <f>IFERROR(__xludf.DUMMYFUNCTION("""COMPUTED_VALUE"""),"https://bit.ly/graphologyclub")</f>
        <v>https://bit.ly/graphologyclub</v>
      </c>
      <c r="J73" s="15" t="str">
        <f>IFERROR(__xludf.DUMMYFUNCTION("""COMPUTED_VALUE"""),"Active")</f>
        <v>Active</v>
      </c>
      <c r="K73" s="15" t="str">
        <f>IFERROR(__xludf.DUMMYFUNCTION("""COMPUTED_VALUE"""),"No")</f>
        <v>No</v>
      </c>
      <c r="L73" s="15" t="str">
        <f>IFERROR(__xludf.DUMMYFUNCTION("""COMPUTED_VALUE"""),"Muskan")</f>
        <v>Muskan</v>
      </c>
      <c r="M73" s="15" t="str">
        <f>IFERROR(__xludf.DUMMYFUNCTION("""COMPUTED_VALUE"""),"Pavan Badlani")</f>
        <v>Pavan Badlani</v>
      </c>
      <c r="N73" s="15" t="str">
        <f>IFERROR(__xludf.DUMMYFUNCTION("""COMPUTED_VALUE"""),"pawan.badlani1@gmail.com")</f>
        <v>pawan.badlani1@gmail.com</v>
      </c>
      <c r="O73" s="15">
        <f>IFERROR(__xludf.DUMMYFUNCTION("""COMPUTED_VALUE"""),9.930826643E9)</f>
        <v>9930826643</v>
      </c>
      <c r="P73" s="15" t="str">
        <f>IFERROR(__xludf.DUMMYFUNCTION("""COMPUTED_VALUE"""),"Not Started")</f>
        <v>Not Started</v>
      </c>
      <c r="Q73" s="15" t="str">
        <f>IFERROR(__xludf.DUMMYFUNCTION("""COMPUTED_VALUE"""),"Ready to start")</f>
        <v>Ready to start</v>
      </c>
      <c r="R73" s="15"/>
      <c r="S73" s="15"/>
      <c r="T73" s="15"/>
      <c r="U73" s="15"/>
      <c r="V73" s="15"/>
    </row>
    <row r="74">
      <c r="A74" s="15">
        <f>IFERROR(__xludf.DUMMYFUNCTION("""COMPUTED_VALUE"""),50083.0)</f>
        <v>50083</v>
      </c>
      <c r="B74" s="15" t="str">
        <f>IFERROR(__xludf.DUMMYFUNCTION("""COMPUTED_VALUE"""),"The Alt Living")</f>
        <v>The Alt Living</v>
      </c>
      <c r="C74" s="15" t="str">
        <f>IFERROR(__xludf.DUMMYFUNCTION("""COMPUTED_VALUE"""),"Life skills/Lifestyle")</f>
        <v>Life skills/Lifestyle</v>
      </c>
      <c r="D74" s="15" t="str">
        <f>IFERROR(__xludf.DUMMYFUNCTION("""COMPUTED_VALUE"""),"Sales")</f>
        <v>Sales</v>
      </c>
      <c r="E74" s="54" t="str">
        <f>IFERROR(__xludf.DUMMYFUNCTION("""COMPUTED_VALUE"""),"http://data.likeminds.community/public/dashboards/2s5r86E5sflSYnXlHKci410z6LMtUrPiOrpgcMuU?org_slug=default")</f>
        <v>http://data.likeminds.community/public/dashboards/2s5r86E5sflSYnXlHKci410z6LMtUrPiOrpgcMuU?org_slug=default</v>
      </c>
      <c r="F74" s="54" t="str">
        <f>IFERROR(__xludf.DUMMYFUNCTION("""COMPUTED_VALUE"""),"https://collabmates.app.link/OZmahDSOagb")</f>
        <v>https://collabmates.app.link/OZmahDSOagb</v>
      </c>
      <c r="G74" s="54" t="str">
        <f>IFERROR(__xludf.DUMMYFUNCTION("""COMPUTED_VALUE"""),"https://hi.likeminds.community/d/the-alt-living")</f>
        <v>https://hi.likeminds.community/d/the-alt-living</v>
      </c>
      <c r="H74" s="54" t="str">
        <f>IFERROR(__xludf.DUMMYFUNCTION("""COMPUTED_VALUE"""),"https://hi.likeminds.community/d/the-alt-living?r=1")</f>
        <v>https://hi.likeminds.community/d/the-alt-living?r=1</v>
      </c>
      <c r="I74" s="54" t="str">
        <f>IFERROR(__xludf.DUMMYFUNCTION("""COMPUTED_VALUE"""),"http://bit.ly/the-alt-living")</f>
        <v>http://bit.ly/the-alt-living</v>
      </c>
      <c r="J74" s="15" t="str">
        <f>IFERROR(__xludf.DUMMYFUNCTION("""COMPUTED_VALUE"""),"Active")</f>
        <v>Active</v>
      </c>
      <c r="K74" s="15" t="str">
        <f>IFERROR(__xludf.DUMMYFUNCTION("""COMPUTED_VALUE"""),"No")</f>
        <v>No</v>
      </c>
      <c r="L74" s="15" t="str">
        <f>IFERROR(__xludf.DUMMYFUNCTION("""COMPUTED_VALUE"""),"Ritu")</f>
        <v>Ritu</v>
      </c>
      <c r="M74" s="15" t="str">
        <f>IFERROR(__xludf.DUMMYFUNCTION("""COMPUTED_VALUE"""),"Aakanksha Thakur")</f>
        <v>Aakanksha Thakur</v>
      </c>
      <c r="N74" s="15" t="str">
        <f>IFERROR(__xludf.DUMMYFUNCTION("""COMPUTED_VALUE"""),"aakankshathakur21@gmail.com")</f>
        <v>aakankshathakur21@gmail.com</v>
      </c>
      <c r="O74" s="15">
        <f>IFERROR(__xludf.DUMMYFUNCTION("""COMPUTED_VALUE"""),9.873909092E9)</f>
        <v>9873909092</v>
      </c>
      <c r="P74" s="15" t="str">
        <f>IFERROR(__xludf.DUMMYFUNCTION("""COMPUTED_VALUE"""),"Not Started")</f>
        <v>Not Started</v>
      </c>
      <c r="Q74" s="15" t="str">
        <f>IFERROR(__xludf.DUMMYFUNCTION("""COMPUTED_VALUE"""),"Yes")</f>
        <v>Yes</v>
      </c>
      <c r="R74" s="15"/>
      <c r="S74" s="15"/>
      <c r="T74" s="15"/>
      <c r="U74" s="15"/>
      <c r="V74" s="15"/>
    </row>
    <row r="75">
      <c r="A75" s="15">
        <f>IFERROR(__xludf.DUMMYFUNCTION("""COMPUTED_VALUE"""),50086.0)</f>
        <v>50086</v>
      </c>
      <c r="B75" s="15" t="str">
        <f>IFERROR(__xludf.DUMMYFUNCTION("""COMPUTED_VALUE"""),"Garv's Community Diner ")</f>
        <v>Garv's Community Diner </v>
      </c>
      <c r="C75" s="15" t="str">
        <f>IFERROR(__xludf.DUMMYFUNCTION("""COMPUTED_VALUE"""),"Entertainment experiences")</f>
        <v>Entertainment experiences</v>
      </c>
      <c r="D75" s="15" t="str">
        <f>IFERROR(__xludf.DUMMYFUNCTION("""COMPUTED_VALUE"""),"Sales")</f>
        <v>Sales</v>
      </c>
      <c r="E75" s="54" t="str">
        <f>IFERROR(__xludf.DUMMYFUNCTION("""COMPUTED_VALUE"""),"http://data.likeminds.community/public/dashboards/kqP7355C5JySX1sboTCpw6MmltWwapCKAUCTB4N9?org_slug=default")</f>
        <v>http://data.likeminds.community/public/dashboards/kqP7355C5JySX1sboTCpw6MmltWwapCKAUCTB4N9?org_slug=default</v>
      </c>
      <c r="F75" s="54" t="str">
        <f>IFERROR(__xludf.DUMMYFUNCTION("""COMPUTED_VALUE"""),"https://collabmates.app.link/UfHNaLLwigb")</f>
        <v>https://collabmates.app.link/UfHNaLLwigb</v>
      </c>
      <c r="G75" s="54" t="str">
        <f>IFERROR(__xludf.DUMMYFUNCTION("""COMPUTED_VALUE"""),"https://hi.likeminds.community/d/garv-malik")</f>
        <v>https://hi.likeminds.community/d/garv-malik</v>
      </c>
      <c r="H75" s="54" t="str">
        <f>IFERROR(__xludf.DUMMYFUNCTION("""COMPUTED_VALUE"""),"https://hi.likeminds.community/d/garv-malik?r=1")</f>
        <v>https://hi.likeminds.community/d/garv-malik?r=1</v>
      </c>
      <c r="I75" s="54" t="str">
        <f>IFERROR(__xludf.DUMMYFUNCTION("""COMPUTED_VALUE"""),"https://bit.ly/garv-malik")</f>
        <v>https://bit.ly/garv-malik</v>
      </c>
      <c r="J75" s="15" t="str">
        <f>IFERROR(__xludf.DUMMYFUNCTION("""COMPUTED_VALUE"""),"Active")</f>
        <v>Active</v>
      </c>
      <c r="K75" s="15" t="str">
        <f>IFERROR(__xludf.DUMMYFUNCTION("""COMPUTED_VALUE"""),"No")</f>
        <v>No</v>
      </c>
      <c r="L75" s="15" t="str">
        <f>IFERROR(__xludf.DUMMYFUNCTION("""COMPUTED_VALUE"""),"Harnoor")</f>
        <v>Harnoor</v>
      </c>
      <c r="M75" s="15" t="str">
        <f>IFERROR(__xludf.DUMMYFUNCTION("""COMPUTED_VALUE"""),"Garv Malik")</f>
        <v>Garv Malik</v>
      </c>
      <c r="N75" s="15" t="str">
        <f>IFERROR(__xludf.DUMMYFUNCTION("""COMPUTED_VALUE"""),"hi@garvmalik.com")</f>
        <v>hi@garvmalik.com</v>
      </c>
      <c r="O75" s="15">
        <f>IFERROR(__xludf.DUMMYFUNCTION("""COMPUTED_VALUE"""),9.911133349E9)</f>
        <v>9911133349</v>
      </c>
      <c r="P75" s="15" t="str">
        <f>IFERROR(__xludf.DUMMYFUNCTION("""COMPUTED_VALUE"""),"Not Started")</f>
        <v>Not Started</v>
      </c>
      <c r="Q75" s="15" t="str">
        <f>IFERROR(__xludf.DUMMYFUNCTION("""COMPUTED_VALUE"""),"Yes")</f>
        <v>Yes</v>
      </c>
      <c r="R75" s="15"/>
      <c r="S75" s="15"/>
      <c r="T75" s="15"/>
      <c r="U75" s="15"/>
      <c r="V75" s="15"/>
    </row>
    <row r="76">
      <c r="A76" s="15">
        <f>IFERROR(__xludf.DUMMYFUNCTION("""COMPUTED_VALUE"""),50088.0)</f>
        <v>50088</v>
      </c>
      <c r="B76" s="15" t="str">
        <f>IFERROR(__xludf.DUMMYFUNCTION("""COMPUTED_VALUE"""),"Your body image coach ")</f>
        <v>Your body image coach </v>
      </c>
      <c r="C76" s="15" t="str">
        <f>IFERROR(__xludf.DUMMYFUNCTION("""COMPUTED_VALUE"""),"Life skills/Lifestyle")</f>
        <v>Life skills/Lifestyle</v>
      </c>
      <c r="D76" s="15" t="str">
        <f>IFERROR(__xludf.DUMMYFUNCTION("""COMPUTED_VALUE"""),"Sales")</f>
        <v>Sales</v>
      </c>
      <c r="E76" s="54" t="str">
        <f>IFERROR(__xludf.DUMMYFUNCTION("""COMPUTED_VALUE"""),"http://data.likeminds.community/public/dashboards/Mo0T0dTqx5BHGnYI1WbngYRSFo68WPm46DX9Zd1Y?org_slug=default")</f>
        <v>http://data.likeminds.community/public/dashboards/Mo0T0dTqx5BHGnYI1WbngYRSFo68WPm46DX9Zd1Y?org_slug=default</v>
      </c>
      <c r="F76" s="54" t="str">
        <f>IFERROR(__xludf.DUMMYFUNCTION("""COMPUTED_VALUE"""),"https://collabmates.app.link/DgLj9XJXfgb")</f>
        <v>https://collabmates.app.link/DgLj9XJXfgb</v>
      </c>
      <c r="G76" s="54" t="str">
        <f>IFERROR(__xludf.DUMMYFUNCTION("""COMPUTED_VALUE"""),"https://hi.likeminds.community/d/vithika")</f>
        <v>https://hi.likeminds.community/d/vithika</v>
      </c>
      <c r="H76" s="54" t="str">
        <f>IFERROR(__xludf.DUMMYFUNCTION("""COMPUTED_VALUE"""),"https://hi.likeminds.community/d/vithika?r=1")</f>
        <v>https://hi.likeminds.community/d/vithika?r=1</v>
      </c>
      <c r="I76" s="15"/>
      <c r="J76" s="15" t="str">
        <f>IFERROR(__xludf.DUMMYFUNCTION("""COMPUTED_VALUE"""),"Active")</f>
        <v>Active</v>
      </c>
      <c r="K76" s="15" t="str">
        <f>IFERROR(__xludf.DUMMYFUNCTION("""COMPUTED_VALUE"""),"No")</f>
        <v>No</v>
      </c>
      <c r="L76" s="15" t="str">
        <f>IFERROR(__xludf.DUMMYFUNCTION("""COMPUTED_VALUE"""),"Ritu")</f>
        <v>Ritu</v>
      </c>
      <c r="M76" s="15"/>
      <c r="N76" s="15" t="str">
        <f>IFERROR(__xludf.DUMMYFUNCTION("""COMPUTED_VALUE"""),"gururanivithika1998@gmail.com")</f>
        <v>gururanivithika1998@gmail.com</v>
      </c>
      <c r="O76" s="15"/>
      <c r="P76" s="15" t="str">
        <f>IFERROR(__xludf.DUMMYFUNCTION("""COMPUTED_VALUE"""),"Not Started")</f>
        <v>Not Started</v>
      </c>
      <c r="Q76" s="15"/>
      <c r="R76" s="15"/>
      <c r="S76" s="15"/>
      <c r="T76" s="15"/>
      <c r="U76" s="15"/>
      <c r="V76" s="15"/>
    </row>
    <row r="77">
      <c r="A77" s="15">
        <f>IFERROR(__xludf.DUMMYFUNCTION("""COMPUTED_VALUE"""),50053.0)</f>
        <v>50053</v>
      </c>
      <c r="B77" s="15" t="str">
        <f>IFERROR(__xludf.DUMMYFUNCTION("""COMPUTED_VALUE"""),"iQue Career Guide")</f>
        <v>iQue Career Guide</v>
      </c>
      <c r="C77" s="15" t="str">
        <f>IFERROR(__xludf.DUMMYFUNCTION("""COMPUTED_VALUE"""),"Career building")</f>
        <v>Career building</v>
      </c>
      <c r="D77" s="15" t="str">
        <f>IFERROR(__xludf.DUMMYFUNCTION("""COMPUTED_VALUE"""),"Sales")</f>
        <v>Sales</v>
      </c>
      <c r="E77" s="54" t="str">
        <f>IFERROR(__xludf.DUMMYFUNCTION("""COMPUTED_VALUE"""),"http://data.likeminds.community/public/dashboards/1olcBaLzVayNYidPtNz1HQ6VBeeQ3kLWf6w76eq3?org_slug=default")</f>
        <v>http://data.likeminds.community/public/dashboards/1olcBaLzVayNYidPtNz1HQ6VBeeQ3kLWf6w76eq3?org_slug=default</v>
      </c>
      <c r="F77" s="54" t="str">
        <f>IFERROR(__xludf.DUMMYFUNCTION("""COMPUTED_VALUE"""),"https://collabmates.app.link/K8Ej3Hb6Gfb")</f>
        <v>https://collabmates.app.link/K8Ej3Hb6Gfb</v>
      </c>
      <c r="G77" s="54" t="str">
        <f>IFERROR(__xludf.DUMMYFUNCTION("""COMPUTED_VALUE"""),"https://hi.likeminds.community/d/iquecareerguide")</f>
        <v>https://hi.likeminds.community/d/iquecareerguide</v>
      </c>
      <c r="H77" s="54" t="str">
        <f>IFERROR(__xludf.DUMMYFUNCTION("""COMPUTED_VALUE"""),"https://hi.likeminds.community/d/iquecareerguide?r=1")</f>
        <v>https://hi.likeminds.community/d/iquecareerguide?r=1</v>
      </c>
      <c r="I77" s="54" t="str">
        <f>IFERROR(__xludf.DUMMYFUNCTION("""COMPUTED_VALUE"""),"https://bit.ly/iquecareerguide")</f>
        <v>https://bit.ly/iquecareerguide</v>
      </c>
      <c r="J77" s="15" t="str">
        <f>IFERROR(__xludf.DUMMYFUNCTION("""COMPUTED_VALUE"""),"Dropped")</f>
        <v>Dropped</v>
      </c>
      <c r="K77" s="15" t="str">
        <f>IFERROR(__xludf.DUMMYFUNCTION("""COMPUTED_VALUE"""),"No")</f>
        <v>No</v>
      </c>
      <c r="L77" s="15"/>
      <c r="M77" s="15" t="str">
        <f>IFERROR(__xludf.DUMMYFUNCTION("""COMPUTED_VALUE"""),"Mohit Mangal")</f>
        <v>Mohit Mangal</v>
      </c>
      <c r="N77" s="15" t="str">
        <f>IFERROR(__xludf.DUMMYFUNCTION("""COMPUTED_VALUE"""),"mohitmangal1@gmail.com ")</f>
        <v>mohitmangal1@gmail.com </v>
      </c>
      <c r="O77" s="15">
        <f>IFERROR(__xludf.DUMMYFUNCTION("""COMPUTED_VALUE"""),9.979266166E9)</f>
        <v>9979266166</v>
      </c>
      <c r="P77" s="15" t="str">
        <f>IFERROR(__xludf.DUMMYFUNCTION("""COMPUTED_VALUE"""),"Not Started")</f>
        <v>Not Started</v>
      </c>
      <c r="Q77" s="15"/>
      <c r="R77" s="15"/>
      <c r="S77" s="15"/>
      <c r="T77" s="15"/>
      <c r="U77" s="15"/>
      <c r="V77" s="15"/>
    </row>
    <row r="78">
      <c r="A78" s="15"/>
      <c r="B78" s="15" t="str">
        <f>IFERROR(__xludf.DUMMYFUNCTION("""COMPUTED_VALUE"""),"Coach Kavya ")</f>
        <v>Coach Kavya </v>
      </c>
      <c r="C78" s="15" t="str">
        <f>IFERROR(__xludf.DUMMYFUNCTION("""COMPUTED_VALUE"""),"Life skills/Lifestyle")</f>
        <v>Life skills/Lifestyle</v>
      </c>
      <c r="D78" s="15" t="str">
        <f>IFERROR(__xludf.DUMMYFUNCTION("""COMPUTED_VALUE"""),"Sales")</f>
        <v>Sales</v>
      </c>
      <c r="E78" s="15"/>
      <c r="F78" s="15"/>
      <c r="G78" s="15"/>
      <c r="H78" s="15" t="str">
        <f>IFERROR(__xludf.DUMMYFUNCTION("""COMPUTED_VALUE"""),"?r=1")</f>
        <v>?r=1</v>
      </c>
      <c r="I78" s="15"/>
      <c r="J78" s="15" t="str">
        <f>IFERROR(__xludf.DUMMYFUNCTION("""COMPUTED_VALUE"""),"Active")</f>
        <v>Active</v>
      </c>
      <c r="K78" s="15" t="str">
        <f>IFERROR(__xludf.DUMMYFUNCTION("""COMPUTED_VALUE"""),"No")</f>
        <v>No</v>
      </c>
      <c r="L78" s="15" t="str">
        <f>IFERROR(__xludf.DUMMYFUNCTION("""COMPUTED_VALUE"""),"Ritu")</f>
        <v>Ritu</v>
      </c>
      <c r="M78" s="15"/>
      <c r="N78" s="15"/>
      <c r="O78" s="15"/>
      <c r="P78" s="15" t="str">
        <f>IFERROR(__xludf.DUMMYFUNCTION("""COMPUTED_VALUE"""),"Not Started")</f>
        <v>Not Started</v>
      </c>
      <c r="Q78" s="15"/>
      <c r="R78" s="15"/>
      <c r="S78" s="15"/>
      <c r="T78" s="15"/>
      <c r="U78" s="15"/>
      <c r="V78" s="15"/>
    </row>
    <row r="79">
      <c r="A79" s="15">
        <f>IFERROR(__xludf.DUMMYFUNCTION("""COMPUTED_VALUE"""),50114.0)</f>
        <v>50114</v>
      </c>
      <c r="B79" s="15" t="str">
        <f>IFERROR(__xludf.DUMMYFUNCTION("""COMPUTED_VALUE"""),"Bridl360.club ")</f>
        <v>Bridl360.club </v>
      </c>
      <c r="C79" s="15" t="str">
        <f>IFERROR(__xludf.DUMMYFUNCTION("""COMPUTED_VALUE"""),"Micro-entrepreneurship")</f>
        <v>Micro-entrepreneurship</v>
      </c>
      <c r="D79" s="15" t="str">
        <f>IFERROR(__xludf.DUMMYFUNCTION("""COMPUTED_VALUE"""),"Sales")</f>
        <v>Sales</v>
      </c>
      <c r="E79" s="54" t="str">
        <f>IFERROR(__xludf.DUMMYFUNCTION("""COMPUTED_VALUE"""),"http://data.likeminds.community/public/dashboards/IO16glRyljTK4u4usTDZI0cl94EDQevNvpx2T42m?org_slug=default")</f>
        <v>http://data.likeminds.community/public/dashboards/IO16glRyljTK4u4usTDZI0cl94EDQevNvpx2T42m?org_slug=default</v>
      </c>
      <c r="F79" s="54" t="str">
        <f>IFERROR(__xludf.DUMMYFUNCTION("""COMPUTED_VALUE"""),"https://collabmates.app.link/DTf7mofrrgb")</f>
        <v>https://collabmates.app.link/DTf7mofrrgb</v>
      </c>
      <c r="G79" s="54" t="str">
        <f>IFERROR(__xludf.DUMMYFUNCTION("""COMPUTED_VALUE"""),"https://hi.likeminds.community/d/bridl360-club")</f>
        <v>https://hi.likeminds.community/d/bridl360-club</v>
      </c>
      <c r="H79" s="54" t="str">
        <f>IFERROR(__xludf.DUMMYFUNCTION("""COMPUTED_VALUE"""),"https://hi.likeminds.community/d/bridl360-club?r=1")</f>
        <v>https://hi.likeminds.community/d/bridl360-club?r=1</v>
      </c>
      <c r="I79" s="15"/>
      <c r="J79" s="15" t="str">
        <f>IFERROR(__xludf.DUMMYFUNCTION("""COMPUTED_VALUE"""),"Paused")</f>
        <v>Paused</v>
      </c>
      <c r="K79" s="15" t="str">
        <f>IFERROR(__xludf.DUMMYFUNCTION("""COMPUTED_VALUE"""),"No")</f>
        <v>No</v>
      </c>
      <c r="L79" s="15"/>
      <c r="M79" s="15" t="str">
        <f>IFERROR(__xludf.DUMMYFUNCTION("""COMPUTED_VALUE"""),"Mendu Darpan Datta")</f>
        <v>Mendu Darpan Datta</v>
      </c>
      <c r="N79" s="15" t="str">
        <f>IFERROR(__xludf.DUMMYFUNCTION("""COMPUTED_VALUE"""),"darpandatta.m@gmail.com")</f>
        <v>darpandatta.m@gmail.com</v>
      </c>
      <c r="O79" s="15"/>
      <c r="P79" s="15" t="str">
        <f>IFERROR(__xludf.DUMMYFUNCTION("""COMPUTED_VALUE"""),"Not Started")</f>
        <v>Not Started</v>
      </c>
      <c r="Q79" s="15"/>
      <c r="R79" s="15"/>
      <c r="S79" s="15"/>
      <c r="T79" s="15"/>
      <c r="U79" s="15"/>
      <c r="V79" s="15"/>
    </row>
    <row r="80">
      <c r="A80" s="15">
        <f>IFERROR(__xludf.DUMMYFUNCTION("""COMPUTED_VALUE"""),50113.0)</f>
        <v>50113</v>
      </c>
      <c r="B80" s="15" t="str">
        <f>IFERROR(__xludf.DUMMYFUNCTION("""COMPUTED_VALUE"""),"Learn German with Heer")</f>
        <v>Learn German with Heer</v>
      </c>
      <c r="C80" s="15" t="str">
        <f>IFERROR(__xludf.DUMMYFUNCTION("""COMPUTED_VALUE"""),"Language")</f>
        <v>Language</v>
      </c>
      <c r="D80" s="15" t="str">
        <f>IFERROR(__xludf.DUMMYFUNCTION("""COMPUTED_VALUE"""),"Sales")</f>
        <v>Sales</v>
      </c>
      <c r="E80" s="54" t="str">
        <f>IFERROR(__xludf.DUMMYFUNCTION("""COMPUTED_VALUE"""),"http://data.likeminds.community/public/dashboards/3tlxqjh3az7E5KqgXER4NcnHU1377DGtrg2Kqnvi?org_slug=default")</f>
        <v>http://data.likeminds.community/public/dashboards/3tlxqjh3az7E5KqgXER4NcnHU1377DGtrg2Kqnvi?org_slug=default</v>
      </c>
      <c r="F80" s="54" t="str">
        <f>IFERROR(__xludf.DUMMYFUNCTION("""COMPUTED_VALUE"""),"https://collabmates.app.link/R16bnXyQqgb")</f>
        <v>https://collabmates.app.link/R16bnXyQqgb</v>
      </c>
      <c r="G80" s="54" t="str">
        <f>IFERROR(__xludf.DUMMYFUNCTION("""COMPUTED_VALUE"""),"https://hi.likeminds.community/d/heer-haria")</f>
        <v>https://hi.likeminds.community/d/heer-haria</v>
      </c>
      <c r="H80" s="54" t="str">
        <f>IFERROR(__xludf.DUMMYFUNCTION("""COMPUTED_VALUE"""),"https://hi.likeminds.community/d/heer-haria?r=1")</f>
        <v>https://hi.likeminds.community/d/heer-haria?r=1</v>
      </c>
      <c r="I80" s="54" t="str">
        <f>IFERROR(__xludf.DUMMYFUNCTION("""COMPUTED_VALUE"""),"http://bit.ly/heer-haria")</f>
        <v>http://bit.ly/heer-haria</v>
      </c>
      <c r="J80" s="15" t="str">
        <f>IFERROR(__xludf.DUMMYFUNCTION("""COMPUTED_VALUE"""),"Active")</f>
        <v>Active</v>
      </c>
      <c r="K80" s="15" t="str">
        <f>IFERROR(__xludf.DUMMYFUNCTION("""COMPUTED_VALUE"""),"No")</f>
        <v>No</v>
      </c>
      <c r="L80" s="15" t="str">
        <f>IFERROR(__xludf.DUMMYFUNCTION("""COMPUTED_VALUE"""),"Rushikesh ")</f>
        <v>Rushikesh </v>
      </c>
      <c r="M80" s="15" t="str">
        <f>IFERROR(__xludf.DUMMYFUNCTION("""COMPUTED_VALUE"""),"Heer Haria")</f>
        <v>Heer Haria</v>
      </c>
      <c r="N80" s="15" t="str">
        <f>IFERROR(__xludf.DUMMYFUNCTION("""COMPUTED_VALUE"""),"hariaheer71@gmail.com")</f>
        <v>hariaheer71@gmail.com</v>
      </c>
      <c r="O80" s="15"/>
      <c r="P80" s="15" t="str">
        <f>IFERROR(__xludf.DUMMYFUNCTION("""COMPUTED_VALUE"""),"Not Started")</f>
        <v>Not Started</v>
      </c>
      <c r="Q80" s="15" t="str">
        <f>IFERROR(__xludf.DUMMYFUNCTION("""COMPUTED_VALUE"""),"Yes")</f>
        <v>Yes</v>
      </c>
      <c r="R80" s="15"/>
      <c r="S80" s="15"/>
      <c r="T80" s="15"/>
      <c r="U80" s="15"/>
      <c r="V80" s="15"/>
    </row>
    <row r="81">
      <c r="A81" s="15">
        <f>IFERROR(__xludf.DUMMYFUNCTION("""COMPUTED_VALUE"""),50122.0)</f>
        <v>50122</v>
      </c>
      <c r="B81" s="15" t="str">
        <f>IFERROR(__xludf.DUMMYFUNCTION("""COMPUTED_VALUE"""),"GAPD")</f>
        <v>GAPD</v>
      </c>
      <c r="C81" s="15" t="str">
        <f>IFERROR(__xludf.DUMMYFUNCTION("""COMPUTED_VALUE"""),"Life skills/Lifestyle")</f>
        <v>Life skills/Lifestyle</v>
      </c>
      <c r="D81" s="15" t="str">
        <f>IFERROR(__xludf.DUMMYFUNCTION("""COMPUTED_VALUE"""),"Sales")</f>
        <v>Sales</v>
      </c>
      <c r="E81" s="54" t="str">
        <f>IFERROR(__xludf.DUMMYFUNCTION("""COMPUTED_VALUE"""),"http://data.likeminds.community/public/dashboards/s4ZPV578wMoYIxUGyOFfVk1uwywdBBoVXNhI8U9D?org_slug=default")</f>
        <v>http://data.likeminds.community/public/dashboards/s4ZPV578wMoYIxUGyOFfVk1uwywdBBoVXNhI8U9D?org_slug=default</v>
      </c>
      <c r="F81" s="54" t="str">
        <f>IFERROR(__xludf.DUMMYFUNCTION("""COMPUTED_VALUE"""),"https://collabmates.app.link/FdDCsC8mwgb")</f>
        <v>https://collabmates.app.link/FdDCsC8mwgb</v>
      </c>
      <c r="G81" s="54" t="str">
        <f>IFERROR(__xludf.DUMMYFUNCTION("""COMPUTED_VALUE"""),"https://hi.likeminds.community/d/gapd")</f>
        <v>https://hi.likeminds.community/d/gapd</v>
      </c>
      <c r="H81" s="54" t="str">
        <f>IFERROR(__xludf.DUMMYFUNCTION("""COMPUTED_VALUE"""),"https://hi.likeminds.community/d/gapd?r=1")</f>
        <v>https://hi.likeminds.community/d/gapd?r=1</v>
      </c>
      <c r="I81" s="54" t="str">
        <f>IFERROR(__xludf.DUMMYFUNCTION("""COMPUTED_VALUE"""),"http://bit.ly/gapd-community")</f>
        <v>http://bit.ly/gapd-community</v>
      </c>
      <c r="J81" s="15" t="str">
        <f>IFERROR(__xludf.DUMMYFUNCTION("""COMPUTED_VALUE"""),"Active")</f>
        <v>Active</v>
      </c>
      <c r="K81" s="15" t="str">
        <f>IFERROR(__xludf.DUMMYFUNCTION("""COMPUTED_VALUE"""),"No")</f>
        <v>No</v>
      </c>
      <c r="L81" s="15" t="str">
        <f>IFERROR(__xludf.DUMMYFUNCTION("""COMPUTED_VALUE"""),"Ritu")</f>
        <v>Ritu</v>
      </c>
      <c r="M81" s="15" t="str">
        <f>IFERROR(__xludf.DUMMYFUNCTION("""COMPUTED_VALUE"""),"Sachin Shekhawat")</f>
        <v>Sachin Shekhawat</v>
      </c>
      <c r="N81" s="15"/>
      <c r="O81" s="15">
        <f>IFERROR(__xludf.DUMMYFUNCTION("""COMPUTED_VALUE"""),9.17427800228E11)</f>
        <v>917427800228</v>
      </c>
      <c r="P81" s="15" t="str">
        <f>IFERROR(__xludf.DUMMYFUNCTION("""COMPUTED_VALUE"""),"Not Started")</f>
        <v>Not Started</v>
      </c>
      <c r="Q81" s="15"/>
      <c r="R81" s="15"/>
      <c r="S81" s="15"/>
      <c r="T81" s="15"/>
      <c r="U81" s="15"/>
      <c r="V81" s="15"/>
    </row>
    <row r="82">
      <c r="A82" s="15">
        <f>IFERROR(__xludf.DUMMYFUNCTION("""COMPUTED_VALUE"""),50115.0)</f>
        <v>50115</v>
      </c>
      <c r="B82" s="15" t="str">
        <f>IFERROR(__xludf.DUMMYFUNCTION("""COMPUTED_VALUE"""),"Shikshakji Josh")</f>
        <v>Shikshakji Josh</v>
      </c>
      <c r="C82" s="15" t="str">
        <f>IFERROR(__xludf.DUMMYFUNCTION("""COMPUTED_VALUE"""),"Language")</f>
        <v>Language</v>
      </c>
      <c r="D82" s="15" t="str">
        <f>IFERROR(__xludf.DUMMYFUNCTION("""COMPUTED_VALUE"""),"Sales")</f>
        <v>Sales</v>
      </c>
      <c r="E82" s="15"/>
      <c r="F82" s="15"/>
      <c r="G82" s="15"/>
      <c r="H82" s="15" t="str">
        <f>IFERROR(__xludf.DUMMYFUNCTION("""COMPUTED_VALUE"""),"?r=1")</f>
        <v>?r=1</v>
      </c>
      <c r="I82" s="15"/>
      <c r="J82" s="15" t="str">
        <f>IFERROR(__xludf.DUMMYFUNCTION("""COMPUTED_VALUE"""),"Dropped")</f>
        <v>Dropped</v>
      </c>
      <c r="K82" s="15" t="str">
        <f>IFERROR(__xludf.DUMMYFUNCTION("""COMPUTED_VALUE"""),"No")</f>
        <v>No</v>
      </c>
      <c r="L82" s="15"/>
      <c r="M82" s="15"/>
      <c r="N82" s="15"/>
      <c r="O82" s="15"/>
      <c r="P82" s="15" t="str">
        <f>IFERROR(__xludf.DUMMYFUNCTION("""COMPUTED_VALUE"""),"Not Started")</f>
        <v>Not Started</v>
      </c>
      <c r="Q82" s="15"/>
      <c r="R82" s="15"/>
      <c r="S82" s="15"/>
      <c r="T82" s="15"/>
      <c r="U82" s="15"/>
      <c r="V82" s="15"/>
    </row>
    <row r="83">
      <c r="A83" s="15">
        <f>IFERROR(__xludf.DUMMYFUNCTION("""COMPUTED_VALUE"""),50119.0)</f>
        <v>50119</v>
      </c>
      <c r="B83" s="15" t="str">
        <f>IFERROR(__xludf.DUMMYFUNCTION("""COMPUTED_VALUE"""),"Leena Listens ")</f>
        <v>Leena Listens </v>
      </c>
      <c r="C83" s="15" t="str">
        <f>IFERROR(__xludf.DUMMYFUNCTION("""COMPUTED_VALUE"""),"Micro-entrepreneurship")</f>
        <v>Micro-entrepreneurship</v>
      </c>
      <c r="D83" s="15" t="str">
        <f>IFERROR(__xludf.DUMMYFUNCTION("""COMPUTED_VALUE"""),"Sales")</f>
        <v>Sales</v>
      </c>
      <c r="E83" s="54" t="str">
        <f>IFERROR(__xludf.DUMMYFUNCTION("""COMPUTED_VALUE"""),"http://data.likeminds.community/public/dashboards/61BTqwfo1ELSqcI5c2c0gIpEr63Ge1kKgQow0Rpv?org_slug=default")</f>
        <v>http://data.likeminds.community/public/dashboards/61BTqwfo1ELSqcI5c2c0gIpEr63Ge1kKgQow0Rpv?org_slug=default</v>
      </c>
      <c r="F83" s="54" t="str">
        <f>IFERROR(__xludf.DUMMYFUNCTION("""COMPUTED_VALUE"""),"https://collabmates.app.link/xYeUu9qXvgb")</f>
        <v>https://collabmates.app.link/xYeUu9qXvgb</v>
      </c>
      <c r="G83" s="54" t="str">
        <f>IFERROR(__xludf.DUMMYFUNCTION("""COMPUTED_VALUE"""),"https://hi.likeminds.community/d/leena-listens")</f>
        <v>https://hi.likeminds.community/d/leena-listens</v>
      </c>
      <c r="H83" s="54" t="str">
        <f>IFERROR(__xludf.DUMMYFUNCTION("""COMPUTED_VALUE"""),"https://hi.likeminds.community/d/leena-listens?r=1")</f>
        <v>https://hi.likeminds.community/d/leena-listens?r=1</v>
      </c>
      <c r="I83" s="54" t="str">
        <f>IFERROR(__xludf.DUMMYFUNCTION("""COMPUTED_VALUE"""),"http://bit.ly/leena-listens")</f>
        <v>http://bit.ly/leena-listens</v>
      </c>
      <c r="J83" s="15" t="str">
        <f>IFERROR(__xludf.DUMMYFUNCTION("""COMPUTED_VALUE"""),"Active")</f>
        <v>Active</v>
      </c>
      <c r="K83" s="15" t="str">
        <f>IFERROR(__xludf.DUMMYFUNCTION("""COMPUTED_VALUE"""),"No")</f>
        <v>No</v>
      </c>
      <c r="L83" s="15" t="str">
        <f>IFERROR(__xludf.DUMMYFUNCTION("""COMPUTED_VALUE"""),"Anshul")</f>
        <v>Anshul</v>
      </c>
      <c r="M83" s="15" t="str">
        <f>IFERROR(__xludf.DUMMYFUNCTION("""COMPUTED_VALUE"""),"Leena Bansal")</f>
        <v>Leena Bansal</v>
      </c>
      <c r="N83" s="15" t="str">
        <f>IFERROR(__xludf.DUMMYFUNCTION("""COMPUTED_VALUE"""),"leena.bansal11@gmail.com")</f>
        <v>leena.bansal11@gmail.com</v>
      </c>
      <c r="O83" s="15"/>
      <c r="P83" s="15" t="str">
        <f>IFERROR(__xludf.DUMMYFUNCTION("""COMPUTED_VALUE"""),"Not Started")</f>
        <v>Not Started</v>
      </c>
      <c r="Q83" s="15" t="str">
        <f>IFERROR(__xludf.DUMMYFUNCTION("""COMPUTED_VALUE"""),"Yes")</f>
        <v>Yes</v>
      </c>
      <c r="R83" s="15"/>
      <c r="S83" s="15"/>
      <c r="T83" s="15"/>
      <c r="U83" s="15"/>
      <c r="V83" s="15"/>
    </row>
    <row r="84">
      <c r="A84" s="15">
        <f>IFERROR(__xludf.DUMMYFUNCTION("""COMPUTED_VALUE"""),50123.0)</f>
        <v>50123</v>
      </c>
      <c r="B84" s="15" t="str">
        <f>IFERROR(__xludf.DUMMYFUNCTION("""COMPUTED_VALUE"""),"Azhar's Speaking Club")</f>
        <v>Azhar's Speaking Club</v>
      </c>
      <c r="C84" s="15" t="str">
        <f>IFERROR(__xludf.DUMMYFUNCTION("""COMPUTED_VALUE"""),"Language")</f>
        <v>Language</v>
      </c>
      <c r="D84" s="15" t="str">
        <f>IFERROR(__xludf.DUMMYFUNCTION("""COMPUTED_VALUE"""),"Sales")</f>
        <v>Sales</v>
      </c>
      <c r="E84" s="54" t="str">
        <f>IFERROR(__xludf.DUMMYFUNCTION("""COMPUTED_VALUE"""),"http://data.likeminds.community/public/dashboards/3PtNkiYznEXUIUim5vCLBKlmCXywIxNccPIUkVny?org_slug=default")</f>
        <v>http://data.likeminds.community/public/dashboards/3PtNkiYznEXUIUim5vCLBKlmCXywIxNccPIUkVny?org_slug=default</v>
      </c>
      <c r="F84" s="54" t="str">
        <f>IFERROR(__xludf.DUMMYFUNCTION("""COMPUTED_VALUE"""),"https://collabmates.app.link/BIvhg5teygb")</f>
        <v>https://collabmates.app.link/BIvhg5teygb</v>
      </c>
      <c r="G84" s="54" t="str">
        <f>IFERROR(__xludf.DUMMYFUNCTION("""COMPUTED_VALUE"""),"https://hi.likeminds.community/d/dr-azhar")</f>
        <v>https://hi.likeminds.community/d/dr-azhar</v>
      </c>
      <c r="H84" s="54" t="str">
        <f>IFERROR(__xludf.DUMMYFUNCTION("""COMPUTED_VALUE"""),"https://hi.likeminds.community/d/dr-azhar?r=1")</f>
        <v>https://hi.likeminds.community/d/dr-azhar?r=1</v>
      </c>
      <c r="I84" s="54" t="str">
        <f>IFERROR(__xludf.DUMMYFUNCTION("""COMPUTED_VALUE"""),"http://bit.ly/azhars-speaking-club")</f>
        <v>http://bit.ly/azhars-speaking-club</v>
      </c>
      <c r="J84" s="15" t="str">
        <f>IFERROR(__xludf.DUMMYFUNCTION("""COMPUTED_VALUE"""),"Active")</f>
        <v>Active</v>
      </c>
      <c r="K84" s="15" t="str">
        <f>IFERROR(__xludf.DUMMYFUNCTION("""COMPUTED_VALUE"""),"No")</f>
        <v>No</v>
      </c>
      <c r="L84" s="15" t="str">
        <f>IFERROR(__xludf.DUMMYFUNCTION("""COMPUTED_VALUE"""),"Rushikesh ")</f>
        <v>Rushikesh </v>
      </c>
      <c r="M84" s="15" t="str">
        <f>IFERROR(__xludf.DUMMYFUNCTION("""COMPUTED_VALUE"""),"Dr Azhar")</f>
        <v>Dr Azhar</v>
      </c>
      <c r="N84" s="15" t="str">
        <f>IFERROR(__xludf.DUMMYFUNCTION("""COMPUTED_VALUE"""),"admin@onlineenglishclass.in")</f>
        <v>admin@onlineenglishclass.in</v>
      </c>
      <c r="O84" s="15">
        <f>IFERROR(__xludf.DUMMYFUNCTION("""COMPUTED_VALUE"""),9.17299887777E11)</f>
        <v>917299887777</v>
      </c>
      <c r="P84" s="15" t="str">
        <f>IFERROR(__xludf.DUMMYFUNCTION("""COMPUTED_VALUE"""),"Not Started")</f>
        <v>Not Started</v>
      </c>
      <c r="Q84" s="15" t="str">
        <f>IFERROR(__xludf.DUMMYFUNCTION("""COMPUTED_VALUE"""),"Ready to start")</f>
        <v>Ready to start</v>
      </c>
      <c r="R84" s="15"/>
      <c r="S84" s="15"/>
      <c r="T84" s="15"/>
      <c r="U84" s="15"/>
      <c r="V84" s="15"/>
    </row>
    <row r="85">
      <c r="A85" s="15">
        <f>IFERROR(__xludf.DUMMYFUNCTION("""COMPUTED_VALUE"""),50129.0)</f>
        <v>50129</v>
      </c>
      <c r="B85" s="15" t="str">
        <f>IFERROR(__xludf.DUMMYFUNCTION("""COMPUTED_VALUE"""),"Daily Skills Community")</f>
        <v>Daily Skills Community</v>
      </c>
      <c r="C85" s="15" t="str">
        <f>IFERROR(__xludf.DUMMYFUNCTION("""COMPUTED_VALUE"""),"Career building")</f>
        <v>Career building</v>
      </c>
      <c r="D85" s="15" t="str">
        <f>IFERROR(__xludf.DUMMYFUNCTION("""COMPUTED_VALUE"""),"Sales")</f>
        <v>Sales</v>
      </c>
      <c r="E85" s="54" t="str">
        <f>IFERROR(__xludf.DUMMYFUNCTION("""COMPUTED_VALUE"""),"http://data.likeminds.community/public/dashboards/Y8hfmsHrPqGNawx0RmZvK9vKl7T14mD2k4JPbF7f?org_slug=default")</f>
        <v>http://data.likeminds.community/public/dashboards/Y8hfmsHrPqGNawx0RmZvK9vKl7T14mD2k4JPbF7f?org_slug=default</v>
      </c>
      <c r="F85" s="54" t="str">
        <f>IFERROR(__xludf.DUMMYFUNCTION("""COMPUTED_VALUE"""),"https://collabmates.app.link/gj6NKnXNCgb")</f>
        <v>https://collabmates.app.link/gj6NKnXNCgb</v>
      </c>
      <c r="G85" s="54" t="str">
        <f>IFERROR(__xludf.DUMMYFUNCTION("""COMPUTED_VALUE"""),"Daily Skills Learning Club (subscribepage.com)")</f>
        <v>Daily Skills Learning Club (subscribepage.com)</v>
      </c>
      <c r="H85" s="15" t="str">
        <f>IFERROR(__xludf.DUMMYFUNCTION("""COMPUTED_VALUE"""),"Daily Skills Learning Club (subscribepage.com)?r=1")</f>
        <v>Daily Skills Learning Club (subscribepage.com)?r=1</v>
      </c>
      <c r="I85" s="54" t="str">
        <f>IFERROR(__xludf.DUMMYFUNCTION("""COMPUTED_VALUE"""),"http://bit.ly/daily-skills-dm")</f>
        <v>http://bit.ly/daily-skills-dm</v>
      </c>
      <c r="J85" s="15" t="str">
        <f>IFERROR(__xludf.DUMMYFUNCTION("""COMPUTED_VALUE"""),"Active")</f>
        <v>Active</v>
      </c>
      <c r="K85" s="15" t="str">
        <f>IFERROR(__xludf.DUMMYFUNCTION("""COMPUTED_VALUE"""),"No")</f>
        <v>No</v>
      </c>
      <c r="L85" s="15" t="str">
        <f>IFERROR(__xludf.DUMMYFUNCTION("""COMPUTED_VALUE"""),"Muskan")</f>
        <v>Muskan</v>
      </c>
      <c r="M85" s="15" t="str">
        <f>IFERROR(__xludf.DUMMYFUNCTION("""COMPUTED_VALUE"""),"Subilal K")</f>
        <v>Subilal K</v>
      </c>
      <c r="N85" s="15" t="str">
        <f>IFERROR(__xludf.DUMMYFUNCTION("""COMPUTED_VALUE"""),"subilal865@gmail.com")</f>
        <v>subilal865@gmail.com</v>
      </c>
      <c r="O85" s="15">
        <f>IFERROR(__xludf.DUMMYFUNCTION("""COMPUTED_VALUE"""),8.848884773E9)</f>
        <v>8848884773</v>
      </c>
      <c r="P85" s="15" t="str">
        <f>IFERROR(__xludf.DUMMYFUNCTION("""COMPUTED_VALUE"""),"Not Started")</f>
        <v>Not Started</v>
      </c>
      <c r="Q85" s="15" t="str">
        <f>IFERROR(__xludf.DUMMYFUNCTION("""COMPUTED_VALUE"""),"Yes")</f>
        <v>Yes</v>
      </c>
      <c r="R85" s="15"/>
      <c r="S85" s="15"/>
      <c r="T85" s="15"/>
      <c r="U85" s="15"/>
      <c r="V85" s="15"/>
    </row>
    <row r="86">
      <c r="A86" s="15">
        <f>IFERROR(__xludf.DUMMYFUNCTION("""COMPUTED_VALUE"""),50170.0)</f>
        <v>50170</v>
      </c>
      <c r="B86" s="15" t="str">
        <f>IFERROR(__xludf.DUMMYFUNCTION("""COMPUTED_VALUE"""),"Level Zero Esports ")</f>
        <v>Level Zero Esports </v>
      </c>
      <c r="C86" s="15" t="str">
        <f>IFERROR(__xludf.DUMMYFUNCTION("""COMPUTED_VALUE"""),"Entertainment experiences")</f>
        <v>Entertainment experiences</v>
      </c>
      <c r="D86" s="15" t="str">
        <f>IFERROR(__xludf.DUMMYFUNCTION("""COMPUTED_VALUE"""),"Sales")</f>
        <v>Sales</v>
      </c>
      <c r="E86" s="54" t="str">
        <f>IFERROR(__xludf.DUMMYFUNCTION("""COMPUTED_VALUE"""),"http://data.likeminds.community/public/dashboards/65FI1vld12aAjR1NQjqH0EqpvJQFAGxfWqlcACJi?org_slug=default")</f>
        <v>http://data.likeminds.community/public/dashboards/65FI1vld12aAjR1NQjqH0EqpvJQFAGxfWqlcACJi?org_slug=default</v>
      </c>
      <c r="F86" s="54" t="str">
        <f>IFERROR(__xludf.DUMMYFUNCTION("""COMPUTED_VALUE"""),"https://collabmates.app.link/uX8Wi4YgVgb")</f>
        <v>https://collabmates.app.link/uX8Wi4YgVgb</v>
      </c>
      <c r="G86" s="54" t="str">
        <f>IFERROR(__xludf.DUMMYFUNCTION("""COMPUTED_VALUE"""),"https://hi.likeminds.community/d/lz-esports")</f>
        <v>https://hi.likeminds.community/d/lz-esports</v>
      </c>
      <c r="H86" s="54" t="str">
        <f>IFERROR(__xludf.DUMMYFUNCTION("""COMPUTED_VALUE"""),"https://hi.likeminds.community/d/lz-esports?r=1")</f>
        <v>https://hi.likeminds.community/d/lz-esports?r=1</v>
      </c>
      <c r="I86" s="15"/>
      <c r="J86" s="15" t="str">
        <f>IFERROR(__xludf.DUMMYFUNCTION("""COMPUTED_VALUE"""),"Active")</f>
        <v>Active</v>
      </c>
      <c r="K86" s="15" t="str">
        <f>IFERROR(__xludf.DUMMYFUNCTION("""COMPUTED_VALUE"""),"No")</f>
        <v>No</v>
      </c>
      <c r="L86" s="15" t="str">
        <f>IFERROR(__xludf.DUMMYFUNCTION("""COMPUTED_VALUE"""),"Muskan")</f>
        <v>Muskan</v>
      </c>
      <c r="M86" s="15" t="str">
        <f>IFERROR(__xludf.DUMMYFUNCTION("""COMPUTED_VALUE"""),"Shrey")</f>
        <v>Shrey</v>
      </c>
      <c r="N86" s="15"/>
      <c r="O86" s="15"/>
      <c r="P86" s="15" t="str">
        <f>IFERROR(__xludf.DUMMYFUNCTION("""COMPUTED_VALUE"""),"Not Started")</f>
        <v>Not Started</v>
      </c>
      <c r="Q86" s="15"/>
      <c r="R86" s="15"/>
      <c r="S86" s="15"/>
      <c r="T86" s="15"/>
      <c r="U86" s="15"/>
      <c r="V86" s="15"/>
    </row>
    <row r="87">
      <c r="A87" s="15">
        <f>IFERROR(__xludf.DUMMYFUNCTION("""COMPUTED_VALUE"""),50093.0)</f>
        <v>50093</v>
      </c>
      <c r="B87" s="15" t="str">
        <f>IFERROR(__xludf.DUMMYFUNCTION("""COMPUTED_VALUE"""),"CCSB Michael ")</f>
        <v>CCSB Michael </v>
      </c>
      <c r="C87" s="15" t="str">
        <f>IFERROR(__xludf.DUMMYFUNCTION("""COMPUTED_VALUE"""),"Career building")</f>
        <v>Career building</v>
      </c>
      <c r="D87" s="15" t="str">
        <f>IFERROR(__xludf.DUMMYFUNCTION("""COMPUTED_VALUE"""),"Sales")</f>
        <v>Sales</v>
      </c>
      <c r="E87" s="54" t="str">
        <f>IFERROR(__xludf.DUMMYFUNCTION("""COMPUTED_VALUE"""),"http://data.likeminds.community/public/dashboards/QRjCTp4P8UJAO8YYOVrtZH7vsqhdyYhoaOLaDhLu?org_slug=default")</f>
        <v>http://data.likeminds.community/public/dashboards/QRjCTp4P8UJAO8YYOVrtZH7vsqhdyYhoaOLaDhLu?org_slug=default</v>
      </c>
      <c r="F87" s="54" t="str">
        <f>IFERROR(__xludf.DUMMYFUNCTION("""COMPUTED_VALUE"""),"https://collabmates.app.link/6kd9IqNbjgb")</f>
        <v>https://collabmates.app.link/6kd9IqNbjgb</v>
      </c>
      <c r="G87" s="54" t="str">
        <f>IFERROR(__xludf.DUMMYFUNCTION("""COMPUTED_VALUE"""),"https://hi.likeminds.community/d/ccsb")</f>
        <v>https://hi.likeminds.community/d/ccsb</v>
      </c>
      <c r="H87" s="54" t="str">
        <f>IFERROR(__xludf.DUMMYFUNCTION("""COMPUTED_VALUE"""),"https://hi.likeminds.community/d/ccsb?r=1")</f>
        <v>https://hi.likeminds.community/d/ccsb?r=1</v>
      </c>
      <c r="I87" s="15"/>
      <c r="J87" s="15" t="str">
        <f>IFERROR(__xludf.DUMMYFUNCTION("""COMPUTED_VALUE"""),"Active")</f>
        <v>Active</v>
      </c>
      <c r="K87" s="15" t="str">
        <f>IFERROR(__xludf.DUMMYFUNCTION("""COMPUTED_VALUE"""),"No")</f>
        <v>No</v>
      </c>
      <c r="L87" s="15" t="str">
        <f>IFERROR(__xludf.DUMMYFUNCTION("""COMPUTED_VALUE"""),"Muskan")</f>
        <v>Muskan</v>
      </c>
      <c r="M87" s="15" t="str">
        <f>IFERROR(__xludf.DUMMYFUNCTION("""COMPUTED_VALUE"""),"Michael")</f>
        <v>Michael</v>
      </c>
      <c r="N87" s="15" t="str">
        <f>IFERROR(__xludf.DUMMYFUNCTION("""COMPUTED_VALUE"""),"mikejo05@gmail.com")</f>
        <v>mikejo05@gmail.com</v>
      </c>
      <c r="O87" s="15">
        <f>IFERROR(__xludf.DUMMYFUNCTION("""COMPUTED_VALUE"""),9.980078585E9)</f>
        <v>9980078585</v>
      </c>
      <c r="P87" s="15" t="str">
        <f>IFERROR(__xludf.DUMMYFUNCTION("""COMPUTED_VALUE"""),"Not Started")</f>
        <v>Not Started</v>
      </c>
      <c r="Q87" s="15"/>
      <c r="R87" s="15"/>
      <c r="S87" s="15"/>
      <c r="T87" s="15"/>
      <c r="U87" s="15"/>
      <c r="V87" s="15"/>
    </row>
    <row r="88">
      <c r="A88" s="15"/>
      <c r="B88" s="15" t="str">
        <f>IFERROR(__xludf.DUMMYFUNCTION("""COMPUTED_VALUE"""),"Win Career ")</f>
        <v>Win Career </v>
      </c>
      <c r="C88" s="15" t="str">
        <f>IFERROR(__xludf.DUMMYFUNCTION("""COMPUTED_VALUE"""),"Career building")</f>
        <v>Career building</v>
      </c>
      <c r="D88" s="15" t="str">
        <f>IFERROR(__xludf.DUMMYFUNCTION("""COMPUTED_VALUE"""),"Sales")</f>
        <v>Sales</v>
      </c>
      <c r="E88" s="15"/>
      <c r="F88" s="15"/>
      <c r="G88" s="54" t="str">
        <f>IFERROR(__xludf.DUMMYFUNCTION("""COMPUTED_VALUE"""),"https://hi.likeminds.community/d/win-career")</f>
        <v>https://hi.likeminds.community/d/win-career</v>
      </c>
      <c r="H88" s="54" t="str">
        <f>IFERROR(__xludf.DUMMYFUNCTION("""COMPUTED_VALUE"""),"https://hi.likeminds.community/d/win-career?r=1")</f>
        <v>https://hi.likeminds.community/d/win-career?r=1</v>
      </c>
      <c r="I88" s="15"/>
      <c r="J88" s="15" t="str">
        <f>IFERROR(__xludf.DUMMYFUNCTION("""COMPUTED_VALUE"""),"Active")</f>
        <v>Active</v>
      </c>
      <c r="K88" s="15" t="str">
        <f>IFERROR(__xludf.DUMMYFUNCTION("""COMPUTED_VALUE"""),"No")</f>
        <v>No</v>
      </c>
      <c r="L88" s="15" t="str">
        <f>IFERROR(__xludf.DUMMYFUNCTION("""COMPUTED_VALUE"""),"Muskan")</f>
        <v>Muskan</v>
      </c>
      <c r="M88" s="15"/>
      <c r="N88" s="15"/>
      <c r="O88" s="15"/>
      <c r="P88" s="15" t="str">
        <f>IFERROR(__xludf.DUMMYFUNCTION("""COMPUTED_VALUE"""),"Not Started")</f>
        <v>Not Started</v>
      </c>
      <c r="Q88" s="15" t="str">
        <f>IFERROR(__xludf.DUMMYFUNCTION("""COMPUTED_VALUE"""),"Ready to start")</f>
        <v>Ready to start</v>
      </c>
      <c r="R88" s="15"/>
      <c r="S88" s="15"/>
      <c r="T88" s="15"/>
      <c r="U88" s="15"/>
      <c r="V88" s="15"/>
    </row>
    <row r="89">
      <c r="A89" s="15"/>
      <c r="B89" s="15" t="str">
        <f>IFERROR(__xludf.DUMMYFUNCTION("""COMPUTED_VALUE"""),"Shridhar's community ")</f>
        <v>Shridhar's community </v>
      </c>
      <c r="C89" s="15" t="str">
        <f>IFERROR(__xludf.DUMMYFUNCTION("""COMPUTED_VALUE"""),"Health &amp; fitness")</f>
        <v>Health &amp; fitness</v>
      </c>
      <c r="D89" s="15" t="str">
        <f>IFERROR(__xludf.DUMMYFUNCTION("""COMPUTED_VALUE"""),"Sales")</f>
        <v>Sales</v>
      </c>
      <c r="E89" s="15"/>
      <c r="F89" s="15"/>
      <c r="G89" s="54" t="str">
        <f>IFERROR(__xludf.DUMMYFUNCTION("""COMPUTED_VALUE"""),"https://hi.likeminds.community/d/balanse-with-shridhar-lifeschool")</f>
        <v>https://hi.likeminds.community/d/balanse-with-shridhar-lifeschool</v>
      </c>
      <c r="H89" s="54" t="str">
        <f>IFERROR(__xludf.DUMMYFUNCTION("""COMPUTED_VALUE"""),"https://hi.likeminds.community/d/balanse-with-shridhar-lifeschool?r=1")</f>
        <v>https://hi.likeminds.community/d/balanse-with-shridhar-lifeschool?r=1</v>
      </c>
      <c r="I89" s="15"/>
      <c r="J89" s="15" t="str">
        <f>IFERROR(__xludf.DUMMYFUNCTION("""COMPUTED_VALUE"""),"Active")</f>
        <v>Active</v>
      </c>
      <c r="K89" s="15" t="str">
        <f>IFERROR(__xludf.DUMMYFUNCTION("""COMPUTED_VALUE"""),"No")</f>
        <v>No</v>
      </c>
      <c r="L89" s="15" t="str">
        <f>IFERROR(__xludf.DUMMYFUNCTION("""COMPUTED_VALUE"""),"Tarun ")</f>
        <v>Tarun </v>
      </c>
      <c r="M89" s="15"/>
      <c r="N89" s="15"/>
      <c r="O89" s="15"/>
      <c r="P89" s="15" t="str">
        <f>IFERROR(__xludf.DUMMYFUNCTION("""COMPUTED_VALUE"""),"Not Started")</f>
        <v>Not Started</v>
      </c>
      <c r="Q89" s="15"/>
      <c r="R89" s="15"/>
      <c r="S89" s="15"/>
      <c r="T89" s="15"/>
      <c r="U89" s="15"/>
      <c r="V89" s="15"/>
    </row>
    <row r="90">
      <c r="A90" s="15">
        <f>IFERROR(__xludf.DUMMYFUNCTION("""COMPUTED_VALUE"""),50173.0)</f>
        <v>50173</v>
      </c>
      <c r="B90" s="15" t="str">
        <f>IFERROR(__xludf.DUMMYFUNCTION("""COMPUTED_VALUE"""),"Finowiz - The Financial Wizard")</f>
        <v>Finowiz - The Financial Wizard</v>
      </c>
      <c r="C90" s="15" t="str">
        <f>IFERROR(__xludf.DUMMYFUNCTION("""COMPUTED_VALUE"""),"Micro-entrepreneurship")</f>
        <v>Micro-entrepreneurship</v>
      </c>
      <c r="D90" s="15" t="str">
        <f>IFERROR(__xludf.DUMMYFUNCTION("""COMPUTED_VALUE"""),"Sales")</f>
        <v>Sales</v>
      </c>
      <c r="E90" s="54" t="str">
        <f>IFERROR(__xludf.DUMMYFUNCTION("""COMPUTED_VALUE"""),"http://data.likeminds.community/public/dashboards/ccY5L6OEVRgz8iUrwvD29pRsfkpT4LxPi8xjUgMz?org_slug=default")</f>
        <v>http://data.likeminds.community/public/dashboards/ccY5L6OEVRgz8iUrwvD29pRsfkpT4LxPi8xjUgMz?org_slug=default</v>
      </c>
      <c r="F90" s="54" t="str">
        <f>IFERROR(__xludf.DUMMYFUNCTION("""COMPUTED_VALUE"""),"https://collabmates.app.link/LEkRtg5IYgb")</f>
        <v>https://collabmates.app.link/LEkRtg5IYgb</v>
      </c>
      <c r="G90" s="54" t="str">
        <f>IFERROR(__xludf.DUMMYFUNCTION("""COMPUTED_VALUE"""),"https://hi.likeminds.community/d/finowiz")</f>
        <v>https://hi.likeminds.community/d/finowiz</v>
      </c>
      <c r="H90" s="54" t="str">
        <f>IFERROR(__xludf.DUMMYFUNCTION("""COMPUTED_VALUE"""),"https://hi.likeminds.community/d/finowiz?r=1")</f>
        <v>https://hi.likeminds.community/d/finowiz?r=1</v>
      </c>
      <c r="I90" s="15"/>
      <c r="J90" s="15" t="str">
        <f>IFERROR(__xludf.DUMMYFUNCTION("""COMPUTED_VALUE"""),"Active")</f>
        <v>Active</v>
      </c>
      <c r="K90" s="15" t="str">
        <f>IFERROR(__xludf.DUMMYFUNCTION("""COMPUTED_VALUE"""),"No")</f>
        <v>No</v>
      </c>
      <c r="L90" s="15" t="str">
        <f>IFERROR(__xludf.DUMMYFUNCTION("""COMPUTED_VALUE"""),"Anshul")</f>
        <v>Anshul</v>
      </c>
      <c r="M90" s="15" t="str">
        <f>IFERROR(__xludf.DUMMYFUNCTION("""COMPUTED_VALUE"""),"Samantak Saha")</f>
        <v>Samantak Saha</v>
      </c>
      <c r="N90" s="15" t="str">
        <f>IFERROR(__xludf.DUMMYFUNCTION("""COMPUTED_VALUE"""),"samantaksahawork@gmail.com")</f>
        <v>samantaksahawork@gmail.com</v>
      </c>
      <c r="O90" s="15"/>
      <c r="P90" s="15" t="str">
        <f>IFERROR(__xludf.DUMMYFUNCTION("""COMPUTED_VALUE"""),"Not Started")</f>
        <v>Not Started</v>
      </c>
      <c r="Q90" s="15" t="str">
        <f>IFERROR(__xludf.DUMMYFUNCTION("""COMPUTED_VALUE"""),"Yes")</f>
        <v>Yes</v>
      </c>
      <c r="R90" s="15"/>
      <c r="S90" s="15"/>
      <c r="T90" s="15"/>
      <c r="U90" s="15"/>
      <c r="V90" s="15"/>
    </row>
    <row r="91">
      <c r="A91" s="15"/>
      <c r="B91" s="15" t="str">
        <f>IFERROR(__xludf.DUMMYFUNCTION("""COMPUTED_VALUE"""),"Autojournal ")</f>
        <v>Autojournal </v>
      </c>
      <c r="C91" s="15" t="str">
        <f>IFERROR(__xludf.DUMMYFUNCTION("""COMPUTED_VALUE"""),"Life skills/Lifestyle")</f>
        <v>Life skills/Lifestyle</v>
      </c>
      <c r="D91" s="15" t="str">
        <f>IFERROR(__xludf.DUMMYFUNCTION("""COMPUTED_VALUE"""),"Sales")</f>
        <v>Sales</v>
      </c>
      <c r="E91" s="15"/>
      <c r="F91" s="15"/>
      <c r="G91" s="15"/>
      <c r="H91" s="15" t="str">
        <f>IFERROR(__xludf.DUMMYFUNCTION("""COMPUTED_VALUE"""),"?r=1")</f>
        <v>?r=1</v>
      </c>
      <c r="I91" s="15"/>
      <c r="J91" s="15" t="str">
        <f>IFERROR(__xludf.DUMMYFUNCTION("""COMPUTED_VALUE"""),"Active")</f>
        <v>Active</v>
      </c>
      <c r="K91" s="15" t="str">
        <f>IFERROR(__xludf.DUMMYFUNCTION("""COMPUTED_VALUE"""),"No")</f>
        <v>No</v>
      </c>
      <c r="L91" s="15" t="str">
        <f>IFERROR(__xludf.DUMMYFUNCTION("""COMPUTED_VALUE"""),"Ritu")</f>
        <v>Ritu</v>
      </c>
      <c r="M91" s="15"/>
      <c r="N91" s="15"/>
      <c r="O91" s="15"/>
      <c r="P91" s="15" t="str">
        <f>IFERROR(__xludf.DUMMYFUNCTION("""COMPUTED_VALUE"""),"Not Started")</f>
        <v>Not Started</v>
      </c>
      <c r="Q91" s="15"/>
      <c r="R91" s="15"/>
      <c r="S91" s="15"/>
      <c r="T91" s="15"/>
      <c r="U91" s="15"/>
      <c r="V91" s="15"/>
    </row>
    <row r="92">
      <c r="A92" s="15">
        <f>IFERROR(__xludf.DUMMYFUNCTION("""COMPUTED_VALUE"""),50168.0)</f>
        <v>50168</v>
      </c>
      <c r="B92" s="15" t="str">
        <f>IFERROR(__xludf.DUMMYFUNCTION("""COMPUTED_VALUE"""),"Skillyukt ")</f>
        <v>Skillyukt </v>
      </c>
      <c r="C92" s="15" t="str">
        <f>IFERROR(__xludf.DUMMYFUNCTION("""COMPUTED_VALUE"""),"Life skills/Lifestyle")</f>
        <v>Life skills/Lifestyle</v>
      </c>
      <c r="D92" s="15" t="str">
        <f>IFERROR(__xludf.DUMMYFUNCTION("""COMPUTED_VALUE"""),"Sales")</f>
        <v>Sales</v>
      </c>
      <c r="E92" s="54" t="str">
        <f>IFERROR(__xludf.DUMMYFUNCTION("""COMPUTED_VALUE"""),"http://data.likeminds.community/public/dashboards/l0vCyIV3xnIKh5BHH22FtI89oGA5gVu3Owzo7Djk?org_slug=default")</f>
        <v>http://data.likeminds.community/public/dashboards/l0vCyIV3xnIKh5BHH22FtI89oGA5gVu3Owzo7Djk?org_slug=default</v>
      </c>
      <c r="F92" s="54" t="str">
        <f>IFERROR(__xludf.DUMMYFUNCTION("""COMPUTED_VALUE"""),"https://collabmates.app.link/EnOFlKNuTgb")</f>
        <v>https://collabmates.app.link/EnOFlKNuTgb</v>
      </c>
      <c r="G92" s="54" t="str">
        <f>IFERROR(__xludf.DUMMYFUNCTION("""COMPUTED_VALUE"""),"https://hi.likeminds.community/d/skillyukt")</f>
        <v>https://hi.likeminds.community/d/skillyukt</v>
      </c>
      <c r="H92" s="54" t="str">
        <f>IFERROR(__xludf.DUMMYFUNCTION("""COMPUTED_VALUE"""),"https://hi.likeminds.community/d/skillyukt?r=1")</f>
        <v>https://hi.likeminds.community/d/skillyukt?r=1</v>
      </c>
      <c r="I92" s="15"/>
      <c r="J92" s="15" t="str">
        <f>IFERROR(__xludf.DUMMYFUNCTION("""COMPUTED_VALUE"""),"Active")</f>
        <v>Active</v>
      </c>
      <c r="K92" s="15" t="str">
        <f>IFERROR(__xludf.DUMMYFUNCTION("""COMPUTED_VALUE"""),"No")</f>
        <v>No</v>
      </c>
      <c r="L92" s="15" t="str">
        <f>IFERROR(__xludf.DUMMYFUNCTION("""COMPUTED_VALUE"""),"Ritu")</f>
        <v>Ritu</v>
      </c>
      <c r="M92" s="15"/>
      <c r="N92" s="15"/>
      <c r="O92" s="15"/>
      <c r="P92" s="15" t="str">
        <f>IFERROR(__xludf.DUMMYFUNCTION("""COMPUTED_VALUE"""),"Not Started")</f>
        <v>Not Started</v>
      </c>
      <c r="Q92" s="15" t="str">
        <f>IFERROR(__xludf.DUMMYFUNCTION("""COMPUTED_VALUE"""),"Yes")</f>
        <v>Yes</v>
      </c>
      <c r="R92" s="15"/>
      <c r="S92" s="15"/>
      <c r="T92" s="15"/>
      <c r="U92" s="15"/>
      <c r="V92" s="15"/>
    </row>
    <row r="93">
      <c r="A93" s="15">
        <f>IFERROR(__xludf.DUMMYFUNCTION("""COMPUTED_VALUE"""),50169.0)</f>
        <v>50169</v>
      </c>
      <c r="B93" s="15" t="str">
        <f>IFERROR(__xludf.DUMMYFUNCTION("""COMPUTED_VALUE"""),"Turning Dreams into Stardom")</f>
        <v>Turning Dreams into Stardom</v>
      </c>
      <c r="C93" s="15" t="str">
        <f>IFERROR(__xludf.DUMMYFUNCTION("""COMPUTED_VALUE"""),"Career building")</f>
        <v>Career building</v>
      </c>
      <c r="D93" s="15" t="str">
        <f>IFERROR(__xludf.DUMMYFUNCTION("""COMPUTED_VALUE"""),"Sales")</f>
        <v>Sales</v>
      </c>
      <c r="E93" s="54" t="str">
        <f>IFERROR(__xludf.DUMMYFUNCTION("""COMPUTED_VALUE"""),"http://data.likeminds.community/public/dashboards/1txHS87gwdvjb5EN0PE0iPkTq5OBxHgIWXmT3ZOL?org_slug=default")</f>
        <v>http://data.likeminds.community/public/dashboards/1txHS87gwdvjb5EN0PE0iPkTq5OBxHgIWXmT3ZOL?org_slug=default</v>
      </c>
      <c r="F93" s="54" t="str">
        <f>IFERROR(__xludf.DUMMYFUNCTION("""COMPUTED_VALUE"""),"https://collabmates.app.link/2olEaZUQTgb")</f>
        <v>https://collabmates.app.link/2olEaZUQTgb</v>
      </c>
      <c r="G93" s="54" t="str">
        <f>IFERROR(__xludf.DUMMYFUNCTION("""COMPUTED_VALUE"""),"https://hi.likeminds.community/d/pooja-misra")</f>
        <v>https://hi.likeminds.community/d/pooja-misra</v>
      </c>
      <c r="H93" s="54" t="str">
        <f>IFERROR(__xludf.DUMMYFUNCTION("""COMPUTED_VALUE"""),"https://hi.likeminds.community/d/pooja-misra?r=1")</f>
        <v>https://hi.likeminds.community/d/pooja-misra?r=1</v>
      </c>
      <c r="I93" s="15"/>
      <c r="J93" s="15" t="str">
        <f>IFERROR(__xludf.DUMMYFUNCTION("""COMPUTED_VALUE"""),"Active")</f>
        <v>Active</v>
      </c>
      <c r="K93" s="15" t="str">
        <f>IFERROR(__xludf.DUMMYFUNCTION("""COMPUTED_VALUE"""),"No")</f>
        <v>No</v>
      </c>
      <c r="L93" s="15" t="str">
        <f>IFERROR(__xludf.DUMMYFUNCTION("""COMPUTED_VALUE"""),"Dev ")</f>
        <v>Dev </v>
      </c>
      <c r="M93" s="15"/>
      <c r="N93" s="15"/>
      <c r="O93" s="15"/>
      <c r="P93" s="15" t="str">
        <f>IFERROR(__xludf.DUMMYFUNCTION("""COMPUTED_VALUE"""),"Not Started")</f>
        <v>Not Started</v>
      </c>
      <c r="Q93" s="15" t="str">
        <f>IFERROR(__xludf.DUMMYFUNCTION("""COMPUTED_VALUE"""),"Yes")</f>
        <v>Yes</v>
      </c>
      <c r="R93" s="15"/>
      <c r="S93" s="15"/>
      <c r="T93" s="15"/>
      <c r="U93" s="15"/>
      <c r="V93" s="15"/>
    </row>
    <row r="94">
      <c r="A94" s="15">
        <f>IFERROR(__xludf.DUMMYFUNCTION("""COMPUTED_VALUE"""),49813.0)</f>
        <v>49813</v>
      </c>
      <c r="B94" s="15" t="str">
        <f>IFERROR(__xludf.DUMMYFUNCTION("""COMPUTED_VALUE"""),"Mom Shares Club")</f>
        <v>Mom Shares Club</v>
      </c>
      <c r="C94" s="15" t="str">
        <f>IFERROR(__xludf.DUMMYFUNCTION("""COMPUTED_VALUE"""),"Micro-entrepreneurship")</f>
        <v>Micro-entrepreneurship</v>
      </c>
      <c r="D94" s="15" t="str">
        <f>IFERROR(__xludf.DUMMYFUNCTION("""COMPUTED_VALUE"""),"Marketing")</f>
        <v>Marketing</v>
      </c>
      <c r="E94" s="54" t="str">
        <f>IFERROR(__xludf.DUMMYFUNCTION("""COMPUTED_VALUE"""),"http://data.likeminds.community/public/dashboards/3ujkUU037ElYiYeAhNwlq3ebfvOshFKACYGHEIto?org_slug=default")</f>
        <v>http://data.likeminds.community/public/dashboards/3ujkUU037ElYiYeAhNwlq3ebfvOshFKACYGHEIto?org_slug=default</v>
      </c>
      <c r="F94" s="15"/>
      <c r="G94" s="54" t="str">
        <f>IFERROR(__xludf.DUMMYFUNCTION("""COMPUTED_VALUE"""),"https://hi.likeminds.community/mom-shares-club")</f>
        <v>https://hi.likeminds.community/mom-shares-club</v>
      </c>
      <c r="H94" s="54" t="str">
        <f>IFERROR(__xludf.DUMMYFUNCTION("""COMPUTED_VALUE"""),"https://hi.likeminds.community/mom-shares-club?r=1")</f>
        <v>https://hi.likeminds.community/mom-shares-club?r=1</v>
      </c>
      <c r="I94" s="15"/>
      <c r="J94" s="15" t="str">
        <f>IFERROR(__xludf.DUMMYFUNCTION("""COMPUTED_VALUE"""),"Active")</f>
        <v>Active</v>
      </c>
      <c r="K94" s="15" t="str">
        <f>IFERROR(__xludf.DUMMYFUNCTION("""COMPUTED_VALUE"""),"Yes")</f>
        <v>Yes</v>
      </c>
      <c r="L94" s="15" t="str">
        <f>IFERROR(__xludf.DUMMYFUNCTION("""COMPUTED_VALUE"""),"Akshita")</f>
        <v>Akshita</v>
      </c>
      <c r="M94" s="15" t="str">
        <f>IFERROR(__xludf.DUMMYFUNCTION("""COMPUTED_VALUE"""),"Ruchi Tibrewal")</f>
        <v>Ruchi Tibrewal</v>
      </c>
      <c r="N94" s="15"/>
      <c r="O94" s="15"/>
      <c r="P94" s="15" t="str">
        <f>IFERROR(__xludf.DUMMYFUNCTION("""COMPUTED_VALUE"""),"Paused")</f>
        <v>Paused</v>
      </c>
      <c r="Q94" s="15"/>
      <c r="R94" s="15"/>
      <c r="S94" s="15"/>
      <c r="T94" s="15"/>
      <c r="U94" s="15"/>
      <c r="V94" s="15"/>
    </row>
    <row r="95">
      <c r="A95" s="15">
        <f>IFERROR(__xludf.DUMMYFUNCTION("""COMPUTED_VALUE"""),49844.0)</f>
        <v>49844</v>
      </c>
      <c r="B95" s="15" t="str">
        <f>IFERROR(__xludf.DUMMYFUNCTION("""COMPUTED_VALUE"""),"Pharmacology Insiders")</f>
        <v>Pharmacology Insiders</v>
      </c>
      <c r="C95" s="15" t="str">
        <f>IFERROR(__xludf.DUMMYFUNCTION("""COMPUTED_VALUE"""),"Career building")</f>
        <v>Career building</v>
      </c>
      <c r="D95" s="15" t="str">
        <f>IFERROR(__xludf.DUMMYFUNCTION("""COMPUTED_VALUE"""),"Marketing")</f>
        <v>Marketing</v>
      </c>
      <c r="E95" s="54" t="str">
        <f>IFERROR(__xludf.DUMMYFUNCTION("""COMPUTED_VALUE"""),"http://data.likeminds.community/public/dashboards/ac3JaW0LZ3y0e9KbSZ2HAldFAix57Qwp2CdDg5F0?org_slug=default")</f>
        <v>http://data.likeminds.community/public/dashboards/ac3JaW0LZ3y0e9KbSZ2HAldFAix57Qwp2CdDg5F0?org_slug=default</v>
      </c>
      <c r="F95" s="15"/>
      <c r="G95" s="54" t="str">
        <f>IFERROR(__xludf.DUMMYFUNCTION("""COMPUTED_VALUE"""),"https://hi.likeminds.community/pharmacology-insiders")</f>
        <v>https://hi.likeminds.community/pharmacology-insiders</v>
      </c>
      <c r="H95" s="54" t="str">
        <f>IFERROR(__xludf.DUMMYFUNCTION("""COMPUTED_VALUE"""),"https://hi.likeminds.community/pharmacology-insiders?r=1")</f>
        <v>https://hi.likeminds.community/pharmacology-insiders?r=1</v>
      </c>
      <c r="I95" s="15"/>
      <c r="J95" s="15" t="str">
        <f>IFERROR(__xludf.DUMMYFUNCTION("""COMPUTED_VALUE"""),"Active")</f>
        <v>Active</v>
      </c>
      <c r="K95" s="15" t="str">
        <f>IFERROR(__xludf.DUMMYFUNCTION("""COMPUTED_VALUE"""),"Yes")</f>
        <v>Yes</v>
      </c>
      <c r="L95" s="15" t="str">
        <f>IFERROR(__xludf.DUMMYFUNCTION("""COMPUTED_VALUE"""),"Trishna")</f>
        <v>Trishna</v>
      </c>
      <c r="M95" s="15"/>
      <c r="N95" s="15"/>
      <c r="O95" s="15"/>
      <c r="P95" s="15" t="str">
        <f>IFERROR(__xludf.DUMMYFUNCTION("""COMPUTED_VALUE"""),"Live")</f>
        <v>Live</v>
      </c>
      <c r="Q95" s="15"/>
      <c r="R95" s="15"/>
      <c r="S95" s="15"/>
      <c r="T95" s="15"/>
      <c r="U95" s="15"/>
      <c r="V95" s="15"/>
    </row>
    <row r="96">
      <c r="A96" s="15">
        <f>IFERROR(__xludf.DUMMYFUNCTION("""COMPUTED_VALUE"""),49907.0)</f>
        <v>49907</v>
      </c>
      <c r="B96" s="15" t="str">
        <f>IFERROR(__xludf.DUMMYFUNCTION("""COMPUTED_VALUE"""),"Exa-Python Community")</f>
        <v>Exa-Python Community</v>
      </c>
      <c r="C96" s="15" t="str">
        <f>IFERROR(__xludf.DUMMYFUNCTION("""COMPUTED_VALUE"""),"Career building")</f>
        <v>Career building</v>
      </c>
      <c r="D96" s="15" t="str">
        <f>IFERROR(__xludf.DUMMYFUNCTION("""COMPUTED_VALUE"""),"Marketing")</f>
        <v>Marketing</v>
      </c>
      <c r="E96" s="54" t="str">
        <f>IFERROR(__xludf.DUMMYFUNCTION("""COMPUTED_VALUE"""),"http://data.likeminds.community/public/dashboards/x5kUUQAcVHyck9ezPvQeXOSxzvu6qT3OOQ1YxhA8?org_slug=default")</f>
        <v>http://data.likeminds.community/public/dashboards/x5kUUQAcVHyck9ezPvQeXOSxzvu6qT3OOQ1YxhA8?org_slug=default</v>
      </c>
      <c r="F96" s="15"/>
      <c r="G96" s="54" t="str">
        <f>IFERROR(__xludf.DUMMYFUNCTION("""COMPUTED_VALUE"""),"https://hi.likeminds.community/exapython")</f>
        <v>https://hi.likeminds.community/exapython</v>
      </c>
      <c r="H96" s="54" t="str">
        <f>IFERROR(__xludf.DUMMYFUNCTION("""COMPUTED_VALUE"""),"https://hi.likeminds.community/exapython?r=1")</f>
        <v>https://hi.likeminds.community/exapython?r=1</v>
      </c>
      <c r="I96" s="15"/>
      <c r="J96" s="15" t="str">
        <f>IFERROR(__xludf.DUMMYFUNCTION("""COMPUTED_VALUE"""),"Active")</f>
        <v>Active</v>
      </c>
      <c r="K96" s="15" t="str">
        <f>IFERROR(__xludf.DUMMYFUNCTION("""COMPUTED_VALUE"""),"Yes")</f>
        <v>Yes</v>
      </c>
      <c r="L96" s="15" t="str">
        <f>IFERROR(__xludf.DUMMYFUNCTION("""COMPUTED_VALUE"""),"Trishna")</f>
        <v>Trishna</v>
      </c>
      <c r="M96" s="15"/>
      <c r="N96" s="15"/>
      <c r="O96" s="15"/>
      <c r="P96" s="15" t="str">
        <f>IFERROR(__xludf.DUMMYFUNCTION("""COMPUTED_VALUE"""),"Live")</f>
        <v>Live</v>
      </c>
      <c r="Q96" s="15"/>
      <c r="R96" s="15"/>
      <c r="S96" s="15"/>
      <c r="T96" s="15"/>
      <c r="U96" s="15"/>
      <c r="V96" s="15"/>
    </row>
    <row r="97">
      <c r="A97" s="15">
        <f>IFERROR(__xludf.DUMMYFUNCTION("""COMPUTED_VALUE"""),50073.0)</f>
        <v>50073</v>
      </c>
      <c r="B97" s="15" t="str">
        <f>IFERROR(__xludf.DUMMYFUNCTION("""COMPUTED_VALUE"""),"Well being")</f>
        <v>Well being</v>
      </c>
      <c r="C97" s="15" t="str">
        <f>IFERROR(__xludf.DUMMYFUNCTION("""COMPUTED_VALUE"""),"Health &amp; fitness")</f>
        <v>Health &amp; fitness</v>
      </c>
      <c r="D97" s="15" t="str">
        <f>IFERROR(__xludf.DUMMYFUNCTION("""COMPUTED_VALUE"""),"Marketing")</f>
        <v>Marketing</v>
      </c>
      <c r="E97" s="54" t="str">
        <f>IFERROR(__xludf.DUMMYFUNCTION("""COMPUTED_VALUE"""),"http://data.likeminds.community/public/dashboards/UJppAywhA2gFeR5UIiKCVkKJMzeJpimsHQtikK8j?org_slug=default")</f>
        <v>http://data.likeminds.community/public/dashboards/UJppAywhA2gFeR5UIiKCVkKJMzeJpimsHQtikK8j?org_slug=default</v>
      </c>
      <c r="F97" s="15"/>
      <c r="G97" s="54" t="str">
        <f>IFERROR(__xludf.DUMMYFUNCTION("""COMPUTED_VALUE"""),"https://hi.likeminds.community/well-being")</f>
        <v>https://hi.likeminds.community/well-being</v>
      </c>
      <c r="H97" s="54" t="str">
        <f>IFERROR(__xludf.DUMMYFUNCTION("""COMPUTED_VALUE"""),"https://hi.likeminds.community/well-being-renewal")</f>
        <v>https://hi.likeminds.community/well-being-renewal</v>
      </c>
      <c r="I97" s="15"/>
      <c r="J97" s="15" t="str">
        <f>IFERROR(__xludf.DUMMYFUNCTION("""COMPUTED_VALUE"""),"Active")</f>
        <v>Active</v>
      </c>
      <c r="K97" s="15" t="str">
        <f>IFERROR(__xludf.DUMMYFUNCTION("""COMPUTED_VALUE"""),"Yes")</f>
        <v>Yes</v>
      </c>
      <c r="L97" s="15" t="str">
        <f>IFERROR(__xludf.DUMMYFUNCTION("""COMPUTED_VALUE"""),"Akshita")</f>
        <v>Akshita</v>
      </c>
      <c r="M97" s="15" t="str">
        <f>IFERROR(__xludf.DUMMYFUNCTION("""COMPUTED_VALUE"""),"Prakruti Mehta")</f>
        <v>Prakruti Mehta</v>
      </c>
      <c r="N97" s="15"/>
      <c r="O97" s="15"/>
      <c r="P97" s="15" t="str">
        <f>IFERROR(__xludf.DUMMYFUNCTION("""COMPUTED_VALUE"""),"Live")</f>
        <v>Live</v>
      </c>
      <c r="Q97" s="15"/>
      <c r="R97" s="15"/>
      <c r="S97" s="15"/>
      <c r="T97" s="15"/>
      <c r="U97" s="15"/>
      <c r="V97" s="15"/>
    </row>
    <row r="98">
      <c r="A98" s="15">
        <f>IFERROR(__xludf.DUMMYFUNCTION("""COMPUTED_VALUE"""),49835.0)</f>
        <v>49835</v>
      </c>
      <c r="B98" s="15" t="str">
        <f>IFERROR(__xludf.DUMMYFUNCTION("""COMPUTED_VALUE"""),"The Fin Street")</f>
        <v>The Fin Street</v>
      </c>
      <c r="C98" s="15" t="str">
        <f>IFERROR(__xludf.DUMMYFUNCTION("""COMPUTED_VALUE"""),"Life skills/Lifestyle")</f>
        <v>Life skills/Lifestyle</v>
      </c>
      <c r="D98" s="15" t="str">
        <f>IFERROR(__xludf.DUMMYFUNCTION("""COMPUTED_VALUE"""),"Marketing")</f>
        <v>Marketing</v>
      </c>
      <c r="E98" s="54" t="str">
        <f>IFERROR(__xludf.DUMMYFUNCTION("""COMPUTED_VALUE"""),"http://data.likeminds.community/public/dashboards/9Bv8AKbIf3j6qBt7Xt452NB49H1A2ElfYvWeHdjA?org_slug=default")</f>
        <v>http://data.likeminds.community/public/dashboards/9Bv8AKbIf3j6qBt7Xt452NB49H1A2ElfYvWeHdjA?org_slug=default</v>
      </c>
      <c r="F98" s="15"/>
      <c r="G98" s="54" t="str">
        <f>IFERROR(__xludf.DUMMYFUNCTION("""COMPUTED_VALUE"""),"https://hi.likeminds.community/finstreet")</f>
        <v>https://hi.likeminds.community/finstreet</v>
      </c>
      <c r="H98" s="54" t="str">
        <f>IFERROR(__xludf.DUMMYFUNCTION("""COMPUTED_VALUE"""),"https://hi.likeminds.community/finstreet?r=1")</f>
        <v>https://hi.likeminds.community/finstreet?r=1</v>
      </c>
      <c r="I98" s="15"/>
      <c r="J98" s="15" t="str">
        <f>IFERROR(__xludf.DUMMYFUNCTION("""COMPUTED_VALUE"""),"Active")</f>
        <v>Active</v>
      </c>
      <c r="K98" s="15" t="str">
        <f>IFERROR(__xludf.DUMMYFUNCTION("""COMPUTED_VALUE"""),"Yes")</f>
        <v>Yes</v>
      </c>
      <c r="L98" s="15" t="str">
        <f>IFERROR(__xludf.DUMMYFUNCTION("""COMPUTED_VALUE"""),"Akshita")</f>
        <v>Akshita</v>
      </c>
      <c r="M98" s="15" t="str">
        <f>IFERROR(__xludf.DUMMYFUNCTION("""COMPUTED_VALUE"""),"Naman")</f>
        <v>Naman</v>
      </c>
      <c r="N98" s="15"/>
      <c r="O98" s="15"/>
      <c r="P98" s="15" t="str">
        <f>IFERROR(__xludf.DUMMYFUNCTION("""COMPUTED_VALUE"""),"Live")</f>
        <v>Live</v>
      </c>
      <c r="Q98" s="15"/>
      <c r="R98" s="15"/>
      <c r="S98" s="15"/>
      <c r="T98" s="15"/>
      <c r="U98" s="15"/>
      <c r="V98" s="15"/>
    </row>
    <row r="99">
      <c r="A99" s="15">
        <f>IFERROR(__xludf.DUMMYFUNCTION("""COMPUTED_VALUE"""),49877.0)</f>
        <v>49877</v>
      </c>
      <c r="B99" s="15" t="str">
        <f>IFERROR(__xludf.DUMMYFUNCTION("""COMPUTED_VALUE"""),"Hiraeth ")</f>
        <v>Hiraeth </v>
      </c>
      <c r="C99" s="15" t="str">
        <f>IFERROR(__xludf.DUMMYFUNCTION("""COMPUTED_VALUE"""),"Life skills/Lifestyle")</f>
        <v>Life skills/Lifestyle</v>
      </c>
      <c r="D99" s="15" t="str">
        <f>IFERROR(__xludf.DUMMYFUNCTION("""COMPUTED_VALUE"""),"Marketing")</f>
        <v>Marketing</v>
      </c>
      <c r="E99" s="54" t="str">
        <f>IFERROR(__xludf.DUMMYFUNCTION("""COMPUTED_VALUE"""),"http://data.likeminds.community/public/dashboards/EV4bQQ134AyWokL7qNasign3pGunotvKTKTk5xjl?org_slug=default")</f>
        <v>http://data.likeminds.community/public/dashboards/EV4bQQ134AyWokL7qNasign3pGunotvKTKTk5xjl?org_slug=default</v>
      </c>
      <c r="F99" s="15"/>
      <c r="G99" s="54" t="str">
        <f>IFERROR(__xludf.DUMMYFUNCTION("""COMPUTED_VALUE"""),"https://hi.likeminds.community/hiraeth")</f>
        <v>https://hi.likeminds.community/hiraeth</v>
      </c>
      <c r="H99" s="54" t="str">
        <f>IFERROR(__xludf.DUMMYFUNCTION("""COMPUTED_VALUE"""),"https://hi.likeminds.community/hiraeth?r=1")</f>
        <v>https://hi.likeminds.community/hiraeth?r=1</v>
      </c>
      <c r="I99" s="15"/>
      <c r="J99" s="15" t="str">
        <f>IFERROR(__xludf.DUMMYFUNCTION("""COMPUTED_VALUE"""),"Paused")</f>
        <v>Paused</v>
      </c>
      <c r="K99" s="15" t="str">
        <f>IFERROR(__xludf.DUMMYFUNCTION("""COMPUTED_VALUE"""),"Yes")</f>
        <v>Yes</v>
      </c>
      <c r="L99" s="15"/>
      <c r="M99" s="15"/>
      <c r="N99" s="15"/>
      <c r="O99" s="15"/>
      <c r="P99" s="15" t="str">
        <f>IFERROR(__xludf.DUMMYFUNCTION("""COMPUTED_VALUE"""),"Paused")</f>
        <v>Paused</v>
      </c>
      <c r="Q99" s="15"/>
      <c r="R99" s="15"/>
      <c r="S99" s="15"/>
      <c r="T99" s="15"/>
      <c r="U99" s="15"/>
      <c r="V99" s="15"/>
    </row>
    <row r="100">
      <c r="A100" s="15">
        <f>IFERROR(__xludf.DUMMYFUNCTION("""COMPUTED_VALUE"""),49859.0)</f>
        <v>49859</v>
      </c>
      <c r="B100" s="15" t="str">
        <f>IFERROR(__xludf.DUMMYFUNCTION("""COMPUTED_VALUE"""),"Ladies &amp; Gentlemen ")</f>
        <v>Ladies &amp; Gentlemen </v>
      </c>
      <c r="C100" s="15" t="str">
        <f>IFERROR(__xludf.DUMMYFUNCTION("""COMPUTED_VALUE"""),"Life skills/Lifestyle")</f>
        <v>Life skills/Lifestyle</v>
      </c>
      <c r="D100" s="15" t="str">
        <f>IFERROR(__xludf.DUMMYFUNCTION("""COMPUTED_VALUE"""),"Marketing")</f>
        <v>Marketing</v>
      </c>
      <c r="E100" s="54" t="str">
        <f>IFERROR(__xludf.DUMMYFUNCTION("""COMPUTED_VALUE"""),"http://data.likeminds.community/public/dashboards/a6Qtc4Zc1FWGvkaj7mxsiK3OPlNOd5ZJ29v7ilT8?org_slug=default")</f>
        <v>http://data.likeminds.community/public/dashboards/a6Qtc4Zc1FWGvkaj7mxsiK3OPlNOd5ZJ29v7ilT8?org_slug=default</v>
      </c>
      <c r="F100" s="15"/>
      <c r="G100" s="54" t="str">
        <f>IFERROR(__xludf.DUMMYFUNCTION("""COMPUTED_VALUE"""),"https://hi.likeminds.community/ladies-and-gentlemen")</f>
        <v>https://hi.likeminds.community/ladies-and-gentlemen</v>
      </c>
      <c r="H100" s="54" t="str">
        <f>IFERROR(__xludf.DUMMYFUNCTION("""COMPUTED_VALUE"""),"https://hi.likeminds.community/ladies-and-gentlemen?r=1")</f>
        <v>https://hi.likeminds.community/ladies-and-gentlemen?r=1</v>
      </c>
      <c r="I100" s="15"/>
      <c r="J100" s="15" t="str">
        <f>IFERROR(__xludf.DUMMYFUNCTION("""COMPUTED_VALUE"""),"Active")</f>
        <v>Active</v>
      </c>
      <c r="K100" s="15" t="str">
        <f>IFERROR(__xludf.DUMMYFUNCTION("""COMPUTED_VALUE"""),"Yes")</f>
        <v>Yes</v>
      </c>
      <c r="L100" s="15" t="str">
        <f>IFERROR(__xludf.DUMMYFUNCTION("""COMPUTED_VALUE"""),"Trishna")</f>
        <v>Trishna</v>
      </c>
      <c r="M100" s="15"/>
      <c r="N100" s="15"/>
      <c r="O100" s="15"/>
      <c r="P100" s="15" t="str">
        <f>IFERROR(__xludf.DUMMYFUNCTION("""COMPUTED_VALUE"""),"Live")</f>
        <v>Live</v>
      </c>
      <c r="Q100" s="15"/>
      <c r="R100" s="15"/>
      <c r="S100" s="15"/>
      <c r="T100" s="15"/>
      <c r="U100" s="15"/>
      <c r="V100" s="15"/>
    </row>
    <row r="101">
      <c r="A101" s="15">
        <f>IFERROR(__xludf.DUMMYFUNCTION("""COMPUTED_VALUE"""),49833.0)</f>
        <v>49833</v>
      </c>
      <c r="B101" s="15" t="str">
        <f>IFERROR(__xludf.DUMMYFUNCTION("""COMPUTED_VALUE"""),"Hanhangul")</f>
        <v>Hanhangul</v>
      </c>
      <c r="C101" s="15" t="str">
        <f>IFERROR(__xludf.DUMMYFUNCTION("""COMPUTED_VALUE"""),"Language")</f>
        <v>Language</v>
      </c>
      <c r="D101" s="15" t="str">
        <f>IFERROR(__xludf.DUMMYFUNCTION("""COMPUTED_VALUE"""),"Marketing")</f>
        <v>Marketing</v>
      </c>
      <c r="E101" s="54" t="str">
        <f>IFERROR(__xludf.DUMMYFUNCTION("""COMPUTED_VALUE"""),"http://data.likeminds.community/public/dashboards/1SdlRz1LDvLxb3w1xkDX0sdKlGcYAxD1eRwWPaUh?org_slug=default")</f>
        <v>http://data.likeminds.community/public/dashboards/1SdlRz1LDvLxb3w1xkDX0sdKlGcYAxD1eRwWPaUh?org_slug=default</v>
      </c>
      <c r="F101" s="15"/>
      <c r="G101" s="54" t="str">
        <f>IFERROR(__xludf.DUMMYFUNCTION("""COMPUTED_VALUE"""),"https://hi.likeminds.community/hanhangul")</f>
        <v>https://hi.likeminds.community/hanhangul</v>
      </c>
      <c r="H101" s="54" t="str">
        <f>IFERROR(__xludf.DUMMYFUNCTION("""COMPUTED_VALUE"""),"https://hi.likeminds.community/hanhangul?r=1")</f>
        <v>https://hi.likeminds.community/hanhangul?r=1</v>
      </c>
      <c r="I101" s="15"/>
      <c r="J101" s="15" t="str">
        <f>IFERROR(__xludf.DUMMYFUNCTION("""COMPUTED_VALUE"""),"Active")</f>
        <v>Active</v>
      </c>
      <c r="K101" s="15" t="str">
        <f>IFERROR(__xludf.DUMMYFUNCTION("""COMPUTED_VALUE"""),"Yes")</f>
        <v>Yes</v>
      </c>
      <c r="L101" s="15" t="str">
        <f>IFERROR(__xludf.DUMMYFUNCTION("""COMPUTED_VALUE"""),"Akshita")</f>
        <v>Akshita</v>
      </c>
      <c r="M101" s="15" t="str">
        <f>IFERROR(__xludf.DUMMYFUNCTION("""COMPUTED_VALUE"""),"Smriti Bhardwaj")</f>
        <v>Smriti Bhardwaj</v>
      </c>
      <c r="N101" s="15"/>
      <c r="O101" s="15"/>
      <c r="P101" s="15" t="str">
        <f>IFERROR(__xludf.DUMMYFUNCTION("""COMPUTED_VALUE"""),"Live")</f>
        <v>Live</v>
      </c>
      <c r="Q101" s="15"/>
      <c r="R101" s="15"/>
      <c r="S101" s="15"/>
      <c r="T101" s="15"/>
      <c r="U101" s="15"/>
      <c r="V101" s="15"/>
    </row>
    <row r="102">
      <c r="A102" s="15"/>
      <c r="B102" s="15" t="str">
        <f>IFERROR(__xludf.DUMMYFUNCTION("""COMPUTED_VALUE"""),"Fly High Women ")</f>
        <v>Fly High Women </v>
      </c>
      <c r="C102" s="15" t="str">
        <f>IFERROR(__xludf.DUMMYFUNCTION("""COMPUTED_VALUE"""),"Micro-entrepreneurship")</f>
        <v>Micro-entrepreneurship</v>
      </c>
      <c r="D102" s="15" t="str">
        <f>IFERROR(__xludf.DUMMYFUNCTION("""COMPUTED_VALUE"""),"Sales")</f>
        <v>Sales</v>
      </c>
      <c r="E102" s="15"/>
      <c r="F102" s="15"/>
      <c r="G102" s="54" t="str">
        <f>IFERROR(__xludf.DUMMYFUNCTION("""COMPUTED_VALUE"""),"https://hi.likeminds.community/fly-high-women")</f>
        <v>https://hi.likeminds.community/fly-high-women</v>
      </c>
      <c r="H102" s="54" t="str">
        <f>IFERROR(__xludf.DUMMYFUNCTION("""COMPUTED_VALUE"""),"https://hi.likeminds.community/fly-high-women?r=1")</f>
        <v>https://hi.likeminds.community/fly-high-women?r=1</v>
      </c>
      <c r="I102" s="15"/>
      <c r="J102" s="15" t="str">
        <f>IFERROR(__xludf.DUMMYFUNCTION("""COMPUTED_VALUE"""),"Active")</f>
        <v>Active</v>
      </c>
      <c r="K102" s="15" t="str">
        <f>IFERROR(__xludf.DUMMYFUNCTION("""COMPUTED_VALUE"""),"No")</f>
        <v>No</v>
      </c>
      <c r="L102" s="15" t="str">
        <f>IFERROR(__xludf.DUMMYFUNCTION("""COMPUTED_VALUE"""),"Harnoor")</f>
        <v>Harnoor</v>
      </c>
      <c r="M102" s="15"/>
      <c r="N102" s="15"/>
      <c r="O102" s="15"/>
      <c r="P102" s="15" t="str">
        <f>IFERROR(__xludf.DUMMYFUNCTION("""COMPUTED_VALUE"""),"Not Started")</f>
        <v>Not Started</v>
      </c>
      <c r="Q102" s="15"/>
      <c r="R102" s="15"/>
      <c r="S102" s="15"/>
      <c r="T102" s="15"/>
      <c r="U102" s="15"/>
      <c r="V102" s="15"/>
    </row>
    <row r="103">
      <c r="A103" s="15">
        <f>IFERROR(__xludf.DUMMYFUNCTION("""COMPUTED_VALUE"""),50106.0)</f>
        <v>50106</v>
      </c>
      <c r="B103" s="15" t="str">
        <f>IFERROR(__xludf.DUMMYFUNCTION("""COMPUTED_VALUE"""),"Law Minds ")</f>
        <v>Law Minds </v>
      </c>
      <c r="C103" s="15" t="str">
        <f>IFERROR(__xludf.DUMMYFUNCTION("""COMPUTED_VALUE"""),"Career building")</f>
        <v>Career building</v>
      </c>
      <c r="D103" s="15" t="str">
        <f>IFERROR(__xludf.DUMMYFUNCTION("""COMPUTED_VALUE"""),"Sales")</f>
        <v>Sales</v>
      </c>
      <c r="E103" s="54" t="str">
        <f>IFERROR(__xludf.DUMMYFUNCTION("""COMPUTED_VALUE"""),"http://data.likeminds.community/public/dashboards/ghZNot5iUYZBoMisleqCm74ig1DvFDI31AAKLDJu?org_slug=default")</f>
        <v>http://data.likeminds.community/public/dashboards/ghZNot5iUYZBoMisleqCm74ig1DvFDI31AAKLDJu?org_slug=default</v>
      </c>
      <c r="F103" s="15"/>
      <c r="G103" s="15"/>
      <c r="H103" s="15" t="str">
        <f>IFERROR(__xludf.DUMMYFUNCTION("""COMPUTED_VALUE"""),"?r=1")</f>
        <v>?r=1</v>
      </c>
      <c r="I103" s="15"/>
      <c r="J103" s="15" t="str">
        <f>IFERROR(__xludf.DUMMYFUNCTION("""COMPUTED_VALUE"""),"Active")</f>
        <v>Active</v>
      </c>
      <c r="K103" s="15" t="str">
        <f>IFERROR(__xludf.DUMMYFUNCTION("""COMPUTED_VALUE"""),"No")</f>
        <v>No</v>
      </c>
      <c r="L103" s="15" t="str">
        <f>IFERROR(__xludf.DUMMYFUNCTION("""COMPUTED_VALUE"""),"Dev ")</f>
        <v>Dev </v>
      </c>
      <c r="M103" s="15"/>
      <c r="N103" s="15"/>
      <c r="O103" s="15"/>
      <c r="P103" s="15" t="str">
        <f>IFERROR(__xludf.DUMMYFUNCTION("""COMPUTED_VALUE"""),"Not Started")</f>
        <v>Not Started</v>
      </c>
      <c r="Q103" s="15"/>
      <c r="R103" s="15"/>
      <c r="S103" s="15"/>
      <c r="T103" s="15"/>
      <c r="U103" s="15"/>
      <c r="V103" s="15"/>
    </row>
    <row r="104">
      <c r="A104" s="15">
        <f>IFERROR(__xludf.DUMMYFUNCTION("""COMPUTED_VALUE"""),50111.0)</f>
        <v>50111</v>
      </c>
      <c r="B104" s="15" t="str">
        <f>IFERROR(__xludf.DUMMYFUNCTION("""COMPUTED_VALUE"""),"UnchaAI ")</f>
        <v>UnchaAI </v>
      </c>
      <c r="C104" s="15" t="str">
        <f>IFERROR(__xludf.DUMMYFUNCTION("""COMPUTED_VALUE"""),"Exam prep")</f>
        <v>Exam prep</v>
      </c>
      <c r="D104" s="15" t="str">
        <f>IFERROR(__xludf.DUMMYFUNCTION("""COMPUTED_VALUE"""),"Sales")</f>
        <v>Sales</v>
      </c>
      <c r="E104" s="54" t="str">
        <f>IFERROR(__xludf.DUMMYFUNCTION("""COMPUTED_VALUE"""),"http://data.likeminds.community/public/dashboards/8sFKSGB94dOdfhtPFsgU4A44uyoCHclQzxkDUqGJ?org_slug=default")</f>
        <v>http://data.likeminds.community/public/dashboards/8sFKSGB94dOdfhtPFsgU4A44uyoCHclQzxkDUqGJ?org_slug=default</v>
      </c>
      <c r="F104" s="54" t="str">
        <f>IFERROR(__xludf.DUMMYFUNCTION("""COMPUTED_VALUE"""),"https://collabmates.app.link/HKSFsQFqpgb")</f>
        <v>https://collabmates.app.link/HKSFsQFqpgb</v>
      </c>
      <c r="G104" s="54" t="str">
        <f>IFERROR(__xludf.DUMMYFUNCTION("""COMPUTED_VALUE"""),"https://hi.likeminds.community/unchaai-register-for-plan")</f>
        <v>https://hi.likeminds.community/unchaai-register-for-plan</v>
      </c>
      <c r="H104" s="54" t="str">
        <f>IFERROR(__xludf.DUMMYFUNCTION("""COMPUTED_VALUE"""),"https://hi.likeminds.community/unchaai-register-for-plan?r=1")</f>
        <v>https://hi.likeminds.community/unchaai-register-for-plan?r=1</v>
      </c>
      <c r="I104" s="15"/>
      <c r="J104" s="15" t="str">
        <f>IFERROR(__xludf.DUMMYFUNCTION("""COMPUTED_VALUE"""),"Active")</f>
        <v>Active</v>
      </c>
      <c r="K104" s="15" t="str">
        <f>IFERROR(__xludf.DUMMYFUNCTION("""COMPUTED_VALUE"""),"No")</f>
        <v>No</v>
      </c>
      <c r="L104" s="15" t="str">
        <f>IFERROR(__xludf.DUMMYFUNCTION("""COMPUTED_VALUE"""),"Harnoor")</f>
        <v>Harnoor</v>
      </c>
      <c r="M104" s="15" t="str">
        <f>IFERROR(__xludf.DUMMYFUNCTION("""COMPUTED_VALUE"""),"Deepak Kumar")</f>
        <v>Deepak Kumar</v>
      </c>
      <c r="N104" s="54" t="str">
        <f>IFERROR(__xludf.DUMMYFUNCTION("""COMPUTED_VALUE"""),"dk24pk@gmail.com")</f>
        <v>dk24pk@gmail.com</v>
      </c>
      <c r="O104" s="15"/>
      <c r="P104" s="15" t="str">
        <f>IFERROR(__xludf.DUMMYFUNCTION("""COMPUTED_VALUE"""),"Not Started")</f>
        <v>Not Started</v>
      </c>
      <c r="Q104" s="15" t="str">
        <f>IFERROR(__xludf.DUMMYFUNCTION("""COMPUTED_VALUE"""),"Yes")</f>
        <v>Yes</v>
      </c>
      <c r="R104" s="15"/>
      <c r="S104" s="15"/>
      <c r="T104" s="15"/>
      <c r="U104" s="15"/>
      <c r="V104" s="15"/>
    </row>
    <row r="105">
      <c r="A105" s="15">
        <f>IFERROR(__xludf.DUMMYFUNCTION("""COMPUTED_VALUE"""),49958.0)</f>
        <v>49958</v>
      </c>
      <c r="B105" s="15" t="str">
        <f>IFERROR(__xludf.DUMMYFUNCTION("""COMPUTED_VALUE"""),"Write your wrong")</f>
        <v>Write your wrong</v>
      </c>
      <c r="C105" s="15" t="str">
        <f>IFERROR(__xludf.DUMMYFUNCTION("""COMPUTED_VALUE"""),"Career building")</f>
        <v>Career building</v>
      </c>
      <c r="D105" s="15" t="str">
        <f>IFERROR(__xludf.DUMMYFUNCTION("""COMPUTED_VALUE"""),"Marketing")</f>
        <v>Marketing</v>
      </c>
      <c r="E105" s="15"/>
      <c r="F105" s="15"/>
      <c r="G105" s="54" t="str">
        <f>IFERROR(__xludf.DUMMYFUNCTION("""COMPUTED_VALUE"""),"https://hi.likeminds.community/write-your-wrong")</f>
        <v>https://hi.likeminds.community/write-your-wrong</v>
      </c>
      <c r="H105" s="54" t="str">
        <f>IFERROR(__xludf.DUMMYFUNCTION("""COMPUTED_VALUE"""),"https://hi.likeminds.community/write-your-wrong?r=1")</f>
        <v>https://hi.likeminds.community/write-your-wrong?r=1</v>
      </c>
      <c r="I105" s="15"/>
      <c r="J105" s="15" t="str">
        <f>IFERROR(__xludf.DUMMYFUNCTION("""COMPUTED_VALUE"""),"Paused")</f>
        <v>Paused</v>
      </c>
      <c r="K105" s="15" t="str">
        <f>IFERROR(__xludf.DUMMYFUNCTION("""COMPUTED_VALUE"""),"Yes")</f>
        <v>Yes</v>
      </c>
      <c r="L105" s="15" t="str">
        <f>IFERROR(__xludf.DUMMYFUNCTION("""COMPUTED_VALUE"""),"Trishna")</f>
        <v>Trishna</v>
      </c>
      <c r="M105" s="15"/>
      <c r="N105" s="15"/>
      <c r="O105" s="15"/>
      <c r="P105" s="15" t="str">
        <f>IFERROR(__xludf.DUMMYFUNCTION("""COMPUTED_VALUE"""),"Paused")</f>
        <v>Paused</v>
      </c>
      <c r="Q105" s="15"/>
      <c r="R105" s="15"/>
      <c r="S105" s="15"/>
      <c r="T105" s="15"/>
      <c r="U105" s="15"/>
      <c r="V105" s="15"/>
    </row>
    <row r="106">
      <c r="A106" s="15">
        <f>IFERROR(__xludf.DUMMYFUNCTION("""COMPUTED_VALUE"""),50167.0)</f>
        <v>50167</v>
      </c>
      <c r="B106" s="15" t="str">
        <f>IFERROR(__xludf.DUMMYFUNCTION("""COMPUTED_VALUE"""),"Tribe Numerology")</f>
        <v>Tribe Numerology</v>
      </c>
      <c r="C106" s="15" t="str">
        <f>IFERROR(__xludf.DUMMYFUNCTION("""COMPUTED_VALUE"""),"Life skills/Lifestyle")</f>
        <v>Life skills/Lifestyle</v>
      </c>
      <c r="D106" s="15" t="str">
        <f>IFERROR(__xludf.DUMMYFUNCTION("""COMPUTED_VALUE"""),"Marketing")</f>
        <v>Marketing</v>
      </c>
      <c r="E106" s="54" t="str">
        <f>IFERROR(__xludf.DUMMYFUNCTION("""COMPUTED_VALUE"""),"http://data.likeminds.community/public/dashboards/6LHy7RMlsKOLCB8FgqHucC9Z3zhfgAxJeSxv79DK?org_slug=default")</f>
        <v>http://data.likeminds.community/public/dashboards/6LHy7RMlsKOLCB8FgqHucC9Z3zhfgAxJeSxv79DK?org_slug=default</v>
      </c>
      <c r="F106" s="54" t="str">
        <f>IFERROR(__xludf.DUMMYFUNCTION("""COMPUTED_VALUE"""),"https://collabmates.app.link/KQFdcqjiTgb")</f>
        <v>https://collabmates.app.link/KQFdcqjiTgb</v>
      </c>
      <c r="G106" s="15"/>
      <c r="H106" s="15" t="str">
        <f>IFERROR(__xludf.DUMMYFUNCTION("""COMPUTED_VALUE"""),"?r=1")</f>
        <v>?r=1</v>
      </c>
      <c r="I106" s="15"/>
      <c r="J106" s="15" t="str">
        <f>IFERROR(__xludf.DUMMYFUNCTION("""COMPUTED_VALUE"""),"Active")</f>
        <v>Active</v>
      </c>
      <c r="K106" s="15" t="str">
        <f>IFERROR(__xludf.DUMMYFUNCTION("""COMPUTED_VALUE"""),"Yes")</f>
        <v>Yes</v>
      </c>
      <c r="L106" s="15" t="str">
        <f>IFERROR(__xludf.DUMMYFUNCTION("""COMPUTED_VALUE"""),"Mansi")</f>
        <v>Mansi</v>
      </c>
      <c r="M106" s="15" t="str">
        <f>IFERROR(__xludf.DUMMYFUNCTION("""COMPUTED_VALUE"""),"Reena")</f>
        <v>Reena</v>
      </c>
      <c r="N106" s="15" t="str">
        <f>IFERROR(__xludf.DUMMYFUNCTION("""COMPUTED_VALUE"""),"reenajagwani@gmail.com")</f>
        <v>reenajagwani@gmail.com</v>
      </c>
      <c r="O106" s="15" t="str">
        <f>IFERROR(__xludf.DUMMYFUNCTION("""COMPUTED_VALUE"""),"99207 23069")</f>
        <v>99207 23069</v>
      </c>
      <c r="P106" s="15" t="str">
        <f>IFERROR(__xludf.DUMMYFUNCTION("""COMPUTED_VALUE"""),"Not Started")</f>
        <v>Not Started</v>
      </c>
      <c r="Q106" s="15"/>
      <c r="R106" s="15"/>
      <c r="S106" s="15"/>
      <c r="T106" s="15"/>
      <c r="U106" s="15"/>
      <c r="V106" s="15"/>
    </row>
    <row r="107">
      <c r="A107" s="15">
        <f>IFERROR(__xludf.DUMMYFUNCTION("""COMPUTED_VALUE"""),50175.0)</f>
        <v>50175</v>
      </c>
      <c r="B107" s="15" t="str">
        <f>IFERROR(__xludf.DUMMYFUNCTION("""COMPUTED_VALUE""")," Communication Circuit")</f>
        <v> Communication Circuit</v>
      </c>
      <c r="C107" s="15" t="str">
        <f>IFERROR(__xludf.DUMMYFUNCTION("""COMPUTED_VALUE"""),"Life skills/Lifestyle")</f>
        <v>Life skills/Lifestyle</v>
      </c>
      <c r="D107" s="15" t="str">
        <f>IFERROR(__xludf.DUMMYFUNCTION("""COMPUTED_VALUE"""),"Marketing")</f>
        <v>Marketing</v>
      </c>
      <c r="E107" s="54" t="str">
        <f>IFERROR(__xludf.DUMMYFUNCTION("""COMPUTED_VALUE"""),"http://data.likeminds.community/public/dashboards/XYesEpeLUXHGwbEiEFDSesJwEXHffE4tJpwR4SyE?org_slug=default")</f>
        <v>http://data.likeminds.community/public/dashboards/XYesEpeLUXHGwbEiEFDSesJwEXHffE4tJpwR4SyE?org_slug=default</v>
      </c>
      <c r="F107" s="54" t="str">
        <f>IFERROR(__xludf.DUMMYFUNCTION("""COMPUTED_VALUE"""),"https://collabmates.app.link/fajaNTXs1gb")</f>
        <v>https://collabmates.app.link/fajaNTXs1gb</v>
      </c>
      <c r="G107" s="15"/>
      <c r="H107" s="15" t="str">
        <f>IFERROR(__xludf.DUMMYFUNCTION("""COMPUTED_VALUE"""),"?r=1")</f>
        <v>?r=1</v>
      </c>
      <c r="I107" s="15"/>
      <c r="J107" s="15" t="str">
        <f>IFERROR(__xludf.DUMMYFUNCTION("""COMPUTED_VALUE"""),"Active")</f>
        <v>Active</v>
      </c>
      <c r="K107" s="15" t="str">
        <f>IFERROR(__xludf.DUMMYFUNCTION("""COMPUTED_VALUE"""),"Yes")</f>
        <v>Yes</v>
      </c>
      <c r="L107" s="15" t="str">
        <f>IFERROR(__xludf.DUMMYFUNCTION("""COMPUTED_VALUE"""),"Mansi")</f>
        <v>Mansi</v>
      </c>
      <c r="M107" s="15" t="str">
        <f>IFERROR(__xludf.DUMMYFUNCTION("""COMPUTED_VALUE"""),"Mamta Sahni")</f>
        <v>Mamta Sahni</v>
      </c>
      <c r="N107" s="15" t="str">
        <f>IFERROR(__xludf.DUMMYFUNCTION("""COMPUTED_VALUE"""),"mamtagodigital@gmail.com")</f>
        <v>mamtagodigital@gmail.com</v>
      </c>
      <c r="O107" s="15" t="str">
        <f>IFERROR(__xludf.DUMMYFUNCTION("""COMPUTED_VALUE"""),"+919953782400")</f>
        <v>+919953782400</v>
      </c>
      <c r="P107" s="15" t="str">
        <f>IFERROR(__xludf.DUMMYFUNCTION("""COMPUTED_VALUE"""),"Not Started")</f>
        <v>Not Started</v>
      </c>
      <c r="Q107" s="15"/>
      <c r="R107" s="15"/>
      <c r="S107" s="15"/>
      <c r="T107" s="15"/>
      <c r="U107" s="15"/>
      <c r="V107" s="15"/>
    </row>
    <row r="108">
      <c r="A108" s="15">
        <f>IFERROR(__xludf.DUMMYFUNCTION("""COMPUTED_VALUE"""),50178.0)</f>
        <v>50178</v>
      </c>
      <c r="B108" s="15" t="str">
        <f>IFERROR(__xludf.DUMMYFUNCTION("""COMPUTED_VALUE"""),"BYOB- Be your own brand")</f>
        <v>BYOB- Be your own brand</v>
      </c>
      <c r="C108" s="15" t="str">
        <f>IFERROR(__xludf.DUMMYFUNCTION("""COMPUTED_VALUE"""),"Life skills/Lifestyle")</f>
        <v>Life skills/Lifestyle</v>
      </c>
      <c r="D108" s="15" t="str">
        <f>IFERROR(__xludf.DUMMYFUNCTION("""COMPUTED_VALUE"""),"Marketing")</f>
        <v>Marketing</v>
      </c>
      <c r="E108" s="54" t="str">
        <f>IFERROR(__xludf.DUMMYFUNCTION("""COMPUTED_VALUE"""),"http://data.likeminds.community/public/dashboards/rG59mV3gXSSgc26CZ0mvNRjUn0fRSvIf0IyzP32l?org_slug=default")</f>
        <v>http://data.likeminds.community/public/dashboards/rG59mV3gXSSgc26CZ0mvNRjUn0fRSvIf0IyzP32l?org_slug=default</v>
      </c>
      <c r="F108" s="54" t="str">
        <f>IFERROR(__xludf.DUMMYFUNCTION("""COMPUTED_VALUE"""),"https://collabmates.app.link/Md48mH4X1gb")</f>
        <v>https://collabmates.app.link/Md48mH4X1gb</v>
      </c>
      <c r="G108" s="15"/>
      <c r="H108" s="15" t="str">
        <f>IFERROR(__xludf.DUMMYFUNCTION("""COMPUTED_VALUE"""),"?r=1")</f>
        <v>?r=1</v>
      </c>
      <c r="I108" s="15"/>
      <c r="J108" s="15" t="str">
        <f>IFERROR(__xludf.DUMMYFUNCTION("""COMPUTED_VALUE"""),"Active")</f>
        <v>Active</v>
      </c>
      <c r="K108" s="15" t="str">
        <f>IFERROR(__xludf.DUMMYFUNCTION("""COMPUTED_VALUE"""),"Yes")</f>
        <v>Yes</v>
      </c>
      <c r="L108" s="15" t="str">
        <f>IFERROR(__xludf.DUMMYFUNCTION("""COMPUTED_VALUE"""),"Ritu")</f>
        <v>Ritu</v>
      </c>
      <c r="M108" s="15" t="str">
        <f>IFERROR(__xludf.DUMMYFUNCTION("""COMPUTED_VALUE"""),"Pooja")</f>
        <v>Pooja</v>
      </c>
      <c r="N108" s="15" t="str">
        <f>IFERROR(__xludf.DUMMYFUNCTION("""COMPUTED_VALUE"""),"poojachickynews9@gmail.com")</f>
        <v>poojachickynews9@gmail.com</v>
      </c>
      <c r="O108" s="15" t="str">
        <f>IFERROR(__xludf.DUMMYFUNCTION("""COMPUTED_VALUE"""),"+919663193613")</f>
        <v>+919663193613</v>
      </c>
      <c r="P108" s="15" t="str">
        <f>IFERROR(__xludf.DUMMYFUNCTION("""COMPUTED_VALUE"""),"Not Started")</f>
        <v>Not Started</v>
      </c>
      <c r="Q108" s="15"/>
      <c r="R108" s="15"/>
      <c r="S108" s="15"/>
      <c r="T108" s="15"/>
      <c r="U108" s="15"/>
      <c r="V108" s="15"/>
    </row>
    <row r="109">
      <c r="A109" s="15">
        <f>IFERROR(__xludf.DUMMYFUNCTION("""COMPUTED_VALUE"""),50185.0)</f>
        <v>50185</v>
      </c>
      <c r="B109" s="15" t="str">
        <f>IFERROR(__xludf.DUMMYFUNCTION("""COMPUTED_VALUE"""),"The Winner's Mindset")</f>
        <v>The Winner's Mindset</v>
      </c>
      <c r="C109" s="15" t="str">
        <f>IFERROR(__xludf.DUMMYFUNCTION("""COMPUTED_VALUE"""),"Exam prep")</f>
        <v>Exam prep</v>
      </c>
      <c r="D109" s="15" t="str">
        <f>IFERROR(__xludf.DUMMYFUNCTION("""COMPUTED_VALUE"""),"Marketing")</f>
        <v>Marketing</v>
      </c>
      <c r="E109" s="54" t="str">
        <f>IFERROR(__xludf.DUMMYFUNCTION("""COMPUTED_VALUE"""),"http://data.likeminds.community/public/dashboards/5k6pWgMDSC9rmmCKW3i8pSOVxTgIgBZcJLmeYvfI?org_slug=default")</f>
        <v>http://data.likeminds.community/public/dashboards/5k6pWgMDSC9rmmCKW3i8pSOVxTgIgBZcJLmeYvfI?org_slug=default</v>
      </c>
      <c r="F109" s="54" t="str">
        <f>IFERROR(__xludf.DUMMYFUNCTION("""COMPUTED_VALUE"""),"https://collabmates.app.link/iILWr0HN8gb")</f>
        <v>https://collabmates.app.link/iILWr0HN8gb</v>
      </c>
      <c r="G109" s="15"/>
      <c r="H109" s="15" t="str">
        <f>IFERROR(__xludf.DUMMYFUNCTION("""COMPUTED_VALUE"""),"?r=1")</f>
        <v>?r=1</v>
      </c>
      <c r="I109" s="15"/>
      <c r="J109" s="15" t="str">
        <f>IFERROR(__xludf.DUMMYFUNCTION("""COMPUTED_VALUE"""),"Active")</f>
        <v>Active</v>
      </c>
      <c r="K109" s="15" t="str">
        <f>IFERROR(__xludf.DUMMYFUNCTION("""COMPUTED_VALUE"""),"Yes")</f>
        <v>Yes</v>
      </c>
      <c r="L109" s="15" t="str">
        <f>IFERROR(__xludf.DUMMYFUNCTION("""COMPUTED_VALUE"""),"Priti")</f>
        <v>Priti</v>
      </c>
      <c r="M109" s="15" t="str">
        <f>IFERROR(__xludf.DUMMYFUNCTION("""COMPUTED_VALUE"""),"Samrita")</f>
        <v>Samrita</v>
      </c>
      <c r="N109" s="15" t="str">
        <f>IFERROR(__xludf.DUMMYFUNCTION("""COMPUTED_VALUE"""),"alitasinha@gmail.com")</f>
        <v>alitasinha@gmail.com</v>
      </c>
      <c r="O109" s="15" t="str">
        <f>IFERROR(__xludf.DUMMYFUNCTION("""COMPUTED_VALUE"""),"+916289544639")</f>
        <v>+916289544639</v>
      </c>
      <c r="P109" s="15" t="str">
        <f>IFERROR(__xludf.DUMMYFUNCTION("""COMPUTED_VALUE"""),"Not Started")</f>
        <v>Not Started</v>
      </c>
      <c r="Q109" s="15"/>
      <c r="R109" s="15"/>
      <c r="S109" s="15"/>
      <c r="T109" s="15"/>
      <c r="U109" s="15"/>
      <c r="V109" s="15"/>
    </row>
    <row r="110">
      <c r="A110" s="15"/>
      <c r="B110" s="15" t="str">
        <f>IFERROR(__xludf.DUMMYFUNCTION("""COMPUTED_VALUE"""),"Jugendindia")</f>
        <v>Jugendindia</v>
      </c>
      <c r="C110" s="15" t="str">
        <f>IFERROR(__xludf.DUMMYFUNCTION("""COMPUTED_VALUE"""),"Life skills/Lifestyle")</f>
        <v>Life skills/Lifestyle</v>
      </c>
      <c r="D110" s="15" t="str">
        <f>IFERROR(__xludf.DUMMYFUNCTION("""COMPUTED_VALUE"""),"Marketing")</f>
        <v>Marketing</v>
      </c>
      <c r="E110" s="15"/>
      <c r="F110" s="15"/>
      <c r="G110" s="15"/>
      <c r="H110" s="15" t="str">
        <f>IFERROR(__xludf.DUMMYFUNCTION("""COMPUTED_VALUE"""),"?r=1")</f>
        <v>?r=1</v>
      </c>
      <c r="I110" s="15"/>
      <c r="J110" s="15" t="str">
        <f>IFERROR(__xludf.DUMMYFUNCTION("""COMPUTED_VALUE"""),"Active")</f>
        <v>Active</v>
      </c>
      <c r="K110" s="15" t="str">
        <f>IFERROR(__xludf.DUMMYFUNCTION("""COMPUTED_VALUE"""),"Yes")</f>
        <v>Yes</v>
      </c>
      <c r="L110" s="15" t="str">
        <f>IFERROR(__xludf.DUMMYFUNCTION("""COMPUTED_VALUE"""),"Ritu")</f>
        <v>Ritu</v>
      </c>
      <c r="M110" s="15" t="str">
        <f>IFERROR(__xludf.DUMMYFUNCTION("""COMPUTED_VALUE"""),"Samith Victor Rodrigues")</f>
        <v>Samith Victor Rodrigues</v>
      </c>
      <c r="N110" s="15" t="str">
        <f>IFERROR(__xludf.DUMMYFUNCTION("""COMPUTED_VALUE"""),"samithvictor@gmail.com")</f>
        <v>samithvictor@gmail.com</v>
      </c>
      <c r="O110" s="15" t="str">
        <f>IFERROR(__xludf.DUMMYFUNCTION("""COMPUTED_VALUE"""),"+919738326275")</f>
        <v>+919738326275</v>
      </c>
      <c r="P110" s="15" t="str">
        <f>IFERROR(__xludf.DUMMYFUNCTION("""COMPUTED_VALUE"""),"Not Started")</f>
        <v>Not Started</v>
      </c>
      <c r="Q110" s="15"/>
      <c r="R110" s="15"/>
      <c r="S110" s="15"/>
      <c r="T110" s="15"/>
      <c r="U110" s="15"/>
      <c r="V110" s="15"/>
    </row>
    <row r="111">
      <c r="A111" s="15"/>
      <c r="B111" s="15" t="str">
        <f>IFERROR(__xludf.DUMMYFUNCTION("""COMPUTED_VALUE"""),"Santosh's Community")</f>
        <v>Santosh's Community</v>
      </c>
      <c r="C111" s="15" t="str">
        <f>IFERROR(__xludf.DUMMYFUNCTION("""COMPUTED_VALUE"""),"Language")</f>
        <v>Language</v>
      </c>
      <c r="D111" s="15" t="str">
        <f>IFERROR(__xludf.DUMMYFUNCTION("""COMPUTED_VALUE"""),"Marketing")</f>
        <v>Marketing</v>
      </c>
      <c r="E111" s="15"/>
      <c r="F111" s="15"/>
      <c r="G111" s="15"/>
      <c r="H111" s="15" t="str">
        <f>IFERROR(__xludf.DUMMYFUNCTION("""COMPUTED_VALUE"""),"?r=1")</f>
        <v>?r=1</v>
      </c>
      <c r="I111" s="15"/>
      <c r="J111" s="15" t="str">
        <f>IFERROR(__xludf.DUMMYFUNCTION("""COMPUTED_VALUE"""),"Dropped")</f>
        <v>Dropped</v>
      </c>
      <c r="K111" s="15"/>
      <c r="L111" s="15" t="str">
        <f>IFERROR(__xludf.DUMMYFUNCTION("""COMPUTED_VALUE"""),"Priti")</f>
        <v>Priti</v>
      </c>
      <c r="M111" s="15" t="str">
        <f>IFERROR(__xludf.DUMMYFUNCTION("""COMPUTED_VALUE"""),"Santosh ")</f>
        <v>Santosh </v>
      </c>
      <c r="N111" s="15" t="str">
        <f>IFERROR(__xludf.DUMMYFUNCTION("""COMPUTED_VALUE"""),"xrrx91@gmail.com")</f>
        <v>xrrx91@gmail.com</v>
      </c>
      <c r="O111" s="15" t="str">
        <f>IFERROR(__xludf.DUMMYFUNCTION("""COMPUTED_VALUE"""),"+919740828371")</f>
        <v>+919740828371</v>
      </c>
      <c r="P111" s="15" t="str">
        <f>IFERROR(__xludf.DUMMYFUNCTION("""COMPUTED_VALUE"""),"Not Started")</f>
        <v>Not Started</v>
      </c>
      <c r="Q111" s="15"/>
      <c r="R111" s="15"/>
      <c r="S111" s="15"/>
      <c r="T111" s="15"/>
      <c r="U111" s="15"/>
      <c r="V111" s="15"/>
    </row>
    <row r="112">
      <c r="A112" s="15">
        <f>IFERROR(__xludf.DUMMYFUNCTION("""COMPUTED_VALUE"""),50196.0)</f>
        <v>50196</v>
      </c>
      <c r="B112" s="15" t="str">
        <f>IFERROR(__xludf.DUMMYFUNCTION("""COMPUTED_VALUE"""),"Fight Diabetes Mellitus")</f>
        <v>Fight Diabetes Mellitus</v>
      </c>
      <c r="C112" s="15" t="str">
        <f>IFERROR(__xludf.DUMMYFUNCTION("""COMPUTED_VALUE"""),"Health &amp; fitness")</f>
        <v>Health &amp; fitness</v>
      </c>
      <c r="D112" s="15" t="str">
        <f>IFERROR(__xludf.DUMMYFUNCTION("""COMPUTED_VALUE"""),"Marketing")</f>
        <v>Marketing</v>
      </c>
      <c r="E112" s="54" t="str">
        <f>IFERROR(__xludf.DUMMYFUNCTION("""COMPUTED_VALUE"""),"http://data.likeminds.community/public/dashboards/bPn0RDf4rAGe6Huv6Et22WP1pPZMF1ayVcbp2gFg?org_slug=default")</f>
        <v>http://data.likeminds.community/public/dashboards/bPn0RDf4rAGe6Huv6Et22WP1pPZMF1ayVcbp2gFg?org_slug=default</v>
      </c>
      <c r="F112" s="54" t="str">
        <f>IFERROR(__xludf.DUMMYFUNCTION("""COMPUTED_VALUE"""),"https://collabmates.app.link/2WFTiBjZhhb")</f>
        <v>https://collabmates.app.link/2WFTiBjZhhb</v>
      </c>
      <c r="G112" s="54" t="str">
        <f>IFERROR(__xludf.DUMMYFUNCTION("""COMPUTED_VALUE"""),"https://hi.likeminds.community/d/fight-diabetes-mellitus")</f>
        <v>https://hi.likeminds.community/d/fight-diabetes-mellitus</v>
      </c>
      <c r="H112" s="54" t="str">
        <f>IFERROR(__xludf.DUMMYFUNCTION("""COMPUTED_VALUE"""),"https://hi.likeminds.community/d/fight-diabetes-mellitus?r=1")</f>
        <v>https://hi.likeminds.community/d/fight-diabetes-mellitus?r=1</v>
      </c>
      <c r="I112" s="15"/>
      <c r="J112" s="15" t="str">
        <f>IFERROR(__xludf.DUMMYFUNCTION("""COMPUTED_VALUE"""),"Active")</f>
        <v>Active</v>
      </c>
      <c r="K112" s="15" t="str">
        <f>IFERROR(__xludf.DUMMYFUNCTION("""COMPUTED_VALUE"""),"Yes")</f>
        <v>Yes</v>
      </c>
      <c r="L112" s="15" t="str">
        <f>IFERROR(__xludf.DUMMYFUNCTION("""COMPUTED_VALUE"""),"Tarun ")</f>
        <v>Tarun </v>
      </c>
      <c r="M112" s="15" t="str">
        <f>IFERROR(__xludf.DUMMYFUNCTION("""COMPUTED_VALUE"""),"Nigel Gonsalves")</f>
        <v>Nigel Gonsalves</v>
      </c>
      <c r="N112" s="15" t="str">
        <f>IFERROR(__xludf.DUMMYFUNCTION("""COMPUTED_VALUE"""),"gonsalves.nigel@yahoo.com")</f>
        <v>gonsalves.nigel@yahoo.com</v>
      </c>
      <c r="O112" s="15" t="str">
        <f>IFERROR(__xludf.DUMMYFUNCTION("""COMPUTED_VALUE"""),"+918451090063")</f>
        <v>+918451090063</v>
      </c>
      <c r="P112" s="15" t="str">
        <f>IFERROR(__xludf.DUMMYFUNCTION("""COMPUTED_VALUE"""),"Ready to go live")</f>
        <v>Ready to go live</v>
      </c>
      <c r="Q112" s="15"/>
      <c r="R112" s="15"/>
      <c r="S112" s="15"/>
      <c r="T112" s="15"/>
      <c r="U112" s="15"/>
      <c r="V112" s="15"/>
    </row>
    <row r="113">
      <c r="A113" s="15">
        <f>IFERROR(__xludf.DUMMYFUNCTION("""COMPUTED_VALUE"""),50197.0)</f>
        <v>50197</v>
      </c>
      <c r="B113" s="15" t="str">
        <f>IFERROR(__xludf.DUMMYFUNCTION("""COMPUTED_VALUE"""),"Learn French Easily ")</f>
        <v>Learn French Easily </v>
      </c>
      <c r="C113" s="15" t="str">
        <f>IFERROR(__xludf.DUMMYFUNCTION("""COMPUTED_VALUE"""),"Language")</f>
        <v>Language</v>
      </c>
      <c r="D113" s="15" t="str">
        <f>IFERROR(__xludf.DUMMYFUNCTION("""COMPUTED_VALUE"""),"Marketing")</f>
        <v>Marketing</v>
      </c>
      <c r="E113" s="54" t="str">
        <f>IFERROR(__xludf.DUMMYFUNCTION("""COMPUTED_VALUE"""),"http://data.likeminds.community/public/dashboards/UasF6HwG3t701UCSWJpT4zQ6yJNI7nmoMDOULrRC?org_slug=default")</f>
        <v>http://data.likeminds.community/public/dashboards/UasF6HwG3t701UCSWJpT4zQ6yJNI7nmoMDOULrRC?org_slug=default</v>
      </c>
      <c r="F113" s="54" t="str">
        <f>IFERROR(__xludf.DUMMYFUNCTION("""COMPUTED_VALUE"""),"https://collabmates.app.link/WKpf21fZhhb")</f>
        <v>https://collabmates.app.link/WKpf21fZhhb</v>
      </c>
      <c r="G113" s="54" t="str">
        <f>IFERROR(__xludf.DUMMYFUNCTION("""COMPUTED_VALUE"""),"https://hi.likeminds.community/d/learn-french-easily")</f>
        <v>https://hi.likeminds.community/d/learn-french-easily</v>
      </c>
      <c r="H113" s="54" t="str">
        <f>IFERROR(__xludf.DUMMYFUNCTION("""COMPUTED_VALUE"""),"https://hi.likeminds.community/d/learn-french-easily?r=1")</f>
        <v>https://hi.likeminds.community/d/learn-french-easily?r=1</v>
      </c>
      <c r="I113" s="15"/>
      <c r="J113" s="15" t="str">
        <f>IFERROR(__xludf.DUMMYFUNCTION("""COMPUTED_VALUE"""),"Active")</f>
        <v>Active</v>
      </c>
      <c r="K113" s="15" t="str">
        <f>IFERROR(__xludf.DUMMYFUNCTION("""COMPUTED_VALUE"""),"Yes")</f>
        <v>Yes</v>
      </c>
      <c r="L113" s="15" t="str">
        <f>IFERROR(__xludf.DUMMYFUNCTION("""COMPUTED_VALUE"""),"Rushikesh ")</f>
        <v>Rushikesh </v>
      </c>
      <c r="M113" s="15" t="str">
        <f>IFERROR(__xludf.DUMMYFUNCTION("""COMPUTED_VALUE"""),"PAMELA GONSALVES")</f>
        <v>PAMELA GONSALVES</v>
      </c>
      <c r="N113" s="15" t="str">
        <f>IFERROR(__xludf.DUMMYFUNCTION("""COMPUTED_VALUE"""),"bettygonsalvez92@gmail.com")</f>
        <v>bettygonsalvez92@gmail.com</v>
      </c>
      <c r="O113" s="15" t="str">
        <f>IFERROR(__xludf.DUMMYFUNCTION("""COMPUTED_VALUE"""),"+918451851763")</f>
        <v>+918451851763</v>
      </c>
      <c r="P113" s="15" t="str">
        <f>IFERROR(__xludf.DUMMYFUNCTION("""COMPUTED_VALUE"""),"Ready to go live")</f>
        <v>Ready to go live</v>
      </c>
      <c r="Q113" s="15"/>
      <c r="R113" s="15"/>
      <c r="S113" s="15"/>
      <c r="T113" s="15"/>
      <c r="U113" s="15"/>
      <c r="V113" s="15"/>
    </row>
    <row r="114">
      <c r="A114" s="15">
        <f>IFERROR(__xludf.DUMMYFUNCTION("""COMPUTED_VALUE"""),50198.0)</f>
        <v>50198</v>
      </c>
      <c r="B114" s="15" t="str">
        <f>IFERROR(__xludf.DUMMYFUNCTION("""COMPUTED_VALUE"""),"English world academy ")</f>
        <v>English world academy </v>
      </c>
      <c r="C114" s="15" t="str">
        <f>IFERROR(__xludf.DUMMYFUNCTION("""COMPUTED_VALUE"""),"Language")</f>
        <v>Language</v>
      </c>
      <c r="D114" s="15" t="str">
        <f>IFERROR(__xludf.DUMMYFUNCTION("""COMPUTED_VALUE"""),"Marketing")</f>
        <v>Marketing</v>
      </c>
      <c r="E114" s="54" t="str">
        <f>IFERROR(__xludf.DUMMYFUNCTION("""COMPUTED_VALUE"""),"http://data.likeminds.community/public/dashboards/pQA5oGJYTa53LorJlV2TCCf2HCz1tiSROXH3j1TJ?org_slug=default")</f>
        <v>http://data.likeminds.community/public/dashboards/pQA5oGJYTa53LorJlV2TCCf2HCz1tiSROXH3j1TJ?org_slug=default</v>
      </c>
      <c r="F114" s="54" t="str">
        <f>IFERROR(__xludf.DUMMYFUNCTION("""COMPUTED_VALUE"""),"https://collabmates.app.link/zugJqVB2hhb")</f>
        <v>https://collabmates.app.link/zugJqVB2hhb</v>
      </c>
      <c r="G114" s="54" t="str">
        <f>IFERROR(__xludf.DUMMYFUNCTION("""COMPUTED_VALUE"""),"https://hi.likeminds.community/d/english-speaking-and-grammar-group")</f>
        <v>https://hi.likeminds.community/d/english-speaking-and-grammar-group</v>
      </c>
      <c r="H114" s="54" t="str">
        <f>IFERROR(__xludf.DUMMYFUNCTION("""COMPUTED_VALUE"""),"https://hi.likeminds.community/d/english-speaking-and-grammar-group?r=1")</f>
        <v>https://hi.likeminds.community/d/english-speaking-and-grammar-group?r=1</v>
      </c>
      <c r="I114" s="15"/>
      <c r="J114" s="15" t="str">
        <f>IFERROR(__xludf.DUMMYFUNCTION("""COMPUTED_VALUE"""),"Active")</f>
        <v>Active</v>
      </c>
      <c r="K114" s="15" t="str">
        <f>IFERROR(__xludf.DUMMYFUNCTION("""COMPUTED_VALUE"""),"No")</f>
        <v>No</v>
      </c>
      <c r="L114" s="15" t="str">
        <f>IFERROR(__xludf.DUMMYFUNCTION("""COMPUTED_VALUE"""),"Rushikesh ")</f>
        <v>Rushikesh </v>
      </c>
      <c r="M114" s="15" t="str">
        <f>IFERROR(__xludf.DUMMYFUNCTION("""COMPUTED_VALUE"""),"Dipti Gangurde")</f>
        <v>Dipti Gangurde</v>
      </c>
      <c r="N114" s="15" t="str">
        <f>IFERROR(__xludf.DUMMYFUNCTION("""COMPUTED_VALUE"""),"diptig2831996@gmail.com")</f>
        <v>diptig2831996@gmail.com</v>
      </c>
      <c r="O114" s="15" t="str">
        <f>IFERROR(__xludf.DUMMYFUNCTION("""COMPUTED_VALUE"""),"+918390160816")</f>
        <v>+918390160816</v>
      </c>
      <c r="P114" s="15" t="str">
        <f>IFERROR(__xludf.DUMMYFUNCTION("""COMPUTED_VALUE"""),"Not Started")</f>
        <v>Not Started</v>
      </c>
      <c r="Q114" s="15"/>
      <c r="R114" s="15"/>
      <c r="S114" s="15"/>
      <c r="T114" s="15"/>
      <c r="U114" s="15"/>
      <c r="V114" s="15"/>
    </row>
    <row r="115">
      <c r="A115" s="15"/>
      <c r="B115" s="15" t="str">
        <f>IFERROR(__xludf.DUMMYFUNCTION("""COMPUTED_VALUE"""),"The world network ")</f>
        <v>The world network </v>
      </c>
      <c r="C115" s="15" t="str">
        <f>IFERROR(__xludf.DUMMYFUNCTION("""COMPUTED_VALUE"""),"Life skills/Lifestyle")</f>
        <v>Life skills/Lifestyle</v>
      </c>
      <c r="D115" s="15" t="str">
        <f>IFERROR(__xludf.DUMMYFUNCTION("""COMPUTED_VALUE"""),"Marketing")</f>
        <v>Marketing</v>
      </c>
      <c r="E115" s="15"/>
      <c r="F115" s="15"/>
      <c r="G115" s="54" t="str">
        <f>IFERROR(__xludf.DUMMYFUNCTION("""COMPUTED_VALUE"""),"https://hi.likeminds.community/d/the-world-network")</f>
        <v>https://hi.likeminds.community/d/the-world-network</v>
      </c>
      <c r="H115" s="54" t="str">
        <f>IFERROR(__xludf.DUMMYFUNCTION("""COMPUTED_VALUE"""),"https://hi.likeminds.community/d/the-world-network?r=1")</f>
        <v>https://hi.likeminds.community/d/the-world-network?r=1</v>
      </c>
      <c r="I115" s="15"/>
      <c r="J115" s="15" t="str">
        <f>IFERROR(__xludf.DUMMYFUNCTION("""COMPUTED_VALUE"""),"Active")</f>
        <v>Active</v>
      </c>
      <c r="K115" s="15" t="str">
        <f>IFERROR(__xludf.DUMMYFUNCTION("""COMPUTED_VALUE"""),"No")</f>
        <v>No</v>
      </c>
      <c r="L115" s="15"/>
      <c r="M115" s="15" t="str">
        <f>IFERROR(__xludf.DUMMYFUNCTION("""COMPUTED_VALUE"""),"Aryanshu Singh Sengar")</f>
        <v>Aryanshu Singh Sengar</v>
      </c>
      <c r="N115" s="15" t="str">
        <f>IFERROR(__xludf.DUMMYFUNCTION("""COMPUTED_VALUE"""),"sengararyanshu31@gmail.com")</f>
        <v>sengararyanshu31@gmail.com</v>
      </c>
      <c r="O115" s="15" t="str">
        <f>IFERROR(__xludf.DUMMYFUNCTION("""COMPUTED_VALUE"""),"+918960026193")</f>
        <v>+918960026193</v>
      </c>
      <c r="P115" s="15" t="str">
        <f>IFERROR(__xludf.DUMMYFUNCTION("""COMPUTED_VALUE"""),"Not Started")</f>
        <v>Not Started</v>
      </c>
      <c r="Q115" s="15"/>
      <c r="R115" s="15"/>
      <c r="S115" s="15"/>
      <c r="T115" s="15"/>
      <c r="U115" s="15"/>
      <c r="V115" s="15"/>
    </row>
    <row r="116">
      <c r="A116" s="15"/>
      <c r="B116" s="15" t="str">
        <f>IFERROR(__xludf.DUMMYFUNCTION("""COMPUTED_VALUE"""),"Create New ")</f>
        <v>Create New </v>
      </c>
      <c r="C116" s="15" t="str">
        <f>IFERROR(__xludf.DUMMYFUNCTION("""COMPUTED_VALUE"""),"Life skills/Lifestyle")</f>
        <v>Life skills/Lifestyle</v>
      </c>
      <c r="D116" s="15" t="str">
        <f>IFERROR(__xludf.DUMMYFUNCTION("""COMPUTED_VALUE"""),"Marketing")</f>
        <v>Marketing</v>
      </c>
      <c r="E116" s="15"/>
      <c r="F116" s="15"/>
      <c r="G116" s="54" t="str">
        <f>IFERROR(__xludf.DUMMYFUNCTION("""COMPUTED_VALUE"""),"https://hi.likeminds.community/d/create-new")</f>
        <v>https://hi.likeminds.community/d/create-new</v>
      </c>
      <c r="H116" s="54" t="str">
        <f>IFERROR(__xludf.DUMMYFUNCTION("""COMPUTED_VALUE"""),"https://hi.likeminds.community/d/create-new?r=1")</f>
        <v>https://hi.likeminds.community/d/create-new?r=1</v>
      </c>
      <c r="I116" s="15"/>
      <c r="J116" s="15" t="str">
        <f>IFERROR(__xludf.DUMMYFUNCTION("""COMPUTED_VALUE"""),"Active")</f>
        <v>Active</v>
      </c>
      <c r="K116" s="15" t="str">
        <f>IFERROR(__xludf.DUMMYFUNCTION("""COMPUTED_VALUE"""),"No")</f>
        <v>No</v>
      </c>
      <c r="L116" s="15"/>
      <c r="M116" s="15" t="str">
        <f>IFERROR(__xludf.DUMMYFUNCTION("""COMPUTED_VALUE"""),"Radhika Sahi")</f>
        <v>Radhika Sahi</v>
      </c>
      <c r="N116" s="15" t="str">
        <f>IFERROR(__xludf.DUMMYFUNCTION("""COMPUTED_VALUE"""),"radhika.sahi@gmail.com")</f>
        <v>radhika.sahi@gmail.com</v>
      </c>
      <c r="O116" s="15" t="str">
        <f>IFERROR(__xludf.DUMMYFUNCTION("""COMPUTED_VALUE"""),"+919874626226")</f>
        <v>+919874626226</v>
      </c>
      <c r="P116" s="15" t="str">
        <f>IFERROR(__xludf.DUMMYFUNCTION("""COMPUTED_VALUE"""),"Not Started")</f>
        <v>Not Started</v>
      </c>
      <c r="Q116" s="15"/>
      <c r="R116" s="15"/>
      <c r="S116" s="15"/>
      <c r="T116" s="15"/>
      <c r="U116" s="15"/>
      <c r="V116" s="15"/>
    </row>
    <row r="117">
      <c r="A117" s="15"/>
      <c r="B117" s="15" t="str">
        <f>IFERROR(__xludf.DUMMYFUNCTION("""COMPUTED_VALUE"""),"Artsy Mandala Trails ")</f>
        <v>Artsy Mandala Trails </v>
      </c>
      <c r="C117" s="15" t="str">
        <f>IFERROR(__xludf.DUMMYFUNCTION("""COMPUTED_VALUE"""),"Art &amp; craft")</f>
        <v>Art &amp; craft</v>
      </c>
      <c r="D117" s="15" t="str">
        <f>IFERROR(__xludf.DUMMYFUNCTION("""COMPUTED_VALUE"""),"Marketing")</f>
        <v>Marketing</v>
      </c>
      <c r="E117" s="15"/>
      <c r="F117" s="15"/>
      <c r="G117" s="54" t="str">
        <f>IFERROR(__xludf.DUMMYFUNCTION("""COMPUTED_VALUE"""),"https://hi.likeminds.community/d/artsy-mandala-trails")</f>
        <v>https://hi.likeminds.community/d/artsy-mandala-trails</v>
      </c>
      <c r="H117" s="54" t="str">
        <f>IFERROR(__xludf.DUMMYFUNCTION("""COMPUTED_VALUE"""),"https://hi.likeminds.community/d/artsy-mandala-trails?r=1")</f>
        <v>https://hi.likeminds.community/d/artsy-mandala-trails?r=1</v>
      </c>
      <c r="I117" s="15"/>
      <c r="J117" s="15" t="str">
        <f>IFERROR(__xludf.DUMMYFUNCTION("""COMPUTED_VALUE"""),"Active")</f>
        <v>Active</v>
      </c>
      <c r="K117" s="15" t="str">
        <f>IFERROR(__xludf.DUMMYFUNCTION("""COMPUTED_VALUE"""),"Yes")</f>
        <v>Yes</v>
      </c>
      <c r="L117" s="15" t="str">
        <f>IFERROR(__xludf.DUMMYFUNCTION("""COMPUTED_VALUE"""),"Priti")</f>
        <v>Priti</v>
      </c>
      <c r="M117" s="15" t="str">
        <f>IFERROR(__xludf.DUMMYFUNCTION("""COMPUTED_VALUE"""),"Ayana M")</f>
        <v>Ayana M</v>
      </c>
      <c r="N117" s="15" t="str">
        <f>IFERROR(__xludf.DUMMYFUNCTION("""COMPUTED_VALUE"""),"kaushikishakti@gmail.com")</f>
        <v>kaushikishakti@gmail.com</v>
      </c>
      <c r="O117" s="15" t="str">
        <f>IFERROR(__xludf.DUMMYFUNCTION("""COMPUTED_VALUE"""),"+916290145215")</f>
        <v>+916290145215</v>
      </c>
      <c r="P117" s="15" t="str">
        <f>IFERROR(__xludf.DUMMYFUNCTION("""COMPUTED_VALUE"""),"Not Started")</f>
        <v>Not Started</v>
      </c>
      <c r="Q117" s="15"/>
      <c r="R117" s="15"/>
      <c r="S117" s="15"/>
      <c r="T117" s="15"/>
      <c r="U117" s="15"/>
      <c r="V117" s="15"/>
    </row>
    <row r="118">
      <c r="A118" s="15"/>
      <c r="B118" s="15" t="str">
        <f>IFERROR(__xludf.DUMMYFUNCTION("""COMPUTED_VALUE"""),"Mandala Hub ")</f>
        <v>Mandala Hub </v>
      </c>
      <c r="C118" s="15" t="str">
        <f>IFERROR(__xludf.DUMMYFUNCTION("""COMPUTED_VALUE"""),"Art &amp; craft")</f>
        <v>Art &amp; craft</v>
      </c>
      <c r="D118" s="15" t="str">
        <f>IFERROR(__xludf.DUMMYFUNCTION("""COMPUTED_VALUE"""),"Marketing")</f>
        <v>Marketing</v>
      </c>
      <c r="E118" s="15"/>
      <c r="F118" s="15"/>
      <c r="G118" s="54" t="str">
        <f>IFERROR(__xludf.DUMMYFUNCTION("""COMPUTED_VALUE"""),"https://hi.likeminds.community/d/mandala-hub")</f>
        <v>https://hi.likeminds.community/d/mandala-hub</v>
      </c>
      <c r="H118" s="54" t="str">
        <f>IFERROR(__xludf.DUMMYFUNCTION("""COMPUTED_VALUE"""),"https://hi.likeminds.community/d/mandala-hub?r=1")</f>
        <v>https://hi.likeminds.community/d/mandala-hub?r=1</v>
      </c>
      <c r="I118" s="15"/>
      <c r="J118" s="15" t="str">
        <f>IFERROR(__xludf.DUMMYFUNCTION("""COMPUTED_VALUE"""),"Active")</f>
        <v>Active</v>
      </c>
      <c r="K118" s="15" t="str">
        <f>IFERROR(__xludf.DUMMYFUNCTION("""COMPUTED_VALUE"""),"Yes")</f>
        <v>Yes</v>
      </c>
      <c r="L118" s="15" t="str">
        <f>IFERROR(__xludf.DUMMYFUNCTION("""COMPUTED_VALUE"""),"Priti")</f>
        <v>Priti</v>
      </c>
      <c r="M118" s="15" t="str">
        <f>IFERROR(__xludf.DUMMYFUNCTION("""COMPUTED_VALUE"""),"Swagata Palit")</f>
        <v>Swagata Palit</v>
      </c>
      <c r="N118" s="15" t="str">
        <f>IFERROR(__xludf.DUMMYFUNCTION("""COMPUTED_VALUE"""),"artscoholicsp@gmail.com")</f>
        <v>artscoholicsp@gmail.com</v>
      </c>
      <c r="O118" s="15" t="str">
        <f>IFERROR(__xludf.DUMMYFUNCTION("""COMPUTED_VALUE"""),"+919836961210")</f>
        <v>+919836961210</v>
      </c>
      <c r="P118" s="15" t="str">
        <f>IFERROR(__xludf.DUMMYFUNCTION("""COMPUTED_VALUE"""),"Not Started")</f>
        <v>Not Started</v>
      </c>
      <c r="Q118" s="15"/>
      <c r="R118" s="15"/>
      <c r="S118" s="15"/>
      <c r="T118" s="15"/>
      <c r="U118" s="15"/>
      <c r="V118" s="15"/>
    </row>
    <row r="119">
      <c r="A119" s="15"/>
      <c r="B119" s="15" t="str">
        <f>IFERROR(__xludf.DUMMYFUNCTION("""COMPUTED_VALUE"""),"Soft Spark ")</f>
        <v>Soft Spark </v>
      </c>
      <c r="C119" s="15" t="str">
        <f>IFERROR(__xludf.DUMMYFUNCTION("""COMPUTED_VALUE"""),"Life skills/Lifestyle")</f>
        <v>Life skills/Lifestyle</v>
      </c>
      <c r="D119" s="15" t="str">
        <f>IFERROR(__xludf.DUMMYFUNCTION("""COMPUTED_VALUE"""),"Marketing")</f>
        <v>Marketing</v>
      </c>
      <c r="E119" s="15"/>
      <c r="F119" s="15"/>
      <c r="G119" s="54" t="str">
        <f>IFERROR(__xludf.DUMMYFUNCTION("""COMPUTED_VALUE"""),"https://hi.likeminds.community/d/soft-spark")</f>
        <v>https://hi.likeminds.community/d/soft-spark</v>
      </c>
      <c r="H119" s="54" t="str">
        <f>IFERROR(__xludf.DUMMYFUNCTION("""COMPUTED_VALUE"""),"https://hi.likeminds.community/d/soft-spark?r=1")</f>
        <v>https://hi.likeminds.community/d/soft-spark?r=1</v>
      </c>
      <c r="I119" s="15"/>
      <c r="J119" s="15" t="str">
        <f>IFERROR(__xludf.DUMMYFUNCTION("""COMPUTED_VALUE"""),"Active")</f>
        <v>Active</v>
      </c>
      <c r="K119" s="15" t="str">
        <f>IFERROR(__xludf.DUMMYFUNCTION("""COMPUTED_VALUE"""),"No")</f>
        <v>No</v>
      </c>
      <c r="L119" s="15" t="str">
        <f>IFERROR(__xludf.DUMMYFUNCTION("""COMPUTED_VALUE"""),"Mansi")</f>
        <v>Mansi</v>
      </c>
      <c r="M119" s="15" t="str">
        <f>IFERROR(__xludf.DUMMYFUNCTION("""COMPUTED_VALUE"""),"Deepti Chopra")</f>
        <v>Deepti Chopra</v>
      </c>
      <c r="N119" s="15" t="str">
        <f>IFERROR(__xludf.DUMMYFUNCTION("""COMPUTED_VALUE"""),"ash.chopra710@gmail.com")</f>
        <v>ash.chopra710@gmail.com</v>
      </c>
      <c r="O119" s="15" t="str">
        <f>IFERROR(__xludf.DUMMYFUNCTION("""COMPUTED_VALUE"""),"+919621237228")</f>
        <v>+919621237228</v>
      </c>
      <c r="P119" s="15" t="str">
        <f>IFERROR(__xludf.DUMMYFUNCTION("""COMPUTED_VALUE"""),"Not Started")</f>
        <v>Not Started</v>
      </c>
      <c r="Q119" s="15"/>
      <c r="R119" s="15"/>
      <c r="S119" s="15"/>
      <c r="T119" s="15"/>
      <c r="U119" s="15"/>
      <c r="V119" s="15"/>
    </row>
    <row r="120">
      <c r="A120" s="15"/>
      <c r="B120" s="15" t="str">
        <f>IFERROR(__xludf.DUMMYFUNCTION("""COMPUTED_VALUE"""),"Standout &amp; Speak ")</f>
        <v>Standout &amp; Speak </v>
      </c>
      <c r="C120" s="15" t="str">
        <f>IFERROR(__xludf.DUMMYFUNCTION("""COMPUTED_VALUE"""),"Life skills/Lifestyle")</f>
        <v>Life skills/Lifestyle</v>
      </c>
      <c r="D120" s="15" t="str">
        <f>IFERROR(__xludf.DUMMYFUNCTION("""COMPUTED_VALUE"""),"Marketing")</f>
        <v>Marketing</v>
      </c>
      <c r="E120" s="15"/>
      <c r="F120" s="15"/>
      <c r="G120" s="54" t="str">
        <f>IFERROR(__xludf.DUMMYFUNCTION("""COMPUTED_VALUE"""),"https://hi.likeminds.community/d/stand-out-speak")</f>
        <v>https://hi.likeminds.community/d/stand-out-speak</v>
      </c>
      <c r="H120" s="54" t="str">
        <f>IFERROR(__xludf.DUMMYFUNCTION("""COMPUTED_VALUE"""),"https://hi.likeminds.community/d/stand-out-speak?r=1")</f>
        <v>https://hi.likeminds.community/d/stand-out-speak?r=1</v>
      </c>
      <c r="I120" s="15"/>
      <c r="J120" s="15" t="str">
        <f>IFERROR(__xludf.DUMMYFUNCTION("""COMPUTED_VALUE"""),"Active")</f>
        <v>Active</v>
      </c>
      <c r="K120" s="15" t="str">
        <f>IFERROR(__xludf.DUMMYFUNCTION("""COMPUTED_VALUE"""),"No")</f>
        <v>No</v>
      </c>
      <c r="L120" s="15" t="str">
        <f>IFERROR(__xludf.DUMMYFUNCTION("""COMPUTED_VALUE"""),"Mansi")</f>
        <v>Mansi</v>
      </c>
      <c r="M120" s="15" t="str">
        <f>IFERROR(__xludf.DUMMYFUNCTION("""COMPUTED_VALUE"""),"Suvidha Rajwadkar")</f>
        <v>Suvidha Rajwadkar</v>
      </c>
      <c r="N120" s="15" t="str">
        <f>IFERROR(__xludf.DUMMYFUNCTION("""COMPUTED_VALUE"""),"suvidha.rajwadkar@gmail.com")</f>
        <v>suvidha.rajwadkar@gmail.com</v>
      </c>
      <c r="O120" s="15" t="str">
        <f>IFERROR(__xludf.DUMMYFUNCTION("""COMPUTED_VALUE"""),"+917798142423")</f>
        <v>+917798142423</v>
      </c>
      <c r="P120" s="15" t="str">
        <f>IFERROR(__xludf.DUMMYFUNCTION("""COMPUTED_VALUE"""),"Not Started")</f>
        <v>Not Started</v>
      </c>
      <c r="Q120" s="15"/>
      <c r="R120" s="15"/>
      <c r="S120" s="15"/>
      <c r="T120" s="15"/>
      <c r="U120" s="15"/>
      <c r="V120" s="15"/>
    </row>
    <row r="121">
      <c r="A121" s="15"/>
      <c r="B121" s="15" t="str">
        <f>IFERROR(__xludf.DUMMYFUNCTION("""COMPUTED_VALUE"""),"FCA Cricket ")</f>
        <v>FCA Cricket </v>
      </c>
      <c r="C121" s="15" t="str">
        <f>IFERROR(__xludf.DUMMYFUNCTION("""COMPUTED_VALUE"""),"Entertainment experiences")</f>
        <v>Entertainment experiences</v>
      </c>
      <c r="D121" s="15"/>
      <c r="E121" s="15"/>
      <c r="F121" s="15"/>
      <c r="G121" s="54" t="str">
        <f>IFERROR(__xludf.DUMMYFUNCTION("""COMPUTED_VALUE"""),"https://hi.likeminds.community/d/fca")</f>
        <v>https://hi.likeminds.community/d/fca</v>
      </c>
      <c r="H121" s="54" t="str">
        <f>IFERROR(__xludf.DUMMYFUNCTION("""COMPUTED_VALUE"""),"https://hi.likeminds.community/d/fca?r=1")</f>
        <v>https://hi.likeminds.community/d/fca?r=1</v>
      </c>
      <c r="I121" s="15"/>
      <c r="J121" s="15" t="str">
        <f>IFERROR(__xludf.DUMMYFUNCTION("""COMPUTED_VALUE"""),"Active")</f>
        <v>Active</v>
      </c>
      <c r="K121" s="15" t="str">
        <f>IFERROR(__xludf.DUMMYFUNCTION("""COMPUTED_VALUE"""),"No")</f>
        <v>No</v>
      </c>
      <c r="L121" s="15" t="str">
        <f>IFERROR(__xludf.DUMMYFUNCTION("""COMPUTED_VALUE"""),"Muskan")</f>
        <v>Muskan</v>
      </c>
      <c r="M121" s="15" t="str">
        <f>IFERROR(__xludf.DUMMYFUNCTION("""COMPUTED_VALUE"""),"Sayeed Fallah")</f>
        <v>Sayeed Fallah</v>
      </c>
      <c r="N121" s="15" t="str">
        <f>IFERROR(__xludf.DUMMYFUNCTION("""COMPUTED_VALUE"""),"+918669149477")</f>
        <v>+918669149477</v>
      </c>
      <c r="O121" s="15" t="str">
        <f>IFERROR(__xludf.DUMMYFUNCTION("""COMPUTED_VALUE"""),"sayeedfallah@gmail.com")</f>
        <v>sayeedfallah@gmail.com</v>
      </c>
      <c r="P121" s="15" t="str">
        <f>IFERROR(__xludf.DUMMYFUNCTION("""COMPUTED_VALUE"""),"Not Started")</f>
        <v>Not Started</v>
      </c>
      <c r="Q121" s="15"/>
      <c r="R121" s="15"/>
      <c r="S121" s="15"/>
      <c r="T121" s="15"/>
      <c r="U121" s="15"/>
      <c r="V121" s="15"/>
    </row>
    <row r="122">
      <c r="A122" s="15"/>
      <c r="B122" s="15" t="str">
        <f>IFERROR(__xludf.DUMMYFUNCTION("""COMPUTED_VALUE"""),"Magbizz")</f>
        <v>Magbizz</v>
      </c>
      <c r="C122" s="15" t="str">
        <f>IFERROR(__xludf.DUMMYFUNCTION("""COMPUTED_VALUE"""),"Micro-entrepreneurship")</f>
        <v>Micro-entrepreneurship</v>
      </c>
      <c r="D122" s="15" t="str">
        <f>IFERROR(__xludf.DUMMYFUNCTION("""COMPUTED_VALUE"""),"Sales")</f>
        <v>Sales</v>
      </c>
      <c r="E122" s="15"/>
      <c r="F122" s="15"/>
      <c r="G122" s="54" t="str">
        <f>IFERROR(__xludf.DUMMYFUNCTION("""COMPUTED_VALUE"""),"https://hi.likeminds.community/d/magbizz")</f>
        <v>https://hi.likeminds.community/d/magbizz</v>
      </c>
      <c r="H122" s="54" t="str">
        <f>IFERROR(__xludf.DUMMYFUNCTION("""COMPUTED_VALUE"""),"https://hi.likeminds.community/d/magbizz?r=1")</f>
        <v>https://hi.likeminds.community/d/magbizz?r=1</v>
      </c>
      <c r="I122" s="15"/>
      <c r="J122" s="15" t="str">
        <f>IFERROR(__xludf.DUMMYFUNCTION("""COMPUTED_VALUE"""),"Active")</f>
        <v>Active</v>
      </c>
      <c r="K122" s="15" t="str">
        <f>IFERROR(__xludf.DUMMYFUNCTION("""COMPUTED_VALUE"""),"No")</f>
        <v>No</v>
      </c>
      <c r="L122" s="15" t="str">
        <f>IFERROR(__xludf.DUMMYFUNCTION("""COMPUTED_VALUE"""),"Priti")</f>
        <v>Priti</v>
      </c>
      <c r="M122" s="15" t="str">
        <f>IFERROR(__xludf.DUMMYFUNCTION("""COMPUTED_VALUE"""),"Avik")</f>
        <v>Avik</v>
      </c>
      <c r="N122" s="15" t="str">
        <f>IFERROR(__xludf.DUMMYFUNCTION("""COMPUTED_VALUE"""),"+919311240095")</f>
        <v>+919311240095</v>
      </c>
      <c r="O122" s="15" t="str">
        <f>IFERROR(__xludf.DUMMYFUNCTION("""COMPUTED_VALUE"""),"magbizz.com@gmail.com")</f>
        <v>magbizz.com@gmail.com</v>
      </c>
      <c r="P122" s="15" t="str">
        <f>IFERROR(__xludf.DUMMYFUNCTION("""COMPUTED_VALUE"""),"Not Started")</f>
        <v>Not Started</v>
      </c>
      <c r="Q122" s="15"/>
      <c r="R122" s="15"/>
      <c r="S122" s="15"/>
      <c r="T122" s="15"/>
      <c r="U122" s="15"/>
      <c r="V122" s="15"/>
    </row>
    <row r="123">
      <c r="A123" s="15"/>
      <c r="B123" s="15" t="str">
        <f>IFERROR(__xludf.DUMMYFUNCTION("""COMPUTED_VALUE"""),"Study Tym ")</f>
        <v>Study Tym </v>
      </c>
      <c r="C123" s="15" t="str">
        <f>IFERROR(__xludf.DUMMYFUNCTION("""COMPUTED_VALUE"""),"Exam prep")</f>
        <v>Exam prep</v>
      </c>
      <c r="D123" s="15" t="str">
        <f>IFERROR(__xludf.DUMMYFUNCTION("""COMPUTED_VALUE"""),"Sales")</f>
        <v>Sales</v>
      </c>
      <c r="E123" s="15"/>
      <c r="F123" s="15"/>
      <c r="G123" s="54" t="str">
        <f>IFERROR(__xludf.DUMMYFUNCTION("""COMPUTED_VALUE"""),"https://hi.likeminds.community/d/study-tym")</f>
        <v>https://hi.likeminds.community/d/study-tym</v>
      </c>
      <c r="H123" s="54" t="str">
        <f>IFERROR(__xludf.DUMMYFUNCTION("""COMPUTED_VALUE"""),"https://hi.likeminds.community/d/study-tym?r=1")</f>
        <v>https://hi.likeminds.community/d/study-tym?r=1</v>
      </c>
      <c r="I123" s="15"/>
      <c r="J123" s="15" t="str">
        <f>IFERROR(__xludf.DUMMYFUNCTION("""COMPUTED_VALUE"""),"Active")</f>
        <v>Active</v>
      </c>
      <c r="K123" s="15" t="str">
        <f>IFERROR(__xludf.DUMMYFUNCTION("""COMPUTED_VALUE"""),"No")</f>
        <v>No</v>
      </c>
      <c r="L123" s="15" t="str">
        <f>IFERROR(__xludf.DUMMYFUNCTION("""COMPUTED_VALUE"""),"Priti")</f>
        <v>Priti</v>
      </c>
      <c r="M123" s="15" t="str">
        <f>IFERROR(__xludf.DUMMYFUNCTION("""COMPUTED_VALUE"""),"Shailesh")</f>
        <v>Shailesh</v>
      </c>
      <c r="N123" s="15">
        <f>IFERROR(__xludf.DUMMYFUNCTION("""COMPUTED_VALUE"""),8.087326052E9)</f>
        <v>8087326052</v>
      </c>
      <c r="O123" s="15" t="str">
        <f>IFERROR(__xludf.DUMMYFUNCTION("""COMPUTED_VALUE"""),"onlinemockking@gmail.com")</f>
        <v>onlinemockking@gmail.com</v>
      </c>
      <c r="P123" s="15" t="str">
        <f>IFERROR(__xludf.DUMMYFUNCTION("""COMPUTED_VALUE"""),"Not Started")</f>
        <v>Not Started</v>
      </c>
      <c r="Q123" s="15"/>
      <c r="R123" s="15"/>
      <c r="S123" s="15"/>
      <c r="T123" s="15"/>
      <c r="U123" s="15"/>
      <c r="V123" s="15"/>
    </row>
    <row r="124">
      <c r="A124" s="15"/>
      <c r="B124" s="15" t="str">
        <f>IFERROR(__xludf.DUMMYFUNCTION("""COMPUTED_VALUE"""),"Smart Tradining ")</f>
        <v>Smart Tradining </v>
      </c>
      <c r="C124" s="15" t="str">
        <f>IFERROR(__xludf.DUMMYFUNCTION("""COMPUTED_VALUE"""),"Career building")</f>
        <v>Career building</v>
      </c>
      <c r="D124" s="15" t="str">
        <f>IFERROR(__xludf.DUMMYFUNCTION("""COMPUTED_VALUE"""),"Sales")</f>
        <v>Sales</v>
      </c>
      <c r="E124" s="15"/>
      <c r="F124" s="15"/>
      <c r="G124" s="54" t="str">
        <f>IFERROR(__xludf.DUMMYFUNCTION("""COMPUTED_VALUE"""),"https://hi.likeminds.community/d/smart-trading")</f>
        <v>https://hi.likeminds.community/d/smart-trading</v>
      </c>
      <c r="H124" s="54" t="str">
        <f>IFERROR(__xludf.DUMMYFUNCTION("""COMPUTED_VALUE"""),"https://hi.likeminds.community/d/smart-trading?r=1")</f>
        <v>https://hi.likeminds.community/d/smart-trading?r=1</v>
      </c>
      <c r="I124" s="15"/>
      <c r="J124" s="15" t="str">
        <f>IFERROR(__xludf.DUMMYFUNCTION("""COMPUTED_VALUE"""),"Active")</f>
        <v>Active</v>
      </c>
      <c r="K124" s="15" t="str">
        <f>IFERROR(__xludf.DUMMYFUNCTION("""COMPUTED_VALUE"""),"No")</f>
        <v>No</v>
      </c>
      <c r="L124" s="15" t="str">
        <f>IFERROR(__xludf.DUMMYFUNCTION("""COMPUTED_VALUE"""),"Dev ")</f>
        <v>Dev </v>
      </c>
      <c r="M124" s="15" t="str">
        <f>IFERROR(__xludf.DUMMYFUNCTION("""COMPUTED_VALUE"""),"Subhajit ")</f>
        <v>Subhajit </v>
      </c>
      <c r="N124" s="15" t="str">
        <f>IFERROR(__xludf.DUMMYFUNCTION("""COMPUTED_VALUE"""),"+917679673666")</f>
        <v>+917679673666</v>
      </c>
      <c r="O124" s="15" t="str">
        <f>IFERROR(__xludf.DUMMYFUNCTION("""COMPUTED_VALUE"""),"hexagon.fnc@gmail.com")</f>
        <v>hexagon.fnc@gmail.com</v>
      </c>
      <c r="P124" s="15" t="str">
        <f>IFERROR(__xludf.DUMMYFUNCTION("""COMPUTED_VALUE"""),"Not Started")</f>
        <v>Not Started</v>
      </c>
      <c r="Q124" s="15"/>
      <c r="R124" s="15"/>
      <c r="S124" s="15"/>
      <c r="T124" s="15"/>
      <c r="U124" s="15"/>
      <c r="V124" s="15"/>
    </row>
    <row r="125">
      <c r="A125" s="15"/>
      <c r="B125" s="15"/>
      <c r="C125" s="15"/>
      <c r="D125" s="15"/>
      <c r="E125" s="15"/>
      <c r="F125" s="15"/>
      <c r="G125" s="15"/>
      <c r="H125" s="15" t="str">
        <f>IFERROR(__xludf.DUMMYFUNCTION("""COMPUTED_VALUE"""),"?r=1")</f>
        <v>?r=1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>
      <c r="A126" s="15"/>
      <c r="B126" s="15"/>
      <c r="C126" s="15"/>
      <c r="D126" s="15"/>
      <c r="E126" s="15"/>
      <c r="F126" s="15"/>
      <c r="G126" s="15"/>
      <c r="H126" s="15" t="str">
        <f>IFERROR(__xludf.DUMMYFUNCTION("""COMPUTED_VALUE"""),"?r=1")</f>
        <v>?r=1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>
      <c r="A127" s="15"/>
      <c r="B127" s="15"/>
      <c r="C127" s="15"/>
      <c r="D127" s="15"/>
      <c r="E127" s="15"/>
      <c r="F127" s="15"/>
      <c r="G127" s="15"/>
      <c r="H127" s="15" t="str">
        <f>IFERROR(__xludf.DUMMYFUNCTION("""COMPUTED_VALUE"""),"?r=1")</f>
        <v>?r=1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</sheetData>
  <hyperlinks>
    <hyperlink r:id="rId1" ref="E2"/>
    <hyperlink r:id="rId2" ref="F2"/>
    <hyperlink r:id="rId3" ref="G2"/>
    <hyperlink r:id="rId4" ref="H2"/>
    <hyperlink r:id="rId5" ref="R2"/>
    <hyperlink r:id="rId6" ref="T2"/>
    <hyperlink r:id="rId7" ref="E3"/>
    <hyperlink r:id="rId8" ref="F3"/>
    <hyperlink r:id="rId9" ref="R3"/>
    <hyperlink r:id="rId10" ref="E4"/>
    <hyperlink r:id="rId11" ref="F4"/>
    <hyperlink r:id="rId12" ref="G4"/>
    <hyperlink r:id="rId13" ref="H4"/>
    <hyperlink r:id="rId14" ref="R4"/>
    <hyperlink r:id="rId15" ref="T4"/>
    <hyperlink r:id="rId16" ref="E5"/>
    <hyperlink r:id="rId17" ref="F5"/>
    <hyperlink r:id="rId18" ref="G5"/>
    <hyperlink r:id="rId19" ref="H5"/>
    <hyperlink r:id="rId20" ref="R5"/>
    <hyperlink r:id="rId21" ref="T5"/>
    <hyperlink r:id="rId22" ref="E6"/>
    <hyperlink r:id="rId23" ref="F6"/>
    <hyperlink r:id="rId24" ref="G6"/>
    <hyperlink r:id="rId25" ref="H6"/>
    <hyperlink r:id="rId26" ref="E7"/>
    <hyperlink r:id="rId27" ref="F7"/>
    <hyperlink r:id="rId28" ref="G7"/>
    <hyperlink r:id="rId29" ref="H7"/>
    <hyperlink r:id="rId30" ref="R7"/>
    <hyperlink r:id="rId31" ref="E8"/>
    <hyperlink r:id="rId32" ref="F8"/>
    <hyperlink r:id="rId33" ref="G8"/>
    <hyperlink r:id="rId34" ref="H8"/>
    <hyperlink r:id="rId35" ref="R8"/>
    <hyperlink r:id="rId36" ref="E9"/>
    <hyperlink r:id="rId37" ref="F9"/>
    <hyperlink r:id="rId38" ref="G9"/>
    <hyperlink r:id="rId39" ref="H9"/>
    <hyperlink r:id="rId40" ref="E10"/>
    <hyperlink r:id="rId41" ref="F10"/>
    <hyperlink r:id="rId42" ref="G10"/>
    <hyperlink r:id="rId43" ref="H10"/>
    <hyperlink r:id="rId44" ref="R10"/>
    <hyperlink r:id="rId45" ref="E11"/>
    <hyperlink r:id="rId46" ref="F11"/>
    <hyperlink r:id="rId47" ref="G11"/>
    <hyperlink r:id="rId48" ref="H11"/>
    <hyperlink r:id="rId49" ref="R11"/>
    <hyperlink r:id="rId50" ref="E12"/>
    <hyperlink r:id="rId51" ref="F12"/>
    <hyperlink r:id="rId52" ref="G12"/>
    <hyperlink r:id="rId53" ref="H12"/>
    <hyperlink r:id="rId54" ref="E13"/>
    <hyperlink r:id="rId55" ref="F13"/>
    <hyperlink r:id="rId56" ref="G13"/>
    <hyperlink r:id="rId57" ref="H13"/>
    <hyperlink r:id="rId58" ref="R13"/>
    <hyperlink r:id="rId59" ref="E14"/>
    <hyperlink r:id="rId60" ref="F14"/>
    <hyperlink r:id="rId61" ref="G14"/>
    <hyperlink r:id="rId62" ref="H14"/>
    <hyperlink r:id="rId63" ref="R14"/>
    <hyperlink r:id="rId64" ref="T14"/>
    <hyperlink r:id="rId65" ref="E15"/>
    <hyperlink r:id="rId66" ref="F15"/>
    <hyperlink r:id="rId67" ref="G15"/>
    <hyperlink r:id="rId68" ref="H15"/>
    <hyperlink r:id="rId69" ref="R15"/>
    <hyperlink r:id="rId70" ref="T15"/>
    <hyperlink r:id="rId71" ref="E16"/>
    <hyperlink r:id="rId72" ref="F16"/>
    <hyperlink r:id="rId73" ref="G16"/>
    <hyperlink r:id="rId74" ref="H16"/>
    <hyperlink r:id="rId75" ref="E17"/>
    <hyperlink r:id="rId76" ref="F17"/>
    <hyperlink r:id="rId77" ref="G17"/>
    <hyperlink r:id="rId78" ref="H17"/>
    <hyperlink r:id="rId79" ref="R17"/>
    <hyperlink r:id="rId80" ref="E18"/>
    <hyperlink r:id="rId81" ref="F18"/>
    <hyperlink r:id="rId82" ref="G18"/>
    <hyperlink r:id="rId83" ref="H18"/>
    <hyperlink r:id="rId84" ref="R18"/>
    <hyperlink r:id="rId85" ref="T18"/>
    <hyperlink r:id="rId86" ref="E19"/>
    <hyperlink r:id="rId87" ref="F19"/>
    <hyperlink r:id="rId88" ref="G19"/>
    <hyperlink r:id="rId89" ref="H19"/>
    <hyperlink r:id="rId90" ref="E20"/>
    <hyperlink r:id="rId91" ref="F20"/>
    <hyperlink r:id="rId92" location="Pricing" ref="G20"/>
    <hyperlink r:id="rId93" ref="H20"/>
    <hyperlink r:id="rId94" ref="R20"/>
    <hyperlink r:id="rId95" ref="E21"/>
    <hyperlink r:id="rId96" ref="F21"/>
    <hyperlink r:id="rId97" ref="G21"/>
    <hyperlink r:id="rId98" ref="H21"/>
    <hyperlink r:id="rId99" ref="T21"/>
    <hyperlink r:id="rId100" ref="E22"/>
    <hyperlink r:id="rId101" ref="F22"/>
    <hyperlink r:id="rId102" ref="G22"/>
    <hyperlink r:id="rId103" ref="H22"/>
    <hyperlink r:id="rId104" ref="E23"/>
    <hyperlink r:id="rId105" ref="F23"/>
    <hyperlink r:id="rId106" ref="G23"/>
    <hyperlink r:id="rId107" ref="H23"/>
    <hyperlink r:id="rId108" ref="R23"/>
    <hyperlink r:id="rId109" ref="E24"/>
    <hyperlink r:id="rId110" ref="F24"/>
    <hyperlink r:id="rId111" location="Features" ref="G24"/>
    <hyperlink r:id="rId112" location="Features?r=1" ref="H24"/>
    <hyperlink r:id="rId113" ref="E25"/>
    <hyperlink r:id="rId114" ref="F25"/>
    <hyperlink r:id="rId115" ref="G25"/>
    <hyperlink r:id="rId116" ref="H25"/>
    <hyperlink r:id="rId117" ref="R25"/>
    <hyperlink r:id="rId118" ref="E26"/>
    <hyperlink r:id="rId119" ref="F26"/>
    <hyperlink r:id="rId120" ref="G26"/>
    <hyperlink r:id="rId121" ref="H26"/>
    <hyperlink r:id="rId122" ref="R26"/>
    <hyperlink r:id="rId123" ref="E27"/>
    <hyperlink r:id="rId124" ref="F27"/>
    <hyperlink r:id="rId125" ref="G27"/>
    <hyperlink r:id="rId126" ref="H27"/>
    <hyperlink r:id="rId127" ref="R27"/>
    <hyperlink r:id="rId128" ref="E28"/>
    <hyperlink r:id="rId129" ref="F28"/>
    <hyperlink r:id="rId130" ref="G28"/>
    <hyperlink r:id="rId131" ref="H28"/>
    <hyperlink r:id="rId132" ref="R28"/>
    <hyperlink r:id="rId133" ref="T28"/>
    <hyperlink r:id="rId134" ref="E29"/>
    <hyperlink r:id="rId135" ref="F29"/>
    <hyperlink r:id="rId136" ref="G29"/>
    <hyperlink r:id="rId137" ref="H29"/>
    <hyperlink r:id="rId138" ref="E30"/>
    <hyperlink r:id="rId139" ref="F30"/>
    <hyperlink r:id="rId140" ref="G30"/>
    <hyperlink r:id="rId141" ref="H30"/>
    <hyperlink r:id="rId142" ref="R30"/>
    <hyperlink r:id="rId143" ref="E31"/>
    <hyperlink r:id="rId144" ref="F31"/>
    <hyperlink r:id="rId145" ref="G31"/>
    <hyperlink r:id="rId146" ref="H31"/>
    <hyperlink r:id="rId147" ref="E32"/>
    <hyperlink r:id="rId148" ref="F32"/>
    <hyperlink r:id="rId149" ref="G32"/>
    <hyperlink r:id="rId150" ref="H32"/>
    <hyperlink r:id="rId151" ref="E33"/>
    <hyperlink r:id="rId152" ref="F33"/>
    <hyperlink r:id="rId153" ref="G33"/>
    <hyperlink r:id="rId154" ref="H33"/>
    <hyperlink r:id="rId155" ref="R33"/>
    <hyperlink r:id="rId156" ref="E34"/>
    <hyperlink r:id="rId157" ref="F34"/>
    <hyperlink r:id="rId158" ref="G34"/>
    <hyperlink r:id="rId159" ref="H34"/>
    <hyperlink r:id="rId160" ref="R34"/>
    <hyperlink r:id="rId161" ref="T34"/>
    <hyperlink r:id="rId162" ref="E35"/>
    <hyperlink r:id="rId163" ref="F35"/>
    <hyperlink r:id="rId164" ref="G35"/>
    <hyperlink r:id="rId165" ref="H35"/>
    <hyperlink r:id="rId166" ref="E36"/>
    <hyperlink r:id="rId167" ref="F36"/>
    <hyperlink r:id="rId168" ref="G36"/>
    <hyperlink r:id="rId169" ref="H36"/>
    <hyperlink r:id="rId170" ref="R36"/>
    <hyperlink r:id="rId171" ref="T36"/>
    <hyperlink r:id="rId172" ref="E37"/>
    <hyperlink r:id="rId173" ref="F37"/>
    <hyperlink r:id="rId174" ref="G37"/>
    <hyperlink r:id="rId175" ref="H37"/>
    <hyperlink r:id="rId176" ref="R37"/>
    <hyperlink r:id="rId177" ref="E38"/>
    <hyperlink r:id="rId178" ref="F38"/>
    <hyperlink r:id="rId179" ref="G38"/>
    <hyperlink r:id="rId180" ref="H38"/>
    <hyperlink r:id="rId181" ref="R38"/>
    <hyperlink r:id="rId182" ref="E39"/>
    <hyperlink r:id="rId183" ref="F39"/>
    <hyperlink r:id="rId184" ref="G39"/>
    <hyperlink r:id="rId185" ref="H39"/>
    <hyperlink r:id="rId186" ref="T39"/>
    <hyperlink r:id="rId187" ref="E40"/>
    <hyperlink r:id="rId188" ref="F40"/>
    <hyperlink r:id="rId189" ref="G40"/>
    <hyperlink r:id="rId190" ref="H40"/>
    <hyperlink r:id="rId191" ref="R40"/>
    <hyperlink r:id="rId192" ref="E41"/>
    <hyperlink r:id="rId193" ref="F41"/>
    <hyperlink r:id="rId194" ref="G41"/>
    <hyperlink r:id="rId195" ref="H41"/>
    <hyperlink r:id="rId196" ref="R41"/>
    <hyperlink r:id="rId197" ref="E42"/>
    <hyperlink r:id="rId198" ref="F42"/>
    <hyperlink r:id="rId199" ref="G42"/>
    <hyperlink r:id="rId200" ref="H42"/>
    <hyperlink r:id="rId201" ref="R42"/>
    <hyperlink r:id="rId202" ref="E43"/>
    <hyperlink r:id="rId203" ref="F43"/>
    <hyperlink r:id="rId204" ref="G43"/>
    <hyperlink r:id="rId205" ref="H43"/>
    <hyperlink r:id="rId206" ref="R43"/>
    <hyperlink r:id="rId207" ref="T43"/>
    <hyperlink r:id="rId208" ref="E44"/>
    <hyperlink r:id="rId209" ref="F44"/>
    <hyperlink r:id="rId210" ref="G44"/>
    <hyperlink r:id="rId211" ref="H44"/>
    <hyperlink r:id="rId212" ref="E45"/>
    <hyperlink r:id="rId213" ref="F45"/>
    <hyperlink r:id="rId214" ref="G45"/>
    <hyperlink r:id="rId215" ref="H45"/>
    <hyperlink r:id="rId216" ref="E46"/>
    <hyperlink r:id="rId217" ref="F46"/>
    <hyperlink r:id="rId218" ref="G46"/>
    <hyperlink r:id="rId219" ref="H46"/>
    <hyperlink r:id="rId220" ref="R46"/>
    <hyperlink r:id="rId221" ref="E47"/>
    <hyperlink r:id="rId222" ref="F47"/>
    <hyperlink r:id="rId223" ref="G47"/>
    <hyperlink r:id="rId224" ref="H47"/>
    <hyperlink r:id="rId225" ref="T47"/>
    <hyperlink r:id="rId226" ref="E48"/>
    <hyperlink r:id="rId227" ref="F48"/>
    <hyperlink r:id="rId228" ref="G48"/>
    <hyperlink r:id="rId229" ref="H48"/>
    <hyperlink r:id="rId230" ref="R48"/>
    <hyperlink r:id="rId231" ref="T48"/>
    <hyperlink r:id="rId232" ref="E49"/>
    <hyperlink r:id="rId233" ref="F49"/>
    <hyperlink r:id="rId234" ref="G49"/>
    <hyperlink r:id="rId235" ref="H49"/>
    <hyperlink r:id="rId236" ref="R49"/>
    <hyperlink r:id="rId237" ref="E50"/>
    <hyperlink r:id="rId238" ref="F50"/>
    <hyperlink r:id="rId239" ref="G50"/>
    <hyperlink r:id="rId240" ref="H50"/>
    <hyperlink r:id="rId241" ref="E51"/>
    <hyperlink r:id="rId242" ref="F51"/>
    <hyperlink r:id="rId243" ref="G51"/>
    <hyperlink r:id="rId244" ref="H51"/>
    <hyperlink r:id="rId245" ref="E52"/>
    <hyperlink r:id="rId246" ref="F52"/>
    <hyperlink r:id="rId247" ref="G52"/>
    <hyperlink r:id="rId248" ref="H52"/>
    <hyperlink r:id="rId249" ref="R52"/>
    <hyperlink r:id="rId250" ref="E53"/>
    <hyperlink r:id="rId251" ref="F53"/>
    <hyperlink r:id="rId252" ref="R53"/>
    <hyperlink r:id="rId253" ref="T53"/>
    <hyperlink r:id="rId254" ref="E54"/>
    <hyperlink r:id="rId255" ref="F54"/>
    <hyperlink r:id="rId256" ref="R54"/>
    <hyperlink r:id="rId257" ref="T54"/>
    <hyperlink r:id="rId258" ref="E55"/>
    <hyperlink r:id="rId259" ref="F55"/>
    <hyperlink r:id="rId260" ref="G55"/>
    <hyperlink r:id="rId261" ref="H55"/>
    <hyperlink r:id="rId262" ref="T55"/>
    <hyperlink r:id="rId263" ref="E56"/>
    <hyperlink r:id="rId264" ref="F56"/>
    <hyperlink r:id="rId265" ref="G56"/>
    <hyperlink r:id="rId266" ref="H56"/>
    <hyperlink r:id="rId267" ref="E57"/>
    <hyperlink r:id="rId268" ref="F57"/>
    <hyperlink r:id="rId269" ref="G57"/>
    <hyperlink r:id="rId270" ref="H57"/>
    <hyperlink r:id="rId271" ref="R57"/>
    <hyperlink r:id="rId272" ref="T57"/>
    <hyperlink r:id="rId273" ref="E58"/>
    <hyperlink r:id="rId274" ref="F58"/>
    <hyperlink r:id="rId275" ref="G58"/>
    <hyperlink r:id="rId276" ref="H58"/>
    <hyperlink r:id="rId277" ref="R58"/>
    <hyperlink r:id="rId278" ref="E59"/>
    <hyperlink r:id="rId279" ref="F59"/>
    <hyperlink r:id="rId280" ref="G59"/>
    <hyperlink r:id="rId281" ref="H59"/>
    <hyperlink r:id="rId282" ref="R59"/>
    <hyperlink r:id="rId283" ref="T59"/>
    <hyperlink r:id="rId284" ref="E60"/>
    <hyperlink r:id="rId285" ref="F60"/>
    <hyperlink r:id="rId286" ref="G60"/>
    <hyperlink r:id="rId287" ref="H60"/>
    <hyperlink r:id="rId288" ref="E61"/>
    <hyperlink r:id="rId289" ref="F61"/>
    <hyperlink r:id="rId290" ref="G61"/>
    <hyperlink r:id="rId291" ref="H61"/>
    <hyperlink r:id="rId292" ref="E62"/>
    <hyperlink r:id="rId293" ref="F62"/>
    <hyperlink r:id="rId294" ref="G62"/>
    <hyperlink r:id="rId295" ref="H62"/>
    <hyperlink r:id="rId296" ref="R62"/>
    <hyperlink r:id="rId297" ref="T62"/>
    <hyperlink r:id="rId298" ref="E63"/>
    <hyperlink r:id="rId299" ref="F63"/>
    <hyperlink r:id="rId300" ref="G63"/>
    <hyperlink r:id="rId301" ref="H63"/>
    <hyperlink r:id="rId302" ref="I63"/>
    <hyperlink r:id="rId303" ref="E64"/>
    <hyperlink r:id="rId304" ref="F64"/>
    <hyperlink r:id="rId305" ref="G64"/>
    <hyperlink r:id="rId306" ref="H64"/>
    <hyperlink r:id="rId307" ref="I64"/>
    <hyperlink r:id="rId308" ref="E65"/>
    <hyperlink r:id="rId309" ref="F65"/>
    <hyperlink r:id="rId310" ref="G65"/>
    <hyperlink r:id="rId311" ref="H65"/>
    <hyperlink r:id="rId312" ref="I65"/>
    <hyperlink r:id="rId313" ref="E66"/>
    <hyperlink r:id="rId314" ref="F66"/>
    <hyperlink r:id="rId315" ref="G66"/>
    <hyperlink r:id="rId316" ref="H66"/>
    <hyperlink r:id="rId317" ref="I66"/>
    <hyperlink r:id="rId318" ref="E67"/>
    <hyperlink r:id="rId319" ref="F67"/>
    <hyperlink r:id="rId320" ref="E68"/>
    <hyperlink r:id="rId321" ref="F68"/>
    <hyperlink r:id="rId322" ref="G68"/>
    <hyperlink r:id="rId323" ref="H68"/>
    <hyperlink r:id="rId324" ref="R68"/>
    <hyperlink r:id="rId325" ref="T68"/>
    <hyperlink r:id="rId326" ref="E69"/>
    <hyperlink r:id="rId327" ref="F69"/>
    <hyperlink r:id="rId328" ref="G69"/>
    <hyperlink r:id="rId329" ref="H69"/>
    <hyperlink r:id="rId330" ref="G70"/>
    <hyperlink r:id="rId331" ref="H70"/>
    <hyperlink r:id="rId332" ref="E71"/>
    <hyperlink r:id="rId333" ref="F71"/>
    <hyperlink r:id="rId334" ref="G71"/>
    <hyperlink r:id="rId335" ref="H71"/>
    <hyperlink r:id="rId336" ref="E72"/>
    <hyperlink r:id="rId337" ref="F72"/>
    <hyperlink r:id="rId338" ref="G72"/>
    <hyperlink r:id="rId339" ref="H72"/>
    <hyperlink r:id="rId340" ref="I72"/>
    <hyperlink r:id="rId341" ref="E73"/>
    <hyperlink r:id="rId342" ref="F73"/>
    <hyperlink r:id="rId343" ref="G73"/>
    <hyperlink r:id="rId344" ref="H73"/>
    <hyperlink r:id="rId345" ref="I73"/>
    <hyperlink r:id="rId346" ref="E74"/>
    <hyperlink r:id="rId347" ref="F74"/>
    <hyperlink r:id="rId348" ref="G74"/>
    <hyperlink r:id="rId349" ref="H74"/>
    <hyperlink r:id="rId350" ref="I74"/>
    <hyperlink r:id="rId351" ref="E75"/>
    <hyperlink r:id="rId352" ref="F75"/>
    <hyperlink r:id="rId353" ref="G75"/>
    <hyperlink r:id="rId354" ref="H75"/>
    <hyperlink r:id="rId355" ref="I75"/>
    <hyperlink r:id="rId356" ref="E76"/>
    <hyperlink r:id="rId357" ref="F76"/>
    <hyperlink r:id="rId358" ref="G76"/>
    <hyperlink r:id="rId359" ref="H76"/>
    <hyperlink r:id="rId360" ref="E77"/>
    <hyperlink r:id="rId361" ref="F77"/>
    <hyperlink r:id="rId362" ref="G77"/>
    <hyperlink r:id="rId363" ref="H77"/>
    <hyperlink r:id="rId364" ref="I77"/>
    <hyperlink r:id="rId365" ref="E79"/>
    <hyperlink r:id="rId366" ref="F79"/>
    <hyperlink r:id="rId367" ref="G79"/>
    <hyperlink r:id="rId368" ref="H79"/>
    <hyperlink r:id="rId369" ref="E80"/>
    <hyperlink r:id="rId370" ref="F80"/>
    <hyperlink r:id="rId371" ref="G80"/>
    <hyperlink r:id="rId372" ref="H80"/>
    <hyperlink r:id="rId373" ref="I80"/>
    <hyperlink r:id="rId374" ref="E81"/>
    <hyperlink r:id="rId375" ref="F81"/>
    <hyperlink r:id="rId376" ref="G81"/>
    <hyperlink r:id="rId377" ref="H81"/>
    <hyperlink r:id="rId378" ref="I81"/>
    <hyperlink r:id="rId379" ref="E83"/>
    <hyperlink r:id="rId380" ref="F83"/>
    <hyperlink r:id="rId381" ref="G83"/>
    <hyperlink r:id="rId382" ref="H83"/>
    <hyperlink r:id="rId383" ref="I83"/>
    <hyperlink r:id="rId384" ref="E84"/>
    <hyperlink r:id="rId385" ref="F84"/>
    <hyperlink r:id="rId386" ref="G84"/>
    <hyperlink r:id="rId387" ref="H84"/>
    <hyperlink r:id="rId388" ref="I84"/>
    <hyperlink r:id="rId389" ref="E85"/>
    <hyperlink r:id="rId390" ref="F85"/>
    <hyperlink r:id="rId391" ref="G85"/>
    <hyperlink r:id="rId392" ref="I85"/>
    <hyperlink r:id="rId393" ref="E86"/>
    <hyperlink r:id="rId394" ref="F86"/>
    <hyperlink r:id="rId395" ref="G86"/>
    <hyperlink r:id="rId396" ref="H86"/>
    <hyperlink r:id="rId397" ref="E87"/>
    <hyperlink r:id="rId398" ref="F87"/>
    <hyperlink r:id="rId399" ref="G87"/>
    <hyperlink r:id="rId400" ref="H87"/>
    <hyperlink r:id="rId401" ref="G88"/>
    <hyperlink r:id="rId402" ref="H88"/>
    <hyperlink r:id="rId403" ref="G89"/>
    <hyperlink r:id="rId404" ref="H89"/>
    <hyperlink r:id="rId405" ref="E90"/>
    <hyperlink r:id="rId406" ref="F90"/>
    <hyperlink r:id="rId407" ref="G90"/>
    <hyperlink r:id="rId408" ref="H90"/>
    <hyperlink r:id="rId409" ref="E92"/>
    <hyperlink r:id="rId410" ref="F92"/>
    <hyperlink r:id="rId411" ref="G92"/>
    <hyperlink r:id="rId412" ref="H92"/>
    <hyperlink r:id="rId413" ref="E93"/>
    <hyperlink r:id="rId414" ref="F93"/>
    <hyperlink r:id="rId415" ref="G93"/>
    <hyperlink r:id="rId416" ref="H93"/>
    <hyperlink r:id="rId417" ref="E94"/>
    <hyperlink r:id="rId418" ref="G94"/>
    <hyperlink r:id="rId419" ref="H94"/>
    <hyperlink r:id="rId420" ref="E95"/>
    <hyperlink r:id="rId421" ref="G95"/>
    <hyperlink r:id="rId422" ref="H95"/>
    <hyperlink r:id="rId423" ref="E96"/>
    <hyperlink r:id="rId424" ref="G96"/>
    <hyperlink r:id="rId425" ref="H96"/>
    <hyperlink r:id="rId426" ref="E97"/>
    <hyperlink r:id="rId427" ref="G97"/>
    <hyperlink r:id="rId428" ref="H97"/>
    <hyperlink r:id="rId429" ref="E98"/>
    <hyperlink r:id="rId430" ref="G98"/>
    <hyperlink r:id="rId431" ref="H98"/>
    <hyperlink r:id="rId432" ref="E99"/>
    <hyperlink r:id="rId433" ref="G99"/>
    <hyperlink r:id="rId434" ref="H99"/>
    <hyperlink r:id="rId435" ref="E100"/>
    <hyperlink r:id="rId436" ref="G100"/>
    <hyperlink r:id="rId437" ref="H100"/>
    <hyperlink r:id="rId438" ref="E101"/>
    <hyperlink r:id="rId439" ref="G101"/>
    <hyperlink r:id="rId440" ref="H101"/>
    <hyperlink r:id="rId441" ref="G102"/>
    <hyperlink r:id="rId442" ref="H102"/>
    <hyperlink r:id="rId443" ref="E103"/>
    <hyperlink r:id="rId444" ref="E104"/>
    <hyperlink r:id="rId445" ref="F104"/>
    <hyperlink r:id="rId446" ref="G104"/>
    <hyperlink r:id="rId447" ref="H104"/>
    <hyperlink r:id="rId448" ref="N104"/>
    <hyperlink r:id="rId449" ref="G105"/>
    <hyperlink r:id="rId450" ref="H105"/>
    <hyperlink r:id="rId451" ref="E106"/>
    <hyperlink r:id="rId452" ref="F106"/>
    <hyperlink r:id="rId453" ref="E107"/>
    <hyperlink r:id="rId454" ref="F107"/>
    <hyperlink r:id="rId455" ref="E108"/>
    <hyperlink r:id="rId456" ref="F108"/>
    <hyperlink r:id="rId457" ref="E109"/>
    <hyperlink r:id="rId458" ref="F109"/>
    <hyperlink r:id="rId459" ref="E112"/>
    <hyperlink r:id="rId460" ref="F112"/>
    <hyperlink r:id="rId461" ref="G112"/>
    <hyperlink r:id="rId462" ref="H112"/>
    <hyperlink r:id="rId463" ref="E113"/>
    <hyperlink r:id="rId464" ref="F113"/>
    <hyperlink r:id="rId465" ref="G113"/>
    <hyperlink r:id="rId466" ref="H113"/>
    <hyperlink r:id="rId467" ref="E114"/>
    <hyperlink r:id="rId468" ref="F114"/>
    <hyperlink r:id="rId469" ref="G114"/>
    <hyperlink r:id="rId470" ref="H114"/>
    <hyperlink r:id="rId471" ref="G115"/>
    <hyperlink r:id="rId472" ref="H115"/>
    <hyperlink r:id="rId473" ref="G116"/>
    <hyperlink r:id="rId474" ref="H116"/>
    <hyperlink r:id="rId475" ref="G117"/>
    <hyperlink r:id="rId476" ref="H117"/>
    <hyperlink r:id="rId477" ref="G118"/>
    <hyperlink r:id="rId478" ref="H118"/>
    <hyperlink r:id="rId479" ref="G119"/>
    <hyperlink r:id="rId480" ref="H119"/>
    <hyperlink r:id="rId481" ref="G120"/>
    <hyperlink r:id="rId482" ref="H120"/>
    <hyperlink r:id="rId483" ref="G121"/>
    <hyperlink r:id="rId484" ref="H121"/>
    <hyperlink r:id="rId485" ref="G122"/>
    <hyperlink r:id="rId486" ref="H122"/>
    <hyperlink r:id="rId487" ref="G123"/>
    <hyperlink r:id="rId488" ref="H123"/>
    <hyperlink r:id="rId489" ref="G124"/>
    <hyperlink r:id="rId490" ref="H124"/>
  </hyperlinks>
  <drawing r:id="rId49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drawing r:id="rId2"/>
</worksheet>
</file>